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3256" windowHeight="9516" tabRatio="835" firstSheet="4" activeTab="39"/>
  </bookViews>
  <sheets>
    <sheet name="0000000000000" sheetId="4" state="veryHidden" r:id="rId1"/>
    <sheet name="1000000000000" sheetId="5" state="veryHidden" r:id="rId2"/>
    <sheet name="VUP Data" sheetId="127" state="hidden" r:id="rId3"/>
    <sheet name="temp-calculations" sheetId="179" state="hidden" r:id="rId4"/>
    <sheet name="Input Data" sheetId="107" r:id="rId5"/>
    <sheet name="Cover Page" sheetId="198" r:id="rId6"/>
    <sheet name="Note File" sheetId="174" state="hidden" r:id="rId7"/>
    <sheet name="GA" sheetId="133" r:id="rId8"/>
    <sheet name="Inspection Report" sheetId="200" state="hidden" r:id="rId9"/>
    <sheet name="SPR" sheetId="185" r:id="rId10"/>
    <sheet name="Key Map" sheetId="201" state="hidden" r:id="rId11"/>
    <sheet name="LS_2LS" sheetId="195" state="hidden" r:id="rId12"/>
    <sheet name="TRAFF-Count-ESAL-Cal" sheetId="175" state="hidden" r:id="rId13"/>
    <sheet name="ESAL-result" sheetId="191" state="hidden" r:id="rId14"/>
    <sheet name="ESAL-calculation " sheetId="197" state="hidden" r:id="rId15"/>
    <sheet name="ESAL-Data" sheetId="193" state="hidden" r:id="rId16"/>
    <sheet name="Cover" sheetId="128" state="hidden" r:id="rId17"/>
    <sheet name="google-map" sheetId="178" state="hidden" r:id="rId18"/>
    <sheet name="Schedule-A" sheetId="162" state="hidden" r:id="rId19"/>
    <sheet name="Schedule-A (Part-B)" sheetId="163" state="hidden" r:id="rId20"/>
    <sheet name="Road Estimate" sheetId="164" state="hidden" r:id="rId21"/>
    <sheet name="Mtc-Abs" sheetId="139" state="hidden" r:id="rId22"/>
    <sheet name="MTS Esti" sheetId="140" state="hidden" r:id="rId23"/>
    <sheet name="MTC DAtas" sheetId="202" state="hidden" r:id="rId24"/>
    <sheet name="Mtc-data" sheetId="141" state="hidden" r:id="rId25"/>
    <sheet name="1V 1m dia Pipe Culverts" sheetId="199" state="hidden" r:id="rId26"/>
    <sheet name="2V 1m dia Pipe Culverts" sheetId="165" state="hidden" r:id="rId27"/>
    <sheet name="Road dam 30m" sheetId="168" state="hidden" r:id="rId28"/>
    <sheet name="RSI-Estt" sheetId="203" state="hidden" r:id="rId29"/>
    <sheet name="Drain " sheetId="170" state="hidden" r:id="rId30"/>
    <sheet name="Extension Pipe Culvert" sheetId="204" state="hidden" r:id="rId31"/>
    <sheet name="Slab Culvert 1V 6m x 2m spa" sheetId="186" state="hidden" r:id="rId32"/>
    <sheet name="Slab Culvert 1V 5m x 2m span" sheetId="167" state="hidden" r:id="rId33"/>
    <sheet name="Bri Abst" sheetId="206" state="hidden" r:id="rId34"/>
    <sheet name="Bri estim" sheetId="205" state="hidden" r:id="rId35"/>
    <sheet name="Bri estimate Final" sheetId="187" r:id="rId36"/>
    <sheet name="Bridge Data" sheetId="119" r:id="rId37"/>
    <sheet name="Road Approaches Estimate" sheetId="207" state="hidden" r:id="rId38"/>
    <sheet name="Road-furniture " sheetId="171" r:id="rId39"/>
    <sheet name="Road data" sheetId="94" r:id="rId40"/>
    <sheet name="lead" sheetId="7" r:id="rId41"/>
    <sheet name="Pipe data" sheetId="113" r:id="rId42"/>
    <sheet name="Seigneorage" sheetId="190" r:id="rId43"/>
    <sheet name="Ret wall" sheetId="169" state="hidden" r:id="rId44"/>
    <sheet name="Road-Marks" sheetId="132" state="hidden" r:id="rId45"/>
    <sheet name="TENDER-NF" sheetId="182" state="hidden" r:id="rId46"/>
    <sheet name="Road Furniture-Data" sheetId="150" r:id="rId47"/>
    <sheet name="SSR-rates" sheetId="86" state="hidden" r:id="rId48"/>
    <sheet name="NP4 pipes" sheetId="146" state="hidden" r:id="rId49"/>
    <sheet name="NP4 collars" sheetId="147" state="hidden" r:id="rId50"/>
    <sheet name="TEMP-CAL" sheetId="184" state="hidden" r:id="rId51"/>
  </sheets>
  <externalReferences>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s>
  <definedNames>
    <definedName name="\" localSheetId="33">#REF!</definedName>
    <definedName name="\" localSheetId="34">#REF!</definedName>
    <definedName name="\" localSheetId="5">#REF!</definedName>
    <definedName name="\" localSheetId="8">#REF!</definedName>
    <definedName name="\" localSheetId="10">#REF!</definedName>
    <definedName name="\" localSheetId="37">#REF!</definedName>
    <definedName name="\" localSheetId="28">#REF!</definedName>
    <definedName name="\" localSheetId="42">#REF!</definedName>
    <definedName name="\">#REF!</definedName>
    <definedName name="\a" localSheetId="8">#REF!</definedName>
    <definedName name="\a" localSheetId="10">#REF!</definedName>
    <definedName name="\a" localSheetId="28">#REF!</definedName>
    <definedName name="\a">#REF!</definedName>
    <definedName name="\P">#REF!</definedName>
    <definedName name="____" localSheetId="8">#REF!</definedName>
    <definedName name="____" localSheetId="10">#REF!</definedName>
    <definedName name="____" localSheetId="28">#REF!</definedName>
    <definedName name="____">#REF!</definedName>
    <definedName name="______________________________________________________________________l12">#REF!</definedName>
    <definedName name="______________________________________________________________________l3">#REF!</definedName>
    <definedName name="______________________________________________________________________l5">#REF!</definedName>
    <definedName name="______________________________________________________________________var1">#REF!</definedName>
    <definedName name="______________________________________________________________________var4">#REF!</definedName>
    <definedName name="_____________________________________________________________________l12">#REF!</definedName>
    <definedName name="_____________________________________________________________________l3">#REF!</definedName>
    <definedName name="_____________________________________________________________________l5">#REF!</definedName>
    <definedName name="_____________________________________________________________________pc2">#REF!</definedName>
    <definedName name="_____________________________________________________________________pv2">#REF!</definedName>
    <definedName name="_____________________________________________________________________var1">#REF!</definedName>
    <definedName name="_____________________________________________________________________var4">#REF!</definedName>
    <definedName name="____________________________________________________________________l12">#REF!</definedName>
    <definedName name="____________________________________________________________________l3">#REF!</definedName>
    <definedName name="____________________________________________________________________l5">#REF!</definedName>
    <definedName name="____________________________________________________________________pc2">#REF!</definedName>
    <definedName name="____________________________________________________________________pv2">#REF!</definedName>
    <definedName name="____________________________________________________________________var1">#REF!</definedName>
    <definedName name="____________________________________________________________________var4">#REF!</definedName>
    <definedName name="___________________________________________________________________l12">#REF!</definedName>
    <definedName name="___________________________________________________________________l3">#REF!</definedName>
    <definedName name="___________________________________________________________________l5">#REF!</definedName>
    <definedName name="___________________________________________________________________pc2">#REF!</definedName>
    <definedName name="___________________________________________________________________pv2">#REF!</definedName>
    <definedName name="___________________________________________________________________var1">#REF!</definedName>
    <definedName name="___________________________________________________________________var4">#REF!</definedName>
    <definedName name="__________________________________________________________________l12">#REF!</definedName>
    <definedName name="__________________________________________________________________l3">#REF!</definedName>
    <definedName name="__________________________________________________________________l5">#REF!</definedName>
    <definedName name="__________________________________________________________________pc2">#REF!</definedName>
    <definedName name="__________________________________________________________________pv2">#REF!</definedName>
    <definedName name="__________________________________________________________________var1">#REF!</definedName>
    <definedName name="__________________________________________________________________var4">#REF!</definedName>
    <definedName name="_________________________________________________________________l12">#REF!</definedName>
    <definedName name="_________________________________________________________________l3">#REF!</definedName>
    <definedName name="_________________________________________________________________l5">#REF!</definedName>
    <definedName name="_________________________________________________________________pc2">#REF!</definedName>
    <definedName name="_________________________________________________________________pv2">#REF!</definedName>
    <definedName name="_________________________________________________________________var1">#REF!</definedName>
    <definedName name="_________________________________________________________________var4">#REF!</definedName>
    <definedName name="________________________________________________________________l12">#REF!</definedName>
    <definedName name="________________________________________________________________l3">#REF!</definedName>
    <definedName name="________________________________________________________________l5">#REF!</definedName>
    <definedName name="________________________________________________________________pc2">#REF!</definedName>
    <definedName name="________________________________________________________________pv2">#REF!</definedName>
    <definedName name="________________________________________________________________var1">#REF!</definedName>
    <definedName name="________________________________________________________________var4">#REF!</definedName>
    <definedName name="_______________________________________________________________l12">#REF!</definedName>
    <definedName name="_______________________________________________________________l3">#REF!</definedName>
    <definedName name="_______________________________________________________________l5">#REF!</definedName>
    <definedName name="_______________________________________________________________pc2">#REF!</definedName>
    <definedName name="_______________________________________________________________pv2">#REF!</definedName>
    <definedName name="_______________________________________________________________var1">#REF!</definedName>
    <definedName name="_______________________________________________________________var4">#REF!</definedName>
    <definedName name="______________________________________________________________l12">#REF!</definedName>
    <definedName name="______________________________________________________________l3">#REF!</definedName>
    <definedName name="______________________________________________________________l5">#REF!</definedName>
    <definedName name="______________________________________________________________pc2">#REF!</definedName>
    <definedName name="______________________________________________________________pv2">#REF!</definedName>
    <definedName name="______________________________________________________________var1">#REF!</definedName>
    <definedName name="______________________________________________________________var4">#REF!</definedName>
    <definedName name="_____________________________________________________________l12">#REF!</definedName>
    <definedName name="_____________________________________________________________l3">#REF!</definedName>
    <definedName name="_____________________________________________________________l5">#REF!</definedName>
    <definedName name="_____________________________________________________________pc2">#REF!</definedName>
    <definedName name="_____________________________________________________________pv2">#REF!</definedName>
    <definedName name="_____________________________________________________________var1">#REF!</definedName>
    <definedName name="_____________________________________________________________var4">#REF!</definedName>
    <definedName name="____________________________________________________________l12">#REF!</definedName>
    <definedName name="____________________________________________________________l3">#REF!</definedName>
    <definedName name="____________________________________________________________l5">#REF!</definedName>
    <definedName name="____________________________________________________________pc2">#REF!</definedName>
    <definedName name="____________________________________________________________pv2">#REF!</definedName>
    <definedName name="____________________________________________________________var1">#REF!</definedName>
    <definedName name="____________________________________________________________var4">#REF!</definedName>
    <definedName name="___________________________________________________________l12">#REF!</definedName>
    <definedName name="___________________________________________________________l3">#REF!</definedName>
    <definedName name="___________________________________________________________l5">#REF!</definedName>
    <definedName name="___________________________________________________________pc2">#REF!</definedName>
    <definedName name="___________________________________________________________pv2">#REF!</definedName>
    <definedName name="___________________________________________________________var1">#REF!</definedName>
    <definedName name="___________________________________________________________var4">#REF!</definedName>
    <definedName name="__________________________________________________________l12">#REF!</definedName>
    <definedName name="__________________________________________________________l3">#REF!</definedName>
    <definedName name="__________________________________________________________l5">#REF!</definedName>
    <definedName name="__________________________________________________________pc2">#REF!</definedName>
    <definedName name="__________________________________________________________pv2">#REF!</definedName>
    <definedName name="__________________________________________________________var1">#REF!</definedName>
    <definedName name="__________________________________________________________var4">#REF!</definedName>
    <definedName name="_________________________________________________________l12">#REF!</definedName>
    <definedName name="_________________________________________________________l3">#REF!</definedName>
    <definedName name="_________________________________________________________l5">#REF!</definedName>
    <definedName name="_________________________________________________________pc2">#REF!</definedName>
    <definedName name="_________________________________________________________pv2">#REF!</definedName>
    <definedName name="_________________________________________________________var1">#REF!</definedName>
    <definedName name="_________________________________________________________var4">#REF!</definedName>
    <definedName name="________________________________________________________l12">#REF!</definedName>
    <definedName name="________________________________________________________l3">#REF!</definedName>
    <definedName name="________________________________________________________l5">#REF!</definedName>
    <definedName name="________________________________________________________pc2">#REF!</definedName>
    <definedName name="________________________________________________________pv2">#REF!</definedName>
    <definedName name="________________________________________________________var1">#REF!</definedName>
    <definedName name="________________________________________________________var4">#REF!</definedName>
    <definedName name="_______________________________________________________l12">#REF!</definedName>
    <definedName name="_______________________________________________________l3">#REF!</definedName>
    <definedName name="_______________________________________________________l5">#REF!</definedName>
    <definedName name="_______________________________________________________pc2">#REF!</definedName>
    <definedName name="_______________________________________________________pv2">#REF!</definedName>
    <definedName name="_______________________________________________________var1">#REF!</definedName>
    <definedName name="_______________________________________________________var4">#REF!</definedName>
    <definedName name="______________________________________________________l12">#REF!</definedName>
    <definedName name="______________________________________________________l3">#REF!</definedName>
    <definedName name="______________________________________________________l5">#REF!</definedName>
    <definedName name="______________________________________________________pc2">#REF!</definedName>
    <definedName name="______________________________________________________pv2">#REF!</definedName>
    <definedName name="______________________________________________________var1">#REF!</definedName>
    <definedName name="______________________________________________________var4">#REF!</definedName>
    <definedName name="_____________________________________________________l12">#REF!</definedName>
    <definedName name="_____________________________________________________l3">#REF!</definedName>
    <definedName name="_____________________________________________________l5">#REF!</definedName>
    <definedName name="_____________________________________________________pc2">#REF!</definedName>
    <definedName name="_____________________________________________________pv2">#REF!</definedName>
    <definedName name="_____________________________________________________var1">#REF!</definedName>
    <definedName name="_____________________________________________________var4">#REF!</definedName>
    <definedName name="____________________________________________________l12">#REF!</definedName>
    <definedName name="____________________________________________________l3">#REF!</definedName>
    <definedName name="____________________________________________________l5">#REF!</definedName>
    <definedName name="____________________________________________________pc2">#REF!</definedName>
    <definedName name="____________________________________________________pv2">#REF!</definedName>
    <definedName name="____________________________________________________var1">#REF!</definedName>
    <definedName name="____________________________________________________var4">#REF!</definedName>
    <definedName name="___________________________________________________l12">#REF!</definedName>
    <definedName name="___________________________________________________l3">#REF!</definedName>
    <definedName name="___________________________________________________l5">#REF!</definedName>
    <definedName name="___________________________________________________pc2">#REF!</definedName>
    <definedName name="___________________________________________________pv2">#REF!</definedName>
    <definedName name="___________________________________________________var1">#REF!</definedName>
    <definedName name="___________________________________________________var4">#REF!</definedName>
    <definedName name="__________________________________________________l12">#REF!</definedName>
    <definedName name="__________________________________________________l3">#REF!</definedName>
    <definedName name="__________________________________________________l5">#REF!</definedName>
    <definedName name="__________________________________________________pc2">#REF!</definedName>
    <definedName name="__________________________________________________pv2">#REF!</definedName>
    <definedName name="__________________________________________________var1">#REF!</definedName>
    <definedName name="__________________________________________________var4">#REF!</definedName>
    <definedName name="_________________________________________________l12">#REF!</definedName>
    <definedName name="_________________________________________________l3">#REF!</definedName>
    <definedName name="_________________________________________________l5">#REF!</definedName>
    <definedName name="_________________________________________________pc2">#REF!</definedName>
    <definedName name="_________________________________________________pv2">#REF!</definedName>
    <definedName name="_________________________________________________var1">#REF!</definedName>
    <definedName name="_________________________________________________var4">#REF!</definedName>
    <definedName name="________________________________________________l12">#REF!</definedName>
    <definedName name="________________________________________________l3">#REF!</definedName>
    <definedName name="________________________________________________l5">#REF!</definedName>
    <definedName name="________________________________________________pc2">#REF!</definedName>
    <definedName name="________________________________________________pv2">#REF!</definedName>
    <definedName name="________________________________________________var1">#REF!</definedName>
    <definedName name="________________________________________________var4">#REF!</definedName>
    <definedName name="_______________________________________________l12">#REF!</definedName>
    <definedName name="_______________________________________________l3">#REF!</definedName>
    <definedName name="_______________________________________________l5">#REF!</definedName>
    <definedName name="_______________________________________________pc2">#REF!</definedName>
    <definedName name="_______________________________________________pv2">#REF!</definedName>
    <definedName name="_______________________________________________var1">#REF!</definedName>
    <definedName name="_______________________________________________var4">#REF!</definedName>
    <definedName name="______________________________________________l12">#REF!</definedName>
    <definedName name="______________________________________________l3">#REF!</definedName>
    <definedName name="______________________________________________l5">#REF!</definedName>
    <definedName name="______________________________________________pc2">#REF!</definedName>
    <definedName name="______________________________________________pv2">#REF!</definedName>
    <definedName name="______________________________________________var1">#REF!</definedName>
    <definedName name="______________________________________________var4">#REF!</definedName>
    <definedName name="_____________________________________________l12">#REF!</definedName>
    <definedName name="_____________________________________________l3">#REF!</definedName>
    <definedName name="_____________________________________________l5">#REF!</definedName>
    <definedName name="_____________________________________________pc2">#REF!</definedName>
    <definedName name="_____________________________________________pv2">#REF!</definedName>
    <definedName name="_____________________________________________var1">#REF!</definedName>
    <definedName name="_____________________________________________var4">#REF!</definedName>
    <definedName name="____________________________________________l12">#REF!</definedName>
    <definedName name="____________________________________________l3">#REF!</definedName>
    <definedName name="____________________________________________l5">#REF!</definedName>
    <definedName name="____________________________________________pc2">#REF!</definedName>
    <definedName name="____________________________________________pv2">#REF!</definedName>
    <definedName name="____________________________________________var1">#REF!</definedName>
    <definedName name="____________________________________________var4">#REF!</definedName>
    <definedName name="___________________________________________l12">#REF!</definedName>
    <definedName name="___________________________________________l3">#REF!</definedName>
    <definedName name="___________________________________________l5">#REF!</definedName>
    <definedName name="___________________________________________pc2">#REF!</definedName>
    <definedName name="___________________________________________pv2">#REF!</definedName>
    <definedName name="___________________________________________var1">#REF!</definedName>
    <definedName name="___________________________________________var4">#REF!</definedName>
    <definedName name="__________________________________________bla1">#REF!</definedName>
    <definedName name="__________________________________________l1">#REF!</definedName>
    <definedName name="__________________________________________l12">#REF!</definedName>
    <definedName name="__________________________________________l3">#REF!</definedName>
    <definedName name="__________________________________________l4">#REF!</definedName>
    <definedName name="__________________________________________l5">#REF!</definedName>
    <definedName name="__________________________________________mm1">#REF!</definedName>
    <definedName name="__________________________________________pc2">#REF!</definedName>
    <definedName name="__________________________________________pv2">#REF!</definedName>
    <definedName name="__________________________________________rr3">#REF!</definedName>
    <definedName name="__________________________________________rrr1">#REF!</definedName>
    <definedName name="__________________________________________ss12">#REF!</definedName>
    <definedName name="__________________________________________ss20">#REF!</definedName>
    <definedName name="__________________________________________ss40">#REF!</definedName>
    <definedName name="__________________________________________var1">#REF!</definedName>
    <definedName name="__________________________________________var4">#REF!</definedName>
    <definedName name="__________________________________________xlfn_BAHTTEXT">#N/A</definedName>
    <definedName name="_________________________________________bla1">#REF!</definedName>
    <definedName name="_________________________________________l1">#REF!</definedName>
    <definedName name="_________________________________________l12">#REF!</definedName>
    <definedName name="_________________________________________l3">#REF!</definedName>
    <definedName name="_________________________________________l4">#REF!</definedName>
    <definedName name="_________________________________________l5">#REF!</definedName>
    <definedName name="_________________________________________mm1">#REF!</definedName>
    <definedName name="_________________________________________pc2">#REF!</definedName>
    <definedName name="_________________________________________pv2">#REF!</definedName>
    <definedName name="_________________________________________rr3">#REF!</definedName>
    <definedName name="_________________________________________rrr1">#REF!</definedName>
    <definedName name="_________________________________________ss12">#REF!</definedName>
    <definedName name="_________________________________________ss20">#REF!</definedName>
    <definedName name="_________________________________________ss40">#REF!</definedName>
    <definedName name="_________________________________________var1">#REF!</definedName>
    <definedName name="_________________________________________var4">#REF!</definedName>
    <definedName name="_________________________________________xlfn_BAHTTEXT">#N/A</definedName>
    <definedName name="________________________________________bla1">#REF!</definedName>
    <definedName name="________________________________________l1">#REF!</definedName>
    <definedName name="________________________________________l12">#REF!</definedName>
    <definedName name="________________________________________l3">#REF!</definedName>
    <definedName name="________________________________________l4">#REF!</definedName>
    <definedName name="________________________________________l5">#REF!</definedName>
    <definedName name="________________________________________mm1">#REF!</definedName>
    <definedName name="________________________________________pc2">#REF!</definedName>
    <definedName name="________________________________________pv2">#REF!</definedName>
    <definedName name="________________________________________rr3">#REF!</definedName>
    <definedName name="________________________________________rrr1">#REF!</definedName>
    <definedName name="________________________________________ss12">#REF!</definedName>
    <definedName name="________________________________________ss20">#REF!</definedName>
    <definedName name="________________________________________ss40">#REF!</definedName>
    <definedName name="________________________________________var1">#REF!</definedName>
    <definedName name="________________________________________var4">#REF!</definedName>
    <definedName name="________________________________________xlfn_BAHTTEXT">#N/A</definedName>
    <definedName name="_______________________________________bla1">#REF!</definedName>
    <definedName name="_______________________________________l1">#REF!</definedName>
    <definedName name="_______________________________________l12">#REF!</definedName>
    <definedName name="_______________________________________l3">#REF!</definedName>
    <definedName name="_______________________________________l4">#REF!</definedName>
    <definedName name="_______________________________________l5">#REF!</definedName>
    <definedName name="_______________________________________mm1">#REF!</definedName>
    <definedName name="_______________________________________pc2">#REF!</definedName>
    <definedName name="_______________________________________pv2">#REF!</definedName>
    <definedName name="_______________________________________rr3">#REF!</definedName>
    <definedName name="_______________________________________rrr1">#REF!</definedName>
    <definedName name="_______________________________________ss12">#REF!</definedName>
    <definedName name="_______________________________________ss20">#REF!</definedName>
    <definedName name="_______________________________________ss40">#REF!</definedName>
    <definedName name="_______________________________________var1">#REF!</definedName>
    <definedName name="_______________________________________var4">#REF!</definedName>
    <definedName name="_______________________________________xlfn_BAHTTEXT">#N/A</definedName>
    <definedName name="______________________________________l12">#REF!</definedName>
    <definedName name="______________________________________l3">#REF!</definedName>
    <definedName name="______________________________________l5">#REF!</definedName>
    <definedName name="______________________________________pc2">#REF!</definedName>
    <definedName name="______________________________________pv2">#REF!</definedName>
    <definedName name="______________________________________var1">#REF!</definedName>
    <definedName name="______________________________________var4">#REF!</definedName>
    <definedName name="______________________________________xlfn_BAHTTEXT">#N/A</definedName>
    <definedName name="_____________________________________l12">#REF!</definedName>
    <definedName name="_____________________________________l3">#REF!</definedName>
    <definedName name="_____________________________________l5">#REF!</definedName>
    <definedName name="_____________________________________pc2">#REF!</definedName>
    <definedName name="_____________________________________pv2">#REF!</definedName>
    <definedName name="_____________________________________rr3" localSheetId="28">#REF!</definedName>
    <definedName name="_____________________________________var1">#REF!</definedName>
    <definedName name="_____________________________________var4">#REF!</definedName>
    <definedName name="_____________________________________xlfn_BAHTTEXT">#N/A</definedName>
    <definedName name="____________________________________l12" localSheetId="8">#REF!</definedName>
    <definedName name="____________________________________l12" localSheetId="10">#REF!</definedName>
    <definedName name="____________________________________l12" localSheetId="28">#REF!</definedName>
    <definedName name="____________________________________l12">#REF!</definedName>
    <definedName name="____________________________________l3" localSheetId="8">#REF!</definedName>
    <definedName name="____________________________________l3" localSheetId="10">#REF!</definedName>
    <definedName name="____________________________________l3" localSheetId="28">#REF!</definedName>
    <definedName name="____________________________________l3">#REF!</definedName>
    <definedName name="____________________________________l5" localSheetId="8">#REF!</definedName>
    <definedName name="____________________________________l5" localSheetId="10">#REF!</definedName>
    <definedName name="____________________________________l5" localSheetId="28">#REF!</definedName>
    <definedName name="____________________________________l5">#REF!</definedName>
    <definedName name="____________________________________pc2">#REF!</definedName>
    <definedName name="____________________________________pv2">#REF!</definedName>
    <definedName name="____________________________________var1" localSheetId="8">#REF!</definedName>
    <definedName name="____________________________________var1" localSheetId="10">#REF!</definedName>
    <definedName name="____________________________________var1" localSheetId="28">#REF!</definedName>
    <definedName name="____________________________________var1">#REF!</definedName>
    <definedName name="____________________________________var4" localSheetId="8">#REF!</definedName>
    <definedName name="____________________________________var4" localSheetId="10">#REF!</definedName>
    <definedName name="____________________________________var4" localSheetId="28">#REF!</definedName>
    <definedName name="____________________________________var4">#REF!</definedName>
    <definedName name="____________________________________xlfn_BAHTTEXT">#N/A</definedName>
    <definedName name="___________________________________cbr1">#REF!</definedName>
    <definedName name="___________________________________cbr2">#REF!</definedName>
    <definedName name="___________________________________cbr3">#REF!</definedName>
    <definedName name="___________________________________cbr4">#REF!</definedName>
    <definedName name="___________________________________l12" localSheetId="8">#REF!</definedName>
    <definedName name="___________________________________l12" localSheetId="10">#REF!</definedName>
    <definedName name="___________________________________l12" localSheetId="28">#REF!</definedName>
    <definedName name="___________________________________l12">#REF!</definedName>
    <definedName name="___________________________________l3" localSheetId="8">#REF!</definedName>
    <definedName name="___________________________________l3" localSheetId="10">#REF!</definedName>
    <definedName name="___________________________________l3" localSheetId="28">#REF!</definedName>
    <definedName name="___________________________________l3">#REF!</definedName>
    <definedName name="___________________________________l5" localSheetId="8">#REF!</definedName>
    <definedName name="___________________________________l5" localSheetId="10">#REF!</definedName>
    <definedName name="___________________________________l5" localSheetId="28">#REF!</definedName>
    <definedName name="___________________________________l5">#REF!</definedName>
    <definedName name="___________________________________pc2" localSheetId="8">#REF!</definedName>
    <definedName name="___________________________________pc2" localSheetId="10">#REF!</definedName>
    <definedName name="___________________________________pc2" localSheetId="28">#REF!</definedName>
    <definedName name="___________________________________pc2">#REF!</definedName>
    <definedName name="___________________________________pv2" localSheetId="8">#REF!</definedName>
    <definedName name="___________________________________pv2" localSheetId="10">#REF!</definedName>
    <definedName name="___________________________________pv2" localSheetId="28">#REF!</definedName>
    <definedName name="___________________________________pv2">#REF!</definedName>
    <definedName name="___________________________________var1" localSheetId="8">#REF!</definedName>
    <definedName name="___________________________________var1" localSheetId="10">#REF!</definedName>
    <definedName name="___________________________________var1" localSheetId="28">#REF!</definedName>
    <definedName name="___________________________________var1">#REF!</definedName>
    <definedName name="___________________________________var4" localSheetId="8">#REF!</definedName>
    <definedName name="___________________________________var4" localSheetId="10">#REF!</definedName>
    <definedName name="___________________________________var4" localSheetId="28">#REF!</definedName>
    <definedName name="___________________________________var4">#REF!</definedName>
    <definedName name="___________________________________vat1">#REF!</definedName>
    <definedName name="___________________________________vat2">#REF!</definedName>
    <definedName name="___________________________________xlfn_BAHTTEXT">#N/A</definedName>
    <definedName name="__________________________________can430">40.73</definedName>
    <definedName name="__________________________________can435">43.3</definedName>
    <definedName name="__________________________________cbr1">#REF!</definedName>
    <definedName name="__________________________________cbr2">#REF!</definedName>
    <definedName name="__________________________________cbr3">#REF!</definedName>
    <definedName name="__________________________________cbr4">#REF!</definedName>
    <definedName name="__________________________________l12" localSheetId="8">#REF!</definedName>
    <definedName name="__________________________________l12" localSheetId="10">#REF!</definedName>
    <definedName name="__________________________________l12" localSheetId="28">#REF!</definedName>
    <definedName name="__________________________________l12">#REF!</definedName>
    <definedName name="__________________________________l3" localSheetId="8">#REF!</definedName>
    <definedName name="__________________________________l3" localSheetId="10">#REF!</definedName>
    <definedName name="__________________________________l3" localSheetId="28">#REF!</definedName>
    <definedName name="__________________________________l3">#REF!</definedName>
    <definedName name="__________________________________l5" localSheetId="8">#REF!</definedName>
    <definedName name="__________________________________l5" localSheetId="10">#REF!</definedName>
    <definedName name="__________________________________l5" localSheetId="28">#REF!</definedName>
    <definedName name="__________________________________l5">#REF!</definedName>
    <definedName name="__________________________________pc2" localSheetId="8">#REF!</definedName>
    <definedName name="__________________________________pc2" localSheetId="10">#REF!</definedName>
    <definedName name="__________________________________pc2" localSheetId="28">#REF!</definedName>
    <definedName name="__________________________________pc2">#REF!</definedName>
    <definedName name="__________________________________pv2" localSheetId="8">#REF!</definedName>
    <definedName name="__________________________________pv2" localSheetId="10">#REF!</definedName>
    <definedName name="__________________________________pv2" localSheetId="28">#REF!</definedName>
    <definedName name="__________________________________pv2">#REF!</definedName>
    <definedName name="__________________________________var1" localSheetId="8">#REF!</definedName>
    <definedName name="__________________________________var1" localSheetId="10">#REF!</definedName>
    <definedName name="__________________________________var1" localSheetId="28">#REF!</definedName>
    <definedName name="__________________________________var1">#REF!</definedName>
    <definedName name="__________________________________var4" localSheetId="8">#REF!</definedName>
    <definedName name="__________________________________var4" localSheetId="10">#REF!</definedName>
    <definedName name="__________________________________var4" localSheetId="28">#REF!</definedName>
    <definedName name="__________________________________var4">#REF!</definedName>
    <definedName name="__________________________________vat1">#REF!</definedName>
    <definedName name="__________________________________vat2">#REF!</definedName>
    <definedName name="__________________________________xlfn_BAHTTEXT">#N/A</definedName>
    <definedName name="_________________________________can430">40.73</definedName>
    <definedName name="_________________________________can435">43.3</definedName>
    <definedName name="_________________________________cbr1">#REF!</definedName>
    <definedName name="_________________________________cbr2">#REF!</definedName>
    <definedName name="_________________________________cbr3">#REF!</definedName>
    <definedName name="_________________________________cbr4">#REF!</definedName>
    <definedName name="_________________________________l12" localSheetId="8">#REF!</definedName>
    <definedName name="_________________________________l12" localSheetId="10">#REF!</definedName>
    <definedName name="_________________________________l12" localSheetId="28">#REF!</definedName>
    <definedName name="_________________________________l12">#REF!</definedName>
    <definedName name="_________________________________l3" localSheetId="8">#REF!</definedName>
    <definedName name="_________________________________l3" localSheetId="10">#REF!</definedName>
    <definedName name="_________________________________l3" localSheetId="28">#REF!</definedName>
    <definedName name="_________________________________l3">#REF!</definedName>
    <definedName name="_________________________________l5" localSheetId="8">#REF!</definedName>
    <definedName name="_________________________________l5" localSheetId="10">#REF!</definedName>
    <definedName name="_________________________________l5" localSheetId="28">#REF!</definedName>
    <definedName name="_________________________________l5">#REF!</definedName>
    <definedName name="_________________________________pc2" localSheetId="8">#REF!</definedName>
    <definedName name="_________________________________pc2" localSheetId="10">#REF!</definedName>
    <definedName name="_________________________________pc2" localSheetId="28">#REF!</definedName>
    <definedName name="_________________________________pc2">#REF!</definedName>
    <definedName name="_________________________________pv2" localSheetId="8">#REF!</definedName>
    <definedName name="_________________________________pv2" localSheetId="10">#REF!</definedName>
    <definedName name="_________________________________pv2" localSheetId="28">#REF!</definedName>
    <definedName name="_________________________________pv2">#REF!</definedName>
    <definedName name="_________________________________var1" localSheetId="8">#REF!</definedName>
    <definedName name="_________________________________var1" localSheetId="10">#REF!</definedName>
    <definedName name="_________________________________var1" localSheetId="28">#REF!</definedName>
    <definedName name="_________________________________var1">#REF!</definedName>
    <definedName name="_________________________________var4" localSheetId="8">#REF!</definedName>
    <definedName name="_________________________________var4" localSheetId="10">#REF!</definedName>
    <definedName name="_________________________________var4" localSheetId="28">#REF!</definedName>
    <definedName name="_________________________________var4">#REF!</definedName>
    <definedName name="_________________________________vat1">#REF!</definedName>
    <definedName name="_________________________________vat2">#REF!</definedName>
    <definedName name="_________________________________xlfn_BAHTTEXT">#N/A</definedName>
    <definedName name="________________________________can430">40.73</definedName>
    <definedName name="________________________________can435">43.3</definedName>
    <definedName name="________________________________cbr1">#REF!</definedName>
    <definedName name="________________________________cbr2">#REF!</definedName>
    <definedName name="________________________________cbr3">#REF!</definedName>
    <definedName name="________________________________cbr4">#REF!</definedName>
    <definedName name="________________________________l12" localSheetId="8">#REF!</definedName>
    <definedName name="________________________________l12" localSheetId="10">#REF!</definedName>
    <definedName name="________________________________l12" localSheetId="28">#REF!</definedName>
    <definedName name="________________________________l12">#REF!</definedName>
    <definedName name="________________________________l3" localSheetId="8">#REF!</definedName>
    <definedName name="________________________________l3" localSheetId="10">#REF!</definedName>
    <definedName name="________________________________l3" localSheetId="28">#REF!</definedName>
    <definedName name="________________________________l3">#REF!</definedName>
    <definedName name="________________________________l5" localSheetId="8">#REF!</definedName>
    <definedName name="________________________________l5" localSheetId="10">#REF!</definedName>
    <definedName name="________________________________l5" localSheetId="28">#REF!</definedName>
    <definedName name="________________________________l5">#REF!</definedName>
    <definedName name="________________________________pc2" localSheetId="8">#REF!</definedName>
    <definedName name="________________________________pc2" localSheetId="10">#REF!</definedName>
    <definedName name="________________________________pc2" localSheetId="28">#REF!</definedName>
    <definedName name="________________________________pc2">#REF!</definedName>
    <definedName name="________________________________pv2" localSheetId="8">#REF!</definedName>
    <definedName name="________________________________pv2" localSheetId="10">#REF!</definedName>
    <definedName name="________________________________pv2" localSheetId="28">#REF!</definedName>
    <definedName name="________________________________pv2">#REF!</definedName>
    <definedName name="________________________________var1" localSheetId="8">#REF!</definedName>
    <definedName name="________________________________var1" localSheetId="10">#REF!</definedName>
    <definedName name="________________________________var1" localSheetId="28">#REF!</definedName>
    <definedName name="________________________________var1">#REF!</definedName>
    <definedName name="________________________________var4" localSheetId="8">#REF!</definedName>
    <definedName name="________________________________var4" localSheetId="10">#REF!</definedName>
    <definedName name="________________________________var4" localSheetId="28">#REF!</definedName>
    <definedName name="________________________________var4">#REF!</definedName>
    <definedName name="________________________________vat1">#REF!</definedName>
    <definedName name="________________________________vat2">#REF!</definedName>
    <definedName name="________________________________xlfn_BAHTTEXT">#N/A</definedName>
    <definedName name="_______________________________can430">40.73</definedName>
    <definedName name="_______________________________can435">43.3</definedName>
    <definedName name="_______________________________cbr1">#REF!</definedName>
    <definedName name="_______________________________cbr2">#REF!</definedName>
    <definedName name="_______________________________cbr3">#REF!</definedName>
    <definedName name="_______________________________cbr4">#REF!</definedName>
    <definedName name="_______________________________l12" localSheetId="8">#REF!</definedName>
    <definedName name="_______________________________l12" localSheetId="10">#REF!</definedName>
    <definedName name="_______________________________l12" localSheetId="28">#REF!</definedName>
    <definedName name="_______________________________l12">#REF!</definedName>
    <definedName name="_______________________________l3" localSheetId="8">#REF!</definedName>
    <definedName name="_______________________________l3" localSheetId="10">#REF!</definedName>
    <definedName name="_______________________________l3" localSheetId="28">#REF!</definedName>
    <definedName name="_______________________________l3">#REF!</definedName>
    <definedName name="_______________________________l5" localSheetId="8">#REF!</definedName>
    <definedName name="_______________________________l5" localSheetId="10">#REF!</definedName>
    <definedName name="_______________________________l5" localSheetId="28">#REF!</definedName>
    <definedName name="_______________________________l5">#REF!</definedName>
    <definedName name="_______________________________pc2" localSheetId="8">#REF!</definedName>
    <definedName name="_______________________________pc2" localSheetId="10">#REF!</definedName>
    <definedName name="_______________________________pc2" localSheetId="28">#REF!</definedName>
    <definedName name="_______________________________pc2">#REF!</definedName>
    <definedName name="_______________________________pv2" localSheetId="8">#REF!</definedName>
    <definedName name="_______________________________pv2" localSheetId="10">#REF!</definedName>
    <definedName name="_______________________________pv2" localSheetId="28">#REF!</definedName>
    <definedName name="_______________________________pv2">#REF!</definedName>
    <definedName name="_______________________________var1" localSheetId="8">#REF!</definedName>
    <definedName name="_______________________________var1" localSheetId="10">#REF!</definedName>
    <definedName name="_______________________________var1" localSheetId="28">#REF!</definedName>
    <definedName name="_______________________________var1">#REF!</definedName>
    <definedName name="_______________________________var4" localSheetId="8">#REF!</definedName>
    <definedName name="_______________________________var4" localSheetId="10">#REF!</definedName>
    <definedName name="_______________________________var4" localSheetId="28">#REF!</definedName>
    <definedName name="_______________________________var4">#REF!</definedName>
    <definedName name="_______________________________vat1">#REF!</definedName>
    <definedName name="_______________________________vat2">#REF!</definedName>
    <definedName name="_______________________________xlfn_BAHTTEXT">#N/A</definedName>
    <definedName name="______________________________bla1">[1]leads!$H$7</definedName>
    <definedName name="______________________________can430">40.73</definedName>
    <definedName name="______________________________can435">43.3</definedName>
    <definedName name="______________________________cbr1">#REF!</definedName>
    <definedName name="______________________________cbr2">#REF!</definedName>
    <definedName name="______________________________cbr3">#REF!</definedName>
    <definedName name="______________________________cbr4">#REF!</definedName>
    <definedName name="______________________________l1">[2]leads!$A$3:$E$108</definedName>
    <definedName name="______________________________l12" localSheetId="5">#REF!</definedName>
    <definedName name="______________________________l12" localSheetId="14">#REF!</definedName>
    <definedName name="______________________________l12" localSheetId="8">#REF!</definedName>
    <definedName name="______________________________l12" localSheetId="10">#REF!</definedName>
    <definedName name="______________________________l12" localSheetId="28">#REF!</definedName>
    <definedName name="______________________________l12">#REF!</definedName>
    <definedName name="______________________________l3" localSheetId="5">#REF!</definedName>
    <definedName name="______________________________l3" localSheetId="14">#REF!</definedName>
    <definedName name="______________________________l3" localSheetId="8">#REF!</definedName>
    <definedName name="______________________________l3" localSheetId="10">#REF!</definedName>
    <definedName name="______________________________l3" localSheetId="28">#REF!</definedName>
    <definedName name="______________________________l3">#REF!</definedName>
    <definedName name="______________________________l4">[3]Sheet1!$W$2:$Y$103</definedName>
    <definedName name="______________________________l5" localSheetId="5">#REF!</definedName>
    <definedName name="______________________________l5" localSheetId="14">#REF!</definedName>
    <definedName name="______________________________l5" localSheetId="8">#REF!</definedName>
    <definedName name="______________________________l5" localSheetId="10">#REF!</definedName>
    <definedName name="______________________________l5" localSheetId="28">#REF!</definedName>
    <definedName name="______________________________l5">#REF!</definedName>
    <definedName name="______________________________mm1">[4]r!$F$4</definedName>
    <definedName name="______________________________pc2" localSheetId="8">#REF!</definedName>
    <definedName name="______________________________pc2" localSheetId="10">#REF!</definedName>
    <definedName name="______________________________pc2" localSheetId="28">#REF!</definedName>
    <definedName name="______________________________pc2">#REF!</definedName>
    <definedName name="______________________________pv2" localSheetId="8">#REF!</definedName>
    <definedName name="______________________________pv2" localSheetId="10">#REF!</definedName>
    <definedName name="______________________________pv2" localSheetId="28">#REF!</definedName>
    <definedName name="______________________________pv2">#REF!</definedName>
    <definedName name="______________________________rr3">[5]v!$A$2:$E$51</definedName>
    <definedName name="______________________________rrr1">[5]r!$B$1:$I$145</definedName>
    <definedName name="______________________________var1" localSheetId="5">#REF!</definedName>
    <definedName name="______________________________var1" localSheetId="14">#REF!</definedName>
    <definedName name="______________________________var1" localSheetId="8">#REF!</definedName>
    <definedName name="______________________________var1" localSheetId="10">#REF!</definedName>
    <definedName name="______________________________var1" localSheetId="28">#REF!</definedName>
    <definedName name="______________________________var1">#REF!</definedName>
    <definedName name="______________________________var4" localSheetId="5">#REF!</definedName>
    <definedName name="______________________________var4" localSheetId="14">#REF!</definedName>
    <definedName name="______________________________var4" localSheetId="8">#REF!</definedName>
    <definedName name="______________________________var4" localSheetId="10">#REF!</definedName>
    <definedName name="______________________________var4" localSheetId="28">#REF!</definedName>
    <definedName name="______________________________var4">#REF!</definedName>
    <definedName name="______________________________vat1">#REF!</definedName>
    <definedName name="______________________________vat2">#REF!</definedName>
    <definedName name="______________________________xlfn_BAHTTEXT">#N/A</definedName>
    <definedName name="_____________________________AUX1" localSheetId="28">#REF!</definedName>
    <definedName name="_____________________________aux2">#REF!</definedName>
    <definedName name="_____________________________AUX3">#REF!</definedName>
    <definedName name="_____________________________can430">40.73</definedName>
    <definedName name="_____________________________can435">43.3</definedName>
    <definedName name="_____________________________cbr1">#REF!</definedName>
    <definedName name="_____________________________cbr2">#REF!</definedName>
    <definedName name="_____________________________cbr3">#REF!</definedName>
    <definedName name="_____________________________cbr4">#REF!</definedName>
    <definedName name="_____________________________er1">#REF!</definedName>
    <definedName name="_____________________________gus1">#REF!</definedName>
    <definedName name="_____________________________hpm1">#REF!</definedName>
    <definedName name="_____________________________knr2">#REF!</definedName>
    <definedName name="_____________________________l12" localSheetId="5">#REF!</definedName>
    <definedName name="_____________________________l12" localSheetId="8">#REF!</definedName>
    <definedName name="_____________________________l12" localSheetId="10">#REF!</definedName>
    <definedName name="_____________________________l12" localSheetId="11">#REF!</definedName>
    <definedName name="_____________________________l12" localSheetId="28">#REF!</definedName>
    <definedName name="_____________________________l12">#REF!</definedName>
    <definedName name="_____________________________l3" localSheetId="5">#REF!</definedName>
    <definedName name="_____________________________l3" localSheetId="8">#REF!</definedName>
    <definedName name="_____________________________l3" localSheetId="10">#REF!</definedName>
    <definedName name="_____________________________l3" localSheetId="11">#REF!</definedName>
    <definedName name="_____________________________l3" localSheetId="28">#REF!</definedName>
    <definedName name="_____________________________l3">#REF!</definedName>
    <definedName name="_____________________________l5" localSheetId="5">#REF!</definedName>
    <definedName name="_____________________________l5" localSheetId="8">#REF!</definedName>
    <definedName name="_____________________________l5" localSheetId="10">#REF!</definedName>
    <definedName name="_____________________________l5" localSheetId="11">#REF!</definedName>
    <definedName name="_____________________________l5" localSheetId="28">#REF!</definedName>
    <definedName name="_____________________________l5">#REF!</definedName>
    <definedName name="_____________________________lcn1">#REF!</definedName>
    <definedName name="_____________________________lm1" localSheetId="28">#REF!</definedName>
    <definedName name="_____________________________pc2" localSheetId="5">#REF!</definedName>
    <definedName name="_____________________________pc2" localSheetId="8">#REF!</definedName>
    <definedName name="_____________________________pc2" localSheetId="10">#REF!</definedName>
    <definedName name="_____________________________pc2" localSheetId="28">#REF!</definedName>
    <definedName name="_____________________________pc2">#REF!</definedName>
    <definedName name="_____________________________pv2" localSheetId="5">#REF!</definedName>
    <definedName name="_____________________________pv2" localSheetId="8">#REF!</definedName>
    <definedName name="_____________________________pv2" localSheetId="10">#REF!</definedName>
    <definedName name="_____________________________pv2" localSheetId="28">#REF!</definedName>
    <definedName name="_____________________________pv2">#REF!</definedName>
    <definedName name="_____________________________sw1">#REF!</definedName>
    <definedName name="_____________________________us1">#REF!</definedName>
    <definedName name="_____________________________var1" localSheetId="5">#REF!</definedName>
    <definedName name="_____________________________var1" localSheetId="8">#REF!</definedName>
    <definedName name="_____________________________var1" localSheetId="10">#REF!</definedName>
    <definedName name="_____________________________var1" localSheetId="11">#REF!</definedName>
    <definedName name="_____________________________var1" localSheetId="28">#REF!</definedName>
    <definedName name="_____________________________var1">#REF!</definedName>
    <definedName name="_____________________________var4" localSheetId="5">#REF!</definedName>
    <definedName name="_____________________________var4" localSheetId="8">#REF!</definedName>
    <definedName name="_____________________________var4" localSheetId="10">#REF!</definedName>
    <definedName name="_____________________________var4" localSheetId="11">#REF!</definedName>
    <definedName name="_____________________________var4" localSheetId="28">#REF!</definedName>
    <definedName name="_____________________________var4">#REF!</definedName>
    <definedName name="_____________________________vat1">#REF!</definedName>
    <definedName name="_____________________________vat2">#REF!</definedName>
    <definedName name="_____________________________xlfn_BAHTTEXT">#N/A</definedName>
    <definedName name="____________________________abs1" localSheetId="8">#REF!</definedName>
    <definedName name="____________________________abs1" localSheetId="10">#REF!</definedName>
    <definedName name="____________________________abs1" localSheetId="28">#REF!</definedName>
    <definedName name="____________________________abs1">#REF!</definedName>
    <definedName name="____________________________AUX1">#REF!</definedName>
    <definedName name="____________________________aux2" localSheetId="28">#REF!</definedName>
    <definedName name="____________________________AUX3">#REF!</definedName>
    <definedName name="____________________________bla1">[1]leads!$H$7</definedName>
    <definedName name="____________________________can430">40.73</definedName>
    <definedName name="____________________________can435">43.3</definedName>
    <definedName name="____________________________cbr1">#REF!</definedName>
    <definedName name="____________________________cbr2">#REF!</definedName>
    <definedName name="____________________________cbr3">#REF!</definedName>
    <definedName name="____________________________cbr4">#REF!</definedName>
    <definedName name="____________________________er1">#REF!</definedName>
    <definedName name="____________________________ewe1">#REF!</definedName>
    <definedName name="____________________________f1">#REF!</definedName>
    <definedName name="____________________________gus1">#REF!</definedName>
    <definedName name="____________________________hpm1">#REF!</definedName>
    <definedName name="____________________________knr2">#REF!</definedName>
    <definedName name="____________________________l1">[2]leads!$A$3:$E$108</definedName>
    <definedName name="____________________________l12" localSheetId="5">#REF!</definedName>
    <definedName name="____________________________l12" localSheetId="8">#REF!</definedName>
    <definedName name="____________________________l12" localSheetId="10">#REF!</definedName>
    <definedName name="____________________________l12" localSheetId="11">#REF!</definedName>
    <definedName name="____________________________l12" localSheetId="28">#REF!</definedName>
    <definedName name="____________________________l12">#REF!</definedName>
    <definedName name="____________________________l3" localSheetId="5">#REF!</definedName>
    <definedName name="____________________________l3" localSheetId="8">#REF!</definedName>
    <definedName name="____________________________l3" localSheetId="10">#REF!</definedName>
    <definedName name="____________________________l3" localSheetId="11">#REF!</definedName>
    <definedName name="____________________________l3" localSheetId="28">#REF!</definedName>
    <definedName name="____________________________l3">#REF!</definedName>
    <definedName name="____________________________l4">[3]Sheet1!$W$2:$Y$103</definedName>
    <definedName name="____________________________l5" localSheetId="5">#REF!</definedName>
    <definedName name="____________________________l5" localSheetId="8">#REF!</definedName>
    <definedName name="____________________________l5" localSheetId="10">#REF!</definedName>
    <definedName name="____________________________l5" localSheetId="11">#REF!</definedName>
    <definedName name="____________________________l5" localSheetId="28">#REF!</definedName>
    <definedName name="____________________________l5">#REF!</definedName>
    <definedName name="____________________________lcn1">#REF!</definedName>
    <definedName name="____________________________lm1" localSheetId="28">#REF!</definedName>
    <definedName name="____________________________mm1">[4]r!$F$4</definedName>
    <definedName name="____________________________mm20">#REF!</definedName>
    <definedName name="____________________________mm40">#REF!</definedName>
    <definedName name="____________________________pc2" localSheetId="5">#REF!</definedName>
    <definedName name="____________________________pc2" localSheetId="8">#REF!</definedName>
    <definedName name="____________________________pc2" localSheetId="10">#REF!</definedName>
    <definedName name="____________________________pc2" localSheetId="11">#REF!</definedName>
    <definedName name="____________________________pc2" localSheetId="28">#REF!</definedName>
    <definedName name="____________________________pc2">#REF!</definedName>
    <definedName name="____________________________pv2" localSheetId="5">#REF!</definedName>
    <definedName name="____________________________pv2" localSheetId="8">#REF!</definedName>
    <definedName name="____________________________pv2" localSheetId="10">#REF!</definedName>
    <definedName name="____________________________pv2" localSheetId="11">#REF!</definedName>
    <definedName name="____________________________pv2" localSheetId="28">#REF!</definedName>
    <definedName name="____________________________pv2">#REF!</definedName>
    <definedName name="____________________________rr3">[5]v!$A$2:$E$51</definedName>
    <definedName name="____________________________rrr1">[5]r!$B$1:$I$145</definedName>
    <definedName name="____________________________sw1" localSheetId="28">#REF!</definedName>
    <definedName name="____________________________us1">#REF!</definedName>
    <definedName name="____________________________var1" localSheetId="5">#REF!</definedName>
    <definedName name="____________________________var1" localSheetId="8">#REF!</definedName>
    <definedName name="____________________________var1" localSheetId="10">#REF!</definedName>
    <definedName name="____________________________var1" localSheetId="11">#REF!</definedName>
    <definedName name="____________________________var1" localSheetId="28">#REF!</definedName>
    <definedName name="____________________________var1">#REF!</definedName>
    <definedName name="____________________________var4" localSheetId="5">#REF!</definedName>
    <definedName name="____________________________var4" localSheetId="8">#REF!</definedName>
    <definedName name="____________________________var4" localSheetId="10">#REF!</definedName>
    <definedName name="____________________________var4" localSheetId="11">#REF!</definedName>
    <definedName name="____________________________var4" localSheetId="28">#REF!</definedName>
    <definedName name="____________________________var4">#REF!</definedName>
    <definedName name="____________________________vat1">#REF!</definedName>
    <definedName name="____________________________vat2">#REF!</definedName>
    <definedName name="____________________________xlfn_BAHTTEXT">#N/A</definedName>
    <definedName name="___________________________abs1" localSheetId="8">#REF!</definedName>
    <definedName name="___________________________abs1" localSheetId="10">#REF!</definedName>
    <definedName name="___________________________abs1" localSheetId="28">#REF!</definedName>
    <definedName name="___________________________abs1">#REF!</definedName>
    <definedName name="___________________________AUX1">#REF!</definedName>
    <definedName name="___________________________aux2" localSheetId="28">#REF!</definedName>
    <definedName name="___________________________AUX3">#REF!</definedName>
    <definedName name="___________________________can430">40.73</definedName>
    <definedName name="___________________________can435">43.3</definedName>
    <definedName name="___________________________cbr1">#REF!</definedName>
    <definedName name="___________________________cbr2">#REF!</definedName>
    <definedName name="___________________________cbr3">#REF!</definedName>
    <definedName name="___________________________cbr4">#REF!</definedName>
    <definedName name="___________________________cur1">[6]r!$F$30</definedName>
    <definedName name="___________________________er1">#REF!</definedName>
    <definedName name="___________________________ewe1">#REF!</definedName>
    <definedName name="___________________________f1">#REF!</definedName>
    <definedName name="___________________________gus1">#REF!</definedName>
    <definedName name="___________________________hpm1">#REF!</definedName>
    <definedName name="___________________________knr2" localSheetId="28">#REF!</definedName>
    <definedName name="___________________________l12" localSheetId="8">#REF!</definedName>
    <definedName name="___________________________l12" localSheetId="10">#REF!</definedName>
    <definedName name="___________________________l12" localSheetId="28">#REF!</definedName>
    <definedName name="___________________________l12" localSheetId="42">#REF!</definedName>
    <definedName name="___________________________l12">#REF!</definedName>
    <definedName name="___________________________l2">[6]r!$F$29</definedName>
    <definedName name="___________________________l3" localSheetId="8">#REF!</definedName>
    <definedName name="___________________________l3" localSheetId="10">#REF!</definedName>
    <definedName name="___________________________l3" localSheetId="28">#REF!</definedName>
    <definedName name="___________________________l3" localSheetId="42">#REF!</definedName>
    <definedName name="___________________________l3">#REF!</definedName>
    <definedName name="___________________________l5" localSheetId="8">#REF!</definedName>
    <definedName name="___________________________l5" localSheetId="10">#REF!</definedName>
    <definedName name="___________________________l5" localSheetId="28">#REF!</definedName>
    <definedName name="___________________________l5" localSheetId="42">#REF!</definedName>
    <definedName name="___________________________l5">#REF!</definedName>
    <definedName name="___________________________l6">[6]r!$F$4</definedName>
    <definedName name="___________________________l7">[7]r!$F$4</definedName>
    <definedName name="___________________________l8">[6]r!$F$2</definedName>
    <definedName name="___________________________l9">[6]r!$F$3</definedName>
    <definedName name="___________________________lcn1">#REF!</definedName>
    <definedName name="___________________________lm1" localSheetId="28">#REF!</definedName>
    <definedName name="___________________________mm11">[6]r!$F$4</definedName>
    <definedName name="___________________________mm111">[7]r!$F$4</definedName>
    <definedName name="___________________________mm20">#REF!</definedName>
    <definedName name="___________________________mm40">#REF!</definedName>
    <definedName name="___________________________pc2" localSheetId="5">#REF!</definedName>
    <definedName name="___________________________pc2" localSheetId="8">#REF!</definedName>
    <definedName name="___________________________pc2" localSheetId="10">#REF!</definedName>
    <definedName name="___________________________pc2" localSheetId="11">#REF!</definedName>
    <definedName name="___________________________pc2" localSheetId="28">#REF!</definedName>
    <definedName name="___________________________pc2">#REF!</definedName>
    <definedName name="___________________________pv2" localSheetId="5">#REF!</definedName>
    <definedName name="___________________________pv2" localSheetId="8">#REF!</definedName>
    <definedName name="___________________________pv2" localSheetId="10">#REF!</definedName>
    <definedName name="___________________________pv2" localSheetId="11">#REF!</definedName>
    <definedName name="___________________________pv2" localSheetId="28">#REF!</definedName>
    <definedName name="___________________________pv2">#REF!</definedName>
    <definedName name="___________________________sw1" localSheetId="28">#REF!</definedName>
    <definedName name="___________________________us1">#REF!</definedName>
    <definedName name="___________________________var1" localSheetId="8">#REF!</definedName>
    <definedName name="___________________________var1" localSheetId="10">#REF!</definedName>
    <definedName name="___________________________var1" localSheetId="28">#REF!</definedName>
    <definedName name="___________________________var1" localSheetId="42">#REF!</definedName>
    <definedName name="___________________________var1">#REF!</definedName>
    <definedName name="___________________________var4" localSheetId="8">#REF!</definedName>
    <definedName name="___________________________var4" localSheetId="10">#REF!</definedName>
    <definedName name="___________________________var4" localSheetId="28">#REF!</definedName>
    <definedName name="___________________________var4" localSheetId="42">#REF!</definedName>
    <definedName name="___________________________var4">#REF!</definedName>
    <definedName name="___________________________vat1">#REF!</definedName>
    <definedName name="___________________________vat2">#REF!</definedName>
    <definedName name="___________________________xlfn_BAHTTEXT">#N/A</definedName>
    <definedName name="__________________________abs1" localSheetId="8">#REF!</definedName>
    <definedName name="__________________________abs1" localSheetId="10">#REF!</definedName>
    <definedName name="__________________________abs1" localSheetId="28">#REF!</definedName>
    <definedName name="__________________________abs1">#REF!</definedName>
    <definedName name="__________________________bla1">[1]leads!$H$7</definedName>
    <definedName name="__________________________can430">40.73</definedName>
    <definedName name="__________________________can435">43.3</definedName>
    <definedName name="__________________________cbr1">#REF!</definedName>
    <definedName name="__________________________cbr2">#REF!</definedName>
    <definedName name="__________________________cbr3">#REF!</definedName>
    <definedName name="__________________________cbr4">#REF!</definedName>
    <definedName name="__________________________cur1">[6]r!$F$30</definedName>
    <definedName name="__________________________er1">#REF!</definedName>
    <definedName name="__________________________ewe1">#REF!</definedName>
    <definedName name="__________________________f1">#REF!</definedName>
    <definedName name="__________________________knr2" localSheetId="28">#REF!</definedName>
    <definedName name="__________________________l1">[2]leads!$A$3:$E$108</definedName>
    <definedName name="__________________________l12" localSheetId="5">#REF!</definedName>
    <definedName name="__________________________l12" localSheetId="8">#REF!</definedName>
    <definedName name="__________________________l12" localSheetId="10">#REF!</definedName>
    <definedName name="__________________________l12" localSheetId="11">#REF!</definedName>
    <definedName name="__________________________l12" localSheetId="28">#REF!</definedName>
    <definedName name="__________________________l12">#REF!</definedName>
    <definedName name="__________________________l2">[6]r!$F$29</definedName>
    <definedName name="__________________________l3" localSheetId="5">#REF!</definedName>
    <definedName name="__________________________l3" localSheetId="8">#REF!</definedName>
    <definedName name="__________________________l3" localSheetId="10">#REF!</definedName>
    <definedName name="__________________________l3" localSheetId="11">#REF!</definedName>
    <definedName name="__________________________l3" localSheetId="28">#REF!</definedName>
    <definedName name="__________________________l3">#REF!</definedName>
    <definedName name="__________________________l4">[3]Sheet1!$W$2:$Y$103</definedName>
    <definedName name="__________________________l5" localSheetId="5">#REF!</definedName>
    <definedName name="__________________________l5" localSheetId="8">#REF!</definedName>
    <definedName name="__________________________l5" localSheetId="10">#REF!</definedName>
    <definedName name="__________________________l5" localSheetId="11">#REF!</definedName>
    <definedName name="__________________________l5" localSheetId="28">#REF!</definedName>
    <definedName name="__________________________l5">#REF!</definedName>
    <definedName name="__________________________l6">[6]r!$F$4</definedName>
    <definedName name="__________________________l7">[7]r!$F$4</definedName>
    <definedName name="__________________________l8">[6]r!$F$2</definedName>
    <definedName name="__________________________l9">[6]r!$F$3</definedName>
    <definedName name="__________________________mm1">[4]r!$F$4</definedName>
    <definedName name="__________________________mm11">[6]r!$F$4</definedName>
    <definedName name="__________________________mm111">[7]r!$F$4</definedName>
    <definedName name="__________________________mm20" localSheetId="28">#REF!</definedName>
    <definedName name="__________________________mm40">#REF!</definedName>
    <definedName name="__________________________pc2" localSheetId="5">#REF!</definedName>
    <definedName name="__________________________pc2" localSheetId="8">#REF!</definedName>
    <definedName name="__________________________pc2" localSheetId="10">#REF!</definedName>
    <definedName name="__________________________pc2" localSheetId="11">#REF!</definedName>
    <definedName name="__________________________pc2" localSheetId="28">#REF!</definedName>
    <definedName name="__________________________pc2">#REF!</definedName>
    <definedName name="__________________________pv2" localSheetId="5">#REF!</definedName>
    <definedName name="__________________________pv2" localSheetId="8">#REF!</definedName>
    <definedName name="__________________________pv2" localSheetId="10">#REF!</definedName>
    <definedName name="__________________________pv2" localSheetId="11">#REF!</definedName>
    <definedName name="__________________________pv2" localSheetId="28">#REF!</definedName>
    <definedName name="__________________________pv2">#REF!</definedName>
    <definedName name="__________________________rr3">[5]v!$A$2:$E$51</definedName>
    <definedName name="__________________________rrr1">[5]r!$B$1:$I$145</definedName>
    <definedName name="__________________________var1" localSheetId="5">#REF!</definedName>
    <definedName name="__________________________var1" localSheetId="8">#REF!</definedName>
    <definedName name="__________________________var1" localSheetId="10">#REF!</definedName>
    <definedName name="__________________________var1" localSheetId="11">#REF!</definedName>
    <definedName name="__________________________var1" localSheetId="28">#REF!</definedName>
    <definedName name="__________________________var1">#REF!</definedName>
    <definedName name="__________________________var4" localSheetId="5">#REF!</definedName>
    <definedName name="__________________________var4" localSheetId="8">#REF!</definedName>
    <definedName name="__________________________var4" localSheetId="10">#REF!</definedName>
    <definedName name="__________________________var4" localSheetId="11">#REF!</definedName>
    <definedName name="__________________________var4" localSheetId="28">#REF!</definedName>
    <definedName name="__________________________var4">#REF!</definedName>
    <definedName name="__________________________vat1">#REF!</definedName>
    <definedName name="__________________________vat2">#REF!</definedName>
    <definedName name="__________________________xlfn_BAHTTEXT">#N/A</definedName>
    <definedName name="_________________________abs1" localSheetId="8">#REF!</definedName>
    <definedName name="_________________________abs1" localSheetId="10">#REF!</definedName>
    <definedName name="_________________________abs1" localSheetId="28">#REF!</definedName>
    <definedName name="_________________________abs1">#REF!</definedName>
    <definedName name="_________________________AUX1" localSheetId="28">#REF!</definedName>
    <definedName name="_________________________aux2" localSheetId="28">#REF!</definedName>
    <definedName name="_________________________AUX3">#REF!</definedName>
    <definedName name="_________________________bla1">[1]leads!$H$7</definedName>
    <definedName name="_________________________can430">40.73</definedName>
    <definedName name="_________________________can435">43.3</definedName>
    <definedName name="_________________________cbr1">#REF!</definedName>
    <definedName name="_________________________cbr2">#REF!</definedName>
    <definedName name="_________________________cbr3">#REF!</definedName>
    <definedName name="_________________________cbr4">#REF!</definedName>
    <definedName name="_________________________cur1">[6]r!$F$30</definedName>
    <definedName name="_________________________er1">#REF!</definedName>
    <definedName name="_________________________ewe1">#REF!</definedName>
    <definedName name="_________________________f1">#REF!</definedName>
    <definedName name="_________________________gus1">#REF!</definedName>
    <definedName name="_________________________hpm1">#REF!</definedName>
    <definedName name="_________________________knr2" localSheetId="28">#REF!</definedName>
    <definedName name="_________________________l1">[2]leads!$A$3:$E$108</definedName>
    <definedName name="_________________________l12" localSheetId="5">#REF!</definedName>
    <definedName name="_________________________l12" localSheetId="8">#REF!</definedName>
    <definedName name="_________________________l12" localSheetId="10">#REF!</definedName>
    <definedName name="_________________________l12" localSheetId="11">#REF!</definedName>
    <definedName name="_________________________l12" localSheetId="28">#REF!</definedName>
    <definedName name="_________________________l12">#REF!</definedName>
    <definedName name="_________________________l2">[6]r!$F$29</definedName>
    <definedName name="_________________________l3" localSheetId="5">#REF!</definedName>
    <definedName name="_________________________l3" localSheetId="8">#REF!</definedName>
    <definedName name="_________________________l3" localSheetId="10">#REF!</definedName>
    <definedName name="_________________________l3" localSheetId="11">#REF!</definedName>
    <definedName name="_________________________l3" localSheetId="28">#REF!</definedName>
    <definedName name="_________________________l3">#REF!</definedName>
    <definedName name="_________________________l4">[3]Sheet1!$W$2:$Y$103</definedName>
    <definedName name="_________________________l5" localSheetId="5">#REF!</definedName>
    <definedName name="_________________________l5" localSheetId="8">#REF!</definedName>
    <definedName name="_________________________l5" localSheetId="10">#REF!</definedName>
    <definedName name="_________________________l5" localSheetId="11">#REF!</definedName>
    <definedName name="_________________________l5" localSheetId="28">#REF!</definedName>
    <definedName name="_________________________l5">#REF!</definedName>
    <definedName name="_________________________l6">[6]r!$F$4</definedName>
    <definedName name="_________________________l7">[7]r!$F$4</definedName>
    <definedName name="_________________________l8">[6]r!$F$2</definedName>
    <definedName name="_________________________l9">[6]r!$F$3</definedName>
    <definedName name="_________________________lcn1">#REF!</definedName>
    <definedName name="_________________________lm1" localSheetId="28">#REF!</definedName>
    <definedName name="_________________________mm1">[4]r!$F$4</definedName>
    <definedName name="_________________________mm11">[6]r!$F$4</definedName>
    <definedName name="_________________________mm111">[7]r!$F$4</definedName>
    <definedName name="_________________________mm20">#REF!</definedName>
    <definedName name="_________________________mm40">#REF!</definedName>
    <definedName name="_________________________pc2" localSheetId="5">#REF!</definedName>
    <definedName name="_________________________pc2" localSheetId="8">#REF!</definedName>
    <definedName name="_________________________pc2" localSheetId="10">#REF!</definedName>
    <definedName name="_________________________pc2" localSheetId="11">#REF!</definedName>
    <definedName name="_________________________pc2" localSheetId="28">#REF!</definedName>
    <definedName name="_________________________pc2">#REF!</definedName>
    <definedName name="_________________________pv2" localSheetId="5">#REF!</definedName>
    <definedName name="_________________________pv2" localSheetId="8">#REF!</definedName>
    <definedName name="_________________________pv2" localSheetId="10">#REF!</definedName>
    <definedName name="_________________________pv2" localSheetId="11">#REF!</definedName>
    <definedName name="_________________________pv2" localSheetId="28">#REF!</definedName>
    <definedName name="_________________________pv2">#REF!</definedName>
    <definedName name="_________________________rr3">[5]v!$A$2:$E$51</definedName>
    <definedName name="_________________________rrr1">[5]r!$B$1:$I$145</definedName>
    <definedName name="_________________________sw1" localSheetId="28">#REF!</definedName>
    <definedName name="_________________________us1">#REF!</definedName>
    <definedName name="_________________________var1" localSheetId="5">#REF!</definedName>
    <definedName name="_________________________var1" localSheetId="8">#REF!</definedName>
    <definedName name="_________________________var1" localSheetId="10">#REF!</definedName>
    <definedName name="_________________________var1" localSheetId="11">#REF!</definedName>
    <definedName name="_________________________var1" localSheetId="28">#REF!</definedName>
    <definedName name="_________________________var1">#REF!</definedName>
    <definedName name="_________________________var4" localSheetId="5">#REF!</definedName>
    <definedName name="_________________________var4" localSheetId="8">#REF!</definedName>
    <definedName name="_________________________var4" localSheetId="10">#REF!</definedName>
    <definedName name="_________________________var4" localSheetId="11">#REF!</definedName>
    <definedName name="_________________________var4" localSheetId="28">#REF!</definedName>
    <definedName name="_________________________var4">#REF!</definedName>
    <definedName name="_________________________vat1">#REF!</definedName>
    <definedName name="_________________________vat2">#REF!</definedName>
    <definedName name="_________________________xlfn_BAHTTEXT">#N/A</definedName>
    <definedName name="________________________abs1" localSheetId="8">#REF!</definedName>
    <definedName name="________________________abs1" localSheetId="10">#REF!</definedName>
    <definedName name="________________________abs1" localSheetId="28">#REF!</definedName>
    <definedName name="________________________abs1">#REF!</definedName>
    <definedName name="________________________AUX1">#REF!</definedName>
    <definedName name="________________________aux2" localSheetId="28">#REF!</definedName>
    <definedName name="________________________AUX3">#REF!</definedName>
    <definedName name="________________________bla1">[8]leads!$H$7</definedName>
    <definedName name="________________________can430">40.73</definedName>
    <definedName name="________________________can435">43.3</definedName>
    <definedName name="________________________cbr1">#REF!</definedName>
    <definedName name="________________________cbr2">#REF!</definedName>
    <definedName name="________________________cbr3">#REF!</definedName>
    <definedName name="________________________cbr4">#REF!</definedName>
    <definedName name="________________________cur1">[6]r!$F$30</definedName>
    <definedName name="________________________er1">#REF!</definedName>
    <definedName name="________________________ewe1">#REF!</definedName>
    <definedName name="________________________f1">#REF!</definedName>
    <definedName name="________________________gus1">#REF!</definedName>
    <definedName name="________________________hpm1">#REF!</definedName>
    <definedName name="________________________knr2" localSheetId="28">#REF!</definedName>
    <definedName name="________________________l1">[9]leads!$A$3:$E$108</definedName>
    <definedName name="________________________l12" localSheetId="5">#REF!</definedName>
    <definedName name="________________________l12" localSheetId="8">#REF!</definedName>
    <definedName name="________________________l12" localSheetId="10">#REF!</definedName>
    <definedName name="________________________l12" localSheetId="11">#REF!</definedName>
    <definedName name="________________________l12" localSheetId="28">#REF!</definedName>
    <definedName name="________________________l12">#REF!</definedName>
    <definedName name="________________________l2">[6]r!$F$29</definedName>
    <definedName name="________________________l3" localSheetId="5">#REF!</definedName>
    <definedName name="________________________l3" localSheetId="8">#REF!</definedName>
    <definedName name="________________________l3" localSheetId="10">#REF!</definedName>
    <definedName name="________________________l3" localSheetId="11">#REF!</definedName>
    <definedName name="________________________l3" localSheetId="28">#REF!</definedName>
    <definedName name="________________________l3">#REF!</definedName>
    <definedName name="________________________l4">[10]Sheet1!$W$2:$Y$103</definedName>
    <definedName name="________________________l5" localSheetId="5">#REF!</definedName>
    <definedName name="________________________l5" localSheetId="8">#REF!</definedName>
    <definedName name="________________________l5" localSheetId="10">#REF!</definedName>
    <definedName name="________________________l5" localSheetId="11">#REF!</definedName>
    <definedName name="________________________l5" localSheetId="28">#REF!</definedName>
    <definedName name="________________________l5">#REF!</definedName>
    <definedName name="________________________l6">[6]r!$F$4</definedName>
    <definedName name="________________________l7">[7]r!$F$4</definedName>
    <definedName name="________________________l8">[6]r!$F$2</definedName>
    <definedName name="________________________l9">[6]r!$F$3</definedName>
    <definedName name="________________________lcn1">#REF!</definedName>
    <definedName name="________________________lm1" localSheetId="28">#REF!</definedName>
    <definedName name="________________________mm1">[11]r!$F$4</definedName>
    <definedName name="________________________mm11">[6]r!$F$4</definedName>
    <definedName name="________________________mm111">[7]r!$F$4</definedName>
    <definedName name="________________________mm20" localSheetId="28">#REF!</definedName>
    <definedName name="________________________mm40">#REF!</definedName>
    <definedName name="________________________pc2" localSheetId="5">#REF!</definedName>
    <definedName name="________________________pc2" localSheetId="8">#REF!</definedName>
    <definedName name="________________________pc2" localSheetId="10">#REF!</definedName>
    <definedName name="________________________pc2" localSheetId="11">#REF!</definedName>
    <definedName name="________________________pc2" localSheetId="28">#REF!</definedName>
    <definedName name="________________________pc2">#REF!</definedName>
    <definedName name="________________________pv2" localSheetId="5">#REF!</definedName>
    <definedName name="________________________pv2" localSheetId="8">#REF!</definedName>
    <definedName name="________________________pv2" localSheetId="10">#REF!</definedName>
    <definedName name="________________________pv2" localSheetId="11">#REF!</definedName>
    <definedName name="________________________pv2" localSheetId="28">#REF!</definedName>
    <definedName name="________________________pv2">#REF!</definedName>
    <definedName name="________________________rr3">[12]v!$A$2:$E$51</definedName>
    <definedName name="________________________rrr1">[12]r!$B$1:$I$145</definedName>
    <definedName name="________________________ss12">[13]rdamdata!$J$8</definedName>
    <definedName name="________________________ss20">[13]rdamdata!$J$7</definedName>
    <definedName name="________________________ss40">[13]rdamdata!$J$6</definedName>
    <definedName name="________________________sw1" localSheetId="28">#REF!</definedName>
    <definedName name="________________________us1">#REF!</definedName>
    <definedName name="________________________var1" localSheetId="5">#REF!</definedName>
    <definedName name="________________________var1" localSheetId="8">#REF!</definedName>
    <definedName name="________________________var1" localSheetId="10">#REF!</definedName>
    <definedName name="________________________var1" localSheetId="11">#REF!</definedName>
    <definedName name="________________________var1" localSheetId="28">#REF!</definedName>
    <definedName name="________________________var1">#REF!</definedName>
    <definedName name="________________________var4" localSheetId="5">#REF!</definedName>
    <definedName name="________________________var4" localSheetId="8">#REF!</definedName>
    <definedName name="________________________var4" localSheetId="10">#REF!</definedName>
    <definedName name="________________________var4" localSheetId="11">#REF!</definedName>
    <definedName name="________________________var4" localSheetId="28">#REF!</definedName>
    <definedName name="________________________var4">#REF!</definedName>
    <definedName name="________________________vat1">#REF!</definedName>
    <definedName name="________________________vat2">#REF!</definedName>
    <definedName name="________________________xlfn_BAHTTEXT">#N/A</definedName>
    <definedName name="_______________________abs1" localSheetId="8">#REF!</definedName>
    <definedName name="_______________________abs1" localSheetId="10">#REF!</definedName>
    <definedName name="_______________________abs1" localSheetId="28">#REF!</definedName>
    <definedName name="_______________________abs1">#REF!</definedName>
    <definedName name="_______________________AUX1">#REF!</definedName>
    <definedName name="_______________________aux2" localSheetId="28">#REF!</definedName>
    <definedName name="_______________________AUX3">#REF!</definedName>
    <definedName name="_______________________bla1">[14]leads!$H$7</definedName>
    <definedName name="_______________________can430">40.73</definedName>
    <definedName name="_______________________can435">43.3</definedName>
    <definedName name="_______________________cbr1">#REF!</definedName>
    <definedName name="_______________________cbr2">#REF!</definedName>
    <definedName name="_______________________cbr3">#REF!</definedName>
    <definedName name="_______________________cbr4">#REF!</definedName>
    <definedName name="_______________________cur1">[6]r!$F$30</definedName>
    <definedName name="_______________________er1">#REF!</definedName>
    <definedName name="_______________________ewe1">#REF!</definedName>
    <definedName name="_______________________f1">#REF!</definedName>
    <definedName name="_______________________gus1">#REF!</definedName>
    <definedName name="_______________________hpm1">#REF!</definedName>
    <definedName name="_______________________knr2" localSheetId="28">#REF!</definedName>
    <definedName name="_______________________l1">[15]leads!$A$3:$E$108</definedName>
    <definedName name="_______________________l12" localSheetId="5">#REF!</definedName>
    <definedName name="_______________________l12" localSheetId="8">#REF!</definedName>
    <definedName name="_______________________l12" localSheetId="10">#REF!</definedName>
    <definedName name="_______________________l12" localSheetId="11">#REF!</definedName>
    <definedName name="_______________________l12" localSheetId="37">#REF!</definedName>
    <definedName name="_______________________l12" localSheetId="28">#REF!</definedName>
    <definedName name="_______________________l12">#REF!</definedName>
    <definedName name="_______________________l2">[6]r!$F$29</definedName>
    <definedName name="_______________________l3" localSheetId="5">#REF!</definedName>
    <definedName name="_______________________l3" localSheetId="8">#REF!</definedName>
    <definedName name="_______________________l3" localSheetId="10">#REF!</definedName>
    <definedName name="_______________________l3" localSheetId="11">#REF!</definedName>
    <definedName name="_______________________l3" localSheetId="37">#REF!</definedName>
    <definedName name="_______________________l3" localSheetId="28">#REF!</definedName>
    <definedName name="_______________________l3">#REF!</definedName>
    <definedName name="_______________________l4">[16]Sheet1!$W$2:$Y$103</definedName>
    <definedName name="_______________________l5" localSheetId="5">#REF!</definedName>
    <definedName name="_______________________l5" localSheetId="8">#REF!</definedName>
    <definedName name="_______________________l5" localSheetId="10">#REF!</definedName>
    <definedName name="_______________________l5" localSheetId="11">#REF!</definedName>
    <definedName name="_______________________l5" localSheetId="37">#REF!</definedName>
    <definedName name="_______________________l5" localSheetId="28">#REF!</definedName>
    <definedName name="_______________________l5">#REF!</definedName>
    <definedName name="_______________________l6">[6]r!$F$4</definedName>
    <definedName name="_______________________l7">[7]r!$F$4</definedName>
    <definedName name="_______________________l8">[6]r!$F$2</definedName>
    <definedName name="_______________________l9">[6]r!$F$3</definedName>
    <definedName name="_______________________lcn1">#REF!</definedName>
    <definedName name="_______________________lm1" localSheetId="28">#REF!</definedName>
    <definedName name="_______________________mm1">[17]r!$F$4</definedName>
    <definedName name="_______________________mm11">[6]r!$F$4</definedName>
    <definedName name="_______________________mm111">[7]r!$F$4</definedName>
    <definedName name="_______________________mm20" localSheetId="28">#REF!</definedName>
    <definedName name="_______________________mm40">#REF!</definedName>
    <definedName name="_______________________pc2" localSheetId="5">#REF!</definedName>
    <definedName name="_______________________pc2" localSheetId="8">#REF!</definedName>
    <definedName name="_______________________pc2" localSheetId="10">#REF!</definedName>
    <definedName name="_______________________pc2" localSheetId="11">#REF!</definedName>
    <definedName name="_______________________pc2" localSheetId="37">#REF!</definedName>
    <definedName name="_______________________pc2" localSheetId="28">#REF!</definedName>
    <definedName name="_______________________pc2">#REF!</definedName>
    <definedName name="_______________________pv2" localSheetId="5">#REF!</definedName>
    <definedName name="_______________________pv2" localSheetId="8">#REF!</definedName>
    <definedName name="_______________________pv2" localSheetId="10">#REF!</definedName>
    <definedName name="_______________________pv2" localSheetId="11">#REF!</definedName>
    <definedName name="_______________________pv2" localSheetId="28">#REF!</definedName>
    <definedName name="_______________________pv2">#REF!</definedName>
    <definedName name="_______________________rr3">[18]v!$A$2:$E$51</definedName>
    <definedName name="_______________________rrr1">[18]r!$B$1:$I$145</definedName>
    <definedName name="_______________________sw1" localSheetId="28">#REF!</definedName>
    <definedName name="_______________________us1">#REF!</definedName>
    <definedName name="_______________________var1" localSheetId="5">#REF!</definedName>
    <definedName name="_______________________var1" localSheetId="8">#REF!</definedName>
    <definedName name="_______________________var1" localSheetId="10">#REF!</definedName>
    <definedName name="_______________________var1" localSheetId="11">#REF!</definedName>
    <definedName name="_______________________var1" localSheetId="37">#REF!</definedName>
    <definedName name="_______________________var1" localSheetId="28">#REF!</definedName>
    <definedName name="_______________________var1">#REF!</definedName>
    <definedName name="_______________________var4" localSheetId="5">#REF!</definedName>
    <definedName name="_______________________var4" localSheetId="8">#REF!</definedName>
    <definedName name="_______________________var4" localSheetId="10">#REF!</definedName>
    <definedName name="_______________________var4" localSheetId="11">#REF!</definedName>
    <definedName name="_______________________var4" localSheetId="28">#REF!</definedName>
    <definedName name="_______________________var4">#REF!</definedName>
    <definedName name="_______________________vat1">#REF!</definedName>
    <definedName name="_______________________vat2">#REF!</definedName>
    <definedName name="_______________________xlfn_BAHTTEXT">#N/A</definedName>
    <definedName name="______________________abs1" localSheetId="8">#REF!</definedName>
    <definedName name="______________________abs1" localSheetId="10">#REF!</definedName>
    <definedName name="______________________abs1" localSheetId="28">#REF!</definedName>
    <definedName name="______________________abs1">#REF!</definedName>
    <definedName name="______________________AUX1">#REF!</definedName>
    <definedName name="______________________aux2" localSheetId="28">#REF!</definedName>
    <definedName name="______________________AUX3">#REF!</definedName>
    <definedName name="______________________bla1">[8]leads!$H$7</definedName>
    <definedName name="______________________can430">40.73</definedName>
    <definedName name="______________________can435">43.3</definedName>
    <definedName name="______________________cbr1">#REF!</definedName>
    <definedName name="______________________cbr2">#REF!</definedName>
    <definedName name="______________________cbr3">#REF!</definedName>
    <definedName name="______________________cbr4">#REF!</definedName>
    <definedName name="______________________cur1">[6]r!$F$30</definedName>
    <definedName name="______________________er1">#REF!</definedName>
    <definedName name="______________________ewe1">#REF!</definedName>
    <definedName name="______________________f1">#REF!</definedName>
    <definedName name="______________________gus1">#REF!</definedName>
    <definedName name="______________________hpm1">#REF!</definedName>
    <definedName name="______________________knr2" localSheetId="28">#REF!</definedName>
    <definedName name="______________________l1">[9]leads!$A$3:$E$108</definedName>
    <definedName name="______________________l12" localSheetId="5">#REF!</definedName>
    <definedName name="______________________l12" localSheetId="8">#REF!</definedName>
    <definedName name="______________________l12" localSheetId="10">#REF!</definedName>
    <definedName name="______________________l12" localSheetId="11">#REF!</definedName>
    <definedName name="______________________l12" localSheetId="28">#REF!</definedName>
    <definedName name="______________________l12">#REF!</definedName>
    <definedName name="______________________l2">[6]r!$F$29</definedName>
    <definedName name="______________________l3" localSheetId="5">#REF!</definedName>
    <definedName name="______________________l3" localSheetId="8">#REF!</definedName>
    <definedName name="______________________l3" localSheetId="10">#REF!</definedName>
    <definedName name="______________________l3" localSheetId="11">#REF!</definedName>
    <definedName name="______________________l3" localSheetId="28">#REF!</definedName>
    <definedName name="______________________l3">#REF!</definedName>
    <definedName name="______________________l4">[10]Sheet1!$W$2:$Y$103</definedName>
    <definedName name="______________________l5" localSheetId="5">#REF!</definedName>
    <definedName name="______________________l5" localSheetId="8">#REF!</definedName>
    <definedName name="______________________l5" localSheetId="10">#REF!</definedName>
    <definedName name="______________________l5" localSheetId="11">#REF!</definedName>
    <definedName name="______________________l5" localSheetId="28">#REF!</definedName>
    <definedName name="______________________l5">#REF!</definedName>
    <definedName name="______________________l6">[6]r!$F$4</definedName>
    <definedName name="______________________l7">[7]r!$F$4</definedName>
    <definedName name="______________________l8">[6]r!$F$2</definedName>
    <definedName name="______________________l9">[6]r!$F$3</definedName>
    <definedName name="______________________lcn1">#REF!</definedName>
    <definedName name="______________________lm1" localSheetId="28">#REF!</definedName>
    <definedName name="______________________mm1">[11]r!$F$4</definedName>
    <definedName name="______________________mm11">[6]r!$F$4</definedName>
    <definedName name="______________________mm111">[7]r!$F$4</definedName>
    <definedName name="______________________mm20" localSheetId="28">#REF!</definedName>
    <definedName name="______________________mm40">#REF!</definedName>
    <definedName name="______________________pc2" localSheetId="5">#REF!</definedName>
    <definedName name="______________________pc2" localSheetId="8">#REF!</definedName>
    <definedName name="______________________pc2" localSheetId="10">#REF!</definedName>
    <definedName name="______________________pc2" localSheetId="11">#REF!</definedName>
    <definedName name="______________________pc2" localSheetId="28">#REF!</definedName>
    <definedName name="______________________pc2">#REF!</definedName>
    <definedName name="______________________pv2" localSheetId="5">#REF!</definedName>
    <definedName name="______________________pv2" localSheetId="8">#REF!</definedName>
    <definedName name="______________________pv2" localSheetId="10">#REF!</definedName>
    <definedName name="______________________pv2" localSheetId="11">#REF!</definedName>
    <definedName name="______________________pv2" localSheetId="28">#REF!</definedName>
    <definedName name="______________________pv2">#REF!</definedName>
    <definedName name="______________________rr3">[12]v!$A$2:$E$51</definedName>
    <definedName name="______________________rrr1">[12]r!$B$1:$I$145</definedName>
    <definedName name="______________________ss12">[13]rdamdata!$J$8</definedName>
    <definedName name="______________________ss20">[13]rdamdata!$J$7</definedName>
    <definedName name="______________________ss40">[13]rdamdata!$J$6</definedName>
    <definedName name="______________________sw1" localSheetId="28">#REF!</definedName>
    <definedName name="______________________us1">#REF!</definedName>
    <definedName name="______________________var1" localSheetId="5">#REF!</definedName>
    <definedName name="______________________var1" localSheetId="8">#REF!</definedName>
    <definedName name="______________________var1" localSheetId="10">#REF!</definedName>
    <definedName name="______________________var1" localSheetId="11">#REF!</definedName>
    <definedName name="______________________var1" localSheetId="28">#REF!</definedName>
    <definedName name="______________________var1">#REF!</definedName>
    <definedName name="______________________var4" localSheetId="5">#REF!</definedName>
    <definedName name="______________________var4" localSheetId="8">#REF!</definedName>
    <definedName name="______________________var4" localSheetId="10">#REF!</definedName>
    <definedName name="______________________var4" localSheetId="11">#REF!</definedName>
    <definedName name="______________________var4" localSheetId="28">#REF!</definedName>
    <definedName name="______________________var4">#REF!</definedName>
    <definedName name="______________________vat1">#REF!</definedName>
    <definedName name="______________________vat2">#REF!</definedName>
    <definedName name="______________________xlfn_BAHTTEXT">#N/A</definedName>
    <definedName name="_____________________abs1" localSheetId="8">#REF!</definedName>
    <definedName name="_____________________abs1" localSheetId="10">#REF!</definedName>
    <definedName name="_____________________abs1" localSheetId="28">#REF!</definedName>
    <definedName name="_____________________abs1">#REF!</definedName>
    <definedName name="_____________________AUX1">#REF!</definedName>
    <definedName name="_____________________aux2" localSheetId="28">#REF!</definedName>
    <definedName name="_____________________AUX3">#REF!</definedName>
    <definedName name="_____________________bla1">[8]leads!$H$7</definedName>
    <definedName name="_____________________can430">40.73</definedName>
    <definedName name="_____________________can435">43.3</definedName>
    <definedName name="_____________________cbr1">#REF!</definedName>
    <definedName name="_____________________cbr2">#REF!</definedName>
    <definedName name="_____________________cbr3">#REF!</definedName>
    <definedName name="_____________________cbr4">#REF!</definedName>
    <definedName name="_____________________cur1">[6]r!$F$30</definedName>
    <definedName name="_____________________er1">#REF!</definedName>
    <definedName name="_____________________ewe1">#REF!</definedName>
    <definedName name="_____________________f1">#REF!</definedName>
    <definedName name="_____________________gus1">#REF!</definedName>
    <definedName name="_____________________hpm1">#REF!</definedName>
    <definedName name="_____________________knr2" localSheetId="28">#REF!</definedName>
    <definedName name="_____________________l1">[9]leads!$A$3:$E$108</definedName>
    <definedName name="_____________________l12" localSheetId="5">#REF!</definedName>
    <definedName name="_____________________l12" localSheetId="8">#REF!</definedName>
    <definedName name="_____________________l12" localSheetId="10">#REF!</definedName>
    <definedName name="_____________________l12" localSheetId="11">#REF!</definedName>
    <definedName name="_____________________l12" localSheetId="28">#REF!</definedName>
    <definedName name="_____________________l12">#REF!</definedName>
    <definedName name="_____________________l2">[6]r!$F$29</definedName>
    <definedName name="_____________________l3" localSheetId="5">#REF!</definedName>
    <definedName name="_____________________l3" localSheetId="8">#REF!</definedName>
    <definedName name="_____________________l3" localSheetId="10">#REF!</definedName>
    <definedName name="_____________________l3" localSheetId="11">#REF!</definedName>
    <definedName name="_____________________l3" localSheetId="28">#REF!</definedName>
    <definedName name="_____________________l3">#REF!</definedName>
    <definedName name="_____________________l4">[10]Sheet1!$W$2:$Y$103</definedName>
    <definedName name="_____________________l5" localSheetId="5">#REF!</definedName>
    <definedName name="_____________________l5" localSheetId="8">#REF!</definedName>
    <definedName name="_____________________l5" localSheetId="10">#REF!</definedName>
    <definedName name="_____________________l5" localSheetId="11">#REF!</definedName>
    <definedName name="_____________________l5" localSheetId="28">#REF!</definedName>
    <definedName name="_____________________l5">#REF!</definedName>
    <definedName name="_____________________l6">[6]r!$F$4</definedName>
    <definedName name="_____________________l7">[7]r!$F$4</definedName>
    <definedName name="_____________________l8">[6]r!$F$2</definedName>
    <definedName name="_____________________l9">[6]r!$F$3</definedName>
    <definedName name="_____________________lcn1">#REF!</definedName>
    <definedName name="_____________________lm1" localSheetId="28">#REF!</definedName>
    <definedName name="_____________________mm1">[11]r!$F$4</definedName>
    <definedName name="_____________________mm11">[6]r!$F$4</definedName>
    <definedName name="_____________________mm111">[7]r!$F$4</definedName>
    <definedName name="_____________________mm20" localSheetId="28">#REF!</definedName>
    <definedName name="_____________________mm40">#REF!</definedName>
    <definedName name="_____________________pc2" localSheetId="5">#REF!</definedName>
    <definedName name="_____________________pc2" localSheetId="8">#REF!</definedName>
    <definedName name="_____________________pc2" localSheetId="10">#REF!</definedName>
    <definedName name="_____________________pc2" localSheetId="11">#REF!</definedName>
    <definedName name="_____________________pc2" localSheetId="28">#REF!</definedName>
    <definedName name="_____________________pc2">#REF!</definedName>
    <definedName name="_____________________pv2" localSheetId="5">#REF!</definedName>
    <definedName name="_____________________pv2" localSheetId="8">#REF!</definedName>
    <definedName name="_____________________pv2" localSheetId="10">#REF!</definedName>
    <definedName name="_____________________pv2" localSheetId="11">#REF!</definedName>
    <definedName name="_____________________pv2" localSheetId="28">#REF!</definedName>
    <definedName name="_____________________pv2">#REF!</definedName>
    <definedName name="_____________________rr3">[12]v!$A$2:$E$51</definedName>
    <definedName name="_____________________rrr1">[12]r!$B$1:$I$145</definedName>
    <definedName name="_____________________ss12">[13]rdamdata!$J$8</definedName>
    <definedName name="_____________________ss20">[13]rdamdata!$J$7</definedName>
    <definedName name="_____________________ss40">[13]rdamdata!$J$6</definedName>
    <definedName name="_____________________sw1" localSheetId="28">#REF!</definedName>
    <definedName name="_____________________us1">#REF!</definedName>
    <definedName name="_____________________var1" localSheetId="5">#REF!</definedName>
    <definedName name="_____________________var1" localSheetId="8">#REF!</definedName>
    <definedName name="_____________________var1" localSheetId="10">#REF!</definedName>
    <definedName name="_____________________var1" localSheetId="11">#REF!</definedName>
    <definedName name="_____________________var1" localSheetId="28">#REF!</definedName>
    <definedName name="_____________________var1">#REF!</definedName>
    <definedName name="_____________________var4" localSheetId="5">#REF!</definedName>
    <definedName name="_____________________var4" localSheetId="8">#REF!</definedName>
    <definedName name="_____________________var4" localSheetId="10">#REF!</definedName>
    <definedName name="_____________________var4" localSheetId="11">#REF!</definedName>
    <definedName name="_____________________var4" localSheetId="28">#REF!</definedName>
    <definedName name="_____________________var4">#REF!</definedName>
    <definedName name="_____________________vat1">#REF!</definedName>
    <definedName name="_____________________vat2">#REF!</definedName>
    <definedName name="_____________________xlfn_BAHTTEXT">#N/A</definedName>
    <definedName name="____________________abs1" localSheetId="8">#REF!</definedName>
    <definedName name="____________________abs1" localSheetId="10">#REF!</definedName>
    <definedName name="____________________abs1" localSheetId="28">#REF!</definedName>
    <definedName name="____________________abs1">#REF!</definedName>
    <definedName name="____________________AUX1" localSheetId="28">#REF!</definedName>
    <definedName name="____________________aux2" localSheetId="28">#REF!</definedName>
    <definedName name="____________________AUX3">#REF!</definedName>
    <definedName name="____________________bla1">[8]leads!$H$7</definedName>
    <definedName name="____________________can430">40.73</definedName>
    <definedName name="____________________can435">43.3</definedName>
    <definedName name="____________________cbr1">#REF!</definedName>
    <definedName name="____________________cbr2">#REF!</definedName>
    <definedName name="____________________cbr3">#REF!</definedName>
    <definedName name="____________________cbr4">#REF!</definedName>
    <definedName name="____________________cur1">[6]r!$F$30</definedName>
    <definedName name="____________________er1">#REF!</definedName>
    <definedName name="____________________ewe1">#REF!</definedName>
    <definedName name="____________________f1">#REF!</definedName>
    <definedName name="____________________gus1">#REF!</definedName>
    <definedName name="____________________hpm1">#REF!</definedName>
    <definedName name="____________________knr2" localSheetId="28">#REF!</definedName>
    <definedName name="____________________l1">[9]leads!$A$3:$E$108</definedName>
    <definedName name="____________________l12" localSheetId="5">#REF!</definedName>
    <definedName name="____________________l12" localSheetId="8">#REF!</definedName>
    <definedName name="____________________l12" localSheetId="10">#REF!</definedName>
    <definedName name="____________________l12" localSheetId="11">#REF!</definedName>
    <definedName name="____________________l12" localSheetId="28">#REF!</definedName>
    <definedName name="____________________l12">#REF!</definedName>
    <definedName name="____________________l2">[6]r!$F$29</definedName>
    <definedName name="____________________l3" localSheetId="5">#REF!</definedName>
    <definedName name="____________________l3" localSheetId="8">#REF!</definedName>
    <definedName name="____________________l3" localSheetId="10">#REF!</definedName>
    <definedName name="____________________l3" localSheetId="11">#REF!</definedName>
    <definedName name="____________________l3" localSheetId="28">#REF!</definedName>
    <definedName name="____________________l3">#REF!</definedName>
    <definedName name="____________________l4">[10]Sheet1!$W$2:$Y$103</definedName>
    <definedName name="____________________l5" localSheetId="5">#REF!</definedName>
    <definedName name="____________________l5" localSheetId="8">#REF!</definedName>
    <definedName name="____________________l5" localSheetId="10">#REF!</definedName>
    <definedName name="____________________l5" localSheetId="11">#REF!</definedName>
    <definedName name="____________________l5" localSheetId="28">#REF!</definedName>
    <definedName name="____________________l5">#REF!</definedName>
    <definedName name="____________________l6">[6]r!$F$4</definedName>
    <definedName name="____________________l7">[7]r!$F$4</definedName>
    <definedName name="____________________l8">[6]r!$F$2</definedName>
    <definedName name="____________________l9">[6]r!$F$3</definedName>
    <definedName name="____________________lcn1">#REF!</definedName>
    <definedName name="____________________lm1" localSheetId="28">#REF!</definedName>
    <definedName name="____________________mm1">[11]r!$F$4</definedName>
    <definedName name="____________________mm11">[6]r!$F$4</definedName>
    <definedName name="____________________mm111">[7]r!$F$4</definedName>
    <definedName name="____________________mm20" localSheetId="28">#REF!</definedName>
    <definedName name="____________________mm40">#REF!</definedName>
    <definedName name="____________________pc2" localSheetId="5">#REF!</definedName>
    <definedName name="____________________pc2" localSheetId="8">#REF!</definedName>
    <definedName name="____________________pc2" localSheetId="10">#REF!</definedName>
    <definedName name="____________________pc2" localSheetId="11">#REF!</definedName>
    <definedName name="____________________pc2" localSheetId="28">#REF!</definedName>
    <definedName name="____________________pc2">#REF!</definedName>
    <definedName name="____________________pv2" localSheetId="5">#REF!</definedName>
    <definedName name="____________________pv2" localSheetId="8">#REF!</definedName>
    <definedName name="____________________pv2" localSheetId="10">#REF!</definedName>
    <definedName name="____________________pv2" localSheetId="11">#REF!</definedName>
    <definedName name="____________________pv2" localSheetId="28">#REF!</definedName>
    <definedName name="____________________pv2">#REF!</definedName>
    <definedName name="____________________rr3">[12]v!$A$2:$E$51</definedName>
    <definedName name="____________________rrr1">[12]r!$B$1:$I$145</definedName>
    <definedName name="____________________ss12">[13]rdamdata!$J$8</definedName>
    <definedName name="____________________ss20">[13]rdamdata!$J$7</definedName>
    <definedName name="____________________ss40">[13]rdamdata!$J$6</definedName>
    <definedName name="____________________sw1" localSheetId="28">#REF!</definedName>
    <definedName name="____________________us1">#REF!</definedName>
    <definedName name="____________________var1" localSheetId="5">#REF!</definedName>
    <definedName name="____________________var1" localSheetId="8">#REF!</definedName>
    <definedName name="____________________var1" localSheetId="10">#REF!</definedName>
    <definedName name="____________________var1" localSheetId="11">#REF!</definedName>
    <definedName name="____________________var1" localSheetId="28">#REF!</definedName>
    <definedName name="____________________var1">#REF!</definedName>
    <definedName name="____________________var4" localSheetId="5">#REF!</definedName>
    <definedName name="____________________var4" localSheetId="8">#REF!</definedName>
    <definedName name="____________________var4" localSheetId="10">#REF!</definedName>
    <definedName name="____________________var4" localSheetId="11">#REF!</definedName>
    <definedName name="____________________var4" localSheetId="28">#REF!</definedName>
    <definedName name="____________________var4">#REF!</definedName>
    <definedName name="____________________vat1">#REF!</definedName>
    <definedName name="____________________vat2">#REF!</definedName>
    <definedName name="____________________xlfn_BAHTTEXT">#N/A</definedName>
    <definedName name="___________________abs1" localSheetId="8">#REF!</definedName>
    <definedName name="___________________abs1" localSheetId="10">#REF!</definedName>
    <definedName name="___________________abs1" localSheetId="28">#REF!</definedName>
    <definedName name="___________________abs1">#REF!</definedName>
    <definedName name="___________________AUX1" localSheetId="28">#REF!</definedName>
    <definedName name="___________________aux2" localSheetId="28">#REF!</definedName>
    <definedName name="___________________AUX3">#REF!</definedName>
    <definedName name="___________________bla1">[8]leads!$H$7</definedName>
    <definedName name="___________________can430">40.73</definedName>
    <definedName name="___________________can435">43.3</definedName>
    <definedName name="___________________cbr1">#REF!</definedName>
    <definedName name="___________________cbr2">#REF!</definedName>
    <definedName name="___________________cbr3">#REF!</definedName>
    <definedName name="___________________cbr4">#REF!</definedName>
    <definedName name="___________________cur1">[6]r!$F$30</definedName>
    <definedName name="___________________er1">#REF!</definedName>
    <definedName name="___________________ewe1">#REF!</definedName>
    <definedName name="___________________f1">#REF!</definedName>
    <definedName name="___________________gus1">#REF!</definedName>
    <definedName name="___________________hpm1">#REF!</definedName>
    <definedName name="___________________knr2" localSheetId="8">#REF!</definedName>
    <definedName name="___________________knr2" localSheetId="10">#REF!</definedName>
    <definedName name="___________________knr2" localSheetId="28">#REF!</definedName>
    <definedName name="___________________knr2">#REF!</definedName>
    <definedName name="___________________l1">[9]leads!$A$3:$E$108</definedName>
    <definedName name="___________________l12" localSheetId="5">#REF!</definedName>
    <definedName name="___________________l12" localSheetId="8">#REF!</definedName>
    <definedName name="___________________l12" localSheetId="10">#REF!</definedName>
    <definedName name="___________________l12" localSheetId="11">#REF!</definedName>
    <definedName name="___________________l12" localSheetId="28">#REF!</definedName>
    <definedName name="___________________l12">#REF!</definedName>
    <definedName name="___________________l2">[6]r!$F$29</definedName>
    <definedName name="___________________l3" localSheetId="5">#REF!</definedName>
    <definedName name="___________________l3" localSheetId="8">#REF!</definedName>
    <definedName name="___________________l3" localSheetId="10">#REF!</definedName>
    <definedName name="___________________l3" localSheetId="11">#REF!</definedName>
    <definedName name="___________________l3" localSheetId="28">#REF!</definedName>
    <definedName name="___________________l3">#REF!</definedName>
    <definedName name="___________________l4">[10]Sheet1!$W$2:$Y$103</definedName>
    <definedName name="___________________l5" localSheetId="5">#REF!</definedName>
    <definedName name="___________________l5" localSheetId="8">#REF!</definedName>
    <definedName name="___________________l5" localSheetId="10">#REF!</definedName>
    <definedName name="___________________l5" localSheetId="11">#REF!</definedName>
    <definedName name="___________________l5" localSheetId="28">#REF!</definedName>
    <definedName name="___________________l5">#REF!</definedName>
    <definedName name="___________________l6">[6]r!$F$4</definedName>
    <definedName name="___________________l7">[7]r!$F$4</definedName>
    <definedName name="___________________l8">[6]r!$F$2</definedName>
    <definedName name="___________________l9">[6]r!$F$3</definedName>
    <definedName name="___________________lcn1">#REF!</definedName>
    <definedName name="___________________lm1" localSheetId="28">#REF!</definedName>
    <definedName name="___________________mm1">[11]r!$F$4</definedName>
    <definedName name="___________________mm11">[6]r!$F$4</definedName>
    <definedName name="___________________mm111">[7]r!$F$4</definedName>
    <definedName name="___________________mm20" localSheetId="28">#REF!</definedName>
    <definedName name="___________________mm40">#REF!</definedName>
    <definedName name="___________________pc2" localSheetId="5">#REF!</definedName>
    <definedName name="___________________pc2" localSheetId="8">#REF!</definedName>
    <definedName name="___________________pc2" localSheetId="10">#REF!</definedName>
    <definedName name="___________________pc2" localSheetId="11">#REF!</definedName>
    <definedName name="___________________pc2" localSheetId="28">#REF!</definedName>
    <definedName name="___________________pc2">#REF!</definedName>
    <definedName name="___________________pv2" localSheetId="5">#REF!</definedName>
    <definedName name="___________________pv2" localSheetId="8">#REF!</definedName>
    <definedName name="___________________pv2" localSheetId="10">#REF!</definedName>
    <definedName name="___________________pv2" localSheetId="11">#REF!</definedName>
    <definedName name="___________________pv2" localSheetId="28">#REF!</definedName>
    <definedName name="___________________pv2">#REF!</definedName>
    <definedName name="___________________rr3">[12]v!$A$2:$E$51</definedName>
    <definedName name="___________________rrr1">[12]r!$B$1:$I$145</definedName>
    <definedName name="___________________ss12">[13]rdamdata!$J$8</definedName>
    <definedName name="___________________ss20">[13]rdamdata!$J$7</definedName>
    <definedName name="___________________ss40">[13]rdamdata!$J$6</definedName>
    <definedName name="___________________sw1" localSheetId="28">#REF!</definedName>
    <definedName name="___________________us1">#REF!</definedName>
    <definedName name="___________________var1" localSheetId="5">#REF!</definedName>
    <definedName name="___________________var1" localSheetId="8">#REF!</definedName>
    <definedName name="___________________var1" localSheetId="10">#REF!</definedName>
    <definedName name="___________________var1" localSheetId="11">#REF!</definedName>
    <definedName name="___________________var1" localSheetId="28">#REF!</definedName>
    <definedName name="___________________var1">#REF!</definedName>
    <definedName name="___________________var4" localSheetId="5">#REF!</definedName>
    <definedName name="___________________var4" localSheetId="8">#REF!</definedName>
    <definedName name="___________________var4" localSheetId="10">#REF!</definedName>
    <definedName name="___________________var4" localSheetId="11">#REF!</definedName>
    <definedName name="___________________var4" localSheetId="28">#REF!</definedName>
    <definedName name="___________________var4">#REF!</definedName>
    <definedName name="___________________vat1">#REF!</definedName>
    <definedName name="___________________vat2">#REF!</definedName>
    <definedName name="___________________xlfn_BAHTTEXT">#N/A</definedName>
    <definedName name="__________________abs1" localSheetId="8">#REF!</definedName>
    <definedName name="__________________abs1" localSheetId="10">#REF!</definedName>
    <definedName name="__________________abs1" localSheetId="28">#REF!</definedName>
    <definedName name="__________________abs1">#REF!</definedName>
    <definedName name="__________________AUX1" localSheetId="28">#REF!</definedName>
    <definedName name="__________________aux2" localSheetId="28">#REF!</definedName>
    <definedName name="__________________AUX3">#REF!</definedName>
    <definedName name="__________________bla1">[8]leads!$H$7</definedName>
    <definedName name="__________________can430">40.73</definedName>
    <definedName name="__________________can435">43.3</definedName>
    <definedName name="__________________cbr1">#REF!</definedName>
    <definedName name="__________________cbr2">#REF!</definedName>
    <definedName name="__________________cbr3">#REF!</definedName>
    <definedName name="__________________cbr4">#REF!</definedName>
    <definedName name="__________________cur1">[6]r!$F$30</definedName>
    <definedName name="__________________er1">#REF!</definedName>
    <definedName name="__________________ewe1">#REF!</definedName>
    <definedName name="__________________f1">#REF!</definedName>
    <definedName name="__________________gus1">#REF!</definedName>
    <definedName name="__________________hpm1">#REF!</definedName>
    <definedName name="__________________knr2" localSheetId="8">#REF!</definedName>
    <definedName name="__________________knr2" localSheetId="10">#REF!</definedName>
    <definedName name="__________________knr2" localSheetId="28">#REF!</definedName>
    <definedName name="__________________knr2">#REF!</definedName>
    <definedName name="__________________l1">[9]leads!$A$3:$E$108</definedName>
    <definedName name="__________________l12" localSheetId="5">#REF!</definedName>
    <definedName name="__________________l12" localSheetId="8">#REF!</definedName>
    <definedName name="__________________l12" localSheetId="10">#REF!</definedName>
    <definedName name="__________________l12" localSheetId="11">#REF!</definedName>
    <definedName name="__________________l12" localSheetId="28">#REF!</definedName>
    <definedName name="__________________l12">#REF!</definedName>
    <definedName name="__________________l2">[6]r!$F$29</definedName>
    <definedName name="__________________l3" localSheetId="5">#REF!</definedName>
    <definedName name="__________________l3" localSheetId="8">#REF!</definedName>
    <definedName name="__________________l3" localSheetId="10">#REF!</definedName>
    <definedName name="__________________l3" localSheetId="11">#REF!</definedName>
    <definedName name="__________________l3" localSheetId="28">#REF!</definedName>
    <definedName name="__________________l3">#REF!</definedName>
    <definedName name="__________________l4">[10]Sheet1!$W$2:$Y$103</definedName>
    <definedName name="__________________l5" localSheetId="5">#REF!</definedName>
    <definedName name="__________________l5" localSheetId="8">#REF!</definedName>
    <definedName name="__________________l5" localSheetId="10">#REF!</definedName>
    <definedName name="__________________l5" localSheetId="11">#REF!</definedName>
    <definedName name="__________________l5" localSheetId="28">#REF!</definedName>
    <definedName name="__________________l5">#REF!</definedName>
    <definedName name="__________________l6">[6]r!$F$4</definedName>
    <definedName name="__________________l7">[7]r!$F$4</definedName>
    <definedName name="__________________l8">[6]r!$F$2</definedName>
    <definedName name="__________________l9">[6]r!$F$3</definedName>
    <definedName name="__________________lcn1">#REF!</definedName>
    <definedName name="__________________lm1" localSheetId="28">#REF!</definedName>
    <definedName name="__________________mm1">[11]r!$F$4</definedName>
    <definedName name="__________________mm11">[6]r!$F$4</definedName>
    <definedName name="__________________mm111">[7]r!$F$4</definedName>
    <definedName name="__________________mm20" localSheetId="28">#REF!</definedName>
    <definedName name="__________________mm40">#REF!</definedName>
    <definedName name="__________________pc2" localSheetId="5">#REF!</definedName>
    <definedName name="__________________pc2" localSheetId="8">#REF!</definedName>
    <definedName name="__________________pc2" localSheetId="10">#REF!</definedName>
    <definedName name="__________________pc2" localSheetId="11">#REF!</definedName>
    <definedName name="__________________pc2" localSheetId="28">#REF!</definedName>
    <definedName name="__________________pc2">#REF!</definedName>
    <definedName name="__________________pv2" localSheetId="5">#REF!</definedName>
    <definedName name="__________________pv2" localSheetId="8">#REF!</definedName>
    <definedName name="__________________pv2" localSheetId="10">#REF!</definedName>
    <definedName name="__________________pv2" localSheetId="11">#REF!</definedName>
    <definedName name="__________________pv2" localSheetId="28">#REF!</definedName>
    <definedName name="__________________pv2">#REF!</definedName>
    <definedName name="__________________rr3">[12]v!$A$2:$E$51</definedName>
    <definedName name="__________________rrr1">[12]r!$B$1:$I$145</definedName>
    <definedName name="__________________ss12">[13]rdamdata!$J$8</definedName>
    <definedName name="__________________ss20">[13]rdamdata!$J$7</definedName>
    <definedName name="__________________ss40">[13]rdamdata!$J$6</definedName>
    <definedName name="__________________sw1" localSheetId="28">#REF!</definedName>
    <definedName name="__________________us1">#REF!</definedName>
    <definedName name="__________________var1" localSheetId="5">#REF!</definedName>
    <definedName name="__________________var1" localSheetId="8">#REF!</definedName>
    <definedName name="__________________var1" localSheetId="10">#REF!</definedName>
    <definedName name="__________________var1" localSheetId="11">#REF!</definedName>
    <definedName name="__________________var1" localSheetId="28">#REF!</definedName>
    <definedName name="__________________var1">#REF!</definedName>
    <definedName name="__________________var4" localSheetId="5">#REF!</definedName>
    <definedName name="__________________var4" localSheetId="8">#REF!</definedName>
    <definedName name="__________________var4" localSheetId="10">#REF!</definedName>
    <definedName name="__________________var4" localSheetId="11">#REF!</definedName>
    <definedName name="__________________var4" localSheetId="28">#REF!</definedName>
    <definedName name="__________________var4">#REF!</definedName>
    <definedName name="__________________vat1">#REF!</definedName>
    <definedName name="__________________vat2">#REF!</definedName>
    <definedName name="__________________xlfn_BAHTTEXT">#N/A</definedName>
    <definedName name="_________________abs1" localSheetId="8">#REF!</definedName>
    <definedName name="_________________abs1" localSheetId="10">#REF!</definedName>
    <definedName name="_________________abs1" localSheetId="28">#REF!</definedName>
    <definedName name="_________________abs1">#REF!</definedName>
    <definedName name="_________________AUX1" localSheetId="28">#REF!</definedName>
    <definedName name="_________________aux2" localSheetId="28">#REF!</definedName>
    <definedName name="_________________AUX3">#REF!</definedName>
    <definedName name="_________________bla1">[8]leads!$H$7</definedName>
    <definedName name="_________________can430">40.73</definedName>
    <definedName name="_________________can435">43.3</definedName>
    <definedName name="_________________cbr1">#REF!</definedName>
    <definedName name="_________________cbr2">#REF!</definedName>
    <definedName name="_________________cbr3">#REF!</definedName>
    <definedName name="_________________cbr4">#REF!</definedName>
    <definedName name="_________________cur1">[6]r!$F$30</definedName>
    <definedName name="_________________er1">#REF!</definedName>
    <definedName name="_________________ewe1">#REF!</definedName>
    <definedName name="_________________f1">#REF!</definedName>
    <definedName name="_________________gus1">#REF!</definedName>
    <definedName name="_________________hpm1">#REF!</definedName>
    <definedName name="_________________knr2" localSheetId="8">#REF!</definedName>
    <definedName name="_________________knr2" localSheetId="10">#REF!</definedName>
    <definedName name="_________________knr2" localSheetId="28">#REF!</definedName>
    <definedName name="_________________knr2">#REF!</definedName>
    <definedName name="_________________l1">[9]leads!$A$3:$E$108</definedName>
    <definedName name="_________________l12" localSheetId="5">#REF!</definedName>
    <definedName name="_________________l12" localSheetId="8">#REF!</definedName>
    <definedName name="_________________l12" localSheetId="10">#REF!</definedName>
    <definedName name="_________________l12" localSheetId="11">#REF!</definedName>
    <definedName name="_________________l12" localSheetId="28">#REF!</definedName>
    <definedName name="_________________l12">#REF!</definedName>
    <definedName name="_________________l2">[6]r!$F$29</definedName>
    <definedName name="_________________l3" localSheetId="5">#REF!</definedName>
    <definedName name="_________________l3" localSheetId="8">#REF!</definedName>
    <definedName name="_________________l3" localSheetId="10">#REF!</definedName>
    <definedName name="_________________l3" localSheetId="11">#REF!</definedName>
    <definedName name="_________________l3" localSheetId="28">#REF!</definedName>
    <definedName name="_________________l3">#REF!</definedName>
    <definedName name="_________________l4">[10]Sheet1!$W$2:$Y$103</definedName>
    <definedName name="_________________l5" localSheetId="5">#REF!</definedName>
    <definedName name="_________________l5" localSheetId="8">#REF!</definedName>
    <definedName name="_________________l5" localSheetId="10">#REF!</definedName>
    <definedName name="_________________l5" localSheetId="11">#REF!</definedName>
    <definedName name="_________________l5" localSheetId="28">#REF!</definedName>
    <definedName name="_________________l5">#REF!</definedName>
    <definedName name="_________________l6">[6]r!$F$4</definedName>
    <definedName name="_________________l7">[7]r!$F$4</definedName>
    <definedName name="_________________l8">[6]r!$F$2</definedName>
    <definedName name="_________________l9">[6]r!$F$3</definedName>
    <definedName name="_________________lcn1">#REF!</definedName>
    <definedName name="_________________lm1" localSheetId="28">#REF!</definedName>
    <definedName name="_________________mm1">[11]r!$F$4</definedName>
    <definedName name="_________________mm11">[6]r!$F$4</definedName>
    <definedName name="_________________mm111">[7]r!$F$4</definedName>
    <definedName name="_________________mm20" localSheetId="28">#REF!</definedName>
    <definedName name="_________________mm40">#REF!</definedName>
    <definedName name="_________________pc2" localSheetId="5">#REF!</definedName>
    <definedName name="_________________pc2" localSheetId="8">#REF!</definedName>
    <definedName name="_________________pc2" localSheetId="10">#REF!</definedName>
    <definedName name="_________________pc2" localSheetId="11">#REF!</definedName>
    <definedName name="_________________pc2" localSheetId="28">#REF!</definedName>
    <definedName name="_________________pc2">#REF!</definedName>
    <definedName name="_________________pv2" localSheetId="5">#REF!</definedName>
    <definedName name="_________________pv2" localSheetId="8">#REF!</definedName>
    <definedName name="_________________pv2" localSheetId="10">#REF!</definedName>
    <definedName name="_________________pv2" localSheetId="11">#REF!</definedName>
    <definedName name="_________________pv2" localSheetId="28">#REF!</definedName>
    <definedName name="_________________pv2">#REF!</definedName>
    <definedName name="_________________rr3">[12]v!$A$2:$E$51</definedName>
    <definedName name="_________________rrr1">[12]r!$B$1:$I$145</definedName>
    <definedName name="_________________ss12">[13]rdamdata!$J$8</definedName>
    <definedName name="_________________ss20">[13]rdamdata!$J$7</definedName>
    <definedName name="_________________ss40">[13]rdamdata!$J$6</definedName>
    <definedName name="_________________sw1" localSheetId="28">#REF!</definedName>
    <definedName name="_________________us1">#REF!</definedName>
    <definedName name="_________________var1" localSheetId="5">#REF!</definedName>
    <definedName name="_________________var1" localSheetId="8">#REF!</definedName>
    <definedName name="_________________var1" localSheetId="10">#REF!</definedName>
    <definedName name="_________________var1" localSheetId="11">#REF!</definedName>
    <definedName name="_________________var1" localSheetId="28">#REF!</definedName>
    <definedName name="_________________var1">#REF!</definedName>
    <definedName name="_________________var4" localSheetId="5">#REF!</definedName>
    <definedName name="_________________var4" localSheetId="8">#REF!</definedName>
    <definedName name="_________________var4" localSheetId="10">#REF!</definedName>
    <definedName name="_________________var4" localSheetId="11">#REF!</definedName>
    <definedName name="_________________var4" localSheetId="28">#REF!</definedName>
    <definedName name="_________________var4">#REF!</definedName>
    <definedName name="_________________vat1">#REF!</definedName>
    <definedName name="_________________vat2">#REF!</definedName>
    <definedName name="_________________xlfn_BAHTTEXT">#N/A</definedName>
    <definedName name="________________abs1" localSheetId="8">#REF!</definedName>
    <definedName name="________________abs1" localSheetId="10">#REF!</definedName>
    <definedName name="________________abs1" localSheetId="28">#REF!</definedName>
    <definedName name="________________abs1">#REF!</definedName>
    <definedName name="________________AUX1" localSheetId="28">#REF!</definedName>
    <definedName name="________________aux2" localSheetId="28">#REF!</definedName>
    <definedName name="________________AUX3">#REF!</definedName>
    <definedName name="________________bla1">[8]leads!$H$7</definedName>
    <definedName name="________________can430">40.73</definedName>
    <definedName name="________________can435">43.3</definedName>
    <definedName name="________________cbr1">#REF!</definedName>
    <definedName name="________________cbr2">#REF!</definedName>
    <definedName name="________________cbr3">#REF!</definedName>
    <definedName name="________________cbr4">#REF!</definedName>
    <definedName name="________________cur1">[6]r!$F$30</definedName>
    <definedName name="________________er1">#REF!</definedName>
    <definedName name="________________ewe1">#REF!</definedName>
    <definedName name="________________f1">#REF!</definedName>
    <definedName name="________________gus1">#REF!</definedName>
    <definedName name="________________hpm1">#REF!</definedName>
    <definedName name="________________knr2" localSheetId="8">#REF!</definedName>
    <definedName name="________________knr2" localSheetId="10">#REF!</definedName>
    <definedName name="________________knr2" localSheetId="28">#REF!</definedName>
    <definedName name="________________knr2">#REF!</definedName>
    <definedName name="________________l1">[9]leads!$A$3:$E$108</definedName>
    <definedName name="________________l12" localSheetId="5">#REF!</definedName>
    <definedName name="________________l12" localSheetId="8">#REF!</definedName>
    <definedName name="________________l12" localSheetId="10">#REF!</definedName>
    <definedName name="________________l12" localSheetId="11">#REF!</definedName>
    <definedName name="________________l12" localSheetId="28">#REF!</definedName>
    <definedName name="________________l12">#REF!</definedName>
    <definedName name="________________l2">[6]r!$F$29</definedName>
    <definedName name="________________l3" localSheetId="5">#REF!</definedName>
    <definedName name="________________l3" localSheetId="8">#REF!</definedName>
    <definedName name="________________l3" localSheetId="10">#REF!</definedName>
    <definedName name="________________l3" localSheetId="11">#REF!</definedName>
    <definedName name="________________l3" localSheetId="28">#REF!</definedName>
    <definedName name="________________l3">#REF!</definedName>
    <definedName name="________________l4">[10]Sheet1!$W$2:$Y$103</definedName>
    <definedName name="________________l5" localSheetId="5">#REF!</definedName>
    <definedName name="________________l5" localSheetId="8">#REF!</definedName>
    <definedName name="________________l5" localSheetId="10">#REF!</definedName>
    <definedName name="________________l5" localSheetId="11">#REF!</definedName>
    <definedName name="________________l5" localSheetId="28">#REF!</definedName>
    <definedName name="________________l5">#REF!</definedName>
    <definedName name="________________l6">[6]r!$F$4</definedName>
    <definedName name="________________l7">[7]r!$F$4</definedName>
    <definedName name="________________l8">[6]r!$F$2</definedName>
    <definedName name="________________l9">[6]r!$F$3</definedName>
    <definedName name="________________lcn1">#REF!</definedName>
    <definedName name="________________lm1" localSheetId="28">#REF!</definedName>
    <definedName name="________________mm1">[11]r!$F$4</definedName>
    <definedName name="________________mm11">[6]r!$F$4</definedName>
    <definedName name="________________mm111">[7]r!$F$4</definedName>
    <definedName name="________________mm20" localSheetId="28">#REF!</definedName>
    <definedName name="________________mm40">#REF!</definedName>
    <definedName name="________________pc2" localSheetId="5">#REF!</definedName>
    <definedName name="________________pc2" localSheetId="8">#REF!</definedName>
    <definedName name="________________pc2" localSheetId="10">#REF!</definedName>
    <definedName name="________________pc2" localSheetId="11">#REF!</definedName>
    <definedName name="________________pc2" localSheetId="28">#REF!</definedName>
    <definedName name="________________pc2">#REF!</definedName>
    <definedName name="________________PMS2" localSheetId="8">#REF!</definedName>
    <definedName name="________________PMS2" localSheetId="10">#REF!</definedName>
    <definedName name="________________PMS2" localSheetId="28">#REF!</definedName>
    <definedName name="________________PMS2">#REF!</definedName>
    <definedName name="________________pv2" localSheetId="5">#REF!</definedName>
    <definedName name="________________pv2" localSheetId="8">#REF!</definedName>
    <definedName name="________________pv2" localSheetId="10">#REF!</definedName>
    <definedName name="________________pv2" localSheetId="11">#REF!</definedName>
    <definedName name="________________pv2" localSheetId="28">#REF!</definedName>
    <definedName name="________________pv2">#REF!</definedName>
    <definedName name="________________rr3">[12]v!$A$2:$E$51</definedName>
    <definedName name="________________rrr1">[12]r!$B$1:$I$145</definedName>
    <definedName name="________________ss12">[13]rdamdata!$J$8</definedName>
    <definedName name="________________ss20">[13]rdamdata!$J$7</definedName>
    <definedName name="________________ss40">[13]rdamdata!$J$6</definedName>
    <definedName name="________________sw1" localSheetId="28">#REF!</definedName>
    <definedName name="________________us1">#REF!</definedName>
    <definedName name="________________var1" localSheetId="5">#REF!</definedName>
    <definedName name="________________var1" localSheetId="8">#REF!</definedName>
    <definedName name="________________var1" localSheetId="10">#REF!</definedName>
    <definedName name="________________var1" localSheetId="11">#REF!</definedName>
    <definedName name="________________var1" localSheetId="28">#REF!</definedName>
    <definedName name="________________var1">#REF!</definedName>
    <definedName name="________________var4" localSheetId="5">#REF!</definedName>
    <definedName name="________________var4" localSheetId="8">#REF!</definedName>
    <definedName name="________________var4" localSheetId="10">#REF!</definedName>
    <definedName name="________________var4" localSheetId="11">#REF!</definedName>
    <definedName name="________________var4" localSheetId="28">#REF!</definedName>
    <definedName name="________________var4">#REF!</definedName>
    <definedName name="________________vat1">#REF!</definedName>
    <definedName name="________________vat2">#REF!</definedName>
    <definedName name="________________xlfn_BAHTTEXT">#N/A</definedName>
    <definedName name="_______________abs1" localSheetId="8">#REF!</definedName>
    <definedName name="_______________abs1" localSheetId="10">#REF!</definedName>
    <definedName name="_______________abs1" localSheetId="28">#REF!</definedName>
    <definedName name="_______________abs1">#REF!</definedName>
    <definedName name="_______________AUX1" localSheetId="28">#REF!</definedName>
    <definedName name="_______________aux2" localSheetId="28">#REF!</definedName>
    <definedName name="_______________AUX3">#REF!</definedName>
    <definedName name="_______________bla1">[1]leads!$H$7</definedName>
    <definedName name="_______________BSG100" localSheetId="8">#REF!</definedName>
    <definedName name="_______________BSG100" localSheetId="10">#REF!</definedName>
    <definedName name="_______________BSG100" localSheetId="28">#REF!</definedName>
    <definedName name="_______________BSG100">#REF!</definedName>
    <definedName name="_______________BSG150" localSheetId="8">#REF!</definedName>
    <definedName name="_______________BSG150" localSheetId="10">#REF!</definedName>
    <definedName name="_______________BSG150" localSheetId="28">#REF!</definedName>
    <definedName name="_______________BSG150">#REF!</definedName>
    <definedName name="_______________BSG5" localSheetId="8">#REF!</definedName>
    <definedName name="_______________BSG5" localSheetId="10">#REF!</definedName>
    <definedName name="_______________BSG5" localSheetId="28">#REF!</definedName>
    <definedName name="_______________BSG5">#REF!</definedName>
    <definedName name="_______________BSG75" localSheetId="8">#REF!</definedName>
    <definedName name="_______________BSG75" localSheetId="10">#REF!</definedName>
    <definedName name="_______________BSG75" localSheetId="28">#REF!</definedName>
    <definedName name="_______________BSG75">#REF!</definedName>
    <definedName name="_______________BTC1" localSheetId="8">#REF!</definedName>
    <definedName name="_______________BTC1" localSheetId="10">#REF!</definedName>
    <definedName name="_______________BTC1" localSheetId="28">#REF!</definedName>
    <definedName name="_______________BTC1">#REF!</definedName>
    <definedName name="_______________BTC10" localSheetId="8">#REF!</definedName>
    <definedName name="_______________BTC10" localSheetId="10">#REF!</definedName>
    <definedName name="_______________BTC10" localSheetId="28">#REF!</definedName>
    <definedName name="_______________BTC10">#REF!</definedName>
    <definedName name="_______________BTC11" localSheetId="8">#REF!</definedName>
    <definedName name="_______________BTC11" localSheetId="10">#REF!</definedName>
    <definedName name="_______________BTC11" localSheetId="28">#REF!</definedName>
    <definedName name="_______________BTC11">#REF!</definedName>
    <definedName name="_______________BTC12" localSheetId="8">#REF!</definedName>
    <definedName name="_______________BTC12" localSheetId="10">#REF!</definedName>
    <definedName name="_______________BTC12" localSheetId="28">#REF!</definedName>
    <definedName name="_______________BTC12">#REF!</definedName>
    <definedName name="_______________BTC13" localSheetId="8">#REF!</definedName>
    <definedName name="_______________BTC13" localSheetId="10">#REF!</definedName>
    <definedName name="_______________BTC13" localSheetId="28">#REF!</definedName>
    <definedName name="_______________BTC13">#REF!</definedName>
    <definedName name="_______________BTC14" localSheetId="8">#REF!</definedName>
    <definedName name="_______________BTC14" localSheetId="10">#REF!</definedName>
    <definedName name="_______________BTC14" localSheetId="28">#REF!</definedName>
    <definedName name="_______________BTC14">#REF!</definedName>
    <definedName name="_______________BTC15" localSheetId="8">#REF!</definedName>
    <definedName name="_______________BTC15" localSheetId="10">#REF!</definedName>
    <definedName name="_______________BTC15" localSheetId="28">#REF!</definedName>
    <definedName name="_______________BTC15">#REF!</definedName>
    <definedName name="_______________BTC2" localSheetId="8">#REF!</definedName>
    <definedName name="_______________BTC2" localSheetId="10">#REF!</definedName>
    <definedName name="_______________BTC2" localSheetId="28">#REF!</definedName>
    <definedName name="_______________BTC2">#REF!</definedName>
    <definedName name="_______________BTC3" localSheetId="8">#REF!</definedName>
    <definedName name="_______________BTC3" localSheetId="10">#REF!</definedName>
    <definedName name="_______________BTC3" localSheetId="28">#REF!</definedName>
    <definedName name="_______________BTC3">#REF!</definedName>
    <definedName name="_______________BTC4" localSheetId="8">#REF!</definedName>
    <definedName name="_______________BTC4" localSheetId="10">#REF!</definedName>
    <definedName name="_______________BTC4" localSheetId="28">#REF!</definedName>
    <definedName name="_______________BTC4">#REF!</definedName>
    <definedName name="_______________BTC5" localSheetId="8">#REF!</definedName>
    <definedName name="_______________BTC5" localSheetId="10">#REF!</definedName>
    <definedName name="_______________BTC5" localSheetId="28">#REF!</definedName>
    <definedName name="_______________BTC5">#REF!</definedName>
    <definedName name="_______________BTC6" localSheetId="8">#REF!</definedName>
    <definedName name="_______________BTC6" localSheetId="10">#REF!</definedName>
    <definedName name="_______________BTC6" localSheetId="28">#REF!</definedName>
    <definedName name="_______________BTC6">#REF!</definedName>
    <definedName name="_______________BTC7" localSheetId="8">#REF!</definedName>
    <definedName name="_______________BTC7" localSheetId="10">#REF!</definedName>
    <definedName name="_______________BTC7" localSheetId="28">#REF!</definedName>
    <definedName name="_______________BTC7">#REF!</definedName>
    <definedName name="_______________BTC8" localSheetId="8">#REF!</definedName>
    <definedName name="_______________BTC8" localSheetId="10">#REF!</definedName>
    <definedName name="_______________BTC8" localSheetId="28">#REF!</definedName>
    <definedName name="_______________BTC8">#REF!</definedName>
    <definedName name="_______________BTC9" localSheetId="8">#REF!</definedName>
    <definedName name="_______________BTC9" localSheetId="10">#REF!</definedName>
    <definedName name="_______________BTC9" localSheetId="28">#REF!</definedName>
    <definedName name="_______________BTC9">#REF!</definedName>
    <definedName name="_______________BTS1" localSheetId="8">#REF!</definedName>
    <definedName name="_______________BTS1" localSheetId="10">#REF!</definedName>
    <definedName name="_______________BTS1" localSheetId="28">#REF!</definedName>
    <definedName name="_______________BTS1">#REF!</definedName>
    <definedName name="_______________BTS10" localSheetId="8">#REF!</definedName>
    <definedName name="_______________BTS10" localSheetId="10">#REF!</definedName>
    <definedName name="_______________BTS10" localSheetId="28">#REF!</definedName>
    <definedName name="_______________BTS10">#REF!</definedName>
    <definedName name="_______________BTS11" localSheetId="8">#REF!</definedName>
    <definedName name="_______________BTS11" localSheetId="10">#REF!</definedName>
    <definedName name="_______________BTS11" localSheetId="28">#REF!</definedName>
    <definedName name="_______________BTS11">#REF!</definedName>
    <definedName name="_______________BTS12" localSheetId="8">#REF!</definedName>
    <definedName name="_______________BTS12" localSheetId="10">#REF!</definedName>
    <definedName name="_______________BTS12" localSheetId="28">#REF!</definedName>
    <definedName name="_______________BTS12">#REF!</definedName>
    <definedName name="_______________BTS13" localSheetId="8">#REF!</definedName>
    <definedName name="_______________BTS13" localSheetId="10">#REF!</definedName>
    <definedName name="_______________BTS13" localSheetId="28">#REF!</definedName>
    <definedName name="_______________BTS13">#REF!</definedName>
    <definedName name="_______________BTS14" localSheetId="8">#REF!</definedName>
    <definedName name="_______________BTS14" localSheetId="10">#REF!</definedName>
    <definedName name="_______________BTS14" localSheetId="28">#REF!</definedName>
    <definedName name="_______________BTS14">#REF!</definedName>
    <definedName name="_______________BTS15" localSheetId="8">#REF!</definedName>
    <definedName name="_______________BTS15" localSheetId="10">#REF!</definedName>
    <definedName name="_______________BTS15" localSheetId="28">#REF!</definedName>
    <definedName name="_______________BTS15">#REF!</definedName>
    <definedName name="_______________BTS2" localSheetId="8">#REF!</definedName>
    <definedName name="_______________BTS2" localSheetId="10">#REF!</definedName>
    <definedName name="_______________BTS2" localSheetId="28">#REF!</definedName>
    <definedName name="_______________BTS2">#REF!</definedName>
    <definedName name="_______________BTS3" localSheetId="8">#REF!</definedName>
    <definedName name="_______________BTS3" localSheetId="10">#REF!</definedName>
    <definedName name="_______________BTS3" localSheetId="28">#REF!</definedName>
    <definedName name="_______________BTS3">#REF!</definedName>
    <definedName name="_______________BTS4" localSheetId="8">#REF!</definedName>
    <definedName name="_______________BTS4" localSheetId="10">#REF!</definedName>
    <definedName name="_______________BTS4" localSheetId="28">#REF!</definedName>
    <definedName name="_______________BTS4">#REF!</definedName>
    <definedName name="_______________BTS5" localSheetId="8">#REF!</definedName>
    <definedName name="_______________BTS5" localSheetId="10">#REF!</definedName>
    <definedName name="_______________BTS5" localSheetId="28">#REF!</definedName>
    <definedName name="_______________BTS5">#REF!</definedName>
    <definedName name="_______________BTS6" localSheetId="8">#REF!</definedName>
    <definedName name="_______________BTS6" localSheetId="10">#REF!</definedName>
    <definedName name="_______________BTS6" localSheetId="28">#REF!</definedName>
    <definedName name="_______________BTS6">#REF!</definedName>
    <definedName name="_______________BTS7" localSheetId="8">#REF!</definedName>
    <definedName name="_______________BTS7" localSheetId="10">#REF!</definedName>
    <definedName name="_______________BTS7" localSheetId="28">#REF!</definedName>
    <definedName name="_______________BTS7">#REF!</definedName>
    <definedName name="_______________BTS8" localSheetId="8">#REF!</definedName>
    <definedName name="_______________BTS8" localSheetId="10">#REF!</definedName>
    <definedName name="_______________BTS8" localSheetId="28">#REF!</definedName>
    <definedName name="_______________BTS8">#REF!</definedName>
    <definedName name="_______________BTS9" localSheetId="8">#REF!</definedName>
    <definedName name="_______________BTS9" localSheetId="10">#REF!</definedName>
    <definedName name="_______________BTS9" localSheetId="28">#REF!</definedName>
    <definedName name="_______________BTS9">#REF!</definedName>
    <definedName name="_______________can430">40.73</definedName>
    <definedName name="_______________can435">43.3</definedName>
    <definedName name="_______________cbr1">#REF!</definedName>
    <definedName name="_______________cbr2">#REF!</definedName>
    <definedName name="_______________cbr3">#REF!</definedName>
    <definedName name="_______________cbr4">#REF!</definedName>
    <definedName name="_______________cur1">[6]r!$F$30</definedName>
    <definedName name="_______________er1">#REF!</definedName>
    <definedName name="_______________ewe1" localSheetId="28">#REF!</definedName>
    <definedName name="_______________f1">#REF!</definedName>
    <definedName name="_______________GBS11" localSheetId="8">#REF!</definedName>
    <definedName name="_______________GBS11" localSheetId="10">#REF!</definedName>
    <definedName name="_______________GBS11" localSheetId="28">#REF!</definedName>
    <definedName name="_______________GBS11">#REF!</definedName>
    <definedName name="_______________GBS110" localSheetId="8">#REF!</definedName>
    <definedName name="_______________GBS110" localSheetId="10">#REF!</definedName>
    <definedName name="_______________GBS110" localSheetId="28">#REF!</definedName>
    <definedName name="_______________GBS110">#REF!</definedName>
    <definedName name="_______________GBS111" localSheetId="8">#REF!</definedName>
    <definedName name="_______________GBS111" localSheetId="10">#REF!</definedName>
    <definedName name="_______________GBS111" localSheetId="28">#REF!</definedName>
    <definedName name="_______________GBS111">#REF!</definedName>
    <definedName name="_______________GBS112" localSheetId="8">#REF!</definedName>
    <definedName name="_______________GBS112" localSheetId="10">#REF!</definedName>
    <definedName name="_______________GBS112" localSheetId="28">#REF!</definedName>
    <definedName name="_______________GBS112">#REF!</definedName>
    <definedName name="_______________GBS113" localSheetId="8">#REF!</definedName>
    <definedName name="_______________GBS113" localSheetId="10">#REF!</definedName>
    <definedName name="_______________GBS113" localSheetId="28">#REF!</definedName>
    <definedName name="_______________GBS113">#REF!</definedName>
    <definedName name="_______________GBS114" localSheetId="8">#REF!</definedName>
    <definedName name="_______________GBS114" localSheetId="10">#REF!</definedName>
    <definedName name="_______________GBS114" localSheetId="28">#REF!</definedName>
    <definedName name="_______________GBS114">#REF!</definedName>
    <definedName name="_______________GBS115" localSheetId="8">#REF!</definedName>
    <definedName name="_______________GBS115" localSheetId="10">#REF!</definedName>
    <definedName name="_______________GBS115" localSheetId="28">#REF!</definedName>
    <definedName name="_______________GBS115">#REF!</definedName>
    <definedName name="_______________GBS12" localSheetId="8">#REF!</definedName>
    <definedName name="_______________GBS12" localSheetId="10">#REF!</definedName>
    <definedName name="_______________GBS12" localSheetId="28">#REF!</definedName>
    <definedName name="_______________GBS12">#REF!</definedName>
    <definedName name="_______________GBS13" localSheetId="8">#REF!</definedName>
    <definedName name="_______________GBS13" localSheetId="10">#REF!</definedName>
    <definedName name="_______________GBS13" localSheetId="28">#REF!</definedName>
    <definedName name="_______________GBS13">#REF!</definedName>
    <definedName name="_______________GBS14" localSheetId="8">#REF!</definedName>
    <definedName name="_______________GBS14" localSheetId="10">#REF!</definedName>
    <definedName name="_______________GBS14" localSheetId="28">#REF!</definedName>
    <definedName name="_______________GBS14">#REF!</definedName>
    <definedName name="_______________GBS15" localSheetId="8">#REF!</definedName>
    <definedName name="_______________GBS15" localSheetId="10">#REF!</definedName>
    <definedName name="_______________GBS15" localSheetId="28">#REF!</definedName>
    <definedName name="_______________GBS15">#REF!</definedName>
    <definedName name="_______________GBS16" localSheetId="8">#REF!</definedName>
    <definedName name="_______________GBS16" localSheetId="10">#REF!</definedName>
    <definedName name="_______________GBS16" localSheetId="28">#REF!</definedName>
    <definedName name="_______________GBS16">#REF!</definedName>
    <definedName name="_______________GBS17" localSheetId="8">#REF!</definedName>
    <definedName name="_______________GBS17" localSheetId="10">#REF!</definedName>
    <definedName name="_______________GBS17" localSheetId="28">#REF!</definedName>
    <definedName name="_______________GBS17">#REF!</definedName>
    <definedName name="_______________GBS18" localSheetId="8">#REF!</definedName>
    <definedName name="_______________GBS18" localSheetId="10">#REF!</definedName>
    <definedName name="_______________GBS18" localSheetId="28">#REF!</definedName>
    <definedName name="_______________GBS18">#REF!</definedName>
    <definedName name="_______________GBS19" localSheetId="8">#REF!</definedName>
    <definedName name="_______________GBS19" localSheetId="10">#REF!</definedName>
    <definedName name="_______________GBS19" localSheetId="28">#REF!</definedName>
    <definedName name="_______________GBS19">#REF!</definedName>
    <definedName name="_______________GBS21" localSheetId="8">#REF!</definedName>
    <definedName name="_______________GBS21" localSheetId="10">#REF!</definedName>
    <definedName name="_______________GBS21" localSheetId="28">#REF!</definedName>
    <definedName name="_______________GBS21">#REF!</definedName>
    <definedName name="_______________GBS210" localSheetId="8">#REF!</definedName>
    <definedName name="_______________GBS210" localSheetId="10">#REF!</definedName>
    <definedName name="_______________GBS210" localSheetId="28">#REF!</definedName>
    <definedName name="_______________GBS210">#REF!</definedName>
    <definedName name="_______________GBS211" localSheetId="8">#REF!</definedName>
    <definedName name="_______________GBS211" localSheetId="10">#REF!</definedName>
    <definedName name="_______________GBS211" localSheetId="28">#REF!</definedName>
    <definedName name="_______________GBS211">#REF!</definedName>
    <definedName name="_______________GBS212" localSheetId="8">#REF!</definedName>
    <definedName name="_______________GBS212" localSheetId="10">#REF!</definedName>
    <definedName name="_______________GBS212" localSheetId="28">#REF!</definedName>
    <definedName name="_______________GBS212">#REF!</definedName>
    <definedName name="_______________GBS213" localSheetId="8">#REF!</definedName>
    <definedName name="_______________GBS213" localSheetId="10">#REF!</definedName>
    <definedName name="_______________GBS213" localSheetId="28">#REF!</definedName>
    <definedName name="_______________GBS213">#REF!</definedName>
    <definedName name="_______________GBS214" localSheetId="8">#REF!</definedName>
    <definedName name="_______________GBS214" localSheetId="10">#REF!</definedName>
    <definedName name="_______________GBS214" localSheetId="28">#REF!</definedName>
    <definedName name="_______________GBS214">#REF!</definedName>
    <definedName name="_______________GBS215" localSheetId="8">#REF!</definedName>
    <definedName name="_______________GBS215" localSheetId="10">#REF!</definedName>
    <definedName name="_______________GBS215" localSheetId="28">#REF!</definedName>
    <definedName name="_______________GBS215">#REF!</definedName>
    <definedName name="_______________GBS22" localSheetId="8">#REF!</definedName>
    <definedName name="_______________GBS22" localSheetId="10">#REF!</definedName>
    <definedName name="_______________GBS22" localSheetId="28">#REF!</definedName>
    <definedName name="_______________GBS22">#REF!</definedName>
    <definedName name="_______________GBS23" localSheetId="8">#REF!</definedName>
    <definedName name="_______________GBS23" localSheetId="10">#REF!</definedName>
    <definedName name="_______________GBS23" localSheetId="28">#REF!</definedName>
    <definedName name="_______________GBS23">#REF!</definedName>
    <definedName name="_______________GBS24" localSheetId="8">#REF!</definedName>
    <definedName name="_______________GBS24" localSheetId="10">#REF!</definedName>
    <definedName name="_______________GBS24" localSheetId="28">#REF!</definedName>
    <definedName name="_______________GBS24">#REF!</definedName>
    <definedName name="_______________GBS25" localSheetId="8">#REF!</definedName>
    <definedName name="_______________GBS25" localSheetId="10">#REF!</definedName>
    <definedName name="_______________GBS25" localSheetId="28">#REF!</definedName>
    <definedName name="_______________GBS25">#REF!</definedName>
    <definedName name="_______________GBS26" localSheetId="8">#REF!</definedName>
    <definedName name="_______________GBS26" localSheetId="10">#REF!</definedName>
    <definedName name="_______________GBS26" localSheetId="28">#REF!</definedName>
    <definedName name="_______________GBS26">#REF!</definedName>
    <definedName name="_______________GBS27" localSheetId="8">#REF!</definedName>
    <definedName name="_______________GBS27" localSheetId="10">#REF!</definedName>
    <definedName name="_______________GBS27" localSheetId="28">#REF!</definedName>
    <definedName name="_______________GBS27">#REF!</definedName>
    <definedName name="_______________GBS28" localSheetId="8">#REF!</definedName>
    <definedName name="_______________GBS28" localSheetId="10">#REF!</definedName>
    <definedName name="_______________GBS28" localSheetId="28">#REF!</definedName>
    <definedName name="_______________GBS28">#REF!</definedName>
    <definedName name="_______________GBS29" localSheetId="8">#REF!</definedName>
    <definedName name="_______________GBS29" localSheetId="10">#REF!</definedName>
    <definedName name="_______________GBS29" localSheetId="28">#REF!</definedName>
    <definedName name="_______________GBS29">#REF!</definedName>
    <definedName name="_______________gus1">#REF!</definedName>
    <definedName name="_______________hpm1">#REF!</definedName>
    <definedName name="_______________knr2" localSheetId="28">#REF!</definedName>
    <definedName name="_______________l1">[2]leads!$A$3:$E$108</definedName>
    <definedName name="_______________l12" localSheetId="5">#REF!</definedName>
    <definedName name="_______________l12" localSheetId="8">#REF!</definedName>
    <definedName name="_______________l12" localSheetId="10">#REF!</definedName>
    <definedName name="_______________l12" localSheetId="11">#REF!</definedName>
    <definedName name="_______________l12" localSheetId="28">#REF!</definedName>
    <definedName name="_______________l12">#REF!</definedName>
    <definedName name="_______________l2">[6]r!$F$29</definedName>
    <definedName name="_______________l3" localSheetId="5">#REF!</definedName>
    <definedName name="_______________l3" localSheetId="8">#REF!</definedName>
    <definedName name="_______________l3" localSheetId="10">#REF!</definedName>
    <definedName name="_______________l3" localSheetId="11">#REF!</definedName>
    <definedName name="_______________l3" localSheetId="28">#REF!</definedName>
    <definedName name="_______________l3">#REF!</definedName>
    <definedName name="_______________l4">[3]Sheet1!$W$2:$Y$103</definedName>
    <definedName name="_______________l5" localSheetId="5">#REF!</definedName>
    <definedName name="_______________l5" localSheetId="8">#REF!</definedName>
    <definedName name="_______________l5" localSheetId="10">#REF!</definedName>
    <definedName name="_______________l5" localSheetId="11">#REF!</definedName>
    <definedName name="_______________l5" localSheetId="28">#REF!</definedName>
    <definedName name="_______________l5">#REF!</definedName>
    <definedName name="_______________l6">[6]r!$F$4</definedName>
    <definedName name="_______________l7">[7]r!$F$4</definedName>
    <definedName name="_______________l8">[6]r!$F$2</definedName>
    <definedName name="_______________l9">[6]r!$F$3</definedName>
    <definedName name="_______________lcn1">#REF!</definedName>
    <definedName name="_______________LI9" localSheetId="8">#REF!</definedName>
    <definedName name="_______________LI9" localSheetId="10">#REF!</definedName>
    <definedName name="_______________LI9" localSheetId="28">#REF!</definedName>
    <definedName name="_______________LI9">#REF!</definedName>
    <definedName name="_______________LII9" localSheetId="8">#REF!</definedName>
    <definedName name="_______________LII9" localSheetId="10">#REF!</definedName>
    <definedName name="_______________LII9" localSheetId="28">#REF!</definedName>
    <definedName name="_______________LII9">#REF!</definedName>
    <definedName name="_______________lm1" localSheetId="28">#REF!</definedName>
    <definedName name="_______________ML11" localSheetId="8">#REF!</definedName>
    <definedName name="_______________ML11" localSheetId="10">#REF!</definedName>
    <definedName name="_______________ML11" localSheetId="28">#REF!</definedName>
    <definedName name="_______________ML11">#REF!</definedName>
    <definedName name="_______________ML110" localSheetId="8">#REF!</definedName>
    <definedName name="_______________ML110" localSheetId="10">#REF!</definedName>
    <definedName name="_______________ML110" localSheetId="28">#REF!</definedName>
    <definedName name="_______________ML110">#REF!</definedName>
    <definedName name="_______________ML111" localSheetId="8">#REF!</definedName>
    <definedName name="_______________ML111" localSheetId="10">#REF!</definedName>
    <definedName name="_______________ML111" localSheetId="28">#REF!</definedName>
    <definedName name="_______________ML111">#REF!</definedName>
    <definedName name="_______________ML112" localSheetId="8">#REF!</definedName>
    <definedName name="_______________ML112" localSheetId="10">#REF!</definedName>
    <definedName name="_______________ML112" localSheetId="28">#REF!</definedName>
    <definedName name="_______________ML112">#REF!</definedName>
    <definedName name="_______________ML113" localSheetId="8">#REF!</definedName>
    <definedName name="_______________ML113" localSheetId="10">#REF!</definedName>
    <definedName name="_______________ML113" localSheetId="28">#REF!</definedName>
    <definedName name="_______________ML113">#REF!</definedName>
    <definedName name="_______________ML114" localSheetId="8">#REF!</definedName>
    <definedName name="_______________ML114" localSheetId="10">#REF!</definedName>
    <definedName name="_______________ML114" localSheetId="28">#REF!</definedName>
    <definedName name="_______________ML114">#REF!</definedName>
    <definedName name="_______________ML115" localSheetId="8">#REF!</definedName>
    <definedName name="_______________ML115" localSheetId="10">#REF!</definedName>
    <definedName name="_______________ML115" localSheetId="28">#REF!</definedName>
    <definedName name="_______________ML115">#REF!</definedName>
    <definedName name="_______________ML12" localSheetId="8">#REF!</definedName>
    <definedName name="_______________ML12" localSheetId="10">#REF!</definedName>
    <definedName name="_______________ML12" localSheetId="28">#REF!</definedName>
    <definedName name="_______________ML12">#REF!</definedName>
    <definedName name="_______________ML13" localSheetId="8">#REF!</definedName>
    <definedName name="_______________ML13" localSheetId="10">#REF!</definedName>
    <definedName name="_______________ML13" localSheetId="28">#REF!</definedName>
    <definedName name="_______________ML13">#REF!</definedName>
    <definedName name="_______________ML14" localSheetId="8">#REF!</definedName>
    <definedName name="_______________ML14" localSheetId="10">#REF!</definedName>
    <definedName name="_______________ML14" localSheetId="28">#REF!</definedName>
    <definedName name="_______________ML14">#REF!</definedName>
    <definedName name="_______________ML15" localSheetId="8">#REF!</definedName>
    <definedName name="_______________ML15" localSheetId="10">#REF!</definedName>
    <definedName name="_______________ML15" localSheetId="28">#REF!</definedName>
    <definedName name="_______________ML15">#REF!</definedName>
    <definedName name="_______________ML16" localSheetId="8">#REF!</definedName>
    <definedName name="_______________ML16" localSheetId="10">#REF!</definedName>
    <definedName name="_______________ML16" localSheetId="28">#REF!</definedName>
    <definedName name="_______________ML16">#REF!</definedName>
    <definedName name="_______________ML17" localSheetId="8">#REF!</definedName>
    <definedName name="_______________ML17" localSheetId="10">#REF!</definedName>
    <definedName name="_______________ML17" localSheetId="28">#REF!</definedName>
    <definedName name="_______________ML17">#REF!</definedName>
    <definedName name="_______________ML18" localSheetId="8">#REF!</definedName>
    <definedName name="_______________ML18" localSheetId="10">#REF!</definedName>
    <definedName name="_______________ML18" localSheetId="28">#REF!</definedName>
    <definedName name="_______________ML18">#REF!</definedName>
    <definedName name="_______________ML19" localSheetId="8">#REF!</definedName>
    <definedName name="_______________ML19" localSheetId="10">#REF!</definedName>
    <definedName name="_______________ML19" localSheetId="28">#REF!</definedName>
    <definedName name="_______________ML19">#REF!</definedName>
    <definedName name="_______________ML21" localSheetId="8">#REF!</definedName>
    <definedName name="_______________ML21" localSheetId="10">#REF!</definedName>
    <definedName name="_______________ML21" localSheetId="28">#REF!</definedName>
    <definedName name="_______________ML21">#REF!</definedName>
    <definedName name="_______________ML210" localSheetId="8">#REF!</definedName>
    <definedName name="_______________ML210" localSheetId="10">#REF!</definedName>
    <definedName name="_______________ML210" localSheetId="28">#REF!</definedName>
    <definedName name="_______________ML210">#REF!</definedName>
    <definedName name="_______________ML211" localSheetId="8">#REF!</definedName>
    <definedName name="_______________ML211" localSheetId="10">#REF!</definedName>
    <definedName name="_______________ML211" localSheetId="28">#REF!</definedName>
    <definedName name="_______________ML211">#REF!</definedName>
    <definedName name="_______________ML212" localSheetId="8">#REF!</definedName>
    <definedName name="_______________ML212" localSheetId="10">#REF!</definedName>
    <definedName name="_______________ML212" localSheetId="28">#REF!</definedName>
    <definedName name="_______________ML212">#REF!</definedName>
    <definedName name="_______________ML213" localSheetId="8">#REF!</definedName>
    <definedName name="_______________ML213" localSheetId="10">#REF!</definedName>
    <definedName name="_______________ML213" localSheetId="28">#REF!</definedName>
    <definedName name="_______________ML213">#REF!</definedName>
    <definedName name="_______________ML214" localSheetId="8">#REF!</definedName>
    <definedName name="_______________ML214" localSheetId="10">#REF!</definedName>
    <definedName name="_______________ML214" localSheetId="28">#REF!</definedName>
    <definedName name="_______________ML214">#REF!</definedName>
    <definedName name="_______________ML215" localSheetId="8">#REF!</definedName>
    <definedName name="_______________ML215" localSheetId="10">#REF!</definedName>
    <definedName name="_______________ML215" localSheetId="28">#REF!</definedName>
    <definedName name="_______________ML215">#REF!</definedName>
    <definedName name="_______________ML22" localSheetId="8">#REF!</definedName>
    <definedName name="_______________ML22" localSheetId="10">#REF!</definedName>
    <definedName name="_______________ML22" localSheetId="28">#REF!</definedName>
    <definedName name="_______________ML22">#REF!</definedName>
    <definedName name="_______________ML23" localSheetId="8">#REF!</definedName>
    <definedName name="_______________ML23" localSheetId="10">#REF!</definedName>
    <definedName name="_______________ML23" localSheetId="28">#REF!</definedName>
    <definedName name="_______________ML23">#REF!</definedName>
    <definedName name="_______________ML24" localSheetId="8">#REF!</definedName>
    <definedName name="_______________ML24" localSheetId="10">#REF!</definedName>
    <definedName name="_______________ML24" localSheetId="28">#REF!</definedName>
    <definedName name="_______________ML24">#REF!</definedName>
    <definedName name="_______________ML25" localSheetId="8">#REF!</definedName>
    <definedName name="_______________ML25" localSheetId="10">#REF!</definedName>
    <definedName name="_______________ML25" localSheetId="28">#REF!</definedName>
    <definedName name="_______________ML25">#REF!</definedName>
    <definedName name="_______________ML26" localSheetId="8">#REF!</definedName>
    <definedName name="_______________ML26" localSheetId="10">#REF!</definedName>
    <definedName name="_______________ML26" localSheetId="28">#REF!</definedName>
    <definedName name="_______________ML26">#REF!</definedName>
    <definedName name="_______________ML27" localSheetId="8">#REF!</definedName>
    <definedName name="_______________ML27" localSheetId="10">#REF!</definedName>
    <definedName name="_______________ML27" localSheetId="28">#REF!</definedName>
    <definedName name="_______________ML27">#REF!</definedName>
    <definedName name="_______________ML28" localSheetId="8">#REF!</definedName>
    <definedName name="_______________ML28" localSheetId="10">#REF!</definedName>
    <definedName name="_______________ML28" localSheetId="28">#REF!</definedName>
    <definedName name="_______________ML28">#REF!</definedName>
    <definedName name="_______________ML29" localSheetId="8">#REF!</definedName>
    <definedName name="_______________ML29" localSheetId="10">#REF!</definedName>
    <definedName name="_______________ML29" localSheetId="28">#REF!</definedName>
    <definedName name="_______________ML29">#REF!</definedName>
    <definedName name="_______________ML31" localSheetId="8">#REF!</definedName>
    <definedName name="_______________ML31" localSheetId="10">#REF!</definedName>
    <definedName name="_______________ML31" localSheetId="28">#REF!</definedName>
    <definedName name="_______________ML31">#REF!</definedName>
    <definedName name="_______________ML310" localSheetId="8">#REF!</definedName>
    <definedName name="_______________ML310" localSheetId="10">#REF!</definedName>
    <definedName name="_______________ML310" localSheetId="28">#REF!</definedName>
    <definedName name="_______________ML310">#REF!</definedName>
    <definedName name="_______________ML311" localSheetId="8">#REF!</definedName>
    <definedName name="_______________ML311" localSheetId="10">#REF!</definedName>
    <definedName name="_______________ML311" localSheetId="28">#REF!</definedName>
    <definedName name="_______________ML311">#REF!</definedName>
    <definedName name="_______________ML312" localSheetId="8">#REF!</definedName>
    <definedName name="_______________ML312" localSheetId="10">#REF!</definedName>
    <definedName name="_______________ML312" localSheetId="28">#REF!</definedName>
    <definedName name="_______________ML312">#REF!</definedName>
    <definedName name="_______________ML313" localSheetId="8">#REF!</definedName>
    <definedName name="_______________ML313" localSheetId="10">#REF!</definedName>
    <definedName name="_______________ML313" localSheetId="28">#REF!</definedName>
    <definedName name="_______________ML313">#REF!</definedName>
    <definedName name="_______________ML314" localSheetId="8">#REF!</definedName>
    <definedName name="_______________ML314" localSheetId="10">#REF!</definedName>
    <definedName name="_______________ML314" localSheetId="28">#REF!</definedName>
    <definedName name="_______________ML314">#REF!</definedName>
    <definedName name="_______________ML315" localSheetId="8">#REF!</definedName>
    <definedName name="_______________ML315" localSheetId="10">#REF!</definedName>
    <definedName name="_______________ML315" localSheetId="28">#REF!</definedName>
    <definedName name="_______________ML315">#REF!</definedName>
    <definedName name="_______________ML32" localSheetId="8">#REF!</definedName>
    <definedName name="_______________ML32" localSheetId="10">#REF!</definedName>
    <definedName name="_______________ML32" localSheetId="28">#REF!</definedName>
    <definedName name="_______________ML32">#REF!</definedName>
    <definedName name="_______________ML33" localSheetId="8">#REF!</definedName>
    <definedName name="_______________ML33" localSheetId="10">#REF!</definedName>
    <definedName name="_______________ML33" localSheetId="28">#REF!</definedName>
    <definedName name="_______________ML33">#REF!</definedName>
    <definedName name="_______________ML34" localSheetId="8">#REF!</definedName>
    <definedName name="_______________ML34" localSheetId="10">#REF!</definedName>
    <definedName name="_______________ML34" localSheetId="28">#REF!</definedName>
    <definedName name="_______________ML34">#REF!</definedName>
    <definedName name="_______________ML35" localSheetId="8">#REF!</definedName>
    <definedName name="_______________ML35" localSheetId="10">#REF!</definedName>
    <definedName name="_______________ML35" localSheetId="28">#REF!</definedName>
    <definedName name="_______________ML35">#REF!</definedName>
    <definedName name="_______________ML36" localSheetId="8">#REF!</definedName>
    <definedName name="_______________ML36" localSheetId="10">#REF!</definedName>
    <definedName name="_______________ML36" localSheetId="28">#REF!</definedName>
    <definedName name="_______________ML36">#REF!</definedName>
    <definedName name="_______________ML37" localSheetId="8">#REF!</definedName>
    <definedName name="_______________ML37" localSheetId="10">#REF!</definedName>
    <definedName name="_______________ML37" localSheetId="28">#REF!</definedName>
    <definedName name="_______________ML37">#REF!</definedName>
    <definedName name="_______________ML38" localSheetId="8">#REF!</definedName>
    <definedName name="_______________ML38" localSheetId="10">#REF!</definedName>
    <definedName name="_______________ML38" localSheetId="28">#REF!</definedName>
    <definedName name="_______________ML38">#REF!</definedName>
    <definedName name="_______________ML39" localSheetId="8">#REF!</definedName>
    <definedName name="_______________ML39" localSheetId="10">#REF!</definedName>
    <definedName name="_______________ML39" localSheetId="28">#REF!</definedName>
    <definedName name="_______________ML39">#REF!</definedName>
    <definedName name="_______________ML7" localSheetId="8">#REF!</definedName>
    <definedName name="_______________ML7" localSheetId="10">#REF!</definedName>
    <definedName name="_______________ML7" localSheetId="28">#REF!</definedName>
    <definedName name="_______________ML7">#REF!</definedName>
    <definedName name="_______________ML8" localSheetId="8">#REF!</definedName>
    <definedName name="_______________ML8" localSheetId="10">#REF!</definedName>
    <definedName name="_______________ML8" localSheetId="28">#REF!</definedName>
    <definedName name="_______________ML8">#REF!</definedName>
    <definedName name="_______________ML9" localSheetId="8">#REF!</definedName>
    <definedName name="_______________ML9" localSheetId="10">#REF!</definedName>
    <definedName name="_______________ML9" localSheetId="28">#REF!</definedName>
    <definedName name="_______________ML9">#REF!</definedName>
    <definedName name="_______________mm1">[4]r!$F$4</definedName>
    <definedName name="_______________mm11">[6]r!$F$4</definedName>
    <definedName name="_______________mm111">[7]r!$F$4</definedName>
    <definedName name="_______________mm20" localSheetId="28">#REF!</definedName>
    <definedName name="_______________mm40">#REF!</definedName>
    <definedName name="_______________pc2" localSheetId="5">#REF!</definedName>
    <definedName name="_______________pc2" localSheetId="8">#REF!</definedName>
    <definedName name="_______________pc2" localSheetId="10">#REF!</definedName>
    <definedName name="_______________pc2" localSheetId="11">#REF!</definedName>
    <definedName name="_______________pc2" localSheetId="28">#REF!</definedName>
    <definedName name="_______________pc2">#REF!</definedName>
    <definedName name="_______________PMS2" localSheetId="8">#REF!</definedName>
    <definedName name="_______________PMS2" localSheetId="10">#REF!</definedName>
    <definedName name="_______________PMS2" localSheetId="28">#REF!</definedName>
    <definedName name="_______________PMS2">#REF!</definedName>
    <definedName name="_______________pv2" localSheetId="5">#REF!</definedName>
    <definedName name="_______________pv2" localSheetId="8">#REF!</definedName>
    <definedName name="_______________pv2" localSheetId="10">#REF!</definedName>
    <definedName name="_______________pv2" localSheetId="11">#REF!</definedName>
    <definedName name="_______________pv2" localSheetId="28">#REF!</definedName>
    <definedName name="_______________pv2">#REF!</definedName>
    <definedName name="_______________rr3">[5]v!$A$2:$E$51</definedName>
    <definedName name="_______________rrr1">[5]r!$B$1:$I$145</definedName>
    <definedName name="_______________sw1" localSheetId="28">#REF!</definedName>
    <definedName name="_______________us1">#REF!</definedName>
    <definedName name="_______________var1" localSheetId="5">#REF!</definedName>
    <definedName name="_______________var1" localSheetId="8">#REF!</definedName>
    <definedName name="_______________var1" localSheetId="10">#REF!</definedName>
    <definedName name="_______________var1" localSheetId="11">#REF!</definedName>
    <definedName name="_______________var1" localSheetId="28">#REF!</definedName>
    <definedName name="_______________var1">#REF!</definedName>
    <definedName name="_______________var4" localSheetId="5">#REF!</definedName>
    <definedName name="_______________var4" localSheetId="8">#REF!</definedName>
    <definedName name="_______________var4" localSheetId="10">#REF!</definedName>
    <definedName name="_______________var4" localSheetId="11">#REF!</definedName>
    <definedName name="_______________var4" localSheetId="28">#REF!</definedName>
    <definedName name="_______________var4">#REF!</definedName>
    <definedName name="_______________vat1">#REF!</definedName>
    <definedName name="_______________vat2">#REF!</definedName>
    <definedName name="_______________xlfn_BAHTTEXT">#N/A</definedName>
    <definedName name="______________abs1" localSheetId="8">#REF!</definedName>
    <definedName name="______________abs1" localSheetId="10">#REF!</definedName>
    <definedName name="______________abs1" localSheetId="28">#REF!</definedName>
    <definedName name="______________abs1">#REF!</definedName>
    <definedName name="______________AUX1" localSheetId="28">#REF!</definedName>
    <definedName name="______________aux2" localSheetId="28">#REF!</definedName>
    <definedName name="______________AUX3">#REF!</definedName>
    <definedName name="______________bla1">[1]leads!$H$7</definedName>
    <definedName name="______________BSG100" localSheetId="8">#REF!</definedName>
    <definedName name="______________BSG100" localSheetId="10">#REF!</definedName>
    <definedName name="______________BSG100" localSheetId="28">#REF!</definedName>
    <definedName name="______________BSG100">#REF!</definedName>
    <definedName name="______________BSG150" localSheetId="8">#REF!</definedName>
    <definedName name="______________BSG150" localSheetId="10">#REF!</definedName>
    <definedName name="______________BSG150" localSheetId="28">#REF!</definedName>
    <definedName name="______________BSG150">#REF!</definedName>
    <definedName name="______________BSG5" localSheetId="8">#REF!</definedName>
    <definedName name="______________BSG5" localSheetId="10">#REF!</definedName>
    <definedName name="______________BSG5" localSheetId="28">#REF!</definedName>
    <definedName name="______________BSG5">#REF!</definedName>
    <definedName name="______________BSG75" localSheetId="8">#REF!</definedName>
    <definedName name="______________BSG75" localSheetId="10">#REF!</definedName>
    <definedName name="______________BSG75" localSheetId="28">#REF!</definedName>
    <definedName name="______________BSG75">#REF!</definedName>
    <definedName name="______________BTC1" localSheetId="8">#REF!</definedName>
    <definedName name="______________BTC1" localSheetId="10">#REF!</definedName>
    <definedName name="______________BTC1" localSheetId="28">#REF!</definedName>
    <definedName name="______________BTC1">#REF!</definedName>
    <definedName name="______________BTC10" localSheetId="8">#REF!</definedName>
    <definedName name="______________BTC10" localSheetId="10">#REF!</definedName>
    <definedName name="______________BTC10" localSheetId="28">#REF!</definedName>
    <definedName name="______________BTC10">#REF!</definedName>
    <definedName name="______________BTC11" localSheetId="8">#REF!</definedName>
    <definedName name="______________BTC11" localSheetId="10">#REF!</definedName>
    <definedName name="______________BTC11" localSheetId="28">#REF!</definedName>
    <definedName name="______________BTC11">#REF!</definedName>
    <definedName name="______________BTC12" localSheetId="8">#REF!</definedName>
    <definedName name="______________BTC12" localSheetId="10">#REF!</definedName>
    <definedName name="______________BTC12" localSheetId="28">#REF!</definedName>
    <definedName name="______________BTC12">#REF!</definedName>
    <definedName name="______________BTC13" localSheetId="8">#REF!</definedName>
    <definedName name="______________BTC13" localSheetId="10">#REF!</definedName>
    <definedName name="______________BTC13" localSheetId="28">#REF!</definedName>
    <definedName name="______________BTC13">#REF!</definedName>
    <definedName name="______________BTC14" localSheetId="8">#REF!</definedName>
    <definedName name="______________BTC14" localSheetId="10">#REF!</definedName>
    <definedName name="______________BTC14" localSheetId="28">#REF!</definedName>
    <definedName name="______________BTC14">#REF!</definedName>
    <definedName name="______________BTC15" localSheetId="8">#REF!</definedName>
    <definedName name="______________BTC15" localSheetId="10">#REF!</definedName>
    <definedName name="______________BTC15" localSheetId="28">#REF!</definedName>
    <definedName name="______________BTC15">#REF!</definedName>
    <definedName name="______________BTC2" localSheetId="8">#REF!</definedName>
    <definedName name="______________BTC2" localSheetId="10">#REF!</definedName>
    <definedName name="______________BTC2" localSheetId="28">#REF!</definedName>
    <definedName name="______________BTC2">#REF!</definedName>
    <definedName name="______________BTC3" localSheetId="8">#REF!</definedName>
    <definedName name="______________BTC3" localSheetId="10">#REF!</definedName>
    <definedName name="______________BTC3" localSheetId="28">#REF!</definedName>
    <definedName name="______________BTC3">#REF!</definedName>
    <definedName name="______________BTC4" localSheetId="8">#REF!</definedName>
    <definedName name="______________BTC4" localSheetId="10">#REF!</definedName>
    <definedName name="______________BTC4" localSheetId="28">#REF!</definedName>
    <definedName name="______________BTC4">#REF!</definedName>
    <definedName name="______________BTC5" localSheetId="8">#REF!</definedName>
    <definedName name="______________BTC5" localSheetId="10">#REF!</definedName>
    <definedName name="______________BTC5" localSheetId="28">#REF!</definedName>
    <definedName name="______________BTC5">#REF!</definedName>
    <definedName name="______________BTC6" localSheetId="8">#REF!</definedName>
    <definedName name="______________BTC6" localSheetId="10">#REF!</definedName>
    <definedName name="______________BTC6" localSheetId="28">#REF!</definedName>
    <definedName name="______________BTC6">#REF!</definedName>
    <definedName name="______________BTC7" localSheetId="8">#REF!</definedName>
    <definedName name="______________BTC7" localSheetId="10">#REF!</definedName>
    <definedName name="______________BTC7" localSheetId="28">#REF!</definedName>
    <definedName name="______________BTC7">#REF!</definedName>
    <definedName name="______________BTC8" localSheetId="8">#REF!</definedName>
    <definedName name="______________BTC8" localSheetId="10">#REF!</definedName>
    <definedName name="______________BTC8" localSheetId="28">#REF!</definedName>
    <definedName name="______________BTC8">#REF!</definedName>
    <definedName name="______________BTC9" localSheetId="8">#REF!</definedName>
    <definedName name="______________BTC9" localSheetId="10">#REF!</definedName>
    <definedName name="______________BTC9" localSheetId="28">#REF!</definedName>
    <definedName name="______________BTC9">#REF!</definedName>
    <definedName name="______________BTS1" localSheetId="8">#REF!</definedName>
    <definedName name="______________BTS1" localSheetId="10">#REF!</definedName>
    <definedName name="______________BTS1" localSheetId="28">#REF!</definedName>
    <definedName name="______________BTS1">#REF!</definedName>
    <definedName name="______________BTS10" localSheetId="8">#REF!</definedName>
    <definedName name="______________BTS10" localSheetId="10">#REF!</definedName>
    <definedName name="______________BTS10" localSheetId="28">#REF!</definedName>
    <definedName name="______________BTS10">#REF!</definedName>
    <definedName name="______________BTS11" localSheetId="8">#REF!</definedName>
    <definedName name="______________BTS11" localSheetId="10">#REF!</definedName>
    <definedName name="______________BTS11" localSheetId="28">#REF!</definedName>
    <definedName name="______________BTS11">#REF!</definedName>
    <definedName name="______________BTS12" localSheetId="8">#REF!</definedName>
    <definedName name="______________BTS12" localSheetId="10">#REF!</definedName>
    <definedName name="______________BTS12" localSheetId="28">#REF!</definedName>
    <definedName name="______________BTS12">#REF!</definedName>
    <definedName name="______________BTS13" localSheetId="8">#REF!</definedName>
    <definedName name="______________BTS13" localSheetId="10">#REF!</definedName>
    <definedName name="______________BTS13" localSheetId="28">#REF!</definedName>
    <definedName name="______________BTS13">#REF!</definedName>
    <definedName name="______________BTS14" localSheetId="8">#REF!</definedName>
    <definedName name="______________BTS14" localSheetId="10">#REF!</definedName>
    <definedName name="______________BTS14" localSheetId="28">#REF!</definedName>
    <definedName name="______________BTS14">#REF!</definedName>
    <definedName name="______________BTS15" localSheetId="8">#REF!</definedName>
    <definedName name="______________BTS15" localSheetId="10">#REF!</definedName>
    <definedName name="______________BTS15" localSheetId="28">#REF!</definedName>
    <definedName name="______________BTS15">#REF!</definedName>
    <definedName name="______________BTS2" localSheetId="8">#REF!</definedName>
    <definedName name="______________BTS2" localSheetId="10">#REF!</definedName>
    <definedName name="______________BTS2" localSheetId="28">#REF!</definedName>
    <definedName name="______________BTS2">#REF!</definedName>
    <definedName name="______________BTS3" localSheetId="8">#REF!</definedName>
    <definedName name="______________BTS3" localSheetId="10">#REF!</definedName>
    <definedName name="______________BTS3" localSheetId="28">#REF!</definedName>
    <definedName name="______________BTS3">#REF!</definedName>
    <definedName name="______________BTS4" localSheetId="8">#REF!</definedName>
    <definedName name="______________BTS4" localSheetId="10">#REF!</definedName>
    <definedName name="______________BTS4" localSheetId="28">#REF!</definedName>
    <definedName name="______________BTS4">#REF!</definedName>
    <definedName name="______________BTS5" localSheetId="8">#REF!</definedName>
    <definedName name="______________BTS5" localSheetId="10">#REF!</definedName>
    <definedName name="______________BTS5" localSheetId="28">#REF!</definedName>
    <definedName name="______________BTS5">#REF!</definedName>
    <definedName name="______________BTS6" localSheetId="8">#REF!</definedName>
    <definedName name="______________BTS6" localSheetId="10">#REF!</definedName>
    <definedName name="______________BTS6" localSheetId="28">#REF!</definedName>
    <definedName name="______________BTS6">#REF!</definedName>
    <definedName name="______________BTS7" localSheetId="8">#REF!</definedName>
    <definedName name="______________BTS7" localSheetId="10">#REF!</definedName>
    <definedName name="______________BTS7" localSheetId="28">#REF!</definedName>
    <definedName name="______________BTS7">#REF!</definedName>
    <definedName name="______________BTS8" localSheetId="8">#REF!</definedName>
    <definedName name="______________BTS8" localSheetId="10">#REF!</definedName>
    <definedName name="______________BTS8" localSheetId="28">#REF!</definedName>
    <definedName name="______________BTS8">#REF!</definedName>
    <definedName name="______________BTS9" localSheetId="8">#REF!</definedName>
    <definedName name="______________BTS9" localSheetId="10">#REF!</definedName>
    <definedName name="______________BTS9" localSheetId="28">#REF!</definedName>
    <definedName name="______________BTS9">#REF!</definedName>
    <definedName name="______________can430">40.73</definedName>
    <definedName name="______________can435">43.3</definedName>
    <definedName name="______________cbr1">#REF!</definedName>
    <definedName name="______________cbr2">#REF!</definedName>
    <definedName name="______________cbr3">#REF!</definedName>
    <definedName name="______________cbr4">#REF!</definedName>
    <definedName name="______________cur1">[6]r!$F$30</definedName>
    <definedName name="______________er1">#REF!</definedName>
    <definedName name="______________ewe1" localSheetId="28">#REF!</definedName>
    <definedName name="______________f1">#REF!</definedName>
    <definedName name="______________GBS11" localSheetId="8">#REF!</definedName>
    <definedName name="______________GBS11" localSheetId="10">#REF!</definedName>
    <definedName name="______________GBS11" localSheetId="28">#REF!</definedName>
    <definedName name="______________GBS11">#REF!</definedName>
    <definedName name="______________GBS110" localSheetId="8">#REF!</definedName>
    <definedName name="______________GBS110" localSheetId="10">#REF!</definedName>
    <definedName name="______________GBS110" localSheetId="28">#REF!</definedName>
    <definedName name="______________GBS110">#REF!</definedName>
    <definedName name="______________GBS111" localSheetId="8">#REF!</definedName>
    <definedName name="______________GBS111" localSheetId="10">#REF!</definedName>
    <definedName name="______________GBS111" localSheetId="28">#REF!</definedName>
    <definedName name="______________GBS111">#REF!</definedName>
    <definedName name="______________GBS112" localSheetId="8">#REF!</definedName>
    <definedName name="______________GBS112" localSheetId="10">#REF!</definedName>
    <definedName name="______________GBS112" localSheetId="28">#REF!</definedName>
    <definedName name="______________GBS112">#REF!</definedName>
    <definedName name="______________GBS113" localSheetId="8">#REF!</definedName>
    <definedName name="______________GBS113" localSheetId="10">#REF!</definedName>
    <definedName name="______________GBS113" localSheetId="28">#REF!</definedName>
    <definedName name="______________GBS113">#REF!</definedName>
    <definedName name="______________GBS114" localSheetId="8">#REF!</definedName>
    <definedName name="______________GBS114" localSheetId="10">#REF!</definedName>
    <definedName name="______________GBS114" localSheetId="28">#REF!</definedName>
    <definedName name="______________GBS114">#REF!</definedName>
    <definedName name="______________GBS115" localSheetId="8">#REF!</definedName>
    <definedName name="______________GBS115" localSheetId="10">#REF!</definedName>
    <definedName name="______________GBS115" localSheetId="28">#REF!</definedName>
    <definedName name="______________GBS115">#REF!</definedName>
    <definedName name="______________GBS12" localSheetId="8">#REF!</definedName>
    <definedName name="______________GBS12" localSheetId="10">#REF!</definedName>
    <definedName name="______________GBS12" localSheetId="28">#REF!</definedName>
    <definedName name="______________GBS12">#REF!</definedName>
    <definedName name="______________GBS13" localSheetId="8">#REF!</definedName>
    <definedName name="______________GBS13" localSheetId="10">#REF!</definedName>
    <definedName name="______________GBS13" localSheetId="28">#REF!</definedName>
    <definedName name="______________GBS13">#REF!</definedName>
    <definedName name="______________GBS14" localSheetId="8">#REF!</definedName>
    <definedName name="______________GBS14" localSheetId="10">#REF!</definedName>
    <definedName name="______________GBS14" localSheetId="28">#REF!</definedName>
    <definedName name="______________GBS14">#REF!</definedName>
    <definedName name="______________GBS15" localSheetId="8">#REF!</definedName>
    <definedName name="______________GBS15" localSheetId="10">#REF!</definedName>
    <definedName name="______________GBS15" localSheetId="28">#REF!</definedName>
    <definedName name="______________GBS15">#REF!</definedName>
    <definedName name="______________GBS16" localSheetId="8">#REF!</definedName>
    <definedName name="______________GBS16" localSheetId="10">#REF!</definedName>
    <definedName name="______________GBS16" localSheetId="28">#REF!</definedName>
    <definedName name="______________GBS16">#REF!</definedName>
    <definedName name="______________GBS17" localSheetId="8">#REF!</definedName>
    <definedName name="______________GBS17" localSheetId="10">#REF!</definedName>
    <definedName name="______________GBS17" localSheetId="28">#REF!</definedName>
    <definedName name="______________GBS17">#REF!</definedName>
    <definedName name="______________GBS18" localSheetId="8">#REF!</definedName>
    <definedName name="______________GBS18" localSheetId="10">#REF!</definedName>
    <definedName name="______________GBS18" localSheetId="28">#REF!</definedName>
    <definedName name="______________GBS18">#REF!</definedName>
    <definedName name="______________GBS19" localSheetId="8">#REF!</definedName>
    <definedName name="______________GBS19" localSheetId="10">#REF!</definedName>
    <definedName name="______________GBS19" localSheetId="28">#REF!</definedName>
    <definedName name="______________GBS19">#REF!</definedName>
    <definedName name="______________GBS21" localSheetId="8">#REF!</definedName>
    <definedName name="______________GBS21" localSheetId="10">#REF!</definedName>
    <definedName name="______________GBS21" localSheetId="28">#REF!</definedName>
    <definedName name="______________GBS21">#REF!</definedName>
    <definedName name="______________GBS210" localSheetId="8">#REF!</definedName>
    <definedName name="______________GBS210" localSheetId="10">#REF!</definedName>
    <definedName name="______________GBS210" localSheetId="28">#REF!</definedName>
    <definedName name="______________GBS210">#REF!</definedName>
    <definedName name="______________GBS211" localSheetId="8">#REF!</definedName>
    <definedName name="______________GBS211" localSheetId="10">#REF!</definedName>
    <definedName name="______________GBS211" localSheetId="28">#REF!</definedName>
    <definedName name="______________GBS211">#REF!</definedName>
    <definedName name="______________GBS212" localSheetId="8">#REF!</definedName>
    <definedName name="______________GBS212" localSheetId="10">#REF!</definedName>
    <definedName name="______________GBS212" localSheetId="28">#REF!</definedName>
    <definedName name="______________GBS212">#REF!</definedName>
    <definedName name="______________GBS213" localSheetId="8">#REF!</definedName>
    <definedName name="______________GBS213" localSheetId="10">#REF!</definedName>
    <definedName name="______________GBS213" localSheetId="28">#REF!</definedName>
    <definedName name="______________GBS213">#REF!</definedName>
    <definedName name="______________GBS214" localSheetId="8">#REF!</definedName>
    <definedName name="______________GBS214" localSheetId="10">#REF!</definedName>
    <definedName name="______________GBS214" localSheetId="28">#REF!</definedName>
    <definedName name="______________GBS214">#REF!</definedName>
    <definedName name="______________GBS215" localSheetId="8">#REF!</definedName>
    <definedName name="______________GBS215" localSheetId="10">#REF!</definedName>
    <definedName name="______________GBS215" localSheetId="28">#REF!</definedName>
    <definedName name="______________GBS215">#REF!</definedName>
    <definedName name="______________GBS22" localSheetId="8">#REF!</definedName>
    <definedName name="______________GBS22" localSheetId="10">#REF!</definedName>
    <definedName name="______________GBS22" localSheetId="28">#REF!</definedName>
    <definedName name="______________GBS22">#REF!</definedName>
    <definedName name="______________GBS23" localSheetId="8">#REF!</definedName>
    <definedName name="______________GBS23" localSheetId="10">#REF!</definedName>
    <definedName name="______________GBS23" localSheetId="28">#REF!</definedName>
    <definedName name="______________GBS23">#REF!</definedName>
    <definedName name="______________GBS24" localSheetId="8">#REF!</definedName>
    <definedName name="______________GBS24" localSheetId="10">#REF!</definedName>
    <definedName name="______________GBS24" localSheetId="28">#REF!</definedName>
    <definedName name="______________GBS24">#REF!</definedName>
    <definedName name="______________GBS25" localSheetId="8">#REF!</definedName>
    <definedName name="______________GBS25" localSheetId="10">#REF!</definedName>
    <definedName name="______________GBS25" localSheetId="28">#REF!</definedName>
    <definedName name="______________GBS25">#REF!</definedName>
    <definedName name="______________GBS26" localSheetId="8">#REF!</definedName>
    <definedName name="______________GBS26" localSheetId="10">#REF!</definedName>
    <definedName name="______________GBS26" localSheetId="28">#REF!</definedName>
    <definedName name="______________GBS26">#REF!</definedName>
    <definedName name="______________GBS27" localSheetId="8">#REF!</definedName>
    <definedName name="______________GBS27" localSheetId="10">#REF!</definedName>
    <definedName name="______________GBS27" localSheetId="28">#REF!</definedName>
    <definedName name="______________GBS27">#REF!</definedName>
    <definedName name="______________GBS28" localSheetId="8">#REF!</definedName>
    <definedName name="______________GBS28" localSheetId="10">#REF!</definedName>
    <definedName name="______________GBS28" localSheetId="28">#REF!</definedName>
    <definedName name="______________GBS28">#REF!</definedName>
    <definedName name="______________GBS29" localSheetId="8">#REF!</definedName>
    <definedName name="______________GBS29" localSheetId="10">#REF!</definedName>
    <definedName name="______________GBS29" localSheetId="28">#REF!</definedName>
    <definedName name="______________GBS29">#REF!</definedName>
    <definedName name="______________gus1">#REF!</definedName>
    <definedName name="______________hpm1">#REF!</definedName>
    <definedName name="______________knr2" localSheetId="5">#REF!</definedName>
    <definedName name="______________knr2" localSheetId="14">#REF!</definedName>
    <definedName name="______________knr2" localSheetId="8">#REF!</definedName>
    <definedName name="______________knr2" localSheetId="10">#REF!</definedName>
    <definedName name="______________knr2" localSheetId="28">#REF!</definedName>
    <definedName name="______________knr2">#REF!</definedName>
    <definedName name="______________l1">[2]leads!$A$3:$E$108</definedName>
    <definedName name="______________l12" localSheetId="35">#REF!</definedName>
    <definedName name="______________l12" localSheetId="5">#REF!</definedName>
    <definedName name="______________l12" localSheetId="8">#REF!</definedName>
    <definedName name="______________l12" localSheetId="10">#REF!</definedName>
    <definedName name="______________l12" localSheetId="11">#REF!</definedName>
    <definedName name="______________l12" localSheetId="28">#REF!</definedName>
    <definedName name="______________l12" localSheetId="42">#REF!</definedName>
    <definedName name="______________l12" localSheetId="31">#REF!</definedName>
    <definedName name="______________l12">#REF!</definedName>
    <definedName name="______________l2">[6]r!$F$29</definedName>
    <definedName name="______________l3" localSheetId="35">#REF!</definedName>
    <definedName name="______________l3" localSheetId="5">#REF!</definedName>
    <definedName name="______________l3" localSheetId="8">#REF!</definedName>
    <definedName name="______________l3" localSheetId="10">#REF!</definedName>
    <definedName name="______________l3" localSheetId="11">#REF!</definedName>
    <definedName name="______________l3" localSheetId="28">#REF!</definedName>
    <definedName name="______________l3" localSheetId="42">#REF!</definedName>
    <definedName name="______________l3" localSheetId="31">#REF!</definedName>
    <definedName name="______________l3">#REF!</definedName>
    <definedName name="______________l4">[3]Sheet1!$W$2:$Y$103</definedName>
    <definedName name="______________l5" localSheetId="35">#REF!</definedName>
    <definedName name="______________l5" localSheetId="5">#REF!</definedName>
    <definedName name="______________l5" localSheetId="8">#REF!</definedName>
    <definedName name="______________l5" localSheetId="10">#REF!</definedName>
    <definedName name="______________l5" localSheetId="11">#REF!</definedName>
    <definedName name="______________l5" localSheetId="28">#REF!</definedName>
    <definedName name="______________l5" localSheetId="42">#REF!</definedName>
    <definedName name="______________l5" localSheetId="31">#REF!</definedName>
    <definedName name="______________l5">#REF!</definedName>
    <definedName name="______________l6">[6]r!$F$4</definedName>
    <definedName name="______________l7">[7]r!$F$4</definedName>
    <definedName name="______________l8">[6]r!$F$2</definedName>
    <definedName name="______________l9">[6]r!$F$3</definedName>
    <definedName name="______________lcn1">#REF!</definedName>
    <definedName name="______________LI9" localSheetId="8">#REF!</definedName>
    <definedName name="______________LI9" localSheetId="10">#REF!</definedName>
    <definedName name="______________LI9" localSheetId="28">#REF!</definedName>
    <definedName name="______________LI9">#REF!</definedName>
    <definedName name="______________LII9" localSheetId="8">#REF!</definedName>
    <definedName name="______________LII9" localSheetId="10">#REF!</definedName>
    <definedName name="______________LII9" localSheetId="28">#REF!</definedName>
    <definedName name="______________LII9">#REF!</definedName>
    <definedName name="______________lm1" localSheetId="28">#REF!</definedName>
    <definedName name="______________ML11" localSheetId="8">#REF!</definedName>
    <definedName name="______________ML11" localSheetId="10">#REF!</definedName>
    <definedName name="______________ML11" localSheetId="28">#REF!</definedName>
    <definedName name="______________ML11">#REF!</definedName>
    <definedName name="______________ML110" localSheetId="8">#REF!</definedName>
    <definedName name="______________ML110" localSheetId="10">#REF!</definedName>
    <definedName name="______________ML110" localSheetId="28">#REF!</definedName>
    <definedName name="______________ML110">#REF!</definedName>
    <definedName name="______________ML111" localSheetId="8">#REF!</definedName>
    <definedName name="______________ML111" localSheetId="10">#REF!</definedName>
    <definedName name="______________ML111" localSheetId="28">#REF!</definedName>
    <definedName name="______________ML111">#REF!</definedName>
    <definedName name="______________ML112" localSheetId="8">#REF!</definedName>
    <definedName name="______________ML112" localSheetId="10">#REF!</definedName>
    <definedName name="______________ML112" localSheetId="28">#REF!</definedName>
    <definedName name="______________ML112">#REF!</definedName>
    <definedName name="______________ML113" localSheetId="8">#REF!</definedName>
    <definedName name="______________ML113" localSheetId="10">#REF!</definedName>
    <definedName name="______________ML113" localSheetId="28">#REF!</definedName>
    <definedName name="______________ML113">#REF!</definedName>
    <definedName name="______________ML114" localSheetId="8">#REF!</definedName>
    <definedName name="______________ML114" localSheetId="10">#REF!</definedName>
    <definedName name="______________ML114" localSheetId="28">#REF!</definedName>
    <definedName name="______________ML114">#REF!</definedName>
    <definedName name="______________ML115" localSheetId="8">#REF!</definedName>
    <definedName name="______________ML115" localSheetId="10">#REF!</definedName>
    <definedName name="______________ML115" localSheetId="28">#REF!</definedName>
    <definedName name="______________ML115">#REF!</definedName>
    <definedName name="______________ML12" localSheetId="8">#REF!</definedName>
    <definedName name="______________ML12" localSheetId="10">#REF!</definedName>
    <definedName name="______________ML12" localSheetId="28">#REF!</definedName>
    <definedName name="______________ML12">#REF!</definedName>
    <definedName name="______________ML13" localSheetId="8">#REF!</definedName>
    <definedName name="______________ML13" localSheetId="10">#REF!</definedName>
    <definedName name="______________ML13" localSheetId="28">#REF!</definedName>
    <definedName name="______________ML13">#REF!</definedName>
    <definedName name="______________ML14" localSheetId="8">#REF!</definedName>
    <definedName name="______________ML14" localSheetId="10">#REF!</definedName>
    <definedName name="______________ML14" localSheetId="28">#REF!</definedName>
    <definedName name="______________ML14">#REF!</definedName>
    <definedName name="______________ML15" localSheetId="8">#REF!</definedName>
    <definedName name="______________ML15" localSheetId="10">#REF!</definedName>
    <definedName name="______________ML15" localSheetId="28">#REF!</definedName>
    <definedName name="______________ML15">#REF!</definedName>
    <definedName name="______________ML16" localSheetId="8">#REF!</definedName>
    <definedName name="______________ML16" localSheetId="10">#REF!</definedName>
    <definedName name="______________ML16" localSheetId="28">#REF!</definedName>
    <definedName name="______________ML16">#REF!</definedName>
    <definedName name="______________ML17" localSheetId="8">#REF!</definedName>
    <definedName name="______________ML17" localSheetId="10">#REF!</definedName>
    <definedName name="______________ML17" localSheetId="28">#REF!</definedName>
    <definedName name="______________ML17">#REF!</definedName>
    <definedName name="______________ML18" localSheetId="8">#REF!</definedName>
    <definedName name="______________ML18" localSheetId="10">#REF!</definedName>
    <definedName name="______________ML18" localSheetId="28">#REF!</definedName>
    <definedName name="______________ML18">#REF!</definedName>
    <definedName name="______________ML19" localSheetId="8">#REF!</definedName>
    <definedName name="______________ML19" localSheetId="10">#REF!</definedName>
    <definedName name="______________ML19" localSheetId="28">#REF!</definedName>
    <definedName name="______________ML19">#REF!</definedName>
    <definedName name="______________ML21" localSheetId="8">#REF!</definedName>
    <definedName name="______________ML21" localSheetId="10">#REF!</definedName>
    <definedName name="______________ML21" localSheetId="28">#REF!</definedName>
    <definedName name="______________ML21">#REF!</definedName>
    <definedName name="______________ML210" localSheetId="8">#REF!</definedName>
    <definedName name="______________ML210" localSheetId="10">#REF!</definedName>
    <definedName name="______________ML210" localSheetId="28">#REF!</definedName>
    <definedName name="______________ML210">#REF!</definedName>
    <definedName name="______________ML211" localSheetId="8">#REF!</definedName>
    <definedName name="______________ML211" localSheetId="10">#REF!</definedName>
    <definedName name="______________ML211" localSheetId="28">#REF!</definedName>
    <definedName name="______________ML211">#REF!</definedName>
    <definedName name="______________ML212" localSheetId="8">#REF!</definedName>
    <definedName name="______________ML212" localSheetId="10">#REF!</definedName>
    <definedName name="______________ML212" localSheetId="28">#REF!</definedName>
    <definedName name="______________ML212">#REF!</definedName>
    <definedName name="______________ML213" localSheetId="8">#REF!</definedName>
    <definedName name="______________ML213" localSheetId="10">#REF!</definedName>
    <definedName name="______________ML213" localSheetId="28">#REF!</definedName>
    <definedName name="______________ML213">#REF!</definedName>
    <definedName name="______________ML214" localSheetId="8">#REF!</definedName>
    <definedName name="______________ML214" localSheetId="10">#REF!</definedName>
    <definedName name="______________ML214" localSheetId="28">#REF!</definedName>
    <definedName name="______________ML214">#REF!</definedName>
    <definedName name="______________ML215" localSheetId="8">#REF!</definedName>
    <definedName name="______________ML215" localSheetId="10">#REF!</definedName>
    <definedName name="______________ML215" localSheetId="28">#REF!</definedName>
    <definedName name="______________ML215">#REF!</definedName>
    <definedName name="______________ML22" localSheetId="8">#REF!</definedName>
    <definedName name="______________ML22" localSheetId="10">#REF!</definedName>
    <definedName name="______________ML22" localSheetId="28">#REF!</definedName>
    <definedName name="______________ML22">#REF!</definedName>
    <definedName name="______________ML23" localSheetId="8">#REF!</definedName>
    <definedName name="______________ML23" localSheetId="10">#REF!</definedName>
    <definedName name="______________ML23" localSheetId="28">#REF!</definedName>
    <definedName name="______________ML23">#REF!</definedName>
    <definedName name="______________ML24" localSheetId="8">#REF!</definedName>
    <definedName name="______________ML24" localSheetId="10">#REF!</definedName>
    <definedName name="______________ML24" localSheetId="28">#REF!</definedName>
    <definedName name="______________ML24">#REF!</definedName>
    <definedName name="______________ML25" localSheetId="8">#REF!</definedName>
    <definedName name="______________ML25" localSheetId="10">#REF!</definedName>
    <definedName name="______________ML25" localSheetId="28">#REF!</definedName>
    <definedName name="______________ML25">#REF!</definedName>
    <definedName name="______________ML26" localSheetId="8">#REF!</definedName>
    <definedName name="______________ML26" localSheetId="10">#REF!</definedName>
    <definedName name="______________ML26" localSheetId="28">#REF!</definedName>
    <definedName name="______________ML26">#REF!</definedName>
    <definedName name="______________ML27" localSheetId="8">#REF!</definedName>
    <definedName name="______________ML27" localSheetId="10">#REF!</definedName>
    <definedName name="______________ML27" localSheetId="28">#REF!</definedName>
    <definedName name="______________ML27">#REF!</definedName>
    <definedName name="______________ML28" localSheetId="8">#REF!</definedName>
    <definedName name="______________ML28" localSheetId="10">#REF!</definedName>
    <definedName name="______________ML28" localSheetId="28">#REF!</definedName>
    <definedName name="______________ML28">#REF!</definedName>
    <definedName name="______________ML29" localSheetId="8">#REF!</definedName>
    <definedName name="______________ML29" localSheetId="10">#REF!</definedName>
    <definedName name="______________ML29" localSheetId="28">#REF!</definedName>
    <definedName name="______________ML29">#REF!</definedName>
    <definedName name="______________ML31" localSheetId="8">#REF!</definedName>
    <definedName name="______________ML31" localSheetId="10">#REF!</definedName>
    <definedName name="______________ML31" localSheetId="28">#REF!</definedName>
    <definedName name="______________ML31">#REF!</definedName>
    <definedName name="______________ML310" localSheetId="8">#REF!</definedName>
    <definedName name="______________ML310" localSheetId="10">#REF!</definedName>
    <definedName name="______________ML310" localSheetId="28">#REF!</definedName>
    <definedName name="______________ML310">#REF!</definedName>
    <definedName name="______________ML311" localSheetId="8">#REF!</definedName>
    <definedName name="______________ML311" localSheetId="10">#REF!</definedName>
    <definedName name="______________ML311" localSheetId="28">#REF!</definedName>
    <definedName name="______________ML311">#REF!</definedName>
    <definedName name="______________ML312" localSheetId="8">#REF!</definedName>
    <definedName name="______________ML312" localSheetId="10">#REF!</definedName>
    <definedName name="______________ML312" localSheetId="28">#REF!</definedName>
    <definedName name="______________ML312">#REF!</definedName>
    <definedName name="______________ML313" localSheetId="8">#REF!</definedName>
    <definedName name="______________ML313" localSheetId="10">#REF!</definedName>
    <definedName name="______________ML313" localSheetId="28">#REF!</definedName>
    <definedName name="______________ML313">#REF!</definedName>
    <definedName name="______________ML314" localSheetId="8">#REF!</definedName>
    <definedName name="______________ML314" localSheetId="10">#REF!</definedName>
    <definedName name="______________ML314" localSheetId="28">#REF!</definedName>
    <definedName name="______________ML314">#REF!</definedName>
    <definedName name="______________ML315" localSheetId="8">#REF!</definedName>
    <definedName name="______________ML315" localSheetId="10">#REF!</definedName>
    <definedName name="______________ML315" localSheetId="28">#REF!</definedName>
    <definedName name="______________ML315">#REF!</definedName>
    <definedName name="______________ML32" localSheetId="8">#REF!</definedName>
    <definedName name="______________ML32" localSheetId="10">#REF!</definedName>
    <definedName name="______________ML32" localSheetId="28">#REF!</definedName>
    <definedName name="______________ML32">#REF!</definedName>
    <definedName name="______________ML33" localSheetId="8">#REF!</definedName>
    <definedName name="______________ML33" localSheetId="10">#REF!</definedName>
    <definedName name="______________ML33" localSheetId="28">#REF!</definedName>
    <definedName name="______________ML33">#REF!</definedName>
    <definedName name="______________ML34" localSheetId="8">#REF!</definedName>
    <definedName name="______________ML34" localSheetId="10">#REF!</definedName>
    <definedName name="______________ML34" localSheetId="28">#REF!</definedName>
    <definedName name="______________ML34">#REF!</definedName>
    <definedName name="______________ML35" localSheetId="8">#REF!</definedName>
    <definedName name="______________ML35" localSheetId="10">#REF!</definedName>
    <definedName name="______________ML35" localSheetId="28">#REF!</definedName>
    <definedName name="______________ML35">#REF!</definedName>
    <definedName name="______________ML36" localSheetId="8">#REF!</definedName>
    <definedName name="______________ML36" localSheetId="10">#REF!</definedName>
    <definedName name="______________ML36" localSheetId="28">#REF!</definedName>
    <definedName name="______________ML36">#REF!</definedName>
    <definedName name="______________ML37" localSheetId="8">#REF!</definedName>
    <definedName name="______________ML37" localSheetId="10">#REF!</definedName>
    <definedName name="______________ML37" localSheetId="28">#REF!</definedName>
    <definedName name="______________ML37">#REF!</definedName>
    <definedName name="______________ML38" localSheetId="8">#REF!</definedName>
    <definedName name="______________ML38" localSheetId="10">#REF!</definedName>
    <definedName name="______________ML38" localSheetId="28">#REF!</definedName>
    <definedName name="______________ML38">#REF!</definedName>
    <definedName name="______________ML39" localSheetId="8">#REF!</definedName>
    <definedName name="______________ML39" localSheetId="10">#REF!</definedName>
    <definedName name="______________ML39" localSheetId="28">#REF!</definedName>
    <definedName name="______________ML39">#REF!</definedName>
    <definedName name="______________ML7" localSheetId="8">#REF!</definedName>
    <definedName name="______________ML7" localSheetId="10">#REF!</definedName>
    <definedName name="______________ML7" localSheetId="28">#REF!</definedName>
    <definedName name="______________ML7">#REF!</definedName>
    <definedName name="______________ML8" localSheetId="8">#REF!</definedName>
    <definedName name="______________ML8" localSheetId="10">#REF!</definedName>
    <definedName name="______________ML8" localSheetId="28">#REF!</definedName>
    <definedName name="______________ML8">#REF!</definedName>
    <definedName name="______________ML9" localSheetId="8">#REF!</definedName>
    <definedName name="______________ML9" localSheetId="10">#REF!</definedName>
    <definedName name="______________ML9" localSheetId="28">#REF!</definedName>
    <definedName name="______________ML9">#REF!</definedName>
    <definedName name="______________mm1">[4]r!$F$4</definedName>
    <definedName name="______________mm11">[6]r!$F$4</definedName>
    <definedName name="______________mm111">[7]r!$F$4</definedName>
    <definedName name="______________mm20" localSheetId="28">#REF!</definedName>
    <definedName name="______________mm40">#REF!</definedName>
    <definedName name="______________pc2" localSheetId="35">#REF!</definedName>
    <definedName name="______________pc2" localSheetId="5">#REF!</definedName>
    <definedName name="______________pc2" localSheetId="8">#REF!</definedName>
    <definedName name="______________pc2" localSheetId="10">#REF!</definedName>
    <definedName name="______________pc2" localSheetId="11">#REF!</definedName>
    <definedName name="______________pc2" localSheetId="28">#REF!</definedName>
    <definedName name="______________pc2" localSheetId="42">#REF!</definedName>
    <definedName name="______________pc2" localSheetId="31">#REF!</definedName>
    <definedName name="______________pc2">#REF!</definedName>
    <definedName name="______________PMS2" localSheetId="8">#REF!</definedName>
    <definedName name="______________PMS2" localSheetId="10">#REF!</definedName>
    <definedName name="______________PMS2" localSheetId="28">#REF!</definedName>
    <definedName name="______________PMS2">#REF!</definedName>
    <definedName name="______________pv2" localSheetId="35">#REF!</definedName>
    <definedName name="______________pv2" localSheetId="5">#REF!</definedName>
    <definedName name="______________pv2" localSheetId="8">#REF!</definedName>
    <definedName name="______________pv2" localSheetId="10">#REF!</definedName>
    <definedName name="______________pv2" localSheetId="11">#REF!</definedName>
    <definedName name="______________pv2" localSheetId="28">#REF!</definedName>
    <definedName name="______________pv2" localSheetId="42">#REF!</definedName>
    <definedName name="______________pv2" localSheetId="31">#REF!</definedName>
    <definedName name="______________pv2">#REF!</definedName>
    <definedName name="______________rr3">[5]v!$A$2:$E$51</definedName>
    <definedName name="______________rrr1">[5]r!$B$1:$I$145</definedName>
    <definedName name="______________sw1" localSheetId="28">#REF!</definedName>
    <definedName name="______________us1">#REF!</definedName>
    <definedName name="______________var1" localSheetId="35">#REF!</definedName>
    <definedName name="______________var1" localSheetId="5">#REF!</definedName>
    <definedName name="______________var1" localSheetId="8">#REF!</definedName>
    <definedName name="______________var1" localSheetId="10">#REF!</definedName>
    <definedName name="______________var1" localSheetId="11">#REF!</definedName>
    <definedName name="______________var1" localSheetId="28">#REF!</definedName>
    <definedName name="______________var1" localSheetId="42">#REF!</definedName>
    <definedName name="______________var1" localSheetId="31">#REF!</definedName>
    <definedName name="______________var1">#REF!</definedName>
    <definedName name="______________var4" localSheetId="35">#REF!</definedName>
    <definedName name="______________var4" localSheetId="5">#REF!</definedName>
    <definedName name="______________var4" localSheetId="8">#REF!</definedName>
    <definedName name="______________var4" localSheetId="10">#REF!</definedName>
    <definedName name="______________var4" localSheetId="11">#REF!</definedName>
    <definedName name="______________var4" localSheetId="28">#REF!</definedName>
    <definedName name="______________var4" localSheetId="42">#REF!</definedName>
    <definedName name="______________var4" localSheetId="31">#REF!</definedName>
    <definedName name="______________var4">#REF!</definedName>
    <definedName name="______________vat1">#REF!</definedName>
    <definedName name="______________vat2">#REF!</definedName>
    <definedName name="______________xlfn_BAHTTEXT">#N/A</definedName>
    <definedName name="_____________abs1" localSheetId="8">#REF!</definedName>
    <definedName name="_____________abs1" localSheetId="10">#REF!</definedName>
    <definedName name="_____________abs1" localSheetId="28">#REF!</definedName>
    <definedName name="_____________abs1">#REF!</definedName>
    <definedName name="_____________AUX1" localSheetId="28">#REF!</definedName>
    <definedName name="_____________aux2" localSheetId="28">#REF!</definedName>
    <definedName name="_____________AUX3">#REF!</definedName>
    <definedName name="_____________bla1" localSheetId="37">[1]leads!$H$7</definedName>
    <definedName name="_____________bla1">[19]leads!$H$7</definedName>
    <definedName name="_____________BSG100" localSheetId="8">#REF!</definedName>
    <definedName name="_____________BSG100" localSheetId="10">#REF!</definedName>
    <definedName name="_____________BSG100" localSheetId="28">#REF!</definedName>
    <definedName name="_____________BSG100">#REF!</definedName>
    <definedName name="_____________BSG150" localSheetId="8">#REF!</definedName>
    <definedName name="_____________BSG150" localSheetId="10">#REF!</definedName>
    <definedName name="_____________BSG150" localSheetId="28">#REF!</definedName>
    <definedName name="_____________BSG150">#REF!</definedName>
    <definedName name="_____________BSG5" localSheetId="8">#REF!</definedName>
    <definedName name="_____________BSG5" localSheetId="10">#REF!</definedName>
    <definedName name="_____________BSG5" localSheetId="28">#REF!</definedName>
    <definedName name="_____________BSG5">#REF!</definedName>
    <definedName name="_____________BSG75" localSheetId="8">#REF!</definedName>
    <definedName name="_____________BSG75" localSheetId="10">#REF!</definedName>
    <definedName name="_____________BSG75" localSheetId="28">#REF!</definedName>
    <definedName name="_____________BSG75">#REF!</definedName>
    <definedName name="_____________BTC1" localSheetId="8">#REF!</definedName>
    <definedName name="_____________BTC1" localSheetId="10">#REF!</definedName>
    <definedName name="_____________BTC1" localSheetId="28">#REF!</definedName>
    <definedName name="_____________BTC1">#REF!</definedName>
    <definedName name="_____________BTC10" localSheetId="8">#REF!</definedName>
    <definedName name="_____________BTC10" localSheetId="10">#REF!</definedName>
    <definedName name="_____________BTC10" localSheetId="28">#REF!</definedName>
    <definedName name="_____________BTC10">#REF!</definedName>
    <definedName name="_____________BTC11" localSheetId="8">#REF!</definedName>
    <definedName name="_____________BTC11" localSheetId="10">#REF!</definedName>
    <definedName name="_____________BTC11" localSheetId="28">#REF!</definedName>
    <definedName name="_____________BTC11">#REF!</definedName>
    <definedName name="_____________BTC12" localSheetId="8">#REF!</definedName>
    <definedName name="_____________BTC12" localSheetId="10">#REF!</definedName>
    <definedName name="_____________BTC12" localSheetId="28">#REF!</definedName>
    <definedName name="_____________BTC12">#REF!</definedName>
    <definedName name="_____________BTC13" localSheetId="8">#REF!</definedName>
    <definedName name="_____________BTC13" localSheetId="10">#REF!</definedName>
    <definedName name="_____________BTC13" localSheetId="28">#REF!</definedName>
    <definedName name="_____________BTC13">#REF!</definedName>
    <definedName name="_____________BTC14" localSheetId="8">#REF!</definedName>
    <definedName name="_____________BTC14" localSheetId="10">#REF!</definedName>
    <definedName name="_____________BTC14" localSheetId="28">#REF!</definedName>
    <definedName name="_____________BTC14">#REF!</definedName>
    <definedName name="_____________BTC15" localSheetId="8">#REF!</definedName>
    <definedName name="_____________BTC15" localSheetId="10">#REF!</definedName>
    <definedName name="_____________BTC15" localSheetId="28">#REF!</definedName>
    <definedName name="_____________BTC15">#REF!</definedName>
    <definedName name="_____________BTC2" localSheetId="8">#REF!</definedName>
    <definedName name="_____________BTC2" localSheetId="10">#REF!</definedName>
    <definedName name="_____________BTC2" localSheetId="28">#REF!</definedName>
    <definedName name="_____________BTC2">#REF!</definedName>
    <definedName name="_____________BTC3" localSheetId="8">#REF!</definedName>
    <definedName name="_____________BTC3" localSheetId="10">#REF!</definedName>
    <definedName name="_____________BTC3" localSheetId="28">#REF!</definedName>
    <definedName name="_____________BTC3">#REF!</definedName>
    <definedName name="_____________BTC4" localSheetId="8">#REF!</definedName>
    <definedName name="_____________BTC4" localSheetId="10">#REF!</definedName>
    <definedName name="_____________BTC4" localSheetId="28">#REF!</definedName>
    <definedName name="_____________BTC4">#REF!</definedName>
    <definedName name="_____________BTC5" localSheetId="8">#REF!</definedName>
    <definedName name="_____________BTC5" localSheetId="10">#REF!</definedName>
    <definedName name="_____________BTC5" localSheetId="28">#REF!</definedName>
    <definedName name="_____________BTC5">#REF!</definedName>
    <definedName name="_____________BTC6" localSheetId="8">#REF!</definedName>
    <definedName name="_____________BTC6" localSheetId="10">#REF!</definedName>
    <definedName name="_____________BTC6" localSheetId="28">#REF!</definedName>
    <definedName name="_____________BTC6">#REF!</definedName>
    <definedName name="_____________BTC7" localSheetId="8">#REF!</definedName>
    <definedName name="_____________BTC7" localSheetId="10">#REF!</definedName>
    <definedName name="_____________BTC7" localSheetId="28">#REF!</definedName>
    <definedName name="_____________BTC7">#REF!</definedName>
    <definedName name="_____________BTC8" localSheetId="8">#REF!</definedName>
    <definedName name="_____________BTC8" localSheetId="10">#REF!</definedName>
    <definedName name="_____________BTC8" localSheetId="28">#REF!</definedName>
    <definedName name="_____________BTC8">#REF!</definedName>
    <definedName name="_____________BTC9" localSheetId="8">#REF!</definedName>
    <definedName name="_____________BTC9" localSheetId="10">#REF!</definedName>
    <definedName name="_____________BTC9" localSheetId="28">#REF!</definedName>
    <definedName name="_____________BTC9">#REF!</definedName>
    <definedName name="_____________BTS1" localSheetId="8">#REF!</definedName>
    <definedName name="_____________BTS1" localSheetId="10">#REF!</definedName>
    <definedName name="_____________BTS1" localSheetId="28">#REF!</definedName>
    <definedName name="_____________BTS1">#REF!</definedName>
    <definedName name="_____________BTS10" localSheetId="8">#REF!</definedName>
    <definedName name="_____________BTS10" localSheetId="10">#REF!</definedName>
    <definedName name="_____________BTS10" localSheetId="28">#REF!</definedName>
    <definedName name="_____________BTS10">#REF!</definedName>
    <definedName name="_____________BTS11" localSheetId="8">#REF!</definedName>
    <definedName name="_____________BTS11" localSheetId="10">#REF!</definedName>
    <definedName name="_____________BTS11" localSheetId="28">#REF!</definedName>
    <definedName name="_____________BTS11">#REF!</definedName>
    <definedName name="_____________BTS12" localSheetId="8">#REF!</definedName>
    <definedName name="_____________BTS12" localSheetId="10">#REF!</definedName>
    <definedName name="_____________BTS12" localSheetId="28">#REF!</definedName>
    <definedName name="_____________BTS12">#REF!</definedName>
    <definedName name="_____________BTS13" localSheetId="8">#REF!</definedName>
    <definedName name="_____________BTS13" localSheetId="10">#REF!</definedName>
    <definedName name="_____________BTS13" localSheetId="28">#REF!</definedName>
    <definedName name="_____________BTS13">#REF!</definedName>
    <definedName name="_____________BTS14" localSheetId="8">#REF!</definedName>
    <definedName name="_____________BTS14" localSheetId="10">#REF!</definedName>
    <definedName name="_____________BTS14" localSheetId="28">#REF!</definedName>
    <definedName name="_____________BTS14">#REF!</definedName>
    <definedName name="_____________BTS15" localSheetId="8">#REF!</definedName>
    <definedName name="_____________BTS15" localSheetId="10">#REF!</definedName>
    <definedName name="_____________BTS15" localSheetId="28">#REF!</definedName>
    <definedName name="_____________BTS15">#REF!</definedName>
    <definedName name="_____________BTS2" localSheetId="8">#REF!</definedName>
    <definedName name="_____________BTS2" localSheetId="10">#REF!</definedName>
    <definedName name="_____________BTS2" localSheetId="28">#REF!</definedName>
    <definedName name="_____________BTS2">#REF!</definedName>
    <definedName name="_____________BTS3" localSheetId="8">#REF!</definedName>
    <definedName name="_____________BTS3" localSheetId="10">#REF!</definedName>
    <definedName name="_____________BTS3" localSheetId="28">#REF!</definedName>
    <definedName name="_____________BTS3">#REF!</definedName>
    <definedName name="_____________BTS4" localSheetId="8">#REF!</definedName>
    <definedName name="_____________BTS4" localSheetId="10">#REF!</definedName>
    <definedName name="_____________BTS4" localSheetId="28">#REF!</definedName>
    <definedName name="_____________BTS4">#REF!</definedName>
    <definedName name="_____________BTS5" localSheetId="8">#REF!</definedName>
    <definedName name="_____________BTS5" localSheetId="10">#REF!</definedName>
    <definedName name="_____________BTS5" localSheetId="28">#REF!</definedName>
    <definedName name="_____________BTS5">#REF!</definedName>
    <definedName name="_____________BTS6" localSheetId="8">#REF!</definedName>
    <definedName name="_____________BTS6" localSheetId="10">#REF!</definedName>
    <definedName name="_____________BTS6" localSheetId="28">#REF!</definedName>
    <definedName name="_____________BTS6">#REF!</definedName>
    <definedName name="_____________BTS7" localSheetId="8">#REF!</definedName>
    <definedName name="_____________BTS7" localSheetId="10">#REF!</definedName>
    <definedName name="_____________BTS7" localSheetId="28">#REF!</definedName>
    <definedName name="_____________BTS7">#REF!</definedName>
    <definedName name="_____________BTS8" localSheetId="8">#REF!</definedName>
    <definedName name="_____________BTS8" localSheetId="10">#REF!</definedName>
    <definedName name="_____________BTS8" localSheetId="28">#REF!</definedName>
    <definedName name="_____________BTS8">#REF!</definedName>
    <definedName name="_____________BTS9" localSheetId="8">#REF!</definedName>
    <definedName name="_____________BTS9" localSheetId="10">#REF!</definedName>
    <definedName name="_____________BTS9" localSheetId="28">#REF!</definedName>
    <definedName name="_____________BTS9">#REF!</definedName>
    <definedName name="_____________can430">40.73</definedName>
    <definedName name="_____________can435">43.3</definedName>
    <definedName name="_____________cbr1">#REF!</definedName>
    <definedName name="_____________cbr2">#REF!</definedName>
    <definedName name="_____________cbr3">#REF!</definedName>
    <definedName name="_____________cbr4">#REF!</definedName>
    <definedName name="_____________cur1">[6]r!$F$30</definedName>
    <definedName name="_____________er1">#REF!</definedName>
    <definedName name="_____________ewe1" localSheetId="28">#REF!</definedName>
    <definedName name="_____________f1">#REF!</definedName>
    <definedName name="_____________GBS11" localSheetId="8">#REF!</definedName>
    <definedName name="_____________GBS11" localSheetId="10">#REF!</definedName>
    <definedName name="_____________GBS11" localSheetId="28">#REF!</definedName>
    <definedName name="_____________GBS11">#REF!</definedName>
    <definedName name="_____________GBS110" localSheetId="8">#REF!</definedName>
    <definedName name="_____________GBS110" localSheetId="10">#REF!</definedName>
    <definedName name="_____________GBS110" localSheetId="28">#REF!</definedName>
    <definedName name="_____________GBS110">#REF!</definedName>
    <definedName name="_____________GBS111" localSheetId="8">#REF!</definedName>
    <definedName name="_____________GBS111" localSheetId="10">#REF!</definedName>
    <definedName name="_____________GBS111" localSheetId="28">#REF!</definedName>
    <definedName name="_____________GBS111">#REF!</definedName>
    <definedName name="_____________GBS112" localSheetId="8">#REF!</definedName>
    <definedName name="_____________GBS112" localSheetId="10">#REF!</definedName>
    <definedName name="_____________GBS112" localSheetId="28">#REF!</definedName>
    <definedName name="_____________GBS112">#REF!</definedName>
    <definedName name="_____________GBS113" localSheetId="8">#REF!</definedName>
    <definedName name="_____________GBS113" localSheetId="10">#REF!</definedName>
    <definedName name="_____________GBS113" localSheetId="28">#REF!</definedName>
    <definedName name="_____________GBS113">#REF!</definedName>
    <definedName name="_____________GBS114" localSheetId="8">#REF!</definedName>
    <definedName name="_____________GBS114" localSheetId="10">#REF!</definedName>
    <definedName name="_____________GBS114" localSheetId="28">#REF!</definedName>
    <definedName name="_____________GBS114">#REF!</definedName>
    <definedName name="_____________GBS115" localSheetId="8">#REF!</definedName>
    <definedName name="_____________GBS115" localSheetId="10">#REF!</definedName>
    <definedName name="_____________GBS115" localSheetId="28">#REF!</definedName>
    <definedName name="_____________GBS115">#REF!</definedName>
    <definedName name="_____________GBS12" localSheetId="8">#REF!</definedName>
    <definedName name="_____________GBS12" localSheetId="10">#REF!</definedName>
    <definedName name="_____________GBS12" localSheetId="28">#REF!</definedName>
    <definedName name="_____________GBS12">#REF!</definedName>
    <definedName name="_____________GBS13" localSheetId="8">#REF!</definedName>
    <definedName name="_____________GBS13" localSheetId="10">#REF!</definedName>
    <definedName name="_____________GBS13" localSheetId="28">#REF!</definedName>
    <definedName name="_____________GBS13">#REF!</definedName>
    <definedName name="_____________GBS14" localSheetId="8">#REF!</definedName>
    <definedName name="_____________GBS14" localSheetId="10">#REF!</definedName>
    <definedName name="_____________GBS14" localSheetId="28">#REF!</definedName>
    <definedName name="_____________GBS14">#REF!</definedName>
    <definedName name="_____________GBS15" localSheetId="8">#REF!</definedName>
    <definedName name="_____________GBS15" localSheetId="10">#REF!</definedName>
    <definedName name="_____________GBS15" localSheetId="28">#REF!</definedName>
    <definedName name="_____________GBS15">#REF!</definedName>
    <definedName name="_____________GBS16" localSheetId="8">#REF!</definedName>
    <definedName name="_____________GBS16" localSheetId="10">#REF!</definedName>
    <definedName name="_____________GBS16" localSheetId="28">#REF!</definedName>
    <definedName name="_____________GBS16">#REF!</definedName>
    <definedName name="_____________GBS17" localSheetId="8">#REF!</definedName>
    <definedName name="_____________GBS17" localSheetId="10">#REF!</definedName>
    <definedName name="_____________GBS17" localSheetId="28">#REF!</definedName>
    <definedName name="_____________GBS17">#REF!</definedName>
    <definedName name="_____________GBS18" localSheetId="8">#REF!</definedName>
    <definedName name="_____________GBS18" localSheetId="10">#REF!</definedName>
    <definedName name="_____________GBS18" localSheetId="28">#REF!</definedName>
    <definedName name="_____________GBS18">#REF!</definedName>
    <definedName name="_____________GBS19" localSheetId="8">#REF!</definedName>
    <definedName name="_____________GBS19" localSheetId="10">#REF!</definedName>
    <definedName name="_____________GBS19" localSheetId="28">#REF!</definedName>
    <definedName name="_____________GBS19">#REF!</definedName>
    <definedName name="_____________GBS21" localSheetId="8">#REF!</definedName>
    <definedName name="_____________GBS21" localSheetId="10">#REF!</definedName>
    <definedName name="_____________GBS21" localSheetId="28">#REF!</definedName>
    <definedName name="_____________GBS21">#REF!</definedName>
    <definedName name="_____________GBS210" localSheetId="8">#REF!</definedName>
    <definedName name="_____________GBS210" localSheetId="10">#REF!</definedName>
    <definedName name="_____________GBS210" localSheetId="28">#REF!</definedName>
    <definedName name="_____________GBS210">#REF!</definedName>
    <definedName name="_____________GBS211" localSheetId="8">#REF!</definedName>
    <definedName name="_____________GBS211" localSheetId="10">#REF!</definedName>
    <definedName name="_____________GBS211" localSheetId="28">#REF!</definedName>
    <definedName name="_____________GBS211">#REF!</definedName>
    <definedName name="_____________GBS212" localSheetId="8">#REF!</definedName>
    <definedName name="_____________GBS212" localSheetId="10">#REF!</definedName>
    <definedName name="_____________GBS212" localSheetId="28">#REF!</definedName>
    <definedName name="_____________GBS212">#REF!</definedName>
    <definedName name="_____________GBS213" localSheetId="8">#REF!</definedName>
    <definedName name="_____________GBS213" localSheetId="10">#REF!</definedName>
    <definedName name="_____________GBS213" localSheetId="28">#REF!</definedName>
    <definedName name="_____________GBS213">#REF!</definedName>
    <definedName name="_____________GBS214" localSheetId="8">#REF!</definedName>
    <definedName name="_____________GBS214" localSheetId="10">#REF!</definedName>
    <definedName name="_____________GBS214" localSheetId="28">#REF!</definedName>
    <definedName name="_____________GBS214">#REF!</definedName>
    <definedName name="_____________GBS215" localSheetId="8">#REF!</definedName>
    <definedName name="_____________GBS215" localSheetId="10">#REF!</definedName>
    <definedName name="_____________GBS215" localSheetId="28">#REF!</definedName>
    <definedName name="_____________GBS215">#REF!</definedName>
    <definedName name="_____________GBS22" localSheetId="8">#REF!</definedName>
    <definedName name="_____________GBS22" localSheetId="10">#REF!</definedName>
    <definedName name="_____________GBS22" localSheetId="28">#REF!</definedName>
    <definedName name="_____________GBS22">#REF!</definedName>
    <definedName name="_____________GBS23" localSheetId="8">#REF!</definedName>
    <definedName name="_____________GBS23" localSheetId="10">#REF!</definedName>
    <definedName name="_____________GBS23" localSheetId="28">#REF!</definedName>
    <definedName name="_____________GBS23">#REF!</definedName>
    <definedName name="_____________GBS24" localSheetId="8">#REF!</definedName>
    <definedName name="_____________GBS24" localSheetId="10">#REF!</definedName>
    <definedName name="_____________GBS24" localSheetId="28">#REF!</definedName>
    <definedName name="_____________GBS24">#REF!</definedName>
    <definedName name="_____________GBS25" localSheetId="8">#REF!</definedName>
    <definedName name="_____________GBS25" localSheetId="10">#REF!</definedName>
    <definedName name="_____________GBS25" localSheetId="28">#REF!</definedName>
    <definedName name="_____________GBS25">#REF!</definedName>
    <definedName name="_____________GBS26" localSheetId="8">#REF!</definedName>
    <definedName name="_____________GBS26" localSheetId="10">#REF!</definedName>
    <definedName name="_____________GBS26" localSheetId="28">#REF!</definedName>
    <definedName name="_____________GBS26">#REF!</definedName>
    <definedName name="_____________GBS27" localSheetId="8">#REF!</definedName>
    <definedName name="_____________GBS27" localSheetId="10">#REF!</definedName>
    <definedName name="_____________GBS27" localSheetId="28">#REF!</definedName>
    <definedName name="_____________GBS27">#REF!</definedName>
    <definedName name="_____________GBS28" localSheetId="8">#REF!</definedName>
    <definedName name="_____________GBS28" localSheetId="10">#REF!</definedName>
    <definedName name="_____________GBS28" localSheetId="28">#REF!</definedName>
    <definedName name="_____________GBS28">#REF!</definedName>
    <definedName name="_____________GBS29" localSheetId="8">#REF!</definedName>
    <definedName name="_____________GBS29" localSheetId="10">#REF!</definedName>
    <definedName name="_____________GBS29" localSheetId="28">#REF!</definedName>
    <definedName name="_____________GBS29">#REF!</definedName>
    <definedName name="_____________gus1">#REF!</definedName>
    <definedName name="_____________hpm1">#REF!</definedName>
    <definedName name="_____________knr2" localSheetId="5">#REF!</definedName>
    <definedName name="_____________knr2" localSheetId="14">#REF!</definedName>
    <definedName name="_____________knr2" localSheetId="8">#REF!</definedName>
    <definedName name="_____________knr2" localSheetId="10">#REF!</definedName>
    <definedName name="_____________knr2" localSheetId="28">#REF!</definedName>
    <definedName name="_____________knr2">#REF!</definedName>
    <definedName name="_____________l1" localSheetId="37">[2]leads!$A$3:$E$108</definedName>
    <definedName name="_____________l1">[20]leads!$A$3:$E$108</definedName>
    <definedName name="_____________l12" localSheetId="35">#REF!</definedName>
    <definedName name="_____________l12" localSheetId="5">#REF!</definedName>
    <definedName name="_____________l12" localSheetId="8">#REF!</definedName>
    <definedName name="_____________l12" localSheetId="10">#REF!</definedName>
    <definedName name="_____________l12" localSheetId="11">#REF!</definedName>
    <definedName name="_____________l12" localSheetId="28">#REF!</definedName>
    <definedName name="_____________l12" localSheetId="42">#REF!</definedName>
    <definedName name="_____________l12" localSheetId="31">#REF!</definedName>
    <definedName name="_____________l12">#REF!</definedName>
    <definedName name="_____________l2">[6]r!$F$29</definedName>
    <definedName name="_____________l3" localSheetId="35">#REF!</definedName>
    <definedName name="_____________l3" localSheetId="5">#REF!</definedName>
    <definedName name="_____________l3" localSheetId="8">#REF!</definedName>
    <definedName name="_____________l3" localSheetId="10">#REF!</definedName>
    <definedName name="_____________l3" localSheetId="11">#REF!</definedName>
    <definedName name="_____________l3" localSheetId="28">#REF!</definedName>
    <definedName name="_____________l3" localSheetId="42">#REF!</definedName>
    <definedName name="_____________l3" localSheetId="31">#REF!</definedName>
    <definedName name="_____________l3">#REF!</definedName>
    <definedName name="_____________l4" localSheetId="37">[3]Sheet1!$W$2:$Y$103</definedName>
    <definedName name="_____________l4">[21]Sheet1!$W$2:$Y$103</definedName>
    <definedName name="_____________l5" localSheetId="35">#REF!</definedName>
    <definedName name="_____________l5" localSheetId="5">#REF!</definedName>
    <definedName name="_____________l5" localSheetId="8">#REF!</definedName>
    <definedName name="_____________l5" localSheetId="10">#REF!</definedName>
    <definedName name="_____________l5" localSheetId="11">#REF!</definedName>
    <definedName name="_____________l5" localSheetId="28">#REF!</definedName>
    <definedName name="_____________l5" localSheetId="42">#REF!</definedName>
    <definedName name="_____________l5" localSheetId="31">#REF!</definedName>
    <definedName name="_____________l5">#REF!</definedName>
    <definedName name="_____________l6">[6]r!$F$4</definedName>
    <definedName name="_____________l7">[7]r!$F$4</definedName>
    <definedName name="_____________l8">[6]r!$F$2</definedName>
    <definedName name="_____________l9">[6]r!$F$3</definedName>
    <definedName name="_____________lcn1">#REF!</definedName>
    <definedName name="_____________LI9" localSheetId="8">#REF!</definedName>
    <definedName name="_____________LI9" localSheetId="10">#REF!</definedName>
    <definedName name="_____________LI9" localSheetId="28">#REF!</definedName>
    <definedName name="_____________LI9">#REF!</definedName>
    <definedName name="_____________LII9" localSheetId="8">#REF!</definedName>
    <definedName name="_____________LII9" localSheetId="10">#REF!</definedName>
    <definedName name="_____________LII9" localSheetId="28">#REF!</definedName>
    <definedName name="_____________LII9">#REF!</definedName>
    <definedName name="_____________lm1" localSheetId="28">#REF!</definedName>
    <definedName name="_____________ML11" localSheetId="8">#REF!</definedName>
    <definedName name="_____________ML11" localSheetId="10">#REF!</definedName>
    <definedName name="_____________ML11" localSheetId="28">#REF!</definedName>
    <definedName name="_____________ML11">#REF!</definedName>
    <definedName name="_____________ML110" localSheetId="8">#REF!</definedName>
    <definedName name="_____________ML110" localSheetId="10">#REF!</definedName>
    <definedName name="_____________ML110" localSheetId="28">#REF!</definedName>
    <definedName name="_____________ML110">#REF!</definedName>
    <definedName name="_____________ML111" localSheetId="8">#REF!</definedName>
    <definedName name="_____________ML111" localSheetId="10">#REF!</definedName>
    <definedName name="_____________ML111" localSheetId="28">#REF!</definedName>
    <definedName name="_____________ML111">#REF!</definedName>
    <definedName name="_____________ML112" localSheetId="8">#REF!</definedName>
    <definedName name="_____________ML112" localSheetId="10">#REF!</definedName>
    <definedName name="_____________ML112" localSheetId="28">#REF!</definedName>
    <definedName name="_____________ML112">#REF!</definedName>
    <definedName name="_____________ML113" localSheetId="8">#REF!</definedName>
    <definedName name="_____________ML113" localSheetId="10">#REF!</definedName>
    <definedName name="_____________ML113" localSheetId="28">#REF!</definedName>
    <definedName name="_____________ML113">#REF!</definedName>
    <definedName name="_____________ML114" localSheetId="8">#REF!</definedName>
    <definedName name="_____________ML114" localSheetId="10">#REF!</definedName>
    <definedName name="_____________ML114" localSheetId="28">#REF!</definedName>
    <definedName name="_____________ML114">#REF!</definedName>
    <definedName name="_____________ML115" localSheetId="8">#REF!</definedName>
    <definedName name="_____________ML115" localSheetId="10">#REF!</definedName>
    <definedName name="_____________ML115" localSheetId="28">#REF!</definedName>
    <definedName name="_____________ML115">#REF!</definedName>
    <definedName name="_____________ML12" localSheetId="8">#REF!</definedName>
    <definedName name="_____________ML12" localSheetId="10">#REF!</definedName>
    <definedName name="_____________ML12" localSheetId="28">#REF!</definedName>
    <definedName name="_____________ML12">#REF!</definedName>
    <definedName name="_____________ML13" localSheetId="8">#REF!</definedName>
    <definedName name="_____________ML13" localSheetId="10">#REF!</definedName>
    <definedName name="_____________ML13" localSheetId="28">#REF!</definedName>
    <definedName name="_____________ML13">#REF!</definedName>
    <definedName name="_____________ML14" localSheetId="8">#REF!</definedName>
    <definedName name="_____________ML14" localSheetId="10">#REF!</definedName>
    <definedName name="_____________ML14" localSheetId="28">#REF!</definedName>
    <definedName name="_____________ML14">#REF!</definedName>
    <definedName name="_____________ML15" localSheetId="8">#REF!</definedName>
    <definedName name="_____________ML15" localSheetId="10">#REF!</definedName>
    <definedName name="_____________ML15" localSheetId="28">#REF!</definedName>
    <definedName name="_____________ML15">#REF!</definedName>
    <definedName name="_____________ML16" localSheetId="8">#REF!</definedName>
    <definedName name="_____________ML16" localSheetId="10">#REF!</definedName>
    <definedName name="_____________ML16" localSheetId="28">#REF!</definedName>
    <definedName name="_____________ML16">#REF!</definedName>
    <definedName name="_____________ML17" localSheetId="8">#REF!</definedName>
    <definedName name="_____________ML17" localSheetId="10">#REF!</definedName>
    <definedName name="_____________ML17" localSheetId="28">#REF!</definedName>
    <definedName name="_____________ML17">#REF!</definedName>
    <definedName name="_____________ML18" localSheetId="8">#REF!</definedName>
    <definedName name="_____________ML18" localSheetId="10">#REF!</definedName>
    <definedName name="_____________ML18" localSheetId="28">#REF!</definedName>
    <definedName name="_____________ML18">#REF!</definedName>
    <definedName name="_____________ML19" localSheetId="8">#REF!</definedName>
    <definedName name="_____________ML19" localSheetId="10">#REF!</definedName>
    <definedName name="_____________ML19" localSheetId="28">#REF!</definedName>
    <definedName name="_____________ML19">#REF!</definedName>
    <definedName name="_____________ML21" localSheetId="8">#REF!</definedName>
    <definedName name="_____________ML21" localSheetId="10">#REF!</definedName>
    <definedName name="_____________ML21" localSheetId="28">#REF!</definedName>
    <definedName name="_____________ML21">#REF!</definedName>
    <definedName name="_____________ML210" localSheetId="8">#REF!</definedName>
    <definedName name="_____________ML210" localSheetId="10">#REF!</definedName>
    <definedName name="_____________ML210" localSheetId="28">#REF!</definedName>
    <definedName name="_____________ML210">#REF!</definedName>
    <definedName name="_____________ML211" localSheetId="8">#REF!</definedName>
    <definedName name="_____________ML211" localSheetId="10">#REF!</definedName>
    <definedName name="_____________ML211" localSheetId="28">#REF!</definedName>
    <definedName name="_____________ML211">#REF!</definedName>
    <definedName name="_____________ML212" localSheetId="8">#REF!</definedName>
    <definedName name="_____________ML212" localSheetId="10">#REF!</definedName>
    <definedName name="_____________ML212" localSheetId="28">#REF!</definedName>
    <definedName name="_____________ML212">#REF!</definedName>
    <definedName name="_____________ML213" localSheetId="8">#REF!</definedName>
    <definedName name="_____________ML213" localSheetId="10">#REF!</definedName>
    <definedName name="_____________ML213" localSheetId="28">#REF!</definedName>
    <definedName name="_____________ML213">#REF!</definedName>
    <definedName name="_____________ML214" localSheetId="8">#REF!</definedName>
    <definedName name="_____________ML214" localSheetId="10">#REF!</definedName>
    <definedName name="_____________ML214" localSheetId="28">#REF!</definedName>
    <definedName name="_____________ML214">#REF!</definedName>
    <definedName name="_____________ML215" localSheetId="8">#REF!</definedName>
    <definedName name="_____________ML215" localSheetId="10">#REF!</definedName>
    <definedName name="_____________ML215" localSheetId="28">#REF!</definedName>
    <definedName name="_____________ML215">#REF!</definedName>
    <definedName name="_____________ML22" localSheetId="8">#REF!</definedName>
    <definedName name="_____________ML22" localSheetId="10">#REF!</definedName>
    <definedName name="_____________ML22" localSheetId="28">#REF!</definedName>
    <definedName name="_____________ML22">#REF!</definedName>
    <definedName name="_____________ML23" localSheetId="8">#REF!</definedName>
    <definedName name="_____________ML23" localSheetId="10">#REF!</definedName>
    <definedName name="_____________ML23" localSheetId="28">#REF!</definedName>
    <definedName name="_____________ML23">#REF!</definedName>
    <definedName name="_____________ML24" localSheetId="8">#REF!</definedName>
    <definedName name="_____________ML24" localSheetId="10">#REF!</definedName>
    <definedName name="_____________ML24" localSheetId="28">#REF!</definedName>
    <definedName name="_____________ML24">#REF!</definedName>
    <definedName name="_____________ML25" localSheetId="8">#REF!</definedName>
    <definedName name="_____________ML25" localSheetId="10">#REF!</definedName>
    <definedName name="_____________ML25" localSheetId="28">#REF!</definedName>
    <definedName name="_____________ML25">#REF!</definedName>
    <definedName name="_____________ML26" localSheetId="8">#REF!</definedName>
    <definedName name="_____________ML26" localSheetId="10">#REF!</definedName>
    <definedName name="_____________ML26" localSheetId="28">#REF!</definedName>
    <definedName name="_____________ML26">#REF!</definedName>
    <definedName name="_____________ML27" localSheetId="8">#REF!</definedName>
    <definedName name="_____________ML27" localSheetId="10">#REF!</definedName>
    <definedName name="_____________ML27" localSheetId="28">#REF!</definedName>
    <definedName name="_____________ML27">#REF!</definedName>
    <definedName name="_____________ML28" localSheetId="8">#REF!</definedName>
    <definedName name="_____________ML28" localSheetId="10">#REF!</definedName>
    <definedName name="_____________ML28" localSheetId="28">#REF!</definedName>
    <definedName name="_____________ML28">#REF!</definedName>
    <definedName name="_____________ML29" localSheetId="8">#REF!</definedName>
    <definedName name="_____________ML29" localSheetId="10">#REF!</definedName>
    <definedName name="_____________ML29" localSheetId="28">#REF!</definedName>
    <definedName name="_____________ML29">#REF!</definedName>
    <definedName name="_____________ML31" localSheetId="8">#REF!</definedName>
    <definedName name="_____________ML31" localSheetId="10">#REF!</definedName>
    <definedName name="_____________ML31" localSheetId="28">#REF!</definedName>
    <definedName name="_____________ML31">#REF!</definedName>
    <definedName name="_____________ML310" localSheetId="8">#REF!</definedName>
    <definedName name="_____________ML310" localSheetId="10">#REF!</definedName>
    <definedName name="_____________ML310" localSheetId="28">#REF!</definedName>
    <definedName name="_____________ML310">#REF!</definedName>
    <definedName name="_____________ML311" localSheetId="8">#REF!</definedName>
    <definedName name="_____________ML311" localSheetId="10">#REF!</definedName>
    <definedName name="_____________ML311" localSheetId="28">#REF!</definedName>
    <definedName name="_____________ML311">#REF!</definedName>
    <definedName name="_____________ML312" localSheetId="8">#REF!</definedName>
    <definedName name="_____________ML312" localSheetId="10">#REF!</definedName>
    <definedName name="_____________ML312" localSheetId="28">#REF!</definedName>
    <definedName name="_____________ML312">#REF!</definedName>
    <definedName name="_____________ML313" localSheetId="8">#REF!</definedName>
    <definedName name="_____________ML313" localSheetId="10">#REF!</definedName>
    <definedName name="_____________ML313" localSheetId="28">#REF!</definedName>
    <definedName name="_____________ML313">#REF!</definedName>
    <definedName name="_____________ML314" localSheetId="8">#REF!</definedName>
    <definedName name="_____________ML314" localSheetId="10">#REF!</definedName>
    <definedName name="_____________ML314" localSheetId="28">#REF!</definedName>
    <definedName name="_____________ML314">#REF!</definedName>
    <definedName name="_____________ML315" localSheetId="8">#REF!</definedName>
    <definedName name="_____________ML315" localSheetId="10">#REF!</definedName>
    <definedName name="_____________ML315" localSheetId="28">#REF!</definedName>
    <definedName name="_____________ML315">#REF!</definedName>
    <definedName name="_____________ML32" localSheetId="8">#REF!</definedName>
    <definedName name="_____________ML32" localSheetId="10">#REF!</definedName>
    <definedName name="_____________ML32" localSheetId="28">#REF!</definedName>
    <definedName name="_____________ML32">#REF!</definedName>
    <definedName name="_____________ML33" localSheetId="8">#REF!</definedName>
    <definedName name="_____________ML33" localSheetId="10">#REF!</definedName>
    <definedName name="_____________ML33" localSheetId="28">#REF!</definedName>
    <definedName name="_____________ML33">#REF!</definedName>
    <definedName name="_____________ML34" localSheetId="8">#REF!</definedName>
    <definedName name="_____________ML34" localSheetId="10">#REF!</definedName>
    <definedName name="_____________ML34" localSheetId="28">#REF!</definedName>
    <definedName name="_____________ML34">#REF!</definedName>
    <definedName name="_____________ML35" localSheetId="8">#REF!</definedName>
    <definedName name="_____________ML35" localSheetId="10">#REF!</definedName>
    <definedName name="_____________ML35" localSheetId="28">#REF!</definedName>
    <definedName name="_____________ML35">#REF!</definedName>
    <definedName name="_____________ML36" localSheetId="8">#REF!</definedName>
    <definedName name="_____________ML36" localSheetId="10">#REF!</definedName>
    <definedName name="_____________ML36" localSheetId="28">#REF!</definedName>
    <definedName name="_____________ML36">#REF!</definedName>
    <definedName name="_____________ML37" localSheetId="8">#REF!</definedName>
    <definedName name="_____________ML37" localSheetId="10">#REF!</definedName>
    <definedName name="_____________ML37" localSheetId="28">#REF!</definedName>
    <definedName name="_____________ML37">#REF!</definedName>
    <definedName name="_____________ML38" localSheetId="8">#REF!</definedName>
    <definedName name="_____________ML38" localSheetId="10">#REF!</definedName>
    <definedName name="_____________ML38" localSheetId="28">#REF!</definedName>
    <definedName name="_____________ML38">#REF!</definedName>
    <definedName name="_____________ML39" localSheetId="8">#REF!</definedName>
    <definedName name="_____________ML39" localSheetId="10">#REF!</definedName>
    <definedName name="_____________ML39" localSheetId="28">#REF!</definedName>
    <definedName name="_____________ML39">#REF!</definedName>
    <definedName name="_____________ML7" localSheetId="8">#REF!</definedName>
    <definedName name="_____________ML7" localSheetId="10">#REF!</definedName>
    <definedName name="_____________ML7" localSheetId="28">#REF!</definedName>
    <definedName name="_____________ML7">#REF!</definedName>
    <definedName name="_____________ML8" localSheetId="8">#REF!</definedName>
    <definedName name="_____________ML8" localSheetId="10">#REF!</definedName>
    <definedName name="_____________ML8" localSheetId="28">#REF!</definedName>
    <definedName name="_____________ML8">#REF!</definedName>
    <definedName name="_____________ML9" localSheetId="8">#REF!</definedName>
    <definedName name="_____________ML9" localSheetId="10">#REF!</definedName>
    <definedName name="_____________ML9" localSheetId="28">#REF!</definedName>
    <definedName name="_____________ML9">#REF!</definedName>
    <definedName name="_____________mm1" localSheetId="37">[4]r!$F$4</definedName>
    <definedName name="_____________mm1">[22]r!$F$4</definedName>
    <definedName name="_____________mm11">[6]r!$F$4</definedName>
    <definedName name="_____________mm111">[7]r!$F$4</definedName>
    <definedName name="_____________mm20" localSheetId="28">#REF!</definedName>
    <definedName name="_____________mm40">#REF!</definedName>
    <definedName name="_____________pc2" localSheetId="35">#REF!</definedName>
    <definedName name="_____________pc2" localSheetId="5">#REF!</definedName>
    <definedName name="_____________pc2" localSheetId="8">#REF!</definedName>
    <definedName name="_____________pc2" localSheetId="10">#REF!</definedName>
    <definedName name="_____________pc2" localSheetId="11">#REF!</definedName>
    <definedName name="_____________pc2" localSheetId="28">#REF!</definedName>
    <definedName name="_____________pc2" localSheetId="42">#REF!</definedName>
    <definedName name="_____________pc2" localSheetId="31">#REF!</definedName>
    <definedName name="_____________pc2">#REF!</definedName>
    <definedName name="_____________PMS2" localSheetId="8">#REF!</definedName>
    <definedName name="_____________PMS2" localSheetId="10">#REF!</definedName>
    <definedName name="_____________PMS2" localSheetId="28">#REF!</definedName>
    <definedName name="_____________PMS2">#REF!</definedName>
    <definedName name="_____________pv2" localSheetId="35">#REF!</definedName>
    <definedName name="_____________pv2" localSheetId="5">#REF!</definedName>
    <definedName name="_____________pv2" localSheetId="8">#REF!</definedName>
    <definedName name="_____________pv2" localSheetId="10">#REF!</definedName>
    <definedName name="_____________pv2" localSheetId="11">#REF!</definedName>
    <definedName name="_____________pv2" localSheetId="28">#REF!</definedName>
    <definedName name="_____________pv2" localSheetId="42">#REF!</definedName>
    <definedName name="_____________pv2" localSheetId="31">#REF!</definedName>
    <definedName name="_____________pv2">#REF!</definedName>
    <definedName name="_____________rr3" localSheetId="37">[5]v!$A$2:$E$51</definedName>
    <definedName name="_____________rr3">[23]v!$A$2:$E$51</definedName>
    <definedName name="_____________rrr1" localSheetId="37">[5]r!$B$1:$I$145</definedName>
    <definedName name="_____________rrr1">[23]r!$B$1:$I$145</definedName>
    <definedName name="_____________ss12" localSheetId="37">[24]rdamdata!$J$8</definedName>
    <definedName name="_____________ss12">[25]rdamdata!$J$8</definedName>
    <definedName name="_____________ss20" localSheetId="37">[24]rdamdata!$J$7</definedName>
    <definedName name="_____________ss20">[25]rdamdata!$J$7</definedName>
    <definedName name="_____________ss40" localSheetId="37">[24]rdamdata!$J$6</definedName>
    <definedName name="_____________ss40">[25]rdamdata!$J$6</definedName>
    <definedName name="_____________sw1" localSheetId="28">#REF!</definedName>
    <definedName name="_____________us1">#REF!</definedName>
    <definedName name="_____________var1" localSheetId="35">#REF!</definedName>
    <definedName name="_____________var1" localSheetId="5">#REF!</definedName>
    <definedName name="_____________var1" localSheetId="8">#REF!</definedName>
    <definedName name="_____________var1" localSheetId="10">#REF!</definedName>
    <definedName name="_____________var1" localSheetId="11">#REF!</definedName>
    <definedName name="_____________var1" localSheetId="28">#REF!</definedName>
    <definedName name="_____________var1" localSheetId="42">#REF!</definedName>
    <definedName name="_____________var1" localSheetId="31">#REF!</definedName>
    <definedName name="_____________var1">#REF!</definedName>
    <definedName name="_____________var4" localSheetId="35">#REF!</definedName>
    <definedName name="_____________var4" localSheetId="5">#REF!</definedName>
    <definedName name="_____________var4" localSheetId="8">#REF!</definedName>
    <definedName name="_____________var4" localSheetId="10">#REF!</definedName>
    <definedName name="_____________var4" localSheetId="11">#REF!</definedName>
    <definedName name="_____________var4" localSheetId="28">#REF!</definedName>
    <definedName name="_____________var4" localSheetId="42">#REF!</definedName>
    <definedName name="_____________var4" localSheetId="31">#REF!</definedName>
    <definedName name="_____________var4">#REF!</definedName>
    <definedName name="_____________vat1">#REF!</definedName>
    <definedName name="_____________vat2">#REF!</definedName>
    <definedName name="_____________xlfn_BAHTTEXT">#N/A</definedName>
    <definedName name="____________abs1" localSheetId="8">#REF!</definedName>
    <definedName name="____________abs1" localSheetId="10">#REF!</definedName>
    <definedName name="____________abs1" localSheetId="28">#REF!</definedName>
    <definedName name="____________abs1">#REF!</definedName>
    <definedName name="____________AUX1" localSheetId="28">#REF!</definedName>
    <definedName name="____________aux2" localSheetId="28">#REF!</definedName>
    <definedName name="____________AUX3">#REF!</definedName>
    <definedName name="____________bla1" localSheetId="37">[1]leads!$H$7</definedName>
    <definedName name="____________bla1">[26]leads!$H$7</definedName>
    <definedName name="____________BSG100" localSheetId="8">#REF!</definedName>
    <definedName name="____________BSG100" localSheetId="10">#REF!</definedName>
    <definedName name="____________BSG100" localSheetId="28">#REF!</definedName>
    <definedName name="____________BSG100">#REF!</definedName>
    <definedName name="____________BSG150" localSheetId="8">#REF!</definedName>
    <definedName name="____________BSG150" localSheetId="10">#REF!</definedName>
    <definedName name="____________BSG150" localSheetId="28">#REF!</definedName>
    <definedName name="____________BSG150">#REF!</definedName>
    <definedName name="____________BSG5" localSheetId="8">#REF!</definedName>
    <definedName name="____________BSG5" localSheetId="10">#REF!</definedName>
    <definedName name="____________BSG5" localSheetId="28">#REF!</definedName>
    <definedName name="____________BSG5">#REF!</definedName>
    <definedName name="____________BSG75" localSheetId="8">#REF!</definedName>
    <definedName name="____________BSG75" localSheetId="10">#REF!</definedName>
    <definedName name="____________BSG75" localSheetId="28">#REF!</definedName>
    <definedName name="____________BSG75">#REF!</definedName>
    <definedName name="____________BTC1" localSheetId="8">#REF!</definedName>
    <definedName name="____________BTC1" localSheetId="10">#REF!</definedName>
    <definedName name="____________BTC1" localSheetId="28">#REF!</definedName>
    <definedName name="____________BTC1">#REF!</definedName>
    <definedName name="____________BTC10" localSheetId="8">#REF!</definedName>
    <definedName name="____________BTC10" localSheetId="10">#REF!</definedName>
    <definedName name="____________BTC10" localSheetId="28">#REF!</definedName>
    <definedName name="____________BTC10">#REF!</definedName>
    <definedName name="____________BTC11" localSheetId="8">#REF!</definedName>
    <definedName name="____________BTC11" localSheetId="10">#REF!</definedName>
    <definedName name="____________BTC11" localSheetId="28">#REF!</definedName>
    <definedName name="____________BTC11">#REF!</definedName>
    <definedName name="____________BTC12" localSheetId="8">#REF!</definedName>
    <definedName name="____________BTC12" localSheetId="10">#REF!</definedName>
    <definedName name="____________BTC12" localSheetId="28">#REF!</definedName>
    <definedName name="____________BTC12">#REF!</definedName>
    <definedName name="____________BTC13" localSheetId="8">#REF!</definedName>
    <definedName name="____________BTC13" localSheetId="10">#REF!</definedName>
    <definedName name="____________BTC13" localSheetId="28">#REF!</definedName>
    <definedName name="____________BTC13">#REF!</definedName>
    <definedName name="____________BTC14" localSheetId="8">#REF!</definedName>
    <definedName name="____________BTC14" localSheetId="10">#REF!</definedName>
    <definedName name="____________BTC14" localSheetId="28">#REF!</definedName>
    <definedName name="____________BTC14">#REF!</definedName>
    <definedName name="____________BTC15" localSheetId="8">#REF!</definedName>
    <definedName name="____________BTC15" localSheetId="10">#REF!</definedName>
    <definedName name="____________BTC15" localSheetId="28">#REF!</definedName>
    <definedName name="____________BTC15">#REF!</definedName>
    <definedName name="____________BTC2" localSheetId="8">#REF!</definedName>
    <definedName name="____________BTC2" localSheetId="10">#REF!</definedName>
    <definedName name="____________BTC2" localSheetId="28">#REF!</definedName>
    <definedName name="____________BTC2">#REF!</definedName>
    <definedName name="____________BTC3" localSheetId="8">#REF!</definedName>
    <definedName name="____________BTC3" localSheetId="10">#REF!</definedName>
    <definedName name="____________BTC3" localSheetId="28">#REF!</definedName>
    <definedName name="____________BTC3">#REF!</definedName>
    <definedName name="____________BTC4" localSheetId="8">#REF!</definedName>
    <definedName name="____________BTC4" localSheetId="10">#REF!</definedName>
    <definedName name="____________BTC4" localSheetId="28">#REF!</definedName>
    <definedName name="____________BTC4">#REF!</definedName>
    <definedName name="____________BTC5" localSheetId="8">#REF!</definedName>
    <definedName name="____________BTC5" localSheetId="10">#REF!</definedName>
    <definedName name="____________BTC5" localSheetId="28">#REF!</definedName>
    <definedName name="____________BTC5">#REF!</definedName>
    <definedName name="____________BTC6" localSheetId="8">#REF!</definedName>
    <definedName name="____________BTC6" localSheetId="10">#REF!</definedName>
    <definedName name="____________BTC6" localSheetId="28">#REF!</definedName>
    <definedName name="____________BTC6">#REF!</definedName>
    <definedName name="____________BTC7" localSheetId="8">#REF!</definedName>
    <definedName name="____________BTC7" localSheetId="10">#REF!</definedName>
    <definedName name="____________BTC7" localSheetId="28">#REF!</definedName>
    <definedName name="____________BTC7">#REF!</definedName>
    <definedName name="____________BTC8" localSheetId="8">#REF!</definedName>
    <definedName name="____________BTC8" localSheetId="10">#REF!</definedName>
    <definedName name="____________BTC8" localSheetId="28">#REF!</definedName>
    <definedName name="____________BTC8">#REF!</definedName>
    <definedName name="____________BTC9" localSheetId="8">#REF!</definedName>
    <definedName name="____________BTC9" localSheetId="10">#REF!</definedName>
    <definedName name="____________BTC9" localSheetId="28">#REF!</definedName>
    <definedName name="____________BTC9">#REF!</definedName>
    <definedName name="____________BTS1" localSheetId="8">#REF!</definedName>
    <definedName name="____________BTS1" localSheetId="10">#REF!</definedName>
    <definedName name="____________BTS1" localSheetId="28">#REF!</definedName>
    <definedName name="____________BTS1">#REF!</definedName>
    <definedName name="____________BTS10" localSheetId="8">#REF!</definedName>
    <definedName name="____________BTS10" localSheetId="10">#REF!</definedName>
    <definedName name="____________BTS10" localSheetId="28">#REF!</definedName>
    <definedName name="____________BTS10">#REF!</definedName>
    <definedName name="____________BTS11" localSheetId="8">#REF!</definedName>
    <definedName name="____________BTS11" localSheetId="10">#REF!</definedName>
    <definedName name="____________BTS11" localSheetId="28">#REF!</definedName>
    <definedName name="____________BTS11">#REF!</definedName>
    <definedName name="____________BTS12" localSheetId="8">#REF!</definedName>
    <definedName name="____________BTS12" localSheetId="10">#REF!</definedName>
    <definedName name="____________BTS12" localSheetId="28">#REF!</definedName>
    <definedName name="____________BTS12">#REF!</definedName>
    <definedName name="____________BTS13" localSheetId="8">#REF!</definedName>
    <definedName name="____________BTS13" localSheetId="10">#REF!</definedName>
    <definedName name="____________BTS13" localSheetId="28">#REF!</definedName>
    <definedName name="____________BTS13">#REF!</definedName>
    <definedName name="____________BTS14" localSheetId="8">#REF!</definedName>
    <definedName name="____________BTS14" localSheetId="10">#REF!</definedName>
    <definedName name="____________BTS14" localSheetId="28">#REF!</definedName>
    <definedName name="____________BTS14">#REF!</definedName>
    <definedName name="____________BTS15" localSheetId="8">#REF!</definedName>
    <definedName name="____________BTS15" localSheetId="10">#REF!</definedName>
    <definedName name="____________BTS15" localSheetId="28">#REF!</definedName>
    <definedName name="____________BTS15">#REF!</definedName>
    <definedName name="____________BTS2" localSheetId="8">#REF!</definedName>
    <definedName name="____________BTS2" localSheetId="10">#REF!</definedName>
    <definedName name="____________BTS2" localSheetId="28">#REF!</definedName>
    <definedName name="____________BTS2">#REF!</definedName>
    <definedName name="____________BTS3" localSheetId="8">#REF!</definedName>
    <definedName name="____________BTS3" localSheetId="10">#REF!</definedName>
    <definedName name="____________BTS3" localSheetId="28">#REF!</definedName>
    <definedName name="____________BTS3">#REF!</definedName>
    <definedName name="____________BTS4" localSheetId="8">#REF!</definedName>
    <definedName name="____________BTS4" localSheetId="10">#REF!</definedName>
    <definedName name="____________BTS4" localSheetId="28">#REF!</definedName>
    <definedName name="____________BTS4">#REF!</definedName>
    <definedName name="____________BTS5" localSheetId="8">#REF!</definedName>
    <definedName name="____________BTS5" localSheetId="10">#REF!</definedName>
    <definedName name="____________BTS5" localSheetId="28">#REF!</definedName>
    <definedName name="____________BTS5">#REF!</definedName>
    <definedName name="____________BTS6" localSheetId="8">#REF!</definedName>
    <definedName name="____________BTS6" localSheetId="10">#REF!</definedName>
    <definedName name="____________BTS6" localSheetId="28">#REF!</definedName>
    <definedName name="____________BTS6">#REF!</definedName>
    <definedName name="____________BTS7" localSheetId="8">#REF!</definedName>
    <definedName name="____________BTS7" localSheetId="10">#REF!</definedName>
    <definedName name="____________BTS7" localSheetId="28">#REF!</definedName>
    <definedName name="____________BTS7">#REF!</definedName>
    <definedName name="____________BTS8" localSheetId="8">#REF!</definedName>
    <definedName name="____________BTS8" localSheetId="10">#REF!</definedName>
    <definedName name="____________BTS8" localSheetId="28">#REF!</definedName>
    <definedName name="____________BTS8">#REF!</definedName>
    <definedName name="____________BTS9" localSheetId="8">#REF!</definedName>
    <definedName name="____________BTS9" localSheetId="10">#REF!</definedName>
    <definedName name="____________BTS9" localSheetId="28">#REF!</definedName>
    <definedName name="____________BTS9">#REF!</definedName>
    <definedName name="____________can430">40.73</definedName>
    <definedName name="____________can435">43.3</definedName>
    <definedName name="____________cbr1" localSheetId="28">#REF!</definedName>
    <definedName name="____________cbr2">#REF!</definedName>
    <definedName name="____________cbr3">#REF!</definedName>
    <definedName name="____________cbr4">#REF!</definedName>
    <definedName name="____________cur1">[6]r!$F$30</definedName>
    <definedName name="____________er1">#REF!</definedName>
    <definedName name="____________ewe1">#REF!</definedName>
    <definedName name="____________f1">#REF!</definedName>
    <definedName name="____________GBS11" localSheetId="8">#REF!</definedName>
    <definedName name="____________GBS11" localSheetId="10">#REF!</definedName>
    <definedName name="____________GBS11" localSheetId="28">#REF!</definedName>
    <definedName name="____________GBS11">#REF!</definedName>
    <definedName name="____________GBS110" localSheetId="8">#REF!</definedName>
    <definedName name="____________GBS110" localSheetId="10">#REF!</definedName>
    <definedName name="____________GBS110" localSheetId="28">#REF!</definedName>
    <definedName name="____________GBS110">#REF!</definedName>
    <definedName name="____________GBS111" localSheetId="8">#REF!</definedName>
    <definedName name="____________GBS111" localSheetId="10">#REF!</definedName>
    <definedName name="____________GBS111" localSheetId="28">#REF!</definedName>
    <definedName name="____________GBS111">#REF!</definedName>
    <definedName name="____________GBS112" localSheetId="8">#REF!</definedName>
    <definedName name="____________GBS112" localSheetId="10">#REF!</definedName>
    <definedName name="____________GBS112" localSheetId="28">#REF!</definedName>
    <definedName name="____________GBS112">#REF!</definedName>
    <definedName name="____________GBS113" localSheetId="8">#REF!</definedName>
    <definedName name="____________GBS113" localSheetId="10">#REF!</definedName>
    <definedName name="____________GBS113" localSheetId="28">#REF!</definedName>
    <definedName name="____________GBS113">#REF!</definedName>
    <definedName name="____________GBS114" localSheetId="8">#REF!</definedName>
    <definedName name="____________GBS114" localSheetId="10">#REF!</definedName>
    <definedName name="____________GBS114" localSheetId="28">#REF!</definedName>
    <definedName name="____________GBS114">#REF!</definedName>
    <definedName name="____________GBS115" localSheetId="8">#REF!</definedName>
    <definedName name="____________GBS115" localSheetId="10">#REF!</definedName>
    <definedName name="____________GBS115" localSheetId="28">#REF!</definedName>
    <definedName name="____________GBS115">#REF!</definedName>
    <definedName name="____________GBS12" localSheetId="8">#REF!</definedName>
    <definedName name="____________GBS12" localSheetId="10">#REF!</definedName>
    <definedName name="____________GBS12" localSheetId="28">#REF!</definedName>
    <definedName name="____________GBS12">#REF!</definedName>
    <definedName name="____________GBS13" localSheetId="8">#REF!</definedName>
    <definedName name="____________GBS13" localSheetId="10">#REF!</definedName>
    <definedName name="____________GBS13" localSheetId="28">#REF!</definedName>
    <definedName name="____________GBS13">#REF!</definedName>
    <definedName name="____________GBS14" localSheetId="8">#REF!</definedName>
    <definedName name="____________GBS14" localSheetId="10">#REF!</definedName>
    <definedName name="____________GBS14" localSheetId="28">#REF!</definedName>
    <definedName name="____________GBS14">#REF!</definedName>
    <definedName name="____________GBS15" localSheetId="8">#REF!</definedName>
    <definedName name="____________GBS15" localSheetId="10">#REF!</definedName>
    <definedName name="____________GBS15" localSheetId="28">#REF!</definedName>
    <definedName name="____________GBS15">#REF!</definedName>
    <definedName name="____________GBS16" localSheetId="8">#REF!</definedName>
    <definedName name="____________GBS16" localSheetId="10">#REF!</definedName>
    <definedName name="____________GBS16" localSheetId="28">#REF!</definedName>
    <definedName name="____________GBS16">#REF!</definedName>
    <definedName name="____________GBS17" localSheetId="8">#REF!</definedName>
    <definedName name="____________GBS17" localSheetId="10">#REF!</definedName>
    <definedName name="____________GBS17" localSheetId="28">#REF!</definedName>
    <definedName name="____________GBS17">#REF!</definedName>
    <definedName name="____________GBS18" localSheetId="8">#REF!</definedName>
    <definedName name="____________GBS18" localSheetId="10">#REF!</definedName>
    <definedName name="____________GBS18" localSheetId="28">#REF!</definedName>
    <definedName name="____________GBS18">#REF!</definedName>
    <definedName name="____________GBS19" localSheetId="8">#REF!</definedName>
    <definedName name="____________GBS19" localSheetId="10">#REF!</definedName>
    <definedName name="____________GBS19" localSheetId="28">#REF!</definedName>
    <definedName name="____________GBS19">#REF!</definedName>
    <definedName name="____________GBS21" localSheetId="8">#REF!</definedName>
    <definedName name="____________GBS21" localSheetId="10">#REF!</definedName>
    <definedName name="____________GBS21" localSheetId="28">#REF!</definedName>
    <definedName name="____________GBS21">#REF!</definedName>
    <definedName name="____________GBS210" localSheetId="8">#REF!</definedName>
    <definedName name="____________GBS210" localSheetId="10">#REF!</definedName>
    <definedName name="____________GBS210" localSheetId="28">#REF!</definedName>
    <definedName name="____________GBS210">#REF!</definedName>
    <definedName name="____________GBS211" localSheetId="8">#REF!</definedName>
    <definedName name="____________GBS211" localSheetId="10">#REF!</definedName>
    <definedName name="____________GBS211" localSheetId="28">#REF!</definedName>
    <definedName name="____________GBS211">#REF!</definedName>
    <definedName name="____________GBS212" localSheetId="8">#REF!</definedName>
    <definedName name="____________GBS212" localSheetId="10">#REF!</definedName>
    <definedName name="____________GBS212" localSheetId="28">#REF!</definedName>
    <definedName name="____________GBS212">#REF!</definedName>
    <definedName name="____________GBS213" localSheetId="8">#REF!</definedName>
    <definedName name="____________GBS213" localSheetId="10">#REF!</definedName>
    <definedName name="____________GBS213" localSheetId="28">#REF!</definedName>
    <definedName name="____________GBS213">#REF!</definedName>
    <definedName name="____________GBS214" localSheetId="8">#REF!</definedName>
    <definedName name="____________GBS214" localSheetId="10">#REF!</definedName>
    <definedName name="____________GBS214" localSheetId="28">#REF!</definedName>
    <definedName name="____________GBS214">#REF!</definedName>
    <definedName name="____________GBS215" localSheetId="8">#REF!</definedName>
    <definedName name="____________GBS215" localSheetId="10">#REF!</definedName>
    <definedName name="____________GBS215" localSheetId="28">#REF!</definedName>
    <definedName name="____________GBS215">#REF!</definedName>
    <definedName name="____________GBS22" localSheetId="8">#REF!</definedName>
    <definedName name="____________GBS22" localSheetId="10">#REF!</definedName>
    <definedName name="____________GBS22" localSheetId="28">#REF!</definedName>
    <definedName name="____________GBS22">#REF!</definedName>
    <definedName name="____________GBS23" localSheetId="8">#REF!</definedName>
    <definedName name="____________GBS23" localSheetId="10">#REF!</definedName>
    <definedName name="____________GBS23" localSheetId="28">#REF!</definedName>
    <definedName name="____________GBS23">#REF!</definedName>
    <definedName name="____________GBS24" localSheetId="8">#REF!</definedName>
    <definedName name="____________GBS24" localSheetId="10">#REF!</definedName>
    <definedName name="____________GBS24" localSheetId="28">#REF!</definedName>
    <definedName name="____________GBS24">#REF!</definedName>
    <definedName name="____________GBS25" localSheetId="8">#REF!</definedName>
    <definedName name="____________GBS25" localSheetId="10">#REF!</definedName>
    <definedName name="____________GBS25" localSheetId="28">#REF!</definedName>
    <definedName name="____________GBS25">#REF!</definedName>
    <definedName name="____________GBS26" localSheetId="8">#REF!</definedName>
    <definedName name="____________GBS26" localSheetId="10">#REF!</definedName>
    <definedName name="____________GBS26" localSheetId="28">#REF!</definedName>
    <definedName name="____________GBS26">#REF!</definedName>
    <definedName name="____________GBS27" localSheetId="8">#REF!</definedName>
    <definedName name="____________GBS27" localSheetId="10">#REF!</definedName>
    <definedName name="____________GBS27" localSheetId="28">#REF!</definedName>
    <definedName name="____________GBS27">#REF!</definedName>
    <definedName name="____________GBS28" localSheetId="8">#REF!</definedName>
    <definedName name="____________GBS28" localSheetId="10">#REF!</definedName>
    <definedName name="____________GBS28" localSheetId="28">#REF!</definedName>
    <definedName name="____________GBS28">#REF!</definedName>
    <definedName name="____________GBS29" localSheetId="8">#REF!</definedName>
    <definedName name="____________GBS29" localSheetId="10">#REF!</definedName>
    <definedName name="____________GBS29" localSheetId="28">#REF!</definedName>
    <definedName name="____________GBS29">#REF!</definedName>
    <definedName name="____________gus1">#REF!</definedName>
    <definedName name="____________hpm1">#REF!</definedName>
    <definedName name="____________knr2" localSheetId="5">#REF!</definedName>
    <definedName name="____________knr2" localSheetId="14">#REF!</definedName>
    <definedName name="____________knr2" localSheetId="8">#REF!</definedName>
    <definedName name="____________knr2" localSheetId="10">#REF!</definedName>
    <definedName name="____________knr2" localSheetId="37">#REF!</definedName>
    <definedName name="____________knr2" localSheetId="28">#REF!</definedName>
    <definedName name="____________knr2">#REF!</definedName>
    <definedName name="____________l1" localSheetId="37">[2]leads!$A$3:$E$108</definedName>
    <definedName name="____________l1">[27]leads!$A$3:$E$108</definedName>
    <definedName name="____________l12" localSheetId="33">#REF!</definedName>
    <definedName name="____________l12" localSheetId="34">#REF!</definedName>
    <definedName name="____________l12" localSheetId="35">#REF!</definedName>
    <definedName name="____________l12" localSheetId="5">#REF!</definedName>
    <definedName name="____________l12" localSheetId="8">#REF!</definedName>
    <definedName name="____________l12" localSheetId="10">#REF!</definedName>
    <definedName name="____________l12" localSheetId="11">#REF!</definedName>
    <definedName name="____________l12" localSheetId="28">#REF!</definedName>
    <definedName name="____________l12" localSheetId="42">#REF!</definedName>
    <definedName name="____________l12" localSheetId="31">#REF!</definedName>
    <definedName name="____________l12">#REF!</definedName>
    <definedName name="____________l2">[6]r!$F$29</definedName>
    <definedName name="____________l3" localSheetId="33">#REF!</definedName>
    <definedName name="____________l3" localSheetId="34">#REF!</definedName>
    <definedName name="____________l3" localSheetId="35">#REF!</definedName>
    <definedName name="____________l3" localSheetId="5">#REF!</definedName>
    <definedName name="____________l3" localSheetId="8">#REF!</definedName>
    <definedName name="____________l3" localSheetId="10">#REF!</definedName>
    <definedName name="____________l3" localSheetId="11">#REF!</definedName>
    <definedName name="____________l3" localSheetId="28">#REF!</definedName>
    <definedName name="____________l3" localSheetId="42">#REF!</definedName>
    <definedName name="____________l3" localSheetId="31">#REF!</definedName>
    <definedName name="____________l3">#REF!</definedName>
    <definedName name="____________l4" localSheetId="37">[3]Sheet1!$W$2:$Y$103</definedName>
    <definedName name="____________l4">[28]Sheet1!$W$2:$Y$103</definedName>
    <definedName name="____________l5" localSheetId="33">#REF!</definedName>
    <definedName name="____________l5" localSheetId="34">#REF!</definedName>
    <definedName name="____________l5" localSheetId="35">#REF!</definedName>
    <definedName name="____________l5" localSheetId="5">#REF!</definedName>
    <definedName name="____________l5" localSheetId="8">#REF!</definedName>
    <definedName name="____________l5" localSheetId="10">#REF!</definedName>
    <definedName name="____________l5" localSheetId="11">#REF!</definedName>
    <definedName name="____________l5" localSheetId="28">#REF!</definedName>
    <definedName name="____________l5" localSheetId="42">#REF!</definedName>
    <definedName name="____________l5" localSheetId="31">#REF!</definedName>
    <definedName name="____________l5">#REF!</definedName>
    <definedName name="____________l6">[6]r!$F$4</definedName>
    <definedName name="____________l7">[7]r!$F$4</definedName>
    <definedName name="____________l8">[6]r!$F$2</definedName>
    <definedName name="____________l9">[6]r!$F$3</definedName>
    <definedName name="____________lcn1">#REF!</definedName>
    <definedName name="____________LI9" localSheetId="8">#REF!</definedName>
    <definedName name="____________LI9" localSheetId="10">#REF!</definedName>
    <definedName name="____________LI9" localSheetId="28">#REF!</definedName>
    <definedName name="____________LI9">#REF!</definedName>
    <definedName name="____________LII9" localSheetId="8">#REF!</definedName>
    <definedName name="____________LII9" localSheetId="10">#REF!</definedName>
    <definedName name="____________LII9" localSheetId="28">#REF!</definedName>
    <definedName name="____________LII9">#REF!</definedName>
    <definedName name="____________lm1" localSheetId="28">#REF!</definedName>
    <definedName name="____________ML11" localSheetId="8">#REF!</definedName>
    <definedName name="____________ML11" localSheetId="10">#REF!</definedName>
    <definedName name="____________ML11" localSheetId="28">#REF!</definedName>
    <definedName name="____________ML11">#REF!</definedName>
    <definedName name="____________ML110" localSheetId="8">#REF!</definedName>
    <definedName name="____________ML110" localSheetId="10">#REF!</definedName>
    <definedName name="____________ML110" localSheetId="28">#REF!</definedName>
    <definedName name="____________ML110">#REF!</definedName>
    <definedName name="____________ML111" localSheetId="8">#REF!</definedName>
    <definedName name="____________ML111" localSheetId="10">#REF!</definedName>
    <definedName name="____________ML111" localSheetId="28">#REF!</definedName>
    <definedName name="____________ML111">#REF!</definedName>
    <definedName name="____________ML112" localSheetId="8">#REF!</definedName>
    <definedName name="____________ML112" localSheetId="10">#REF!</definedName>
    <definedName name="____________ML112" localSheetId="28">#REF!</definedName>
    <definedName name="____________ML112">#REF!</definedName>
    <definedName name="____________ML113" localSheetId="8">#REF!</definedName>
    <definedName name="____________ML113" localSheetId="10">#REF!</definedName>
    <definedName name="____________ML113" localSheetId="28">#REF!</definedName>
    <definedName name="____________ML113">#REF!</definedName>
    <definedName name="____________ML114" localSheetId="8">#REF!</definedName>
    <definedName name="____________ML114" localSheetId="10">#REF!</definedName>
    <definedName name="____________ML114" localSheetId="28">#REF!</definedName>
    <definedName name="____________ML114">#REF!</definedName>
    <definedName name="____________ML115" localSheetId="8">#REF!</definedName>
    <definedName name="____________ML115" localSheetId="10">#REF!</definedName>
    <definedName name="____________ML115" localSheetId="28">#REF!</definedName>
    <definedName name="____________ML115">#REF!</definedName>
    <definedName name="____________ML12" localSheetId="8">#REF!</definedName>
    <definedName name="____________ML12" localSheetId="10">#REF!</definedName>
    <definedName name="____________ML12" localSheetId="28">#REF!</definedName>
    <definedName name="____________ML12">#REF!</definedName>
    <definedName name="____________ML13" localSheetId="8">#REF!</definedName>
    <definedName name="____________ML13" localSheetId="10">#REF!</definedName>
    <definedName name="____________ML13" localSheetId="28">#REF!</definedName>
    <definedName name="____________ML13">#REF!</definedName>
    <definedName name="____________ML14" localSheetId="8">#REF!</definedName>
    <definedName name="____________ML14" localSheetId="10">#REF!</definedName>
    <definedName name="____________ML14" localSheetId="28">#REF!</definedName>
    <definedName name="____________ML14">#REF!</definedName>
    <definedName name="____________ML15" localSheetId="8">#REF!</definedName>
    <definedName name="____________ML15" localSheetId="10">#REF!</definedName>
    <definedName name="____________ML15" localSheetId="28">#REF!</definedName>
    <definedName name="____________ML15">#REF!</definedName>
    <definedName name="____________ML16" localSheetId="8">#REF!</definedName>
    <definedName name="____________ML16" localSheetId="10">#REF!</definedName>
    <definedName name="____________ML16" localSheetId="28">#REF!</definedName>
    <definedName name="____________ML16">#REF!</definedName>
    <definedName name="____________ML17" localSheetId="8">#REF!</definedName>
    <definedName name="____________ML17" localSheetId="10">#REF!</definedName>
    <definedName name="____________ML17" localSheetId="28">#REF!</definedName>
    <definedName name="____________ML17">#REF!</definedName>
    <definedName name="____________ML18" localSheetId="8">#REF!</definedName>
    <definedName name="____________ML18" localSheetId="10">#REF!</definedName>
    <definedName name="____________ML18" localSheetId="28">#REF!</definedName>
    <definedName name="____________ML18">#REF!</definedName>
    <definedName name="____________ML19" localSheetId="8">#REF!</definedName>
    <definedName name="____________ML19" localSheetId="10">#REF!</definedName>
    <definedName name="____________ML19" localSheetId="28">#REF!</definedName>
    <definedName name="____________ML19">#REF!</definedName>
    <definedName name="____________ML21" localSheetId="8">#REF!</definedName>
    <definedName name="____________ML21" localSheetId="10">#REF!</definedName>
    <definedName name="____________ML21" localSheetId="28">#REF!</definedName>
    <definedName name="____________ML21">#REF!</definedName>
    <definedName name="____________ML210" localSheetId="8">#REF!</definedName>
    <definedName name="____________ML210" localSheetId="10">#REF!</definedName>
    <definedName name="____________ML210" localSheetId="28">#REF!</definedName>
    <definedName name="____________ML210">#REF!</definedName>
    <definedName name="____________ML211" localSheetId="8">#REF!</definedName>
    <definedName name="____________ML211" localSheetId="10">#REF!</definedName>
    <definedName name="____________ML211" localSheetId="28">#REF!</definedName>
    <definedName name="____________ML211">#REF!</definedName>
    <definedName name="____________ML212" localSheetId="8">#REF!</definedName>
    <definedName name="____________ML212" localSheetId="10">#REF!</definedName>
    <definedName name="____________ML212" localSheetId="28">#REF!</definedName>
    <definedName name="____________ML212">#REF!</definedName>
    <definedName name="____________ML213" localSheetId="8">#REF!</definedName>
    <definedName name="____________ML213" localSheetId="10">#REF!</definedName>
    <definedName name="____________ML213" localSheetId="28">#REF!</definedName>
    <definedName name="____________ML213">#REF!</definedName>
    <definedName name="____________ML214" localSheetId="8">#REF!</definedName>
    <definedName name="____________ML214" localSheetId="10">#REF!</definedName>
    <definedName name="____________ML214" localSheetId="28">#REF!</definedName>
    <definedName name="____________ML214">#REF!</definedName>
    <definedName name="____________ML215" localSheetId="8">#REF!</definedName>
    <definedName name="____________ML215" localSheetId="10">#REF!</definedName>
    <definedName name="____________ML215" localSheetId="28">#REF!</definedName>
    <definedName name="____________ML215">#REF!</definedName>
    <definedName name="____________ML22" localSheetId="8">#REF!</definedName>
    <definedName name="____________ML22" localSheetId="10">#REF!</definedName>
    <definedName name="____________ML22" localSheetId="28">#REF!</definedName>
    <definedName name="____________ML22">#REF!</definedName>
    <definedName name="____________ML23" localSheetId="8">#REF!</definedName>
    <definedName name="____________ML23" localSheetId="10">#REF!</definedName>
    <definedName name="____________ML23" localSheetId="28">#REF!</definedName>
    <definedName name="____________ML23">#REF!</definedName>
    <definedName name="____________ML24" localSheetId="8">#REF!</definedName>
    <definedName name="____________ML24" localSheetId="10">#REF!</definedName>
    <definedName name="____________ML24" localSheetId="28">#REF!</definedName>
    <definedName name="____________ML24">#REF!</definedName>
    <definedName name="____________ML25" localSheetId="8">#REF!</definedName>
    <definedName name="____________ML25" localSheetId="10">#REF!</definedName>
    <definedName name="____________ML25" localSheetId="28">#REF!</definedName>
    <definedName name="____________ML25">#REF!</definedName>
    <definedName name="____________ML26" localSheetId="8">#REF!</definedName>
    <definedName name="____________ML26" localSheetId="10">#REF!</definedName>
    <definedName name="____________ML26" localSheetId="28">#REF!</definedName>
    <definedName name="____________ML26">#REF!</definedName>
    <definedName name="____________ML27" localSheetId="8">#REF!</definedName>
    <definedName name="____________ML27" localSheetId="10">#REF!</definedName>
    <definedName name="____________ML27" localSheetId="28">#REF!</definedName>
    <definedName name="____________ML27">#REF!</definedName>
    <definedName name="____________ML28" localSheetId="8">#REF!</definedName>
    <definedName name="____________ML28" localSheetId="10">#REF!</definedName>
    <definedName name="____________ML28" localSheetId="28">#REF!</definedName>
    <definedName name="____________ML28">#REF!</definedName>
    <definedName name="____________ML29" localSheetId="8">#REF!</definedName>
    <definedName name="____________ML29" localSheetId="10">#REF!</definedName>
    <definedName name="____________ML29" localSheetId="28">#REF!</definedName>
    <definedName name="____________ML29">#REF!</definedName>
    <definedName name="____________ML31" localSheetId="8">#REF!</definedName>
    <definedName name="____________ML31" localSheetId="10">#REF!</definedName>
    <definedName name="____________ML31" localSheetId="28">#REF!</definedName>
    <definedName name="____________ML31">#REF!</definedName>
    <definedName name="____________ML310" localSheetId="8">#REF!</definedName>
    <definedName name="____________ML310" localSheetId="10">#REF!</definedName>
    <definedName name="____________ML310" localSheetId="28">#REF!</definedName>
    <definedName name="____________ML310">#REF!</definedName>
    <definedName name="____________ML311" localSheetId="8">#REF!</definedName>
    <definedName name="____________ML311" localSheetId="10">#REF!</definedName>
    <definedName name="____________ML311" localSheetId="28">#REF!</definedName>
    <definedName name="____________ML311">#REF!</definedName>
    <definedName name="____________ML312" localSheetId="8">#REF!</definedName>
    <definedName name="____________ML312" localSheetId="10">#REF!</definedName>
    <definedName name="____________ML312" localSheetId="28">#REF!</definedName>
    <definedName name="____________ML312">#REF!</definedName>
    <definedName name="____________ML313" localSheetId="8">#REF!</definedName>
    <definedName name="____________ML313" localSheetId="10">#REF!</definedName>
    <definedName name="____________ML313" localSheetId="28">#REF!</definedName>
    <definedName name="____________ML313">#REF!</definedName>
    <definedName name="____________ML314" localSheetId="8">#REF!</definedName>
    <definedName name="____________ML314" localSheetId="10">#REF!</definedName>
    <definedName name="____________ML314" localSheetId="28">#REF!</definedName>
    <definedName name="____________ML314">#REF!</definedName>
    <definedName name="____________ML315" localSheetId="8">#REF!</definedName>
    <definedName name="____________ML315" localSheetId="10">#REF!</definedName>
    <definedName name="____________ML315" localSheetId="28">#REF!</definedName>
    <definedName name="____________ML315">#REF!</definedName>
    <definedName name="____________ML32" localSheetId="8">#REF!</definedName>
    <definedName name="____________ML32" localSheetId="10">#REF!</definedName>
    <definedName name="____________ML32" localSheetId="28">#REF!</definedName>
    <definedName name="____________ML32">#REF!</definedName>
    <definedName name="____________ML33" localSheetId="8">#REF!</definedName>
    <definedName name="____________ML33" localSheetId="10">#REF!</definedName>
    <definedName name="____________ML33" localSheetId="28">#REF!</definedName>
    <definedName name="____________ML33">#REF!</definedName>
    <definedName name="____________ML34" localSheetId="8">#REF!</definedName>
    <definedName name="____________ML34" localSheetId="10">#REF!</definedName>
    <definedName name="____________ML34" localSheetId="28">#REF!</definedName>
    <definedName name="____________ML34">#REF!</definedName>
    <definedName name="____________ML35" localSheetId="8">#REF!</definedName>
    <definedName name="____________ML35" localSheetId="10">#REF!</definedName>
    <definedName name="____________ML35" localSheetId="28">#REF!</definedName>
    <definedName name="____________ML35">#REF!</definedName>
    <definedName name="____________ML36" localSheetId="8">#REF!</definedName>
    <definedName name="____________ML36" localSheetId="10">#REF!</definedName>
    <definedName name="____________ML36" localSheetId="28">#REF!</definedName>
    <definedName name="____________ML36">#REF!</definedName>
    <definedName name="____________ML37" localSheetId="8">#REF!</definedName>
    <definedName name="____________ML37" localSheetId="10">#REF!</definedName>
    <definedName name="____________ML37" localSheetId="28">#REF!</definedName>
    <definedName name="____________ML37">#REF!</definedName>
    <definedName name="____________ML38" localSheetId="8">#REF!</definedName>
    <definedName name="____________ML38" localSheetId="10">#REF!</definedName>
    <definedName name="____________ML38" localSheetId="28">#REF!</definedName>
    <definedName name="____________ML38">#REF!</definedName>
    <definedName name="____________ML39" localSheetId="8">#REF!</definedName>
    <definedName name="____________ML39" localSheetId="10">#REF!</definedName>
    <definedName name="____________ML39" localSheetId="28">#REF!</definedName>
    <definedName name="____________ML39">#REF!</definedName>
    <definedName name="____________ML7" localSheetId="8">#REF!</definedName>
    <definedName name="____________ML7" localSheetId="10">#REF!</definedName>
    <definedName name="____________ML7" localSheetId="28">#REF!</definedName>
    <definedName name="____________ML7">#REF!</definedName>
    <definedName name="____________ML8" localSheetId="8">#REF!</definedName>
    <definedName name="____________ML8" localSheetId="10">#REF!</definedName>
    <definedName name="____________ML8" localSheetId="28">#REF!</definedName>
    <definedName name="____________ML8">#REF!</definedName>
    <definedName name="____________ML9" localSheetId="8">#REF!</definedName>
    <definedName name="____________ML9" localSheetId="10">#REF!</definedName>
    <definedName name="____________ML9" localSheetId="28">#REF!</definedName>
    <definedName name="____________ML9">#REF!</definedName>
    <definedName name="____________mm1" localSheetId="37">[4]r!$F$4</definedName>
    <definedName name="____________mm1">[29]r!$F$4</definedName>
    <definedName name="____________mm11">[6]r!$F$4</definedName>
    <definedName name="____________mm111">[7]r!$F$4</definedName>
    <definedName name="____________mm20" localSheetId="28">#REF!</definedName>
    <definedName name="____________mm40">#REF!</definedName>
    <definedName name="____________pc2" localSheetId="35">#REF!</definedName>
    <definedName name="____________pc2" localSheetId="5">#REF!</definedName>
    <definedName name="____________pc2" localSheetId="8">#REF!</definedName>
    <definedName name="____________pc2" localSheetId="10">#REF!</definedName>
    <definedName name="____________pc2" localSheetId="11">#REF!</definedName>
    <definedName name="____________pc2" localSheetId="28">#REF!</definedName>
    <definedName name="____________pc2" localSheetId="42">#REF!</definedName>
    <definedName name="____________pc2" localSheetId="31">#REF!</definedName>
    <definedName name="____________pc2">#REF!</definedName>
    <definedName name="____________PMS2" localSheetId="8">#REF!</definedName>
    <definedName name="____________PMS2" localSheetId="10">#REF!</definedName>
    <definedName name="____________PMS2" localSheetId="28">#REF!</definedName>
    <definedName name="____________PMS2">#REF!</definedName>
    <definedName name="____________pv2" localSheetId="35">#REF!</definedName>
    <definedName name="____________pv2" localSheetId="5">#REF!</definedName>
    <definedName name="____________pv2" localSheetId="8">#REF!</definedName>
    <definedName name="____________pv2" localSheetId="10">#REF!</definedName>
    <definedName name="____________pv2" localSheetId="11">#REF!</definedName>
    <definedName name="____________pv2" localSheetId="28">#REF!</definedName>
    <definedName name="____________pv2" localSheetId="42">#REF!</definedName>
    <definedName name="____________pv2" localSheetId="31">#REF!</definedName>
    <definedName name="____________pv2">#REF!</definedName>
    <definedName name="____________rr3" localSheetId="37">[5]v!$A$2:$E$51</definedName>
    <definedName name="____________rr3">[30]v!$A$2:$E$51</definedName>
    <definedName name="____________rrr1" localSheetId="37">[5]r!$B$1:$I$145</definedName>
    <definedName name="____________rrr1">[30]r!$B$1:$I$145</definedName>
    <definedName name="____________ss12">[31]rdamdata!$J$8</definedName>
    <definedName name="____________ss20">[31]rdamdata!$J$7</definedName>
    <definedName name="____________ss40">[31]rdamdata!$J$6</definedName>
    <definedName name="____________sw1" localSheetId="28">#REF!</definedName>
    <definedName name="____________us1">#REF!</definedName>
    <definedName name="____________var1" localSheetId="33">#REF!</definedName>
    <definedName name="____________var1" localSheetId="34">#REF!</definedName>
    <definedName name="____________var1" localSheetId="35">#REF!</definedName>
    <definedName name="____________var1" localSheetId="5">#REF!</definedName>
    <definedName name="____________var1" localSheetId="8">#REF!</definedName>
    <definedName name="____________var1" localSheetId="10">#REF!</definedName>
    <definedName name="____________var1" localSheetId="11">#REF!</definedName>
    <definedName name="____________var1" localSheetId="28">#REF!</definedName>
    <definedName name="____________var1" localSheetId="42">#REF!</definedName>
    <definedName name="____________var1" localSheetId="31">#REF!</definedName>
    <definedName name="____________var1">#REF!</definedName>
    <definedName name="____________var4" localSheetId="33">#REF!</definedName>
    <definedName name="____________var4" localSheetId="34">#REF!</definedName>
    <definedName name="____________var4" localSheetId="35">#REF!</definedName>
    <definedName name="____________var4" localSheetId="5">#REF!</definedName>
    <definedName name="____________var4" localSheetId="8">#REF!</definedName>
    <definedName name="____________var4" localSheetId="10">#REF!</definedName>
    <definedName name="____________var4" localSheetId="11">#REF!</definedName>
    <definedName name="____________var4" localSheetId="28">#REF!</definedName>
    <definedName name="____________var4" localSheetId="42">#REF!</definedName>
    <definedName name="____________var4" localSheetId="31">#REF!</definedName>
    <definedName name="____________var4">#REF!</definedName>
    <definedName name="____________vat1">#REF!</definedName>
    <definedName name="____________vat2">#REF!</definedName>
    <definedName name="____________xlfn_BAHTTEXT">#N/A</definedName>
    <definedName name="___________abs1" localSheetId="8">#REF!</definedName>
    <definedName name="___________abs1" localSheetId="10">#REF!</definedName>
    <definedName name="___________abs1" localSheetId="28">#REF!</definedName>
    <definedName name="___________abs1">#REF!</definedName>
    <definedName name="___________AUX1" localSheetId="28">#REF!</definedName>
    <definedName name="___________aux2" localSheetId="28">#REF!</definedName>
    <definedName name="___________AUX3">#REF!</definedName>
    <definedName name="___________bla1" localSheetId="37">[1]leads!$H$7</definedName>
    <definedName name="___________bla1">[19]leads!$H$7</definedName>
    <definedName name="___________BSG100" localSheetId="8">#REF!</definedName>
    <definedName name="___________BSG100" localSheetId="10">#REF!</definedName>
    <definedName name="___________BSG100" localSheetId="28">#REF!</definedName>
    <definedName name="___________BSG100">#REF!</definedName>
    <definedName name="___________BSG150" localSheetId="8">#REF!</definedName>
    <definedName name="___________BSG150" localSheetId="10">#REF!</definedName>
    <definedName name="___________BSG150" localSheetId="28">#REF!</definedName>
    <definedName name="___________BSG150">#REF!</definedName>
    <definedName name="___________BSG5" localSheetId="8">#REF!</definedName>
    <definedName name="___________BSG5" localSheetId="10">#REF!</definedName>
    <definedName name="___________BSG5" localSheetId="28">#REF!</definedName>
    <definedName name="___________BSG5">#REF!</definedName>
    <definedName name="___________BSG75" localSheetId="8">#REF!</definedName>
    <definedName name="___________BSG75" localSheetId="10">#REF!</definedName>
    <definedName name="___________BSG75" localSheetId="28">#REF!</definedName>
    <definedName name="___________BSG75">#REF!</definedName>
    <definedName name="___________BTC1" localSheetId="8">#REF!</definedName>
    <definedName name="___________BTC1" localSheetId="10">#REF!</definedName>
    <definedName name="___________BTC1" localSheetId="28">#REF!</definedName>
    <definedName name="___________BTC1">#REF!</definedName>
    <definedName name="___________BTC10" localSheetId="8">#REF!</definedName>
    <definedName name="___________BTC10" localSheetId="10">#REF!</definedName>
    <definedName name="___________BTC10" localSheetId="28">#REF!</definedName>
    <definedName name="___________BTC10">#REF!</definedName>
    <definedName name="___________BTC11" localSheetId="8">#REF!</definedName>
    <definedName name="___________BTC11" localSheetId="10">#REF!</definedName>
    <definedName name="___________BTC11" localSheetId="28">#REF!</definedName>
    <definedName name="___________BTC11">#REF!</definedName>
    <definedName name="___________BTC12" localSheetId="8">#REF!</definedName>
    <definedName name="___________BTC12" localSheetId="10">#REF!</definedName>
    <definedName name="___________BTC12" localSheetId="28">#REF!</definedName>
    <definedName name="___________BTC12">#REF!</definedName>
    <definedName name="___________BTC13" localSheetId="8">#REF!</definedName>
    <definedName name="___________BTC13" localSheetId="10">#REF!</definedName>
    <definedName name="___________BTC13" localSheetId="28">#REF!</definedName>
    <definedName name="___________BTC13">#REF!</definedName>
    <definedName name="___________BTC14" localSheetId="8">#REF!</definedName>
    <definedName name="___________BTC14" localSheetId="10">#REF!</definedName>
    <definedName name="___________BTC14" localSheetId="28">#REF!</definedName>
    <definedName name="___________BTC14">#REF!</definedName>
    <definedName name="___________BTC15" localSheetId="8">#REF!</definedName>
    <definedName name="___________BTC15" localSheetId="10">#REF!</definedName>
    <definedName name="___________BTC15" localSheetId="28">#REF!</definedName>
    <definedName name="___________BTC15">#REF!</definedName>
    <definedName name="___________BTC2" localSheetId="8">#REF!</definedName>
    <definedName name="___________BTC2" localSheetId="10">#REF!</definedName>
    <definedName name="___________BTC2" localSheetId="28">#REF!</definedName>
    <definedName name="___________BTC2">#REF!</definedName>
    <definedName name="___________BTC3" localSheetId="8">#REF!</definedName>
    <definedName name="___________BTC3" localSheetId="10">#REF!</definedName>
    <definedName name="___________BTC3" localSheetId="28">#REF!</definedName>
    <definedName name="___________BTC3">#REF!</definedName>
    <definedName name="___________BTC4" localSheetId="8">#REF!</definedName>
    <definedName name="___________BTC4" localSheetId="10">#REF!</definedName>
    <definedName name="___________BTC4" localSheetId="28">#REF!</definedName>
    <definedName name="___________BTC4">#REF!</definedName>
    <definedName name="___________BTC5" localSheetId="8">#REF!</definedName>
    <definedName name="___________BTC5" localSheetId="10">#REF!</definedName>
    <definedName name="___________BTC5" localSheetId="28">#REF!</definedName>
    <definedName name="___________BTC5">#REF!</definedName>
    <definedName name="___________BTC6" localSheetId="8">#REF!</definedName>
    <definedName name="___________BTC6" localSheetId="10">#REF!</definedName>
    <definedName name="___________BTC6" localSheetId="28">#REF!</definedName>
    <definedName name="___________BTC6">#REF!</definedName>
    <definedName name="___________BTC7" localSheetId="8">#REF!</definedName>
    <definedName name="___________BTC7" localSheetId="10">#REF!</definedName>
    <definedName name="___________BTC7" localSheetId="28">#REF!</definedName>
    <definedName name="___________BTC7">#REF!</definedName>
    <definedName name="___________BTC8" localSheetId="8">#REF!</definedName>
    <definedName name="___________BTC8" localSheetId="10">#REF!</definedName>
    <definedName name="___________BTC8" localSheetId="28">#REF!</definedName>
    <definedName name="___________BTC8">#REF!</definedName>
    <definedName name="___________BTC9" localSheetId="8">#REF!</definedName>
    <definedName name="___________BTC9" localSheetId="10">#REF!</definedName>
    <definedName name="___________BTC9" localSheetId="28">#REF!</definedName>
    <definedName name="___________BTC9">#REF!</definedName>
    <definedName name="___________BTS1" localSheetId="8">#REF!</definedName>
    <definedName name="___________BTS1" localSheetId="10">#REF!</definedName>
    <definedName name="___________BTS1" localSheetId="28">#REF!</definedName>
    <definedName name="___________BTS1">#REF!</definedName>
    <definedName name="___________BTS10" localSheetId="8">#REF!</definedName>
    <definedName name="___________BTS10" localSheetId="10">#REF!</definedName>
    <definedName name="___________BTS10" localSheetId="28">#REF!</definedName>
    <definedName name="___________BTS10">#REF!</definedName>
    <definedName name="___________BTS11" localSheetId="8">#REF!</definedName>
    <definedName name="___________BTS11" localSheetId="10">#REF!</definedName>
    <definedName name="___________BTS11" localSheetId="28">#REF!</definedName>
    <definedName name="___________BTS11">#REF!</definedName>
    <definedName name="___________BTS12" localSheetId="8">#REF!</definedName>
    <definedName name="___________BTS12" localSheetId="10">#REF!</definedName>
    <definedName name="___________BTS12" localSheetId="28">#REF!</definedName>
    <definedName name="___________BTS12">#REF!</definedName>
    <definedName name="___________BTS13" localSheetId="8">#REF!</definedName>
    <definedName name="___________BTS13" localSheetId="10">#REF!</definedName>
    <definedName name="___________BTS13" localSheetId="28">#REF!</definedName>
    <definedName name="___________BTS13">#REF!</definedName>
    <definedName name="___________BTS14" localSheetId="8">#REF!</definedName>
    <definedName name="___________BTS14" localSheetId="10">#REF!</definedName>
    <definedName name="___________BTS14" localSheetId="28">#REF!</definedName>
    <definedName name="___________BTS14">#REF!</definedName>
    <definedName name="___________BTS15" localSheetId="8">#REF!</definedName>
    <definedName name="___________BTS15" localSheetId="10">#REF!</definedName>
    <definedName name="___________BTS15" localSheetId="28">#REF!</definedName>
    <definedName name="___________BTS15">#REF!</definedName>
    <definedName name="___________BTS2" localSheetId="8">#REF!</definedName>
    <definedName name="___________BTS2" localSheetId="10">#REF!</definedName>
    <definedName name="___________BTS2" localSheetId="28">#REF!</definedName>
    <definedName name="___________BTS2">#REF!</definedName>
    <definedName name="___________BTS3" localSheetId="8">#REF!</definedName>
    <definedName name="___________BTS3" localSheetId="10">#REF!</definedName>
    <definedName name="___________BTS3" localSheetId="28">#REF!</definedName>
    <definedName name="___________BTS3">#REF!</definedName>
    <definedName name="___________BTS4" localSheetId="8">#REF!</definedName>
    <definedName name="___________BTS4" localSheetId="10">#REF!</definedName>
    <definedName name="___________BTS4" localSheetId="28">#REF!</definedName>
    <definedName name="___________BTS4">#REF!</definedName>
    <definedName name="___________BTS5" localSheetId="8">#REF!</definedName>
    <definedName name="___________BTS5" localSheetId="10">#REF!</definedName>
    <definedName name="___________BTS5" localSheetId="28">#REF!</definedName>
    <definedName name="___________BTS5">#REF!</definedName>
    <definedName name="___________BTS6" localSheetId="8">#REF!</definedName>
    <definedName name="___________BTS6" localSheetId="10">#REF!</definedName>
    <definedName name="___________BTS6" localSheetId="28">#REF!</definedName>
    <definedName name="___________BTS6">#REF!</definedName>
    <definedName name="___________BTS7" localSheetId="8">#REF!</definedName>
    <definedName name="___________BTS7" localSheetId="10">#REF!</definedName>
    <definedName name="___________BTS7" localSheetId="28">#REF!</definedName>
    <definedName name="___________BTS7">#REF!</definedName>
    <definedName name="___________BTS8" localSheetId="8">#REF!</definedName>
    <definedName name="___________BTS8" localSheetId="10">#REF!</definedName>
    <definedName name="___________BTS8" localSheetId="28">#REF!</definedName>
    <definedName name="___________BTS8">#REF!</definedName>
    <definedName name="___________BTS9" localSheetId="8">#REF!</definedName>
    <definedName name="___________BTS9" localSheetId="10">#REF!</definedName>
    <definedName name="___________BTS9" localSheetId="28">#REF!</definedName>
    <definedName name="___________BTS9">#REF!</definedName>
    <definedName name="___________can430">40.73</definedName>
    <definedName name="___________can435">43.3</definedName>
    <definedName name="___________cbr1" localSheetId="28">#REF!</definedName>
    <definedName name="___________cbr2">#REF!</definedName>
    <definedName name="___________cbr3">#REF!</definedName>
    <definedName name="___________cbr4">#REF!</definedName>
    <definedName name="___________cur1">[6]r!$F$30</definedName>
    <definedName name="___________er1">#REF!</definedName>
    <definedName name="___________ewe1" localSheetId="28">#REF!</definedName>
    <definedName name="___________f1">#REF!</definedName>
    <definedName name="___________GBS11" localSheetId="8">#REF!</definedName>
    <definedName name="___________GBS11" localSheetId="10">#REF!</definedName>
    <definedName name="___________GBS11" localSheetId="28">#REF!</definedName>
    <definedName name="___________GBS11">#REF!</definedName>
    <definedName name="___________GBS110" localSheetId="8">#REF!</definedName>
    <definedName name="___________GBS110" localSheetId="10">#REF!</definedName>
    <definedName name="___________GBS110" localSheetId="28">#REF!</definedName>
    <definedName name="___________GBS110">#REF!</definedName>
    <definedName name="___________GBS111" localSheetId="8">#REF!</definedName>
    <definedName name="___________GBS111" localSheetId="10">#REF!</definedName>
    <definedName name="___________GBS111" localSheetId="28">#REF!</definedName>
    <definedName name="___________GBS111">#REF!</definedName>
    <definedName name="___________GBS112" localSheetId="8">#REF!</definedName>
    <definedName name="___________GBS112" localSheetId="10">#REF!</definedName>
    <definedName name="___________GBS112" localSheetId="28">#REF!</definedName>
    <definedName name="___________GBS112">#REF!</definedName>
    <definedName name="___________GBS113" localSheetId="8">#REF!</definedName>
    <definedName name="___________GBS113" localSheetId="10">#REF!</definedName>
    <definedName name="___________GBS113" localSheetId="28">#REF!</definedName>
    <definedName name="___________GBS113">#REF!</definedName>
    <definedName name="___________GBS114" localSheetId="8">#REF!</definedName>
    <definedName name="___________GBS114" localSheetId="10">#REF!</definedName>
    <definedName name="___________GBS114" localSheetId="28">#REF!</definedName>
    <definedName name="___________GBS114">#REF!</definedName>
    <definedName name="___________GBS115" localSheetId="8">#REF!</definedName>
    <definedName name="___________GBS115" localSheetId="10">#REF!</definedName>
    <definedName name="___________GBS115" localSheetId="28">#REF!</definedName>
    <definedName name="___________GBS115">#REF!</definedName>
    <definedName name="___________GBS12" localSheetId="8">#REF!</definedName>
    <definedName name="___________GBS12" localSheetId="10">#REF!</definedName>
    <definedName name="___________GBS12" localSheetId="28">#REF!</definedName>
    <definedName name="___________GBS12">#REF!</definedName>
    <definedName name="___________GBS13" localSheetId="8">#REF!</definedName>
    <definedName name="___________GBS13" localSheetId="10">#REF!</definedName>
    <definedName name="___________GBS13" localSheetId="28">#REF!</definedName>
    <definedName name="___________GBS13">#REF!</definedName>
    <definedName name="___________GBS14" localSheetId="8">#REF!</definedName>
    <definedName name="___________GBS14" localSheetId="10">#REF!</definedName>
    <definedName name="___________GBS14" localSheetId="28">#REF!</definedName>
    <definedName name="___________GBS14">#REF!</definedName>
    <definedName name="___________GBS15" localSheetId="8">#REF!</definedName>
    <definedName name="___________GBS15" localSheetId="10">#REF!</definedName>
    <definedName name="___________GBS15" localSheetId="28">#REF!</definedName>
    <definedName name="___________GBS15">#REF!</definedName>
    <definedName name="___________GBS16" localSheetId="8">#REF!</definedName>
    <definedName name="___________GBS16" localSheetId="10">#REF!</definedName>
    <definedName name="___________GBS16" localSheetId="28">#REF!</definedName>
    <definedName name="___________GBS16">#REF!</definedName>
    <definedName name="___________GBS17" localSheetId="8">#REF!</definedName>
    <definedName name="___________GBS17" localSheetId="10">#REF!</definedName>
    <definedName name="___________GBS17" localSheetId="28">#REF!</definedName>
    <definedName name="___________GBS17">#REF!</definedName>
    <definedName name="___________GBS18" localSheetId="8">#REF!</definedName>
    <definedName name="___________GBS18" localSheetId="10">#REF!</definedName>
    <definedName name="___________GBS18" localSheetId="28">#REF!</definedName>
    <definedName name="___________GBS18">#REF!</definedName>
    <definedName name="___________GBS19" localSheetId="8">#REF!</definedName>
    <definedName name="___________GBS19" localSheetId="10">#REF!</definedName>
    <definedName name="___________GBS19" localSheetId="28">#REF!</definedName>
    <definedName name="___________GBS19">#REF!</definedName>
    <definedName name="___________GBS21" localSheetId="8">#REF!</definedName>
    <definedName name="___________GBS21" localSheetId="10">#REF!</definedName>
    <definedName name="___________GBS21" localSheetId="28">#REF!</definedName>
    <definedName name="___________GBS21">#REF!</definedName>
    <definedName name="___________GBS210" localSheetId="8">#REF!</definedName>
    <definedName name="___________GBS210" localSheetId="10">#REF!</definedName>
    <definedName name="___________GBS210" localSheetId="28">#REF!</definedName>
    <definedName name="___________GBS210">#REF!</definedName>
    <definedName name="___________GBS211" localSheetId="8">#REF!</definedName>
    <definedName name="___________GBS211" localSheetId="10">#REF!</definedName>
    <definedName name="___________GBS211" localSheetId="28">#REF!</definedName>
    <definedName name="___________GBS211">#REF!</definedName>
    <definedName name="___________GBS212" localSheetId="8">#REF!</definedName>
    <definedName name="___________GBS212" localSheetId="10">#REF!</definedName>
    <definedName name="___________GBS212" localSheetId="28">#REF!</definedName>
    <definedName name="___________GBS212">#REF!</definedName>
    <definedName name="___________GBS213" localSheetId="8">#REF!</definedName>
    <definedName name="___________GBS213" localSheetId="10">#REF!</definedName>
    <definedName name="___________GBS213" localSheetId="28">#REF!</definedName>
    <definedName name="___________GBS213">#REF!</definedName>
    <definedName name="___________GBS214" localSheetId="8">#REF!</definedName>
    <definedName name="___________GBS214" localSheetId="10">#REF!</definedName>
    <definedName name="___________GBS214" localSheetId="28">#REF!</definedName>
    <definedName name="___________GBS214">#REF!</definedName>
    <definedName name="___________GBS215" localSheetId="8">#REF!</definedName>
    <definedName name="___________GBS215" localSheetId="10">#REF!</definedName>
    <definedName name="___________GBS215" localSheetId="28">#REF!</definedName>
    <definedName name="___________GBS215">#REF!</definedName>
    <definedName name="___________GBS22" localSheetId="8">#REF!</definedName>
    <definedName name="___________GBS22" localSheetId="10">#REF!</definedName>
    <definedName name="___________GBS22" localSheetId="28">#REF!</definedName>
    <definedName name="___________GBS22">#REF!</definedName>
    <definedName name="___________GBS23" localSheetId="8">#REF!</definedName>
    <definedName name="___________GBS23" localSheetId="10">#REF!</definedName>
    <definedName name="___________GBS23" localSheetId="28">#REF!</definedName>
    <definedName name="___________GBS23">#REF!</definedName>
    <definedName name="___________GBS24" localSheetId="8">#REF!</definedName>
    <definedName name="___________GBS24" localSheetId="10">#REF!</definedName>
    <definedName name="___________GBS24" localSheetId="28">#REF!</definedName>
    <definedName name="___________GBS24">#REF!</definedName>
    <definedName name="___________GBS25" localSheetId="8">#REF!</definedName>
    <definedName name="___________GBS25" localSheetId="10">#REF!</definedName>
    <definedName name="___________GBS25" localSheetId="28">#REF!</definedName>
    <definedName name="___________GBS25">#REF!</definedName>
    <definedName name="___________GBS26" localSheetId="8">#REF!</definedName>
    <definedName name="___________GBS26" localSheetId="10">#REF!</definedName>
    <definedName name="___________GBS26" localSheetId="28">#REF!</definedName>
    <definedName name="___________GBS26">#REF!</definedName>
    <definedName name="___________GBS27" localSheetId="8">#REF!</definedName>
    <definedName name="___________GBS27" localSheetId="10">#REF!</definedName>
    <definedName name="___________GBS27" localSheetId="28">#REF!</definedName>
    <definedName name="___________GBS27">#REF!</definedName>
    <definedName name="___________GBS28" localSheetId="8">#REF!</definedName>
    <definedName name="___________GBS28" localSheetId="10">#REF!</definedName>
    <definedName name="___________GBS28" localSheetId="28">#REF!</definedName>
    <definedName name="___________GBS28">#REF!</definedName>
    <definedName name="___________GBS29" localSheetId="8">#REF!</definedName>
    <definedName name="___________GBS29" localSheetId="10">#REF!</definedName>
    <definedName name="___________GBS29" localSheetId="28">#REF!</definedName>
    <definedName name="___________GBS29">#REF!</definedName>
    <definedName name="___________gus1">#REF!</definedName>
    <definedName name="___________hpm1">#REF!</definedName>
    <definedName name="___________knr2" localSheetId="5">#REF!</definedName>
    <definedName name="___________knr2" localSheetId="14">#REF!</definedName>
    <definedName name="___________knr2" localSheetId="8">#REF!</definedName>
    <definedName name="___________knr2" localSheetId="10">#REF!</definedName>
    <definedName name="___________knr2" localSheetId="28">#REF!</definedName>
    <definedName name="___________knr2">#REF!</definedName>
    <definedName name="___________l1" localSheetId="37">[2]leads!$A$3:$E$108</definedName>
    <definedName name="___________l1">[20]leads!$A$3:$E$108</definedName>
    <definedName name="___________l12" localSheetId="35">#REF!</definedName>
    <definedName name="___________l12" localSheetId="5">#REF!</definedName>
    <definedName name="___________l12" localSheetId="8">#REF!</definedName>
    <definedName name="___________l12" localSheetId="10">#REF!</definedName>
    <definedName name="___________l12" localSheetId="11">#REF!</definedName>
    <definedName name="___________l12" localSheetId="28">#REF!</definedName>
    <definedName name="___________l12" localSheetId="42">#REF!</definedName>
    <definedName name="___________l12" localSheetId="31">#REF!</definedName>
    <definedName name="___________l12">#REF!</definedName>
    <definedName name="___________l2">[6]r!$F$29</definedName>
    <definedName name="___________l3" localSheetId="35">#REF!</definedName>
    <definedName name="___________l3" localSheetId="5">#REF!</definedName>
    <definedName name="___________l3" localSheetId="8">#REF!</definedName>
    <definedName name="___________l3" localSheetId="10">#REF!</definedName>
    <definedName name="___________l3" localSheetId="11">#REF!</definedName>
    <definedName name="___________l3" localSheetId="28">#REF!</definedName>
    <definedName name="___________l3" localSheetId="42">#REF!</definedName>
    <definedName name="___________l3" localSheetId="31">#REF!</definedName>
    <definedName name="___________l3">#REF!</definedName>
    <definedName name="___________l4" localSheetId="37">[3]Sheet1!$W$2:$Y$103</definedName>
    <definedName name="___________l4">[21]Sheet1!$W$2:$Y$103</definedName>
    <definedName name="___________l5" localSheetId="35">#REF!</definedName>
    <definedName name="___________l5" localSheetId="5">#REF!</definedName>
    <definedName name="___________l5" localSheetId="8">#REF!</definedName>
    <definedName name="___________l5" localSheetId="10">#REF!</definedName>
    <definedName name="___________l5" localSheetId="11">#REF!</definedName>
    <definedName name="___________l5" localSheetId="28">#REF!</definedName>
    <definedName name="___________l5" localSheetId="42">#REF!</definedName>
    <definedName name="___________l5" localSheetId="31">#REF!</definedName>
    <definedName name="___________l5">#REF!</definedName>
    <definedName name="___________l6">[6]r!$F$4</definedName>
    <definedName name="___________l7">[7]r!$F$4</definedName>
    <definedName name="___________l8">[6]r!$F$2</definedName>
    <definedName name="___________l9">[6]r!$F$3</definedName>
    <definedName name="___________lcn1">#REF!</definedName>
    <definedName name="___________LI9" localSheetId="8">#REF!</definedName>
    <definedName name="___________LI9" localSheetId="10">#REF!</definedName>
    <definedName name="___________LI9" localSheetId="28">#REF!</definedName>
    <definedName name="___________LI9">#REF!</definedName>
    <definedName name="___________LII9" localSheetId="8">#REF!</definedName>
    <definedName name="___________LII9" localSheetId="10">#REF!</definedName>
    <definedName name="___________LII9" localSheetId="28">#REF!</definedName>
    <definedName name="___________LII9">#REF!</definedName>
    <definedName name="___________lm1" localSheetId="28">#REF!</definedName>
    <definedName name="___________MIX124">[32]maya!$A$11:$A$18</definedName>
    <definedName name="___________ML11" localSheetId="8">#REF!</definedName>
    <definedName name="___________ML11" localSheetId="10">#REF!</definedName>
    <definedName name="___________ML11" localSheetId="28">#REF!</definedName>
    <definedName name="___________ML11">#REF!</definedName>
    <definedName name="___________ML110" localSheetId="8">#REF!</definedName>
    <definedName name="___________ML110" localSheetId="10">#REF!</definedName>
    <definedName name="___________ML110" localSheetId="28">#REF!</definedName>
    <definedName name="___________ML110">#REF!</definedName>
    <definedName name="___________ML111" localSheetId="8">#REF!</definedName>
    <definedName name="___________ML111" localSheetId="10">#REF!</definedName>
    <definedName name="___________ML111" localSheetId="28">#REF!</definedName>
    <definedName name="___________ML111">#REF!</definedName>
    <definedName name="___________ML112" localSheetId="8">#REF!</definedName>
    <definedName name="___________ML112" localSheetId="10">#REF!</definedName>
    <definedName name="___________ML112" localSheetId="28">#REF!</definedName>
    <definedName name="___________ML112">#REF!</definedName>
    <definedName name="___________ML113" localSheetId="8">#REF!</definedName>
    <definedName name="___________ML113" localSheetId="10">#REF!</definedName>
    <definedName name="___________ML113" localSheetId="28">#REF!</definedName>
    <definedName name="___________ML113">#REF!</definedName>
    <definedName name="___________ML114" localSheetId="8">#REF!</definedName>
    <definedName name="___________ML114" localSheetId="10">#REF!</definedName>
    <definedName name="___________ML114" localSheetId="28">#REF!</definedName>
    <definedName name="___________ML114">#REF!</definedName>
    <definedName name="___________ML115" localSheetId="8">#REF!</definedName>
    <definedName name="___________ML115" localSheetId="10">#REF!</definedName>
    <definedName name="___________ML115" localSheetId="28">#REF!</definedName>
    <definedName name="___________ML115">#REF!</definedName>
    <definedName name="___________ML12" localSheetId="8">#REF!</definedName>
    <definedName name="___________ML12" localSheetId="10">#REF!</definedName>
    <definedName name="___________ML12" localSheetId="28">#REF!</definedName>
    <definedName name="___________ML12">#REF!</definedName>
    <definedName name="___________ML13" localSheetId="8">#REF!</definedName>
    <definedName name="___________ML13" localSheetId="10">#REF!</definedName>
    <definedName name="___________ML13" localSheetId="28">#REF!</definedName>
    <definedName name="___________ML13">#REF!</definedName>
    <definedName name="___________ML14" localSheetId="8">#REF!</definedName>
    <definedName name="___________ML14" localSheetId="10">#REF!</definedName>
    <definedName name="___________ML14" localSheetId="28">#REF!</definedName>
    <definedName name="___________ML14">#REF!</definedName>
    <definedName name="___________ML15" localSheetId="8">#REF!</definedName>
    <definedName name="___________ML15" localSheetId="10">#REF!</definedName>
    <definedName name="___________ML15" localSheetId="28">#REF!</definedName>
    <definedName name="___________ML15">#REF!</definedName>
    <definedName name="___________ML16" localSheetId="8">#REF!</definedName>
    <definedName name="___________ML16" localSheetId="10">#REF!</definedName>
    <definedName name="___________ML16" localSheetId="28">#REF!</definedName>
    <definedName name="___________ML16">#REF!</definedName>
    <definedName name="___________ML17" localSheetId="8">#REF!</definedName>
    <definedName name="___________ML17" localSheetId="10">#REF!</definedName>
    <definedName name="___________ML17" localSheetId="28">#REF!</definedName>
    <definedName name="___________ML17">#REF!</definedName>
    <definedName name="___________ML18" localSheetId="8">#REF!</definedName>
    <definedName name="___________ML18" localSheetId="10">#REF!</definedName>
    <definedName name="___________ML18" localSheetId="28">#REF!</definedName>
    <definedName name="___________ML18">#REF!</definedName>
    <definedName name="___________ML19" localSheetId="8">#REF!</definedName>
    <definedName name="___________ML19" localSheetId="10">#REF!</definedName>
    <definedName name="___________ML19" localSheetId="28">#REF!</definedName>
    <definedName name="___________ML19">#REF!</definedName>
    <definedName name="___________ML21" localSheetId="8">#REF!</definedName>
    <definedName name="___________ML21" localSheetId="10">#REF!</definedName>
    <definedName name="___________ML21" localSheetId="28">#REF!</definedName>
    <definedName name="___________ML21">#REF!</definedName>
    <definedName name="___________ML210" localSheetId="8">#REF!</definedName>
    <definedName name="___________ML210" localSheetId="10">#REF!</definedName>
    <definedName name="___________ML210" localSheetId="28">#REF!</definedName>
    <definedName name="___________ML210">#REF!</definedName>
    <definedName name="___________ML211" localSheetId="8">#REF!</definedName>
    <definedName name="___________ML211" localSheetId="10">#REF!</definedName>
    <definedName name="___________ML211" localSheetId="28">#REF!</definedName>
    <definedName name="___________ML211">#REF!</definedName>
    <definedName name="___________ML212" localSheetId="8">#REF!</definedName>
    <definedName name="___________ML212" localSheetId="10">#REF!</definedName>
    <definedName name="___________ML212" localSheetId="28">#REF!</definedName>
    <definedName name="___________ML212">#REF!</definedName>
    <definedName name="___________ML213" localSheetId="8">#REF!</definedName>
    <definedName name="___________ML213" localSheetId="10">#REF!</definedName>
    <definedName name="___________ML213" localSheetId="28">#REF!</definedName>
    <definedName name="___________ML213">#REF!</definedName>
    <definedName name="___________ML214" localSheetId="8">#REF!</definedName>
    <definedName name="___________ML214" localSheetId="10">#REF!</definedName>
    <definedName name="___________ML214" localSheetId="28">#REF!</definedName>
    <definedName name="___________ML214">#REF!</definedName>
    <definedName name="___________ML215" localSheetId="8">#REF!</definedName>
    <definedName name="___________ML215" localSheetId="10">#REF!</definedName>
    <definedName name="___________ML215" localSheetId="28">#REF!</definedName>
    <definedName name="___________ML215">#REF!</definedName>
    <definedName name="___________ML22" localSheetId="8">#REF!</definedName>
    <definedName name="___________ML22" localSheetId="10">#REF!</definedName>
    <definedName name="___________ML22" localSheetId="28">#REF!</definedName>
    <definedName name="___________ML22">#REF!</definedName>
    <definedName name="___________ML23" localSheetId="8">#REF!</definedName>
    <definedName name="___________ML23" localSheetId="10">#REF!</definedName>
    <definedName name="___________ML23" localSheetId="28">#REF!</definedName>
    <definedName name="___________ML23">#REF!</definedName>
    <definedName name="___________ML24" localSheetId="8">#REF!</definedName>
    <definedName name="___________ML24" localSheetId="10">#REF!</definedName>
    <definedName name="___________ML24" localSheetId="28">#REF!</definedName>
    <definedName name="___________ML24">#REF!</definedName>
    <definedName name="___________ML25" localSheetId="8">#REF!</definedName>
    <definedName name="___________ML25" localSheetId="10">#REF!</definedName>
    <definedName name="___________ML25" localSheetId="28">#REF!</definedName>
    <definedName name="___________ML25">#REF!</definedName>
    <definedName name="___________ML26" localSheetId="8">#REF!</definedName>
    <definedName name="___________ML26" localSheetId="10">#REF!</definedName>
    <definedName name="___________ML26" localSheetId="28">#REF!</definedName>
    <definedName name="___________ML26">#REF!</definedName>
    <definedName name="___________ML27" localSheetId="8">#REF!</definedName>
    <definedName name="___________ML27" localSheetId="10">#REF!</definedName>
    <definedName name="___________ML27" localSheetId="28">#REF!</definedName>
    <definedName name="___________ML27">#REF!</definedName>
    <definedName name="___________ML28" localSheetId="8">#REF!</definedName>
    <definedName name="___________ML28" localSheetId="10">#REF!</definedName>
    <definedName name="___________ML28" localSheetId="28">#REF!</definedName>
    <definedName name="___________ML28">#REF!</definedName>
    <definedName name="___________ML29" localSheetId="8">#REF!</definedName>
    <definedName name="___________ML29" localSheetId="10">#REF!</definedName>
    <definedName name="___________ML29" localSheetId="28">#REF!</definedName>
    <definedName name="___________ML29">#REF!</definedName>
    <definedName name="___________ML31" localSheetId="8">#REF!</definedName>
    <definedName name="___________ML31" localSheetId="10">#REF!</definedName>
    <definedName name="___________ML31" localSheetId="28">#REF!</definedName>
    <definedName name="___________ML31">#REF!</definedName>
    <definedName name="___________ML310" localSheetId="8">#REF!</definedName>
    <definedName name="___________ML310" localSheetId="10">#REF!</definedName>
    <definedName name="___________ML310" localSheetId="28">#REF!</definedName>
    <definedName name="___________ML310">#REF!</definedName>
    <definedName name="___________ML311" localSheetId="8">#REF!</definedName>
    <definedName name="___________ML311" localSheetId="10">#REF!</definedName>
    <definedName name="___________ML311" localSheetId="28">#REF!</definedName>
    <definedName name="___________ML311">#REF!</definedName>
    <definedName name="___________ML312" localSheetId="8">#REF!</definedName>
    <definedName name="___________ML312" localSheetId="10">#REF!</definedName>
    <definedName name="___________ML312" localSheetId="28">#REF!</definedName>
    <definedName name="___________ML312">#REF!</definedName>
    <definedName name="___________ML313" localSheetId="8">#REF!</definedName>
    <definedName name="___________ML313" localSheetId="10">#REF!</definedName>
    <definedName name="___________ML313" localSheetId="28">#REF!</definedName>
    <definedName name="___________ML313">#REF!</definedName>
    <definedName name="___________ML314" localSheetId="8">#REF!</definedName>
    <definedName name="___________ML314" localSheetId="10">#REF!</definedName>
    <definedName name="___________ML314" localSheetId="28">#REF!</definedName>
    <definedName name="___________ML314">#REF!</definedName>
    <definedName name="___________ML315" localSheetId="8">#REF!</definedName>
    <definedName name="___________ML315" localSheetId="10">#REF!</definedName>
    <definedName name="___________ML315" localSheetId="28">#REF!</definedName>
    <definedName name="___________ML315">#REF!</definedName>
    <definedName name="___________ML32" localSheetId="8">#REF!</definedName>
    <definedName name="___________ML32" localSheetId="10">#REF!</definedName>
    <definedName name="___________ML32" localSheetId="28">#REF!</definedName>
    <definedName name="___________ML32">#REF!</definedName>
    <definedName name="___________ML33" localSheetId="8">#REF!</definedName>
    <definedName name="___________ML33" localSheetId="10">#REF!</definedName>
    <definedName name="___________ML33" localSheetId="28">#REF!</definedName>
    <definedName name="___________ML33">#REF!</definedName>
    <definedName name="___________ML34" localSheetId="8">#REF!</definedName>
    <definedName name="___________ML34" localSheetId="10">#REF!</definedName>
    <definedName name="___________ML34" localSheetId="28">#REF!</definedName>
    <definedName name="___________ML34">#REF!</definedName>
    <definedName name="___________ML35" localSheetId="8">#REF!</definedName>
    <definedName name="___________ML35" localSheetId="10">#REF!</definedName>
    <definedName name="___________ML35" localSheetId="28">#REF!</definedName>
    <definedName name="___________ML35">#REF!</definedName>
    <definedName name="___________ML36" localSheetId="8">#REF!</definedName>
    <definedName name="___________ML36" localSheetId="10">#REF!</definedName>
    <definedName name="___________ML36" localSheetId="28">#REF!</definedName>
    <definedName name="___________ML36">#REF!</definedName>
    <definedName name="___________ML37" localSheetId="8">#REF!</definedName>
    <definedName name="___________ML37" localSheetId="10">#REF!</definedName>
    <definedName name="___________ML37" localSheetId="28">#REF!</definedName>
    <definedName name="___________ML37">#REF!</definedName>
    <definedName name="___________ML38" localSheetId="8">#REF!</definedName>
    <definedName name="___________ML38" localSheetId="10">#REF!</definedName>
    <definedName name="___________ML38" localSheetId="28">#REF!</definedName>
    <definedName name="___________ML38">#REF!</definedName>
    <definedName name="___________ML39" localSheetId="8">#REF!</definedName>
    <definedName name="___________ML39" localSheetId="10">#REF!</definedName>
    <definedName name="___________ML39" localSheetId="28">#REF!</definedName>
    <definedName name="___________ML39">#REF!</definedName>
    <definedName name="___________ML7" localSheetId="8">#REF!</definedName>
    <definedName name="___________ML7" localSheetId="10">#REF!</definedName>
    <definedName name="___________ML7" localSheetId="28">#REF!</definedName>
    <definedName name="___________ML7">#REF!</definedName>
    <definedName name="___________ML8" localSheetId="8">#REF!</definedName>
    <definedName name="___________ML8" localSheetId="10">#REF!</definedName>
    <definedName name="___________ML8" localSheetId="28">#REF!</definedName>
    <definedName name="___________ML8">#REF!</definedName>
    <definedName name="___________ML9" localSheetId="8">#REF!</definedName>
    <definedName name="___________ML9" localSheetId="10">#REF!</definedName>
    <definedName name="___________ML9" localSheetId="28">#REF!</definedName>
    <definedName name="___________ML9">#REF!</definedName>
    <definedName name="___________mm1" localSheetId="37">[4]r!$F$4</definedName>
    <definedName name="___________mm1">[22]r!$F$4</definedName>
    <definedName name="___________mm11">[6]r!$F$4</definedName>
    <definedName name="___________mm111">[7]r!$F$4</definedName>
    <definedName name="___________mm20" localSheetId="28">#REF!</definedName>
    <definedName name="___________mm40">#REF!</definedName>
    <definedName name="___________pc2" localSheetId="33">#REF!</definedName>
    <definedName name="___________pc2" localSheetId="34">#REF!</definedName>
    <definedName name="___________pc2" localSheetId="35">#REF!</definedName>
    <definedName name="___________pc2" localSheetId="5">#REF!</definedName>
    <definedName name="___________pc2" localSheetId="8">#REF!</definedName>
    <definedName name="___________pc2" localSheetId="10">#REF!</definedName>
    <definedName name="___________pc2" localSheetId="11">#REF!</definedName>
    <definedName name="___________pc2" localSheetId="28">#REF!</definedName>
    <definedName name="___________pc2" localSheetId="42">#REF!</definedName>
    <definedName name="___________pc2" localSheetId="31">#REF!</definedName>
    <definedName name="___________pc2">#REF!</definedName>
    <definedName name="___________PMS2" localSheetId="8">#REF!</definedName>
    <definedName name="___________PMS2" localSheetId="10">#REF!</definedName>
    <definedName name="___________PMS2" localSheetId="28">#REF!</definedName>
    <definedName name="___________PMS2">#REF!</definedName>
    <definedName name="___________pv2" localSheetId="33">#REF!</definedName>
    <definedName name="___________pv2" localSheetId="34">#REF!</definedName>
    <definedName name="___________pv2" localSheetId="35">#REF!</definedName>
    <definedName name="___________pv2" localSheetId="5">#REF!</definedName>
    <definedName name="___________pv2" localSheetId="8">#REF!</definedName>
    <definedName name="___________pv2" localSheetId="10">#REF!</definedName>
    <definedName name="___________pv2" localSheetId="11">#REF!</definedName>
    <definedName name="___________pv2" localSheetId="28">#REF!</definedName>
    <definedName name="___________pv2" localSheetId="42">#REF!</definedName>
    <definedName name="___________pv2" localSheetId="31">#REF!</definedName>
    <definedName name="___________pv2">#REF!</definedName>
    <definedName name="___________rr3" localSheetId="37">[5]v!$A$2:$E$51</definedName>
    <definedName name="___________rr3">[23]v!$A$2:$E$51</definedName>
    <definedName name="___________rrr1" localSheetId="37">[5]r!$B$1:$I$145</definedName>
    <definedName name="___________rrr1">[23]r!$B$1:$I$145</definedName>
    <definedName name="___________ss12" localSheetId="37">[24]rdamdata!$J$8</definedName>
    <definedName name="___________ss12">[25]rdamdata!$J$8</definedName>
    <definedName name="___________ss20" localSheetId="37">[24]rdamdata!$J$7</definedName>
    <definedName name="___________ss20">[25]rdamdata!$J$7</definedName>
    <definedName name="___________ss40" localSheetId="37">[24]rdamdata!$J$6</definedName>
    <definedName name="___________ss40">[25]rdamdata!$J$6</definedName>
    <definedName name="___________sw1" localSheetId="28">#REF!</definedName>
    <definedName name="___________us1">#REF!</definedName>
    <definedName name="___________var1" localSheetId="35">#REF!</definedName>
    <definedName name="___________var1" localSheetId="5">#REF!</definedName>
    <definedName name="___________var1" localSheetId="8">#REF!</definedName>
    <definedName name="___________var1" localSheetId="10">#REF!</definedName>
    <definedName name="___________var1" localSheetId="11">#REF!</definedName>
    <definedName name="___________var1" localSheetId="28">#REF!</definedName>
    <definedName name="___________var1" localSheetId="42">#REF!</definedName>
    <definedName name="___________var1" localSheetId="31">#REF!</definedName>
    <definedName name="___________var1">#REF!</definedName>
    <definedName name="___________var4" localSheetId="35">#REF!</definedName>
    <definedName name="___________var4" localSheetId="5">#REF!</definedName>
    <definedName name="___________var4" localSheetId="8">#REF!</definedName>
    <definedName name="___________var4" localSheetId="10">#REF!</definedName>
    <definedName name="___________var4" localSheetId="11">#REF!</definedName>
    <definedName name="___________var4" localSheetId="28">#REF!</definedName>
    <definedName name="___________var4" localSheetId="42">#REF!</definedName>
    <definedName name="___________var4" localSheetId="31">#REF!</definedName>
    <definedName name="___________var4">#REF!</definedName>
    <definedName name="___________vat1">#REF!</definedName>
    <definedName name="___________vat2">#REF!</definedName>
    <definedName name="___________xlfn_BAHTTEXT">#N/A</definedName>
    <definedName name="__________abs1" localSheetId="8">#REF!</definedName>
    <definedName name="__________abs1" localSheetId="10">#REF!</definedName>
    <definedName name="__________abs1" localSheetId="28">#REF!</definedName>
    <definedName name="__________abs1">#REF!</definedName>
    <definedName name="__________AUX1" localSheetId="28">#REF!</definedName>
    <definedName name="__________aux2" localSheetId="28">#REF!</definedName>
    <definedName name="__________AUX3">#REF!</definedName>
    <definedName name="__________bla1" localSheetId="37">[1]leads!$H$7</definedName>
    <definedName name="__________bla1">[33]leads!$H$7</definedName>
    <definedName name="__________BSG100" localSheetId="8">#REF!</definedName>
    <definedName name="__________BSG100" localSheetId="10">#REF!</definedName>
    <definedName name="__________BSG100" localSheetId="28">#REF!</definedName>
    <definedName name="__________BSG100">#REF!</definedName>
    <definedName name="__________BSG150" localSheetId="8">#REF!</definedName>
    <definedName name="__________BSG150" localSheetId="10">#REF!</definedName>
    <definedName name="__________BSG150" localSheetId="28">#REF!</definedName>
    <definedName name="__________BSG150">#REF!</definedName>
    <definedName name="__________BSG5" localSheetId="8">#REF!</definedName>
    <definedName name="__________BSG5" localSheetId="10">#REF!</definedName>
    <definedName name="__________BSG5" localSheetId="28">#REF!</definedName>
    <definedName name="__________BSG5">#REF!</definedName>
    <definedName name="__________BSG75" localSheetId="8">#REF!</definedName>
    <definedName name="__________BSG75" localSheetId="10">#REF!</definedName>
    <definedName name="__________BSG75" localSheetId="28">#REF!</definedName>
    <definedName name="__________BSG75">#REF!</definedName>
    <definedName name="__________BTC1" localSheetId="8">#REF!</definedName>
    <definedName name="__________BTC1" localSheetId="10">#REF!</definedName>
    <definedName name="__________BTC1" localSheetId="28">#REF!</definedName>
    <definedName name="__________BTC1">#REF!</definedName>
    <definedName name="__________BTC10" localSheetId="8">#REF!</definedName>
    <definedName name="__________BTC10" localSheetId="10">#REF!</definedName>
    <definedName name="__________BTC10" localSheetId="28">#REF!</definedName>
    <definedName name="__________BTC10">#REF!</definedName>
    <definedName name="__________BTC11" localSheetId="8">#REF!</definedName>
    <definedName name="__________BTC11" localSheetId="10">#REF!</definedName>
    <definedName name="__________BTC11" localSheetId="28">#REF!</definedName>
    <definedName name="__________BTC11">#REF!</definedName>
    <definedName name="__________BTC12" localSheetId="8">#REF!</definedName>
    <definedName name="__________BTC12" localSheetId="10">#REF!</definedName>
    <definedName name="__________BTC12" localSheetId="28">#REF!</definedName>
    <definedName name="__________BTC12">#REF!</definedName>
    <definedName name="__________BTC13" localSheetId="8">#REF!</definedName>
    <definedName name="__________BTC13" localSheetId="10">#REF!</definedName>
    <definedName name="__________BTC13" localSheetId="28">#REF!</definedName>
    <definedName name="__________BTC13">#REF!</definedName>
    <definedName name="__________BTC14" localSheetId="8">#REF!</definedName>
    <definedName name="__________BTC14" localSheetId="10">#REF!</definedName>
    <definedName name="__________BTC14" localSheetId="28">#REF!</definedName>
    <definedName name="__________BTC14">#REF!</definedName>
    <definedName name="__________BTC15" localSheetId="8">#REF!</definedName>
    <definedName name="__________BTC15" localSheetId="10">#REF!</definedName>
    <definedName name="__________BTC15" localSheetId="28">#REF!</definedName>
    <definedName name="__________BTC15">#REF!</definedName>
    <definedName name="__________BTC2" localSheetId="8">#REF!</definedName>
    <definedName name="__________BTC2" localSheetId="10">#REF!</definedName>
    <definedName name="__________BTC2" localSheetId="28">#REF!</definedName>
    <definedName name="__________BTC2">#REF!</definedName>
    <definedName name="__________BTC3" localSheetId="8">#REF!</definedName>
    <definedName name="__________BTC3" localSheetId="10">#REF!</definedName>
    <definedName name="__________BTC3" localSheetId="28">#REF!</definedName>
    <definedName name="__________BTC3">#REF!</definedName>
    <definedName name="__________BTC4" localSheetId="8">#REF!</definedName>
    <definedName name="__________BTC4" localSheetId="10">#REF!</definedName>
    <definedName name="__________BTC4" localSheetId="28">#REF!</definedName>
    <definedName name="__________BTC4">#REF!</definedName>
    <definedName name="__________BTC5" localSheetId="8">#REF!</definedName>
    <definedName name="__________BTC5" localSheetId="10">#REF!</definedName>
    <definedName name="__________BTC5" localSheetId="28">#REF!</definedName>
    <definedName name="__________BTC5">#REF!</definedName>
    <definedName name="__________BTC6" localSheetId="8">#REF!</definedName>
    <definedName name="__________BTC6" localSheetId="10">#REF!</definedName>
    <definedName name="__________BTC6" localSheetId="28">#REF!</definedName>
    <definedName name="__________BTC6">#REF!</definedName>
    <definedName name="__________BTC7" localSheetId="8">#REF!</definedName>
    <definedName name="__________BTC7" localSheetId="10">#REF!</definedName>
    <definedName name="__________BTC7" localSheetId="28">#REF!</definedName>
    <definedName name="__________BTC7">#REF!</definedName>
    <definedName name="__________BTC8" localSheetId="8">#REF!</definedName>
    <definedName name="__________BTC8" localSheetId="10">#REF!</definedName>
    <definedName name="__________BTC8" localSheetId="28">#REF!</definedName>
    <definedName name="__________BTC8">#REF!</definedName>
    <definedName name="__________BTC9" localSheetId="8">#REF!</definedName>
    <definedName name="__________BTC9" localSheetId="10">#REF!</definedName>
    <definedName name="__________BTC9" localSheetId="28">#REF!</definedName>
    <definedName name="__________BTC9">#REF!</definedName>
    <definedName name="__________BTS1" localSheetId="8">#REF!</definedName>
    <definedName name="__________BTS1" localSheetId="10">#REF!</definedName>
    <definedName name="__________BTS1" localSheetId="28">#REF!</definedName>
    <definedName name="__________BTS1">#REF!</definedName>
    <definedName name="__________BTS10" localSheetId="8">#REF!</definedName>
    <definedName name="__________BTS10" localSheetId="10">#REF!</definedName>
    <definedName name="__________BTS10" localSheetId="28">#REF!</definedName>
    <definedName name="__________BTS10">#REF!</definedName>
    <definedName name="__________BTS11" localSheetId="8">#REF!</definedName>
    <definedName name="__________BTS11" localSheetId="10">#REF!</definedName>
    <definedName name="__________BTS11" localSheetId="28">#REF!</definedName>
    <definedName name="__________BTS11">#REF!</definedName>
    <definedName name="__________BTS12" localSheetId="8">#REF!</definedName>
    <definedName name="__________BTS12" localSheetId="10">#REF!</definedName>
    <definedName name="__________BTS12" localSheetId="28">#REF!</definedName>
    <definedName name="__________BTS12">#REF!</definedName>
    <definedName name="__________BTS13" localSheetId="8">#REF!</definedName>
    <definedName name="__________BTS13" localSheetId="10">#REF!</definedName>
    <definedName name="__________BTS13" localSheetId="28">#REF!</definedName>
    <definedName name="__________BTS13">#REF!</definedName>
    <definedName name="__________BTS14" localSheetId="8">#REF!</definedName>
    <definedName name="__________BTS14" localSheetId="10">#REF!</definedName>
    <definedName name="__________BTS14" localSheetId="28">#REF!</definedName>
    <definedName name="__________BTS14">#REF!</definedName>
    <definedName name="__________BTS15" localSheetId="8">#REF!</definedName>
    <definedName name="__________BTS15" localSheetId="10">#REF!</definedName>
    <definedName name="__________BTS15" localSheetId="28">#REF!</definedName>
    <definedName name="__________BTS15">#REF!</definedName>
    <definedName name="__________BTS2" localSheetId="8">#REF!</definedName>
    <definedName name="__________BTS2" localSheetId="10">#REF!</definedName>
    <definedName name="__________BTS2" localSheetId="28">#REF!</definedName>
    <definedName name="__________BTS2">#REF!</definedName>
    <definedName name="__________BTS3" localSheetId="8">#REF!</definedName>
    <definedName name="__________BTS3" localSheetId="10">#REF!</definedName>
    <definedName name="__________BTS3" localSheetId="28">#REF!</definedName>
    <definedName name="__________BTS3">#REF!</definedName>
    <definedName name="__________BTS4" localSheetId="8">#REF!</definedName>
    <definedName name="__________BTS4" localSheetId="10">#REF!</definedName>
    <definedName name="__________BTS4" localSheetId="28">#REF!</definedName>
    <definedName name="__________BTS4">#REF!</definedName>
    <definedName name="__________BTS5" localSheetId="8">#REF!</definedName>
    <definedName name="__________BTS5" localSheetId="10">#REF!</definedName>
    <definedName name="__________BTS5" localSheetId="28">#REF!</definedName>
    <definedName name="__________BTS5">#REF!</definedName>
    <definedName name="__________BTS6" localSheetId="8">#REF!</definedName>
    <definedName name="__________BTS6" localSheetId="10">#REF!</definedName>
    <definedName name="__________BTS6" localSheetId="28">#REF!</definedName>
    <definedName name="__________BTS6">#REF!</definedName>
    <definedName name="__________BTS7" localSheetId="8">#REF!</definedName>
    <definedName name="__________BTS7" localSheetId="10">#REF!</definedName>
    <definedName name="__________BTS7" localSheetId="28">#REF!</definedName>
    <definedName name="__________BTS7">#REF!</definedName>
    <definedName name="__________BTS8" localSheetId="8">#REF!</definedName>
    <definedName name="__________BTS8" localSheetId="10">#REF!</definedName>
    <definedName name="__________BTS8" localSheetId="28">#REF!</definedName>
    <definedName name="__________BTS8">#REF!</definedName>
    <definedName name="__________BTS9" localSheetId="8">#REF!</definedName>
    <definedName name="__________BTS9" localSheetId="10">#REF!</definedName>
    <definedName name="__________BTS9" localSheetId="28">#REF!</definedName>
    <definedName name="__________BTS9">#REF!</definedName>
    <definedName name="__________can430">40.73</definedName>
    <definedName name="__________can435">43.3</definedName>
    <definedName name="__________cbr1">#REF!</definedName>
    <definedName name="__________cbr2">#REF!</definedName>
    <definedName name="__________cbr3">#REF!</definedName>
    <definedName name="__________cbr4">#REF!</definedName>
    <definedName name="__________cur1">[6]r!$F$30</definedName>
    <definedName name="__________er1">#REF!</definedName>
    <definedName name="__________ewe1" localSheetId="28">#REF!</definedName>
    <definedName name="__________f1">#REF!</definedName>
    <definedName name="__________GBS11" localSheetId="8">#REF!</definedName>
    <definedName name="__________GBS11" localSheetId="10">#REF!</definedName>
    <definedName name="__________GBS11" localSheetId="28">#REF!</definedName>
    <definedName name="__________GBS11">#REF!</definedName>
    <definedName name="__________GBS110" localSheetId="8">#REF!</definedName>
    <definedName name="__________GBS110" localSheetId="10">#REF!</definedName>
    <definedName name="__________GBS110" localSheetId="28">#REF!</definedName>
    <definedName name="__________GBS110">#REF!</definedName>
    <definedName name="__________GBS111" localSheetId="8">#REF!</definedName>
    <definedName name="__________GBS111" localSheetId="10">#REF!</definedName>
    <definedName name="__________GBS111" localSheetId="28">#REF!</definedName>
    <definedName name="__________GBS111">#REF!</definedName>
    <definedName name="__________GBS112" localSheetId="8">#REF!</definedName>
    <definedName name="__________GBS112" localSheetId="10">#REF!</definedName>
    <definedName name="__________GBS112" localSheetId="28">#REF!</definedName>
    <definedName name="__________GBS112">#REF!</definedName>
    <definedName name="__________GBS113" localSheetId="8">#REF!</definedName>
    <definedName name="__________GBS113" localSheetId="10">#REF!</definedName>
    <definedName name="__________GBS113" localSheetId="28">#REF!</definedName>
    <definedName name="__________GBS113">#REF!</definedName>
    <definedName name="__________GBS114" localSheetId="8">#REF!</definedName>
    <definedName name="__________GBS114" localSheetId="10">#REF!</definedName>
    <definedName name="__________GBS114" localSheetId="28">#REF!</definedName>
    <definedName name="__________GBS114">#REF!</definedName>
    <definedName name="__________GBS115" localSheetId="8">#REF!</definedName>
    <definedName name="__________GBS115" localSheetId="10">#REF!</definedName>
    <definedName name="__________GBS115" localSheetId="28">#REF!</definedName>
    <definedName name="__________GBS115">#REF!</definedName>
    <definedName name="__________GBS12" localSheetId="8">#REF!</definedName>
    <definedName name="__________GBS12" localSheetId="10">#REF!</definedName>
    <definedName name="__________GBS12" localSheetId="28">#REF!</definedName>
    <definedName name="__________GBS12">#REF!</definedName>
    <definedName name="__________GBS13" localSheetId="8">#REF!</definedName>
    <definedName name="__________GBS13" localSheetId="10">#REF!</definedName>
    <definedName name="__________GBS13" localSheetId="28">#REF!</definedName>
    <definedName name="__________GBS13">#REF!</definedName>
    <definedName name="__________GBS14" localSheetId="8">#REF!</definedName>
    <definedName name="__________GBS14" localSheetId="10">#REF!</definedName>
    <definedName name="__________GBS14" localSheetId="28">#REF!</definedName>
    <definedName name="__________GBS14">#REF!</definedName>
    <definedName name="__________GBS15" localSheetId="8">#REF!</definedName>
    <definedName name="__________GBS15" localSheetId="10">#REF!</definedName>
    <definedName name="__________GBS15" localSheetId="28">#REF!</definedName>
    <definedName name="__________GBS15">#REF!</definedName>
    <definedName name="__________GBS16" localSheetId="8">#REF!</definedName>
    <definedName name="__________GBS16" localSheetId="10">#REF!</definedName>
    <definedName name="__________GBS16" localSheetId="28">#REF!</definedName>
    <definedName name="__________GBS16">#REF!</definedName>
    <definedName name="__________GBS17" localSheetId="8">#REF!</definedName>
    <definedName name="__________GBS17" localSheetId="10">#REF!</definedName>
    <definedName name="__________GBS17" localSheetId="28">#REF!</definedName>
    <definedName name="__________GBS17">#REF!</definedName>
    <definedName name="__________GBS18" localSheetId="8">#REF!</definedName>
    <definedName name="__________GBS18" localSheetId="10">#REF!</definedName>
    <definedName name="__________GBS18" localSheetId="28">#REF!</definedName>
    <definedName name="__________GBS18">#REF!</definedName>
    <definedName name="__________GBS19" localSheetId="8">#REF!</definedName>
    <definedName name="__________GBS19" localSheetId="10">#REF!</definedName>
    <definedName name="__________GBS19" localSheetId="28">#REF!</definedName>
    <definedName name="__________GBS19">#REF!</definedName>
    <definedName name="__________GBS21" localSheetId="8">#REF!</definedName>
    <definedName name="__________GBS21" localSheetId="10">#REF!</definedName>
    <definedName name="__________GBS21" localSheetId="28">#REF!</definedName>
    <definedName name="__________GBS21">#REF!</definedName>
    <definedName name="__________GBS210" localSheetId="8">#REF!</definedName>
    <definedName name="__________GBS210" localSheetId="10">#REF!</definedName>
    <definedName name="__________GBS210" localSheetId="28">#REF!</definedName>
    <definedName name="__________GBS210">#REF!</definedName>
    <definedName name="__________GBS211" localSheetId="8">#REF!</definedName>
    <definedName name="__________GBS211" localSheetId="10">#REF!</definedName>
    <definedName name="__________GBS211" localSheetId="28">#REF!</definedName>
    <definedName name="__________GBS211">#REF!</definedName>
    <definedName name="__________GBS212" localSheetId="8">#REF!</definedName>
    <definedName name="__________GBS212" localSheetId="10">#REF!</definedName>
    <definedName name="__________GBS212" localSheetId="28">#REF!</definedName>
    <definedName name="__________GBS212">#REF!</definedName>
    <definedName name="__________GBS213" localSheetId="8">#REF!</definedName>
    <definedName name="__________GBS213" localSheetId="10">#REF!</definedName>
    <definedName name="__________GBS213" localSheetId="28">#REF!</definedName>
    <definedName name="__________GBS213">#REF!</definedName>
    <definedName name="__________GBS214" localSheetId="8">#REF!</definedName>
    <definedName name="__________GBS214" localSheetId="10">#REF!</definedName>
    <definedName name="__________GBS214" localSheetId="28">#REF!</definedName>
    <definedName name="__________GBS214">#REF!</definedName>
    <definedName name="__________GBS215" localSheetId="8">#REF!</definedName>
    <definedName name="__________GBS215" localSheetId="10">#REF!</definedName>
    <definedName name="__________GBS215" localSheetId="28">#REF!</definedName>
    <definedName name="__________GBS215">#REF!</definedName>
    <definedName name="__________GBS22" localSheetId="8">#REF!</definedName>
    <definedName name="__________GBS22" localSheetId="10">#REF!</definedName>
    <definedName name="__________GBS22" localSheetId="28">#REF!</definedName>
    <definedName name="__________GBS22">#REF!</definedName>
    <definedName name="__________GBS23" localSheetId="8">#REF!</definedName>
    <definedName name="__________GBS23" localSheetId="10">#REF!</definedName>
    <definedName name="__________GBS23" localSheetId="28">#REF!</definedName>
    <definedName name="__________GBS23">#REF!</definedName>
    <definedName name="__________GBS24" localSheetId="8">#REF!</definedName>
    <definedName name="__________GBS24" localSheetId="10">#REF!</definedName>
    <definedName name="__________GBS24" localSheetId="28">#REF!</definedName>
    <definedName name="__________GBS24">#REF!</definedName>
    <definedName name="__________GBS25" localSheetId="8">#REF!</definedName>
    <definedName name="__________GBS25" localSheetId="10">#REF!</definedName>
    <definedName name="__________GBS25" localSheetId="28">#REF!</definedName>
    <definedName name="__________GBS25">#REF!</definedName>
    <definedName name="__________GBS26" localSheetId="8">#REF!</definedName>
    <definedName name="__________GBS26" localSheetId="10">#REF!</definedName>
    <definedName name="__________GBS26" localSheetId="28">#REF!</definedName>
    <definedName name="__________GBS26">#REF!</definedName>
    <definedName name="__________GBS27" localSheetId="8">#REF!</definedName>
    <definedName name="__________GBS27" localSheetId="10">#REF!</definedName>
    <definedName name="__________GBS27" localSheetId="28">#REF!</definedName>
    <definedName name="__________GBS27">#REF!</definedName>
    <definedName name="__________GBS28" localSheetId="8">#REF!</definedName>
    <definedName name="__________GBS28" localSheetId="10">#REF!</definedName>
    <definedName name="__________GBS28" localSheetId="28">#REF!</definedName>
    <definedName name="__________GBS28">#REF!</definedName>
    <definedName name="__________GBS29" localSheetId="8">#REF!</definedName>
    <definedName name="__________GBS29" localSheetId="10">#REF!</definedName>
    <definedName name="__________GBS29" localSheetId="28">#REF!</definedName>
    <definedName name="__________GBS29">#REF!</definedName>
    <definedName name="__________gus1">#REF!</definedName>
    <definedName name="__________hpm1">#REF!</definedName>
    <definedName name="__________knr2" localSheetId="5">#REF!</definedName>
    <definedName name="__________knr2" localSheetId="14">#REF!</definedName>
    <definedName name="__________knr2" localSheetId="8">#REF!</definedName>
    <definedName name="__________knr2" localSheetId="10">#REF!</definedName>
    <definedName name="__________knr2" localSheetId="28">#REF!</definedName>
    <definedName name="__________knr2">#REF!</definedName>
    <definedName name="__________l1" localSheetId="37">[2]leads!$A$3:$E$108</definedName>
    <definedName name="__________l1">[34]leads!$A$3:$E$108</definedName>
    <definedName name="__________l12" localSheetId="33">#REF!</definedName>
    <definedName name="__________l12" localSheetId="34">#REF!</definedName>
    <definedName name="__________l12" localSheetId="35">#REF!</definedName>
    <definedName name="__________l12" localSheetId="5">#REF!</definedName>
    <definedName name="__________l12" localSheetId="8">#REF!</definedName>
    <definedName name="__________l12" localSheetId="10">#REF!</definedName>
    <definedName name="__________l12" localSheetId="11">#REF!</definedName>
    <definedName name="__________l12" localSheetId="28">#REF!</definedName>
    <definedName name="__________l12" localSheetId="42">#REF!</definedName>
    <definedName name="__________l12" localSheetId="31">#REF!</definedName>
    <definedName name="__________l12">#REF!</definedName>
    <definedName name="__________l2">[6]r!$F$29</definedName>
    <definedName name="__________l3" localSheetId="33">#REF!</definedName>
    <definedName name="__________l3" localSheetId="34">#REF!</definedName>
    <definedName name="__________l3" localSheetId="35">#REF!</definedName>
    <definedName name="__________l3" localSheetId="5">#REF!</definedName>
    <definedName name="__________l3" localSheetId="8">#REF!</definedName>
    <definedName name="__________l3" localSheetId="10">#REF!</definedName>
    <definedName name="__________l3" localSheetId="11">#REF!</definedName>
    <definedName name="__________l3" localSheetId="28">#REF!</definedName>
    <definedName name="__________l3" localSheetId="42">#REF!</definedName>
    <definedName name="__________l3" localSheetId="31">#REF!</definedName>
    <definedName name="__________l3">#REF!</definedName>
    <definedName name="__________l4" localSheetId="37">[3]Sheet1!$W$2:$Y$103</definedName>
    <definedName name="__________l4">[35]Sheet1!$W$2:$Y$103</definedName>
    <definedName name="__________l5" localSheetId="33">#REF!</definedName>
    <definedName name="__________l5" localSheetId="34">#REF!</definedName>
    <definedName name="__________l5" localSheetId="35">#REF!</definedName>
    <definedName name="__________l5" localSheetId="5">#REF!</definedName>
    <definedName name="__________l5" localSheetId="8">#REF!</definedName>
    <definedName name="__________l5" localSheetId="10">#REF!</definedName>
    <definedName name="__________l5" localSheetId="11">#REF!</definedName>
    <definedName name="__________l5" localSheetId="28">#REF!</definedName>
    <definedName name="__________l5" localSheetId="42">#REF!</definedName>
    <definedName name="__________l5" localSheetId="31">#REF!</definedName>
    <definedName name="__________l5">#REF!</definedName>
    <definedName name="__________l6">[6]r!$F$4</definedName>
    <definedName name="__________l7">[7]r!$F$4</definedName>
    <definedName name="__________l8">[6]r!$F$2</definedName>
    <definedName name="__________l9">[6]r!$F$3</definedName>
    <definedName name="__________lcn1">#REF!</definedName>
    <definedName name="__________LI9" localSheetId="8">#REF!</definedName>
    <definedName name="__________LI9" localSheetId="10">#REF!</definedName>
    <definedName name="__________LI9" localSheetId="28">#REF!</definedName>
    <definedName name="__________LI9">#REF!</definedName>
    <definedName name="__________LII9" localSheetId="8">#REF!</definedName>
    <definedName name="__________LII9" localSheetId="10">#REF!</definedName>
    <definedName name="__________LII9" localSheetId="28">#REF!</definedName>
    <definedName name="__________LII9">#REF!</definedName>
    <definedName name="__________lm1" localSheetId="28">#REF!</definedName>
    <definedName name="__________MIX124">[36]maya!$A$11:$A$18</definedName>
    <definedName name="__________ML11" localSheetId="8">#REF!</definedName>
    <definedName name="__________ML11" localSheetId="10">#REF!</definedName>
    <definedName name="__________ML11" localSheetId="28">#REF!</definedName>
    <definedName name="__________ML11">#REF!</definedName>
    <definedName name="__________ML110" localSheetId="8">#REF!</definedName>
    <definedName name="__________ML110" localSheetId="10">#REF!</definedName>
    <definedName name="__________ML110" localSheetId="28">#REF!</definedName>
    <definedName name="__________ML110">#REF!</definedName>
    <definedName name="__________ML111" localSheetId="8">#REF!</definedName>
    <definedName name="__________ML111" localSheetId="10">#REF!</definedName>
    <definedName name="__________ML111" localSheetId="28">#REF!</definedName>
    <definedName name="__________ML111">#REF!</definedName>
    <definedName name="__________ML112" localSheetId="8">#REF!</definedName>
    <definedName name="__________ML112" localSheetId="10">#REF!</definedName>
    <definedName name="__________ML112" localSheetId="28">#REF!</definedName>
    <definedName name="__________ML112">#REF!</definedName>
    <definedName name="__________ML113" localSheetId="8">#REF!</definedName>
    <definedName name="__________ML113" localSheetId="10">#REF!</definedName>
    <definedName name="__________ML113" localSheetId="28">#REF!</definedName>
    <definedName name="__________ML113">#REF!</definedName>
    <definedName name="__________ML114" localSheetId="8">#REF!</definedName>
    <definedName name="__________ML114" localSheetId="10">#REF!</definedName>
    <definedName name="__________ML114" localSheetId="28">#REF!</definedName>
    <definedName name="__________ML114">#REF!</definedName>
    <definedName name="__________ML115" localSheetId="8">#REF!</definedName>
    <definedName name="__________ML115" localSheetId="10">#REF!</definedName>
    <definedName name="__________ML115" localSheetId="28">#REF!</definedName>
    <definedName name="__________ML115">#REF!</definedName>
    <definedName name="__________ML12" localSheetId="8">#REF!</definedName>
    <definedName name="__________ML12" localSheetId="10">#REF!</definedName>
    <definedName name="__________ML12" localSheetId="28">#REF!</definedName>
    <definedName name="__________ML12">#REF!</definedName>
    <definedName name="__________ML13" localSheetId="8">#REF!</definedName>
    <definedName name="__________ML13" localSheetId="10">#REF!</definedName>
    <definedName name="__________ML13" localSheetId="28">#REF!</definedName>
    <definedName name="__________ML13">#REF!</definedName>
    <definedName name="__________ML14" localSheetId="8">#REF!</definedName>
    <definedName name="__________ML14" localSheetId="10">#REF!</definedName>
    <definedName name="__________ML14" localSheetId="28">#REF!</definedName>
    <definedName name="__________ML14">#REF!</definedName>
    <definedName name="__________ML15" localSheetId="8">#REF!</definedName>
    <definedName name="__________ML15" localSheetId="10">#REF!</definedName>
    <definedName name="__________ML15" localSheetId="28">#REF!</definedName>
    <definedName name="__________ML15">#REF!</definedName>
    <definedName name="__________ML16" localSheetId="8">#REF!</definedName>
    <definedName name="__________ML16" localSheetId="10">#REF!</definedName>
    <definedName name="__________ML16" localSheetId="28">#REF!</definedName>
    <definedName name="__________ML16">#REF!</definedName>
    <definedName name="__________ML17" localSheetId="8">#REF!</definedName>
    <definedName name="__________ML17" localSheetId="10">#REF!</definedName>
    <definedName name="__________ML17" localSheetId="28">#REF!</definedName>
    <definedName name="__________ML17">#REF!</definedName>
    <definedName name="__________ML18" localSheetId="8">#REF!</definedName>
    <definedName name="__________ML18" localSheetId="10">#REF!</definedName>
    <definedName name="__________ML18" localSheetId="28">#REF!</definedName>
    <definedName name="__________ML18">#REF!</definedName>
    <definedName name="__________ML19" localSheetId="8">#REF!</definedName>
    <definedName name="__________ML19" localSheetId="10">#REF!</definedName>
    <definedName name="__________ML19" localSheetId="28">#REF!</definedName>
    <definedName name="__________ML19">#REF!</definedName>
    <definedName name="__________ML21" localSheetId="8">#REF!</definedName>
    <definedName name="__________ML21" localSheetId="10">#REF!</definedName>
    <definedName name="__________ML21" localSheetId="28">#REF!</definedName>
    <definedName name="__________ML21">#REF!</definedName>
    <definedName name="__________ML210" localSheetId="8">#REF!</definedName>
    <definedName name="__________ML210" localSheetId="10">#REF!</definedName>
    <definedName name="__________ML210" localSheetId="28">#REF!</definedName>
    <definedName name="__________ML210">#REF!</definedName>
    <definedName name="__________ML211" localSheetId="8">#REF!</definedName>
    <definedName name="__________ML211" localSheetId="10">#REF!</definedName>
    <definedName name="__________ML211" localSheetId="28">#REF!</definedName>
    <definedName name="__________ML211">#REF!</definedName>
    <definedName name="__________ML212" localSheetId="8">#REF!</definedName>
    <definedName name="__________ML212" localSheetId="10">#REF!</definedName>
    <definedName name="__________ML212" localSheetId="28">#REF!</definedName>
    <definedName name="__________ML212">#REF!</definedName>
    <definedName name="__________ML213" localSheetId="8">#REF!</definedName>
    <definedName name="__________ML213" localSheetId="10">#REF!</definedName>
    <definedName name="__________ML213" localSheetId="28">#REF!</definedName>
    <definedName name="__________ML213">#REF!</definedName>
    <definedName name="__________ML214" localSheetId="8">#REF!</definedName>
    <definedName name="__________ML214" localSheetId="10">#REF!</definedName>
    <definedName name="__________ML214" localSheetId="28">#REF!</definedName>
    <definedName name="__________ML214">#REF!</definedName>
    <definedName name="__________ML215" localSheetId="8">#REF!</definedName>
    <definedName name="__________ML215" localSheetId="10">#REF!</definedName>
    <definedName name="__________ML215" localSheetId="28">#REF!</definedName>
    <definedName name="__________ML215">#REF!</definedName>
    <definedName name="__________ML22" localSheetId="8">#REF!</definedName>
    <definedName name="__________ML22" localSheetId="10">#REF!</definedName>
    <definedName name="__________ML22" localSheetId="28">#REF!</definedName>
    <definedName name="__________ML22">#REF!</definedName>
    <definedName name="__________ML23" localSheetId="8">#REF!</definedName>
    <definedName name="__________ML23" localSheetId="10">#REF!</definedName>
    <definedName name="__________ML23" localSheetId="28">#REF!</definedName>
    <definedName name="__________ML23">#REF!</definedName>
    <definedName name="__________ML24" localSheetId="8">#REF!</definedName>
    <definedName name="__________ML24" localSheetId="10">#REF!</definedName>
    <definedName name="__________ML24" localSheetId="28">#REF!</definedName>
    <definedName name="__________ML24">#REF!</definedName>
    <definedName name="__________ML25" localSheetId="8">#REF!</definedName>
    <definedName name="__________ML25" localSheetId="10">#REF!</definedName>
    <definedName name="__________ML25" localSheetId="28">#REF!</definedName>
    <definedName name="__________ML25">#REF!</definedName>
    <definedName name="__________ML26" localSheetId="8">#REF!</definedName>
    <definedName name="__________ML26" localSheetId="10">#REF!</definedName>
    <definedName name="__________ML26" localSheetId="28">#REF!</definedName>
    <definedName name="__________ML26">#REF!</definedName>
    <definedName name="__________ML27" localSheetId="8">#REF!</definedName>
    <definedName name="__________ML27" localSheetId="10">#REF!</definedName>
    <definedName name="__________ML27" localSheetId="28">#REF!</definedName>
    <definedName name="__________ML27">#REF!</definedName>
    <definedName name="__________ML28" localSheetId="8">#REF!</definedName>
    <definedName name="__________ML28" localSheetId="10">#REF!</definedName>
    <definedName name="__________ML28" localSheetId="28">#REF!</definedName>
    <definedName name="__________ML28">#REF!</definedName>
    <definedName name="__________ML29" localSheetId="8">#REF!</definedName>
    <definedName name="__________ML29" localSheetId="10">#REF!</definedName>
    <definedName name="__________ML29" localSheetId="28">#REF!</definedName>
    <definedName name="__________ML29">#REF!</definedName>
    <definedName name="__________ML31" localSheetId="8">#REF!</definedName>
    <definedName name="__________ML31" localSheetId="10">#REF!</definedName>
    <definedName name="__________ML31" localSheetId="28">#REF!</definedName>
    <definedName name="__________ML31">#REF!</definedName>
    <definedName name="__________ML310" localSheetId="8">#REF!</definedName>
    <definedName name="__________ML310" localSheetId="10">#REF!</definedName>
    <definedName name="__________ML310" localSheetId="28">#REF!</definedName>
    <definedName name="__________ML310">#REF!</definedName>
    <definedName name="__________ML311" localSheetId="8">#REF!</definedName>
    <definedName name="__________ML311" localSheetId="10">#REF!</definedName>
    <definedName name="__________ML311" localSheetId="28">#REF!</definedName>
    <definedName name="__________ML311">#REF!</definedName>
    <definedName name="__________ML312" localSheetId="8">#REF!</definedName>
    <definedName name="__________ML312" localSheetId="10">#REF!</definedName>
    <definedName name="__________ML312" localSheetId="28">#REF!</definedName>
    <definedName name="__________ML312">#REF!</definedName>
    <definedName name="__________ML313" localSheetId="8">#REF!</definedName>
    <definedName name="__________ML313" localSheetId="10">#REF!</definedName>
    <definedName name="__________ML313" localSheetId="28">#REF!</definedName>
    <definedName name="__________ML313">#REF!</definedName>
    <definedName name="__________ML314" localSheetId="8">#REF!</definedName>
    <definedName name="__________ML314" localSheetId="10">#REF!</definedName>
    <definedName name="__________ML314" localSheetId="28">#REF!</definedName>
    <definedName name="__________ML314">#REF!</definedName>
    <definedName name="__________ML315" localSheetId="8">#REF!</definedName>
    <definedName name="__________ML315" localSheetId="10">#REF!</definedName>
    <definedName name="__________ML315" localSheetId="28">#REF!</definedName>
    <definedName name="__________ML315">#REF!</definedName>
    <definedName name="__________ML32" localSheetId="8">#REF!</definedName>
    <definedName name="__________ML32" localSheetId="10">#REF!</definedName>
    <definedName name="__________ML32" localSheetId="28">#REF!</definedName>
    <definedName name="__________ML32">#REF!</definedName>
    <definedName name="__________ML33" localSheetId="8">#REF!</definedName>
    <definedName name="__________ML33" localSheetId="10">#REF!</definedName>
    <definedName name="__________ML33" localSheetId="28">#REF!</definedName>
    <definedName name="__________ML33">#REF!</definedName>
    <definedName name="__________ML34" localSheetId="8">#REF!</definedName>
    <definedName name="__________ML34" localSheetId="10">#REF!</definedName>
    <definedName name="__________ML34" localSheetId="28">#REF!</definedName>
    <definedName name="__________ML34">#REF!</definedName>
    <definedName name="__________ML35" localSheetId="8">#REF!</definedName>
    <definedName name="__________ML35" localSheetId="10">#REF!</definedName>
    <definedName name="__________ML35" localSheetId="28">#REF!</definedName>
    <definedName name="__________ML35">#REF!</definedName>
    <definedName name="__________ML36" localSheetId="8">#REF!</definedName>
    <definedName name="__________ML36" localSheetId="10">#REF!</definedName>
    <definedName name="__________ML36" localSheetId="28">#REF!</definedName>
    <definedName name="__________ML36">#REF!</definedName>
    <definedName name="__________ML37" localSheetId="8">#REF!</definedName>
    <definedName name="__________ML37" localSheetId="10">#REF!</definedName>
    <definedName name="__________ML37" localSheetId="28">#REF!</definedName>
    <definedName name="__________ML37">#REF!</definedName>
    <definedName name="__________ML38" localSheetId="8">#REF!</definedName>
    <definedName name="__________ML38" localSheetId="10">#REF!</definedName>
    <definedName name="__________ML38" localSheetId="28">#REF!</definedName>
    <definedName name="__________ML38">#REF!</definedName>
    <definedName name="__________ML39" localSheetId="8">#REF!</definedName>
    <definedName name="__________ML39" localSheetId="10">#REF!</definedName>
    <definedName name="__________ML39" localSheetId="28">#REF!</definedName>
    <definedName name="__________ML39">#REF!</definedName>
    <definedName name="__________ML7" localSheetId="8">#REF!</definedName>
    <definedName name="__________ML7" localSheetId="10">#REF!</definedName>
    <definedName name="__________ML7" localSheetId="28">#REF!</definedName>
    <definedName name="__________ML7">#REF!</definedName>
    <definedName name="__________ML8" localSheetId="8">#REF!</definedName>
    <definedName name="__________ML8" localSheetId="10">#REF!</definedName>
    <definedName name="__________ML8" localSheetId="28">#REF!</definedName>
    <definedName name="__________ML8">#REF!</definedName>
    <definedName name="__________ML9" localSheetId="8">#REF!</definedName>
    <definedName name="__________ML9" localSheetId="10">#REF!</definedName>
    <definedName name="__________ML9" localSheetId="28">#REF!</definedName>
    <definedName name="__________ML9">#REF!</definedName>
    <definedName name="__________mm1" localSheetId="37">[4]r!$F$4</definedName>
    <definedName name="__________mm1">[37]r!$F$4</definedName>
    <definedName name="__________mm11">[6]r!$F$4</definedName>
    <definedName name="__________mm111">[7]r!$F$4</definedName>
    <definedName name="__________mm20" localSheetId="28">#REF!</definedName>
    <definedName name="__________mm40">#REF!</definedName>
    <definedName name="__________pc2" localSheetId="33">#REF!</definedName>
    <definedName name="__________pc2" localSheetId="34">#REF!</definedName>
    <definedName name="__________pc2" localSheetId="35">#REF!</definedName>
    <definedName name="__________pc2" localSheetId="5">#REF!</definedName>
    <definedName name="__________pc2" localSheetId="8">#REF!</definedName>
    <definedName name="__________pc2" localSheetId="10">#REF!</definedName>
    <definedName name="__________pc2" localSheetId="11">#REF!</definedName>
    <definedName name="__________pc2" localSheetId="28">#REF!</definedName>
    <definedName name="__________pc2" localSheetId="42">#REF!</definedName>
    <definedName name="__________pc2" localSheetId="31">#REF!</definedName>
    <definedName name="__________pc2">#REF!</definedName>
    <definedName name="__________PMS2" localSheetId="8">#REF!</definedName>
    <definedName name="__________PMS2" localSheetId="10">#REF!</definedName>
    <definedName name="__________PMS2" localSheetId="28">#REF!</definedName>
    <definedName name="__________PMS2">#REF!</definedName>
    <definedName name="__________pv2" localSheetId="33">#REF!</definedName>
    <definedName name="__________pv2" localSheetId="34">#REF!</definedName>
    <definedName name="__________pv2" localSheetId="35">#REF!</definedName>
    <definedName name="__________pv2" localSheetId="5">#REF!</definedName>
    <definedName name="__________pv2" localSheetId="8">#REF!</definedName>
    <definedName name="__________pv2" localSheetId="10">#REF!</definedName>
    <definedName name="__________pv2" localSheetId="11">#REF!</definedName>
    <definedName name="__________pv2" localSheetId="28">#REF!</definedName>
    <definedName name="__________pv2" localSheetId="42">#REF!</definedName>
    <definedName name="__________pv2" localSheetId="31">#REF!</definedName>
    <definedName name="__________pv2">#REF!</definedName>
    <definedName name="__________rr3" localSheetId="37">[5]v!$A$2:$E$51</definedName>
    <definedName name="__________rr3">[38]v!$A$2:$E$51</definedName>
    <definedName name="__________rrr1" localSheetId="37">[5]r!$B$1:$I$145</definedName>
    <definedName name="__________rrr1">[38]r!$B$1:$I$145</definedName>
    <definedName name="__________ss12" localSheetId="37">[39]rdamdata!$J$8</definedName>
    <definedName name="__________ss12">[40]rdamdata!$J$8</definedName>
    <definedName name="__________ss20" localSheetId="37">[39]rdamdata!$J$7</definedName>
    <definedName name="__________ss20">[40]rdamdata!$J$7</definedName>
    <definedName name="__________ss40" localSheetId="37">[39]rdamdata!$J$6</definedName>
    <definedName name="__________ss40">[40]rdamdata!$J$6</definedName>
    <definedName name="__________sw1" localSheetId="28">#REF!</definedName>
    <definedName name="__________us1">#REF!</definedName>
    <definedName name="__________var1" localSheetId="33">#REF!</definedName>
    <definedName name="__________var1" localSheetId="34">#REF!</definedName>
    <definedName name="__________var1" localSheetId="35">#REF!</definedName>
    <definedName name="__________var1" localSheetId="5">#REF!</definedName>
    <definedName name="__________var1" localSheetId="8">#REF!</definedName>
    <definedName name="__________var1" localSheetId="10">#REF!</definedName>
    <definedName name="__________var1" localSheetId="11">#REF!</definedName>
    <definedName name="__________var1" localSheetId="28">#REF!</definedName>
    <definedName name="__________var1" localSheetId="42">#REF!</definedName>
    <definedName name="__________var1" localSheetId="31">#REF!</definedName>
    <definedName name="__________var1">#REF!</definedName>
    <definedName name="__________var4" localSheetId="33">#REF!</definedName>
    <definedName name="__________var4" localSheetId="34">#REF!</definedName>
    <definedName name="__________var4" localSheetId="35">#REF!</definedName>
    <definedName name="__________var4" localSheetId="5">#REF!</definedName>
    <definedName name="__________var4" localSheetId="8">#REF!</definedName>
    <definedName name="__________var4" localSheetId="10">#REF!</definedName>
    <definedName name="__________var4" localSheetId="11">#REF!</definedName>
    <definedName name="__________var4" localSheetId="28">#REF!</definedName>
    <definedName name="__________var4" localSheetId="42">#REF!</definedName>
    <definedName name="__________var4" localSheetId="31">#REF!</definedName>
    <definedName name="__________var4">#REF!</definedName>
    <definedName name="__________vat1">#REF!</definedName>
    <definedName name="__________vat2">#REF!</definedName>
    <definedName name="__________xlfn_BAHTTEXT">#N/A</definedName>
    <definedName name="_________abs1" localSheetId="8">#REF!</definedName>
    <definedName name="_________abs1" localSheetId="10">#REF!</definedName>
    <definedName name="_________abs1" localSheetId="28">#REF!</definedName>
    <definedName name="_________abs1">#REF!</definedName>
    <definedName name="_________AUX1" localSheetId="28">#REF!</definedName>
    <definedName name="_________aux2" localSheetId="28">#REF!</definedName>
    <definedName name="_________AUX3">#REF!</definedName>
    <definedName name="_________bla1" localSheetId="37">[1]leads!$H$7</definedName>
    <definedName name="_________bla1">[26]leads!$H$7</definedName>
    <definedName name="_________BSG100" localSheetId="8">#REF!</definedName>
    <definedName name="_________BSG100" localSheetId="10">#REF!</definedName>
    <definedName name="_________BSG100" localSheetId="28">#REF!</definedName>
    <definedName name="_________BSG100">#REF!</definedName>
    <definedName name="_________BSG150" localSheetId="8">#REF!</definedName>
    <definedName name="_________BSG150" localSheetId="10">#REF!</definedName>
    <definedName name="_________BSG150" localSheetId="28">#REF!</definedName>
    <definedName name="_________BSG150">#REF!</definedName>
    <definedName name="_________BSG5" localSheetId="8">#REF!</definedName>
    <definedName name="_________BSG5" localSheetId="10">#REF!</definedName>
    <definedName name="_________BSG5" localSheetId="28">#REF!</definedName>
    <definedName name="_________BSG5">#REF!</definedName>
    <definedName name="_________BSG75" localSheetId="8">#REF!</definedName>
    <definedName name="_________BSG75" localSheetId="10">#REF!</definedName>
    <definedName name="_________BSG75" localSheetId="28">#REF!</definedName>
    <definedName name="_________BSG75">#REF!</definedName>
    <definedName name="_________BTC1" localSheetId="8">#REF!</definedName>
    <definedName name="_________BTC1" localSheetId="10">#REF!</definedName>
    <definedName name="_________BTC1" localSheetId="28">#REF!</definedName>
    <definedName name="_________BTC1">#REF!</definedName>
    <definedName name="_________BTC10" localSheetId="8">#REF!</definedName>
    <definedName name="_________BTC10" localSheetId="10">#REF!</definedName>
    <definedName name="_________BTC10" localSheetId="28">#REF!</definedName>
    <definedName name="_________BTC10">#REF!</definedName>
    <definedName name="_________BTC11" localSheetId="8">#REF!</definedName>
    <definedName name="_________BTC11" localSheetId="10">#REF!</definedName>
    <definedName name="_________BTC11" localSheetId="28">#REF!</definedName>
    <definedName name="_________BTC11">#REF!</definedName>
    <definedName name="_________BTC12" localSheetId="8">#REF!</definedName>
    <definedName name="_________BTC12" localSheetId="10">#REF!</definedName>
    <definedName name="_________BTC12" localSheetId="28">#REF!</definedName>
    <definedName name="_________BTC12">#REF!</definedName>
    <definedName name="_________BTC13" localSheetId="8">#REF!</definedName>
    <definedName name="_________BTC13" localSheetId="10">#REF!</definedName>
    <definedName name="_________BTC13" localSheetId="28">#REF!</definedName>
    <definedName name="_________BTC13">#REF!</definedName>
    <definedName name="_________BTC14" localSheetId="8">#REF!</definedName>
    <definedName name="_________BTC14" localSheetId="10">#REF!</definedName>
    <definedName name="_________BTC14" localSheetId="28">#REF!</definedName>
    <definedName name="_________BTC14">#REF!</definedName>
    <definedName name="_________BTC15" localSheetId="8">#REF!</definedName>
    <definedName name="_________BTC15" localSheetId="10">#REF!</definedName>
    <definedName name="_________BTC15" localSheetId="28">#REF!</definedName>
    <definedName name="_________BTC15">#REF!</definedName>
    <definedName name="_________BTC2" localSheetId="8">#REF!</definedName>
    <definedName name="_________BTC2" localSheetId="10">#REF!</definedName>
    <definedName name="_________BTC2" localSheetId="28">#REF!</definedName>
    <definedName name="_________BTC2">#REF!</definedName>
    <definedName name="_________BTC3" localSheetId="8">#REF!</definedName>
    <definedName name="_________BTC3" localSheetId="10">#REF!</definedName>
    <definedName name="_________BTC3" localSheetId="28">#REF!</definedName>
    <definedName name="_________BTC3">#REF!</definedName>
    <definedName name="_________BTC4" localSheetId="8">#REF!</definedName>
    <definedName name="_________BTC4" localSheetId="10">#REF!</definedName>
    <definedName name="_________BTC4" localSheetId="28">#REF!</definedName>
    <definedName name="_________BTC4">#REF!</definedName>
    <definedName name="_________BTC5" localSheetId="8">#REF!</definedName>
    <definedName name="_________BTC5" localSheetId="10">#REF!</definedName>
    <definedName name="_________BTC5" localSheetId="28">#REF!</definedName>
    <definedName name="_________BTC5">#REF!</definedName>
    <definedName name="_________BTC6" localSheetId="8">#REF!</definedName>
    <definedName name="_________BTC6" localSheetId="10">#REF!</definedName>
    <definedName name="_________BTC6" localSheetId="28">#REF!</definedName>
    <definedName name="_________BTC6">#REF!</definedName>
    <definedName name="_________BTC7" localSheetId="8">#REF!</definedName>
    <definedName name="_________BTC7" localSheetId="10">#REF!</definedName>
    <definedName name="_________BTC7" localSheetId="28">#REF!</definedName>
    <definedName name="_________BTC7">#REF!</definedName>
    <definedName name="_________BTC8" localSheetId="8">#REF!</definedName>
    <definedName name="_________BTC8" localSheetId="10">#REF!</definedName>
    <definedName name="_________BTC8" localSheetId="28">#REF!</definedName>
    <definedName name="_________BTC8">#REF!</definedName>
    <definedName name="_________BTC9" localSheetId="8">#REF!</definedName>
    <definedName name="_________BTC9" localSheetId="10">#REF!</definedName>
    <definedName name="_________BTC9" localSheetId="28">#REF!</definedName>
    <definedName name="_________BTC9">#REF!</definedName>
    <definedName name="_________BTS1" localSheetId="8">#REF!</definedName>
    <definedName name="_________BTS1" localSheetId="10">#REF!</definedName>
    <definedName name="_________BTS1" localSheetId="28">#REF!</definedName>
    <definedName name="_________BTS1">#REF!</definedName>
    <definedName name="_________BTS10" localSheetId="8">#REF!</definedName>
    <definedName name="_________BTS10" localSheetId="10">#REF!</definedName>
    <definedName name="_________BTS10" localSheetId="28">#REF!</definedName>
    <definedName name="_________BTS10">#REF!</definedName>
    <definedName name="_________BTS11" localSheetId="8">#REF!</definedName>
    <definedName name="_________BTS11" localSheetId="10">#REF!</definedName>
    <definedName name="_________BTS11" localSheetId="28">#REF!</definedName>
    <definedName name="_________BTS11">#REF!</definedName>
    <definedName name="_________BTS12" localSheetId="8">#REF!</definedName>
    <definedName name="_________BTS12" localSheetId="10">#REF!</definedName>
    <definedName name="_________BTS12" localSheetId="28">#REF!</definedName>
    <definedName name="_________BTS12">#REF!</definedName>
    <definedName name="_________BTS13" localSheetId="8">#REF!</definedName>
    <definedName name="_________BTS13" localSheetId="10">#REF!</definedName>
    <definedName name="_________BTS13" localSheetId="28">#REF!</definedName>
    <definedName name="_________BTS13">#REF!</definedName>
    <definedName name="_________BTS14" localSheetId="8">#REF!</definedName>
    <definedName name="_________BTS14" localSheetId="10">#REF!</definedName>
    <definedName name="_________BTS14" localSheetId="28">#REF!</definedName>
    <definedName name="_________BTS14">#REF!</definedName>
    <definedName name="_________BTS15" localSheetId="8">#REF!</definedName>
    <definedName name="_________BTS15" localSheetId="10">#REF!</definedName>
    <definedName name="_________BTS15" localSheetId="28">#REF!</definedName>
    <definedName name="_________BTS15">#REF!</definedName>
    <definedName name="_________BTS2" localSheetId="8">#REF!</definedName>
    <definedName name="_________BTS2" localSheetId="10">#REF!</definedName>
    <definedName name="_________BTS2" localSheetId="28">#REF!</definedName>
    <definedName name="_________BTS2">#REF!</definedName>
    <definedName name="_________BTS3" localSheetId="8">#REF!</definedName>
    <definedName name="_________BTS3" localSheetId="10">#REF!</definedName>
    <definedName name="_________BTS3" localSheetId="28">#REF!</definedName>
    <definedName name="_________BTS3">#REF!</definedName>
    <definedName name="_________BTS4" localSheetId="8">#REF!</definedName>
    <definedName name="_________BTS4" localSheetId="10">#REF!</definedName>
    <definedName name="_________BTS4" localSheetId="28">#REF!</definedName>
    <definedName name="_________BTS4">#REF!</definedName>
    <definedName name="_________BTS5" localSheetId="8">#REF!</definedName>
    <definedName name="_________BTS5" localSheetId="10">#REF!</definedName>
    <definedName name="_________BTS5" localSheetId="28">#REF!</definedName>
    <definedName name="_________BTS5">#REF!</definedName>
    <definedName name="_________BTS6" localSheetId="8">#REF!</definedName>
    <definedName name="_________BTS6" localSheetId="10">#REF!</definedName>
    <definedName name="_________BTS6" localSheetId="28">#REF!</definedName>
    <definedName name="_________BTS6">#REF!</definedName>
    <definedName name="_________BTS7" localSheetId="8">#REF!</definedName>
    <definedName name="_________BTS7" localSheetId="10">#REF!</definedName>
    <definedName name="_________BTS7" localSheetId="28">#REF!</definedName>
    <definedName name="_________BTS7">#REF!</definedName>
    <definedName name="_________BTS8" localSheetId="8">#REF!</definedName>
    <definedName name="_________BTS8" localSheetId="10">#REF!</definedName>
    <definedName name="_________BTS8" localSheetId="28">#REF!</definedName>
    <definedName name="_________BTS8">#REF!</definedName>
    <definedName name="_________BTS9" localSheetId="8">#REF!</definedName>
    <definedName name="_________BTS9" localSheetId="10">#REF!</definedName>
    <definedName name="_________BTS9" localSheetId="28">#REF!</definedName>
    <definedName name="_________BTS9">#REF!</definedName>
    <definedName name="_________can430">40.73</definedName>
    <definedName name="_________can435">43.3</definedName>
    <definedName name="_________cbr1">#REF!</definedName>
    <definedName name="_________cbr2">#REF!</definedName>
    <definedName name="_________cbr3">#REF!</definedName>
    <definedName name="_________cbr4">#REF!</definedName>
    <definedName name="_________cur1">[6]r!$F$30</definedName>
    <definedName name="_________er1">#REF!</definedName>
    <definedName name="_________ewe1" localSheetId="28">#REF!</definedName>
    <definedName name="_________f1">#REF!</definedName>
    <definedName name="_________GBS11" localSheetId="8">#REF!</definedName>
    <definedName name="_________GBS11" localSheetId="10">#REF!</definedName>
    <definedName name="_________GBS11" localSheetId="28">#REF!</definedName>
    <definedName name="_________GBS11">#REF!</definedName>
    <definedName name="_________GBS110" localSheetId="8">#REF!</definedName>
    <definedName name="_________GBS110" localSheetId="10">#REF!</definedName>
    <definedName name="_________GBS110" localSheetId="28">#REF!</definedName>
    <definedName name="_________GBS110">#REF!</definedName>
    <definedName name="_________GBS111" localSheetId="8">#REF!</definedName>
    <definedName name="_________GBS111" localSheetId="10">#REF!</definedName>
    <definedName name="_________GBS111" localSheetId="28">#REF!</definedName>
    <definedName name="_________GBS111">#REF!</definedName>
    <definedName name="_________GBS112" localSheetId="8">#REF!</definedName>
    <definedName name="_________GBS112" localSheetId="10">#REF!</definedName>
    <definedName name="_________GBS112" localSheetId="28">#REF!</definedName>
    <definedName name="_________GBS112">#REF!</definedName>
    <definedName name="_________GBS113" localSheetId="8">#REF!</definedName>
    <definedName name="_________GBS113" localSheetId="10">#REF!</definedName>
    <definedName name="_________GBS113" localSheetId="28">#REF!</definedName>
    <definedName name="_________GBS113">#REF!</definedName>
    <definedName name="_________GBS114" localSheetId="8">#REF!</definedName>
    <definedName name="_________GBS114" localSheetId="10">#REF!</definedName>
    <definedName name="_________GBS114" localSheetId="28">#REF!</definedName>
    <definedName name="_________GBS114">#REF!</definedName>
    <definedName name="_________GBS115" localSheetId="8">#REF!</definedName>
    <definedName name="_________GBS115" localSheetId="10">#REF!</definedName>
    <definedName name="_________GBS115" localSheetId="28">#REF!</definedName>
    <definedName name="_________GBS115">#REF!</definedName>
    <definedName name="_________GBS12" localSheetId="8">#REF!</definedName>
    <definedName name="_________GBS12" localSheetId="10">#REF!</definedName>
    <definedName name="_________GBS12" localSheetId="28">#REF!</definedName>
    <definedName name="_________GBS12">#REF!</definedName>
    <definedName name="_________GBS13" localSheetId="8">#REF!</definedName>
    <definedName name="_________GBS13" localSheetId="10">#REF!</definedName>
    <definedName name="_________GBS13" localSheetId="28">#REF!</definedName>
    <definedName name="_________GBS13">#REF!</definedName>
    <definedName name="_________GBS14" localSheetId="8">#REF!</definedName>
    <definedName name="_________GBS14" localSheetId="10">#REF!</definedName>
    <definedName name="_________GBS14" localSheetId="28">#REF!</definedName>
    <definedName name="_________GBS14">#REF!</definedName>
    <definedName name="_________GBS15" localSheetId="8">#REF!</definedName>
    <definedName name="_________GBS15" localSheetId="10">#REF!</definedName>
    <definedName name="_________GBS15" localSheetId="28">#REF!</definedName>
    <definedName name="_________GBS15">#REF!</definedName>
    <definedName name="_________GBS16" localSheetId="8">#REF!</definedName>
    <definedName name="_________GBS16" localSheetId="10">#REF!</definedName>
    <definedName name="_________GBS16" localSheetId="28">#REF!</definedName>
    <definedName name="_________GBS16">#REF!</definedName>
    <definedName name="_________GBS17" localSheetId="8">#REF!</definedName>
    <definedName name="_________GBS17" localSheetId="10">#REF!</definedName>
    <definedName name="_________GBS17" localSheetId="28">#REF!</definedName>
    <definedName name="_________GBS17">#REF!</definedName>
    <definedName name="_________GBS18" localSheetId="8">#REF!</definedName>
    <definedName name="_________GBS18" localSheetId="10">#REF!</definedName>
    <definedName name="_________GBS18" localSheetId="28">#REF!</definedName>
    <definedName name="_________GBS18">#REF!</definedName>
    <definedName name="_________GBS19" localSheetId="8">#REF!</definedName>
    <definedName name="_________GBS19" localSheetId="10">#REF!</definedName>
    <definedName name="_________GBS19" localSheetId="28">#REF!</definedName>
    <definedName name="_________GBS19">#REF!</definedName>
    <definedName name="_________GBS21" localSheetId="8">#REF!</definedName>
    <definedName name="_________GBS21" localSheetId="10">#REF!</definedName>
    <definedName name="_________GBS21" localSheetId="28">#REF!</definedName>
    <definedName name="_________GBS21">#REF!</definedName>
    <definedName name="_________GBS210" localSheetId="8">#REF!</definedName>
    <definedName name="_________GBS210" localSheetId="10">#REF!</definedName>
    <definedName name="_________GBS210" localSheetId="28">#REF!</definedName>
    <definedName name="_________GBS210">#REF!</definedName>
    <definedName name="_________GBS211" localSheetId="8">#REF!</definedName>
    <definedName name="_________GBS211" localSheetId="10">#REF!</definedName>
    <definedName name="_________GBS211" localSheetId="28">#REF!</definedName>
    <definedName name="_________GBS211">#REF!</definedName>
    <definedName name="_________GBS212" localSheetId="8">#REF!</definedName>
    <definedName name="_________GBS212" localSheetId="10">#REF!</definedName>
    <definedName name="_________GBS212" localSheetId="28">#REF!</definedName>
    <definedName name="_________GBS212">#REF!</definedName>
    <definedName name="_________GBS213" localSheetId="8">#REF!</definedName>
    <definedName name="_________GBS213" localSheetId="10">#REF!</definedName>
    <definedName name="_________GBS213" localSheetId="28">#REF!</definedName>
    <definedName name="_________GBS213">#REF!</definedName>
    <definedName name="_________GBS214" localSheetId="8">#REF!</definedName>
    <definedName name="_________GBS214" localSheetId="10">#REF!</definedName>
    <definedName name="_________GBS214" localSheetId="28">#REF!</definedName>
    <definedName name="_________GBS214">#REF!</definedName>
    <definedName name="_________GBS215" localSheetId="8">#REF!</definedName>
    <definedName name="_________GBS215" localSheetId="10">#REF!</definedName>
    <definedName name="_________GBS215" localSheetId="28">#REF!</definedName>
    <definedName name="_________GBS215">#REF!</definedName>
    <definedName name="_________GBS22" localSheetId="8">#REF!</definedName>
    <definedName name="_________GBS22" localSheetId="10">#REF!</definedName>
    <definedName name="_________GBS22" localSheetId="28">#REF!</definedName>
    <definedName name="_________GBS22">#REF!</definedName>
    <definedName name="_________GBS23" localSheetId="8">#REF!</definedName>
    <definedName name="_________GBS23" localSheetId="10">#REF!</definedName>
    <definedName name="_________GBS23" localSheetId="28">#REF!</definedName>
    <definedName name="_________GBS23">#REF!</definedName>
    <definedName name="_________GBS24" localSheetId="8">#REF!</definedName>
    <definedName name="_________GBS24" localSheetId="10">#REF!</definedName>
    <definedName name="_________GBS24" localSheetId="28">#REF!</definedName>
    <definedName name="_________GBS24">#REF!</definedName>
    <definedName name="_________GBS25" localSheetId="8">#REF!</definedName>
    <definedName name="_________GBS25" localSheetId="10">#REF!</definedName>
    <definedName name="_________GBS25" localSheetId="28">#REF!</definedName>
    <definedName name="_________GBS25">#REF!</definedName>
    <definedName name="_________GBS26" localSheetId="8">#REF!</definedName>
    <definedName name="_________GBS26" localSheetId="10">#REF!</definedName>
    <definedName name="_________GBS26" localSheetId="28">#REF!</definedName>
    <definedName name="_________GBS26">#REF!</definedName>
    <definedName name="_________GBS27" localSheetId="8">#REF!</definedName>
    <definedName name="_________GBS27" localSheetId="10">#REF!</definedName>
    <definedName name="_________GBS27" localSheetId="28">#REF!</definedName>
    <definedName name="_________GBS27">#REF!</definedName>
    <definedName name="_________GBS28" localSheetId="8">#REF!</definedName>
    <definedName name="_________GBS28" localSheetId="10">#REF!</definedName>
    <definedName name="_________GBS28" localSheetId="28">#REF!</definedName>
    <definedName name="_________GBS28">#REF!</definedName>
    <definedName name="_________GBS29" localSheetId="8">#REF!</definedName>
    <definedName name="_________GBS29" localSheetId="10">#REF!</definedName>
    <definedName name="_________GBS29" localSheetId="28">#REF!</definedName>
    <definedName name="_________GBS29">#REF!</definedName>
    <definedName name="_________gus1">#REF!</definedName>
    <definedName name="_________hpm1">#REF!</definedName>
    <definedName name="_________knr2" localSheetId="5">#REF!</definedName>
    <definedName name="_________knr2" localSheetId="14">#REF!</definedName>
    <definedName name="_________knr2" localSheetId="8">#REF!</definedName>
    <definedName name="_________knr2" localSheetId="10">#REF!</definedName>
    <definedName name="_________knr2" localSheetId="28">#REF!</definedName>
    <definedName name="_________knr2">#REF!</definedName>
    <definedName name="_________l1" localSheetId="37">[2]leads!$A$3:$E$108</definedName>
    <definedName name="_________l1">[27]leads!$A$3:$E$108</definedName>
    <definedName name="_________l12" localSheetId="33">#REF!</definedName>
    <definedName name="_________l12" localSheetId="34">#REF!</definedName>
    <definedName name="_________l12" localSheetId="35">#REF!</definedName>
    <definedName name="_________l12" localSheetId="5">#REF!</definedName>
    <definedName name="_________l12" localSheetId="8">#REF!</definedName>
    <definedName name="_________l12" localSheetId="10">#REF!</definedName>
    <definedName name="_________l12" localSheetId="11">#REF!</definedName>
    <definedName name="_________l12" localSheetId="28">#REF!</definedName>
    <definedName name="_________l12" localSheetId="42">#REF!</definedName>
    <definedName name="_________l12" localSheetId="31">#REF!</definedName>
    <definedName name="_________l12">#REF!</definedName>
    <definedName name="_________l2">[6]r!$F$29</definedName>
    <definedName name="_________l3" localSheetId="33">#REF!</definedName>
    <definedName name="_________l3" localSheetId="34">#REF!</definedName>
    <definedName name="_________l3" localSheetId="35">#REF!</definedName>
    <definedName name="_________l3" localSheetId="5">#REF!</definedName>
    <definedName name="_________l3" localSheetId="8">#REF!</definedName>
    <definedName name="_________l3" localSheetId="10">#REF!</definedName>
    <definedName name="_________l3" localSheetId="11">#REF!</definedName>
    <definedName name="_________l3" localSheetId="28">#REF!</definedName>
    <definedName name="_________l3" localSheetId="42">#REF!</definedName>
    <definedName name="_________l3" localSheetId="31">#REF!</definedName>
    <definedName name="_________l3">#REF!</definedName>
    <definedName name="_________l4" localSheetId="37">[3]Sheet1!$W$2:$Y$103</definedName>
    <definedName name="_________l4">[28]Sheet1!$W$2:$Y$103</definedName>
    <definedName name="_________l5" localSheetId="33">#REF!</definedName>
    <definedName name="_________l5" localSheetId="34">#REF!</definedName>
    <definedName name="_________l5" localSheetId="35">#REF!</definedName>
    <definedName name="_________l5" localSheetId="5">#REF!</definedName>
    <definedName name="_________l5" localSheetId="8">#REF!</definedName>
    <definedName name="_________l5" localSheetId="10">#REF!</definedName>
    <definedName name="_________l5" localSheetId="11">#REF!</definedName>
    <definedName name="_________l5" localSheetId="28">#REF!</definedName>
    <definedName name="_________l5" localSheetId="42">#REF!</definedName>
    <definedName name="_________l5" localSheetId="31">#REF!</definedName>
    <definedName name="_________l5">#REF!</definedName>
    <definedName name="_________l6">[6]r!$F$4</definedName>
    <definedName name="_________l7">[7]r!$F$4</definedName>
    <definedName name="_________l8">[6]r!$F$2</definedName>
    <definedName name="_________l9">[6]r!$F$3</definedName>
    <definedName name="_________lcn1">#REF!</definedName>
    <definedName name="_________LI9" localSheetId="8">#REF!</definedName>
    <definedName name="_________LI9" localSheetId="10">#REF!</definedName>
    <definedName name="_________LI9" localSheetId="28">#REF!</definedName>
    <definedName name="_________LI9">#REF!</definedName>
    <definedName name="_________LII9" localSheetId="8">#REF!</definedName>
    <definedName name="_________LII9" localSheetId="10">#REF!</definedName>
    <definedName name="_________LII9" localSheetId="28">#REF!</definedName>
    <definedName name="_________LII9">#REF!</definedName>
    <definedName name="_________lm1" localSheetId="28">#REF!</definedName>
    <definedName name="_________MIX124">[36]maya!$A$11:$A$18</definedName>
    <definedName name="_________ML11" localSheetId="8">#REF!</definedName>
    <definedName name="_________ML11" localSheetId="10">#REF!</definedName>
    <definedName name="_________ML11" localSheetId="28">#REF!</definedName>
    <definedName name="_________ML11">#REF!</definedName>
    <definedName name="_________ML110" localSheetId="8">#REF!</definedName>
    <definedName name="_________ML110" localSheetId="10">#REF!</definedName>
    <definedName name="_________ML110" localSheetId="28">#REF!</definedName>
    <definedName name="_________ML110">#REF!</definedName>
    <definedName name="_________ML111" localSheetId="8">#REF!</definedName>
    <definedName name="_________ML111" localSheetId="10">#REF!</definedName>
    <definedName name="_________ML111" localSheetId="28">#REF!</definedName>
    <definedName name="_________ML111">#REF!</definedName>
    <definedName name="_________ML112" localSheetId="8">#REF!</definedName>
    <definedName name="_________ML112" localSheetId="10">#REF!</definedName>
    <definedName name="_________ML112" localSheetId="28">#REF!</definedName>
    <definedName name="_________ML112">#REF!</definedName>
    <definedName name="_________ML113" localSheetId="8">#REF!</definedName>
    <definedName name="_________ML113" localSheetId="10">#REF!</definedName>
    <definedName name="_________ML113" localSheetId="28">#REF!</definedName>
    <definedName name="_________ML113">#REF!</definedName>
    <definedName name="_________ML114" localSheetId="8">#REF!</definedName>
    <definedName name="_________ML114" localSheetId="10">#REF!</definedName>
    <definedName name="_________ML114" localSheetId="28">#REF!</definedName>
    <definedName name="_________ML114">#REF!</definedName>
    <definedName name="_________ML115" localSheetId="8">#REF!</definedName>
    <definedName name="_________ML115" localSheetId="10">#REF!</definedName>
    <definedName name="_________ML115" localSheetId="28">#REF!</definedName>
    <definedName name="_________ML115">#REF!</definedName>
    <definedName name="_________ML12" localSheetId="8">#REF!</definedName>
    <definedName name="_________ML12" localSheetId="10">#REF!</definedName>
    <definedName name="_________ML12" localSheetId="28">#REF!</definedName>
    <definedName name="_________ML12">#REF!</definedName>
    <definedName name="_________ML13" localSheetId="8">#REF!</definedName>
    <definedName name="_________ML13" localSheetId="10">#REF!</definedName>
    <definedName name="_________ML13" localSheetId="28">#REF!</definedName>
    <definedName name="_________ML13">#REF!</definedName>
    <definedName name="_________ML14" localSheetId="8">#REF!</definedName>
    <definedName name="_________ML14" localSheetId="10">#REF!</definedName>
    <definedName name="_________ML14" localSheetId="28">#REF!</definedName>
    <definedName name="_________ML14">#REF!</definedName>
    <definedName name="_________ML15" localSheetId="8">#REF!</definedName>
    <definedName name="_________ML15" localSheetId="10">#REF!</definedName>
    <definedName name="_________ML15" localSheetId="28">#REF!</definedName>
    <definedName name="_________ML15">#REF!</definedName>
    <definedName name="_________ML16" localSheetId="8">#REF!</definedName>
    <definedName name="_________ML16" localSheetId="10">#REF!</definedName>
    <definedName name="_________ML16" localSheetId="28">#REF!</definedName>
    <definedName name="_________ML16">#REF!</definedName>
    <definedName name="_________ML17" localSheetId="8">#REF!</definedName>
    <definedName name="_________ML17" localSheetId="10">#REF!</definedName>
    <definedName name="_________ML17" localSheetId="28">#REF!</definedName>
    <definedName name="_________ML17">#REF!</definedName>
    <definedName name="_________ML18" localSheetId="8">#REF!</definedName>
    <definedName name="_________ML18" localSheetId="10">#REF!</definedName>
    <definedName name="_________ML18" localSheetId="28">#REF!</definedName>
    <definedName name="_________ML18">#REF!</definedName>
    <definedName name="_________ML19" localSheetId="8">#REF!</definedName>
    <definedName name="_________ML19" localSheetId="10">#REF!</definedName>
    <definedName name="_________ML19" localSheetId="28">#REF!</definedName>
    <definedName name="_________ML19">#REF!</definedName>
    <definedName name="_________ML21" localSheetId="8">#REF!</definedName>
    <definedName name="_________ML21" localSheetId="10">#REF!</definedName>
    <definedName name="_________ML21" localSheetId="28">#REF!</definedName>
    <definedName name="_________ML21">#REF!</definedName>
    <definedName name="_________ML210" localSheetId="8">#REF!</definedName>
    <definedName name="_________ML210" localSheetId="10">#REF!</definedName>
    <definedName name="_________ML210" localSheetId="28">#REF!</definedName>
    <definedName name="_________ML210">#REF!</definedName>
    <definedName name="_________ML211" localSheetId="8">#REF!</definedName>
    <definedName name="_________ML211" localSheetId="10">#REF!</definedName>
    <definedName name="_________ML211" localSheetId="28">#REF!</definedName>
    <definedName name="_________ML211">#REF!</definedName>
    <definedName name="_________ML212" localSheetId="8">#REF!</definedName>
    <definedName name="_________ML212" localSheetId="10">#REF!</definedName>
    <definedName name="_________ML212" localSheetId="28">#REF!</definedName>
    <definedName name="_________ML212">#REF!</definedName>
    <definedName name="_________ML213" localSheetId="8">#REF!</definedName>
    <definedName name="_________ML213" localSheetId="10">#REF!</definedName>
    <definedName name="_________ML213" localSheetId="28">#REF!</definedName>
    <definedName name="_________ML213">#REF!</definedName>
    <definedName name="_________ML214" localSheetId="8">#REF!</definedName>
    <definedName name="_________ML214" localSheetId="10">#REF!</definedName>
    <definedName name="_________ML214" localSheetId="28">#REF!</definedName>
    <definedName name="_________ML214">#REF!</definedName>
    <definedName name="_________ML215" localSheetId="8">#REF!</definedName>
    <definedName name="_________ML215" localSheetId="10">#REF!</definedName>
    <definedName name="_________ML215" localSheetId="28">#REF!</definedName>
    <definedName name="_________ML215">#REF!</definedName>
    <definedName name="_________ML22" localSheetId="8">#REF!</definedName>
    <definedName name="_________ML22" localSheetId="10">#REF!</definedName>
    <definedName name="_________ML22" localSheetId="28">#REF!</definedName>
    <definedName name="_________ML22">#REF!</definedName>
    <definedName name="_________ML23" localSheetId="8">#REF!</definedName>
    <definedName name="_________ML23" localSheetId="10">#REF!</definedName>
    <definedName name="_________ML23" localSheetId="28">#REF!</definedName>
    <definedName name="_________ML23">#REF!</definedName>
    <definedName name="_________ML24" localSheetId="8">#REF!</definedName>
    <definedName name="_________ML24" localSheetId="10">#REF!</definedName>
    <definedName name="_________ML24" localSheetId="28">#REF!</definedName>
    <definedName name="_________ML24">#REF!</definedName>
    <definedName name="_________ML25" localSheetId="8">#REF!</definedName>
    <definedName name="_________ML25" localSheetId="10">#REF!</definedName>
    <definedName name="_________ML25" localSheetId="28">#REF!</definedName>
    <definedName name="_________ML25">#REF!</definedName>
    <definedName name="_________ML26" localSheetId="8">#REF!</definedName>
    <definedName name="_________ML26" localSheetId="10">#REF!</definedName>
    <definedName name="_________ML26" localSheetId="28">#REF!</definedName>
    <definedName name="_________ML26">#REF!</definedName>
    <definedName name="_________ML27" localSheetId="8">#REF!</definedName>
    <definedName name="_________ML27" localSheetId="10">#REF!</definedName>
    <definedName name="_________ML27" localSheetId="28">#REF!</definedName>
    <definedName name="_________ML27">#REF!</definedName>
    <definedName name="_________ML28" localSheetId="8">#REF!</definedName>
    <definedName name="_________ML28" localSheetId="10">#REF!</definedName>
    <definedName name="_________ML28" localSheetId="28">#REF!</definedName>
    <definedName name="_________ML28">#REF!</definedName>
    <definedName name="_________ML29" localSheetId="8">#REF!</definedName>
    <definedName name="_________ML29" localSheetId="10">#REF!</definedName>
    <definedName name="_________ML29" localSheetId="28">#REF!</definedName>
    <definedName name="_________ML29">#REF!</definedName>
    <definedName name="_________ML31" localSheetId="8">#REF!</definedName>
    <definedName name="_________ML31" localSheetId="10">#REF!</definedName>
    <definedName name="_________ML31" localSheetId="28">#REF!</definedName>
    <definedName name="_________ML31">#REF!</definedName>
    <definedName name="_________ML310" localSheetId="8">#REF!</definedName>
    <definedName name="_________ML310" localSheetId="10">#REF!</definedName>
    <definedName name="_________ML310" localSheetId="28">#REF!</definedName>
    <definedName name="_________ML310">#REF!</definedName>
    <definedName name="_________ML311" localSheetId="8">#REF!</definedName>
    <definedName name="_________ML311" localSheetId="10">#REF!</definedName>
    <definedName name="_________ML311" localSheetId="28">#REF!</definedName>
    <definedName name="_________ML311">#REF!</definedName>
    <definedName name="_________ML312" localSheetId="8">#REF!</definedName>
    <definedName name="_________ML312" localSheetId="10">#REF!</definedName>
    <definedName name="_________ML312" localSheetId="28">#REF!</definedName>
    <definedName name="_________ML312">#REF!</definedName>
    <definedName name="_________ML313" localSheetId="8">#REF!</definedName>
    <definedName name="_________ML313" localSheetId="10">#REF!</definedName>
    <definedName name="_________ML313" localSheetId="28">#REF!</definedName>
    <definedName name="_________ML313">#REF!</definedName>
    <definedName name="_________ML314" localSheetId="8">#REF!</definedName>
    <definedName name="_________ML314" localSheetId="10">#REF!</definedName>
    <definedName name="_________ML314" localSheetId="28">#REF!</definedName>
    <definedName name="_________ML314">#REF!</definedName>
    <definedName name="_________ML315" localSheetId="8">#REF!</definedName>
    <definedName name="_________ML315" localSheetId="10">#REF!</definedName>
    <definedName name="_________ML315" localSheetId="28">#REF!</definedName>
    <definedName name="_________ML315">#REF!</definedName>
    <definedName name="_________ML32" localSheetId="8">#REF!</definedName>
    <definedName name="_________ML32" localSheetId="10">#REF!</definedName>
    <definedName name="_________ML32" localSheetId="28">#REF!</definedName>
    <definedName name="_________ML32">#REF!</definedName>
    <definedName name="_________ML33" localSheetId="8">#REF!</definedName>
    <definedName name="_________ML33" localSheetId="10">#REF!</definedName>
    <definedName name="_________ML33" localSheetId="28">#REF!</definedName>
    <definedName name="_________ML33">#REF!</definedName>
    <definedName name="_________ML34" localSheetId="8">#REF!</definedName>
    <definedName name="_________ML34" localSheetId="10">#REF!</definedName>
    <definedName name="_________ML34" localSheetId="28">#REF!</definedName>
    <definedName name="_________ML34">#REF!</definedName>
    <definedName name="_________ML35" localSheetId="8">#REF!</definedName>
    <definedName name="_________ML35" localSheetId="10">#REF!</definedName>
    <definedName name="_________ML35" localSheetId="28">#REF!</definedName>
    <definedName name="_________ML35">#REF!</definedName>
    <definedName name="_________ML36" localSheetId="8">#REF!</definedName>
    <definedName name="_________ML36" localSheetId="10">#REF!</definedName>
    <definedName name="_________ML36" localSheetId="28">#REF!</definedName>
    <definedName name="_________ML36">#REF!</definedName>
    <definedName name="_________ML37" localSheetId="8">#REF!</definedName>
    <definedName name="_________ML37" localSheetId="10">#REF!</definedName>
    <definedName name="_________ML37" localSheetId="28">#REF!</definedName>
    <definedName name="_________ML37">#REF!</definedName>
    <definedName name="_________ML38" localSheetId="8">#REF!</definedName>
    <definedName name="_________ML38" localSheetId="10">#REF!</definedName>
    <definedName name="_________ML38" localSheetId="28">#REF!</definedName>
    <definedName name="_________ML38">#REF!</definedName>
    <definedName name="_________ML39" localSheetId="8">#REF!</definedName>
    <definedName name="_________ML39" localSheetId="10">#REF!</definedName>
    <definedName name="_________ML39" localSheetId="28">#REF!</definedName>
    <definedName name="_________ML39">#REF!</definedName>
    <definedName name="_________ML7" localSheetId="8">#REF!</definedName>
    <definedName name="_________ML7" localSheetId="10">#REF!</definedName>
    <definedName name="_________ML7" localSheetId="28">#REF!</definedName>
    <definedName name="_________ML7">#REF!</definedName>
    <definedName name="_________ML8" localSheetId="8">#REF!</definedName>
    <definedName name="_________ML8" localSheetId="10">#REF!</definedName>
    <definedName name="_________ML8" localSheetId="28">#REF!</definedName>
    <definedName name="_________ML8">#REF!</definedName>
    <definedName name="_________ML9" localSheetId="8">#REF!</definedName>
    <definedName name="_________ML9" localSheetId="10">#REF!</definedName>
    <definedName name="_________ML9" localSheetId="28">#REF!</definedName>
    <definedName name="_________ML9">#REF!</definedName>
    <definedName name="_________mm1" localSheetId="37">[4]r!$F$4</definedName>
    <definedName name="_________mm1">[29]r!$F$4</definedName>
    <definedName name="_________mm11">[6]r!$F$4</definedName>
    <definedName name="_________mm111">[7]r!$F$4</definedName>
    <definedName name="_________mm20" localSheetId="28">#REF!</definedName>
    <definedName name="_________mm40">#REF!</definedName>
    <definedName name="_________pc2" localSheetId="33">#REF!</definedName>
    <definedName name="_________pc2" localSheetId="34">#REF!</definedName>
    <definedName name="_________pc2" localSheetId="35">#REF!</definedName>
    <definedName name="_________pc2" localSheetId="5">#REF!</definedName>
    <definedName name="_________pc2" localSheetId="8">#REF!</definedName>
    <definedName name="_________pc2" localSheetId="10">#REF!</definedName>
    <definedName name="_________pc2" localSheetId="11">#REF!</definedName>
    <definedName name="_________pc2" localSheetId="28">#REF!</definedName>
    <definedName name="_________pc2" localSheetId="42">#REF!</definedName>
    <definedName name="_________pc2" localSheetId="31">#REF!</definedName>
    <definedName name="_________pc2">#REF!</definedName>
    <definedName name="_________PMS2" localSheetId="8">#REF!</definedName>
    <definedName name="_________PMS2" localSheetId="10">#REF!</definedName>
    <definedName name="_________PMS2" localSheetId="28">#REF!</definedName>
    <definedName name="_________PMS2">#REF!</definedName>
    <definedName name="_________pv2" localSheetId="33">#REF!</definedName>
    <definedName name="_________pv2" localSheetId="34">#REF!</definedName>
    <definedName name="_________pv2" localSheetId="35">#REF!</definedName>
    <definedName name="_________pv2" localSheetId="5">#REF!</definedName>
    <definedName name="_________pv2" localSheetId="8">#REF!</definedName>
    <definedName name="_________pv2" localSheetId="10">#REF!</definedName>
    <definedName name="_________pv2" localSheetId="11">#REF!</definedName>
    <definedName name="_________pv2" localSheetId="28">#REF!</definedName>
    <definedName name="_________pv2" localSheetId="42">#REF!</definedName>
    <definedName name="_________pv2" localSheetId="31">#REF!</definedName>
    <definedName name="_________pv2">#REF!</definedName>
    <definedName name="_________rr3" localSheetId="37">[5]v!$A$2:$E$51</definedName>
    <definedName name="_________rr3">[30]v!$A$2:$E$51</definedName>
    <definedName name="_________rrr1" localSheetId="37">[5]r!$B$1:$I$145</definedName>
    <definedName name="_________rrr1">[30]r!$B$1:$I$145</definedName>
    <definedName name="_________SO016" localSheetId="8">#REF!</definedName>
    <definedName name="_________SO016" localSheetId="10">#REF!</definedName>
    <definedName name="_________SO016" localSheetId="11">#REF!</definedName>
    <definedName name="_________SO016" localSheetId="28">#REF!</definedName>
    <definedName name="_________SO016">#REF!</definedName>
    <definedName name="_________SP001" localSheetId="8">#REF!</definedName>
    <definedName name="_________SP001" localSheetId="10">#REF!</definedName>
    <definedName name="_________SP001" localSheetId="11">#REF!</definedName>
    <definedName name="_________SP001" localSheetId="28">#REF!</definedName>
    <definedName name="_________SP001">#REF!</definedName>
    <definedName name="_________SP002" localSheetId="8">#REF!</definedName>
    <definedName name="_________SP002" localSheetId="10">#REF!</definedName>
    <definedName name="_________SP002" localSheetId="11">#REF!</definedName>
    <definedName name="_________SP002" localSheetId="28">#REF!</definedName>
    <definedName name="_________SP002">#REF!</definedName>
    <definedName name="_________SP003" localSheetId="8">#REF!</definedName>
    <definedName name="_________SP003" localSheetId="10">#REF!</definedName>
    <definedName name="_________SP003" localSheetId="11">#REF!</definedName>
    <definedName name="_________SP003" localSheetId="28">#REF!</definedName>
    <definedName name="_________SP003">#REF!</definedName>
    <definedName name="_________SP004" localSheetId="8">#REF!</definedName>
    <definedName name="_________SP004" localSheetId="10">#REF!</definedName>
    <definedName name="_________SP004" localSheetId="11">#REF!</definedName>
    <definedName name="_________SP004" localSheetId="28">#REF!</definedName>
    <definedName name="_________SP004">#REF!</definedName>
    <definedName name="_________SP005" localSheetId="8">#REF!</definedName>
    <definedName name="_________SP005" localSheetId="10">#REF!</definedName>
    <definedName name="_________SP005" localSheetId="11">#REF!</definedName>
    <definedName name="_________SP005" localSheetId="28">#REF!</definedName>
    <definedName name="_________SP005">#REF!</definedName>
    <definedName name="_________SP006" localSheetId="8">#REF!</definedName>
    <definedName name="_________SP006" localSheetId="10">#REF!</definedName>
    <definedName name="_________SP006" localSheetId="11">#REF!</definedName>
    <definedName name="_________SP006" localSheetId="28">#REF!</definedName>
    <definedName name="_________SP006">#REF!</definedName>
    <definedName name="_________SP007" localSheetId="8">#REF!</definedName>
    <definedName name="_________SP007" localSheetId="10">#REF!</definedName>
    <definedName name="_________SP007" localSheetId="11">#REF!</definedName>
    <definedName name="_________SP007" localSheetId="28">#REF!</definedName>
    <definedName name="_________SP007">#REF!</definedName>
    <definedName name="_________SP008" localSheetId="8">#REF!</definedName>
    <definedName name="_________SP008" localSheetId="10">#REF!</definedName>
    <definedName name="_________SP008" localSheetId="11">#REF!</definedName>
    <definedName name="_________SP008" localSheetId="28">#REF!</definedName>
    <definedName name="_________SP008">#REF!</definedName>
    <definedName name="_________SP009" localSheetId="8">#REF!</definedName>
    <definedName name="_________SP009" localSheetId="10">#REF!</definedName>
    <definedName name="_________SP009" localSheetId="11">#REF!</definedName>
    <definedName name="_________SP009" localSheetId="28">#REF!</definedName>
    <definedName name="_________SP009">#REF!</definedName>
    <definedName name="_________SP010" localSheetId="8">#REF!</definedName>
    <definedName name="_________SP010" localSheetId="10">#REF!</definedName>
    <definedName name="_________SP010" localSheetId="11">#REF!</definedName>
    <definedName name="_________SP010" localSheetId="28">#REF!</definedName>
    <definedName name="_________SP010">#REF!</definedName>
    <definedName name="_________SP011" localSheetId="8">#REF!</definedName>
    <definedName name="_________SP011" localSheetId="10">#REF!</definedName>
    <definedName name="_________SP011" localSheetId="11">#REF!</definedName>
    <definedName name="_________SP011" localSheetId="28">#REF!</definedName>
    <definedName name="_________SP011">#REF!</definedName>
    <definedName name="_________SP012" localSheetId="8">#REF!</definedName>
    <definedName name="_________SP012" localSheetId="10">#REF!</definedName>
    <definedName name="_________SP012" localSheetId="11">#REF!</definedName>
    <definedName name="_________SP012" localSheetId="28">#REF!</definedName>
    <definedName name="_________SP012">#REF!</definedName>
    <definedName name="_________SP013" localSheetId="8">#REF!</definedName>
    <definedName name="_________SP013" localSheetId="10">#REF!</definedName>
    <definedName name="_________SP013" localSheetId="11">#REF!</definedName>
    <definedName name="_________SP013" localSheetId="28">#REF!</definedName>
    <definedName name="_________SP013">#REF!</definedName>
    <definedName name="_________SP014" localSheetId="8">#REF!</definedName>
    <definedName name="_________SP014" localSheetId="10">#REF!</definedName>
    <definedName name="_________SP014" localSheetId="11">#REF!</definedName>
    <definedName name="_________SP014" localSheetId="28">#REF!</definedName>
    <definedName name="_________SP014">#REF!</definedName>
    <definedName name="_________SP015" localSheetId="8">#REF!</definedName>
    <definedName name="_________SP015" localSheetId="10">#REF!</definedName>
    <definedName name="_________SP015" localSheetId="11">#REF!</definedName>
    <definedName name="_________SP015" localSheetId="28">#REF!</definedName>
    <definedName name="_________SP015">#REF!</definedName>
    <definedName name="_________SP016" localSheetId="8">#REF!</definedName>
    <definedName name="_________SP016" localSheetId="10">#REF!</definedName>
    <definedName name="_________SP016" localSheetId="11">#REF!</definedName>
    <definedName name="_________SP016" localSheetId="28">#REF!</definedName>
    <definedName name="_________SP016">#REF!</definedName>
    <definedName name="_________SP017" localSheetId="8">#REF!</definedName>
    <definedName name="_________SP017" localSheetId="10">#REF!</definedName>
    <definedName name="_________SP017" localSheetId="11">#REF!</definedName>
    <definedName name="_________SP017" localSheetId="28">#REF!</definedName>
    <definedName name="_________SP017">#REF!</definedName>
    <definedName name="_________SP018" localSheetId="8">#REF!</definedName>
    <definedName name="_________SP018" localSheetId="10">#REF!</definedName>
    <definedName name="_________SP018" localSheetId="11">#REF!</definedName>
    <definedName name="_________SP018" localSheetId="28">#REF!</definedName>
    <definedName name="_________SP018">#REF!</definedName>
    <definedName name="_________SP019" localSheetId="8">#REF!</definedName>
    <definedName name="_________SP019" localSheetId="10">#REF!</definedName>
    <definedName name="_________SP019" localSheetId="11">#REF!</definedName>
    <definedName name="_________SP019" localSheetId="28">#REF!</definedName>
    <definedName name="_________SP019">#REF!</definedName>
    <definedName name="_________SP020" localSheetId="8">#REF!</definedName>
    <definedName name="_________SP020" localSheetId="10">#REF!</definedName>
    <definedName name="_________SP020" localSheetId="11">#REF!</definedName>
    <definedName name="_________SP020" localSheetId="28">#REF!</definedName>
    <definedName name="_________SP020">#REF!</definedName>
    <definedName name="_________SP021" localSheetId="8">#REF!</definedName>
    <definedName name="_________SP021" localSheetId="10">#REF!</definedName>
    <definedName name="_________SP021" localSheetId="11">#REF!</definedName>
    <definedName name="_________SP021" localSheetId="28">#REF!</definedName>
    <definedName name="_________SP021">#REF!</definedName>
    <definedName name="_________SP022" localSheetId="8">#REF!</definedName>
    <definedName name="_________SP022" localSheetId="10">#REF!</definedName>
    <definedName name="_________SP022" localSheetId="11">#REF!</definedName>
    <definedName name="_________SP022" localSheetId="28">#REF!</definedName>
    <definedName name="_________SP022">#REF!</definedName>
    <definedName name="_________SP023" localSheetId="8">#REF!</definedName>
    <definedName name="_________SP023" localSheetId="10">#REF!</definedName>
    <definedName name="_________SP023" localSheetId="11">#REF!</definedName>
    <definedName name="_________SP023" localSheetId="28">#REF!</definedName>
    <definedName name="_________SP023">#REF!</definedName>
    <definedName name="_________SP024" localSheetId="8">#REF!</definedName>
    <definedName name="_________SP024" localSheetId="10">#REF!</definedName>
    <definedName name="_________SP024" localSheetId="11">#REF!</definedName>
    <definedName name="_________SP024" localSheetId="28">#REF!</definedName>
    <definedName name="_________SP024">#REF!</definedName>
    <definedName name="_________SP025" localSheetId="8">#REF!</definedName>
    <definedName name="_________SP025" localSheetId="10">#REF!</definedName>
    <definedName name="_________SP025" localSheetId="11">#REF!</definedName>
    <definedName name="_________SP025" localSheetId="28">#REF!</definedName>
    <definedName name="_________SP025">#REF!</definedName>
    <definedName name="_________SP026" localSheetId="8">#REF!</definedName>
    <definedName name="_________SP026" localSheetId="10">#REF!</definedName>
    <definedName name="_________SP026" localSheetId="11">#REF!</definedName>
    <definedName name="_________SP026" localSheetId="28">#REF!</definedName>
    <definedName name="_________SP026">#REF!</definedName>
    <definedName name="_________SP027" localSheetId="8">#REF!</definedName>
    <definedName name="_________SP027" localSheetId="10">#REF!</definedName>
    <definedName name="_________SP027" localSheetId="11">#REF!</definedName>
    <definedName name="_________SP027" localSheetId="28">#REF!</definedName>
    <definedName name="_________SP027">#REF!</definedName>
    <definedName name="_________SP028" localSheetId="8">#REF!</definedName>
    <definedName name="_________SP028" localSheetId="10">#REF!</definedName>
    <definedName name="_________SP028" localSheetId="11">#REF!</definedName>
    <definedName name="_________SP028" localSheetId="28">#REF!</definedName>
    <definedName name="_________SP028">#REF!</definedName>
    <definedName name="_________SP029" localSheetId="8">#REF!</definedName>
    <definedName name="_________SP029" localSheetId="10">#REF!</definedName>
    <definedName name="_________SP029" localSheetId="11">#REF!</definedName>
    <definedName name="_________SP029" localSheetId="28">#REF!</definedName>
    <definedName name="_________SP029">#REF!</definedName>
    <definedName name="_________SP030" localSheetId="8">#REF!</definedName>
    <definedName name="_________SP030" localSheetId="10">#REF!</definedName>
    <definedName name="_________SP030" localSheetId="11">#REF!</definedName>
    <definedName name="_________SP030" localSheetId="28">#REF!</definedName>
    <definedName name="_________SP030">#REF!</definedName>
    <definedName name="_________SP031" localSheetId="8">#REF!</definedName>
    <definedName name="_________SP031" localSheetId="10">#REF!</definedName>
    <definedName name="_________SP031" localSheetId="11">#REF!</definedName>
    <definedName name="_________SP031" localSheetId="28">#REF!</definedName>
    <definedName name="_________SP031">#REF!</definedName>
    <definedName name="_________SP032" localSheetId="8">#REF!</definedName>
    <definedName name="_________SP032" localSheetId="10">#REF!</definedName>
    <definedName name="_________SP032" localSheetId="11">#REF!</definedName>
    <definedName name="_________SP032" localSheetId="28">#REF!</definedName>
    <definedName name="_________SP032">#REF!</definedName>
    <definedName name="_________SP033" localSheetId="8">#REF!</definedName>
    <definedName name="_________SP033" localSheetId="10">#REF!</definedName>
    <definedName name="_________SP033" localSheetId="11">#REF!</definedName>
    <definedName name="_________SP033" localSheetId="28">#REF!</definedName>
    <definedName name="_________SP033">#REF!</definedName>
    <definedName name="_________SP034" localSheetId="8">#REF!</definedName>
    <definedName name="_________SP034" localSheetId="10">#REF!</definedName>
    <definedName name="_________SP034" localSheetId="11">#REF!</definedName>
    <definedName name="_________SP034" localSheetId="28">#REF!</definedName>
    <definedName name="_________SP034">#REF!</definedName>
    <definedName name="_________SP035" localSheetId="8">#REF!</definedName>
    <definedName name="_________SP035" localSheetId="10">#REF!</definedName>
    <definedName name="_________SP035" localSheetId="11">#REF!</definedName>
    <definedName name="_________SP035" localSheetId="28">#REF!</definedName>
    <definedName name="_________SP035">#REF!</definedName>
    <definedName name="_________SP036" localSheetId="8">#REF!</definedName>
    <definedName name="_________SP036" localSheetId="10">#REF!</definedName>
    <definedName name="_________SP036" localSheetId="11">#REF!</definedName>
    <definedName name="_________SP036" localSheetId="28">#REF!</definedName>
    <definedName name="_________SP036">#REF!</definedName>
    <definedName name="_________SP037" localSheetId="8">#REF!</definedName>
    <definedName name="_________SP037" localSheetId="10">#REF!</definedName>
    <definedName name="_________SP037" localSheetId="11">#REF!</definedName>
    <definedName name="_________SP037" localSheetId="28">#REF!</definedName>
    <definedName name="_________SP037">#REF!</definedName>
    <definedName name="_________SP038" localSheetId="8">#REF!</definedName>
    <definedName name="_________SP038" localSheetId="10">#REF!</definedName>
    <definedName name="_________SP038" localSheetId="11">#REF!</definedName>
    <definedName name="_________SP038" localSheetId="28">#REF!</definedName>
    <definedName name="_________SP038">#REF!</definedName>
    <definedName name="_________SP039" localSheetId="8">#REF!</definedName>
    <definedName name="_________SP039" localSheetId="10">#REF!</definedName>
    <definedName name="_________SP039" localSheetId="11">#REF!</definedName>
    <definedName name="_________SP039" localSheetId="28">#REF!</definedName>
    <definedName name="_________SP039">#REF!</definedName>
    <definedName name="_________SP040" localSheetId="8">#REF!</definedName>
    <definedName name="_________SP040" localSheetId="10">#REF!</definedName>
    <definedName name="_________SP040" localSheetId="11">#REF!</definedName>
    <definedName name="_________SP040" localSheetId="28">#REF!</definedName>
    <definedName name="_________SP040">#REF!</definedName>
    <definedName name="_________SP041" localSheetId="8">#REF!</definedName>
    <definedName name="_________SP041" localSheetId="10">#REF!</definedName>
    <definedName name="_________SP041" localSheetId="11">#REF!</definedName>
    <definedName name="_________SP041" localSheetId="28">#REF!</definedName>
    <definedName name="_________SP041">#REF!</definedName>
    <definedName name="_________SP042" localSheetId="8">#REF!</definedName>
    <definedName name="_________SP042" localSheetId="10">#REF!</definedName>
    <definedName name="_________SP042" localSheetId="11">#REF!</definedName>
    <definedName name="_________SP042" localSheetId="28">#REF!</definedName>
    <definedName name="_________SP042">#REF!</definedName>
    <definedName name="_________SP043" localSheetId="8">#REF!</definedName>
    <definedName name="_________SP043" localSheetId="10">#REF!</definedName>
    <definedName name="_________SP043" localSheetId="11">#REF!</definedName>
    <definedName name="_________SP043" localSheetId="28">#REF!</definedName>
    <definedName name="_________SP043">#REF!</definedName>
    <definedName name="_________SP044" localSheetId="8">#REF!</definedName>
    <definedName name="_________SP044" localSheetId="10">#REF!</definedName>
    <definedName name="_________SP044" localSheetId="11">#REF!</definedName>
    <definedName name="_________SP044" localSheetId="28">#REF!</definedName>
    <definedName name="_________SP044">#REF!</definedName>
    <definedName name="_________SP045" localSheetId="8">#REF!</definedName>
    <definedName name="_________SP045" localSheetId="10">#REF!</definedName>
    <definedName name="_________SP045" localSheetId="11">#REF!</definedName>
    <definedName name="_________SP045" localSheetId="28">#REF!</definedName>
    <definedName name="_________SP045">#REF!</definedName>
    <definedName name="_________SP046" localSheetId="8">#REF!</definedName>
    <definedName name="_________SP046" localSheetId="10">#REF!</definedName>
    <definedName name="_________SP046" localSheetId="11">#REF!</definedName>
    <definedName name="_________SP046" localSheetId="28">#REF!</definedName>
    <definedName name="_________SP046">#REF!</definedName>
    <definedName name="_________SP047" localSheetId="8">#REF!</definedName>
    <definedName name="_________SP047" localSheetId="10">#REF!</definedName>
    <definedName name="_________SP047" localSheetId="11">#REF!</definedName>
    <definedName name="_________SP047" localSheetId="28">#REF!</definedName>
    <definedName name="_________SP047">#REF!</definedName>
    <definedName name="_________SP048" localSheetId="8">#REF!</definedName>
    <definedName name="_________SP048" localSheetId="10">#REF!</definedName>
    <definedName name="_________SP048" localSheetId="11">#REF!</definedName>
    <definedName name="_________SP048" localSheetId="28">#REF!</definedName>
    <definedName name="_________SP048">#REF!</definedName>
    <definedName name="_________SP049" localSheetId="8">#REF!</definedName>
    <definedName name="_________SP049" localSheetId="10">#REF!</definedName>
    <definedName name="_________SP049" localSheetId="11">#REF!</definedName>
    <definedName name="_________SP049" localSheetId="28">#REF!</definedName>
    <definedName name="_________SP049">#REF!</definedName>
    <definedName name="_________SP050" localSheetId="8">#REF!</definedName>
    <definedName name="_________SP050" localSheetId="10">#REF!</definedName>
    <definedName name="_________SP050" localSheetId="11">#REF!</definedName>
    <definedName name="_________SP050" localSheetId="28">#REF!</definedName>
    <definedName name="_________SP050">#REF!</definedName>
    <definedName name="_________SP051" localSheetId="8">#REF!</definedName>
    <definedName name="_________SP051" localSheetId="10">#REF!</definedName>
    <definedName name="_________SP051" localSheetId="11">#REF!</definedName>
    <definedName name="_________SP051" localSheetId="28">#REF!</definedName>
    <definedName name="_________SP051">#REF!</definedName>
    <definedName name="_________SP052" localSheetId="8">#REF!</definedName>
    <definedName name="_________SP052" localSheetId="10">#REF!</definedName>
    <definedName name="_________SP052" localSheetId="11">#REF!</definedName>
    <definedName name="_________SP052" localSheetId="28">#REF!</definedName>
    <definedName name="_________SP052">#REF!</definedName>
    <definedName name="_________SP053" localSheetId="8">#REF!</definedName>
    <definedName name="_________SP053" localSheetId="10">#REF!</definedName>
    <definedName name="_________SP053" localSheetId="11">#REF!</definedName>
    <definedName name="_________SP053" localSheetId="28">#REF!</definedName>
    <definedName name="_________SP053">#REF!</definedName>
    <definedName name="_________SP054" localSheetId="8">#REF!</definedName>
    <definedName name="_________SP054" localSheetId="10">#REF!</definedName>
    <definedName name="_________SP054" localSheetId="11">#REF!</definedName>
    <definedName name="_________SP054" localSheetId="28">#REF!</definedName>
    <definedName name="_________SP054">#REF!</definedName>
    <definedName name="_________SP055" localSheetId="8">#REF!</definedName>
    <definedName name="_________SP055" localSheetId="10">#REF!</definedName>
    <definedName name="_________SP055" localSheetId="11">#REF!</definedName>
    <definedName name="_________SP055" localSheetId="28">#REF!</definedName>
    <definedName name="_________SP055">#REF!</definedName>
    <definedName name="_________SP056" localSheetId="8">#REF!</definedName>
    <definedName name="_________SP056" localSheetId="10">#REF!</definedName>
    <definedName name="_________SP056" localSheetId="11">#REF!</definedName>
    <definedName name="_________SP056" localSheetId="28">#REF!</definedName>
    <definedName name="_________SP056">#REF!</definedName>
    <definedName name="_________SP057" localSheetId="8">#REF!</definedName>
    <definedName name="_________SP057" localSheetId="10">#REF!</definedName>
    <definedName name="_________SP057" localSheetId="11">#REF!</definedName>
    <definedName name="_________SP057" localSheetId="28">#REF!</definedName>
    <definedName name="_________SP057">#REF!</definedName>
    <definedName name="_________SP058" localSheetId="8">#REF!</definedName>
    <definedName name="_________SP058" localSheetId="10">#REF!</definedName>
    <definedName name="_________SP058" localSheetId="11">#REF!</definedName>
    <definedName name="_________SP058" localSheetId="28">#REF!</definedName>
    <definedName name="_________SP058">#REF!</definedName>
    <definedName name="_________SP059" localSheetId="8">#REF!</definedName>
    <definedName name="_________SP059" localSheetId="10">#REF!</definedName>
    <definedName name="_________SP059" localSheetId="11">#REF!</definedName>
    <definedName name="_________SP059" localSheetId="28">#REF!</definedName>
    <definedName name="_________SP059">#REF!</definedName>
    <definedName name="_________SP060" localSheetId="8">#REF!</definedName>
    <definedName name="_________SP060" localSheetId="10">#REF!</definedName>
    <definedName name="_________SP060" localSheetId="11">#REF!</definedName>
    <definedName name="_________SP060" localSheetId="28">#REF!</definedName>
    <definedName name="_________SP060">#REF!</definedName>
    <definedName name="_________SP061" localSheetId="8">#REF!</definedName>
    <definedName name="_________SP061" localSheetId="10">#REF!</definedName>
    <definedName name="_________SP061" localSheetId="11">#REF!</definedName>
    <definedName name="_________SP061" localSheetId="28">#REF!</definedName>
    <definedName name="_________SP061">#REF!</definedName>
    <definedName name="_________SP062" localSheetId="8">#REF!</definedName>
    <definedName name="_________SP062" localSheetId="10">#REF!</definedName>
    <definedName name="_________SP062" localSheetId="11">#REF!</definedName>
    <definedName name="_________SP062" localSheetId="28">#REF!</definedName>
    <definedName name="_________SP062">#REF!</definedName>
    <definedName name="_________SP063" localSheetId="8">#REF!</definedName>
    <definedName name="_________SP063" localSheetId="10">#REF!</definedName>
    <definedName name="_________SP063" localSheetId="11">#REF!</definedName>
    <definedName name="_________SP063" localSheetId="28">#REF!</definedName>
    <definedName name="_________SP063">#REF!</definedName>
    <definedName name="_________SP064" localSheetId="8">#REF!</definedName>
    <definedName name="_________SP064" localSheetId="10">#REF!</definedName>
    <definedName name="_________SP064" localSheetId="11">#REF!</definedName>
    <definedName name="_________SP064" localSheetId="28">#REF!</definedName>
    <definedName name="_________SP064">#REF!</definedName>
    <definedName name="_________SP065" localSheetId="8">#REF!</definedName>
    <definedName name="_________SP065" localSheetId="10">#REF!</definedName>
    <definedName name="_________SP065" localSheetId="11">#REF!</definedName>
    <definedName name="_________SP065" localSheetId="28">#REF!</definedName>
    <definedName name="_________SP065">#REF!</definedName>
    <definedName name="_________SP066" localSheetId="8">#REF!</definedName>
    <definedName name="_________SP066" localSheetId="10">#REF!</definedName>
    <definedName name="_________SP066" localSheetId="11">#REF!</definedName>
    <definedName name="_________SP066" localSheetId="28">#REF!</definedName>
    <definedName name="_________SP066">#REF!</definedName>
    <definedName name="_________SP067" localSheetId="8">#REF!</definedName>
    <definedName name="_________SP067" localSheetId="10">#REF!</definedName>
    <definedName name="_________SP067" localSheetId="11">#REF!</definedName>
    <definedName name="_________SP067" localSheetId="28">#REF!</definedName>
    <definedName name="_________SP067">#REF!</definedName>
    <definedName name="_________SP068" localSheetId="8">#REF!</definedName>
    <definedName name="_________SP068" localSheetId="10">#REF!</definedName>
    <definedName name="_________SP068" localSheetId="11">#REF!</definedName>
    <definedName name="_________SP068" localSheetId="28">#REF!</definedName>
    <definedName name="_________SP068">#REF!</definedName>
    <definedName name="_________SP069" localSheetId="8">#REF!</definedName>
    <definedName name="_________SP069" localSheetId="10">#REF!</definedName>
    <definedName name="_________SP069" localSheetId="11">#REF!</definedName>
    <definedName name="_________SP069" localSheetId="28">#REF!</definedName>
    <definedName name="_________SP069">#REF!</definedName>
    <definedName name="_________SP070" localSheetId="8">#REF!</definedName>
    <definedName name="_________SP070" localSheetId="10">#REF!</definedName>
    <definedName name="_________SP070" localSheetId="11">#REF!</definedName>
    <definedName name="_________SP070" localSheetId="28">#REF!</definedName>
    <definedName name="_________SP070">#REF!</definedName>
    <definedName name="_________sp071" localSheetId="8">#REF!</definedName>
    <definedName name="_________sp071" localSheetId="10">#REF!</definedName>
    <definedName name="_________sp071" localSheetId="11">#REF!</definedName>
    <definedName name="_________sp071" localSheetId="28">#REF!</definedName>
    <definedName name="_________sp071">#REF!</definedName>
    <definedName name="_________SP072" localSheetId="8">#REF!</definedName>
    <definedName name="_________SP072" localSheetId="10">#REF!</definedName>
    <definedName name="_________SP072" localSheetId="11">#REF!</definedName>
    <definedName name="_________SP072" localSheetId="28">#REF!</definedName>
    <definedName name="_________SP072">#REF!</definedName>
    <definedName name="_________SP073" localSheetId="8">#REF!</definedName>
    <definedName name="_________SP073" localSheetId="10">#REF!</definedName>
    <definedName name="_________SP073" localSheetId="11">#REF!</definedName>
    <definedName name="_________SP073" localSheetId="28">#REF!</definedName>
    <definedName name="_________SP073">#REF!</definedName>
    <definedName name="_________SP074" localSheetId="8">#REF!</definedName>
    <definedName name="_________SP074" localSheetId="10">#REF!</definedName>
    <definedName name="_________SP074" localSheetId="11">#REF!</definedName>
    <definedName name="_________SP074" localSheetId="28">#REF!</definedName>
    <definedName name="_________SP074">#REF!</definedName>
    <definedName name="_________SP075" localSheetId="8">#REF!</definedName>
    <definedName name="_________SP075" localSheetId="10">#REF!</definedName>
    <definedName name="_________SP075" localSheetId="11">#REF!</definedName>
    <definedName name="_________SP075" localSheetId="28">#REF!</definedName>
    <definedName name="_________SP075">#REF!</definedName>
    <definedName name="_________SP076" localSheetId="8">#REF!</definedName>
    <definedName name="_________SP076" localSheetId="10">#REF!</definedName>
    <definedName name="_________SP076" localSheetId="11">#REF!</definedName>
    <definedName name="_________SP076" localSheetId="28">#REF!</definedName>
    <definedName name="_________SP076">#REF!</definedName>
    <definedName name="_________SP077" localSheetId="8">#REF!</definedName>
    <definedName name="_________SP077" localSheetId="10">#REF!</definedName>
    <definedName name="_________SP077" localSheetId="11">#REF!</definedName>
    <definedName name="_________SP077" localSheetId="28">#REF!</definedName>
    <definedName name="_________SP077">#REF!</definedName>
    <definedName name="_________sp078" localSheetId="8">#REF!</definedName>
    <definedName name="_________sp078" localSheetId="10">#REF!</definedName>
    <definedName name="_________sp078" localSheetId="11">#REF!</definedName>
    <definedName name="_________sp078" localSheetId="28">#REF!</definedName>
    <definedName name="_________sp078">#REF!</definedName>
    <definedName name="_________SPO79" localSheetId="8">#REF!</definedName>
    <definedName name="_________SPO79" localSheetId="10">#REF!</definedName>
    <definedName name="_________SPO79" localSheetId="11">#REF!</definedName>
    <definedName name="_________SPO79" localSheetId="28">#REF!</definedName>
    <definedName name="_________SPO79">#REF!</definedName>
    <definedName name="_________ss12">[31]rdamdata!$J$8</definedName>
    <definedName name="_________ss20">[31]rdamdata!$J$7</definedName>
    <definedName name="_________ss40">[31]rdamdata!$J$6</definedName>
    <definedName name="_________sw1" localSheetId="28">#REF!</definedName>
    <definedName name="_________t1">#REF!</definedName>
    <definedName name="_________t2">#REF!</definedName>
    <definedName name="_________tab1">#REF!</definedName>
    <definedName name="_________us1">#REF!</definedName>
    <definedName name="_________var1" localSheetId="33">#REF!</definedName>
    <definedName name="_________var1" localSheetId="34">#REF!</definedName>
    <definedName name="_________var1" localSheetId="35">#REF!</definedName>
    <definedName name="_________var1" localSheetId="5">#REF!</definedName>
    <definedName name="_________var1" localSheetId="8">#REF!</definedName>
    <definedName name="_________var1" localSheetId="10">#REF!</definedName>
    <definedName name="_________var1" localSheetId="11">#REF!</definedName>
    <definedName name="_________var1" localSheetId="28">#REF!</definedName>
    <definedName name="_________var1" localSheetId="42">#REF!</definedName>
    <definedName name="_________var1" localSheetId="31">#REF!</definedName>
    <definedName name="_________var1">#REF!</definedName>
    <definedName name="_________var4" localSheetId="33">#REF!</definedName>
    <definedName name="_________var4" localSheetId="34">#REF!</definedName>
    <definedName name="_________var4" localSheetId="35">#REF!</definedName>
    <definedName name="_________var4" localSheetId="5">#REF!</definedName>
    <definedName name="_________var4" localSheetId="8">#REF!</definedName>
    <definedName name="_________var4" localSheetId="10">#REF!</definedName>
    <definedName name="_________var4" localSheetId="11">#REF!</definedName>
    <definedName name="_________var4" localSheetId="28">#REF!</definedName>
    <definedName name="_________var4" localSheetId="42">#REF!</definedName>
    <definedName name="_________var4" localSheetId="31">#REF!</definedName>
    <definedName name="_________var4">#REF!</definedName>
    <definedName name="_________vat1">#REF!</definedName>
    <definedName name="_________vat2">#REF!</definedName>
    <definedName name="_________xlfn_BAHTTEXT">#N/A</definedName>
    <definedName name="________abs1" localSheetId="5">#REF!</definedName>
    <definedName name="________abs1" localSheetId="8">#REF!</definedName>
    <definedName name="________abs1" localSheetId="10">#REF!</definedName>
    <definedName name="________abs1" localSheetId="28">#REF!</definedName>
    <definedName name="________abs1">#REF!</definedName>
    <definedName name="________AUX1">#REF!</definedName>
    <definedName name="________aux2" localSheetId="28">#REF!</definedName>
    <definedName name="________AUX3">#REF!</definedName>
    <definedName name="________bla1" localSheetId="37">[41]leads!$H$7</definedName>
    <definedName name="________bla1">[8]leads!$H$7</definedName>
    <definedName name="________BSG100" localSheetId="8">#REF!</definedName>
    <definedName name="________BSG100" localSheetId="10">#REF!</definedName>
    <definedName name="________BSG100" localSheetId="28">#REF!</definedName>
    <definedName name="________BSG100">#REF!</definedName>
    <definedName name="________BSG150" localSheetId="8">#REF!</definedName>
    <definedName name="________BSG150" localSheetId="10">#REF!</definedName>
    <definedName name="________BSG150" localSheetId="28">#REF!</definedName>
    <definedName name="________BSG150">#REF!</definedName>
    <definedName name="________BSG5" localSheetId="8">#REF!</definedName>
    <definedName name="________BSG5" localSheetId="10">#REF!</definedName>
    <definedName name="________BSG5" localSheetId="28">#REF!</definedName>
    <definedName name="________BSG5">#REF!</definedName>
    <definedName name="________BSG75" localSheetId="8">#REF!</definedName>
    <definedName name="________BSG75" localSheetId="10">#REF!</definedName>
    <definedName name="________BSG75" localSheetId="28">#REF!</definedName>
    <definedName name="________BSG75">#REF!</definedName>
    <definedName name="________BTC1" localSheetId="8">#REF!</definedName>
    <definedName name="________BTC1" localSheetId="10">#REF!</definedName>
    <definedName name="________BTC1" localSheetId="28">#REF!</definedName>
    <definedName name="________BTC1">#REF!</definedName>
    <definedName name="________BTC10" localSheetId="8">#REF!</definedName>
    <definedName name="________BTC10" localSheetId="10">#REF!</definedName>
    <definedName name="________BTC10" localSheetId="28">#REF!</definedName>
    <definedName name="________BTC10">#REF!</definedName>
    <definedName name="________BTC11" localSheetId="8">#REF!</definedName>
    <definedName name="________BTC11" localSheetId="10">#REF!</definedName>
    <definedName name="________BTC11" localSheetId="28">#REF!</definedName>
    <definedName name="________BTC11">#REF!</definedName>
    <definedName name="________BTC12" localSheetId="8">#REF!</definedName>
    <definedName name="________BTC12" localSheetId="10">#REF!</definedName>
    <definedName name="________BTC12" localSheetId="28">#REF!</definedName>
    <definedName name="________BTC12">#REF!</definedName>
    <definedName name="________BTC13" localSheetId="8">#REF!</definedName>
    <definedName name="________BTC13" localSheetId="10">#REF!</definedName>
    <definedName name="________BTC13" localSheetId="28">#REF!</definedName>
    <definedName name="________BTC13">#REF!</definedName>
    <definedName name="________BTC14" localSheetId="8">#REF!</definedName>
    <definedName name="________BTC14" localSheetId="10">#REF!</definedName>
    <definedName name="________BTC14" localSheetId="28">#REF!</definedName>
    <definedName name="________BTC14">#REF!</definedName>
    <definedName name="________BTC15" localSheetId="8">#REF!</definedName>
    <definedName name="________BTC15" localSheetId="10">#REF!</definedName>
    <definedName name="________BTC15" localSheetId="28">#REF!</definedName>
    <definedName name="________BTC15">#REF!</definedName>
    <definedName name="________BTC2" localSheetId="8">#REF!</definedName>
    <definedName name="________BTC2" localSheetId="10">#REF!</definedName>
    <definedName name="________BTC2" localSheetId="28">#REF!</definedName>
    <definedName name="________BTC2">#REF!</definedName>
    <definedName name="________BTC3" localSheetId="8">#REF!</definedName>
    <definedName name="________BTC3" localSheetId="10">#REF!</definedName>
    <definedName name="________BTC3" localSheetId="28">#REF!</definedName>
    <definedName name="________BTC3">#REF!</definedName>
    <definedName name="________BTC4" localSheetId="8">#REF!</definedName>
    <definedName name="________BTC4" localSheetId="10">#REF!</definedName>
    <definedName name="________BTC4" localSheetId="28">#REF!</definedName>
    <definedName name="________BTC4">#REF!</definedName>
    <definedName name="________BTC5" localSheetId="8">#REF!</definedName>
    <definedName name="________BTC5" localSheetId="10">#REF!</definedName>
    <definedName name="________BTC5" localSheetId="28">#REF!</definedName>
    <definedName name="________BTC5">#REF!</definedName>
    <definedName name="________BTC6" localSheetId="8">#REF!</definedName>
    <definedName name="________BTC6" localSheetId="10">#REF!</definedName>
    <definedName name="________BTC6" localSheetId="28">#REF!</definedName>
    <definedName name="________BTC6">#REF!</definedName>
    <definedName name="________BTC7" localSheetId="8">#REF!</definedName>
    <definedName name="________BTC7" localSheetId="10">#REF!</definedName>
    <definedName name="________BTC7" localSheetId="28">#REF!</definedName>
    <definedName name="________BTC7">#REF!</definedName>
    <definedName name="________BTC8" localSheetId="8">#REF!</definedName>
    <definedName name="________BTC8" localSheetId="10">#REF!</definedName>
    <definedName name="________BTC8" localSheetId="28">#REF!</definedName>
    <definedName name="________BTC8">#REF!</definedName>
    <definedName name="________BTC9" localSheetId="8">#REF!</definedName>
    <definedName name="________BTC9" localSheetId="10">#REF!</definedName>
    <definedName name="________BTC9" localSheetId="28">#REF!</definedName>
    <definedName name="________BTC9">#REF!</definedName>
    <definedName name="________BTS1" localSheetId="8">#REF!</definedName>
    <definedName name="________BTS1" localSheetId="10">#REF!</definedName>
    <definedName name="________BTS1" localSheetId="28">#REF!</definedName>
    <definedName name="________BTS1">#REF!</definedName>
    <definedName name="________BTS10" localSheetId="8">#REF!</definedName>
    <definedName name="________BTS10" localSheetId="10">#REF!</definedName>
    <definedName name="________BTS10" localSheetId="28">#REF!</definedName>
    <definedName name="________BTS10">#REF!</definedName>
    <definedName name="________BTS11" localSheetId="8">#REF!</definedName>
    <definedName name="________BTS11" localSheetId="10">#REF!</definedName>
    <definedName name="________BTS11" localSheetId="28">#REF!</definedName>
    <definedName name="________BTS11">#REF!</definedName>
    <definedName name="________BTS12" localSheetId="8">#REF!</definedName>
    <definedName name="________BTS12" localSheetId="10">#REF!</definedName>
    <definedName name="________BTS12" localSheetId="28">#REF!</definedName>
    <definedName name="________BTS12">#REF!</definedName>
    <definedName name="________BTS13" localSheetId="8">#REF!</definedName>
    <definedName name="________BTS13" localSheetId="10">#REF!</definedName>
    <definedName name="________BTS13" localSheetId="28">#REF!</definedName>
    <definedName name="________BTS13">#REF!</definedName>
    <definedName name="________BTS14" localSheetId="8">#REF!</definedName>
    <definedName name="________BTS14" localSheetId="10">#REF!</definedName>
    <definedName name="________BTS14" localSheetId="28">#REF!</definedName>
    <definedName name="________BTS14">#REF!</definedName>
    <definedName name="________BTS15" localSheetId="8">#REF!</definedName>
    <definedName name="________BTS15" localSheetId="10">#REF!</definedName>
    <definedName name="________BTS15" localSheetId="28">#REF!</definedName>
    <definedName name="________BTS15">#REF!</definedName>
    <definedName name="________BTS2" localSheetId="8">#REF!</definedName>
    <definedName name="________BTS2" localSheetId="10">#REF!</definedName>
    <definedName name="________BTS2" localSheetId="28">#REF!</definedName>
    <definedName name="________BTS2">#REF!</definedName>
    <definedName name="________BTS3" localSheetId="8">#REF!</definedName>
    <definedName name="________BTS3" localSheetId="10">#REF!</definedName>
    <definedName name="________BTS3" localSheetId="28">#REF!</definedName>
    <definedName name="________BTS3">#REF!</definedName>
    <definedName name="________BTS4" localSheetId="8">#REF!</definedName>
    <definedName name="________BTS4" localSheetId="10">#REF!</definedName>
    <definedName name="________BTS4" localSheetId="28">#REF!</definedName>
    <definedName name="________BTS4">#REF!</definedName>
    <definedName name="________BTS5" localSheetId="8">#REF!</definedName>
    <definedName name="________BTS5" localSheetId="10">#REF!</definedName>
    <definedName name="________BTS5" localSheetId="28">#REF!</definedName>
    <definedName name="________BTS5">#REF!</definedName>
    <definedName name="________BTS6" localSheetId="8">#REF!</definedName>
    <definedName name="________BTS6" localSheetId="10">#REF!</definedName>
    <definedName name="________BTS6" localSheetId="28">#REF!</definedName>
    <definedName name="________BTS6">#REF!</definedName>
    <definedName name="________BTS7" localSheetId="8">#REF!</definedName>
    <definedName name="________BTS7" localSheetId="10">#REF!</definedName>
    <definedName name="________BTS7" localSheetId="28">#REF!</definedName>
    <definedName name="________BTS7">#REF!</definedName>
    <definedName name="________BTS8" localSheetId="8">#REF!</definedName>
    <definedName name="________BTS8" localSheetId="10">#REF!</definedName>
    <definedName name="________BTS8" localSheetId="28">#REF!</definedName>
    <definedName name="________BTS8">#REF!</definedName>
    <definedName name="________BTS9" localSheetId="8">#REF!</definedName>
    <definedName name="________BTS9" localSheetId="10">#REF!</definedName>
    <definedName name="________BTS9" localSheetId="28">#REF!</definedName>
    <definedName name="________BTS9">#REF!</definedName>
    <definedName name="________can430">40.73</definedName>
    <definedName name="________can435">43.3</definedName>
    <definedName name="________cbr1">#REF!</definedName>
    <definedName name="________cbr2">#REF!</definedName>
    <definedName name="________cbr3">#REF!</definedName>
    <definedName name="________cbr4">#REF!</definedName>
    <definedName name="________cur1">[6]r!$F$30</definedName>
    <definedName name="________er1">#REF!</definedName>
    <definedName name="________ewe1" localSheetId="28">#REF!</definedName>
    <definedName name="________f1">#REF!</definedName>
    <definedName name="________GBS11" localSheetId="8">#REF!</definedName>
    <definedName name="________GBS11" localSheetId="10">#REF!</definedName>
    <definedName name="________GBS11" localSheetId="28">#REF!</definedName>
    <definedName name="________GBS11">#REF!</definedName>
    <definedName name="________GBS110" localSheetId="8">#REF!</definedName>
    <definedName name="________GBS110" localSheetId="10">#REF!</definedName>
    <definedName name="________GBS110" localSheetId="28">#REF!</definedName>
    <definedName name="________GBS110">#REF!</definedName>
    <definedName name="________GBS111" localSheetId="8">#REF!</definedName>
    <definedName name="________GBS111" localSheetId="10">#REF!</definedName>
    <definedName name="________GBS111" localSheetId="28">#REF!</definedName>
    <definedName name="________GBS111">#REF!</definedName>
    <definedName name="________GBS112" localSheetId="8">#REF!</definedName>
    <definedName name="________GBS112" localSheetId="10">#REF!</definedName>
    <definedName name="________GBS112" localSheetId="28">#REF!</definedName>
    <definedName name="________GBS112">#REF!</definedName>
    <definedName name="________GBS113" localSheetId="8">#REF!</definedName>
    <definedName name="________GBS113" localSheetId="10">#REF!</definedName>
    <definedName name="________GBS113" localSheetId="28">#REF!</definedName>
    <definedName name="________GBS113">#REF!</definedName>
    <definedName name="________GBS114" localSheetId="8">#REF!</definedName>
    <definedName name="________GBS114" localSheetId="10">#REF!</definedName>
    <definedName name="________GBS114" localSheetId="28">#REF!</definedName>
    <definedName name="________GBS114">#REF!</definedName>
    <definedName name="________GBS115" localSheetId="8">#REF!</definedName>
    <definedName name="________GBS115" localSheetId="10">#REF!</definedName>
    <definedName name="________GBS115" localSheetId="28">#REF!</definedName>
    <definedName name="________GBS115">#REF!</definedName>
    <definedName name="________GBS12" localSheetId="8">#REF!</definedName>
    <definedName name="________GBS12" localSheetId="10">#REF!</definedName>
    <definedName name="________GBS12" localSheetId="28">#REF!</definedName>
    <definedName name="________GBS12">#REF!</definedName>
    <definedName name="________GBS13" localSheetId="8">#REF!</definedName>
    <definedName name="________GBS13" localSheetId="10">#REF!</definedName>
    <definedName name="________GBS13" localSheetId="28">#REF!</definedName>
    <definedName name="________GBS13">#REF!</definedName>
    <definedName name="________GBS14" localSheetId="8">#REF!</definedName>
    <definedName name="________GBS14" localSheetId="10">#REF!</definedName>
    <definedName name="________GBS14" localSheetId="28">#REF!</definedName>
    <definedName name="________GBS14">#REF!</definedName>
    <definedName name="________GBS15" localSheetId="8">#REF!</definedName>
    <definedName name="________GBS15" localSheetId="10">#REF!</definedName>
    <definedName name="________GBS15" localSheetId="28">#REF!</definedName>
    <definedName name="________GBS15">#REF!</definedName>
    <definedName name="________GBS16" localSheetId="8">#REF!</definedName>
    <definedName name="________GBS16" localSheetId="10">#REF!</definedName>
    <definedName name="________GBS16" localSheetId="28">#REF!</definedName>
    <definedName name="________GBS16">#REF!</definedName>
    <definedName name="________GBS17" localSheetId="8">#REF!</definedName>
    <definedName name="________GBS17" localSheetId="10">#REF!</definedName>
    <definedName name="________GBS17" localSheetId="28">#REF!</definedName>
    <definedName name="________GBS17">#REF!</definedName>
    <definedName name="________GBS18" localSheetId="8">#REF!</definedName>
    <definedName name="________GBS18" localSheetId="10">#REF!</definedName>
    <definedName name="________GBS18" localSheetId="28">#REF!</definedName>
    <definedName name="________GBS18">#REF!</definedName>
    <definedName name="________GBS19" localSheetId="8">#REF!</definedName>
    <definedName name="________GBS19" localSheetId="10">#REF!</definedName>
    <definedName name="________GBS19" localSheetId="28">#REF!</definedName>
    <definedName name="________GBS19">#REF!</definedName>
    <definedName name="________GBS21" localSheetId="8">#REF!</definedName>
    <definedName name="________GBS21" localSheetId="10">#REF!</definedName>
    <definedName name="________GBS21" localSheetId="28">#REF!</definedName>
    <definedName name="________GBS21">#REF!</definedName>
    <definedName name="________GBS210" localSheetId="8">#REF!</definedName>
    <definedName name="________GBS210" localSheetId="10">#REF!</definedName>
    <definedName name="________GBS210" localSheetId="28">#REF!</definedName>
    <definedName name="________GBS210">#REF!</definedName>
    <definedName name="________GBS211" localSheetId="8">#REF!</definedName>
    <definedName name="________GBS211" localSheetId="10">#REF!</definedName>
    <definedName name="________GBS211" localSheetId="28">#REF!</definedName>
    <definedName name="________GBS211">#REF!</definedName>
    <definedName name="________GBS212" localSheetId="8">#REF!</definedName>
    <definedName name="________GBS212" localSheetId="10">#REF!</definedName>
    <definedName name="________GBS212" localSheetId="28">#REF!</definedName>
    <definedName name="________GBS212">#REF!</definedName>
    <definedName name="________GBS213" localSheetId="8">#REF!</definedName>
    <definedName name="________GBS213" localSheetId="10">#REF!</definedName>
    <definedName name="________GBS213" localSheetId="28">#REF!</definedName>
    <definedName name="________GBS213">#REF!</definedName>
    <definedName name="________GBS214" localSheetId="8">#REF!</definedName>
    <definedName name="________GBS214" localSheetId="10">#REF!</definedName>
    <definedName name="________GBS214" localSheetId="28">#REF!</definedName>
    <definedName name="________GBS214">#REF!</definedName>
    <definedName name="________GBS215" localSheetId="8">#REF!</definedName>
    <definedName name="________GBS215" localSheetId="10">#REF!</definedName>
    <definedName name="________GBS215" localSheetId="28">#REF!</definedName>
    <definedName name="________GBS215">#REF!</definedName>
    <definedName name="________GBS22" localSheetId="8">#REF!</definedName>
    <definedName name="________GBS22" localSheetId="10">#REF!</definedName>
    <definedName name="________GBS22" localSheetId="28">#REF!</definedName>
    <definedName name="________GBS22">#REF!</definedName>
    <definedName name="________GBS23" localSheetId="8">#REF!</definedName>
    <definedName name="________GBS23" localSheetId="10">#REF!</definedName>
    <definedName name="________GBS23" localSheetId="28">#REF!</definedName>
    <definedName name="________GBS23">#REF!</definedName>
    <definedName name="________GBS24" localSheetId="8">#REF!</definedName>
    <definedName name="________GBS24" localSheetId="10">#REF!</definedName>
    <definedName name="________GBS24" localSheetId="28">#REF!</definedName>
    <definedName name="________GBS24">#REF!</definedName>
    <definedName name="________GBS25" localSheetId="8">#REF!</definedName>
    <definedName name="________GBS25" localSheetId="10">#REF!</definedName>
    <definedName name="________GBS25" localSheetId="28">#REF!</definedName>
    <definedName name="________GBS25">#REF!</definedName>
    <definedName name="________GBS26" localSheetId="8">#REF!</definedName>
    <definedName name="________GBS26" localSheetId="10">#REF!</definedName>
    <definedName name="________GBS26" localSheetId="28">#REF!</definedName>
    <definedName name="________GBS26">#REF!</definedName>
    <definedName name="________GBS27" localSheetId="8">#REF!</definedName>
    <definedName name="________GBS27" localSheetId="10">#REF!</definedName>
    <definedName name="________GBS27" localSheetId="28">#REF!</definedName>
    <definedName name="________GBS27">#REF!</definedName>
    <definedName name="________GBS28" localSheetId="8">#REF!</definedName>
    <definedName name="________GBS28" localSheetId="10">#REF!</definedName>
    <definedName name="________GBS28" localSheetId="28">#REF!</definedName>
    <definedName name="________GBS28">#REF!</definedName>
    <definedName name="________GBS29" localSheetId="8">#REF!</definedName>
    <definedName name="________GBS29" localSheetId="10">#REF!</definedName>
    <definedName name="________GBS29" localSheetId="28">#REF!</definedName>
    <definedName name="________GBS29">#REF!</definedName>
    <definedName name="________gus1">#REF!</definedName>
    <definedName name="________hpm1">#REF!</definedName>
    <definedName name="________knr2" localSheetId="5">#REF!</definedName>
    <definedName name="________knr2" localSheetId="14">#REF!</definedName>
    <definedName name="________knr2" localSheetId="8">#REF!</definedName>
    <definedName name="________knr2" localSheetId="10">#REF!</definedName>
    <definedName name="________knr2" localSheetId="28">#REF!</definedName>
    <definedName name="________knr2">#REF!</definedName>
    <definedName name="________l1" localSheetId="37">[42]leads!$A$3:$E$108</definedName>
    <definedName name="________l1">[9]leads!$A$3:$E$108</definedName>
    <definedName name="________l12" localSheetId="33">#REF!</definedName>
    <definedName name="________l12" localSheetId="34">#REF!</definedName>
    <definedName name="________l12" localSheetId="35">#REF!</definedName>
    <definedName name="________l12" localSheetId="5">#REF!</definedName>
    <definedName name="________l12" localSheetId="8">#REF!</definedName>
    <definedName name="________l12" localSheetId="10">#REF!</definedName>
    <definedName name="________l12" localSheetId="11">#REF!</definedName>
    <definedName name="________l12" localSheetId="28">#REF!</definedName>
    <definedName name="________l12" localSheetId="42">#REF!</definedName>
    <definedName name="________l12" localSheetId="31">#REF!</definedName>
    <definedName name="________l12">#REF!</definedName>
    <definedName name="________l2">[6]r!$F$29</definedName>
    <definedName name="________l3" localSheetId="33">#REF!</definedName>
    <definedName name="________l3" localSheetId="34">#REF!</definedName>
    <definedName name="________l3" localSheetId="35">#REF!</definedName>
    <definedName name="________l3" localSheetId="5">#REF!</definedName>
    <definedName name="________l3" localSheetId="8">#REF!</definedName>
    <definedName name="________l3" localSheetId="10">#REF!</definedName>
    <definedName name="________l3" localSheetId="11">#REF!</definedName>
    <definedName name="________l3" localSheetId="28">#REF!</definedName>
    <definedName name="________l3" localSheetId="42">#REF!</definedName>
    <definedName name="________l3" localSheetId="31">#REF!</definedName>
    <definedName name="________l3">#REF!</definedName>
    <definedName name="________l4" localSheetId="37">[43]Sheet1!$W$2:$Y$103</definedName>
    <definedName name="________l4">[10]Sheet1!$W$2:$Y$103</definedName>
    <definedName name="________l5" localSheetId="33">#REF!</definedName>
    <definedName name="________l5" localSheetId="34">#REF!</definedName>
    <definedName name="________l5" localSheetId="35">#REF!</definedName>
    <definedName name="________l5" localSheetId="5">#REF!</definedName>
    <definedName name="________l5" localSheetId="8">#REF!</definedName>
    <definedName name="________l5" localSheetId="10">#REF!</definedName>
    <definedName name="________l5" localSheetId="11">#REF!</definedName>
    <definedName name="________l5" localSheetId="28">#REF!</definedName>
    <definedName name="________l5" localSheetId="42">#REF!</definedName>
    <definedName name="________l5" localSheetId="31">#REF!</definedName>
    <definedName name="________l5">#REF!</definedName>
    <definedName name="________l6">[6]r!$F$4</definedName>
    <definedName name="________l7">[7]r!$F$4</definedName>
    <definedName name="________l8">[6]r!$F$2</definedName>
    <definedName name="________l9">[6]r!$F$3</definedName>
    <definedName name="________lcn1">#REF!</definedName>
    <definedName name="________LI9" localSheetId="8">#REF!</definedName>
    <definedName name="________LI9" localSheetId="10">#REF!</definedName>
    <definedName name="________LI9" localSheetId="28">#REF!</definedName>
    <definedName name="________LI9">#REF!</definedName>
    <definedName name="________LII9" localSheetId="8">#REF!</definedName>
    <definedName name="________LII9" localSheetId="10">#REF!</definedName>
    <definedName name="________LII9" localSheetId="28">#REF!</definedName>
    <definedName name="________LII9">#REF!</definedName>
    <definedName name="________lm1" localSheetId="28">#REF!</definedName>
    <definedName name="________MIX124">[36]maya!$A$11:$A$18</definedName>
    <definedName name="________ML11" localSheetId="8">#REF!</definedName>
    <definedName name="________ML11" localSheetId="10">#REF!</definedName>
    <definedName name="________ML11" localSheetId="28">#REF!</definedName>
    <definedName name="________ML11">#REF!</definedName>
    <definedName name="________ML110" localSheetId="8">#REF!</definedName>
    <definedName name="________ML110" localSheetId="10">#REF!</definedName>
    <definedName name="________ML110" localSheetId="28">#REF!</definedName>
    <definedName name="________ML110">#REF!</definedName>
    <definedName name="________ML111" localSheetId="8">#REF!</definedName>
    <definedName name="________ML111" localSheetId="10">#REF!</definedName>
    <definedName name="________ML111" localSheetId="28">#REF!</definedName>
    <definedName name="________ML111">#REF!</definedName>
    <definedName name="________ML112" localSheetId="8">#REF!</definedName>
    <definedName name="________ML112" localSheetId="10">#REF!</definedName>
    <definedName name="________ML112" localSheetId="28">#REF!</definedName>
    <definedName name="________ML112">#REF!</definedName>
    <definedName name="________ML113" localSheetId="8">#REF!</definedName>
    <definedName name="________ML113" localSheetId="10">#REF!</definedName>
    <definedName name="________ML113" localSheetId="28">#REF!</definedName>
    <definedName name="________ML113">#REF!</definedName>
    <definedName name="________ML114" localSheetId="8">#REF!</definedName>
    <definedName name="________ML114" localSheetId="10">#REF!</definedName>
    <definedName name="________ML114" localSheetId="28">#REF!</definedName>
    <definedName name="________ML114">#REF!</definedName>
    <definedName name="________ML115" localSheetId="8">#REF!</definedName>
    <definedName name="________ML115" localSheetId="10">#REF!</definedName>
    <definedName name="________ML115" localSheetId="28">#REF!</definedName>
    <definedName name="________ML115">#REF!</definedName>
    <definedName name="________ML12" localSheetId="8">#REF!</definedName>
    <definedName name="________ML12" localSheetId="10">#REF!</definedName>
    <definedName name="________ML12" localSheetId="28">#REF!</definedName>
    <definedName name="________ML12">#REF!</definedName>
    <definedName name="________ML13" localSheetId="8">#REF!</definedName>
    <definedName name="________ML13" localSheetId="10">#REF!</definedName>
    <definedName name="________ML13" localSheetId="28">#REF!</definedName>
    <definedName name="________ML13">#REF!</definedName>
    <definedName name="________ML14" localSheetId="8">#REF!</definedName>
    <definedName name="________ML14" localSheetId="10">#REF!</definedName>
    <definedName name="________ML14" localSheetId="28">#REF!</definedName>
    <definedName name="________ML14">#REF!</definedName>
    <definedName name="________ML15" localSheetId="8">#REF!</definedName>
    <definedName name="________ML15" localSheetId="10">#REF!</definedName>
    <definedName name="________ML15" localSheetId="28">#REF!</definedName>
    <definedName name="________ML15">#REF!</definedName>
    <definedName name="________ML16" localSheetId="8">#REF!</definedName>
    <definedName name="________ML16" localSheetId="10">#REF!</definedName>
    <definedName name="________ML16" localSheetId="28">#REF!</definedName>
    <definedName name="________ML16">#REF!</definedName>
    <definedName name="________ML17" localSheetId="8">#REF!</definedName>
    <definedName name="________ML17" localSheetId="10">#REF!</definedName>
    <definedName name="________ML17" localSheetId="28">#REF!</definedName>
    <definedName name="________ML17">#REF!</definedName>
    <definedName name="________ML18" localSheetId="8">#REF!</definedName>
    <definedName name="________ML18" localSheetId="10">#REF!</definedName>
    <definedName name="________ML18" localSheetId="28">#REF!</definedName>
    <definedName name="________ML18">#REF!</definedName>
    <definedName name="________ML19" localSheetId="8">#REF!</definedName>
    <definedName name="________ML19" localSheetId="10">#REF!</definedName>
    <definedName name="________ML19" localSheetId="28">#REF!</definedName>
    <definedName name="________ML19">#REF!</definedName>
    <definedName name="________ML21" localSheetId="8">#REF!</definedName>
    <definedName name="________ML21" localSheetId="10">#REF!</definedName>
    <definedName name="________ML21" localSheetId="28">#REF!</definedName>
    <definedName name="________ML21">#REF!</definedName>
    <definedName name="________ML210" localSheetId="8">#REF!</definedName>
    <definedName name="________ML210" localSheetId="10">#REF!</definedName>
    <definedName name="________ML210" localSheetId="28">#REF!</definedName>
    <definedName name="________ML210">#REF!</definedName>
    <definedName name="________ML211" localSheetId="8">#REF!</definedName>
    <definedName name="________ML211" localSheetId="10">#REF!</definedName>
    <definedName name="________ML211" localSheetId="28">#REF!</definedName>
    <definedName name="________ML211">#REF!</definedName>
    <definedName name="________ML212" localSheetId="8">#REF!</definedName>
    <definedName name="________ML212" localSheetId="10">#REF!</definedName>
    <definedName name="________ML212" localSheetId="28">#REF!</definedName>
    <definedName name="________ML212">#REF!</definedName>
    <definedName name="________ML213" localSheetId="8">#REF!</definedName>
    <definedName name="________ML213" localSheetId="10">#REF!</definedName>
    <definedName name="________ML213" localSheetId="28">#REF!</definedName>
    <definedName name="________ML213">#REF!</definedName>
    <definedName name="________ML214" localSheetId="8">#REF!</definedName>
    <definedName name="________ML214" localSheetId="10">#REF!</definedName>
    <definedName name="________ML214" localSheetId="28">#REF!</definedName>
    <definedName name="________ML214">#REF!</definedName>
    <definedName name="________ML215" localSheetId="8">#REF!</definedName>
    <definedName name="________ML215" localSheetId="10">#REF!</definedName>
    <definedName name="________ML215" localSheetId="28">#REF!</definedName>
    <definedName name="________ML215">#REF!</definedName>
    <definedName name="________ML22" localSheetId="8">#REF!</definedName>
    <definedName name="________ML22" localSheetId="10">#REF!</definedName>
    <definedName name="________ML22" localSheetId="28">#REF!</definedName>
    <definedName name="________ML22">#REF!</definedName>
    <definedName name="________ML23" localSheetId="8">#REF!</definedName>
    <definedName name="________ML23" localSheetId="10">#REF!</definedName>
    <definedName name="________ML23" localSheetId="28">#REF!</definedName>
    <definedName name="________ML23">#REF!</definedName>
    <definedName name="________ML24" localSheetId="8">#REF!</definedName>
    <definedName name="________ML24" localSheetId="10">#REF!</definedName>
    <definedName name="________ML24" localSheetId="28">#REF!</definedName>
    <definedName name="________ML24">#REF!</definedName>
    <definedName name="________ML25" localSheetId="8">#REF!</definedName>
    <definedName name="________ML25" localSheetId="10">#REF!</definedName>
    <definedName name="________ML25" localSheetId="28">#REF!</definedName>
    <definedName name="________ML25">#REF!</definedName>
    <definedName name="________ML26" localSheetId="8">#REF!</definedName>
    <definedName name="________ML26" localSheetId="10">#REF!</definedName>
    <definedName name="________ML26" localSheetId="28">#REF!</definedName>
    <definedName name="________ML26">#REF!</definedName>
    <definedName name="________ML27" localSheetId="8">#REF!</definedName>
    <definedName name="________ML27" localSheetId="10">#REF!</definedName>
    <definedName name="________ML27" localSheetId="28">#REF!</definedName>
    <definedName name="________ML27">#REF!</definedName>
    <definedName name="________ML28" localSheetId="8">#REF!</definedName>
    <definedName name="________ML28" localSheetId="10">#REF!</definedName>
    <definedName name="________ML28" localSheetId="28">#REF!</definedName>
    <definedName name="________ML28">#REF!</definedName>
    <definedName name="________ML29" localSheetId="8">#REF!</definedName>
    <definedName name="________ML29" localSheetId="10">#REF!</definedName>
    <definedName name="________ML29" localSheetId="28">#REF!</definedName>
    <definedName name="________ML29">#REF!</definedName>
    <definedName name="________ML31" localSheetId="8">#REF!</definedName>
    <definedName name="________ML31" localSheetId="10">#REF!</definedName>
    <definedName name="________ML31" localSheetId="28">#REF!</definedName>
    <definedName name="________ML31">#REF!</definedName>
    <definedName name="________ML310" localSheetId="8">#REF!</definedName>
    <definedName name="________ML310" localSheetId="10">#REF!</definedName>
    <definedName name="________ML310" localSheetId="28">#REF!</definedName>
    <definedName name="________ML310">#REF!</definedName>
    <definedName name="________ML311" localSheetId="8">#REF!</definedName>
    <definedName name="________ML311" localSheetId="10">#REF!</definedName>
    <definedName name="________ML311" localSheetId="28">#REF!</definedName>
    <definedName name="________ML311">#REF!</definedName>
    <definedName name="________ML312" localSheetId="8">#REF!</definedName>
    <definedName name="________ML312" localSheetId="10">#REF!</definedName>
    <definedName name="________ML312" localSheetId="28">#REF!</definedName>
    <definedName name="________ML312">#REF!</definedName>
    <definedName name="________ML313" localSheetId="8">#REF!</definedName>
    <definedName name="________ML313" localSheetId="10">#REF!</definedName>
    <definedName name="________ML313" localSheetId="28">#REF!</definedName>
    <definedName name="________ML313">#REF!</definedName>
    <definedName name="________ML314" localSheetId="8">#REF!</definedName>
    <definedName name="________ML314" localSheetId="10">#REF!</definedName>
    <definedName name="________ML314" localSheetId="28">#REF!</definedName>
    <definedName name="________ML314">#REF!</definedName>
    <definedName name="________ML315" localSheetId="8">#REF!</definedName>
    <definedName name="________ML315" localSheetId="10">#REF!</definedName>
    <definedName name="________ML315" localSheetId="28">#REF!</definedName>
    <definedName name="________ML315">#REF!</definedName>
    <definedName name="________ML32" localSheetId="8">#REF!</definedName>
    <definedName name="________ML32" localSheetId="10">#REF!</definedName>
    <definedName name="________ML32" localSheetId="28">#REF!</definedName>
    <definedName name="________ML32">#REF!</definedName>
    <definedName name="________ML33" localSheetId="8">#REF!</definedName>
    <definedName name="________ML33" localSheetId="10">#REF!</definedName>
    <definedName name="________ML33" localSheetId="28">#REF!</definedName>
    <definedName name="________ML33">#REF!</definedName>
    <definedName name="________ML34" localSheetId="8">#REF!</definedName>
    <definedName name="________ML34" localSheetId="10">#REF!</definedName>
    <definedName name="________ML34" localSheetId="28">#REF!</definedName>
    <definedName name="________ML34">#REF!</definedName>
    <definedName name="________ML35" localSheetId="8">#REF!</definedName>
    <definedName name="________ML35" localSheetId="10">#REF!</definedName>
    <definedName name="________ML35" localSheetId="28">#REF!</definedName>
    <definedName name="________ML35">#REF!</definedName>
    <definedName name="________ML36" localSheetId="8">#REF!</definedName>
    <definedName name="________ML36" localSheetId="10">#REF!</definedName>
    <definedName name="________ML36" localSheetId="28">#REF!</definedName>
    <definedName name="________ML36">#REF!</definedName>
    <definedName name="________ML37" localSheetId="8">#REF!</definedName>
    <definedName name="________ML37" localSheetId="10">#REF!</definedName>
    <definedName name="________ML37" localSheetId="28">#REF!</definedName>
    <definedName name="________ML37">#REF!</definedName>
    <definedName name="________ML38" localSheetId="8">#REF!</definedName>
    <definedName name="________ML38" localSheetId="10">#REF!</definedName>
    <definedName name="________ML38" localSheetId="28">#REF!</definedName>
    <definedName name="________ML38">#REF!</definedName>
    <definedName name="________ML39" localSheetId="8">#REF!</definedName>
    <definedName name="________ML39" localSheetId="10">#REF!</definedName>
    <definedName name="________ML39" localSheetId="28">#REF!</definedName>
    <definedName name="________ML39">#REF!</definedName>
    <definedName name="________ML7" localSheetId="8">#REF!</definedName>
    <definedName name="________ML7" localSheetId="10">#REF!</definedName>
    <definedName name="________ML7" localSheetId="28">#REF!</definedName>
    <definedName name="________ML7">#REF!</definedName>
    <definedName name="________ML8" localSheetId="8">#REF!</definedName>
    <definedName name="________ML8" localSheetId="10">#REF!</definedName>
    <definedName name="________ML8" localSheetId="28">#REF!</definedName>
    <definedName name="________ML8">#REF!</definedName>
    <definedName name="________ML9" localSheetId="8">#REF!</definedName>
    <definedName name="________ML9" localSheetId="10">#REF!</definedName>
    <definedName name="________ML9" localSheetId="28">#REF!</definedName>
    <definedName name="________ML9">#REF!</definedName>
    <definedName name="________mm1" localSheetId="37">[44]r!$F$4</definedName>
    <definedName name="________mm1">[11]r!$F$4</definedName>
    <definedName name="________mm11">[6]r!$F$4</definedName>
    <definedName name="________mm111">[7]r!$F$4</definedName>
    <definedName name="________mm20" localSheetId="28">#REF!</definedName>
    <definedName name="________mm40">#REF!</definedName>
    <definedName name="________pc2" localSheetId="33">#REF!</definedName>
    <definedName name="________pc2" localSheetId="34">#REF!</definedName>
    <definedName name="________pc2" localSheetId="35">#REF!</definedName>
    <definedName name="________pc2" localSheetId="5">#REF!</definedName>
    <definedName name="________pc2" localSheetId="8">#REF!</definedName>
    <definedName name="________pc2" localSheetId="10">#REF!</definedName>
    <definedName name="________pc2" localSheetId="11">#REF!</definedName>
    <definedName name="________pc2" localSheetId="28">#REF!</definedName>
    <definedName name="________pc2" localSheetId="42">#REF!</definedName>
    <definedName name="________pc2" localSheetId="31">#REF!</definedName>
    <definedName name="________pc2">#REF!</definedName>
    <definedName name="________PMS2" localSheetId="8">#REF!</definedName>
    <definedName name="________PMS2" localSheetId="10">#REF!</definedName>
    <definedName name="________PMS2" localSheetId="28">#REF!</definedName>
    <definedName name="________PMS2">#REF!</definedName>
    <definedName name="________pv2" localSheetId="33">#REF!</definedName>
    <definedName name="________pv2" localSheetId="34">#REF!</definedName>
    <definedName name="________pv2" localSheetId="35">#REF!</definedName>
    <definedName name="________pv2" localSheetId="5">#REF!</definedName>
    <definedName name="________pv2" localSheetId="8">#REF!</definedName>
    <definedName name="________pv2" localSheetId="10">#REF!</definedName>
    <definedName name="________pv2" localSheetId="11">#REF!</definedName>
    <definedName name="________pv2" localSheetId="28">#REF!</definedName>
    <definedName name="________pv2" localSheetId="42">#REF!</definedName>
    <definedName name="________pv2" localSheetId="31">#REF!</definedName>
    <definedName name="________pv2">#REF!</definedName>
    <definedName name="________rr3" localSheetId="37">[45]v!$A$2:$E$51</definedName>
    <definedName name="________rr3">[12]v!$A$2:$E$51</definedName>
    <definedName name="________rrr1" localSheetId="37">[45]r!$B$1:$I$145</definedName>
    <definedName name="________rrr1">[12]r!$B$1:$I$145</definedName>
    <definedName name="________SO016" localSheetId="8">#REF!</definedName>
    <definedName name="________SO016" localSheetId="10">#REF!</definedName>
    <definedName name="________SO016" localSheetId="11">#REF!</definedName>
    <definedName name="________SO016" localSheetId="28">#REF!</definedName>
    <definedName name="________SO016">#REF!</definedName>
    <definedName name="________SP001" localSheetId="8">#REF!</definedName>
    <definedName name="________SP001" localSheetId="10">#REF!</definedName>
    <definedName name="________SP001" localSheetId="11">#REF!</definedName>
    <definedName name="________SP001" localSheetId="28">#REF!</definedName>
    <definedName name="________SP001">#REF!</definedName>
    <definedName name="________SP002" localSheetId="8">#REF!</definedName>
    <definedName name="________SP002" localSheetId="10">#REF!</definedName>
    <definedName name="________SP002" localSheetId="11">#REF!</definedName>
    <definedName name="________SP002" localSheetId="28">#REF!</definedName>
    <definedName name="________SP002">#REF!</definedName>
    <definedName name="________SP003" localSheetId="8">#REF!</definedName>
    <definedName name="________SP003" localSheetId="10">#REF!</definedName>
    <definedName name="________SP003" localSheetId="11">#REF!</definedName>
    <definedName name="________SP003" localSheetId="28">#REF!</definedName>
    <definedName name="________SP003">#REF!</definedName>
    <definedName name="________SP004" localSheetId="8">#REF!</definedName>
    <definedName name="________SP004" localSheetId="10">#REF!</definedName>
    <definedName name="________SP004" localSheetId="11">#REF!</definedName>
    <definedName name="________SP004" localSheetId="28">#REF!</definedName>
    <definedName name="________SP004">#REF!</definedName>
    <definedName name="________SP005" localSheetId="8">#REF!</definedName>
    <definedName name="________SP005" localSheetId="10">#REF!</definedName>
    <definedName name="________SP005" localSheetId="11">#REF!</definedName>
    <definedName name="________SP005" localSheetId="28">#REF!</definedName>
    <definedName name="________SP005">#REF!</definedName>
    <definedName name="________SP006" localSheetId="8">#REF!</definedName>
    <definedName name="________SP006" localSheetId="10">#REF!</definedName>
    <definedName name="________SP006" localSheetId="11">#REF!</definedName>
    <definedName name="________SP006" localSheetId="28">#REF!</definedName>
    <definedName name="________SP006">#REF!</definedName>
    <definedName name="________SP007" localSheetId="8">#REF!</definedName>
    <definedName name="________SP007" localSheetId="10">#REF!</definedName>
    <definedName name="________SP007" localSheetId="11">#REF!</definedName>
    <definedName name="________SP007" localSheetId="28">#REF!</definedName>
    <definedName name="________SP007">#REF!</definedName>
    <definedName name="________SP008" localSheetId="8">#REF!</definedName>
    <definedName name="________SP008" localSheetId="10">#REF!</definedName>
    <definedName name="________SP008" localSheetId="11">#REF!</definedName>
    <definedName name="________SP008" localSheetId="28">#REF!</definedName>
    <definedName name="________SP008">#REF!</definedName>
    <definedName name="________SP009" localSheetId="8">#REF!</definedName>
    <definedName name="________SP009" localSheetId="10">#REF!</definedName>
    <definedName name="________SP009" localSheetId="11">#REF!</definedName>
    <definedName name="________SP009" localSheetId="28">#REF!</definedName>
    <definedName name="________SP009">#REF!</definedName>
    <definedName name="________SP010" localSheetId="8">#REF!</definedName>
    <definedName name="________SP010" localSheetId="10">#REF!</definedName>
    <definedName name="________SP010" localSheetId="11">#REF!</definedName>
    <definedName name="________SP010" localSheetId="28">#REF!</definedName>
    <definedName name="________SP010">#REF!</definedName>
    <definedName name="________SP011" localSheetId="8">#REF!</definedName>
    <definedName name="________SP011" localSheetId="10">#REF!</definedName>
    <definedName name="________SP011" localSheetId="11">#REF!</definedName>
    <definedName name="________SP011" localSheetId="28">#REF!</definedName>
    <definedName name="________SP011">#REF!</definedName>
    <definedName name="________SP012" localSheetId="8">#REF!</definedName>
    <definedName name="________SP012" localSheetId="10">#REF!</definedName>
    <definedName name="________SP012" localSheetId="11">#REF!</definedName>
    <definedName name="________SP012" localSheetId="28">#REF!</definedName>
    <definedName name="________SP012">#REF!</definedName>
    <definedName name="________SP013" localSheetId="8">#REF!</definedName>
    <definedName name="________SP013" localSheetId="10">#REF!</definedName>
    <definedName name="________SP013" localSheetId="11">#REF!</definedName>
    <definedName name="________SP013" localSheetId="28">#REF!</definedName>
    <definedName name="________SP013">#REF!</definedName>
    <definedName name="________SP014" localSheetId="8">#REF!</definedName>
    <definedName name="________SP014" localSheetId="10">#REF!</definedName>
    <definedName name="________SP014" localSheetId="11">#REF!</definedName>
    <definedName name="________SP014" localSheetId="28">#REF!</definedName>
    <definedName name="________SP014">#REF!</definedName>
    <definedName name="________SP015" localSheetId="8">#REF!</definedName>
    <definedName name="________SP015" localSheetId="10">#REF!</definedName>
    <definedName name="________SP015" localSheetId="11">#REF!</definedName>
    <definedName name="________SP015" localSheetId="28">#REF!</definedName>
    <definedName name="________SP015">#REF!</definedName>
    <definedName name="________SP016" localSheetId="8">#REF!</definedName>
    <definedName name="________SP016" localSheetId="10">#REF!</definedName>
    <definedName name="________SP016" localSheetId="11">#REF!</definedName>
    <definedName name="________SP016" localSheetId="28">#REF!</definedName>
    <definedName name="________SP016">#REF!</definedName>
    <definedName name="________SP017" localSheetId="8">#REF!</definedName>
    <definedName name="________SP017" localSheetId="10">#REF!</definedName>
    <definedName name="________SP017" localSheetId="11">#REF!</definedName>
    <definedName name="________SP017" localSheetId="28">#REF!</definedName>
    <definedName name="________SP017">#REF!</definedName>
    <definedName name="________SP018" localSheetId="8">#REF!</definedName>
    <definedName name="________SP018" localSheetId="10">#REF!</definedName>
    <definedName name="________SP018" localSheetId="11">#REF!</definedName>
    <definedName name="________SP018" localSheetId="28">#REF!</definedName>
    <definedName name="________SP018">#REF!</definedName>
    <definedName name="________SP019" localSheetId="8">#REF!</definedName>
    <definedName name="________SP019" localSheetId="10">#REF!</definedName>
    <definedName name="________SP019" localSheetId="11">#REF!</definedName>
    <definedName name="________SP019" localSheetId="28">#REF!</definedName>
    <definedName name="________SP019">#REF!</definedName>
    <definedName name="________SP020" localSheetId="8">#REF!</definedName>
    <definedName name="________SP020" localSheetId="10">#REF!</definedName>
    <definedName name="________SP020" localSheetId="11">#REF!</definedName>
    <definedName name="________SP020" localSheetId="28">#REF!</definedName>
    <definedName name="________SP020">#REF!</definedName>
    <definedName name="________SP021" localSheetId="8">#REF!</definedName>
    <definedName name="________SP021" localSheetId="10">#REF!</definedName>
    <definedName name="________SP021" localSheetId="11">#REF!</definedName>
    <definedName name="________SP021" localSheetId="28">#REF!</definedName>
    <definedName name="________SP021">#REF!</definedName>
    <definedName name="________SP022" localSheetId="8">#REF!</definedName>
    <definedName name="________SP022" localSheetId="10">#REF!</definedName>
    <definedName name="________SP022" localSheetId="11">#REF!</definedName>
    <definedName name="________SP022" localSheetId="28">#REF!</definedName>
    <definedName name="________SP022">#REF!</definedName>
    <definedName name="________SP023" localSheetId="8">#REF!</definedName>
    <definedName name="________SP023" localSheetId="10">#REF!</definedName>
    <definedName name="________SP023" localSheetId="11">#REF!</definedName>
    <definedName name="________SP023" localSheetId="28">#REF!</definedName>
    <definedName name="________SP023">#REF!</definedName>
    <definedName name="________SP024" localSheetId="8">#REF!</definedName>
    <definedName name="________SP024" localSheetId="10">#REF!</definedName>
    <definedName name="________SP024" localSheetId="11">#REF!</definedName>
    <definedName name="________SP024" localSheetId="28">#REF!</definedName>
    <definedName name="________SP024">#REF!</definedName>
    <definedName name="________SP025" localSheetId="8">#REF!</definedName>
    <definedName name="________SP025" localSheetId="10">#REF!</definedName>
    <definedName name="________SP025" localSheetId="11">#REF!</definedName>
    <definedName name="________SP025" localSheetId="28">#REF!</definedName>
    <definedName name="________SP025">#REF!</definedName>
    <definedName name="________SP026" localSheetId="8">#REF!</definedName>
    <definedName name="________SP026" localSheetId="10">#REF!</definedName>
    <definedName name="________SP026" localSheetId="11">#REF!</definedName>
    <definedName name="________SP026" localSheetId="28">#REF!</definedName>
    <definedName name="________SP026">#REF!</definedName>
    <definedName name="________SP027" localSheetId="8">#REF!</definedName>
    <definedName name="________SP027" localSheetId="10">#REF!</definedName>
    <definedName name="________SP027" localSheetId="11">#REF!</definedName>
    <definedName name="________SP027" localSheetId="28">#REF!</definedName>
    <definedName name="________SP027">#REF!</definedName>
    <definedName name="________SP028" localSheetId="8">#REF!</definedName>
    <definedName name="________SP028" localSheetId="10">#REF!</definedName>
    <definedName name="________SP028" localSheetId="11">#REF!</definedName>
    <definedName name="________SP028" localSheetId="28">#REF!</definedName>
    <definedName name="________SP028">#REF!</definedName>
    <definedName name="________SP029" localSheetId="8">#REF!</definedName>
    <definedName name="________SP029" localSheetId="10">#REF!</definedName>
    <definedName name="________SP029" localSheetId="11">#REF!</definedName>
    <definedName name="________SP029" localSheetId="28">#REF!</definedName>
    <definedName name="________SP029">#REF!</definedName>
    <definedName name="________SP030" localSheetId="8">#REF!</definedName>
    <definedName name="________SP030" localSheetId="10">#REF!</definedName>
    <definedName name="________SP030" localSheetId="11">#REF!</definedName>
    <definedName name="________SP030" localSheetId="28">#REF!</definedName>
    <definedName name="________SP030">#REF!</definedName>
    <definedName name="________SP031" localSheetId="8">#REF!</definedName>
    <definedName name="________SP031" localSheetId="10">#REF!</definedName>
    <definedName name="________SP031" localSheetId="11">#REF!</definedName>
    <definedName name="________SP031" localSheetId="28">#REF!</definedName>
    <definedName name="________SP031">#REF!</definedName>
    <definedName name="________SP032" localSheetId="8">#REF!</definedName>
    <definedName name="________SP032" localSheetId="10">#REF!</definedName>
    <definedName name="________SP032" localSheetId="11">#REF!</definedName>
    <definedName name="________SP032" localSheetId="28">#REF!</definedName>
    <definedName name="________SP032">#REF!</definedName>
    <definedName name="________SP033" localSheetId="8">#REF!</definedName>
    <definedName name="________SP033" localSheetId="10">#REF!</definedName>
    <definedName name="________SP033" localSheetId="11">#REF!</definedName>
    <definedName name="________SP033" localSheetId="28">#REF!</definedName>
    <definedName name="________SP033">#REF!</definedName>
    <definedName name="________SP034" localSheetId="8">#REF!</definedName>
    <definedName name="________SP034" localSheetId="10">#REF!</definedName>
    <definedName name="________SP034" localSheetId="11">#REF!</definedName>
    <definedName name="________SP034" localSheetId="28">#REF!</definedName>
    <definedName name="________SP034">#REF!</definedName>
    <definedName name="________SP035" localSheetId="8">#REF!</definedName>
    <definedName name="________SP035" localSheetId="10">#REF!</definedName>
    <definedName name="________SP035" localSheetId="11">#REF!</definedName>
    <definedName name="________SP035" localSheetId="28">#REF!</definedName>
    <definedName name="________SP035">#REF!</definedName>
    <definedName name="________SP036" localSheetId="8">#REF!</definedName>
    <definedName name="________SP036" localSheetId="10">#REF!</definedName>
    <definedName name="________SP036" localSheetId="11">#REF!</definedName>
    <definedName name="________SP036" localSheetId="28">#REF!</definedName>
    <definedName name="________SP036">#REF!</definedName>
    <definedName name="________SP037" localSheetId="8">#REF!</definedName>
    <definedName name="________SP037" localSheetId="10">#REF!</definedName>
    <definedName name="________SP037" localSheetId="11">#REF!</definedName>
    <definedName name="________SP037" localSheetId="28">#REF!</definedName>
    <definedName name="________SP037">#REF!</definedName>
    <definedName name="________SP038" localSheetId="8">#REF!</definedName>
    <definedName name="________SP038" localSheetId="10">#REF!</definedName>
    <definedName name="________SP038" localSheetId="11">#REF!</definedName>
    <definedName name="________SP038" localSheetId="28">#REF!</definedName>
    <definedName name="________SP038">#REF!</definedName>
    <definedName name="________SP039" localSheetId="8">#REF!</definedName>
    <definedName name="________SP039" localSheetId="10">#REF!</definedName>
    <definedName name="________SP039" localSheetId="11">#REF!</definedName>
    <definedName name="________SP039" localSheetId="28">#REF!</definedName>
    <definedName name="________SP039">#REF!</definedName>
    <definedName name="________SP040" localSheetId="8">#REF!</definedName>
    <definedName name="________SP040" localSheetId="10">#REF!</definedName>
    <definedName name="________SP040" localSheetId="11">#REF!</definedName>
    <definedName name="________SP040" localSheetId="28">#REF!</definedName>
    <definedName name="________SP040">#REF!</definedName>
    <definedName name="________SP041" localSheetId="8">#REF!</definedName>
    <definedName name="________SP041" localSheetId="10">#REF!</definedName>
    <definedName name="________SP041" localSheetId="11">#REF!</definedName>
    <definedName name="________SP041" localSheetId="28">#REF!</definedName>
    <definedName name="________SP041">#REF!</definedName>
    <definedName name="________SP042" localSheetId="8">#REF!</definedName>
    <definedName name="________SP042" localSheetId="10">#REF!</definedName>
    <definedName name="________SP042" localSheetId="11">#REF!</definedName>
    <definedName name="________SP042" localSheetId="28">#REF!</definedName>
    <definedName name="________SP042">#REF!</definedName>
    <definedName name="________SP043" localSheetId="8">#REF!</definedName>
    <definedName name="________SP043" localSheetId="10">#REF!</definedName>
    <definedName name="________SP043" localSheetId="11">#REF!</definedName>
    <definedName name="________SP043" localSheetId="28">#REF!</definedName>
    <definedName name="________SP043">#REF!</definedName>
    <definedName name="________SP044" localSheetId="8">#REF!</definedName>
    <definedName name="________SP044" localSheetId="10">#REF!</definedName>
    <definedName name="________SP044" localSheetId="11">#REF!</definedName>
    <definedName name="________SP044" localSheetId="28">#REF!</definedName>
    <definedName name="________SP044">#REF!</definedName>
    <definedName name="________SP045" localSheetId="8">#REF!</definedName>
    <definedName name="________SP045" localSheetId="10">#REF!</definedName>
    <definedName name="________SP045" localSheetId="11">#REF!</definedName>
    <definedName name="________SP045" localSheetId="28">#REF!</definedName>
    <definedName name="________SP045">#REF!</definedName>
    <definedName name="________SP046" localSheetId="8">#REF!</definedName>
    <definedName name="________SP046" localSheetId="10">#REF!</definedName>
    <definedName name="________SP046" localSheetId="11">#REF!</definedName>
    <definedName name="________SP046" localSheetId="28">#REF!</definedName>
    <definedName name="________SP046">#REF!</definedName>
    <definedName name="________SP047" localSheetId="8">#REF!</definedName>
    <definedName name="________SP047" localSheetId="10">#REF!</definedName>
    <definedName name="________SP047" localSheetId="11">#REF!</definedName>
    <definedName name="________SP047" localSheetId="28">#REF!</definedName>
    <definedName name="________SP047">#REF!</definedName>
    <definedName name="________SP048" localSheetId="8">#REF!</definedName>
    <definedName name="________SP048" localSheetId="10">#REF!</definedName>
    <definedName name="________SP048" localSheetId="11">#REF!</definedName>
    <definedName name="________SP048" localSheetId="28">#REF!</definedName>
    <definedName name="________SP048">#REF!</definedName>
    <definedName name="________SP049" localSheetId="8">#REF!</definedName>
    <definedName name="________SP049" localSheetId="10">#REF!</definedName>
    <definedName name="________SP049" localSheetId="11">#REF!</definedName>
    <definedName name="________SP049" localSheetId="28">#REF!</definedName>
    <definedName name="________SP049">#REF!</definedName>
    <definedName name="________SP050" localSheetId="8">#REF!</definedName>
    <definedName name="________SP050" localSheetId="10">#REF!</definedName>
    <definedName name="________SP050" localSheetId="11">#REF!</definedName>
    <definedName name="________SP050" localSheetId="28">#REF!</definedName>
    <definedName name="________SP050">#REF!</definedName>
    <definedName name="________SP051" localSheetId="8">#REF!</definedName>
    <definedName name="________SP051" localSheetId="10">#REF!</definedName>
    <definedName name="________SP051" localSheetId="11">#REF!</definedName>
    <definedName name="________SP051" localSheetId="28">#REF!</definedName>
    <definedName name="________SP051">#REF!</definedName>
    <definedName name="________SP052" localSheetId="8">#REF!</definedName>
    <definedName name="________SP052" localSheetId="10">#REF!</definedName>
    <definedName name="________SP052" localSheetId="11">#REF!</definedName>
    <definedName name="________SP052" localSheetId="28">#REF!</definedName>
    <definedName name="________SP052">#REF!</definedName>
    <definedName name="________SP053" localSheetId="8">#REF!</definedName>
    <definedName name="________SP053" localSheetId="10">#REF!</definedName>
    <definedName name="________SP053" localSheetId="11">#REF!</definedName>
    <definedName name="________SP053" localSheetId="28">#REF!</definedName>
    <definedName name="________SP053">#REF!</definedName>
    <definedName name="________SP054" localSheetId="8">#REF!</definedName>
    <definedName name="________SP054" localSheetId="10">#REF!</definedName>
    <definedName name="________SP054" localSheetId="11">#REF!</definedName>
    <definedName name="________SP054" localSheetId="28">#REF!</definedName>
    <definedName name="________SP054">#REF!</definedName>
    <definedName name="________SP055" localSheetId="8">#REF!</definedName>
    <definedName name="________SP055" localSheetId="10">#REF!</definedName>
    <definedName name="________SP055" localSheetId="11">#REF!</definedName>
    <definedName name="________SP055" localSheetId="28">#REF!</definedName>
    <definedName name="________SP055">#REF!</definedName>
    <definedName name="________SP056" localSheetId="8">#REF!</definedName>
    <definedName name="________SP056" localSheetId="10">#REF!</definedName>
    <definedName name="________SP056" localSheetId="11">#REF!</definedName>
    <definedName name="________SP056" localSheetId="28">#REF!</definedName>
    <definedName name="________SP056">#REF!</definedName>
    <definedName name="________SP057" localSheetId="8">#REF!</definedName>
    <definedName name="________SP057" localSheetId="10">#REF!</definedName>
    <definedName name="________SP057" localSheetId="11">#REF!</definedName>
    <definedName name="________SP057" localSheetId="28">#REF!</definedName>
    <definedName name="________SP057">#REF!</definedName>
    <definedName name="________SP058" localSheetId="8">#REF!</definedName>
    <definedName name="________SP058" localSheetId="10">#REF!</definedName>
    <definedName name="________SP058" localSheetId="11">#REF!</definedName>
    <definedName name="________SP058" localSheetId="28">#REF!</definedName>
    <definedName name="________SP058">#REF!</definedName>
    <definedName name="________SP059" localSheetId="8">#REF!</definedName>
    <definedName name="________SP059" localSheetId="10">#REF!</definedName>
    <definedName name="________SP059" localSheetId="11">#REF!</definedName>
    <definedName name="________SP059" localSheetId="28">#REF!</definedName>
    <definedName name="________SP059">#REF!</definedName>
    <definedName name="________SP060" localSheetId="8">#REF!</definedName>
    <definedName name="________SP060" localSheetId="10">#REF!</definedName>
    <definedName name="________SP060" localSheetId="11">#REF!</definedName>
    <definedName name="________SP060" localSheetId="28">#REF!</definedName>
    <definedName name="________SP060">#REF!</definedName>
    <definedName name="________SP061" localSheetId="8">#REF!</definedName>
    <definedName name="________SP061" localSheetId="10">#REF!</definedName>
    <definedName name="________SP061" localSheetId="11">#REF!</definedName>
    <definedName name="________SP061" localSheetId="28">#REF!</definedName>
    <definedName name="________SP061">#REF!</definedName>
    <definedName name="________SP062" localSheetId="8">#REF!</definedName>
    <definedName name="________SP062" localSheetId="10">#REF!</definedName>
    <definedName name="________SP062" localSheetId="11">#REF!</definedName>
    <definedName name="________SP062" localSheetId="28">#REF!</definedName>
    <definedName name="________SP062">#REF!</definedName>
    <definedName name="________SP063" localSheetId="8">#REF!</definedName>
    <definedName name="________SP063" localSheetId="10">#REF!</definedName>
    <definedName name="________SP063" localSheetId="11">#REF!</definedName>
    <definedName name="________SP063" localSheetId="28">#REF!</definedName>
    <definedName name="________SP063">#REF!</definedName>
    <definedName name="________SP064" localSheetId="8">#REF!</definedName>
    <definedName name="________SP064" localSheetId="10">#REF!</definedName>
    <definedName name="________SP064" localSheetId="11">#REF!</definedName>
    <definedName name="________SP064" localSheetId="28">#REF!</definedName>
    <definedName name="________SP064">#REF!</definedName>
    <definedName name="________SP065" localSheetId="8">#REF!</definedName>
    <definedName name="________SP065" localSheetId="10">#REF!</definedName>
    <definedName name="________SP065" localSheetId="11">#REF!</definedName>
    <definedName name="________SP065" localSheetId="28">#REF!</definedName>
    <definedName name="________SP065">#REF!</definedName>
    <definedName name="________SP066" localSheetId="8">#REF!</definedName>
    <definedName name="________SP066" localSheetId="10">#REF!</definedName>
    <definedName name="________SP066" localSheetId="11">#REF!</definedName>
    <definedName name="________SP066" localSheetId="28">#REF!</definedName>
    <definedName name="________SP066">#REF!</definedName>
    <definedName name="________SP067" localSheetId="8">#REF!</definedName>
    <definedName name="________SP067" localSheetId="10">#REF!</definedName>
    <definedName name="________SP067" localSheetId="11">#REF!</definedName>
    <definedName name="________SP067" localSheetId="28">#REF!</definedName>
    <definedName name="________SP067">#REF!</definedName>
    <definedName name="________SP068" localSheetId="8">#REF!</definedName>
    <definedName name="________SP068" localSheetId="10">#REF!</definedName>
    <definedName name="________SP068" localSheetId="11">#REF!</definedName>
    <definedName name="________SP068" localSheetId="28">#REF!</definedName>
    <definedName name="________SP068">#REF!</definedName>
    <definedName name="________SP069" localSheetId="8">#REF!</definedName>
    <definedName name="________SP069" localSheetId="10">#REF!</definedName>
    <definedName name="________SP069" localSheetId="11">#REF!</definedName>
    <definedName name="________SP069" localSheetId="28">#REF!</definedName>
    <definedName name="________SP069">#REF!</definedName>
    <definedName name="________SP070" localSheetId="8">#REF!</definedName>
    <definedName name="________SP070" localSheetId="10">#REF!</definedName>
    <definedName name="________SP070" localSheetId="11">#REF!</definedName>
    <definedName name="________SP070" localSheetId="28">#REF!</definedName>
    <definedName name="________SP070">#REF!</definedName>
    <definedName name="________sp071" localSheetId="8">#REF!</definedName>
    <definedName name="________sp071" localSheetId="10">#REF!</definedName>
    <definedName name="________sp071" localSheetId="11">#REF!</definedName>
    <definedName name="________sp071" localSheetId="28">#REF!</definedName>
    <definedName name="________sp071">#REF!</definedName>
    <definedName name="________SP072" localSheetId="8">#REF!</definedName>
    <definedName name="________SP072" localSheetId="10">#REF!</definedName>
    <definedName name="________SP072" localSheetId="11">#REF!</definedName>
    <definedName name="________SP072" localSheetId="28">#REF!</definedName>
    <definedName name="________SP072">#REF!</definedName>
    <definedName name="________SP073" localSheetId="8">#REF!</definedName>
    <definedName name="________SP073" localSheetId="10">#REF!</definedName>
    <definedName name="________SP073" localSheetId="11">#REF!</definedName>
    <definedName name="________SP073" localSheetId="28">#REF!</definedName>
    <definedName name="________SP073">#REF!</definedName>
    <definedName name="________SP074" localSheetId="8">#REF!</definedName>
    <definedName name="________SP074" localSheetId="10">#REF!</definedName>
    <definedName name="________SP074" localSheetId="11">#REF!</definedName>
    <definedName name="________SP074" localSheetId="28">#REF!</definedName>
    <definedName name="________SP074">#REF!</definedName>
    <definedName name="________SP075" localSheetId="8">#REF!</definedName>
    <definedName name="________SP075" localSheetId="10">#REF!</definedName>
    <definedName name="________SP075" localSheetId="11">#REF!</definedName>
    <definedName name="________SP075" localSheetId="28">#REF!</definedName>
    <definedName name="________SP075">#REF!</definedName>
    <definedName name="________SP076" localSheetId="8">#REF!</definedName>
    <definedName name="________SP076" localSheetId="10">#REF!</definedName>
    <definedName name="________SP076" localSheetId="11">#REF!</definedName>
    <definedName name="________SP076" localSheetId="28">#REF!</definedName>
    <definedName name="________SP076">#REF!</definedName>
    <definedName name="________SP077" localSheetId="8">#REF!</definedName>
    <definedName name="________SP077" localSheetId="10">#REF!</definedName>
    <definedName name="________SP077" localSheetId="11">#REF!</definedName>
    <definedName name="________SP077" localSheetId="28">#REF!</definedName>
    <definedName name="________SP077">#REF!</definedName>
    <definedName name="________sp078" localSheetId="8">#REF!</definedName>
    <definedName name="________sp078" localSheetId="10">#REF!</definedName>
    <definedName name="________sp078" localSheetId="11">#REF!</definedName>
    <definedName name="________sp078" localSheetId="28">#REF!</definedName>
    <definedName name="________sp078">#REF!</definedName>
    <definedName name="________SPO79" localSheetId="8">#REF!</definedName>
    <definedName name="________SPO79" localSheetId="10">#REF!</definedName>
    <definedName name="________SPO79" localSheetId="11">#REF!</definedName>
    <definedName name="________SPO79" localSheetId="28">#REF!</definedName>
    <definedName name="________SPO79">#REF!</definedName>
    <definedName name="________ss12" localSheetId="37">[46]rdamdata!$J$8</definedName>
    <definedName name="________ss12">[13]rdamdata!$J$8</definedName>
    <definedName name="________ss20" localSheetId="37">[46]rdamdata!$J$7</definedName>
    <definedName name="________ss20">[13]rdamdata!$J$7</definedName>
    <definedName name="________ss40" localSheetId="37">[46]rdamdata!$J$6</definedName>
    <definedName name="________ss40">[13]rdamdata!$J$6</definedName>
    <definedName name="________sw1" localSheetId="28">#REF!</definedName>
    <definedName name="________us1">#REF!</definedName>
    <definedName name="________var1" localSheetId="33">#REF!</definedName>
    <definedName name="________var1" localSheetId="34">#REF!</definedName>
    <definedName name="________var1" localSheetId="35">#REF!</definedName>
    <definedName name="________var1" localSheetId="5">#REF!</definedName>
    <definedName name="________var1" localSheetId="8">#REF!</definedName>
    <definedName name="________var1" localSheetId="10">#REF!</definedName>
    <definedName name="________var1" localSheetId="11">#REF!</definedName>
    <definedName name="________var1" localSheetId="28">#REF!</definedName>
    <definedName name="________var1" localSheetId="42">#REF!</definedName>
    <definedName name="________var1" localSheetId="31">#REF!</definedName>
    <definedName name="________var1">#REF!</definedName>
    <definedName name="________var4" localSheetId="33">#REF!</definedName>
    <definedName name="________var4" localSheetId="34">#REF!</definedName>
    <definedName name="________var4" localSheetId="35">#REF!</definedName>
    <definedName name="________var4" localSheetId="5">#REF!</definedName>
    <definedName name="________var4" localSheetId="8">#REF!</definedName>
    <definedName name="________var4" localSheetId="10">#REF!</definedName>
    <definedName name="________var4" localSheetId="11">#REF!</definedName>
    <definedName name="________var4" localSheetId="28">#REF!</definedName>
    <definedName name="________var4" localSheetId="42">#REF!</definedName>
    <definedName name="________var4" localSheetId="31">#REF!</definedName>
    <definedName name="________var4">#REF!</definedName>
    <definedName name="________vat1">#REF!</definedName>
    <definedName name="________vat2">#REF!</definedName>
    <definedName name="________xlfn_BAHTTEXT">#N/A</definedName>
    <definedName name="_______abs1" localSheetId="5">#REF!</definedName>
    <definedName name="_______abs1" localSheetId="14">#REF!</definedName>
    <definedName name="_______abs1" localSheetId="8">#REF!</definedName>
    <definedName name="_______abs1" localSheetId="10">#REF!</definedName>
    <definedName name="_______abs1" localSheetId="28">#REF!</definedName>
    <definedName name="_______abs1">#REF!</definedName>
    <definedName name="_______AUX1">#REF!</definedName>
    <definedName name="_______aux2" localSheetId="28">#REF!</definedName>
    <definedName name="_______AUX3">#REF!</definedName>
    <definedName name="_______bla1" localSheetId="37">[33]leads!$H$7</definedName>
    <definedName name="_______bla1">[26]leads!$H$7</definedName>
    <definedName name="_______BSG100" localSheetId="8">#REF!</definedName>
    <definedName name="_______BSG100" localSheetId="10">#REF!</definedName>
    <definedName name="_______BSG100" localSheetId="28">#REF!</definedName>
    <definedName name="_______BSG100">#REF!</definedName>
    <definedName name="_______BSG150" localSheetId="8">#REF!</definedName>
    <definedName name="_______BSG150" localSheetId="10">#REF!</definedName>
    <definedName name="_______BSG150" localSheetId="28">#REF!</definedName>
    <definedName name="_______BSG150">#REF!</definedName>
    <definedName name="_______BSG5" localSheetId="8">#REF!</definedName>
    <definedName name="_______BSG5" localSheetId="10">#REF!</definedName>
    <definedName name="_______BSG5" localSheetId="28">#REF!</definedName>
    <definedName name="_______BSG5">#REF!</definedName>
    <definedName name="_______BSG75" localSheetId="8">#REF!</definedName>
    <definedName name="_______BSG75" localSheetId="10">#REF!</definedName>
    <definedName name="_______BSG75" localSheetId="28">#REF!</definedName>
    <definedName name="_______BSG75">#REF!</definedName>
    <definedName name="_______BTC1" localSheetId="8">#REF!</definedName>
    <definedName name="_______BTC1" localSheetId="10">#REF!</definedName>
    <definedName name="_______BTC1" localSheetId="28">#REF!</definedName>
    <definedName name="_______BTC1">#REF!</definedName>
    <definedName name="_______BTC10" localSheetId="8">#REF!</definedName>
    <definedName name="_______BTC10" localSheetId="10">#REF!</definedName>
    <definedName name="_______BTC10" localSheetId="28">#REF!</definedName>
    <definedName name="_______BTC10">#REF!</definedName>
    <definedName name="_______BTC11" localSheetId="8">#REF!</definedName>
    <definedName name="_______BTC11" localSheetId="10">#REF!</definedName>
    <definedName name="_______BTC11" localSheetId="28">#REF!</definedName>
    <definedName name="_______BTC11">#REF!</definedName>
    <definedName name="_______BTC12" localSheetId="8">#REF!</definedName>
    <definedName name="_______BTC12" localSheetId="10">#REF!</definedName>
    <definedName name="_______BTC12" localSheetId="28">#REF!</definedName>
    <definedName name="_______BTC12">#REF!</definedName>
    <definedName name="_______BTC13" localSheetId="8">#REF!</definedName>
    <definedName name="_______BTC13" localSheetId="10">#REF!</definedName>
    <definedName name="_______BTC13" localSheetId="28">#REF!</definedName>
    <definedName name="_______BTC13">#REF!</definedName>
    <definedName name="_______BTC14" localSheetId="8">#REF!</definedName>
    <definedName name="_______BTC14" localSheetId="10">#REF!</definedName>
    <definedName name="_______BTC14" localSheetId="28">#REF!</definedName>
    <definedName name="_______BTC14">#REF!</definedName>
    <definedName name="_______BTC15" localSheetId="8">#REF!</definedName>
    <definedName name="_______BTC15" localSheetId="10">#REF!</definedName>
    <definedName name="_______BTC15" localSheetId="28">#REF!</definedName>
    <definedName name="_______BTC15">#REF!</definedName>
    <definedName name="_______BTC2" localSheetId="8">#REF!</definedName>
    <definedName name="_______BTC2" localSheetId="10">#REF!</definedName>
    <definedName name="_______BTC2" localSheetId="28">#REF!</definedName>
    <definedName name="_______BTC2">#REF!</definedName>
    <definedName name="_______BTC3" localSheetId="8">#REF!</definedName>
    <definedName name="_______BTC3" localSheetId="10">#REF!</definedName>
    <definedName name="_______BTC3" localSheetId="28">#REF!</definedName>
    <definedName name="_______BTC3">#REF!</definedName>
    <definedName name="_______BTC4" localSheetId="8">#REF!</definedName>
    <definedName name="_______BTC4" localSheetId="10">#REF!</definedName>
    <definedName name="_______BTC4" localSheetId="28">#REF!</definedName>
    <definedName name="_______BTC4">#REF!</definedName>
    <definedName name="_______BTC5" localSheetId="8">#REF!</definedName>
    <definedName name="_______BTC5" localSheetId="10">#REF!</definedName>
    <definedName name="_______BTC5" localSheetId="28">#REF!</definedName>
    <definedName name="_______BTC5">#REF!</definedName>
    <definedName name="_______BTC6" localSheetId="8">#REF!</definedName>
    <definedName name="_______BTC6" localSheetId="10">#REF!</definedName>
    <definedName name="_______BTC6" localSheetId="28">#REF!</definedName>
    <definedName name="_______BTC6">#REF!</definedName>
    <definedName name="_______BTC7" localSheetId="8">#REF!</definedName>
    <definedName name="_______BTC7" localSheetId="10">#REF!</definedName>
    <definedName name="_______BTC7" localSheetId="28">#REF!</definedName>
    <definedName name="_______BTC7">#REF!</definedName>
    <definedName name="_______BTC8" localSheetId="8">#REF!</definedName>
    <definedName name="_______BTC8" localSheetId="10">#REF!</definedName>
    <definedName name="_______BTC8" localSheetId="28">#REF!</definedName>
    <definedName name="_______BTC8">#REF!</definedName>
    <definedName name="_______BTC9" localSheetId="8">#REF!</definedName>
    <definedName name="_______BTC9" localSheetId="10">#REF!</definedName>
    <definedName name="_______BTC9" localSheetId="28">#REF!</definedName>
    <definedName name="_______BTC9">#REF!</definedName>
    <definedName name="_______BTS1" localSheetId="8">#REF!</definedName>
    <definedName name="_______BTS1" localSheetId="10">#REF!</definedName>
    <definedName name="_______BTS1" localSheetId="28">#REF!</definedName>
    <definedName name="_______BTS1">#REF!</definedName>
    <definedName name="_______BTS10" localSheetId="8">#REF!</definedName>
    <definedName name="_______BTS10" localSheetId="10">#REF!</definedName>
    <definedName name="_______BTS10" localSheetId="28">#REF!</definedName>
    <definedName name="_______BTS10">#REF!</definedName>
    <definedName name="_______BTS11" localSheetId="8">#REF!</definedName>
    <definedName name="_______BTS11" localSheetId="10">#REF!</definedName>
    <definedName name="_______BTS11" localSheetId="28">#REF!</definedName>
    <definedName name="_______BTS11">#REF!</definedName>
    <definedName name="_______BTS12" localSheetId="8">#REF!</definedName>
    <definedName name="_______BTS12" localSheetId="10">#REF!</definedName>
    <definedName name="_______BTS12" localSheetId="28">#REF!</definedName>
    <definedName name="_______BTS12">#REF!</definedName>
    <definedName name="_______BTS13" localSheetId="8">#REF!</definedName>
    <definedName name="_______BTS13" localSheetId="10">#REF!</definedName>
    <definedName name="_______BTS13" localSheetId="28">#REF!</definedName>
    <definedName name="_______BTS13">#REF!</definedName>
    <definedName name="_______BTS14" localSheetId="8">#REF!</definedName>
    <definedName name="_______BTS14" localSheetId="10">#REF!</definedName>
    <definedName name="_______BTS14" localSheetId="28">#REF!</definedName>
    <definedName name="_______BTS14">#REF!</definedName>
    <definedName name="_______BTS15" localSheetId="8">#REF!</definedName>
    <definedName name="_______BTS15" localSheetId="10">#REF!</definedName>
    <definedName name="_______BTS15" localSheetId="28">#REF!</definedName>
    <definedName name="_______BTS15">#REF!</definedName>
    <definedName name="_______BTS2" localSheetId="8">#REF!</definedName>
    <definedName name="_______BTS2" localSheetId="10">#REF!</definedName>
    <definedName name="_______BTS2" localSheetId="28">#REF!</definedName>
    <definedName name="_______BTS2">#REF!</definedName>
    <definedName name="_______BTS3" localSheetId="8">#REF!</definedName>
    <definedName name="_______BTS3" localSheetId="10">#REF!</definedName>
    <definedName name="_______BTS3" localSheetId="28">#REF!</definedName>
    <definedName name="_______BTS3">#REF!</definedName>
    <definedName name="_______BTS4" localSheetId="8">#REF!</definedName>
    <definedName name="_______BTS4" localSheetId="10">#REF!</definedName>
    <definedName name="_______BTS4" localSheetId="28">#REF!</definedName>
    <definedName name="_______BTS4">#REF!</definedName>
    <definedName name="_______BTS5" localSheetId="8">#REF!</definedName>
    <definedName name="_______BTS5" localSheetId="10">#REF!</definedName>
    <definedName name="_______BTS5" localSheetId="28">#REF!</definedName>
    <definedName name="_______BTS5">#REF!</definedName>
    <definedName name="_______BTS6" localSheetId="8">#REF!</definedName>
    <definedName name="_______BTS6" localSheetId="10">#REF!</definedName>
    <definedName name="_______BTS6" localSheetId="28">#REF!</definedName>
    <definedName name="_______BTS6">#REF!</definedName>
    <definedName name="_______BTS7" localSheetId="8">#REF!</definedName>
    <definedName name="_______BTS7" localSheetId="10">#REF!</definedName>
    <definedName name="_______BTS7" localSheetId="28">#REF!</definedName>
    <definedName name="_______BTS7">#REF!</definedName>
    <definedName name="_______BTS8" localSheetId="8">#REF!</definedName>
    <definedName name="_______BTS8" localSheetId="10">#REF!</definedName>
    <definedName name="_______BTS8" localSheetId="28">#REF!</definedName>
    <definedName name="_______BTS8">#REF!</definedName>
    <definedName name="_______BTS9" localSheetId="8">#REF!</definedName>
    <definedName name="_______BTS9" localSheetId="10">#REF!</definedName>
    <definedName name="_______BTS9" localSheetId="28">#REF!</definedName>
    <definedName name="_______BTS9">#REF!</definedName>
    <definedName name="_______can430">40.73</definedName>
    <definedName name="_______can435">43.3</definedName>
    <definedName name="_______cbr1">#REF!</definedName>
    <definedName name="_______cbr2">#REF!</definedName>
    <definedName name="_______cbr3">#REF!</definedName>
    <definedName name="_______cbr4">#REF!</definedName>
    <definedName name="_______cur1">[6]r!$F$30</definedName>
    <definedName name="_______er1">#REF!</definedName>
    <definedName name="_______ewe1" localSheetId="8">#REF!</definedName>
    <definedName name="_______ewe1" localSheetId="10">#REF!</definedName>
    <definedName name="_______ewe1" localSheetId="28">#REF!</definedName>
    <definedName name="_______ewe1">#REF!</definedName>
    <definedName name="_______f1">#REF!</definedName>
    <definedName name="_______GBS11" localSheetId="8">#REF!</definedName>
    <definedName name="_______GBS11" localSheetId="10">#REF!</definedName>
    <definedName name="_______GBS11" localSheetId="28">#REF!</definedName>
    <definedName name="_______GBS11">#REF!</definedName>
    <definedName name="_______GBS110" localSheetId="8">#REF!</definedName>
    <definedName name="_______GBS110" localSheetId="10">#REF!</definedName>
    <definedName name="_______GBS110" localSheetId="28">#REF!</definedName>
    <definedName name="_______GBS110">#REF!</definedName>
    <definedName name="_______GBS111" localSheetId="8">#REF!</definedName>
    <definedName name="_______GBS111" localSheetId="10">#REF!</definedName>
    <definedName name="_______GBS111" localSheetId="28">#REF!</definedName>
    <definedName name="_______GBS111">#REF!</definedName>
    <definedName name="_______GBS112" localSheetId="8">#REF!</definedName>
    <definedName name="_______GBS112" localSheetId="10">#REF!</definedName>
    <definedName name="_______GBS112" localSheetId="28">#REF!</definedName>
    <definedName name="_______GBS112">#REF!</definedName>
    <definedName name="_______GBS113" localSheetId="8">#REF!</definedName>
    <definedName name="_______GBS113" localSheetId="10">#REF!</definedName>
    <definedName name="_______GBS113" localSheetId="28">#REF!</definedName>
    <definedName name="_______GBS113">#REF!</definedName>
    <definedName name="_______GBS114" localSheetId="8">#REF!</definedName>
    <definedName name="_______GBS114" localSheetId="10">#REF!</definedName>
    <definedName name="_______GBS114" localSheetId="28">#REF!</definedName>
    <definedName name="_______GBS114">#REF!</definedName>
    <definedName name="_______GBS115" localSheetId="8">#REF!</definedName>
    <definedName name="_______GBS115" localSheetId="10">#REF!</definedName>
    <definedName name="_______GBS115" localSheetId="28">#REF!</definedName>
    <definedName name="_______GBS115">#REF!</definedName>
    <definedName name="_______GBS12" localSheetId="8">#REF!</definedName>
    <definedName name="_______GBS12" localSheetId="10">#REF!</definedName>
    <definedName name="_______GBS12" localSheetId="28">#REF!</definedName>
    <definedName name="_______GBS12">#REF!</definedName>
    <definedName name="_______GBS13" localSheetId="8">#REF!</definedName>
    <definedName name="_______GBS13" localSheetId="10">#REF!</definedName>
    <definedName name="_______GBS13" localSheetId="28">#REF!</definedName>
    <definedName name="_______GBS13">#REF!</definedName>
    <definedName name="_______GBS14" localSheetId="8">#REF!</definedName>
    <definedName name="_______GBS14" localSheetId="10">#REF!</definedName>
    <definedName name="_______GBS14" localSheetId="28">#REF!</definedName>
    <definedName name="_______GBS14">#REF!</definedName>
    <definedName name="_______GBS15" localSheetId="8">#REF!</definedName>
    <definedName name="_______GBS15" localSheetId="10">#REF!</definedName>
    <definedName name="_______GBS15" localSheetId="28">#REF!</definedName>
    <definedName name="_______GBS15">#REF!</definedName>
    <definedName name="_______GBS16" localSheetId="8">#REF!</definedName>
    <definedName name="_______GBS16" localSheetId="10">#REF!</definedName>
    <definedName name="_______GBS16" localSheetId="28">#REF!</definedName>
    <definedName name="_______GBS16">#REF!</definedName>
    <definedName name="_______GBS17" localSheetId="8">#REF!</definedName>
    <definedName name="_______GBS17" localSheetId="10">#REF!</definedName>
    <definedName name="_______GBS17" localSheetId="28">#REF!</definedName>
    <definedName name="_______GBS17">#REF!</definedName>
    <definedName name="_______GBS18" localSheetId="8">#REF!</definedName>
    <definedName name="_______GBS18" localSheetId="10">#REF!</definedName>
    <definedName name="_______GBS18" localSheetId="28">#REF!</definedName>
    <definedName name="_______GBS18">#REF!</definedName>
    <definedName name="_______GBS19" localSheetId="8">#REF!</definedName>
    <definedName name="_______GBS19" localSheetId="10">#REF!</definedName>
    <definedName name="_______GBS19" localSheetId="28">#REF!</definedName>
    <definedName name="_______GBS19">#REF!</definedName>
    <definedName name="_______GBS21" localSheetId="8">#REF!</definedName>
    <definedName name="_______GBS21" localSheetId="10">#REF!</definedName>
    <definedName name="_______GBS21" localSheetId="28">#REF!</definedName>
    <definedName name="_______GBS21">#REF!</definedName>
    <definedName name="_______GBS210" localSheetId="8">#REF!</definedName>
    <definedName name="_______GBS210" localSheetId="10">#REF!</definedName>
    <definedName name="_______GBS210" localSheetId="28">#REF!</definedName>
    <definedName name="_______GBS210">#REF!</definedName>
    <definedName name="_______GBS211" localSheetId="8">#REF!</definedName>
    <definedName name="_______GBS211" localSheetId="10">#REF!</definedName>
    <definedName name="_______GBS211" localSheetId="28">#REF!</definedName>
    <definedName name="_______GBS211">#REF!</definedName>
    <definedName name="_______GBS212" localSheetId="8">#REF!</definedName>
    <definedName name="_______GBS212" localSheetId="10">#REF!</definedName>
    <definedName name="_______GBS212" localSheetId="28">#REF!</definedName>
    <definedName name="_______GBS212">#REF!</definedName>
    <definedName name="_______GBS213" localSheetId="8">#REF!</definedName>
    <definedName name="_______GBS213" localSheetId="10">#REF!</definedName>
    <definedName name="_______GBS213" localSheetId="28">#REF!</definedName>
    <definedName name="_______GBS213">#REF!</definedName>
    <definedName name="_______GBS214" localSheetId="8">#REF!</definedName>
    <definedName name="_______GBS214" localSheetId="10">#REF!</definedName>
    <definedName name="_______GBS214" localSheetId="28">#REF!</definedName>
    <definedName name="_______GBS214">#REF!</definedName>
    <definedName name="_______GBS215" localSheetId="8">#REF!</definedName>
    <definedName name="_______GBS215" localSheetId="10">#REF!</definedName>
    <definedName name="_______GBS215" localSheetId="28">#REF!</definedName>
    <definedName name="_______GBS215">#REF!</definedName>
    <definedName name="_______GBS22" localSheetId="8">#REF!</definedName>
    <definedName name="_______GBS22" localSheetId="10">#REF!</definedName>
    <definedName name="_______GBS22" localSheetId="28">#REF!</definedName>
    <definedName name="_______GBS22">#REF!</definedName>
    <definedName name="_______GBS23" localSheetId="8">#REF!</definedName>
    <definedName name="_______GBS23" localSheetId="10">#REF!</definedName>
    <definedName name="_______GBS23" localSheetId="28">#REF!</definedName>
    <definedName name="_______GBS23">#REF!</definedName>
    <definedName name="_______GBS24" localSheetId="8">#REF!</definedName>
    <definedName name="_______GBS24" localSheetId="10">#REF!</definedName>
    <definedName name="_______GBS24" localSheetId="28">#REF!</definedName>
    <definedName name="_______GBS24">#REF!</definedName>
    <definedName name="_______GBS25" localSheetId="8">#REF!</definedName>
    <definedName name="_______GBS25" localSheetId="10">#REF!</definedName>
    <definedName name="_______GBS25" localSheetId="28">#REF!</definedName>
    <definedName name="_______GBS25">#REF!</definedName>
    <definedName name="_______GBS26" localSheetId="8">#REF!</definedName>
    <definedName name="_______GBS26" localSheetId="10">#REF!</definedName>
    <definedName name="_______GBS26" localSheetId="28">#REF!</definedName>
    <definedName name="_______GBS26">#REF!</definedName>
    <definedName name="_______GBS27" localSheetId="8">#REF!</definedName>
    <definedName name="_______GBS27" localSheetId="10">#REF!</definedName>
    <definedName name="_______GBS27" localSheetId="28">#REF!</definedName>
    <definedName name="_______GBS27">#REF!</definedName>
    <definedName name="_______GBS28" localSheetId="8">#REF!</definedName>
    <definedName name="_______GBS28" localSheetId="10">#REF!</definedName>
    <definedName name="_______GBS28" localSheetId="28">#REF!</definedName>
    <definedName name="_______GBS28">#REF!</definedName>
    <definedName name="_______GBS29" localSheetId="8">#REF!</definedName>
    <definedName name="_______GBS29" localSheetId="10">#REF!</definedName>
    <definedName name="_______GBS29" localSheetId="28">#REF!</definedName>
    <definedName name="_______GBS29">#REF!</definedName>
    <definedName name="_______gus1">#REF!</definedName>
    <definedName name="_______hpm1">#REF!</definedName>
    <definedName name="_______knr2" localSheetId="5">#REF!</definedName>
    <definedName name="_______knr2" localSheetId="14">#REF!</definedName>
    <definedName name="_______knr2" localSheetId="8">#REF!</definedName>
    <definedName name="_______knr2" localSheetId="10">#REF!</definedName>
    <definedName name="_______knr2" localSheetId="28">#REF!</definedName>
    <definedName name="_______knr2">#REF!</definedName>
    <definedName name="_______l1" localSheetId="37">[34]leads!$A$3:$E$108</definedName>
    <definedName name="_______l1">[27]leads!$A$3:$E$108</definedName>
    <definedName name="_______l12" localSheetId="33">#REF!</definedName>
    <definedName name="_______l12" localSheetId="34">#REF!</definedName>
    <definedName name="_______l12" localSheetId="35">#REF!</definedName>
    <definedName name="_______l12" localSheetId="5">#REF!</definedName>
    <definedName name="_______l12" localSheetId="8">#REF!</definedName>
    <definedName name="_______l12" localSheetId="10">#REF!</definedName>
    <definedName name="_______l12" localSheetId="11">#REF!</definedName>
    <definedName name="_______l12" localSheetId="28">#REF!</definedName>
    <definedName name="_______l12" localSheetId="42">#REF!</definedName>
    <definedName name="_______l12" localSheetId="31">#REF!</definedName>
    <definedName name="_______l12">#REF!</definedName>
    <definedName name="_______l12_33">"$#REF!.$#REF!$#REF!"</definedName>
    <definedName name="_______l12_38">"$#REF!.$#REF!$#REF!"</definedName>
    <definedName name="_______l12_41">"$#REF!.$#REF!$#REF!"</definedName>
    <definedName name="_______l12_7">"$#REF!.$#REF!$#REF!"</definedName>
    <definedName name="_______l12_8">"$#REF!.$#REF!$#REF!"</definedName>
    <definedName name="_______l2">[6]r!$F$29</definedName>
    <definedName name="_______l3" localSheetId="33">#REF!</definedName>
    <definedName name="_______l3" localSheetId="34">#REF!</definedName>
    <definedName name="_______l3" localSheetId="35">#REF!</definedName>
    <definedName name="_______l3" localSheetId="5">#REF!</definedName>
    <definedName name="_______l3" localSheetId="8">#REF!</definedName>
    <definedName name="_______l3" localSheetId="10">#REF!</definedName>
    <definedName name="_______l3" localSheetId="11">#REF!</definedName>
    <definedName name="_______l3" localSheetId="28">#REF!</definedName>
    <definedName name="_______l3" localSheetId="42">#REF!</definedName>
    <definedName name="_______l3" localSheetId="31">#REF!</definedName>
    <definedName name="_______l3">#REF!</definedName>
    <definedName name="_______l3_33">"$#REF!.$#REF!$#REF!"</definedName>
    <definedName name="_______l3_38">"$#REF!.$#REF!$#REF!"</definedName>
    <definedName name="_______l3_41">"$#REF!.$#REF!$#REF!"</definedName>
    <definedName name="_______l3_7">"$#REF!.$#REF!$#REF!"</definedName>
    <definedName name="_______l3_8">"$#REF!.$#REF!$#REF!"</definedName>
    <definedName name="_______l4" localSheetId="37">[35]Sheet1!$W$2:$Y$103</definedName>
    <definedName name="_______l4">[28]Sheet1!$W$2:$Y$103</definedName>
    <definedName name="_______l5" localSheetId="33">#REF!</definedName>
    <definedName name="_______l5" localSheetId="34">#REF!</definedName>
    <definedName name="_______l5" localSheetId="35">#REF!</definedName>
    <definedName name="_______l5" localSheetId="5">#REF!</definedName>
    <definedName name="_______l5" localSheetId="8">#REF!</definedName>
    <definedName name="_______l5" localSheetId="10">#REF!</definedName>
    <definedName name="_______l5" localSheetId="11">#REF!</definedName>
    <definedName name="_______l5" localSheetId="28">#REF!</definedName>
    <definedName name="_______l5" localSheetId="42">#REF!</definedName>
    <definedName name="_______l5" localSheetId="31">#REF!</definedName>
    <definedName name="_______l5">#REF!</definedName>
    <definedName name="_______l5_33">"$#REF!.$#REF!$#REF!"</definedName>
    <definedName name="_______l5_38">"$#REF!.$#REF!$#REF!"</definedName>
    <definedName name="_______l5_41">"$#REF!.$#REF!$#REF!"</definedName>
    <definedName name="_______l5_7">"$#REF!.$#REF!$#REF!"</definedName>
    <definedName name="_______l5_8">"$#REF!.$#REF!$#REF!"</definedName>
    <definedName name="_______l6">[6]r!$F$4</definedName>
    <definedName name="_______l7">[7]r!$F$4</definedName>
    <definedName name="_______l8">[6]r!$F$2</definedName>
    <definedName name="_______l9">[6]r!$F$3</definedName>
    <definedName name="_______lcn1">#REF!</definedName>
    <definedName name="_______LI9" localSheetId="8">#REF!</definedName>
    <definedName name="_______LI9" localSheetId="10">#REF!</definedName>
    <definedName name="_______LI9" localSheetId="28">#REF!</definedName>
    <definedName name="_______LI9">#REF!</definedName>
    <definedName name="_______LII9" localSheetId="8">#REF!</definedName>
    <definedName name="_______LII9" localSheetId="10">#REF!</definedName>
    <definedName name="_______LII9" localSheetId="28">#REF!</definedName>
    <definedName name="_______LII9">#REF!</definedName>
    <definedName name="_______lm1">#REF!</definedName>
    <definedName name="_______MIX124">[36]maya!$A$11:$A$18</definedName>
    <definedName name="_______ML11" localSheetId="8">#REF!</definedName>
    <definedName name="_______ML11" localSheetId="10">#REF!</definedName>
    <definedName name="_______ML11" localSheetId="28">#REF!</definedName>
    <definedName name="_______ML11">#REF!</definedName>
    <definedName name="_______ML110" localSheetId="8">#REF!</definedName>
    <definedName name="_______ML110" localSheetId="10">#REF!</definedName>
    <definedName name="_______ML110" localSheetId="28">#REF!</definedName>
    <definedName name="_______ML110">#REF!</definedName>
    <definedName name="_______ML111" localSheetId="8">#REF!</definedName>
    <definedName name="_______ML111" localSheetId="10">#REF!</definedName>
    <definedName name="_______ML111" localSheetId="28">#REF!</definedName>
    <definedName name="_______ML111">#REF!</definedName>
    <definedName name="_______ML112" localSheetId="8">#REF!</definedName>
    <definedName name="_______ML112" localSheetId="10">#REF!</definedName>
    <definedName name="_______ML112" localSheetId="28">#REF!</definedName>
    <definedName name="_______ML112">#REF!</definedName>
    <definedName name="_______ML113" localSheetId="8">#REF!</definedName>
    <definedName name="_______ML113" localSheetId="10">#REF!</definedName>
    <definedName name="_______ML113" localSheetId="28">#REF!</definedName>
    <definedName name="_______ML113">#REF!</definedName>
    <definedName name="_______ML114" localSheetId="8">#REF!</definedName>
    <definedName name="_______ML114" localSheetId="10">#REF!</definedName>
    <definedName name="_______ML114" localSheetId="28">#REF!</definedName>
    <definedName name="_______ML114">#REF!</definedName>
    <definedName name="_______ML115" localSheetId="8">#REF!</definedName>
    <definedName name="_______ML115" localSheetId="10">#REF!</definedName>
    <definedName name="_______ML115" localSheetId="28">#REF!</definedName>
    <definedName name="_______ML115">#REF!</definedName>
    <definedName name="_______ML12" localSheetId="8">#REF!</definedName>
    <definedName name="_______ML12" localSheetId="10">#REF!</definedName>
    <definedName name="_______ML12" localSheetId="28">#REF!</definedName>
    <definedName name="_______ML12">#REF!</definedName>
    <definedName name="_______ML13" localSheetId="8">#REF!</definedName>
    <definedName name="_______ML13" localSheetId="10">#REF!</definedName>
    <definedName name="_______ML13" localSheetId="28">#REF!</definedName>
    <definedName name="_______ML13">#REF!</definedName>
    <definedName name="_______ML14" localSheetId="8">#REF!</definedName>
    <definedName name="_______ML14" localSheetId="10">#REF!</definedName>
    <definedName name="_______ML14" localSheetId="28">#REF!</definedName>
    <definedName name="_______ML14">#REF!</definedName>
    <definedName name="_______ML15" localSheetId="8">#REF!</definedName>
    <definedName name="_______ML15" localSheetId="10">#REF!</definedName>
    <definedName name="_______ML15" localSheetId="28">#REF!</definedName>
    <definedName name="_______ML15">#REF!</definedName>
    <definedName name="_______ML16" localSheetId="8">#REF!</definedName>
    <definedName name="_______ML16" localSheetId="10">#REF!</definedName>
    <definedName name="_______ML16" localSheetId="28">#REF!</definedName>
    <definedName name="_______ML16">#REF!</definedName>
    <definedName name="_______ML17" localSheetId="8">#REF!</definedName>
    <definedName name="_______ML17" localSheetId="10">#REF!</definedName>
    <definedName name="_______ML17" localSheetId="28">#REF!</definedName>
    <definedName name="_______ML17">#REF!</definedName>
    <definedName name="_______ML18" localSheetId="8">#REF!</definedName>
    <definedName name="_______ML18" localSheetId="10">#REF!</definedName>
    <definedName name="_______ML18" localSheetId="28">#REF!</definedName>
    <definedName name="_______ML18">#REF!</definedName>
    <definedName name="_______ML19" localSheetId="8">#REF!</definedName>
    <definedName name="_______ML19" localSheetId="10">#REF!</definedName>
    <definedName name="_______ML19" localSheetId="28">#REF!</definedName>
    <definedName name="_______ML19">#REF!</definedName>
    <definedName name="_______ML21" localSheetId="8">#REF!</definedName>
    <definedName name="_______ML21" localSheetId="10">#REF!</definedName>
    <definedName name="_______ML21" localSheetId="28">#REF!</definedName>
    <definedName name="_______ML21">#REF!</definedName>
    <definedName name="_______ML210" localSheetId="8">#REF!</definedName>
    <definedName name="_______ML210" localSheetId="10">#REF!</definedName>
    <definedName name="_______ML210" localSheetId="28">#REF!</definedName>
    <definedName name="_______ML210">#REF!</definedName>
    <definedName name="_______ML211" localSheetId="8">#REF!</definedName>
    <definedName name="_______ML211" localSheetId="10">#REF!</definedName>
    <definedName name="_______ML211" localSheetId="28">#REF!</definedName>
    <definedName name="_______ML211">#REF!</definedName>
    <definedName name="_______ML212" localSheetId="8">#REF!</definedName>
    <definedName name="_______ML212" localSheetId="10">#REF!</definedName>
    <definedName name="_______ML212" localSheetId="28">#REF!</definedName>
    <definedName name="_______ML212">#REF!</definedName>
    <definedName name="_______ML213" localSheetId="8">#REF!</definedName>
    <definedName name="_______ML213" localSheetId="10">#REF!</definedName>
    <definedName name="_______ML213" localSheetId="28">#REF!</definedName>
    <definedName name="_______ML213">#REF!</definedName>
    <definedName name="_______ML214" localSheetId="8">#REF!</definedName>
    <definedName name="_______ML214" localSheetId="10">#REF!</definedName>
    <definedName name="_______ML214" localSheetId="28">#REF!</definedName>
    <definedName name="_______ML214">#REF!</definedName>
    <definedName name="_______ML215" localSheetId="8">#REF!</definedName>
    <definedName name="_______ML215" localSheetId="10">#REF!</definedName>
    <definedName name="_______ML215" localSheetId="28">#REF!</definedName>
    <definedName name="_______ML215">#REF!</definedName>
    <definedName name="_______ML22" localSheetId="8">#REF!</definedName>
    <definedName name="_______ML22" localSheetId="10">#REF!</definedName>
    <definedName name="_______ML22" localSheetId="28">#REF!</definedName>
    <definedName name="_______ML22">#REF!</definedName>
    <definedName name="_______ML23" localSheetId="8">#REF!</definedName>
    <definedName name="_______ML23" localSheetId="10">#REF!</definedName>
    <definedName name="_______ML23" localSheetId="28">#REF!</definedName>
    <definedName name="_______ML23">#REF!</definedName>
    <definedName name="_______ML24" localSheetId="8">#REF!</definedName>
    <definedName name="_______ML24" localSheetId="10">#REF!</definedName>
    <definedName name="_______ML24" localSheetId="28">#REF!</definedName>
    <definedName name="_______ML24">#REF!</definedName>
    <definedName name="_______ML25" localSheetId="8">#REF!</definedName>
    <definedName name="_______ML25" localSheetId="10">#REF!</definedName>
    <definedName name="_______ML25" localSheetId="28">#REF!</definedName>
    <definedName name="_______ML25">#REF!</definedName>
    <definedName name="_______ML26" localSheetId="8">#REF!</definedName>
    <definedName name="_______ML26" localSheetId="10">#REF!</definedName>
    <definedName name="_______ML26" localSheetId="28">#REF!</definedName>
    <definedName name="_______ML26">#REF!</definedName>
    <definedName name="_______ML27" localSheetId="8">#REF!</definedName>
    <definedName name="_______ML27" localSheetId="10">#REF!</definedName>
    <definedName name="_______ML27" localSheetId="28">#REF!</definedName>
    <definedName name="_______ML27">#REF!</definedName>
    <definedName name="_______ML28" localSheetId="8">#REF!</definedName>
    <definedName name="_______ML28" localSheetId="10">#REF!</definedName>
    <definedName name="_______ML28" localSheetId="28">#REF!</definedName>
    <definedName name="_______ML28">#REF!</definedName>
    <definedName name="_______ML29" localSheetId="8">#REF!</definedName>
    <definedName name="_______ML29" localSheetId="10">#REF!</definedName>
    <definedName name="_______ML29" localSheetId="28">#REF!</definedName>
    <definedName name="_______ML29">#REF!</definedName>
    <definedName name="_______ML31" localSheetId="8">#REF!</definedName>
    <definedName name="_______ML31" localSheetId="10">#REF!</definedName>
    <definedName name="_______ML31" localSheetId="28">#REF!</definedName>
    <definedName name="_______ML31">#REF!</definedName>
    <definedName name="_______ML310" localSheetId="8">#REF!</definedName>
    <definedName name="_______ML310" localSheetId="10">#REF!</definedName>
    <definedName name="_______ML310" localSheetId="28">#REF!</definedName>
    <definedName name="_______ML310">#REF!</definedName>
    <definedName name="_______ML311" localSheetId="8">#REF!</definedName>
    <definedName name="_______ML311" localSheetId="10">#REF!</definedName>
    <definedName name="_______ML311" localSheetId="28">#REF!</definedName>
    <definedName name="_______ML311">#REF!</definedName>
    <definedName name="_______ML312" localSheetId="8">#REF!</definedName>
    <definedName name="_______ML312" localSheetId="10">#REF!</definedName>
    <definedName name="_______ML312" localSheetId="28">#REF!</definedName>
    <definedName name="_______ML312">#REF!</definedName>
    <definedName name="_______ML313" localSheetId="8">#REF!</definedName>
    <definedName name="_______ML313" localSheetId="10">#REF!</definedName>
    <definedName name="_______ML313" localSheetId="28">#REF!</definedName>
    <definedName name="_______ML313">#REF!</definedName>
    <definedName name="_______ML314" localSheetId="8">#REF!</definedName>
    <definedName name="_______ML314" localSheetId="10">#REF!</definedName>
    <definedName name="_______ML314" localSheetId="28">#REF!</definedName>
    <definedName name="_______ML314">#REF!</definedName>
    <definedName name="_______ML315" localSheetId="8">#REF!</definedName>
    <definedName name="_______ML315" localSheetId="10">#REF!</definedName>
    <definedName name="_______ML315" localSheetId="28">#REF!</definedName>
    <definedName name="_______ML315">#REF!</definedName>
    <definedName name="_______ML32" localSheetId="8">#REF!</definedName>
    <definedName name="_______ML32" localSheetId="10">#REF!</definedName>
    <definedName name="_______ML32" localSheetId="28">#REF!</definedName>
    <definedName name="_______ML32">#REF!</definedName>
    <definedName name="_______ML33" localSheetId="8">#REF!</definedName>
    <definedName name="_______ML33" localSheetId="10">#REF!</definedName>
    <definedName name="_______ML33" localSheetId="28">#REF!</definedName>
    <definedName name="_______ML33">#REF!</definedName>
    <definedName name="_______ML34" localSheetId="8">#REF!</definedName>
    <definedName name="_______ML34" localSheetId="10">#REF!</definedName>
    <definedName name="_______ML34" localSheetId="28">#REF!</definedName>
    <definedName name="_______ML34">#REF!</definedName>
    <definedName name="_______ML35" localSheetId="8">#REF!</definedName>
    <definedName name="_______ML35" localSheetId="10">#REF!</definedName>
    <definedName name="_______ML35" localSheetId="28">#REF!</definedName>
    <definedName name="_______ML35">#REF!</definedName>
    <definedName name="_______ML36" localSheetId="8">#REF!</definedName>
    <definedName name="_______ML36" localSheetId="10">#REF!</definedName>
    <definedName name="_______ML36" localSheetId="28">#REF!</definedName>
    <definedName name="_______ML36">#REF!</definedName>
    <definedName name="_______ML37" localSheetId="8">#REF!</definedName>
    <definedName name="_______ML37" localSheetId="10">#REF!</definedName>
    <definedName name="_______ML37" localSheetId="28">#REF!</definedName>
    <definedName name="_______ML37">#REF!</definedName>
    <definedName name="_______ML38" localSheetId="8">#REF!</definedName>
    <definedName name="_______ML38" localSheetId="10">#REF!</definedName>
    <definedName name="_______ML38" localSheetId="28">#REF!</definedName>
    <definedName name="_______ML38">#REF!</definedName>
    <definedName name="_______ML39" localSheetId="8">#REF!</definedName>
    <definedName name="_______ML39" localSheetId="10">#REF!</definedName>
    <definedName name="_______ML39" localSheetId="28">#REF!</definedName>
    <definedName name="_______ML39">#REF!</definedName>
    <definedName name="_______ML7" localSheetId="8">#REF!</definedName>
    <definedName name="_______ML7" localSheetId="10">#REF!</definedName>
    <definedName name="_______ML7" localSheetId="28">#REF!</definedName>
    <definedName name="_______ML7">#REF!</definedName>
    <definedName name="_______ML8" localSheetId="8">#REF!</definedName>
    <definedName name="_______ML8" localSheetId="10">#REF!</definedName>
    <definedName name="_______ML8" localSheetId="28">#REF!</definedName>
    <definedName name="_______ML8">#REF!</definedName>
    <definedName name="_______ML9" localSheetId="8">#REF!</definedName>
    <definedName name="_______ML9" localSheetId="10">#REF!</definedName>
    <definedName name="_______ML9" localSheetId="28">#REF!</definedName>
    <definedName name="_______ML9">#REF!</definedName>
    <definedName name="_______mm1" localSheetId="37">[37]r!$F$4</definedName>
    <definedName name="_______mm1">[29]r!$F$4</definedName>
    <definedName name="_______mm11">[6]r!$F$4</definedName>
    <definedName name="_______mm111">[7]r!$F$4</definedName>
    <definedName name="_______mm20" localSheetId="28">#REF!</definedName>
    <definedName name="_______mm40">#REF!</definedName>
    <definedName name="_______pc2" localSheetId="33">#REF!</definedName>
    <definedName name="_______pc2" localSheetId="34">#REF!</definedName>
    <definedName name="_______pc2" localSheetId="35">#REF!</definedName>
    <definedName name="_______pc2" localSheetId="5">#REF!</definedName>
    <definedName name="_______pc2" localSheetId="8">#REF!</definedName>
    <definedName name="_______pc2" localSheetId="10">#REF!</definedName>
    <definedName name="_______pc2" localSheetId="11">#REF!</definedName>
    <definedName name="_______pc2" localSheetId="28">#REF!</definedName>
    <definedName name="_______pc2" localSheetId="42">#REF!</definedName>
    <definedName name="_______pc2" localSheetId="31">#REF!</definedName>
    <definedName name="_______pc2">#REF!</definedName>
    <definedName name="_______PMS2" localSheetId="8">#REF!</definedName>
    <definedName name="_______PMS2" localSheetId="10">#REF!</definedName>
    <definedName name="_______PMS2" localSheetId="28">#REF!</definedName>
    <definedName name="_______PMS2">#REF!</definedName>
    <definedName name="_______pv1">#REF!</definedName>
    <definedName name="_______pv2" localSheetId="33">#REF!</definedName>
    <definedName name="_______pv2" localSheetId="34">#REF!</definedName>
    <definedName name="_______pv2" localSheetId="35">#REF!</definedName>
    <definedName name="_______pv2" localSheetId="5">#REF!</definedName>
    <definedName name="_______pv2" localSheetId="8">#REF!</definedName>
    <definedName name="_______pv2" localSheetId="10">#REF!</definedName>
    <definedName name="_______pv2" localSheetId="11">#REF!</definedName>
    <definedName name="_______pv2" localSheetId="28">#REF!</definedName>
    <definedName name="_______pv2" localSheetId="42">#REF!</definedName>
    <definedName name="_______pv2" localSheetId="31">#REF!</definedName>
    <definedName name="_______pv2">#REF!</definedName>
    <definedName name="_______rr3" localSheetId="37">[38]v!$A$2:$E$51</definedName>
    <definedName name="_______rr3">[30]v!$A$2:$E$51</definedName>
    <definedName name="_______rrr1" localSheetId="37">[38]r!$B$1:$I$145</definedName>
    <definedName name="_______rrr1">[30]r!$B$1:$I$145</definedName>
    <definedName name="_______SO016" localSheetId="8">#REF!</definedName>
    <definedName name="_______SO016" localSheetId="10">#REF!</definedName>
    <definedName name="_______SO016" localSheetId="11">#REF!</definedName>
    <definedName name="_______SO016" localSheetId="28">#REF!</definedName>
    <definedName name="_______SO016">#REF!</definedName>
    <definedName name="_______SP001" localSheetId="8">#REF!</definedName>
    <definedName name="_______SP001" localSheetId="10">#REF!</definedName>
    <definedName name="_______SP001" localSheetId="11">#REF!</definedName>
    <definedName name="_______SP001" localSheetId="28">#REF!</definedName>
    <definedName name="_______SP001">#REF!</definedName>
    <definedName name="_______SP002" localSheetId="8">#REF!</definedName>
    <definedName name="_______SP002" localSheetId="10">#REF!</definedName>
    <definedName name="_______SP002" localSheetId="11">#REF!</definedName>
    <definedName name="_______SP002" localSheetId="28">#REF!</definedName>
    <definedName name="_______SP002">#REF!</definedName>
    <definedName name="_______SP003" localSheetId="8">#REF!</definedName>
    <definedName name="_______SP003" localSheetId="10">#REF!</definedName>
    <definedName name="_______SP003" localSheetId="11">#REF!</definedName>
    <definedName name="_______SP003" localSheetId="28">#REF!</definedName>
    <definedName name="_______SP003">#REF!</definedName>
    <definedName name="_______SP004" localSheetId="8">#REF!</definedName>
    <definedName name="_______SP004" localSheetId="10">#REF!</definedName>
    <definedName name="_______SP004" localSheetId="11">#REF!</definedName>
    <definedName name="_______SP004" localSheetId="28">#REF!</definedName>
    <definedName name="_______SP004">#REF!</definedName>
    <definedName name="_______SP005" localSheetId="8">#REF!</definedName>
    <definedName name="_______SP005" localSheetId="10">#REF!</definedName>
    <definedName name="_______SP005" localSheetId="11">#REF!</definedName>
    <definedName name="_______SP005" localSheetId="28">#REF!</definedName>
    <definedName name="_______SP005">#REF!</definedName>
    <definedName name="_______SP006" localSheetId="8">#REF!</definedName>
    <definedName name="_______SP006" localSheetId="10">#REF!</definedName>
    <definedName name="_______SP006" localSheetId="11">#REF!</definedName>
    <definedName name="_______SP006" localSheetId="28">#REF!</definedName>
    <definedName name="_______SP006">#REF!</definedName>
    <definedName name="_______SP007" localSheetId="8">#REF!</definedName>
    <definedName name="_______SP007" localSheetId="10">#REF!</definedName>
    <definedName name="_______SP007" localSheetId="11">#REF!</definedName>
    <definedName name="_______SP007" localSheetId="28">#REF!</definedName>
    <definedName name="_______SP007">#REF!</definedName>
    <definedName name="_______SP008" localSheetId="8">#REF!</definedName>
    <definedName name="_______SP008" localSheetId="10">#REF!</definedName>
    <definedName name="_______SP008" localSheetId="11">#REF!</definedName>
    <definedName name="_______SP008" localSheetId="28">#REF!</definedName>
    <definedName name="_______SP008">#REF!</definedName>
    <definedName name="_______SP009" localSheetId="8">#REF!</definedName>
    <definedName name="_______SP009" localSheetId="10">#REF!</definedName>
    <definedName name="_______SP009" localSheetId="11">#REF!</definedName>
    <definedName name="_______SP009" localSheetId="28">#REF!</definedName>
    <definedName name="_______SP009">#REF!</definedName>
    <definedName name="_______SP010" localSheetId="8">#REF!</definedName>
    <definedName name="_______SP010" localSheetId="10">#REF!</definedName>
    <definedName name="_______SP010" localSheetId="11">#REF!</definedName>
    <definedName name="_______SP010" localSheetId="28">#REF!</definedName>
    <definedName name="_______SP010">#REF!</definedName>
    <definedName name="_______SP011" localSheetId="8">#REF!</definedName>
    <definedName name="_______SP011" localSheetId="10">#REF!</definedName>
    <definedName name="_______SP011" localSheetId="11">#REF!</definedName>
    <definedName name="_______SP011" localSheetId="28">#REF!</definedName>
    <definedName name="_______SP011">#REF!</definedName>
    <definedName name="_______SP012" localSheetId="8">#REF!</definedName>
    <definedName name="_______SP012" localSheetId="10">#REF!</definedName>
    <definedName name="_______SP012" localSheetId="11">#REF!</definedName>
    <definedName name="_______SP012" localSheetId="28">#REF!</definedName>
    <definedName name="_______SP012">#REF!</definedName>
    <definedName name="_______SP013" localSheetId="8">#REF!</definedName>
    <definedName name="_______SP013" localSheetId="10">#REF!</definedName>
    <definedName name="_______SP013" localSheetId="11">#REF!</definedName>
    <definedName name="_______SP013" localSheetId="28">#REF!</definedName>
    <definedName name="_______SP013">#REF!</definedName>
    <definedName name="_______SP014" localSheetId="8">#REF!</definedName>
    <definedName name="_______SP014" localSheetId="10">#REF!</definedName>
    <definedName name="_______SP014" localSheetId="11">#REF!</definedName>
    <definedName name="_______SP014" localSheetId="28">#REF!</definedName>
    <definedName name="_______SP014">#REF!</definedName>
    <definedName name="_______SP015" localSheetId="8">#REF!</definedName>
    <definedName name="_______SP015" localSheetId="10">#REF!</definedName>
    <definedName name="_______SP015" localSheetId="11">#REF!</definedName>
    <definedName name="_______SP015" localSheetId="28">#REF!</definedName>
    <definedName name="_______SP015">#REF!</definedName>
    <definedName name="_______SP016" localSheetId="8">#REF!</definedName>
    <definedName name="_______SP016" localSheetId="10">#REF!</definedName>
    <definedName name="_______SP016" localSheetId="11">#REF!</definedName>
    <definedName name="_______SP016" localSheetId="28">#REF!</definedName>
    <definedName name="_______SP016">#REF!</definedName>
    <definedName name="_______SP017" localSheetId="8">#REF!</definedName>
    <definedName name="_______SP017" localSheetId="10">#REF!</definedName>
    <definedName name="_______SP017" localSheetId="11">#REF!</definedName>
    <definedName name="_______SP017" localSheetId="28">#REF!</definedName>
    <definedName name="_______SP017">#REF!</definedName>
    <definedName name="_______SP018" localSheetId="8">#REF!</definedName>
    <definedName name="_______SP018" localSheetId="10">#REF!</definedName>
    <definedName name="_______SP018" localSheetId="11">#REF!</definedName>
    <definedName name="_______SP018" localSheetId="28">#REF!</definedName>
    <definedName name="_______SP018">#REF!</definedName>
    <definedName name="_______SP019" localSheetId="8">#REF!</definedName>
    <definedName name="_______SP019" localSheetId="10">#REF!</definedName>
    <definedName name="_______SP019" localSheetId="11">#REF!</definedName>
    <definedName name="_______SP019" localSheetId="28">#REF!</definedName>
    <definedName name="_______SP019">#REF!</definedName>
    <definedName name="_______SP020" localSheetId="8">#REF!</definedName>
    <definedName name="_______SP020" localSheetId="10">#REF!</definedName>
    <definedName name="_______SP020" localSheetId="11">#REF!</definedName>
    <definedName name="_______SP020" localSheetId="28">#REF!</definedName>
    <definedName name="_______SP020">#REF!</definedName>
    <definedName name="_______SP021" localSheetId="8">#REF!</definedName>
    <definedName name="_______SP021" localSheetId="10">#REF!</definedName>
    <definedName name="_______SP021" localSheetId="11">#REF!</definedName>
    <definedName name="_______SP021" localSheetId="28">#REF!</definedName>
    <definedName name="_______SP021">#REF!</definedName>
    <definedName name="_______SP022" localSheetId="8">#REF!</definedName>
    <definedName name="_______SP022" localSheetId="10">#REF!</definedName>
    <definedName name="_______SP022" localSheetId="11">#REF!</definedName>
    <definedName name="_______SP022" localSheetId="28">#REF!</definedName>
    <definedName name="_______SP022">#REF!</definedName>
    <definedName name="_______SP023" localSheetId="8">#REF!</definedName>
    <definedName name="_______SP023" localSheetId="10">#REF!</definedName>
    <definedName name="_______SP023" localSheetId="11">#REF!</definedName>
    <definedName name="_______SP023" localSheetId="28">#REF!</definedName>
    <definedName name="_______SP023">#REF!</definedName>
    <definedName name="_______SP024" localSheetId="8">#REF!</definedName>
    <definedName name="_______SP024" localSheetId="10">#REF!</definedName>
    <definedName name="_______SP024" localSheetId="11">#REF!</definedName>
    <definedName name="_______SP024" localSheetId="28">#REF!</definedName>
    <definedName name="_______SP024">#REF!</definedName>
    <definedName name="_______SP025" localSheetId="8">#REF!</definedName>
    <definedName name="_______SP025" localSheetId="10">#REF!</definedName>
    <definedName name="_______SP025" localSheetId="11">#REF!</definedName>
    <definedName name="_______SP025" localSheetId="28">#REF!</definedName>
    <definedName name="_______SP025">#REF!</definedName>
    <definedName name="_______SP026" localSheetId="8">#REF!</definedName>
    <definedName name="_______SP026" localSheetId="10">#REF!</definedName>
    <definedName name="_______SP026" localSheetId="11">#REF!</definedName>
    <definedName name="_______SP026" localSheetId="28">#REF!</definedName>
    <definedName name="_______SP026">#REF!</definedName>
    <definedName name="_______SP027" localSheetId="8">#REF!</definedName>
    <definedName name="_______SP027" localSheetId="10">#REF!</definedName>
    <definedName name="_______SP027" localSheetId="11">#REF!</definedName>
    <definedName name="_______SP027" localSheetId="28">#REF!</definedName>
    <definedName name="_______SP027">#REF!</definedName>
    <definedName name="_______SP028" localSheetId="8">#REF!</definedName>
    <definedName name="_______SP028" localSheetId="10">#REF!</definedName>
    <definedName name="_______SP028" localSheetId="11">#REF!</definedName>
    <definedName name="_______SP028" localSheetId="28">#REF!</definedName>
    <definedName name="_______SP028">#REF!</definedName>
    <definedName name="_______SP029" localSheetId="8">#REF!</definedName>
    <definedName name="_______SP029" localSheetId="10">#REF!</definedName>
    <definedName name="_______SP029" localSheetId="11">#REF!</definedName>
    <definedName name="_______SP029" localSheetId="28">#REF!</definedName>
    <definedName name="_______SP029">#REF!</definedName>
    <definedName name="_______SP030" localSheetId="8">#REF!</definedName>
    <definedName name="_______SP030" localSheetId="10">#REF!</definedName>
    <definedName name="_______SP030" localSheetId="11">#REF!</definedName>
    <definedName name="_______SP030" localSheetId="28">#REF!</definedName>
    <definedName name="_______SP030">#REF!</definedName>
    <definedName name="_______SP031" localSheetId="8">#REF!</definedName>
    <definedName name="_______SP031" localSheetId="10">#REF!</definedName>
    <definedName name="_______SP031" localSheetId="11">#REF!</definedName>
    <definedName name="_______SP031" localSheetId="28">#REF!</definedName>
    <definedName name="_______SP031">#REF!</definedName>
    <definedName name="_______SP032" localSheetId="8">#REF!</definedName>
    <definedName name="_______SP032" localSheetId="10">#REF!</definedName>
    <definedName name="_______SP032" localSheetId="11">#REF!</definedName>
    <definedName name="_______SP032" localSheetId="28">#REF!</definedName>
    <definedName name="_______SP032">#REF!</definedName>
    <definedName name="_______SP033" localSheetId="8">#REF!</definedName>
    <definedName name="_______SP033" localSheetId="10">#REF!</definedName>
    <definedName name="_______SP033" localSheetId="11">#REF!</definedName>
    <definedName name="_______SP033" localSheetId="28">#REF!</definedName>
    <definedName name="_______SP033">#REF!</definedName>
    <definedName name="_______SP034" localSheetId="8">#REF!</definedName>
    <definedName name="_______SP034" localSheetId="10">#REF!</definedName>
    <definedName name="_______SP034" localSheetId="11">#REF!</definedName>
    <definedName name="_______SP034" localSheetId="28">#REF!</definedName>
    <definedName name="_______SP034">#REF!</definedName>
    <definedName name="_______SP035" localSheetId="8">#REF!</definedName>
    <definedName name="_______SP035" localSheetId="10">#REF!</definedName>
    <definedName name="_______SP035" localSheetId="11">#REF!</definedName>
    <definedName name="_______SP035" localSheetId="28">#REF!</definedName>
    <definedName name="_______SP035">#REF!</definedName>
    <definedName name="_______SP036" localSheetId="8">#REF!</definedName>
    <definedName name="_______SP036" localSheetId="10">#REF!</definedName>
    <definedName name="_______SP036" localSheetId="11">#REF!</definedName>
    <definedName name="_______SP036" localSheetId="28">#REF!</definedName>
    <definedName name="_______SP036">#REF!</definedName>
    <definedName name="_______SP037" localSheetId="8">#REF!</definedName>
    <definedName name="_______SP037" localSheetId="10">#REF!</definedName>
    <definedName name="_______SP037" localSheetId="11">#REF!</definedName>
    <definedName name="_______SP037" localSheetId="28">#REF!</definedName>
    <definedName name="_______SP037">#REF!</definedName>
    <definedName name="_______SP038" localSheetId="8">#REF!</definedName>
    <definedName name="_______SP038" localSheetId="10">#REF!</definedName>
    <definedName name="_______SP038" localSheetId="11">#REF!</definedName>
    <definedName name="_______SP038" localSheetId="28">#REF!</definedName>
    <definedName name="_______SP038">#REF!</definedName>
    <definedName name="_______SP039" localSheetId="8">#REF!</definedName>
    <definedName name="_______SP039" localSheetId="10">#REF!</definedName>
    <definedName name="_______SP039" localSheetId="11">#REF!</definedName>
    <definedName name="_______SP039" localSheetId="28">#REF!</definedName>
    <definedName name="_______SP039">#REF!</definedName>
    <definedName name="_______SP040" localSheetId="8">#REF!</definedName>
    <definedName name="_______SP040" localSheetId="10">#REF!</definedName>
    <definedName name="_______SP040" localSheetId="11">#REF!</definedName>
    <definedName name="_______SP040" localSheetId="28">#REF!</definedName>
    <definedName name="_______SP040">#REF!</definedName>
    <definedName name="_______SP041" localSheetId="8">#REF!</definedName>
    <definedName name="_______SP041" localSheetId="10">#REF!</definedName>
    <definedName name="_______SP041" localSheetId="11">#REF!</definedName>
    <definedName name="_______SP041" localSheetId="28">#REF!</definedName>
    <definedName name="_______SP041">#REF!</definedName>
    <definedName name="_______SP042" localSheetId="8">#REF!</definedName>
    <definedName name="_______SP042" localSheetId="10">#REF!</definedName>
    <definedName name="_______SP042" localSheetId="11">#REF!</definedName>
    <definedName name="_______SP042" localSheetId="28">#REF!</definedName>
    <definedName name="_______SP042">#REF!</definedName>
    <definedName name="_______SP043" localSheetId="8">#REF!</definedName>
    <definedName name="_______SP043" localSheetId="10">#REF!</definedName>
    <definedName name="_______SP043" localSheetId="11">#REF!</definedName>
    <definedName name="_______SP043" localSheetId="28">#REF!</definedName>
    <definedName name="_______SP043">#REF!</definedName>
    <definedName name="_______SP044" localSheetId="8">#REF!</definedName>
    <definedName name="_______SP044" localSheetId="10">#REF!</definedName>
    <definedName name="_______SP044" localSheetId="11">#REF!</definedName>
    <definedName name="_______SP044" localSheetId="28">#REF!</definedName>
    <definedName name="_______SP044">#REF!</definedName>
    <definedName name="_______SP045" localSheetId="8">#REF!</definedName>
    <definedName name="_______SP045" localSheetId="10">#REF!</definedName>
    <definedName name="_______SP045" localSheetId="11">#REF!</definedName>
    <definedName name="_______SP045" localSheetId="28">#REF!</definedName>
    <definedName name="_______SP045">#REF!</definedName>
    <definedName name="_______SP046" localSheetId="8">#REF!</definedName>
    <definedName name="_______SP046" localSheetId="10">#REF!</definedName>
    <definedName name="_______SP046" localSheetId="11">#REF!</definedName>
    <definedName name="_______SP046" localSheetId="28">#REF!</definedName>
    <definedName name="_______SP046">#REF!</definedName>
    <definedName name="_______SP047" localSheetId="8">#REF!</definedName>
    <definedName name="_______SP047" localSheetId="10">#REF!</definedName>
    <definedName name="_______SP047" localSheetId="11">#REF!</definedName>
    <definedName name="_______SP047" localSheetId="28">#REF!</definedName>
    <definedName name="_______SP047">#REF!</definedName>
    <definedName name="_______SP048" localSheetId="8">#REF!</definedName>
    <definedName name="_______SP048" localSheetId="10">#REF!</definedName>
    <definedName name="_______SP048" localSheetId="11">#REF!</definedName>
    <definedName name="_______SP048" localSheetId="28">#REF!</definedName>
    <definedName name="_______SP048">#REF!</definedName>
    <definedName name="_______SP049" localSheetId="8">#REF!</definedName>
    <definedName name="_______SP049" localSheetId="10">#REF!</definedName>
    <definedName name="_______SP049" localSheetId="11">#REF!</definedName>
    <definedName name="_______SP049" localSheetId="28">#REF!</definedName>
    <definedName name="_______SP049">#REF!</definedName>
    <definedName name="_______SP050" localSheetId="8">#REF!</definedName>
    <definedName name="_______SP050" localSheetId="10">#REF!</definedName>
    <definedName name="_______SP050" localSheetId="11">#REF!</definedName>
    <definedName name="_______SP050" localSheetId="28">#REF!</definedName>
    <definedName name="_______SP050">#REF!</definedName>
    <definedName name="_______SP051" localSheetId="8">#REF!</definedName>
    <definedName name="_______SP051" localSheetId="10">#REF!</definedName>
    <definedName name="_______SP051" localSheetId="11">#REF!</definedName>
    <definedName name="_______SP051" localSheetId="28">#REF!</definedName>
    <definedName name="_______SP051">#REF!</definedName>
    <definedName name="_______SP052" localSheetId="8">#REF!</definedName>
    <definedName name="_______SP052" localSheetId="10">#REF!</definedName>
    <definedName name="_______SP052" localSheetId="11">#REF!</definedName>
    <definedName name="_______SP052" localSheetId="28">#REF!</definedName>
    <definedName name="_______SP052">#REF!</definedName>
    <definedName name="_______SP053" localSheetId="8">#REF!</definedName>
    <definedName name="_______SP053" localSheetId="10">#REF!</definedName>
    <definedName name="_______SP053" localSheetId="11">#REF!</definedName>
    <definedName name="_______SP053" localSheetId="28">#REF!</definedName>
    <definedName name="_______SP053">#REF!</definedName>
    <definedName name="_______SP054" localSheetId="8">#REF!</definedName>
    <definedName name="_______SP054" localSheetId="10">#REF!</definedName>
    <definedName name="_______SP054" localSheetId="11">#REF!</definedName>
    <definedName name="_______SP054" localSheetId="28">#REF!</definedName>
    <definedName name="_______SP054">#REF!</definedName>
    <definedName name="_______SP055" localSheetId="8">#REF!</definedName>
    <definedName name="_______SP055" localSheetId="10">#REF!</definedName>
    <definedName name="_______SP055" localSheetId="11">#REF!</definedName>
    <definedName name="_______SP055" localSheetId="28">#REF!</definedName>
    <definedName name="_______SP055">#REF!</definedName>
    <definedName name="_______SP056" localSheetId="8">#REF!</definedName>
    <definedName name="_______SP056" localSheetId="10">#REF!</definedName>
    <definedName name="_______SP056" localSheetId="11">#REF!</definedName>
    <definedName name="_______SP056" localSheetId="28">#REF!</definedName>
    <definedName name="_______SP056">#REF!</definedName>
    <definedName name="_______SP057" localSheetId="8">#REF!</definedName>
    <definedName name="_______SP057" localSheetId="10">#REF!</definedName>
    <definedName name="_______SP057" localSheetId="11">#REF!</definedName>
    <definedName name="_______SP057" localSheetId="28">#REF!</definedName>
    <definedName name="_______SP057">#REF!</definedName>
    <definedName name="_______SP058" localSheetId="8">#REF!</definedName>
    <definedName name="_______SP058" localSheetId="10">#REF!</definedName>
    <definedName name="_______SP058" localSheetId="11">#REF!</definedName>
    <definedName name="_______SP058" localSheetId="28">#REF!</definedName>
    <definedName name="_______SP058">#REF!</definedName>
    <definedName name="_______SP059" localSheetId="8">#REF!</definedName>
    <definedName name="_______SP059" localSheetId="10">#REF!</definedName>
    <definedName name="_______SP059" localSheetId="11">#REF!</definedName>
    <definedName name="_______SP059" localSheetId="28">#REF!</definedName>
    <definedName name="_______SP059">#REF!</definedName>
    <definedName name="_______SP060" localSheetId="8">#REF!</definedName>
    <definedName name="_______SP060" localSheetId="10">#REF!</definedName>
    <definedName name="_______SP060" localSheetId="11">#REF!</definedName>
    <definedName name="_______SP060" localSheetId="28">#REF!</definedName>
    <definedName name="_______SP060">#REF!</definedName>
    <definedName name="_______SP061" localSheetId="8">#REF!</definedName>
    <definedName name="_______SP061" localSheetId="10">#REF!</definedName>
    <definedName name="_______SP061" localSheetId="11">#REF!</definedName>
    <definedName name="_______SP061" localSheetId="28">#REF!</definedName>
    <definedName name="_______SP061">#REF!</definedName>
    <definedName name="_______SP062" localSheetId="8">#REF!</definedName>
    <definedName name="_______SP062" localSheetId="10">#REF!</definedName>
    <definedName name="_______SP062" localSheetId="11">#REF!</definedName>
    <definedName name="_______SP062" localSheetId="28">#REF!</definedName>
    <definedName name="_______SP062">#REF!</definedName>
    <definedName name="_______SP063" localSheetId="8">#REF!</definedName>
    <definedName name="_______SP063" localSheetId="10">#REF!</definedName>
    <definedName name="_______SP063" localSheetId="11">#REF!</definedName>
    <definedName name="_______SP063" localSheetId="28">#REF!</definedName>
    <definedName name="_______SP063">#REF!</definedName>
    <definedName name="_______SP064" localSheetId="8">#REF!</definedName>
    <definedName name="_______SP064" localSheetId="10">#REF!</definedName>
    <definedName name="_______SP064" localSheetId="11">#REF!</definedName>
    <definedName name="_______SP064" localSheetId="28">#REF!</definedName>
    <definedName name="_______SP064">#REF!</definedName>
    <definedName name="_______SP065" localSheetId="8">#REF!</definedName>
    <definedName name="_______SP065" localSheetId="10">#REF!</definedName>
    <definedName name="_______SP065" localSheetId="11">#REF!</definedName>
    <definedName name="_______SP065" localSheetId="28">#REF!</definedName>
    <definedName name="_______SP065">#REF!</definedName>
    <definedName name="_______SP066" localSheetId="8">#REF!</definedName>
    <definedName name="_______SP066" localSheetId="10">#REF!</definedName>
    <definedName name="_______SP066" localSheetId="11">#REF!</definedName>
    <definedName name="_______SP066" localSheetId="28">#REF!</definedName>
    <definedName name="_______SP066">#REF!</definedName>
    <definedName name="_______SP067" localSheetId="8">#REF!</definedName>
    <definedName name="_______SP067" localSheetId="10">#REF!</definedName>
    <definedName name="_______SP067" localSheetId="11">#REF!</definedName>
    <definedName name="_______SP067" localSheetId="28">#REF!</definedName>
    <definedName name="_______SP067">#REF!</definedName>
    <definedName name="_______SP068" localSheetId="8">#REF!</definedName>
    <definedName name="_______SP068" localSheetId="10">#REF!</definedName>
    <definedName name="_______SP068" localSheetId="11">#REF!</definedName>
    <definedName name="_______SP068" localSheetId="28">#REF!</definedName>
    <definedName name="_______SP068">#REF!</definedName>
    <definedName name="_______SP069" localSheetId="8">#REF!</definedName>
    <definedName name="_______SP069" localSheetId="10">#REF!</definedName>
    <definedName name="_______SP069" localSheetId="11">#REF!</definedName>
    <definedName name="_______SP069" localSheetId="28">#REF!</definedName>
    <definedName name="_______SP069">#REF!</definedName>
    <definedName name="_______SP070" localSheetId="8">#REF!</definedName>
    <definedName name="_______SP070" localSheetId="10">#REF!</definedName>
    <definedName name="_______SP070" localSheetId="11">#REF!</definedName>
    <definedName name="_______SP070" localSheetId="28">#REF!</definedName>
    <definedName name="_______SP070">#REF!</definedName>
    <definedName name="_______sp071" localSheetId="8">#REF!</definedName>
    <definedName name="_______sp071" localSheetId="10">#REF!</definedName>
    <definedName name="_______sp071" localSheetId="11">#REF!</definedName>
    <definedName name="_______sp071" localSheetId="28">#REF!</definedName>
    <definedName name="_______sp071">#REF!</definedName>
    <definedName name="_______SP072" localSheetId="8">#REF!</definedName>
    <definedName name="_______SP072" localSheetId="10">#REF!</definedName>
    <definedName name="_______SP072" localSheetId="11">#REF!</definedName>
    <definedName name="_______SP072" localSheetId="28">#REF!</definedName>
    <definedName name="_______SP072">#REF!</definedName>
    <definedName name="_______SP073" localSheetId="8">#REF!</definedName>
    <definedName name="_______SP073" localSheetId="10">#REF!</definedName>
    <definedName name="_______SP073" localSheetId="11">#REF!</definedName>
    <definedName name="_______SP073" localSheetId="28">#REF!</definedName>
    <definedName name="_______SP073">#REF!</definedName>
    <definedName name="_______SP074" localSheetId="8">#REF!</definedName>
    <definedName name="_______SP074" localSheetId="10">#REF!</definedName>
    <definedName name="_______SP074" localSheetId="11">#REF!</definedName>
    <definedName name="_______SP074" localSheetId="28">#REF!</definedName>
    <definedName name="_______SP074">#REF!</definedName>
    <definedName name="_______SP075" localSheetId="8">#REF!</definedName>
    <definedName name="_______SP075" localSheetId="10">#REF!</definedName>
    <definedName name="_______SP075" localSheetId="11">#REF!</definedName>
    <definedName name="_______SP075" localSheetId="28">#REF!</definedName>
    <definedName name="_______SP075">#REF!</definedName>
    <definedName name="_______SP076" localSheetId="8">#REF!</definedName>
    <definedName name="_______SP076" localSheetId="10">#REF!</definedName>
    <definedName name="_______SP076" localSheetId="11">#REF!</definedName>
    <definedName name="_______SP076" localSheetId="28">#REF!</definedName>
    <definedName name="_______SP076">#REF!</definedName>
    <definedName name="_______SP077" localSheetId="8">#REF!</definedName>
    <definedName name="_______SP077" localSheetId="10">#REF!</definedName>
    <definedName name="_______SP077" localSheetId="11">#REF!</definedName>
    <definedName name="_______SP077" localSheetId="28">#REF!</definedName>
    <definedName name="_______SP077">#REF!</definedName>
    <definedName name="_______sp078" localSheetId="8">#REF!</definedName>
    <definedName name="_______sp078" localSheetId="10">#REF!</definedName>
    <definedName name="_______sp078" localSheetId="11">#REF!</definedName>
    <definedName name="_______sp078" localSheetId="28">#REF!</definedName>
    <definedName name="_______sp078">#REF!</definedName>
    <definedName name="_______SPO79" localSheetId="8">#REF!</definedName>
    <definedName name="_______SPO79" localSheetId="10">#REF!</definedName>
    <definedName name="_______SPO79" localSheetId="11">#REF!</definedName>
    <definedName name="_______SPO79" localSheetId="28">#REF!</definedName>
    <definedName name="_______SPO79">#REF!</definedName>
    <definedName name="_______ss12" localSheetId="37">[40]rdamdata!$J$8</definedName>
    <definedName name="_______ss12">[31]rdamdata!$J$8</definedName>
    <definedName name="_______ss20" localSheetId="37">[40]rdamdata!$J$7</definedName>
    <definedName name="_______ss20">[31]rdamdata!$J$7</definedName>
    <definedName name="_______ss40" localSheetId="37">[40]rdamdata!$J$6</definedName>
    <definedName name="_______ss40">[31]rdamdata!$J$6</definedName>
    <definedName name="_______sw1" localSheetId="28">#REF!</definedName>
    <definedName name="_______t1">#REF!</definedName>
    <definedName name="_______t2">#REF!</definedName>
    <definedName name="_______tab1">#REF!</definedName>
    <definedName name="_______us1">#REF!</definedName>
    <definedName name="_______var1" localSheetId="33">#REF!</definedName>
    <definedName name="_______var1" localSheetId="34">#REF!</definedName>
    <definedName name="_______var1" localSheetId="35">#REF!</definedName>
    <definedName name="_______var1" localSheetId="5">#REF!</definedName>
    <definedName name="_______var1" localSheetId="8">#REF!</definedName>
    <definedName name="_______var1" localSheetId="10">#REF!</definedName>
    <definedName name="_______var1" localSheetId="11">#REF!</definedName>
    <definedName name="_______var1" localSheetId="28">#REF!</definedName>
    <definedName name="_______var1" localSheetId="42">#REF!</definedName>
    <definedName name="_______var1" localSheetId="31">#REF!</definedName>
    <definedName name="_______var1">#REF!</definedName>
    <definedName name="_______var1_33">"$#REF!.$#REF!$#REF!"</definedName>
    <definedName name="_______var1_38">"$#REF!.$#REF!$#REF!"</definedName>
    <definedName name="_______var1_41">"$#REF!.$#REF!$#REF!"</definedName>
    <definedName name="_______var1_7">"$#REF!.$#REF!$#REF!"</definedName>
    <definedName name="_______var1_8">"$#REF!.$#REF!$#REF!"</definedName>
    <definedName name="_______var4" localSheetId="33">#REF!</definedName>
    <definedName name="_______var4" localSheetId="34">#REF!</definedName>
    <definedName name="_______var4" localSheetId="35">#REF!</definedName>
    <definedName name="_______var4" localSheetId="5">#REF!</definedName>
    <definedName name="_______var4" localSheetId="8">#REF!</definedName>
    <definedName name="_______var4" localSheetId="10">#REF!</definedName>
    <definedName name="_______var4" localSheetId="11">#REF!</definedName>
    <definedName name="_______var4" localSheetId="28">#REF!</definedName>
    <definedName name="_______var4" localSheetId="42">#REF!</definedName>
    <definedName name="_______var4" localSheetId="31">#REF!</definedName>
    <definedName name="_______var4">#REF!</definedName>
    <definedName name="_______var4_33">"$#REF!.$#REF!$#REF!"</definedName>
    <definedName name="_______var4_38">"$#REF!.$#REF!$#REF!"</definedName>
    <definedName name="_______var4_41">"$#REF!.$#REF!$#REF!"</definedName>
    <definedName name="_______var4_7">"$#REF!.$#REF!$#REF!"</definedName>
    <definedName name="_______var4_8">"$#REF!.$#REF!$#REF!"</definedName>
    <definedName name="_______vat1">#REF!</definedName>
    <definedName name="_______vat2">#REF!</definedName>
    <definedName name="_______xlfn_BAHTTEXT">#N/A</definedName>
    <definedName name="______abs1" localSheetId="5">#REF!</definedName>
    <definedName name="______abs1" localSheetId="14">#REF!</definedName>
    <definedName name="______abs1" localSheetId="8">#REF!</definedName>
    <definedName name="______abs1" localSheetId="10">#REF!</definedName>
    <definedName name="______abs1" localSheetId="28">#REF!</definedName>
    <definedName name="______abs1">#REF!</definedName>
    <definedName name="______AUX1">#REF!</definedName>
    <definedName name="______aux2" localSheetId="28">#REF!</definedName>
    <definedName name="______AUX3">#REF!</definedName>
    <definedName name="______bla1" localSheetId="37">[8]leads!$H$7</definedName>
    <definedName name="______bla1">[26]leads!$H$7</definedName>
    <definedName name="______BSG100" localSheetId="8">#REF!</definedName>
    <definedName name="______BSG100" localSheetId="10">#REF!</definedName>
    <definedName name="______BSG100" localSheetId="28">#REF!</definedName>
    <definedName name="______BSG100">#REF!</definedName>
    <definedName name="______BSG150" localSheetId="8">#REF!</definedName>
    <definedName name="______BSG150" localSheetId="10">#REF!</definedName>
    <definedName name="______BSG150" localSheetId="28">#REF!</definedName>
    <definedName name="______BSG150">#REF!</definedName>
    <definedName name="______BSG5" localSheetId="8">#REF!</definedName>
    <definedName name="______BSG5" localSheetId="10">#REF!</definedName>
    <definedName name="______BSG5" localSheetId="28">#REF!</definedName>
    <definedName name="______BSG5">#REF!</definedName>
    <definedName name="______BSG75" localSheetId="8">#REF!</definedName>
    <definedName name="______BSG75" localSheetId="10">#REF!</definedName>
    <definedName name="______BSG75" localSheetId="28">#REF!</definedName>
    <definedName name="______BSG75">#REF!</definedName>
    <definedName name="______BTC1" localSheetId="8">#REF!</definedName>
    <definedName name="______BTC1" localSheetId="10">#REF!</definedName>
    <definedName name="______BTC1" localSheetId="28">#REF!</definedName>
    <definedName name="______BTC1">#REF!</definedName>
    <definedName name="______BTC10" localSheetId="8">#REF!</definedName>
    <definedName name="______BTC10" localSheetId="10">#REF!</definedName>
    <definedName name="______BTC10" localSheetId="28">#REF!</definedName>
    <definedName name="______BTC10">#REF!</definedName>
    <definedName name="______BTC11" localSheetId="8">#REF!</definedName>
    <definedName name="______BTC11" localSheetId="10">#REF!</definedName>
    <definedName name="______BTC11" localSheetId="28">#REF!</definedName>
    <definedName name="______BTC11">#REF!</definedName>
    <definedName name="______BTC12" localSheetId="8">#REF!</definedName>
    <definedName name="______BTC12" localSheetId="10">#REF!</definedName>
    <definedName name="______BTC12" localSheetId="28">#REF!</definedName>
    <definedName name="______BTC12">#REF!</definedName>
    <definedName name="______BTC13" localSheetId="8">#REF!</definedName>
    <definedName name="______BTC13" localSheetId="10">#REF!</definedName>
    <definedName name="______BTC13" localSheetId="28">#REF!</definedName>
    <definedName name="______BTC13">#REF!</definedName>
    <definedName name="______BTC14" localSheetId="8">#REF!</definedName>
    <definedName name="______BTC14" localSheetId="10">#REF!</definedName>
    <definedName name="______BTC14" localSheetId="28">#REF!</definedName>
    <definedName name="______BTC14">#REF!</definedName>
    <definedName name="______BTC15" localSheetId="8">#REF!</definedName>
    <definedName name="______BTC15" localSheetId="10">#REF!</definedName>
    <definedName name="______BTC15" localSheetId="28">#REF!</definedName>
    <definedName name="______BTC15">#REF!</definedName>
    <definedName name="______BTC2" localSheetId="8">#REF!</definedName>
    <definedName name="______BTC2" localSheetId="10">#REF!</definedName>
    <definedName name="______BTC2" localSheetId="28">#REF!</definedName>
    <definedName name="______BTC2">#REF!</definedName>
    <definedName name="______BTC3" localSheetId="8">#REF!</definedName>
    <definedName name="______BTC3" localSheetId="10">#REF!</definedName>
    <definedName name="______BTC3" localSheetId="28">#REF!</definedName>
    <definedName name="______BTC3">#REF!</definedName>
    <definedName name="______BTC4" localSheetId="8">#REF!</definedName>
    <definedName name="______BTC4" localSheetId="10">#REF!</definedName>
    <definedName name="______BTC4" localSheetId="28">#REF!</definedName>
    <definedName name="______BTC4">#REF!</definedName>
    <definedName name="______BTC5" localSheetId="8">#REF!</definedName>
    <definedName name="______BTC5" localSheetId="10">#REF!</definedName>
    <definedName name="______BTC5" localSheetId="28">#REF!</definedName>
    <definedName name="______BTC5">#REF!</definedName>
    <definedName name="______BTC6" localSheetId="8">#REF!</definedName>
    <definedName name="______BTC6" localSheetId="10">#REF!</definedName>
    <definedName name="______BTC6" localSheetId="28">#REF!</definedName>
    <definedName name="______BTC6">#REF!</definedName>
    <definedName name="______BTC7" localSheetId="8">#REF!</definedName>
    <definedName name="______BTC7" localSheetId="10">#REF!</definedName>
    <definedName name="______BTC7" localSheetId="28">#REF!</definedName>
    <definedName name="______BTC7">#REF!</definedName>
    <definedName name="______BTC8" localSheetId="8">#REF!</definedName>
    <definedName name="______BTC8" localSheetId="10">#REF!</definedName>
    <definedName name="______BTC8" localSheetId="28">#REF!</definedName>
    <definedName name="______BTC8">#REF!</definedName>
    <definedName name="______BTC9" localSheetId="8">#REF!</definedName>
    <definedName name="______BTC9" localSheetId="10">#REF!</definedName>
    <definedName name="______BTC9" localSheetId="28">#REF!</definedName>
    <definedName name="______BTC9">#REF!</definedName>
    <definedName name="______BTS1" localSheetId="8">#REF!</definedName>
    <definedName name="______BTS1" localSheetId="10">#REF!</definedName>
    <definedName name="______BTS1" localSheetId="28">#REF!</definedName>
    <definedName name="______BTS1">#REF!</definedName>
    <definedName name="______BTS10" localSheetId="8">#REF!</definedName>
    <definedName name="______BTS10" localSheetId="10">#REF!</definedName>
    <definedName name="______BTS10" localSheetId="28">#REF!</definedName>
    <definedName name="______BTS10">#REF!</definedName>
    <definedName name="______BTS11" localSheetId="8">#REF!</definedName>
    <definedName name="______BTS11" localSheetId="10">#REF!</definedName>
    <definedName name="______BTS11" localSheetId="28">#REF!</definedName>
    <definedName name="______BTS11">#REF!</definedName>
    <definedName name="______BTS12" localSheetId="8">#REF!</definedName>
    <definedName name="______BTS12" localSheetId="10">#REF!</definedName>
    <definedName name="______BTS12" localSheetId="28">#REF!</definedName>
    <definedName name="______BTS12">#REF!</definedName>
    <definedName name="______BTS13" localSheetId="8">#REF!</definedName>
    <definedName name="______BTS13" localSheetId="10">#REF!</definedName>
    <definedName name="______BTS13" localSheetId="28">#REF!</definedName>
    <definedName name="______BTS13">#REF!</definedName>
    <definedName name="______BTS14" localSheetId="8">#REF!</definedName>
    <definedName name="______BTS14" localSheetId="10">#REF!</definedName>
    <definedName name="______BTS14" localSheetId="28">#REF!</definedName>
    <definedName name="______BTS14">#REF!</definedName>
    <definedName name="______BTS15" localSheetId="8">#REF!</definedName>
    <definedName name="______BTS15" localSheetId="10">#REF!</definedName>
    <definedName name="______BTS15" localSheetId="28">#REF!</definedName>
    <definedName name="______BTS15">#REF!</definedName>
    <definedName name="______BTS2" localSheetId="8">#REF!</definedName>
    <definedName name="______BTS2" localSheetId="10">#REF!</definedName>
    <definedName name="______BTS2" localSheetId="28">#REF!</definedName>
    <definedName name="______BTS2">#REF!</definedName>
    <definedName name="______BTS3" localSheetId="8">#REF!</definedName>
    <definedName name="______BTS3" localSheetId="10">#REF!</definedName>
    <definedName name="______BTS3" localSheetId="28">#REF!</definedName>
    <definedName name="______BTS3">#REF!</definedName>
    <definedName name="______BTS4" localSheetId="8">#REF!</definedName>
    <definedName name="______BTS4" localSheetId="10">#REF!</definedName>
    <definedName name="______BTS4" localSheetId="28">#REF!</definedName>
    <definedName name="______BTS4">#REF!</definedName>
    <definedName name="______BTS5" localSheetId="8">#REF!</definedName>
    <definedName name="______BTS5" localSheetId="10">#REF!</definedName>
    <definedName name="______BTS5" localSheetId="28">#REF!</definedName>
    <definedName name="______BTS5">#REF!</definedName>
    <definedName name="______BTS6" localSheetId="8">#REF!</definedName>
    <definedName name="______BTS6" localSheetId="10">#REF!</definedName>
    <definedName name="______BTS6" localSheetId="28">#REF!</definedName>
    <definedName name="______BTS6">#REF!</definedName>
    <definedName name="______BTS7" localSheetId="8">#REF!</definedName>
    <definedName name="______BTS7" localSheetId="10">#REF!</definedName>
    <definedName name="______BTS7" localSheetId="28">#REF!</definedName>
    <definedName name="______BTS7">#REF!</definedName>
    <definedName name="______BTS8" localSheetId="8">#REF!</definedName>
    <definedName name="______BTS8" localSheetId="10">#REF!</definedName>
    <definedName name="______BTS8" localSheetId="28">#REF!</definedName>
    <definedName name="______BTS8">#REF!</definedName>
    <definedName name="______BTS9" localSheetId="8">#REF!</definedName>
    <definedName name="______BTS9" localSheetId="10">#REF!</definedName>
    <definedName name="______BTS9" localSheetId="28">#REF!</definedName>
    <definedName name="______BTS9">#REF!</definedName>
    <definedName name="______can430">40.73</definedName>
    <definedName name="______can435">43.3</definedName>
    <definedName name="______cbr1" localSheetId="8">#REF!</definedName>
    <definedName name="______cbr1" localSheetId="10">#REF!</definedName>
    <definedName name="______cbr1" localSheetId="28">#REF!</definedName>
    <definedName name="______cbr1">#REF!</definedName>
    <definedName name="______cbr2" localSheetId="8">#REF!</definedName>
    <definedName name="______cbr2" localSheetId="10">#REF!</definedName>
    <definedName name="______cbr2" localSheetId="28">#REF!</definedName>
    <definedName name="______cbr2">#REF!</definedName>
    <definedName name="______cbr3" localSheetId="8">#REF!</definedName>
    <definedName name="______cbr3" localSheetId="10">#REF!</definedName>
    <definedName name="______cbr3" localSheetId="28">#REF!</definedName>
    <definedName name="______cbr3">#REF!</definedName>
    <definedName name="______cbr4" localSheetId="8">#REF!</definedName>
    <definedName name="______cbr4" localSheetId="10">#REF!</definedName>
    <definedName name="______cbr4" localSheetId="28">#REF!</definedName>
    <definedName name="______cbr4">#REF!</definedName>
    <definedName name="______cur1">[6]r!$F$30</definedName>
    <definedName name="______er1">#REF!</definedName>
    <definedName name="______ewe1" localSheetId="28">#REF!</definedName>
    <definedName name="______f1" localSheetId="8">#REF!</definedName>
    <definedName name="______f1" localSheetId="10">#REF!</definedName>
    <definedName name="______f1" localSheetId="11">#REF!</definedName>
    <definedName name="______f1" localSheetId="28">#REF!</definedName>
    <definedName name="______f1">#REF!</definedName>
    <definedName name="______GBS11" localSheetId="8">#REF!</definedName>
    <definedName name="______GBS11" localSheetId="10">#REF!</definedName>
    <definedName name="______GBS11" localSheetId="28">#REF!</definedName>
    <definedName name="______GBS11">#REF!</definedName>
    <definedName name="______GBS110" localSheetId="8">#REF!</definedName>
    <definedName name="______GBS110" localSheetId="10">#REF!</definedName>
    <definedName name="______GBS110" localSheetId="28">#REF!</definedName>
    <definedName name="______GBS110">#REF!</definedName>
    <definedName name="______GBS111" localSheetId="8">#REF!</definedName>
    <definedName name="______GBS111" localSheetId="10">#REF!</definedName>
    <definedName name="______GBS111" localSheetId="28">#REF!</definedName>
    <definedName name="______GBS111">#REF!</definedName>
    <definedName name="______GBS112" localSheetId="8">#REF!</definedName>
    <definedName name="______GBS112" localSheetId="10">#REF!</definedName>
    <definedName name="______GBS112" localSheetId="28">#REF!</definedName>
    <definedName name="______GBS112">#REF!</definedName>
    <definedName name="______GBS113" localSheetId="8">#REF!</definedName>
    <definedName name="______GBS113" localSheetId="10">#REF!</definedName>
    <definedName name="______GBS113" localSheetId="28">#REF!</definedName>
    <definedName name="______GBS113">#REF!</definedName>
    <definedName name="______GBS114" localSheetId="8">#REF!</definedName>
    <definedName name="______GBS114" localSheetId="10">#REF!</definedName>
    <definedName name="______GBS114" localSheetId="28">#REF!</definedName>
    <definedName name="______GBS114">#REF!</definedName>
    <definedName name="______GBS115" localSheetId="8">#REF!</definedName>
    <definedName name="______GBS115" localSheetId="10">#REF!</definedName>
    <definedName name="______GBS115" localSheetId="28">#REF!</definedName>
    <definedName name="______GBS115">#REF!</definedName>
    <definedName name="______GBS12" localSheetId="8">#REF!</definedName>
    <definedName name="______GBS12" localSheetId="10">#REF!</definedName>
    <definedName name="______GBS12" localSheetId="28">#REF!</definedName>
    <definedName name="______GBS12">#REF!</definedName>
    <definedName name="______GBS13" localSheetId="8">#REF!</definedName>
    <definedName name="______GBS13" localSheetId="10">#REF!</definedName>
    <definedName name="______GBS13" localSheetId="28">#REF!</definedName>
    <definedName name="______GBS13">#REF!</definedName>
    <definedName name="______GBS14" localSheetId="8">#REF!</definedName>
    <definedName name="______GBS14" localSheetId="10">#REF!</definedName>
    <definedName name="______GBS14" localSheetId="28">#REF!</definedName>
    <definedName name="______GBS14">#REF!</definedName>
    <definedName name="______GBS15" localSheetId="8">#REF!</definedName>
    <definedName name="______GBS15" localSheetId="10">#REF!</definedName>
    <definedName name="______GBS15" localSheetId="28">#REF!</definedName>
    <definedName name="______GBS15">#REF!</definedName>
    <definedName name="______GBS16" localSheetId="8">#REF!</definedName>
    <definedName name="______GBS16" localSheetId="10">#REF!</definedName>
    <definedName name="______GBS16" localSheetId="28">#REF!</definedName>
    <definedName name="______GBS16">#REF!</definedName>
    <definedName name="______GBS17" localSheetId="8">#REF!</definedName>
    <definedName name="______GBS17" localSheetId="10">#REF!</definedName>
    <definedName name="______GBS17" localSheetId="28">#REF!</definedName>
    <definedName name="______GBS17">#REF!</definedName>
    <definedName name="______GBS18" localSheetId="8">#REF!</definedName>
    <definedName name="______GBS18" localSheetId="10">#REF!</definedName>
    <definedName name="______GBS18" localSheetId="28">#REF!</definedName>
    <definedName name="______GBS18">#REF!</definedName>
    <definedName name="______GBS19" localSheetId="8">#REF!</definedName>
    <definedName name="______GBS19" localSheetId="10">#REF!</definedName>
    <definedName name="______GBS19" localSheetId="28">#REF!</definedName>
    <definedName name="______GBS19">#REF!</definedName>
    <definedName name="______GBS21" localSheetId="8">#REF!</definedName>
    <definedName name="______GBS21" localSheetId="10">#REF!</definedName>
    <definedName name="______GBS21" localSheetId="28">#REF!</definedName>
    <definedName name="______GBS21">#REF!</definedName>
    <definedName name="______GBS210" localSheetId="8">#REF!</definedName>
    <definedName name="______GBS210" localSheetId="10">#REF!</definedName>
    <definedName name="______GBS210" localSheetId="28">#REF!</definedName>
    <definedName name="______GBS210">#REF!</definedName>
    <definedName name="______GBS211" localSheetId="8">#REF!</definedName>
    <definedName name="______GBS211" localSheetId="10">#REF!</definedName>
    <definedName name="______GBS211" localSheetId="28">#REF!</definedName>
    <definedName name="______GBS211">#REF!</definedName>
    <definedName name="______GBS212" localSheetId="8">#REF!</definedName>
    <definedName name="______GBS212" localSheetId="10">#REF!</definedName>
    <definedName name="______GBS212" localSheetId="28">#REF!</definedName>
    <definedName name="______GBS212">#REF!</definedName>
    <definedName name="______GBS213" localSheetId="8">#REF!</definedName>
    <definedName name="______GBS213" localSheetId="10">#REF!</definedName>
    <definedName name="______GBS213" localSheetId="28">#REF!</definedName>
    <definedName name="______GBS213">#REF!</definedName>
    <definedName name="______GBS214" localSheetId="8">#REF!</definedName>
    <definedName name="______GBS214" localSheetId="10">#REF!</definedName>
    <definedName name="______GBS214" localSheetId="28">#REF!</definedName>
    <definedName name="______GBS214">#REF!</definedName>
    <definedName name="______GBS215" localSheetId="8">#REF!</definedName>
    <definedName name="______GBS215" localSheetId="10">#REF!</definedName>
    <definedName name="______GBS215" localSheetId="28">#REF!</definedName>
    <definedName name="______GBS215">#REF!</definedName>
    <definedName name="______GBS22" localSheetId="8">#REF!</definedName>
    <definedName name="______GBS22" localSheetId="10">#REF!</definedName>
    <definedName name="______GBS22" localSheetId="28">#REF!</definedName>
    <definedName name="______GBS22">#REF!</definedName>
    <definedName name="______GBS23" localSheetId="8">#REF!</definedName>
    <definedName name="______GBS23" localSheetId="10">#REF!</definedName>
    <definedName name="______GBS23" localSheetId="28">#REF!</definedName>
    <definedName name="______GBS23">#REF!</definedName>
    <definedName name="______GBS24" localSheetId="8">#REF!</definedName>
    <definedName name="______GBS24" localSheetId="10">#REF!</definedName>
    <definedName name="______GBS24" localSheetId="28">#REF!</definedName>
    <definedName name="______GBS24">#REF!</definedName>
    <definedName name="______GBS25" localSheetId="8">#REF!</definedName>
    <definedName name="______GBS25" localSheetId="10">#REF!</definedName>
    <definedName name="______GBS25" localSheetId="28">#REF!</definedName>
    <definedName name="______GBS25">#REF!</definedName>
    <definedName name="______GBS26" localSheetId="8">#REF!</definedName>
    <definedName name="______GBS26" localSheetId="10">#REF!</definedName>
    <definedName name="______GBS26" localSheetId="28">#REF!</definedName>
    <definedName name="______GBS26">#REF!</definedName>
    <definedName name="______GBS27" localSheetId="8">#REF!</definedName>
    <definedName name="______GBS27" localSheetId="10">#REF!</definedName>
    <definedName name="______GBS27" localSheetId="28">#REF!</definedName>
    <definedName name="______GBS27">#REF!</definedName>
    <definedName name="______GBS28" localSheetId="8">#REF!</definedName>
    <definedName name="______GBS28" localSheetId="10">#REF!</definedName>
    <definedName name="______GBS28" localSheetId="28">#REF!</definedName>
    <definedName name="______GBS28">#REF!</definedName>
    <definedName name="______GBS29" localSheetId="8">#REF!</definedName>
    <definedName name="______GBS29" localSheetId="10">#REF!</definedName>
    <definedName name="______GBS29" localSheetId="28">#REF!</definedName>
    <definedName name="______GBS29">#REF!</definedName>
    <definedName name="______gus1">#REF!</definedName>
    <definedName name="______hpm1">#REF!</definedName>
    <definedName name="______knr2" localSheetId="5">#REF!</definedName>
    <definedName name="______knr2" localSheetId="14">#REF!</definedName>
    <definedName name="______knr2" localSheetId="8">#REF!</definedName>
    <definedName name="______knr2" localSheetId="10">#REF!</definedName>
    <definedName name="______knr2" localSheetId="28">#REF!</definedName>
    <definedName name="______knr2">#REF!</definedName>
    <definedName name="______l1" localSheetId="37">[9]leads!$A$3:$E$108</definedName>
    <definedName name="______l1">[27]leads!$A$3:$E$108</definedName>
    <definedName name="______l12" localSheetId="33">#REF!</definedName>
    <definedName name="______l12" localSheetId="34">#REF!</definedName>
    <definedName name="______l12" localSheetId="35">#REF!</definedName>
    <definedName name="______l12" localSheetId="5">#REF!</definedName>
    <definedName name="______l12" localSheetId="8">#REF!</definedName>
    <definedName name="______l12" localSheetId="10">#REF!</definedName>
    <definedName name="______l12" localSheetId="11">#REF!</definedName>
    <definedName name="______l12" localSheetId="28">#REF!</definedName>
    <definedName name="______l12" localSheetId="42">#REF!</definedName>
    <definedName name="______l12" localSheetId="31">#REF!</definedName>
    <definedName name="______l12">#REF!</definedName>
    <definedName name="______l12_33">"$#REF!.$#REF!$#REF!"</definedName>
    <definedName name="______l12_38">"$#REF!.$#REF!$#REF!"</definedName>
    <definedName name="______l12_41">"$#REF!.$#REF!$#REF!"</definedName>
    <definedName name="______l12_7">"$#REF!.$#REF!$#REF!"</definedName>
    <definedName name="______l12_8">"$#REF!.$#REF!$#REF!"</definedName>
    <definedName name="______l2">[6]r!$F$29</definedName>
    <definedName name="______l3" localSheetId="33">#REF!</definedName>
    <definedName name="______l3" localSheetId="34">#REF!</definedName>
    <definedName name="______l3" localSheetId="35">#REF!</definedName>
    <definedName name="______l3" localSheetId="5">#REF!</definedName>
    <definedName name="______l3" localSheetId="8">#REF!</definedName>
    <definedName name="______l3" localSheetId="10">#REF!</definedName>
    <definedName name="______l3" localSheetId="11">#REF!</definedName>
    <definedName name="______l3" localSheetId="28">#REF!</definedName>
    <definedName name="______l3" localSheetId="42">#REF!</definedName>
    <definedName name="______l3" localSheetId="31">#REF!</definedName>
    <definedName name="______l3">#REF!</definedName>
    <definedName name="______l3_33">"$#REF!.$#REF!$#REF!"</definedName>
    <definedName name="______l3_38">"$#REF!.$#REF!$#REF!"</definedName>
    <definedName name="______l3_41">"$#REF!.$#REF!$#REF!"</definedName>
    <definedName name="______l3_7">"$#REF!.$#REF!$#REF!"</definedName>
    <definedName name="______l3_8">"$#REF!.$#REF!$#REF!"</definedName>
    <definedName name="______l4" localSheetId="37">[10]Sheet1!$W$2:$Y$103</definedName>
    <definedName name="______l4">[28]Sheet1!$W$2:$Y$103</definedName>
    <definedName name="______l5" localSheetId="33">#REF!</definedName>
    <definedName name="______l5" localSheetId="34">#REF!</definedName>
    <definedName name="______l5" localSheetId="35">#REF!</definedName>
    <definedName name="______l5" localSheetId="5">#REF!</definedName>
    <definedName name="______l5" localSheetId="8">#REF!</definedName>
    <definedName name="______l5" localSheetId="10">#REF!</definedName>
    <definedName name="______l5" localSheetId="11">#REF!</definedName>
    <definedName name="______l5" localSheetId="28">#REF!</definedName>
    <definedName name="______l5" localSheetId="42">#REF!</definedName>
    <definedName name="______l5" localSheetId="31">#REF!</definedName>
    <definedName name="______l5">#REF!</definedName>
    <definedName name="______l5_33">"$#REF!.$#REF!$#REF!"</definedName>
    <definedName name="______l5_38">"$#REF!.$#REF!$#REF!"</definedName>
    <definedName name="______l5_41">"$#REF!.$#REF!$#REF!"</definedName>
    <definedName name="______l5_7">"$#REF!.$#REF!$#REF!"</definedName>
    <definedName name="______l5_8">"$#REF!.$#REF!$#REF!"</definedName>
    <definedName name="______l6">[6]r!$F$4</definedName>
    <definedName name="______l7">[7]r!$F$4</definedName>
    <definedName name="______l8">[6]r!$F$2</definedName>
    <definedName name="______l9">[6]r!$F$3</definedName>
    <definedName name="______lcn1">#REF!</definedName>
    <definedName name="______LI9" localSheetId="8">#REF!</definedName>
    <definedName name="______LI9" localSheetId="10">#REF!</definedName>
    <definedName name="______LI9" localSheetId="28">#REF!</definedName>
    <definedName name="______LI9">#REF!</definedName>
    <definedName name="______LII9" localSheetId="8">#REF!</definedName>
    <definedName name="______LII9" localSheetId="10">#REF!</definedName>
    <definedName name="______LII9" localSheetId="28">#REF!</definedName>
    <definedName name="______LII9">#REF!</definedName>
    <definedName name="______lm1">#REF!</definedName>
    <definedName name="______MIX124">[36]maya!$A$11:$A$18</definedName>
    <definedName name="______ML11" localSheetId="8">#REF!</definedName>
    <definedName name="______ML11" localSheetId="10">#REF!</definedName>
    <definedName name="______ML11" localSheetId="28">#REF!</definedName>
    <definedName name="______ML11">#REF!</definedName>
    <definedName name="______ML110" localSheetId="8">#REF!</definedName>
    <definedName name="______ML110" localSheetId="10">#REF!</definedName>
    <definedName name="______ML110" localSheetId="28">#REF!</definedName>
    <definedName name="______ML110">#REF!</definedName>
    <definedName name="______ML111" localSheetId="8">#REF!</definedName>
    <definedName name="______ML111" localSheetId="10">#REF!</definedName>
    <definedName name="______ML111" localSheetId="28">#REF!</definedName>
    <definedName name="______ML111">#REF!</definedName>
    <definedName name="______ML112" localSheetId="8">#REF!</definedName>
    <definedName name="______ML112" localSheetId="10">#REF!</definedName>
    <definedName name="______ML112" localSheetId="28">#REF!</definedName>
    <definedName name="______ML112">#REF!</definedName>
    <definedName name="______ML113" localSheetId="8">#REF!</definedName>
    <definedName name="______ML113" localSheetId="10">#REF!</definedName>
    <definedName name="______ML113" localSheetId="28">#REF!</definedName>
    <definedName name="______ML113">#REF!</definedName>
    <definedName name="______ML114" localSheetId="8">#REF!</definedName>
    <definedName name="______ML114" localSheetId="10">#REF!</definedName>
    <definedName name="______ML114" localSheetId="28">#REF!</definedName>
    <definedName name="______ML114">#REF!</definedName>
    <definedName name="______ML115" localSheetId="8">#REF!</definedName>
    <definedName name="______ML115" localSheetId="10">#REF!</definedName>
    <definedName name="______ML115" localSheetId="28">#REF!</definedName>
    <definedName name="______ML115">#REF!</definedName>
    <definedName name="______ML12" localSheetId="8">#REF!</definedName>
    <definedName name="______ML12" localSheetId="10">#REF!</definedName>
    <definedName name="______ML12" localSheetId="28">#REF!</definedName>
    <definedName name="______ML12">#REF!</definedName>
    <definedName name="______ML13" localSheetId="8">#REF!</definedName>
    <definedName name="______ML13" localSheetId="10">#REF!</definedName>
    <definedName name="______ML13" localSheetId="28">#REF!</definedName>
    <definedName name="______ML13">#REF!</definedName>
    <definedName name="______ML14" localSheetId="8">#REF!</definedName>
    <definedName name="______ML14" localSheetId="10">#REF!</definedName>
    <definedName name="______ML14" localSheetId="28">#REF!</definedName>
    <definedName name="______ML14">#REF!</definedName>
    <definedName name="______ML15" localSheetId="8">#REF!</definedName>
    <definedName name="______ML15" localSheetId="10">#REF!</definedName>
    <definedName name="______ML15" localSheetId="28">#REF!</definedName>
    <definedName name="______ML15">#REF!</definedName>
    <definedName name="______ML16" localSheetId="8">#REF!</definedName>
    <definedName name="______ML16" localSheetId="10">#REF!</definedName>
    <definedName name="______ML16" localSheetId="28">#REF!</definedName>
    <definedName name="______ML16">#REF!</definedName>
    <definedName name="______ML17" localSheetId="8">#REF!</definedName>
    <definedName name="______ML17" localSheetId="10">#REF!</definedName>
    <definedName name="______ML17" localSheetId="28">#REF!</definedName>
    <definedName name="______ML17">#REF!</definedName>
    <definedName name="______ML18" localSheetId="8">#REF!</definedName>
    <definedName name="______ML18" localSheetId="10">#REF!</definedName>
    <definedName name="______ML18" localSheetId="28">#REF!</definedName>
    <definedName name="______ML18">#REF!</definedName>
    <definedName name="______ML19" localSheetId="8">#REF!</definedName>
    <definedName name="______ML19" localSheetId="10">#REF!</definedName>
    <definedName name="______ML19" localSheetId="28">#REF!</definedName>
    <definedName name="______ML19">#REF!</definedName>
    <definedName name="______ML21" localSheetId="8">#REF!</definedName>
    <definedName name="______ML21" localSheetId="10">#REF!</definedName>
    <definedName name="______ML21" localSheetId="28">#REF!</definedName>
    <definedName name="______ML21">#REF!</definedName>
    <definedName name="______ML210" localSheetId="8">#REF!</definedName>
    <definedName name="______ML210" localSheetId="10">#REF!</definedName>
    <definedName name="______ML210" localSheetId="28">#REF!</definedName>
    <definedName name="______ML210">#REF!</definedName>
    <definedName name="______ML211" localSheetId="8">#REF!</definedName>
    <definedName name="______ML211" localSheetId="10">#REF!</definedName>
    <definedName name="______ML211" localSheetId="28">#REF!</definedName>
    <definedName name="______ML211">#REF!</definedName>
    <definedName name="______ML212" localSheetId="8">#REF!</definedName>
    <definedName name="______ML212" localSheetId="10">#REF!</definedName>
    <definedName name="______ML212" localSheetId="28">#REF!</definedName>
    <definedName name="______ML212">#REF!</definedName>
    <definedName name="______ML213" localSheetId="8">#REF!</definedName>
    <definedName name="______ML213" localSheetId="10">#REF!</definedName>
    <definedName name="______ML213" localSheetId="28">#REF!</definedName>
    <definedName name="______ML213">#REF!</definedName>
    <definedName name="______ML214" localSheetId="8">#REF!</definedName>
    <definedName name="______ML214" localSheetId="10">#REF!</definedName>
    <definedName name="______ML214" localSheetId="28">#REF!</definedName>
    <definedName name="______ML214">#REF!</definedName>
    <definedName name="______ML215" localSheetId="8">#REF!</definedName>
    <definedName name="______ML215" localSheetId="10">#REF!</definedName>
    <definedName name="______ML215" localSheetId="28">#REF!</definedName>
    <definedName name="______ML215">#REF!</definedName>
    <definedName name="______ML22" localSheetId="8">#REF!</definedName>
    <definedName name="______ML22" localSheetId="10">#REF!</definedName>
    <definedName name="______ML22" localSheetId="28">#REF!</definedName>
    <definedName name="______ML22">#REF!</definedName>
    <definedName name="______ML23" localSheetId="8">#REF!</definedName>
    <definedName name="______ML23" localSheetId="10">#REF!</definedName>
    <definedName name="______ML23" localSheetId="28">#REF!</definedName>
    <definedName name="______ML23">#REF!</definedName>
    <definedName name="______ML24" localSheetId="8">#REF!</definedName>
    <definedName name="______ML24" localSheetId="10">#REF!</definedName>
    <definedName name="______ML24" localSheetId="28">#REF!</definedName>
    <definedName name="______ML24">#REF!</definedName>
    <definedName name="______ML25" localSheetId="8">#REF!</definedName>
    <definedName name="______ML25" localSheetId="10">#REF!</definedName>
    <definedName name="______ML25" localSheetId="28">#REF!</definedName>
    <definedName name="______ML25">#REF!</definedName>
    <definedName name="______ML26" localSheetId="8">#REF!</definedName>
    <definedName name="______ML26" localSheetId="10">#REF!</definedName>
    <definedName name="______ML26" localSheetId="28">#REF!</definedName>
    <definedName name="______ML26">#REF!</definedName>
    <definedName name="______ML27" localSheetId="8">#REF!</definedName>
    <definedName name="______ML27" localSheetId="10">#REF!</definedName>
    <definedName name="______ML27" localSheetId="28">#REF!</definedName>
    <definedName name="______ML27">#REF!</definedName>
    <definedName name="______ML28" localSheetId="8">#REF!</definedName>
    <definedName name="______ML28" localSheetId="10">#REF!</definedName>
    <definedName name="______ML28" localSheetId="28">#REF!</definedName>
    <definedName name="______ML28">#REF!</definedName>
    <definedName name="______ML29" localSheetId="8">#REF!</definedName>
    <definedName name="______ML29" localSheetId="10">#REF!</definedName>
    <definedName name="______ML29" localSheetId="28">#REF!</definedName>
    <definedName name="______ML29">#REF!</definedName>
    <definedName name="______ML31" localSheetId="8">#REF!</definedName>
    <definedName name="______ML31" localSheetId="10">#REF!</definedName>
    <definedName name="______ML31" localSheetId="28">#REF!</definedName>
    <definedName name="______ML31">#REF!</definedName>
    <definedName name="______ML310" localSheetId="8">#REF!</definedName>
    <definedName name="______ML310" localSheetId="10">#REF!</definedName>
    <definedName name="______ML310" localSheetId="28">#REF!</definedName>
    <definedName name="______ML310">#REF!</definedName>
    <definedName name="______ML311" localSheetId="8">#REF!</definedName>
    <definedName name="______ML311" localSheetId="10">#REF!</definedName>
    <definedName name="______ML311" localSheetId="28">#REF!</definedName>
    <definedName name="______ML311">#REF!</definedName>
    <definedName name="______ML312" localSheetId="8">#REF!</definedName>
    <definedName name="______ML312" localSheetId="10">#REF!</definedName>
    <definedName name="______ML312" localSheetId="28">#REF!</definedName>
    <definedName name="______ML312">#REF!</definedName>
    <definedName name="______ML313" localSheetId="8">#REF!</definedName>
    <definedName name="______ML313" localSheetId="10">#REF!</definedName>
    <definedName name="______ML313" localSheetId="28">#REF!</definedName>
    <definedName name="______ML313">#REF!</definedName>
    <definedName name="______ML314" localSheetId="8">#REF!</definedName>
    <definedName name="______ML314" localSheetId="10">#REF!</definedName>
    <definedName name="______ML314" localSheetId="28">#REF!</definedName>
    <definedName name="______ML314">#REF!</definedName>
    <definedName name="______ML315" localSheetId="8">#REF!</definedName>
    <definedName name="______ML315" localSheetId="10">#REF!</definedName>
    <definedName name="______ML315" localSheetId="28">#REF!</definedName>
    <definedName name="______ML315">#REF!</definedName>
    <definedName name="______ML32" localSheetId="8">#REF!</definedName>
    <definedName name="______ML32" localSheetId="10">#REF!</definedName>
    <definedName name="______ML32" localSheetId="28">#REF!</definedName>
    <definedName name="______ML32">#REF!</definedName>
    <definedName name="______ML33" localSheetId="8">#REF!</definedName>
    <definedName name="______ML33" localSheetId="10">#REF!</definedName>
    <definedName name="______ML33" localSheetId="28">#REF!</definedName>
    <definedName name="______ML33">#REF!</definedName>
    <definedName name="______ML34" localSheetId="8">#REF!</definedName>
    <definedName name="______ML34" localSheetId="10">#REF!</definedName>
    <definedName name="______ML34" localSheetId="28">#REF!</definedName>
    <definedName name="______ML34">#REF!</definedName>
    <definedName name="______ML35" localSheetId="8">#REF!</definedName>
    <definedName name="______ML35" localSheetId="10">#REF!</definedName>
    <definedName name="______ML35" localSheetId="28">#REF!</definedName>
    <definedName name="______ML35">#REF!</definedName>
    <definedName name="______ML36" localSheetId="8">#REF!</definedName>
    <definedName name="______ML36" localSheetId="10">#REF!</definedName>
    <definedName name="______ML36" localSheetId="28">#REF!</definedName>
    <definedName name="______ML36">#REF!</definedName>
    <definedName name="______ML37" localSheetId="8">#REF!</definedName>
    <definedName name="______ML37" localSheetId="10">#REF!</definedName>
    <definedName name="______ML37" localSheetId="28">#REF!</definedName>
    <definedName name="______ML37">#REF!</definedName>
    <definedName name="______ML38" localSheetId="8">#REF!</definedName>
    <definedName name="______ML38" localSheetId="10">#REF!</definedName>
    <definedName name="______ML38" localSheetId="28">#REF!</definedName>
    <definedName name="______ML38">#REF!</definedName>
    <definedName name="______ML39" localSheetId="8">#REF!</definedName>
    <definedName name="______ML39" localSheetId="10">#REF!</definedName>
    <definedName name="______ML39" localSheetId="28">#REF!</definedName>
    <definedName name="______ML39">#REF!</definedName>
    <definedName name="______ML7" localSheetId="8">#REF!</definedName>
    <definedName name="______ML7" localSheetId="10">#REF!</definedName>
    <definedName name="______ML7" localSheetId="28">#REF!</definedName>
    <definedName name="______ML7">#REF!</definedName>
    <definedName name="______ML8" localSheetId="8">#REF!</definedName>
    <definedName name="______ML8" localSheetId="10">#REF!</definedName>
    <definedName name="______ML8" localSheetId="28">#REF!</definedName>
    <definedName name="______ML8">#REF!</definedName>
    <definedName name="______ML9" localSheetId="8">#REF!</definedName>
    <definedName name="______ML9" localSheetId="10">#REF!</definedName>
    <definedName name="______ML9" localSheetId="28">#REF!</definedName>
    <definedName name="______ML9">#REF!</definedName>
    <definedName name="______mm1" localSheetId="37">[11]r!$F$4</definedName>
    <definedName name="______mm1">[29]r!$F$4</definedName>
    <definedName name="______mm11">[6]r!$F$4</definedName>
    <definedName name="______mm111">[7]r!$F$4</definedName>
    <definedName name="______mm20" localSheetId="8">#REF!</definedName>
    <definedName name="______mm20" localSheetId="10">#REF!</definedName>
    <definedName name="______mm20" localSheetId="28">#REF!</definedName>
    <definedName name="______mm20">#REF!</definedName>
    <definedName name="______mm40" localSheetId="8">#REF!</definedName>
    <definedName name="______mm40" localSheetId="10">#REF!</definedName>
    <definedName name="______mm40" localSheetId="28">#REF!</definedName>
    <definedName name="______mm40">#REF!</definedName>
    <definedName name="______pc2" localSheetId="33">#REF!</definedName>
    <definedName name="______pc2" localSheetId="34">#REF!</definedName>
    <definedName name="______pc2" localSheetId="35">#REF!</definedName>
    <definedName name="______pc2" localSheetId="5">#REF!</definedName>
    <definedName name="______pc2" localSheetId="8">#REF!</definedName>
    <definedName name="______pc2" localSheetId="10">#REF!</definedName>
    <definedName name="______pc2" localSheetId="11">#REF!</definedName>
    <definedName name="______pc2" localSheetId="28">#REF!</definedName>
    <definedName name="______pc2" localSheetId="42">#REF!</definedName>
    <definedName name="______pc2" localSheetId="31">#REF!</definedName>
    <definedName name="______pc2">#REF!</definedName>
    <definedName name="______pc2_33">"$#REF!.$#REF!$#REF!"</definedName>
    <definedName name="______pc2_38">"$#REF!.$#REF!$#REF!"</definedName>
    <definedName name="______pc2_41">"$#REF!.$#REF!$#REF!"</definedName>
    <definedName name="______pc2_7">"$#REF!.$#REF!$#REF!"</definedName>
    <definedName name="______pc2_8">"$#REF!.$#REF!$#REF!"</definedName>
    <definedName name="______PMS2" localSheetId="8">#REF!</definedName>
    <definedName name="______PMS2" localSheetId="10">#REF!</definedName>
    <definedName name="______PMS2" localSheetId="28">#REF!</definedName>
    <definedName name="______PMS2">#REF!</definedName>
    <definedName name="______pv1">#REF!</definedName>
    <definedName name="______pv2" localSheetId="33">#REF!</definedName>
    <definedName name="______pv2" localSheetId="34">#REF!</definedName>
    <definedName name="______pv2" localSheetId="35">#REF!</definedName>
    <definedName name="______pv2" localSheetId="5">#REF!</definedName>
    <definedName name="______pv2" localSheetId="8">#REF!</definedName>
    <definedName name="______pv2" localSheetId="10">#REF!</definedName>
    <definedName name="______pv2" localSheetId="11">#REF!</definedName>
    <definedName name="______pv2" localSheetId="28">#REF!</definedName>
    <definedName name="______pv2" localSheetId="42">#REF!</definedName>
    <definedName name="______pv2" localSheetId="31">#REF!</definedName>
    <definedName name="______pv2">#REF!</definedName>
    <definedName name="______pv2_33">"$#REF!.$#REF!$#REF!"</definedName>
    <definedName name="______pv2_38">"$#REF!.$#REF!$#REF!"</definedName>
    <definedName name="______pv2_41">"$#REF!.$#REF!$#REF!"</definedName>
    <definedName name="______pv2_7">"$#REF!.$#REF!$#REF!"</definedName>
    <definedName name="______pv2_8">"$#REF!.$#REF!$#REF!"</definedName>
    <definedName name="______rr3" localSheetId="37">[12]v!$A$2:$E$51</definedName>
    <definedName name="______rr3">[30]v!$A$2:$E$51</definedName>
    <definedName name="______rrr1" localSheetId="37">[12]r!$B$1:$I$145</definedName>
    <definedName name="______rrr1">[30]r!$B$1:$I$145</definedName>
    <definedName name="______SO016" localSheetId="8">#REF!</definedName>
    <definedName name="______SO016" localSheetId="10">#REF!</definedName>
    <definedName name="______SO016" localSheetId="11">#REF!</definedName>
    <definedName name="______SO016" localSheetId="28">#REF!</definedName>
    <definedName name="______SO016">#REF!</definedName>
    <definedName name="______SP001" localSheetId="8">#REF!</definedName>
    <definedName name="______SP001" localSheetId="10">#REF!</definedName>
    <definedName name="______SP001" localSheetId="11">#REF!</definedName>
    <definedName name="______SP001" localSheetId="28">#REF!</definedName>
    <definedName name="______SP001">#REF!</definedName>
    <definedName name="______SP002" localSheetId="8">#REF!</definedName>
    <definedName name="______SP002" localSheetId="10">#REF!</definedName>
    <definedName name="______SP002" localSheetId="11">#REF!</definedName>
    <definedName name="______SP002" localSheetId="28">#REF!</definedName>
    <definedName name="______SP002">#REF!</definedName>
    <definedName name="______SP003" localSheetId="8">#REF!</definedName>
    <definedName name="______SP003" localSheetId="10">#REF!</definedName>
    <definedName name="______SP003" localSheetId="11">#REF!</definedName>
    <definedName name="______SP003" localSheetId="28">#REF!</definedName>
    <definedName name="______SP003">#REF!</definedName>
    <definedName name="______SP004" localSheetId="8">#REF!</definedName>
    <definedName name="______SP004" localSheetId="10">#REF!</definedName>
    <definedName name="______SP004" localSheetId="11">#REF!</definedName>
    <definedName name="______SP004" localSheetId="28">#REF!</definedName>
    <definedName name="______SP004">#REF!</definedName>
    <definedName name="______SP005" localSheetId="8">#REF!</definedName>
    <definedName name="______SP005" localSheetId="10">#REF!</definedName>
    <definedName name="______SP005" localSheetId="11">#REF!</definedName>
    <definedName name="______SP005" localSheetId="28">#REF!</definedName>
    <definedName name="______SP005">#REF!</definedName>
    <definedName name="______SP006" localSheetId="8">#REF!</definedName>
    <definedName name="______SP006" localSheetId="10">#REF!</definedName>
    <definedName name="______SP006" localSheetId="11">#REF!</definedName>
    <definedName name="______SP006" localSheetId="28">#REF!</definedName>
    <definedName name="______SP006">#REF!</definedName>
    <definedName name="______SP007" localSheetId="8">#REF!</definedName>
    <definedName name="______SP007" localSheetId="10">#REF!</definedName>
    <definedName name="______SP007" localSheetId="11">#REF!</definedName>
    <definedName name="______SP007" localSheetId="28">#REF!</definedName>
    <definedName name="______SP007">#REF!</definedName>
    <definedName name="______SP008" localSheetId="8">#REF!</definedName>
    <definedName name="______SP008" localSheetId="10">#REF!</definedName>
    <definedName name="______SP008" localSheetId="11">#REF!</definedName>
    <definedName name="______SP008" localSheetId="28">#REF!</definedName>
    <definedName name="______SP008">#REF!</definedName>
    <definedName name="______SP009" localSheetId="8">#REF!</definedName>
    <definedName name="______SP009" localSheetId="10">#REF!</definedName>
    <definedName name="______SP009" localSheetId="11">#REF!</definedName>
    <definedName name="______SP009" localSheetId="28">#REF!</definedName>
    <definedName name="______SP009">#REF!</definedName>
    <definedName name="______SP010" localSheetId="8">#REF!</definedName>
    <definedName name="______SP010" localSheetId="10">#REF!</definedName>
    <definedName name="______SP010" localSheetId="11">#REF!</definedName>
    <definedName name="______SP010" localSheetId="28">#REF!</definedName>
    <definedName name="______SP010">#REF!</definedName>
    <definedName name="______SP011" localSheetId="8">#REF!</definedName>
    <definedName name="______SP011" localSheetId="10">#REF!</definedName>
    <definedName name="______SP011" localSheetId="11">#REF!</definedName>
    <definedName name="______SP011" localSheetId="28">#REF!</definedName>
    <definedName name="______SP011">#REF!</definedName>
    <definedName name="______SP012" localSheetId="8">#REF!</definedName>
    <definedName name="______SP012" localSheetId="10">#REF!</definedName>
    <definedName name="______SP012" localSheetId="11">#REF!</definedName>
    <definedName name="______SP012" localSheetId="28">#REF!</definedName>
    <definedName name="______SP012">#REF!</definedName>
    <definedName name="______SP013" localSheetId="8">#REF!</definedName>
    <definedName name="______SP013" localSheetId="10">#REF!</definedName>
    <definedName name="______SP013" localSheetId="11">#REF!</definedName>
    <definedName name="______SP013" localSheetId="28">#REF!</definedName>
    <definedName name="______SP013">#REF!</definedName>
    <definedName name="______SP014" localSheetId="8">#REF!</definedName>
    <definedName name="______SP014" localSheetId="10">#REF!</definedName>
    <definedName name="______SP014" localSheetId="11">#REF!</definedName>
    <definedName name="______SP014" localSheetId="28">#REF!</definedName>
    <definedName name="______SP014">#REF!</definedName>
    <definedName name="______SP015" localSheetId="8">#REF!</definedName>
    <definedName name="______SP015" localSheetId="10">#REF!</definedName>
    <definedName name="______SP015" localSheetId="11">#REF!</definedName>
    <definedName name="______SP015" localSheetId="28">#REF!</definedName>
    <definedName name="______SP015">#REF!</definedName>
    <definedName name="______SP016" localSheetId="8">#REF!</definedName>
    <definedName name="______SP016" localSheetId="10">#REF!</definedName>
    <definedName name="______SP016" localSheetId="11">#REF!</definedName>
    <definedName name="______SP016" localSheetId="28">#REF!</definedName>
    <definedName name="______SP016">#REF!</definedName>
    <definedName name="______SP017" localSheetId="8">#REF!</definedName>
    <definedName name="______SP017" localSheetId="10">#REF!</definedName>
    <definedName name="______SP017" localSheetId="11">#REF!</definedName>
    <definedName name="______SP017" localSheetId="28">#REF!</definedName>
    <definedName name="______SP017">#REF!</definedName>
    <definedName name="______SP018" localSheetId="8">#REF!</definedName>
    <definedName name="______SP018" localSheetId="10">#REF!</definedName>
    <definedName name="______SP018" localSheetId="11">#REF!</definedName>
    <definedName name="______SP018" localSheetId="28">#REF!</definedName>
    <definedName name="______SP018">#REF!</definedName>
    <definedName name="______SP019" localSheetId="8">#REF!</definedName>
    <definedName name="______SP019" localSheetId="10">#REF!</definedName>
    <definedName name="______SP019" localSheetId="11">#REF!</definedName>
    <definedName name="______SP019" localSheetId="28">#REF!</definedName>
    <definedName name="______SP019">#REF!</definedName>
    <definedName name="______SP020" localSheetId="8">#REF!</definedName>
    <definedName name="______SP020" localSheetId="10">#REF!</definedName>
    <definedName name="______SP020" localSheetId="11">#REF!</definedName>
    <definedName name="______SP020" localSheetId="28">#REF!</definedName>
    <definedName name="______SP020">#REF!</definedName>
    <definedName name="______SP021" localSheetId="8">#REF!</definedName>
    <definedName name="______SP021" localSheetId="10">#REF!</definedName>
    <definedName name="______SP021" localSheetId="11">#REF!</definedName>
    <definedName name="______SP021" localSheetId="28">#REF!</definedName>
    <definedName name="______SP021">#REF!</definedName>
    <definedName name="______SP022" localSheetId="8">#REF!</definedName>
    <definedName name="______SP022" localSheetId="10">#REF!</definedName>
    <definedName name="______SP022" localSheetId="11">#REF!</definedName>
    <definedName name="______SP022" localSheetId="28">#REF!</definedName>
    <definedName name="______SP022">#REF!</definedName>
    <definedName name="______SP023" localSheetId="8">#REF!</definedName>
    <definedName name="______SP023" localSheetId="10">#REF!</definedName>
    <definedName name="______SP023" localSheetId="11">#REF!</definedName>
    <definedName name="______SP023" localSheetId="28">#REF!</definedName>
    <definedName name="______SP023">#REF!</definedName>
    <definedName name="______SP024" localSheetId="8">#REF!</definedName>
    <definedName name="______SP024" localSheetId="10">#REF!</definedName>
    <definedName name="______SP024" localSheetId="11">#REF!</definedName>
    <definedName name="______SP024" localSheetId="28">#REF!</definedName>
    <definedName name="______SP024">#REF!</definedName>
    <definedName name="______SP025" localSheetId="8">#REF!</definedName>
    <definedName name="______SP025" localSheetId="10">#REF!</definedName>
    <definedName name="______SP025" localSheetId="11">#REF!</definedName>
    <definedName name="______SP025" localSheetId="28">#REF!</definedName>
    <definedName name="______SP025">#REF!</definedName>
    <definedName name="______SP026" localSheetId="8">#REF!</definedName>
    <definedName name="______SP026" localSheetId="10">#REF!</definedName>
    <definedName name="______SP026" localSheetId="11">#REF!</definedName>
    <definedName name="______SP026" localSheetId="28">#REF!</definedName>
    <definedName name="______SP026">#REF!</definedName>
    <definedName name="______SP027" localSheetId="8">#REF!</definedName>
    <definedName name="______SP027" localSheetId="10">#REF!</definedName>
    <definedName name="______SP027" localSheetId="11">#REF!</definedName>
    <definedName name="______SP027" localSheetId="28">#REF!</definedName>
    <definedName name="______SP027">#REF!</definedName>
    <definedName name="______SP028" localSheetId="8">#REF!</definedName>
    <definedName name="______SP028" localSheetId="10">#REF!</definedName>
    <definedName name="______SP028" localSheetId="11">#REF!</definedName>
    <definedName name="______SP028" localSheetId="28">#REF!</definedName>
    <definedName name="______SP028">#REF!</definedName>
    <definedName name="______SP029" localSheetId="8">#REF!</definedName>
    <definedName name="______SP029" localSheetId="10">#REF!</definedName>
    <definedName name="______SP029" localSheetId="11">#REF!</definedName>
    <definedName name="______SP029" localSheetId="28">#REF!</definedName>
    <definedName name="______SP029">#REF!</definedName>
    <definedName name="______SP030" localSheetId="8">#REF!</definedName>
    <definedName name="______SP030" localSheetId="10">#REF!</definedName>
    <definedName name="______SP030" localSheetId="11">#REF!</definedName>
    <definedName name="______SP030" localSheetId="28">#REF!</definedName>
    <definedName name="______SP030">#REF!</definedName>
    <definedName name="______SP031" localSheetId="8">#REF!</definedName>
    <definedName name="______SP031" localSheetId="10">#REF!</definedName>
    <definedName name="______SP031" localSheetId="11">#REF!</definedName>
    <definedName name="______SP031" localSheetId="28">#REF!</definedName>
    <definedName name="______SP031">#REF!</definedName>
    <definedName name="______SP032" localSheetId="8">#REF!</definedName>
    <definedName name="______SP032" localSheetId="10">#REF!</definedName>
    <definedName name="______SP032" localSheetId="11">#REF!</definedName>
    <definedName name="______SP032" localSheetId="28">#REF!</definedName>
    <definedName name="______SP032">#REF!</definedName>
    <definedName name="______SP033" localSheetId="8">#REF!</definedName>
    <definedName name="______SP033" localSheetId="10">#REF!</definedName>
    <definedName name="______SP033" localSheetId="11">#REF!</definedName>
    <definedName name="______SP033" localSheetId="28">#REF!</definedName>
    <definedName name="______SP033">#REF!</definedName>
    <definedName name="______SP034" localSheetId="8">#REF!</definedName>
    <definedName name="______SP034" localSheetId="10">#REF!</definedName>
    <definedName name="______SP034" localSheetId="11">#REF!</definedName>
    <definedName name="______SP034" localSheetId="28">#REF!</definedName>
    <definedName name="______SP034">#REF!</definedName>
    <definedName name="______SP035" localSheetId="8">#REF!</definedName>
    <definedName name="______SP035" localSheetId="10">#REF!</definedName>
    <definedName name="______SP035" localSheetId="11">#REF!</definedName>
    <definedName name="______SP035" localSheetId="28">#REF!</definedName>
    <definedName name="______SP035">#REF!</definedName>
    <definedName name="______SP036" localSheetId="8">#REF!</definedName>
    <definedName name="______SP036" localSheetId="10">#REF!</definedName>
    <definedName name="______SP036" localSheetId="11">#REF!</definedName>
    <definedName name="______SP036" localSheetId="28">#REF!</definedName>
    <definedName name="______SP036">#REF!</definedName>
    <definedName name="______SP037" localSheetId="8">#REF!</definedName>
    <definedName name="______SP037" localSheetId="10">#REF!</definedName>
    <definedName name="______SP037" localSheetId="11">#REF!</definedName>
    <definedName name="______SP037" localSheetId="28">#REF!</definedName>
    <definedName name="______SP037">#REF!</definedName>
    <definedName name="______SP038" localSheetId="8">#REF!</definedName>
    <definedName name="______SP038" localSheetId="10">#REF!</definedName>
    <definedName name="______SP038" localSheetId="11">#REF!</definedName>
    <definedName name="______SP038" localSheetId="28">#REF!</definedName>
    <definedName name="______SP038">#REF!</definedName>
    <definedName name="______SP039" localSheetId="8">#REF!</definedName>
    <definedName name="______SP039" localSheetId="10">#REF!</definedName>
    <definedName name="______SP039" localSheetId="11">#REF!</definedName>
    <definedName name="______SP039" localSheetId="28">#REF!</definedName>
    <definedName name="______SP039">#REF!</definedName>
    <definedName name="______SP040" localSheetId="8">#REF!</definedName>
    <definedName name="______SP040" localSheetId="10">#REF!</definedName>
    <definedName name="______SP040" localSheetId="11">#REF!</definedName>
    <definedName name="______SP040" localSheetId="28">#REF!</definedName>
    <definedName name="______SP040">#REF!</definedName>
    <definedName name="______SP041" localSheetId="8">#REF!</definedName>
    <definedName name="______SP041" localSheetId="10">#REF!</definedName>
    <definedName name="______SP041" localSheetId="11">#REF!</definedName>
    <definedName name="______SP041" localSheetId="28">#REF!</definedName>
    <definedName name="______SP041">#REF!</definedName>
    <definedName name="______SP042" localSheetId="8">#REF!</definedName>
    <definedName name="______SP042" localSheetId="10">#REF!</definedName>
    <definedName name="______SP042" localSheetId="11">#REF!</definedName>
    <definedName name="______SP042" localSheetId="28">#REF!</definedName>
    <definedName name="______SP042">#REF!</definedName>
    <definedName name="______SP043" localSheetId="8">#REF!</definedName>
    <definedName name="______SP043" localSheetId="10">#REF!</definedName>
    <definedName name="______SP043" localSheetId="11">#REF!</definedName>
    <definedName name="______SP043" localSheetId="28">#REF!</definedName>
    <definedName name="______SP043">#REF!</definedName>
    <definedName name="______SP044" localSheetId="8">#REF!</definedName>
    <definedName name="______SP044" localSheetId="10">#REF!</definedName>
    <definedName name="______SP044" localSheetId="11">#REF!</definedName>
    <definedName name="______SP044" localSheetId="28">#REF!</definedName>
    <definedName name="______SP044">#REF!</definedName>
    <definedName name="______SP045" localSheetId="8">#REF!</definedName>
    <definedName name="______SP045" localSheetId="10">#REF!</definedName>
    <definedName name="______SP045" localSheetId="11">#REF!</definedName>
    <definedName name="______SP045" localSheetId="28">#REF!</definedName>
    <definedName name="______SP045">#REF!</definedName>
    <definedName name="______SP046" localSheetId="8">#REF!</definedName>
    <definedName name="______SP046" localSheetId="10">#REF!</definedName>
    <definedName name="______SP046" localSheetId="11">#REF!</definedName>
    <definedName name="______SP046" localSheetId="28">#REF!</definedName>
    <definedName name="______SP046">#REF!</definedName>
    <definedName name="______SP047" localSheetId="8">#REF!</definedName>
    <definedName name="______SP047" localSheetId="10">#REF!</definedName>
    <definedName name="______SP047" localSheetId="11">#REF!</definedName>
    <definedName name="______SP047" localSheetId="28">#REF!</definedName>
    <definedName name="______SP047">#REF!</definedName>
    <definedName name="______SP048" localSheetId="8">#REF!</definedName>
    <definedName name="______SP048" localSheetId="10">#REF!</definedName>
    <definedName name="______SP048" localSheetId="11">#REF!</definedName>
    <definedName name="______SP048" localSheetId="28">#REF!</definedName>
    <definedName name="______SP048">#REF!</definedName>
    <definedName name="______SP049" localSheetId="8">#REF!</definedName>
    <definedName name="______SP049" localSheetId="10">#REF!</definedName>
    <definedName name="______SP049" localSheetId="11">#REF!</definedName>
    <definedName name="______SP049" localSheetId="28">#REF!</definedName>
    <definedName name="______SP049">#REF!</definedName>
    <definedName name="______SP050" localSheetId="8">#REF!</definedName>
    <definedName name="______SP050" localSheetId="10">#REF!</definedName>
    <definedName name="______SP050" localSheetId="11">#REF!</definedName>
    <definedName name="______SP050" localSheetId="28">#REF!</definedName>
    <definedName name="______SP050">#REF!</definedName>
    <definedName name="______SP051" localSheetId="8">#REF!</definedName>
    <definedName name="______SP051" localSheetId="10">#REF!</definedName>
    <definedName name="______SP051" localSheetId="11">#REF!</definedName>
    <definedName name="______SP051" localSheetId="28">#REF!</definedName>
    <definedName name="______SP051">#REF!</definedName>
    <definedName name="______SP052" localSheetId="8">#REF!</definedName>
    <definedName name="______SP052" localSheetId="10">#REF!</definedName>
    <definedName name="______SP052" localSheetId="11">#REF!</definedName>
    <definedName name="______SP052" localSheetId="28">#REF!</definedName>
    <definedName name="______SP052">#REF!</definedName>
    <definedName name="______SP053" localSheetId="8">#REF!</definedName>
    <definedName name="______SP053" localSheetId="10">#REF!</definedName>
    <definedName name="______SP053" localSheetId="11">#REF!</definedName>
    <definedName name="______SP053" localSheetId="28">#REF!</definedName>
    <definedName name="______SP053">#REF!</definedName>
    <definedName name="______SP054" localSheetId="8">#REF!</definedName>
    <definedName name="______SP054" localSheetId="10">#REF!</definedName>
    <definedName name="______SP054" localSheetId="11">#REF!</definedName>
    <definedName name="______SP054" localSheetId="28">#REF!</definedName>
    <definedName name="______SP054">#REF!</definedName>
    <definedName name="______SP055" localSheetId="8">#REF!</definedName>
    <definedName name="______SP055" localSheetId="10">#REF!</definedName>
    <definedName name="______SP055" localSheetId="11">#REF!</definedName>
    <definedName name="______SP055" localSheetId="28">#REF!</definedName>
    <definedName name="______SP055">#REF!</definedName>
    <definedName name="______SP056" localSheetId="8">#REF!</definedName>
    <definedName name="______SP056" localSheetId="10">#REF!</definedName>
    <definedName name="______SP056" localSheetId="11">#REF!</definedName>
    <definedName name="______SP056" localSheetId="28">#REF!</definedName>
    <definedName name="______SP056">#REF!</definedName>
    <definedName name="______SP057" localSheetId="8">#REF!</definedName>
    <definedName name="______SP057" localSheetId="10">#REF!</definedName>
    <definedName name="______SP057" localSheetId="11">#REF!</definedName>
    <definedName name="______SP057" localSheetId="28">#REF!</definedName>
    <definedName name="______SP057">#REF!</definedName>
    <definedName name="______SP058" localSheetId="8">#REF!</definedName>
    <definedName name="______SP058" localSheetId="10">#REF!</definedName>
    <definedName name="______SP058" localSheetId="11">#REF!</definedName>
    <definedName name="______SP058" localSheetId="28">#REF!</definedName>
    <definedName name="______SP058">#REF!</definedName>
    <definedName name="______SP059" localSheetId="8">#REF!</definedName>
    <definedName name="______SP059" localSheetId="10">#REF!</definedName>
    <definedName name="______SP059" localSheetId="11">#REF!</definedName>
    <definedName name="______SP059" localSheetId="28">#REF!</definedName>
    <definedName name="______SP059">#REF!</definedName>
    <definedName name="______SP060" localSheetId="8">#REF!</definedName>
    <definedName name="______SP060" localSheetId="10">#REF!</definedName>
    <definedName name="______SP060" localSheetId="11">#REF!</definedName>
    <definedName name="______SP060" localSheetId="28">#REF!</definedName>
    <definedName name="______SP060">#REF!</definedName>
    <definedName name="______SP061" localSheetId="8">#REF!</definedName>
    <definedName name="______SP061" localSheetId="10">#REF!</definedName>
    <definedName name="______SP061" localSheetId="11">#REF!</definedName>
    <definedName name="______SP061" localSheetId="28">#REF!</definedName>
    <definedName name="______SP061">#REF!</definedName>
    <definedName name="______SP062" localSheetId="8">#REF!</definedName>
    <definedName name="______SP062" localSheetId="10">#REF!</definedName>
    <definedName name="______SP062" localSheetId="11">#REF!</definedName>
    <definedName name="______SP062" localSheetId="28">#REF!</definedName>
    <definedName name="______SP062">#REF!</definedName>
    <definedName name="______SP063" localSheetId="8">#REF!</definedName>
    <definedName name="______SP063" localSheetId="10">#REF!</definedName>
    <definedName name="______SP063" localSheetId="11">#REF!</definedName>
    <definedName name="______SP063" localSheetId="28">#REF!</definedName>
    <definedName name="______SP063">#REF!</definedName>
    <definedName name="______SP064" localSheetId="8">#REF!</definedName>
    <definedName name="______SP064" localSheetId="10">#REF!</definedName>
    <definedName name="______SP064" localSheetId="11">#REF!</definedName>
    <definedName name="______SP064" localSheetId="28">#REF!</definedName>
    <definedName name="______SP064">#REF!</definedName>
    <definedName name="______SP065" localSheetId="8">#REF!</definedName>
    <definedName name="______SP065" localSheetId="10">#REF!</definedName>
    <definedName name="______SP065" localSheetId="11">#REF!</definedName>
    <definedName name="______SP065" localSheetId="28">#REF!</definedName>
    <definedName name="______SP065">#REF!</definedName>
    <definedName name="______SP066" localSheetId="8">#REF!</definedName>
    <definedName name="______SP066" localSheetId="10">#REF!</definedName>
    <definedName name="______SP066" localSheetId="11">#REF!</definedName>
    <definedName name="______SP066" localSheetId="28">#REF!</definedName>
    <definedName name="______SP066">#REF!</definedName>
    <definedName name="______SP067" localSheetId="8">#REF!</definedName>
    <definedName name="______SP067" localSheetId="10">#REF!</definedName>
    <definedName name="______SP067" localSheetId="11">#REF!</definedName>
    <definedName name="______SP067" localSheetId="28">#REF!</definedName>
    <definedName name="______SP067">#REF!</definedName>
    <definedName name="______SP068" localSheetId="8">#REF!</definedName>
    <definedName name="______SP068" localSheetId="10">#REF!</definedName>
    <definedName name="______SP068" localSheetId="11">#REF!</definedName>
    <definedName name="______SP068" localSheetId="28">#REF!</definedName>
    <definedName name="______SP068">#REF!</definedName>
    <definedName name="______SP069" localSheetId="8">#REF!</definedName>
    <definedName name="______SP069" localSheetId="10">#REF!</definedName>
    <definedName name="______SP069" localSheetId="11">#REF!</definedName>
    <definedName name="______SP069" localSheetId="28">#REF!</definedName>
    <definedName name="______SP069">#REF!</definedName>
    <definedName name="______SP070" localSheetId="8">#REF!</definedName>
    <definedName name="______SP070" localSheetId="10">#REF!</definedName>
    <definedName name="______SP070" localSheetId="11">#REF!</definedName>
    <definedName name="______SP070" localSheetId="28">#REF!</definedName>
    <definedName name="______SP070">#REF!</definedName>
    <definedName name="______sp071" localSheetId="8">#REF!</definedName>
    <definedName name="______sp071" localSheetId="10">#REF!</definedName>
    <definedName name="______sp071" localSheetId="11">#REF!</definedName>
    <definedName name="______sp071" localSheetId="28">#REF!</definedName>
    <definedName name="______sp071">#REF!</definedName>
    <definedName name="______SP072" localSheetId="8">#REF!</definedName>
    <definedName name="______SP072" localSheetId="10">#REF!</definedName>
    <definedName name="______SP072" localSheetId="11">#REF!</definedName>
    <definedName name="______SP072" localSheetId="28">#REF!</definedName>
    <definedName name="______SP072">#REF!</definedName>
    <definedName name="______SP073" localSheetId="8">#REF!</definedName>
    <definedName name="______SP073" localSheetId="10">#REF!</definedName>
    <definedName name="______SP073" localSheetId="11">#REF!</definedName>
    <definedName name="______SP073" localSheetId="28">#REF!</definedName>
    <definedName name="______SP073">#REF!</definedName>
    <definedName name="______SP074" localSheetId="8">#REF!</definedName>
    <definedName name="______SP074" localSheetId="10">#REF!</definedName>
    <definedName name="______SP074" localSheetId="11">#REF!</definedName>
    <definedName name="______SP074" localSheetId="28">#REF!</definedName>
    <definedName name="______SP074">#REF!</definedName>
    <definedName name="______SP075" localSheetId="8">#REF!</definedName>
    <definedName name="______SP075" localSheetId="10">#REF!</definedName>
    <definedName name="______SP075" localSheetId="11">#REF!</definedName>
    <definedName name="______SP075" localSheetId="28">#REF!</definedName>
    <definedName name="______SP075">#REF!</definedName>
    <definedName name="______SP076" localSheetId="8">#REF!</definedName>
    <definedName name="______SP076" localSheetId="10">#REF!</definedName>
    <definedName name="______SP076" localSheetId="11">#REF!</definedName>
    <definedName name="______SP076" localSheetId="28">#REF!</definedName>
    <definedName name="______SP076">#REF!</definedName>
    <definedName name="______SP077" localSheetId="8">#REF!</definedName>
    <definedName name="______SP077" localSheetId="10">#REF!</definedName>
    <definedName name="______SP077" localSheetId="11">#REF!</definedName>
    <definedName name="______SP077" localSheetId="28">#REF!</definedName>
    <definedName name="______SP077">#REF!</definedName>
    <definedName name="______sp078" localSheetId="8">#REF!</definedName>
    <definedName name="______sp078" localSheetId="10">#REF!</definedName>
    <definedName name="______sp078" localSheetId="11">#REF!</definedName>
    <definedName name="______sp078" localSheetId="28">#REF!</definedName>
    <definedName name="______sp078">#REF!</definedName>
    <definedName name="______SPO79" localSheetId="8">#REF!</definedName>
    <definedName name="______SPO79" localSheetId="10">#REF!</definedName>
    <definedName name="______SPO79" localSheetId="11">#REF!</definedName>
    <definedName name="______SPO79" localSheetId="28">#REF!</definedName>
    <definedName name="______SPO79">#REF!</definedName>
    <definedName name="______ss12" localSheetId="37">[13]rdamdata!$J$8</definedName>
    <definedName name="______ss12">[31]rdamdata!$J$8</definedName>
    <definedName name="______ss20" localSheetId="37">[13]rdamdata!$J$7</definedName>
    <definedName name="______ss20">[31]rdamdata!$J$7</definedName>
    <definedName name="______ss40" localSheetId="37">[13]rdamdata!$J$6</definedName>
    <definedName name="______ss40">[31]rdamdata!$J$6</definedName>
    <definedName name="______sw1" localSheetId="28">#REF!</definedName>
    <definedName name="______t1">#REF!</definedName>
    <definedName name="______t2">#REF!</definedName>
    <definedName name="______tab1">#REF!</definedName>
    <definedName name="______us1">#REF!</definedName>
    <definedName name="______var1" localSheetId="33">#REF!</definedName>
    <definedName name="______var1" localSheetId="34">#REF!</definedName>
    <definedName name="______var1" localSheetId="35">#REF!</definedName>
    <definedName name="______var1" localSheetId="5">#REF!</definedName>
    <definedName name="______var1" localSheetId="8">#REF!</definedName>
    <definedName name="______var1" localSheetId="10">#REF!</definedName>
    <definedName name="______var1" localSheetId="11">#REF!</definedName>
    <definedName name="______var1" localSheetId="28">#REF!</definedName>
    <definedName name="______var1" localSheetId="42">#REF!</definedName>
    <definedName name="______var1" localSheetId="31">#REF!</definedName>
    <definedName name="______var1">#REF!</definedName>
    <definedName name="______var1_33">"$#REF!.$#REF!$#REF!"</definedName>
    <definedName name="______var1_38">"$#REF!.$#REF!$#REF!"</definedName>
    <definedName name="______var1_41">"$#REF!.$#REF!$#REF!"</definedName>
    <definedName name="______var1_7">"$#REF!.$#REF!$#REF!"</definedName>
    <definedName name="______var1_8">"$#REF!.$#REF!$#REF!"</definedName>
    <definedName name="______var4" localSheetId="33">#REF!</definedName>
    <definedName name="______var4" localSheetId="34">#REF!</definedName>
    <definedName name="______var4" localSheetId="35">#REF!</definedName>
    <definedName name="______var4" localSheetId="5">#REF!</definedName>
    <definedName name="______var4" localSheetId="8">#REF!</definedName>
    <definedName name="______var4" localSheetId="10">#REF!</definedName>
    <definedName name="______var4" localSheetId="11">#REF!</definedName>
    <definedName name="______var4" localSheetId="28">#REF!</definedName>
    <definedName name="______var4" localSheetId="42">#REF!</definedName>
    <definedName name="______var4" localSheetId="31">#REF!</definedName>
    <definedName name="______var4">#REF!</definedName>
    <definedName name="______var4_33">"$#REF!.$#REF!$#REF!"</definedName>
    <definedName name="______var4_38">"$#REF!.$#REF!$#REF!"</definedName>
    <definedName name="______var4_41">"$#REF!.$#REF!$#REF!"</definedName>
    <definedName name="______var4_7">"$#REF!.$#REF!$#REF!"</definedName>
    <definedName name="______var4_8">"$#REF!.$#REF!$#REF!"</definedName>
    <definedName name="______vat1" localSheetId="8">#REF!</definedName>
    <definedName name="______vat1" localSheetId="10">#REF!</definedName>
    <definedName name="______vat1" localSheetId="28">#REF!</definedName>
    <definedName name="______vat1">#REF!</definedName>
    <definedName name="______vat2" localSheetId="8">#REF!</definedName>
    <definedName name="______vat2" localSheetId="10">#REF!</definedName>
    <definedName name="______vat2" localSheetId="28">#REF!</definedName>
    <definedName name="______vat2">#REF!</definedName>
    <definedName name="______xlfn_BAHTTEXT">#N/A</definedName>
    <definedName name="_____abs1" localSheetId="5">#REF!</definedName>
    <definedName name="_____abs1" localSheetId="14">#REF!</definedName>
    <definedName name="_____abs1" localSheetId="8">#REF!</definedName>
    <definedName name="_____abs1" localSheetId="10">#REF!</definedName>
    <definedName name="_____abs1" localSheetId="28">#REF!</definedName>
    <definedName name="_____abs1">#REF!</definedName>
    <definedName name="_____AUX1">#REF!</definedName>
    <definedName name="_____aux2" localSheetId="28">#REF!</definedName>
    <definedName name="_____AUX3">#REF!</definedName>
    <definedName name="_____bla1">[8]leads!$H$7</definedName>
    <definedName name="_____BSG100" localSheetId="8">#REF!</definedName>
    <definedName name="_____BSG100" localSheetId="10">#REF!</definedName>
    <definedName name="_____BSG100" localSheetId="28">#REF!</definedName>
    <definedName name="_____BSG100">#REF!</definedName>
    <definedName name="_____BSG150" localSheetId="8">#REF!</definedName>
    <definedName name="_____BSG150" localSheetId="10">#REF!</definedName>
    <definedName name="_____BSG150" localSheetId="28">#REF!</definedName>
    <definedName name="_____BSG150">#REF!</definedName>
    <definedName name="_____BSG5" localSheetId="8">#REF!</definedName>
    <definedName name="_____BSG5" localSheetId="10">#REF!</definedName>
    <definedName name="_____BSG5" localSheetId="28">#REF!</definedName>
    <definedName name="_____BSG5">#REF!</definedName>
    <definedName name="_____BSG75" localSheetId="8">#REF!</definedName>
    <definedName name="_____BSG75" localSheetId="10">#REF!</definedName>
    <definedName name="_____BSG75" localSheetId="28">#REF!</definedName>
    <definedName name="_____BSG75">#REF!</definedName>
    <definedName name="_____BTC1" localSheetId="8">#REF!</definedName>
    <definedName name="_____BTC1" localSheetId="10">#REF!</definedName>
    <definedName name="_____BTC1" localSheetId="28">#REF!</definedName>
    <definedName name="_____BTC1">#REF!</definedName>
    <definedName name="_____BTC10" localSheetId="8">#REF!</definedName>
    <definedName name="_____BTC10" localSheetId="10">#REF!</definedName>
    <definedName name="_____BTC10" localSheetId="28">#REF!</definedName>
    <definedName name="_____BTC10">#REF!</definedName>
    <definedName name="_____BTC11" localSheetId="8">#REF!</definedName>
    <definedName name="_____BTC11" localSheetId="10">#REF!</definedName>
    <definedName name="_____BTC11" localSheetId="28">#REF!</definedName>
    <definedName name="_____BTC11">#REF!</definedName>
    <definedName name="_____BTC12" localSheetId="8">#REF!</definedName>
    <definedName name="_____BTC12" localSheetId="10">#REF!</definedName>
    <definedName name="_____BTC12" localSheetId="28">#REF!</definedName>
    <definedName name="_____BTC12">#REF!</definedName>
    <definedName name="_____BTC13" localSheetId="8">#REF!</definedName>
    <definedName name="_____BTC13" localSheetId="10">#REF!</definedName>
    <definedName name="_____BTC13" localSheetId="28">#REF!</definedName>
    <definedName name="_____BTC13">#REF!</definedName>
    <definedName name="_____BTC14" localSheetId="8">#REF!</definedName>
    <definedName name="_____BTC14" localSheetId="10">#REF!</definedName>
    <definedName name="_____BTC14" localSheetId="28">#REF!</definedName>
    <definedName name="_____BTC14">#REF!</definedName>
    <definedName name="_____BTC15" localSheetId="8">#REF!</definedName>
    <definedName name="_____BTC15" localSheetId="10">#REF!</definedName>
    <definedName name="_____BTC15" localSheetId="28">#REF!</definedName>
    <definedName name="_____BTC15">#REF!</definedName>
    <definedName name="_____BTC16">#REF!</definedName>
    <definedName name="_____BTC17">#REF!</definedName>
    <definedName name="_____BTC18">#REF!</definedName>
    <definedName name="_____BTC19">#REF!</definedName>
    <definedName name="_____BTC2" localSheetId="8">#REF!</definedName>
    <definedName name="_____BTC2" localSheetId="10">#REF!</definedName>
    <definedName name="_____BTC2" localSheetId="28">#REF!</definedName>
    <definedName name="_____BTC2">#REF!</definedName>
    <definedName name="_____BTC20">#REF!</definedName>
    <definedName name="_____BTC21">#REF!</definedName>
    <definedName name="_____BTC22">#REF!</definedName>
    <definedName name="_____BTC23">#REF!</definedName>
    <definedName name="_____BTC24">#REF!</definedName>
    <definedName name="_____BTC3" localSheetId="8">#REF!</definedName>
    <definedName name="_____BTC3" localSheetId="10">#REF!</definedName>
    <definedName name="_____BTC3" localSheetId="28">#REF!</definedName>
    <definedName name="_____BTC3">#REF!</definedName>
    <definedName name="_____BTC4" localSheetId="8">#REF!</definedName>
    <definedName name="_____BTC4" localSheetId="10">#REF!</definedName>
    <definedName name="_____BTC4" localSheetId="28">#REF!</definedName>
    <definedName name="_____BTC4">#REF!</definedName>
    <definedName name="_____BTC5" localSheetId="8">#REF!</definedName>
    <definedName name="_____BTC5" localSheetId="10">#REF!</definedName>
    <definedName name="_____BTC5" localSheetId="28">#REF!</definedName>
    <definedName name="_____BTC5">#REF!</definedName>
    <definedName name="_____BTC6" localSheetId="8">#REF!</definedName>
    <definedName name="_____BTC6" localSheetId="10">#REF!</definedName>
    <definedName name="_____BTC6" localSheetId="28">#REF!</definedName>
    <definedName name="_____BTC6">#REF!</definedName>
    <definedName name="_____BTC7" localSheetId="8">#REF!</definedName>
    <definedName name="_____BTC7" localSheetId="10">#REF!</definedName>
    <definedName name="_____BTC7" localSheetId="28">#REF!</definedName>
    <definedName name="_____BTC7">#REF!</definedName>
    <definedName name="_____BTC8" localSheetId="8">#REF!</definedName>
    <definedName name="_____BTC8" localSheetId="10">#REF!</definedName>
    <definedName name="_____BTC8" localSheetId="28">#REF!</definedName>
    <definedName name="_____BTC8">#REF!</definedName>
    <definedName name="_____BTC9" localSheetId="8">#REF!</definedName>
    <definedName name="_____BTC9" localSheetId="10">#REF!</definedName>
    <definedName name="_____BTC9" localSheetId="28">#REF!</definedName>
    <definedName name="_____BTC9">#REF!</definedName>
    <definedName name="_____BTR1">#REF!</definedName>
    <definedName name="_____BTR10">#REF!</definedName>
    <definedName name="_____BTR11">#REF!</definedName>
    <definedName name="_____BTR12">#REF!</definedName>
    <definedName name="_____BTR13">#REF!</definedName>
    <definedName name="_____BTR14">#REF!</definedName>
    <definedName name="_____BTR15">#REF!</definedName>
    <definedName name="_____BTR16">#REF!</definedName>
    <definedName name="_____BTR17">#REF!</definedName>
    <definedName name="_____BTR18">#REF!</definedName>
    <definedName name="_____BTR19">#REF!</definedName>
    <definedName name="_____BTR2">#REF!</definedName>
    <definedName name="_____BTR20">#REF!</definedName>
    <definedName name="_____BTR21">#REF!</definedName>
    <definedName name="_____BTR22">#REF!</definedName>
    <definedName name="_____BTR23">#REF!</definedName>
    <definedName name="_____BTR24">#REF!</definedName>
    <definedName name="_____BTR3">#REF!</definedName>
    <definedName name="_____BTR4">#REF!</definedName>
    <definedName name="_____BTR5">#REF!</definedName>
    <definedName name="_____BTR6">#REF!</definedName>
    <definedName name="_____BTR7">#REF!</definedName>
    <definedName name="_____BTR8">#REF!</definedName>
    <definedName name="_____BTR9">#REF!</definedName>
    <definedName name="_____BTS1" localSheetId="8">#REF!</definedName>
    <definedName name="_____BTS1" localSheetId="10">#REF!</definedName>
    <definedName name="_____BTS1" localSheetId="28">#REF!</definedName>
    <definedName name="_____BTS1">#REF!</definedName>
    <definedName name="_____BTS10" localSheetId="8">#REF!</definedName>
    <definedName name="_____BTS10" localSheetId="10">#REF!</definedName>
    <definedName name="_____BTS10" localSheetId="28">#REF!</definedName>
    <definedName name="_____BTS10">#REF!</definedName>
    <definedName name="_____BTS11" localSheetId="8">#REF!</definedName>
    <definedName name="_____BTS11" localSheetId="10">#REF!</definedName>
    <definedName name="_____BTS11" localSheetId="28">#REF!</definedName>
    <definedName name="_____BTS11">#REF!</definedName>
    <definedName name="_____BTS12" localSheetId="8">#REF!</definedName>
    <definedName name="_____BTS12" localSheetId="10">#REF!</definedName>
    <definedName name="_____BTS12" localSheetId="28">#REF!</definedName>
    <definedName name="_____BTS12">#REF!</definedName>
    <definedName name="_____BTS13" localSheetId="8">#REF!</definedName>
    <definedName name="_____BTS13" localSheetId="10">#REF!</definedName>
    <definedName name="_____BTS13" localSheetId="28">#REF!</definedName>
    <definedName name="_____BTS13">#REF!</definedName>
    <definedName name="_____BTS14" localSheetId="8">#REF!</definedName>
    <definedName name="_____BTS14" localSheetId="10">#REF!</definedName>
    <definedName name="_____BTS14" localSheetId="28">#REF!</definedName>
    <definedName name="_____BTS14">#REF!</definedName>
    <definedName name="_____BTS15" localSheetId="8">#REF!</definedName>
    <definedName name="_____BTS15" localSheetId="10">#REF!</definedName>
    <definedName name="_____BTS15" localSheetId="28">#REF!</definedName>
    <definedName name="_____BTS15">#REF!</definedName>
    <definedName name="_____BTS16">#REF!</definedName>
    <definedName name="_____BTS17">#REF!</definedName>
    <definedName name="_____BTS18">#REF!</definedName>
    <definedName name="_____BTS19">#REF!</definedName>
    <definedName name="_____BTS2" localSheetId="8">#REF!</definedName>
    <definedName name="_____BTS2" localSheetId="10">#REF!</definedName>
    <definedName name="_____BTS2" localSheetId="28">#REF!</definedName>
    <definedName name="_____BTS2">#REF!</definedName>
    <definedName name="_____BTS20">#REF!</definedName>
    <definedName name="_____BTS21">#REF!</definedName>
    <definedName name="_____BTS22">#REF!</definedName>
    <definedName name="_____BTS23">#REF!</definedName>
    <definedName name="_____BTS24">#REF!</definedName>
    <definedName name="_____BTS3" localSheetId="8">#REF!</definedName>
    <definedName name="_____BTS3" localSheetId="10">#REF!</definedName>
    <definedName name="_____BTS3" localSheetId="28">#REF!</definedName>
    <definedName name="_____BTS3">#REF!</definedName>
    <definedName name="_____BTS4" localSheetId="8">#REF!</definedName>
    <definedName name="_____BTS4" localSheetId="10">#REF!</definedName>
    <definedName name="_____BTS4" localSheetId="28">#REF!</definedName>
    <definedName name="_____BTS4">#REF!</definedName>
    <definedName name="_____BTS5" localSheetId="8">#REF!</definedName>
    <definedName name="_____BTS5" localSheetId="10">#REF!</definedName>
    <definedName name="_____BTS5" localSheetId="28">#REF!</definedName>
    <definedName name="_____BTS5">#REF!</definedName>
    <definedName name="_____BTS6" localSheetId="8">#REF!</definedName>
    <definedName name="_____BTS6" localSheetId="10">#REF!</definedName>
    <definedName name="_____BTS6" localSheetId="28">#REF!</definedName>
    <definedName name="_____BTS6">#REF!</definedName>
    <definedName name="_____BTS7" localSheetId="8">#REF!</definedName>
    <definedName name="_____BTS7" localSheetId="10">#REF!</definedName>
    <definedName name="_____BTS7" localSheetId="28">#REF!</definedName>
    <definedName name="_____BTS7">#REF!</definedName>
    <definedName name="_____BTS8" localSheetId="8">#REF!</definedName>
    <definedName name="_____BTS8" localSheetId="10">#REF!</definedName>
    <definedName name="_____BTS8" localSheetId="28">#REF!</definedName>
    <definedName name="_____BTS8">#REF!</definedName>
    <definedName name="_____BTS9" localSheetId="8">#REF!</definedName>
    <definedName name="_____BTS9" localSheetId="10">#REF!</definedName>
    <definedName name="_____BTS9" localSheetId="28">#REF!</definedName>
    <definedName name="_____BTS9">#REF!</definedName>
    <definedName name="_____can430">40.73</definedName>
    <definedName name="_____can435">43.3</definedName>
    <definedName name="_____cbr1" localSheetId="8">#REF!</definedName>
    <definedName name="_____cbr1" localSheetId="10">#REF!</definedName>
    <definedName name="_____cbr1" localSheetId="28">#REF!</definedName>
    <definedName name="_____cbr1">#REF!</definedName>
    <definedName name="_____cbr2" localSheetId="8">#REF!</definedName>
    <definedName name="_____cbr2" localSheetId="10">#REF!</definedName>
    <definedName name="_____cbr2" localSheetId="28">#REF!</definedName>
    <definedName name="_____cbr2">#REF!</definedName>
    <definedName name="_____cbr3" localSheetId="8">#REF!</definedName>
    <definedName name="_____cbr3" localSheetId="10">#REF!</definedName>
    <definedName name="_____cbr3" localSheetId="28">#REF!</definedName>
    <definedName name="_____cbr3">#REF!</definedName>
    <definedName name="_____cbr4" localSheetId="8">#REF!</definedName>
    <definedName name="_____cbr4" localSheetId="10">#REF!</definedName>
    <definedName name="_____cbr4" localSheetId="28">#REF!</definedName>
    <definedName name="_____cbr4">#REF!</definedName>
    <definedName name="_____cur1">[6]r!$F$30</definedName>
    <definedName name="_____er1">#REF!</definedName>
    <definedName name="_____ewe1" localSheetId="28">#REF!</definedName>
    <definedName name="_____f1" localSheetId="8">#REF!</definedName>
    <definedName name="_____f1" localSheetId="10">#REF!</definedName>
    <definedName name="_____f1" localSheetId="11">#REF!</definedName>
    <definedName name="_____f1" localSheetId="28">#REF!</definedName>
    <definedName name="_____f1">#REF!</definedName>
    <definedName name="_____GBS11" localSheetId="8">#REF!</definedName>
    <definedName name="_____GBS11" localSheetId="10">#REF!</definedName>
    <definedName name="_____GBS11" localSheetId="28">#REF!</definedName>
    <definedName name="_____GBS11">#REF!</definedName>
    <definedName name="_____GBS110" localSheetId="8">#REF!</definedName>
    <definedName name="_____GBS110" localSheetId="10">#REF!</definedName>
    <definedName name="_____GBS110" localSheetId="28">#REF!</definedName>
    <definedName name="_____GBS110">#REF!</definedName>
    <definedName name="_____GBS111" localSheetId="8">#REF!</definedName>
    <definedName name="_____GBS111" localSheetId="10">#REF!</definedName>
    <definedName name="_____GBS111" localSheetId="28">#REF!</definedName>
    <definedName name="_____GBS111">#REF!</definedName>
    <definedName name="_____GBS112" localSheetId="8">#REF!</definedName>
    <definedName name="_____GBS112" localSheetId="10">#REF!</definedName>
    <definedName name="_____GBS112" localSheetId="28">#REF!</definedName>
    <definedName name="_____GBS112">#REF!</definedName>
    <definedName name="_____GBS113" localSheetId="8">#REF!</definedName>
    <definedName name="_____GBS113" localSheetId="10">#REF!</definedName>
    <definedName name="_____GBS113" localSheetId="28">#REF!</definedName>
    <definedName name="_____GBS113">#REF!</definedName>
    <definedName name="_____GBS114" localSheetId="8">#REF!</definedName>
    <definedName name="_____GBS114" localSheetId="10">#REF!</definedName>
    <definedName name="_____GBS114" localSheetId="28">#REF!</definedName>
    <definedName name="_____GBS114">#REF!</definedName>
    <definedName name="_____GBS115" localSheetId="8">#REF!</definedName>
    <definedName name="_____GBS115" localSheetId="10">#REF!</definedName>
    <definedName name="_____GBS115" localSheetId="28">#REF!</definedName>
    <definedName name="_____GBS115">#REF!</definedName>
    <definedName name="_____GBS116">#REF!</definedName>
    <definedName name="_____GBS117">#REF!</definedName>
    <definedName name="_____GBS118">#REF!</definedName>
    <definedName name="_____GBS119">#REF!</definedName>
    <definedName name="_____GBS12" localSheetId="8">#REF!</definedName>
    <definedName name="_____GBS12" localSheetId="10">#REF!</definedName>
    <definedName name="_____GBS12" localSheetId="28">#REF!</definedName>
    <definedName name="_____GBS12">#REF!</definedName>
    <definedName name="_____GBS120">#REF!</definedName>
    <definedName name="_____GBS121">#REF!</definedName>
    <definedName name="_____GBS122">#REF!</definedName>
    <definedName name="_____GBS123">#REF!</definedName>
    <definedName name="_____GBS124">#REF!</definedName>
    <definedName name="_____GBS13" localSheetId="8">#REF!</definedName>
    <definedName name="_____GBS13" localSheetId="10">#REF!</definedName>
    <definedName name="_____GBS13" localSheetId="28">#REF!</definedName>
    <definedName name="_____GBS13">#REF!</definedName>
    <definedName name="_____GBS14" localSheetId="8">#REF!</definedName>
    <definedName name="_____GBS14" localSheetId="10">#REF!</definedName>
    <definedName name="_____GBS14" localSheetId="28">#REF!</definedName>
    <definedName name="_____GBS14">#REF!</definedName>
    <definedName name="_____GBS15" localSheetId="8">#REF!</definedName>
    <definedName name="_____GBS15" localSheetId="10">#REF!</definedName>
    <definedName name="_____GBS15" localSheetId="28">#REF!</definedName>
    <definedName name="_____GBS15">#REF!</definedName>
    <definedName name="_____GBS16" localSheetId="8">#REF!</definedName>
    <definedName name="_____GBS16" localSheetId="10">#REF!</definedName>
    <definedName name="_____GBS16" localSheetId="28">#REF!</definedName>
    <definedName name="_____GBS16">#REF!</definedName>
    <definedName name="_____GBS17" localSheetId="8">#REF!</definedName>
    <definedName name="_____GBS17" localSheetId="10">#REF!</definedName>
    <definedName name="_____GBS17" localSheetId="28">#REF!</definedName>
    <definedName name="_____GBS17">#REF!</definedName>
    <definedName name="_____GBS18" localSheetId="8">#REF!</definedName>
    <definedName name="_____GBS18" localSheetId="10">#REF!</definedName>
    <definedName name="_____GBS18" localSheetId="28">#REF!</definedName>
    <definedName name="_____GBS18">#REF!</definedName>
    <definedName name="_____GBS19" localSheetId="8">#REF!</definedName>
    <definedName name="_____GBS19" localSheetId="10">#REF!</definedName>
    <definedName name="_____GBS19" localSheetId="28">#REF!</definedName>
    <definedName name="_____GBS19">#REF!</definedName>
    <definedName name="_____GBS21" localSheetId="8">#REF!</definedName>
    <definedName name="_____GBS21" localSheetId="10">#REF!</definedName>
    <definedName name="_____GBS21" localSheetId="28">#REF!</definedName>
    <definedName name="_____GBS21">#REF!</definedName>
    <definedName name="_____GBS210" localSheetId="8">#REF!</definedName>
    <definedName name="_____GBS210" localSheetId="10">#REF!</definedName>
    <definedName name="_____GBS210" localSheetId="28">#REF!</definedName>
    <definedName name="_____GBS210">#REF!</definedName>
    <definedName name="_____GBS211" localSheetId="8">#REF!</definedName>
    <definedName name="_____GBS211" localSheetId="10">#REF!</definedName>
    <definedName name="_____GBS211" localSheetId="28">#REF!</definedName>
    <definedName name="_____GBS211">#REF!</definedName>
    <definedName name="_____GBS212" localSheetId="8">#REF!</definedName>
    <definedName name="_____GBS212" localSheetId="10">#REF!</definedName>
    <definedName name="_____GBS212" localSheetId="28">#REF!</definedName>
    <definedName name="_____GBS212">#REF!</definedName>
    <definedName name="_____GBS213" localSheetId="8">#REF!</definedName>
    <definedName name="_____GBS213" localSheetId="10">#REF!</definedName>
    <definedName name="_____GBS213" localSheetId="28">#REF!</definedName>
    <definedName name="_____GBS213">#REF!</definedName>
    <definedName name="_____GBS214" localSheetId="8">#REF!</definedName>
    <definedName name="_____GBS214" localSheetId="10">#REF!</definedName>
    <definedName name="_____GBS214" localSheetId="28">#REF!</definedName>
    <definedName name="_____GBS214">#REF!</definedName>
    <definedName name="_____GBS215" localSheetId="8">#REF!</definedName>
    <definedName name="_____GBS215" localSheetId="10">#REF!</definedName>
    <definedName name="_____GBS215" localSheetId="28">#REF!</definedName>
    <definedName name="_____GBS215">#REF!</definedName>
    <definedName name="_____GBS216">#REF!</definedName>
    <definedName name="_____GBS217">#REF!</definedName>
    <definedName name="_____GBS218">#REF!</definedName>
    <definedName name="_____GBS219">#REF!</definedName>
    <definedName name="_____GBS22" localSheetId="8">#REF!</definedName>
    <definedName name="_____GBS22" localSheetId="10">#REF!</definedName>
    <definedName name="_____GBS22" localSheetId="28">#REF!</definedName>
    <definedName name="_____GBS22">#REF!</definedName>
    <definedName name="_____GBS220">#REF!</definedName>
    <definedName name="_____GBS221">#REF!</definedName>
    <definedName name="_____GBS222">#REF!</definedName>
    <definedName name="_____GBS223">#REF!</definedName>
    <definedName name="_____GBS224">#REF!</definedName>
    <definedName name="_____GBS23" localSheetId="8">#REF!</definedName>
    <definedName name="_____GBS23" localSheetId="10">#REF!</definedName>
    <definedName name="_____GBS23" localSheetId="28">#REF!</definedName>
    <definedName name="_____GBS23">#REF!</definedName>
    <definedName name="_____GBS24" localSheetId="8">#REF!</definedName>
    <definedName name="_____GBS24" localSheetId="10">#REF!</definedName>
    <definedName name="_____GBS24" localSheetId="28">#REF!</definedName>
    <definedName name="_____GBS24">#REF!</definedName>
    <definedName name="_____GBS25" localSheetId="8">#REF!</definedName>
    <definedName name="_____GBS25" localSheetId="10">#REF!</definedName>
    <definedName name="_____GBS25" localSheetId="28">#REF!</definedName>
    <definedName name="_____GBS25">#REF!</definedName>
    <definedName name="_____GBS26" localSheetId="8">#REF!</definedName>
    <definedName name="_____GBS26" localSheetId="10">#REF!</definedName>
    <definedName name="_____GBS26" localSheetId="28">#REF!</definedName>
    <definedName name="_____GBS26">#REF!</definedName>
    <definedName name="_____GBS27" localSheetId="8">#REF!</definedName>
    <definedName name="_____GBS27" localSheetId="10">#REF!</definedName>
    <definedName name="_____GBS27" localSheetId="28">#REF!</definedName>
    <definedName name="_____GBS27">#REF!</definedName>
    <definedName name="_____GBS28" localSheetId="8">#REF!</definedName>
    <definedName name="_____GBS28" localSheetId="10">#REF!</definedName>
    <definedName name="_____GBS28" localSheetId="28">#REF!</definedName>
    <definedName name="_____GBS28">#REF!</definedName>
    <definedName name="_____GBS29" localSheetId="8">#REF!</definedName>
    <definedName name="_____GBS29" localSheetId="10">#REF!</definedName>
    <definedName name="_____GBS29" localSheetId="28">#REF!</definedName>
    <definedName name="_____GBS29">#REF!</definedName>
    <definedName name="_____gus1">#REF!</definedName>
    <definedName name="_____hpm1">#REF!</definedName>
    <definedName name="_____I12" localSheetId="35">#REF!</definedName>
    <definedName name="_____I12" localSheetId="5">#REF!</definedName>
    <definedName name="_____I12" localSheetId="8">#REF!</definedName>
    <definedName name="_____I12" localSheetId="10">#REF!</definedName>
    <definedName name="_____I12" localSheetId="11">#REF!</definedName>
    <definedName name="_____I12" localSheetId="28">#REF!</definedName>
    <definedName name="_____I12" localSheetId="31">#REF!</definedName>
    <definedName name="_____I12">#REF!</definedName>
    <definedName name="_____knr2" localSheetId="5">#REF!</definedName>
    <definedName name="_____knr2" localSheetId="8">#REF!</definedName>
    <definedName name="_____knr2" localSheetId="10">#REF!</definedName>
    <definedName name="_____knr2" localSheetId="28">#REF!</definedName>
    <definedName name="_____knr2">#REF!</definedName>
    <definedName name="_____l1">[9]leads!$A$3:$E$108</definedName>
    <definedName name="_____l12" localSheetId="33">#REF!</definedName>
    <definedName name="_____l12" localSheetId="34">#REF!</definedName>
    <definedName name="_____l12" localSheetId="35">#REF!</definedName>
    <definedName name="_____l12" localSheetId="5">#REF!</definedName>
    <definedName name="_____l12" localSheetId="8">#REF!</definedName>
    <definedName name="_____l12" localSheetId="10">#REF!</definedName>
    <definedName name="_____l12" localSheetId="11">#REF!</definedName>
    <definedName name="_____l12" localSheetId="37">#REF!</definedName>
    <definedName name="_____l12" localSheetId="28">#REF!</definedName>
    <definedName name="_____l12" localSheetId="42">#REF!</definedName>
    <definedName name="_____l12" localSheetId="31">#REF!</definedName>
    <definedName name="_____l12">#REF!</definedName>
    <definedName name="_____l12_33">"$#REF!.$#REF!$#REF!"</definedName>
    <definedName name="_____l12_38">"$#REF!.$#REF!$#REF!"</definedName>
    <definedName name="_____l12_41">"$#REF!.$#REF!$#REF!"</definedName>
    <definedName name="_____l12_7">"$#REF!.$#REF!$#REF!"</definedName>
    <definedName name="_____l12_8">"$#REF!.$#REF!$#REF!"</definedName>
    <definedName name="_____l2">[6]r!$F$29</definedName>
    <definedName name="_____l3" localSheetId="33">#REF!</definedName>
    <definedName name="_____l3" localSheetId="34">#REF!</definedName>
    <definedName name="_____l3" localSheetId="35">#REF!</definedName>
    <definedName name="_____l3" localSheetId="5">#REF!</definedName>
    <definedName name="_____l3" localSheetId="8">#REF!</definedName>
    <definedName name="_____l3" localSheetId="10">#REF!</definedName>
    <definedName name="_____l3" localSheetId="11">#REF!</definedName>
    <definedName name="_____l3" localSheetId="37">#REF!</definedName>
    <definedName name="_____l3" localSheetId="28">#REF!</definedName>
    <definedName name="_____l3" localSheetId="42">#REF!</definedName>
    <definedName name="_____l3" localSheetId="31">#REF!</definedName>
    <definedName name="_____l3">#REF!</definedName>
    <definedName name="_____l3_33">"$#REF!.$#REF!$#REF!"</definedName>
    <definedName name="_____l3_38">"$#REF!.$#REF!$#REF!"</definedName>
    <definedName name="_____l3_41">"$#REF!.$#REF!$#REF!"</definedName>
    <definedName name="_____l3_7">"$#REF!.$#REF!$#REF!"</definedName>
    <definedName name="_____l3_8">"$#REF!.$#REF!$#REF!"</definedName>
    <definedName name="_____l4">[10]Sheet1!$W$2:$Y$103</definedName>
    <definedName name="_____l5" localSheetId="33">#REF!</definedName>
    <definedName name="_____l5" localSheetId="34">#REF!</definedName>
    <definedName name="_____l5" localSheetId="35">#REF!</definedName>
    <definedName name="_____l5" localSheetId="5">#REF!</definedName>
    <definedName name="_____l5" localSheetId="8">#REF!</definedName>
    <definedName name="_____l5" localSheetId="10">#REF!</definedName>
    <definedName name="_____l5" localSheetId="11">#REF!</definedName>
    <definedName name="_____l5" localSheetId="37">#REF!</definedName>
    <definedName name="_____l5" localSheetId="28">#REF!</definedName>
    <definedName name="_____l5" localSheetId="42">#REF!</definedName>
    <definedName name="_____l5" localSheetId="31">#REF!</definedName>
    <definedName name="_____l5">#REF!</definedName>
    <definedName name="_____l5_33">"$#REF!.$#REF!$#REF!"</definedName>
    <definedName name="_____l5_38">"$#REF!.$#REF!$#REF!"</definedName>
    <definedName name="_____l5_41">"$#REF!.$#REF!$#REF!"</definedName>
    <definedName name="_____l5_7">"$#REF!.$#REF!$#REF!"</definedName>
    <definedName name="_____l5_8">"$#REF!.$#REF!$#REF!"</definedName>
    <definedName name="_____l6">[6]r!$F$4</definedName>
    <definedName name="_____l7">[7]r!$F$4</definedName>
    <definedName name="_____l8">[6]r!$F$2</definedName>
    <definedName name="_____l9">[6]r!$F$3</definedName>
    <definedName name="_____lcn1">#REF!</definedName>
    <definedName name="_____LI9" localSheetId="8">#REF!</definedName>
    <definedName name="_____LI9" localSheetId="10">#REF!</definedName>
    <definedName name="_____LI9" localSheetId="28">#REF!</definedName>
    <definedName name="_____LI9">#REF!</definedName>
    <definedName name="_____LII9" localSheetId="8">#REF!</definedName>
    <definedName name="_____LII9" localSheetId="10">#REF!</definedName>
    <definedName name="_____LII9" localSheetId="28">#REF!</definedName>
    <definedName name="_____LII9">#REF!</definedName>
    <definedName name="_____lj600" localSheetId="28">#REF!</definedName>
    <definedName name="_____lj900">#REF!</definedName>
    <definedName name="_____LL3">#REF!</definedName>
    <definedName name="_____lm1">#REF!</definedName>
    <definedName name="_____MA1">#REF!</definedName>
    <definedName name="_____MA2">#REF!</definedName>
    <definedName name="_____MIX124">[36]maya!$A$11:$A$18</definedName>
    <definedName name="_____ML11" localSheetId="8">#REF!</definedName>
    <definedName name="_____ML11" localSheetId="10">#REF!</definedName>
    <definedName name="_____ML11" localSheetId="28">#REF!</definedName>
    <definedName name="_____ML11">#REF!</definedName>
    <definedName name="_____ML110" localSheetId="8">#REF!</definedName>
    <definedName name="_____ML110" localSheetId="10">#REF!</definedName>
    <definedName name="_____ML110" localSheetId="28">#REF!</definedName>
    <definedName name="_____ML110">#REF!</definedName>
    <definedName name="_____ML111" localSheetId="8">#REF!</definedName>
    <definedName name="_____ML111" localSheetId="10">#REF!</definedName>
    <definedName name="_____ML111" localSheetId="28">#REF!</definedName>
    <definedName name="_____ML111">#REF!</definedName>
    <definedName name="_____ML112" localSheetId="8">#REF!</definedName>
    <definedName name="_____ML112" localSheetId="10">#REF!</definedName>
    <definedName name="_____ML112" localSheetId="28">#REF!</definedName>
    <definedName name="_____ML112">#REF!</definedName>
    <definedName name="_____ML113" localSheetId="8">#REF!</definedName>
    <definedName name="_____ML113" localSheetId="10">#REF!</definedName>
    <definedName name="_____ML113" localSheetId="28">#REF!</definedName>
    <definedName name="_____ML113">#REF!</definedName>
    <definedName name="_____ML114" localSheetId="8">#REF!</definedName>
    <definedName name="_____ML114" localSheetId="10">#REF!</definedName>
    <definedName name="_____ML114" localSheetId="28">#REF!</definedName>
    <definedName name="_____ML114">#REF!</definedName>
    <definedName name="_____ML115" localSheetId="8">#REF!</definedName>
    <definedName name="_____ML115" localSheetId="10">#REF!</definedName>
    <definedName name="_____ML115" localSheetId="28">#REF!</definedName>
    <definedName name="_____ML115">#REF!</definedName>
    <definedName name="_____ML12" localSheetId="8">#REF!</definedName>
    <definedName name="_____ML12" localSheetId="10">#REF!</definedName>
    <definedName name="_____ML12" localSheetId="28">#REF!</definedName>
    <definedName name="_____ML12">#REF!</definedName>
    <definedName name="_____ML13" localSheetId="8">#REF!</definedName>
    <definedName name="_____ML13" localSheetId="10">#REF!</definedName>
    <definedName name="_____ML13" localSheetId="28">#REF!</definedName>
    <definedName name="_____ML13">#REF!</definedName>
    <definedName name="_____ML14" localSheetId="8">#REF!</definedName>
    <definedName name="_____ML14" localSheetId="10">#REF!</definedName>
    <definedName name="_____ML14" localSheetId="28">#REF!</definedName>
    <definedName name="_____ML14">#REF!</definedName>
    <definedName name="_____ML15" localSheetId="8">#REF!</definedName>
    <definedName name="_____ML15" localSheetId="10">#REF!</definedName>
    <definedName name="_____ML15" localSheetId="28">#REF!</definedName>
    <definedName name="_____ML15">#REF!</definedName>
    <definedName name="_____ML16" localSheetId="8">#REF!</definedName>
    <definedName name="_____ML16" localSheetId="10">#REF!</definedName>
    <definedName name="_____ML16" localSheetId="28">#REF!</definedName>
    <definedName name="_____ML16">#REF!</definedName>
    <definedName name="_____ML17" localSheetId="8">#REF!</definedName>
    <definedName name="_____ML17" localSheetId="10">#REF!</definedName>
    <definedName name="_____ML17" localSheetId="28">#REF!</definedName>
    <definedName name="_____ML17">#REF!</definedName>
    <definedName name="_____ML18" localSheetId="8">#REF!</definedName>
    <definedName name="_____ML18" localSheetId="10">#REF!</definedName>
    <definedName name="_____ML18" localSheetId="28">#REF!</definedName>
    <definedName name="_____ML18">#REF!</definedName>
    <definedName name="_____ML19" localSheetId="8">#REF!</definedName>
    <definedName name="_____ML19" localSheetId="10">#REF!</definedName>
    <definedName name="_____ML19" localSheetId="28">#REF!</definedName>
    <definedName name="_____ML19">#REF!</definedName>
    <definedName name="_____ML21" localSheetId="8">#REF!</definedName>
    <definedName name="_____ML21" localSheetId="10">#REF!</definedName>
    <definedName name="_____ML21" localSheetId="28">#REF!</definedName>
    <definedName name="_____ML21">#REF!</definedName>
    <definedName name="_____ML210" localSheetId="8">#REF!</definedName>
    <definedName name="_____ML210" localSheetId="10">#REF!</definedName>
    <definedName name="_____ML210" localSheetId="28">#REF!</definedName>
    <definedName name="_____ML210">#REF!</definedName>
    <definedName name="_____ML211" localSheetId="8">#REF!</definedName>
    <definedName name="_____ML211" localSheetId="10">#REF!</definedName>
    <definedName name="_____ML211" localSheetId="28">#REF!</definedName>
    <definedName name="_____ML211">#REF!</definedName>
    <definedName name="_____ML212" localSheetId="8">#REF!</definedName>
    <definedName name="_____ML212" localSheetId="10">#REF!</definedName>
    <definedName name="_____ML212" localSheetId="28">#REF!</definedName>
    <definedName name="_____ML212">#REF!</definedName>
    <definedName name="_____ML213" localSheetId="8">#REF!</definedName>
    <definedName name="_____ML213" localSheetId="10">#REF!</definedName>
    <definedName name="_____ML213" localSheetId="28">#REF!</definedName>
    <definedName name="_____ML213">#REF!</definedName>
    <definedName name="_____ML214" localSheetId="8">#REF!</definedName>
    <definedName name="_____ML214" localSheetId="10">#REF!</definedName>
    <definedName name="_____ML214" localSheetId="28">#REF!</definedName>
    <definedName name="_____ML214">#REF!</definedName>
    <definedName name="_____ML215" localSheetId="8">#REF!</definedName>
    <definedName name="_____ML215" localSheetId="10">#REF!</definedName>
    <definedName name="_____ML215" localSheetId="28">#REF!</definedName>
    <definedName name="_____ML215">#REF!</definedName>
    <definedName name="_____ML216">#REF!</definedName>
    <definedName name="_____ML217">#REF!</definedName>
    <definedName name="_____ML218">#REF!</definedName>
    <definedName name="_____ML219">#REF!</definedName>
    <definedName name="_____ML22" localSheetId="8">#REF!</definedName>
    <definedName name="_____ML22" localSheetId="10">#REF!</definedName>
    <definedName name="_____ML22" localSheetId="28">#REF!</definedName>
    <definedName name="_____ML22">#REF!</definedName>
    <definedName name="_____ML220">#REF!</definedName>
    <definedName name="_____ML221">#REF!</definedName>
    <definedName name="_____ML222">#REF!</definedName>
    <definedName name="_____ML223">#REF!</definedName>
    <definedName name="_____ML224">#REF!</definedName>
    <definedName name="_____ML23" localSheetId="8">#REF!</definedName>
    <definedName name="_____ML23" localSheetId="10">#REF!</definedName>
    <definedName name="_____ML23" localSheetId="28">#REF!</definedName>
    <definedName name="_____ML23">#REF!</definedName>
    <definedName name="_____ML24" localSheetId="8">#REF!</definedName>
    <definedName name="_____ML24" localSheetId="10">#REF!</definedName>
    <definedName name="_____ML24" localSheetId="28">#REF!</definedName>
    <definedName name="_____ML24">#REF!</definedName>
    <definedName name="_____ML25" localSheetId="8">#REF!</definedName>
    <definedName name="_____ML25" localSheetId="10">#REF!</definedName>
    <definedName name="_____ML25" localSheetId="28">#REF!</definedName>
    <definedName name="_____ML25">#REF!</definedName>
    <definedName name="_____ML26" localSheetId="8">#REF!</definedName>
    <definedName name="_____ML26" localSheetId="10">#REF!</definedName>
    <definedName name="_____ML26" localSheetId="28">#REF!</definedName>
    <definedName name="_____ML26">#REF!</definedName>
    <definedName name="_____ML27" localSheetId="8">#REF!</definedName>
    <definedName name="_____ML27" localSheetId="10">#REF!</definedName>
    <definedName name="_____ML27" localSheetId="28">#REF!</definedName>
    <definedName name="_____ML27">#REF!</definedName>
    <definedName name="_____ML28" localSheetId="8">#REF!</definedName>
    <definedName name="_____ML28" localSheetId="10">#REF!</definedName>
    <definedName name="_____ML28" localSheetId="28">#REF!</definedName>
    <definedName name="_____ML28">#REF!</definedName>
    <definedName name="_____ML29" localSheetId="8">#REF!</definedName>
    <definedName name="_____ML29" localSheetId="10">#REF!</definedName>
    <definedName name="_____ML29" localSheetId="28">#REF!</definedName>
    <definedName name="_____ML29">#REF!</definedName>
    <definedName name="_____ML31" localSheetId="8">#REF!</definedName>
    <definedName name="_____ML31" localSheetId="10">#REF!</definedName>
    <definedName name="_____ML31" localSheetId="28">#REF!</definedName>
    <definedName name="_____ML31">#REF!</definedName>
    <definedName name="_____ML310" localSheetId="8">#REF!</definedName>
    <definedName name="_____ML310" localSheetId="10">#REF!</definedName>
    <definedName name="_____ML310" localSheetId="28">#REF!</definedName>
    <definedName name="_____ML310">#REF!</definedName>
    <definedName name="_____ML311" localSheetId="8">#REF!</definedName>
    <definedName name="_____ML311" localSheetId="10">#REF!</definedName>
    <definedName name="_____ML311" localSheetId="28">#REF!</definedName>
    <definedName name="_____ML311">#REF!</definedName>
    <definedName name="_____ML312" localSheetId="8">#REF!</definedName>
    <definedName name="_____ML312" localSheetId="10">#REF!</definedName>
    <definedName name="_____ML312" localSheetId="28">#REF!</definedName>
    <definedName name="_____ML312">#REF!</definedName>
    <definedName name="_____ML313" localSheetId="8">#REF!</definedName>
    <definedName name="_____ML313" localSheetId="10">#REF!</definedName>
    <definedName name="_____ML313" localSheetId="28">#REF!</definedName>
    <definedName name="_____ML313">#REF!</definedName>
    <definedName name="_____ML314" localSheetId="8">#REF!</definedName>
    <definedName name="_____ML314" localSheetId="10">#REF!</definedName>
    <definedName name="_____ML314" localSheetId="28">#REF!</definedName>
    <definedName name="_____ML314">#REF!</definedName>
    <definedName name="_____ML315" localSheetId="8">#REF!</definedName>
    <definedName name="_____ML315" localSheetId="10">#REF!</definedName>
    <definedName name="_____ML315" localSheetId="28">#REF!</definedName>
    <definedName name="_____ML315">#REF!</definedName>
    <definedName name="_____ML316">#REF!</definedName>
    <definedName name="_____ML317">#REF!</definedName>
    <definedName name="_____ML318">#REF!</definedName>
    <definedName name="_____ML319">#REF!</definedName>
    <definedName name="_____ML32" localSheetId="8">#REF!</definedName>
    <definedName name="_____ML32" localSheetId="10">#REF!</definedName>
    <definedName name="_____ML32" localSheetId="28">#REF!</definedName>
    <definedName name="_____ML32">#REF!</definedName>
    <definedName name="_____ML320">#REF!</definedName>
    <definedName name="_____ML321">#REF!</definedName>
    <definedName name="_____ML322">#REF!</definedName>
    <definedName name="_____ML323">#REF!</definedName>
    <definedName name="_____ML324">#REF!</definedName>
    <definedName name="_____ML33" localSheetId="8">#REF!</definedName>
    <definedName name="_____ML33" localSheetId="10">#REF!</definedName>
    <definedName name="_____ML33" localSheetId="28">#REF!</definedName>
    <definedName name="_____ML33">#REF!</definedName>
    <definedName name="_____ML34" localSheetId="8">#REF!</definedName>
    <definedName name="_____ML34" localSheetId="10">#REF!</definedName>
    <definedName name="_____ML34" localSheetId="28">#REF!</definedName>
    <definedName name="_____ML34">#REF!</definedName>
    <definedName name="_____ML35" localSheetId="8">#REF!</definedName>
    <definedName name="_____ML35" localSheetId="10">#REF!</definedName>
    <definedName name="_____ML35" localSheetId="28">#REF!</definedName>
    <definedName name="_____ML35">#REF!</definedName>
    <definedName name="_____ML36" localSheetId="8">#REF!</definedName>
    <definedName name="_____ML36" localSheetId="10">#REF!</definedName>
    <definedName name="_____ML36" localSheetId="28">#REF!</definedName>
    <definedName name="_____ML36">#REF!</definedName>
    <definedName name="_____ML37" localSheetId="8">#REF!</definedName>
    <definedName name="_____ML37" localSheetId="10">#REF!</definedName>
    <definedName name="_____ML37" localSheetId="28">#REF!</definedName>
    <definedName name="_____ML37">#REF!</definedName>
    <definedName name="_____ML38" localSheetId="8">#REF!</definedName>
    <definedName name="_____ML38" localSheetId="10">#REF!</definedName>
    <definedName name="_____ML38" localSheetId="28">#REF!</definedName>
    <definedName name="_____ML38">#REF!</definedName>
    <definedName name="_____ML39" localSheetId="8">#REF!</definedName>
    <definedName name="_____ML39" localSheetId="10">#REF!</definedName>
    <definedName name="_____ML39" localSheetId="28">#REF!</definedName>
    <definedName name="_____ML39">#REF!</definedName>
    <definedName name="_____ML7" localSheetId="8">#REF!</definedName>
    <definedName name="_____ML7" localSheetId="10">#REF!</definedName>
    <definedName name="_____ML7" localSheetId="28">#REF!</definedName>
    <definedName name="_____ML7">#REF!</definedName>
    <definedName name="_____ML8" localSheetId="8">#REF!</definedName>
    <definedName name="_____ML8" localSheetId="10">#REF!</definedName>
    <definedName name="_____ML8" localSheetId="28">#REF!</definedName>
    <definedName name="_____ML8">#REF!</definedName>
    <definedName name="_____ML9" localSheetId="8">#REF!</definedName>
    <definedName name="_____ML9" localSheetId="10">#REF!</definedName>
    <definedName name="_____ML9" localSheetId="28">#REF!</definedName>
    <definedName name="_____ML9">#REF!</definedName>
    <definedName name="_____mm1">[11]r!$F$4</definedName>
    <definedName name="_____mm11">[6]r!$F$4</definedName>
    <definedName name="_____mm111">[7]r!$F$4</definedName>
    <definedName name="_____mm20" localSheetId="8">#REF!</definedName>
    <definedName name="_____mm20" localSheetId="10">#REF!</definedName>
    <definedName name="_____mm20" localSheetId="28">#REF!</definedName>
    <definedName name="_____mm20">#REF!</definedName>
    <definedName name="_____mm40" localSheetId="8">#REF!</definedName>
    <definedName name="_____mm40" localSheetId="10">#REF!</definedName>
    <definedName name="_____mm40" localSheetId="28">#REF!</definedName>
    <definedName name="_____mm40">#REF!</definedName>
    <definedName name="_____o3" localSheetId="28">#REF!</definedName>
    <definedName name="_____PC1" localSheetId="28">#REF!</definedName>
    <definedName name="_____PC10">#REF!</definedName>
    <definedName name="_____PC11">#REF!</definedName>
    <definedName name="_____PC12">#REF!</definedName>
    <definedName name="_____PC13">#REF!</definedName>
    <definedName name="_____PC14">#REF!</definedName>
    <definedName name="_____PC15">#REF!</definedName>
    <definedName name="_____PC16">#REF!</definedName>
    <definedName name="_____PC17">#REF!</definedName>
    <definedName name="_____PC18">#REF!</definedName>
    <definedName name="_____PC19">#REF!</definedName>
    <definedName name="_____pc2" localSheetId="33">#REF!</definedName>
    <definedName name="_____pc2" localSheetId="34">#REF!</definedName>
    <definedName name="_____pc2" localSheetId="35">#REF!</definedName>
    <definedName name="_____pc2" localSheetId="5">#REF!</definedName>
    <definedName name="_____pc2" localSheetId="8">#REF!</definedName>
    <definedName name="_____pc2" localSheetId="10">#REF!</definedName>
    <definedName name="_____pc2" localSheetId="11">#REF!</definedName>
    <definedName name="_____pc2" localSheetId="37">#REF!</definedName>
    <definedName name="_____pc2" localSheetId="28">#REF!</definedName>
    <definedName name="_____pc2" localSheetId="42">#REF!</definedName>
    <definedName name="_____pc2" localSheetId="31">#REF!</definedName>
    <definedName name="_____pc2">#REF!</definedName>
    <definedName name="_____pc2_33">"$#REF!.$#REF!$#REF!"</definedName>
    <definedName name="_____pc2_38">"$#REF!.$#REF!$#REF!"</definedName>
    <definedName name="_____pc2_41">"$#REF!.$#REF!$#REF!"</definedName>
    <definedName name="_____pc2_7">"$#REF!.$#REF!$#REF!"</definedName>
    <definedName name="_____pc2_8">"$#REF!.$#REF!$#REF!"</definedName>
    <definedName name="_____PC20">#REF!</definedName>
    <definedName name="_____PC21">#REF!</definedName>
    <definedName name="_____PC22">#REF!</definedName>
    <definedName name="_____PC23">#REF!</definedName>
    <definedName name="_____PC24">#REF!</definedName>
    <definedName name="_____PC3">#REF!</definedName>
    <definedName name="_____PC4">#REF!</definedName>
    <definedName name="_____PC5">#REF!</definedName>
    <definedName name="_____PC6">#REF!</definedName>
    <definedName name="_____pc600">#REF!</definedName>
    <definedName name="_____PC7">#REF!</definedName>
    <definedName name="_____PC8">#REF!</definedName>
    <definedName name="_____PC9">#REF!</definedName>
    <definedName name="_____pc900">#REF!</definedName>
    <definedName name="_____PMS2" localSheetId="8">#REF!</definedName>
    <definedName name="_____PMS2" localSheetId="10">#REF!</definedName>
    <definedName name="_____PMS2" localSheetId="28">#REF!</definedName>
    <definedName name="_____PMS2">#REF!</definedName>
    <definedName name="_____pv1" localSheetId="8">#REF!</definedName>
    <definedName name="_____pv1" localSheetId="10">#REF!</definedName>
    <definedName name="_____pv1" localSheetId="28">#REF!</definedName>
    <definedName name="_____pv1">#REF!</definedName>
    <definedName name="_____pv2" localSheetId="33">#REF!</definedName>
    <definedName name="_____pv2" localSheetId="34">#REF!</definedName>
    <definedName name="_____pv2" localSheetId="35">#REF!</definedName>
    <definedName name="_____pv2" localSheetId="5">#REF!</definedName>
    <definedName name="_____pv2" localSheetId="8">#REF!</definedName>
    <definedName name="_____pv2" localSheetId="10">#REF!</definedName>
    <definedName name="_____pv2" localSheetId="11">#REF!</definedName>
    <definedName name="_____pv2" localSheetId="37">#REF!</definedName>
    <definedName name="_____pv2" localSheetId="28">#REF!</definedName>
    <definedName name="_____pv2" localSheetId="42">#REF!</definedName>
    <definedName name="_____pv2" localSheetId="31">#REF!</definedName>
    <definedName name="_____pv2">#REF!</definedName>
    <definedName name="_____pv2_33">"$#REF!.$#REF!$#REF!"</definedName>
    <definedName name="_____pv2_38">"$#REF!.$#REF!$#REF!"</definedName>
    <definedName name="_____pv2_41">"$#REF!.$#REF!$#REF!"</definedName>
    <definedName name="_____pv2_7">"$#REF!.$#REF!$#REF!"</definedName>
    <definedName name="_____pv2_8">"$#REF!.$#REF!$#REF!"</definedName>
    <definedName name="_____rr3">[12]v!$A$2:$E$51</definedName>
    <definedName name="_____rrr1">[12]r!$B$1:$I$145</definedName>
    <definedName name="_____SO016" localSheetId="8">#REF!</definedName>
    <definedName name="_____SO016" localSheetId="10">#REF!</definedName>
    <definedName name="_____SO016" localSheetId="11">#REF!</definedName>
    <definedName name="_____SO016" localSheetId="28">#REF!</definedName>
    <definedName name="_____SO016">#REF!</definedName>
    <definedName name="_____SP001" localSheetId="8">#REF!</definedName>
    <definedName name="_____SP001" localSheetId="10">#REF!</definedName>
    <definedName name="_____SP001" localSheetId="11">#REF!</definedName>
    <definedName name="_____SP001" localSheetId="28">#REF!</definedName>
    <definedName name="_____SP001">#REF!</definedName>
    <definedName name="_____SP002" localSheetId="8">#REF!</definedName>
    <definedName name="_____SP002" localSheetId="10">#REF!</definedName>
    <definedName name="_____SP002" localSheetId="11">#REF!</definedName>
    <definedName name="_____SP002" localSheetId="28">#REF!</definedName>
    <definedName name="_____SP002">#REF!</definedName>
    <definedName name="_____SP003" localSheetId="8">#REF!</definedName>
    <definedName name="_____SP003" localSheetId="10">#REF!</definedName>
    <definedName name="_____SP003" localSheetId="11">#REF!</definedName>
    <definedName name="_____SP003" localSheetId="28">#REF!</definedName>
    <definedName name="_____SP003">#REF!</definedName>
    <definedName name="_____SP004" localSheetId="8">#REF!</definedName>
    <definedName name="_____SP004" localSheetId="10">#REF!</definedName>
    <definedName name="_____SP004" localSheetId="11">#REF!</definedName>
    <definedName name="_____SP004" localSheetId="28">#REF!</definedName>
    <definedName name="_____SP004">#REF!</definedName>
    <definedName name="_____SP005" localSheetId="8">#REF!</definedName>
    <definedName name="_____SP005" localSheetId="10">#REF!</definedName>
    <definedName name="_____SP005" localSheetId="11">#REF!</definedName>
    <definedName name="_____SP005" localSheetId="28">#REF!</definedName>
    <definedName name="_____SP005">#REF!</definedName>
    <definedName name="_____SP006" localSheetId="8">#REF!</definedName>
    <definedName name="_____SP006" localSheetId="10">#REF!</definedName>
    <definedName name="_____SP006" localSheetId="11">#REF!</definedName>
    <definedName name="_____SP006" localSheetId="28">#REF!</definedName>
    <definedName name="_____SP006">#REF!</definedName>
    <definedName name="_____SP007" localSheetId="8">#REF!</definedName>
    <definedName name="_____SP007" localSheetId="10">#REF!</definedName>
    <definedName name="_____SP007" localSheetId="11">#REF!</definedName>
    <definedName name="_____SP007" localSheetId="28">#REF!</definedName>
    <definedName name="_____SP007">#REF!</definedName>
    <definedName name="_____SP008" localSheetId="8">#REF!</definedName>
    <definedName name="_____SP008" localSheetId="10">#REF!</definedName>
    <definedName name="_____SP008" localSheetId="11">#REF!</definedName>
    <definedName name="_____SP008" localSheetId="28">#REF!</definedName>
    <definedName name="_____SP008">#REF!</definedName>
    <definedName name="_____SP009" localSheetId="8">#REF!</definedName>
    <definedName name="_____SP009" localSheetId="10">#REF!</definedName>
    <definedName name="_____SP009" localSheetId="11">#REF!</definedName>
    <definedName name="_____SP009" localSheetId="28">#REF!</definedName>
    <definedName name="_____SP009">#REF!</definedName>
    <definedName name="_____SP010" localSheetId="8">#REF!</definedName>
    <definedName name="_____SP010" localSheetId="10">#REF!</definedName>
    <definedName name="_____SP010" localSheetId="11">#REF!</definedName>
    <definedName name="_____SP010" localSheetId="28">#REF!</definedName>
    <definedName name="_____SP010">#REF!</definedName>
    <definedName name="_____SP011" localSheetId="8">#REF!</definedName>
    <definedName name="_____SP011" localSheetId="10">#REF!</definedName>
    <definedName name="_____SP011" localSheetId="11">#REF!</definedName>
    <definedName name="_____SP011" localSheetId="28">#REF!</definedName>
    <definedName name="_____SP011">#REF!</definedName>
    <definedName name="_____SP012" localSheetId="8">#REF!</definedName>
    <definedName name="_____SP012" localSheetId="10">#REF!</definedName>
    <definedName name="_____SP012" localSheetId="11">#REF!</definedName>
    <definedName name="_____SP012" localSheetId="28">#REF!</definedName>
    <definedName name="_____SP012">#REF!</definedName>
    <definedName name="_____SP013" localSheetId="8">#REF!</definedName>
    <definedName name="_____SP013" localSheetId="10">#REF!</definedName>
    <definedName name="_____SP013" localSheetId="11">#REF!</definedName>
    <definedName name="_____SP013" localSheetId="28">#REF!</definedName>
    <definedName name="_____SP013">#REF!</definedName>
    <definedName name="_____SP014" localSheetId="8">#REF!</definedName>
    <definedName name="_____SP014" localSheetId="10">#REF!</definedName>
    <definedName name="_____SP014" localSheetId="11">#REF!</definedName>
    <definedName name="_____SP014" localSheetId="28">#REF!</definedName>
    <definedName name="_____SP014">#REF!</definedName>
    <definedName name="_____SP015" localSheetId="8">#REF!</definedName>
    <definedName name="_____SP015" localSheetId="10">#REF!</definedName>
    <definedName name="_____SP015" localSheetId="11">#REF!</definedName>
    <definedName name="_____SP015" localSheetId="28">#REF!</definedName>
    <definedName name="_____SP015">#REF!</definedName>
    <definedName name="_____SP016" localSheetId="8">#REF!</definedName>
    <definedName name="_____SP016" localSheetId="10">#REF!</definedName>
    <definedName name="_____SP016" localSheetId="11">#REF!</definedName>
    <definedName name="_____SP016" localSheetId="28">#REF!</definedName>
    <definedName name="_____SP016">#REF!</definedName>
    <definedName name="_____SP017" localSheetId="8">#REF!</definedName>
    <definedName name="_____SP017" localSheetId="10">#REF!</definedName>
    <definedName name="_____SP017" localSheetId="11">#REF!</definedName>
    <definedName name="_____SP017" localSheetId="28">#REF!</definedName>
    <definedName name="_____SP017">#REF!</definedName>
    <definedName name="_____SP018" localSheetId="8">#REF!</definedName>
    <definedName name="_____SP018" localSheetId="10">#REF!</definedName>
    <definedName name="_____SP018" localSheetId="11">#REF!</definedName>
    <definedName name="_____SP018" localSheetId="28">#REF!</definedName>
    <definedName name="_____SP018">#REF!</definedName>
    <definedName name="_____SP019" localSheetId="8">#REF!</definedName>
    <definedName name="_____SP019" localSheetId="10">#REF!</definedName>
    <definedName name="_____SP019" localSheetId="11">#REF!</definedName>
    <definedName name="_____SP019" localSheetId="28">#REF!</definedName>
    <definedName name="_____SP019">#REF!</definedName>
    <definedName name="_____SP020" localSheetId="8">#REF!</definedName>
    <definedName name="_____SP020" localSheetId="10">#REF!</definedName>
    <definedName name="_____SP020" localSheetId="11">#REF!</definedName>
    <definedName name="_____SP020" localSheetId="28">#REF!</definedName>
    <definedName name="_____SP020">#REF!</definedName>
    <definedName name="_____SP021" localSheetId="8">#REF!</definedName>
    <definedName name="_____SP021" localSheetId="10">#REF!</definedName>
    <definedName name="_____SP021" localSheetId="11">#REF!</definedName>
    <definedName name="_____SP021" localSheetId="28">#REF!</definedName>
    <definedName name="_____SP021">#REF!</definedName>
    <definedName name="_____SP022" localSheetId="8">#REF!</definedName>
    <definedName name="_____SP022" localSheetId="10">#REF!</definedName>
    <definedName name="_____SP022" localSheetId="11">#REF!</definedName>
    <definedName name="_____SP022" localSheetId="28">#REF!</definedName>
    <definedName name="_____SP022">#REF!</definedName>
    <definedName name="_____SP023" localSheetId="8">#REF!</definedName>
    <definedName name="_____SP023" localSheetId="10">#REF!</definedName>
    <definedName name="_____SP023" localSheetId="11">#REF!</definedName>
    <definedName name="_____SP023" localSheetId="28">#REF!</definedName>
    <definedName name="_____SP023">#REF!</definedName>
    <definedName name="_____SP024" localSheetId="8">#REF!</definedName>
    <definedName name="_____SP024" localSheetId="10">#REF!</definedName>
    <definedName name="_____SP024" localSheetId="11">#REF!</definedName>
    <definedName name="_____SP024" localSheetId="28">#REF!</definedName>
    <definedName name="_____SP024">#REF!</definedName>
    <definedName name="_____SP025" localSheetId="8">#REF!</definedName>
    <definedName name="_____SP025" localSheetId="10">#REF!</definedName>
    <definedName name="_____SP025" localSheetId="11">#REF!</definedName>
    <definedName name="_____SP025" localSheetId="28">#REF!</definedName>
    <definedName name="_____SP025">#REF!</definedName>
    <definedName name="_____SP026" localSheetId="8">#REF!</definedName>
    <definedName name="_____SP026" localSheetId="10">#REF!</definedName>
    <definedName name="_____SP026" localSheetId="11">#REF!</definedName>
    <definedName name="_____SP026" localSheetId="28">#REF!</definedName>
    <definedName name="_____SP026">#REF!</definedName>
    <definedName name="_____SP027" localSheetId="8">#REF!</definedName>
    <definedName name="_____SP027" localSheetId="10">#REF!</definedName>
    <definedName name="_____SP027" localSheetId="11">#REF!</definedName>
    <definedName name="_____SP027" localSheetId="28">#REF!</definedName>
    <definedName name="_____SP027">#REF!</definedName>
    <definedName name="_____SP028" localSheetId="8">#REF!</definedName>
    <definedName name="_____SP028" localSheetId="10">#REF!</definedName>
    <definedName name="_____SP028" localSheetId="11">#REF!</definedName>
    <definedName name="_____SP028" localSheetId="28">#REF!</definedName>
    <definedName name="_____SP028">#REF!</definedName>
    <definedName name="_____SP029" localSheetId="8">#REF!</definedName>
    <definedName name="_____SP029" localSheetId="10">#REF!</definedName>
    <definedName name="_____SP029" localSheetId="11">#REF!</definedName>
    <definedName name="_____SP029" localSheetId="28">#REF!</definedName>
    <definedName name="_____SP029">#REF!</definedName>
    <definedName name="_____SP030" localSheetId="8">#REF!</definedName>
    <definedName name="_____SP030" localSheetId="10">#REF!</definedName>
    <definedName name="_____SP030" localSheetId="11">#REF!</definedName>
    <definedName name="_____SP030" localSheetId="28">#REF!</definedName>
    <definedName name="_____SP030">#REF!</definedName>
    <definedName name="_____SP031" localSheetId="8">#REF!</definedName>
    <definedName name="_____SP031" localSheetId="10">#REF!</definedName>
    <definedName name="_____SP031" localSheetId="11">#REF!</definedName>
    <definedName name="_____SP031" localSheetId="28">#REF!</definedName>
    <definedName name="_____SP031">#REF!</definedName>
    <definedName name="_____SP032" localSheetId="8">#REF!</definedName>
    <definedName name="_____SP032" localSheetId="10">#REF!</definedName>
    <definedName name="_____SP032" localSheetId="11">#REF!</definedName>
    <definedName name="_____SP032" localSheetId="28">#REF!</definedName>
    <definedName name="_____SP032">#REF!</definedName>
    <definedName name="_____SP033" localSheetId="8">#REF!</definedName>
    <definedName name="_____SP033" localSheetId="10">#REF!</definedName>
    <definedName name="_____SP033" localSheetId="11">#REF!</definedName>
    <definedName name="_____SP033" localSheetId="28">#REF!</definedName>
    <definedName name="_____SP033">#REF!</definedName>
    <definedName name="_____SP034" localSheetId="8">#REF!</definedName>
    <definedName name="_____SP034" localSheetId="10">#REF!</definedName>
    <definedName name="_____SP034" localSheetId="11">#REF!</definedName>
    <definedName name="_____SP034" localSheetId="28">#REF!</definedName>
    <definedName name="_____SP034">#REF!</definedName>
    <definedName name="_____SP035" localSheetId="8">#REF!</definedName>
    <definedName name="_____SP035" localSheetId="10">#REF!</definedName>
    <definedName name="_____SP035" localSheetId="11">#REF!</definedName>
    <definedName name="_____SP035" localSheetId="28">#REF!</definedName>
    <definedName name="_____SP035">#REF!</definedName>
    <definedName name="_____SP036" localSheetId="8">#REF!</definedName>
    <definedName name="_____SP036" localSheetId="10">#REF!</definedName>
    <definedName name="_____SP036" localSheetId="11">#REF!</definedName>
    <definedName name="_____SP036" localSheetId="28">#REF!</definedName>
    <definedName name="_____SP036">#REF!</definedName>
    <definedName name="_____SP037" localSheetId="8">#REF!</definedName>
    <definedName name="_____SP037" localSheetId="10">#REF!</definedName>
    <definedName name="_____SP037" localSheetId="11">#REF!</definedName>
    <definedName name="_____SP037" localSheetId="28">#REF!</definedName>
    <definedName name="_____SP037">#REF!</definedName>
    <definedName name="_____SP038" localSheetId="8">#REF!</definedName>
    <definedName name="_____SP038" localSheetId="10">#REF!</definedName>
    <definedName name="_____SP038" localSheetId="11">#REF!</definedName>
    <definedName name="_____SP038" localSheetId="28">#REF!</definedName>
    <definedName name="_____SP038">#REF!</definedName>
    <definedName name="_____SP039" localSheetId="8">#REF!</definedName>
    <definedName name="_____SP039" localSheetId="10">#REF!</definedName>
    <definedName name="_____SP039" localSheetId="11">#REF!</definedName>
    <definedName name="_____SP039" localSheetId="28">#REF!</definedName>
    <definedName name="_____SP039">#REF!</definedName>
    <definedName name="_____SP040" localSheetId="8">#REF!</definedName>
    <definedName name="_____SP040" localSheetId="10">#REF!</definedName>
    <definedName name="_____SP040" localSheetId="11">#REF!</definedName>
    <definedName name="_____SP040" localSheetId="28">#REF!</definedName>
    <definedName name="_____SP040">#REF!</definedName>
    <definedName name="_____SP041" localSheetId="8">#REF!</definedName>
    <definedName name="_____SP041" localSheetId="10">#REF!</definedName>
    <definedName name="_____SP041" localSheetId="11">#REF!</definedName>
    <definedName name="_____SP041" localSheetId="28">#REF!</definedName>
    <definedName name="_____SP041">#REF!</definedName>
    <definedName name="_____SP042" localSheetId="8">#REF!</definedName>
    <definedName name="_____SP042" localSheetId="10">#REF!</definedName>
    <definedName name="_____SP042" localSheetId="11">#REF!</definedName>
    <definedName name="_____SP042" localSheetId="28">#REF!</definedName>
    <definedName name="_____SP042">#REF!</definedName>
    <definedName name="_____SP043" localSheetId="8">#REF!</definedName>
    <definedName name="_____SP043" localSheetId="10">#REF!</definedName>
    <definedName name="_____SP043" localSheetId="11">#REF!</definedName>
    <definedName name="_____SP043" localSheetId="28">#REF!</definedName>
    <definedName name="_____SP043">#REF!</definedName>
    <definedName name="_____SP044" localSheetId="8">#REF!</definedName>
    <definedName name="_____SP044" localSheetId="10">#REF!</definedName>
    <definedName name="_____SP044" localSheetId="11">#REF!</definedName>
    <definedName name="_____SP044" localSheetId="28">#REF!</definedName>
    <definedName name="_____SP044">#REF!</definedName>
    <definedName name="_____SP045" localSheetId="8">#REF!</definedName>
    <definedName name="_____SP045" localSheetId="10">#REF!</definedName>
    <definedName name="_____SP045" localSheetId="11">#REF!</definedName>
    <definedName name="_____SP045" localSheetId="28">#REF!</definedName>
    <definedName name="_____SP045">#REF!</definedName>
    <definedName name="_____SP046" localSheetId="8">#REF!</definedName>
    <definedName name="_____SP046" localSheetId="10">#REF!</definedName>
    <definedName name="_____SP046" localSheetId="11">#REF!</definedName>
    <definedName name="_____SP046" localSheetId="28">#REF!</definedName>
    <definedName name="_____SP046">#REF!</definedName>
    <definedName name="_____SP047" localSheetId="8">#REF!</definedName>
    <definedName name="_____SP047" localSheetId="10">#REF!</definedName>
    <definedName name="_____SP047" localSheetId="11">#REF!</definedName>
    <definedName name="_____SP047" localSheetId="28">#REF!</definedName>
    <definedName name="_____SP047">#REF!</definedName>
    <definedName name="_____SP048" localSheetId="8">#REF!</definedName>
    <definedName name="_____SP048" localSheetId="10">#REF!</definedName>
    <definedName name="_____SP048" localSheetId="11">#REF!</definedName>
    <definedName name="_____SP048" localSheetId="28">#REF!</definedName>
    <definedName name="_____SP048">#REF!</definedName>
    <definedName name="_____SP049" localSheetId="8">#REF!</definedName>
    <definedName name="_____SP049" localSheetId="10">#REF!</definedName>
    <definedName name="_____SP049" localSheetId="11">#REF!</definedName>
    <definedName name="_____SP049" localSheetId="28">#REF!</definedName>
    <definedName name="_____SP049">#REF!</definedName>
    <definedName name="_____SP050" localSheetId="8">#REF!</definedName>
    <definedName name="_____SP050" localSheetId="10">#REF!</definedName>
    <definedName name="_____SP050" localSheetId="11">#REF!</definedName>
    <definedName name="_____SP050" localSheetId="28">#REF!</definedName>
    <definedName name="_____SP050">#REF!</definedName>
    <definedName name="_____SP051" localSheetId="8">#REF!</definedName>
    <definedName name="_____SP051" localSheetId="10">#REF!</definedName>
    <definedName name="_____SP051" localSheetId="11">#REF!</definedName>
    <definedName name="_____SP051" localSheetId="28">#REF!</definedName>
    <definedName name="_____SP051">#REF!</definedName>
    <definedName name="_____SP052" localSheetId="8">#REF!</definedName>
    <definedName name="_____SP052" localSheetId="10">#REF!</definedName>
    <definedName name="_____SP052" localSheetId="11">#REF!</definedName>
    <definedName name="_____SP052" localSheetId="28">#REF!</definedName>
    <definedName name="_____SP052">#REF!</definedName>
    <definedName name="_____SP053" localSheetId="8">#REF!</definedName>
    <definedName name="_____SP053" localSheetId="10">#REF!</definedName>
    <definedName name="_____SP053" localSheetId="11">#REF!</definedName>
    <definedName name="_____SP053" localSheetId="28">#REF!</definedName>
    <definedName name="_____SP053">#REF!</definedName>
    <definedName name="_____SP054" localSheetId="8">#REF!</definedName>
    <definedName name="_____SP054" localSheetId="10">#REF!</definedName>
    <definedName name="_____SP054" localSheetId="11">#REF!</definedName>
    <definedName name="_____SP054" localSheetId="28">#REF!</definedName>
    <definedName name="_____SP054">#REF!</definedName>
    <definedName name="_____SP055" localSheetId="8">#REF!</definedName>
    <definedName name="_____SP055" localSheetId="10">#REF!</definedName>
    <definedName name="_____SP055" localSheetId="11">#REF!</definedName>
    <definedName name="_____SP055" localSheetId="28">#REF!</definedName>
    <definedName name="_____SP055">#REF!</definedName>
    <definedName name="_____SP056" localSheetId="8">#REF!</definedName>
    <definedName name="_____SP056" localSheetId="10">#REF!</definedName>
    <definedName name="_____SP056" localSheetId="11">#REF!</definedName>
    <definedName name="_____SP056" localSheetId="28">#REF!</definedName>
    <definedName name="_____SP056">#REF!</definedName>
    <definedName name="_____SP057" localSheetId="8">#REF!</definedName>
    <definedName name="_____SP057" localSheetId="10">#REF!</definedName>
    <definedName name="_____SP057" localSheetId="11">#REF!</definedName>
    <definedName name="_____SP057" localSheetId="28">#REF!</definedName>
    <definedName name="_____SP057">#REF!</definedName>
    <definedName name="_____SP058" localSheetId="8">#REF!</definedName>
    <definedName name="_____SP058" localSheetId="10">#REF!</definedName>
    <definedName name="_____SP058" localSheetId="11">#REF!</definedName>
    <definedName name="_____SP058" localSheetId="28">#REF!</definedName>
    <definedName name="_____SP058">#REF!</definedName>
    <definedName name="_____SP059" localSheetId="8">#REF!</definedName>
    <definedName name="_____SP059" localSheetId="10">#REF!</definedName>
    <definedName name="_____SP059" localSheetId="11">#REF!</definedName>
    <definedName name="_____SP059" localSheetId="28">#REF!</definedName>
    <definedName name="_____SP059">#REF!</definedName>
    <definedName name="_____SP060" localSheetId="8">#REF!</definedName>
    <definedName name="_____SP060" localSheetId="10">#REF!</definedName>
    <definedName name="_____SP060" localSheetId="11">#REF!</definedName>
    <definedName name="_____SP060" localSheetId="28">#REF!</definedName>
    <definedName name="_____SP060">#REF!</definedName>
    <definedName name="_____SP061" localSheetId="8">#REF!</definedName>
    <definedName name="_____SP061" localSheetId="10">#REF!</definedName>
    <definedName name="_____SP061" localSheetId="11">#REF!</definedName>
    <definedName name="_____SP061" localSheetId="28">#REF!</definedName>
    <definedName name="_____SP061">#REF!</definedName>
    <definedName name="_____SP062" localSheetId="8">#REF!</definedName>
    <definedName name="_____SP062" localSheetId="10">#REF!</definedName>
    <definedName name="_____SP062" localSheetId="11">#REF!</definedName>
    <definedName name="_____SP062" localSheetId="28">#REF!</definedName>
    <definedName name="_____SP062">#REF!</definedName>
    <definedName name="_____SP063" localSheetId="8">#REF!</definedName>
    <definedName name="_____SP063" localSheetId="10">#REF!</definedName>
    <definedName name="_____SP063" localSheetId="11">#REF!</definedName>
    <definedName name="_____SP063" localSheetId="28">#REF!</definedName>
    <definedName name="_____SP063">#REF!</definedName>
    <definedName name="_____SP064" localSheetId="8">#REF!</definedName>
    <definedName name="_____SP064" localSheetId="10">#REF!</definedName>
    <definedName name="_____SP064" localSheetId="11">#REF!</definedName>
    <definedName name="_____SP064" localSheetId="28">#REF!</definedName>
    <definedName name="_____SP064">#REF!</definedName>
    <definedName name="_____SP065" localSheetId="8">#REF!</definedName>
    <definedName name="_____SP065" localSheetId="10">#REF!</definedName>
    <definedName name="_____SP065" localSheetId="11">#REF!</definedName>
    <definedName name="_____SP065" localSheetId="28">#REF!</definedName>
    <definedName name="_____SP065">#REF!</definedName>
    <definedName name="_____SP066" localSheetId="8">#REF!</definedName>
    <definedName name="_____SP066" localSheetId="10">#REF!</definedName>
    <definedName name="_____SP066" localSheetId="11">#REF!</definedName>
    <definedName name="_____SP066" localSheetId="28">#REF!</definedName>
    <definedName name="_____SP066">#REF!</definedName>
    <definedName name="_____SP067" localSheetId="8">#REF!</definedName>
    <definedName name="_____SP067" localSheetId="10">#REF!</definedName>
    <definedName name="_____SP067" localSheetId="11">#REF!</definedName>
    <definedName name="_____SP067" localSheetId="28">#REF!</definedName>
    <definedName name="_____SP067">#REF!</definedName>
    <definedName name="_____SP068" localSheetId="8">#REF!</definedName>
    <definedName name="_____SP068" localSheetId="10">#REF!</definedName>
    <definedName name="_____SP068" localSheetId="11">#REF!</definedName>
    <definedName name="_____SP068" localSheetId="28">#REF!</definedName>
    <definedName name="_____SP068">#REF!</definedName>
    <definedName name="_____SP069" localSheetId="8">#REF!</definedName>
    <definedName name="_____SP069" localSheetId="10">#REF!</definedName>
    <definedName name="_____SP069" localSheetId="11">#REF!</definedName>
    <definedName name="_____SP069" localSheetId="28">#REF!</definedName>
    <definedName name="_____SP069">#REF!</definedName>
    <definedName name="_____SP070" localSheetId="8">#REF!</definedName>
    <definedName name="_____SP070" localSheetId="10">#REF!</definedName>
    <definedName name="_____SP070" localSheetId="11">#REF!</definedName>
    <definedName name="_____SP070" localSheetId="28">#REF!</definedName>
    <definedName name="_____SP070">#REF!</definedName>
    <definedName name="_____sp071" localSheetId="8">#REF!</definedName>
    <definedName name="_____sp071" localSheetId="10">#REF!</definedName>
    <definedName name="_____sp071" localSheetId="11">#REF!</definedName>
    <definedName name="_____sp071" localSheetId="28">#REF!</definedName>
    <definedName name="_____sp071">#REF!</definedName>
    <definedName name="_____SP072" localSheetId="8">#REF!</definedName>
    <definedName name="_____SP072" localSheetId="10">#REF!</definedName>
    <definedName name="_____SP072" localSheetId="11">#REF!</definedName>
    <definedName name="_____SP072" localSheetId="28">#REF!</definedName>
    <definedName name="_____SP072">#REF!</definedName>
    <definedName name="_____SP073" localSheetId="8">#REF!</definedName>
    <definedName name="_____SP073" localSheetId="10">#REF!</definedName>
    <definedName name="_____SP073" localSheetId="11">#REF!</definedName>
    <definedName name="_____SP073" localSheetId="28">#REF!</definedName>
    <definedName name="_____SP073">#REF!</definedName>
    <definedName name="_____SP074" localSheetId="8">#REF!</definedName>
    <definedName name="_____SP074" localSheetId="10">#REF!</definedName>
    <definedName name="_____SP074" localSheetId="11">#REF!</definedName>
    <definedName name="_____SP074" localSheetId="28">#REF!</definedName>
    <definedName name="_____SP074">#REF!</definedName>
    <definedName name="_____SP075" localSheetId="8">#REF!</definedName>
    <definedName name="_____SP075" localSheetId="10">#REF!</definedName>
    <definedName name="_____SP075" localSheetId="11">#REF!</definedName>
    <definedName name="_____SP075" localSheetId="28">#REF!</definedName>
    <definedName name="_____SP075">#REF!</definedName>
    <definedName name="_____SP076" localSheetId="8">#REF!</definedName>
    <definedName name="_____SP076" localSheetId="10">#REF!</definedName>
    <definedName name="_____SP076" localSheetId="11">#REF!</definedName>
    <definedName name="_____SP076" localSheetId="28">#REF!</definedName>
    <definedName name="_____SP076">#REF!</definedName>
    <definedName name="_____SP077" localSheetId="8">#REF!</definedName>
    <definedName name="_____SP077" localSheetId="10">#REF!</definedName>
    <definedName name="_____SP077" localSheetId="11">#REF!</definedName>
    <definedName name="_____SP077" localSheetId="28">#REF!</definedName>
    <definedName name="_____SP077">#REF!</definedName>
    <definedName name="_____sp078" localSheetId="8">#REF!</definedName>
    <definedName name="_____sp078" localSheetId="10">#REF!</definedName>
    <definedName name="_____sp078" localSheetId="11">#REF!</definedName>
    <definedName name="_____sp078" localSheetId="28">#REF!</definedName>
    <definedName name="_____sp078">#REF!</definedName>
    <definedName name="_____SPO79" localSheetId="8">#REF!</definedName>
    <definedName name="_____SPO79" localSheetId="10">#REF!</definedName>
    <definedName name="_____SPO79" localSheetId="11">#REF!</definedName>
    <definedName name="_____SPO79" localSheetId="28">#REF!</definedName>
    <definedName name="_____SPO79">#REF!</definedName>
    <definedName name="_____ss12">[13]rdamdata!$J$8</definedName>
    <definedName name="_____ss20">[13]rdamdata!$J$7</definedName>
    <definedName name="_____ss40">[13]rdamdata!$J$6</definedName>
    <definedName name="_____sw1" localSheetId="28">#REF!</definedName>
    <definedName name="_____t1">#REF!</definedName>
    <definedName name="_____t2">#REF!</definedName>
    <definedName name="_____tab1">#REF!</definedName>
    <definedName name="_____us1">#REF!</definedName>
    <definedName name="_____var1" localSheetId="33">#REF!</definedName>
    <definedName name="_____var1" localSheetId="34">#REF!</definedName>
    <definedName name="_____var1" localSheetId="35">#REF!</definedName>
    <definedName name="_____var1" localSheetId="5">#REF!</definedName>
    <definedName name="_____var1" localSheetId="8">#REF!</definedName>
    <definedName name="_____var1" localSheetId="10">#REF!</definedName>
    <definedName name="_____var1" localSheetId="11">#REF!</definedName>
    <definedName name="_____var1" localSheetId="37">#REF!</definedName>
    <definedName name="_____var1" localSheetId="28">#REF!</definedName>
    <definedName name="_____var1" localSheetId="42">#REF!</definedName>
    <definedName name="_____var1" localSheetId="31">#REF!</definedName>
    <definedName name="_____var1">#REF!</definedName>
    <definedName name="_____var1_33">"$#REF!.$#REF!$#REF!"</definedName>
    <definedName name="_____var1_38">"$#REF!.$#REF!$#REF!"</definedName>
    <definedName name="_____var1_41">"$#REF!.$#REF!$#REF!"</definedName>
    <definedName name="_____var1_7">"$#REF!.$#REF!$#REF!"</definedName>
    <definedName name="_____var1_8">"$#REF!.$#REF!$#REF!"</definedName>
    <definedName name="_____var4" localSheetId="33">#REF!</definedName>
    <definedName name="_____var4" localSheetId="34">#REF!</definedName>
    <definedName name="_____var4" localSheetId="35">#REF!</definedName>
    <definedName name="_____var4" localSheetId="5">#REF!</definedName>
    <definedName name="_____var4" localSheetId="8">#REF!</definedName>
    <definedName name="_____var4" localSheetId="10">#REF!</definedName>
    <definedName name="_____var4" localSheetId="11">#REF!</definedName>
    <definedName name="_____var4" localSheetId="37">#REF!</definedName>
    <definedName name="_____var4" localSheetId="28">#REF!</definedName>
    <definedName name="_____var4" localSheetId="42">#REF!</definedName>
    <definedName name="_____var4" localSheetId="31">#REF!</definedName>
    <definedName name="_____var4">#REF!</definedName>
    <definedName name="_____var4_33">"$#REF!.$#REF!$#REF!"</definedName>
    <definedName name="_____var4_38">"$#REF!.$#REF!$#REF!"</definedName>
    <definedName name="_____var4_41">"$#REF!.$#REF!$#REF!"</definedName>
    <definedName name="_____var4_7">"$#REF!.$#REF!$#REF!"</definedName>
    <definedName name="_____var4_8">"$#REF!.$#REF!$#REF!"</definedName>
    <definedName name="_____vat1" localSheetId="8">#REF!</definedName>
    <definedName name="_____vat1" localSheetId="10">#REF!</definedName>
    <definedName name="_____vat1" localSheetId="28">#REF!</definedName>
    <definedName name="_____vat1">#REF!</definedName>
    <definedName name="_____vat2" localSheetId="8">#REF!</definedName>
    <definedName name="_____vat2" localSheetId="10">#REF!</definedName>
    <definedName name="_____vat2" localSheetId="28">#REF!</definedName>
    <definedName name="_____vat2">#REF!</definedName>
    <definedName name="_____xlfn_BAHTTEXT">#N/A</definedName>
    <definedName name="____abs1" localSheetId="5">#REF!</definedName>
    <definedName name="____abs1" localSheetId="14">#REF!</definedName>
    <definedName name="____abs1" localSheetId="8">#REF!</definedName>
    <definedName name="____abs1" localSheetId="10">#REF!</definedName>
    <definedName name="____abs1" localSheetId="28">#REF!</definedName>
    <definedName name="____abs1">#REF!</definedName>
    <definedName name="____AUX1">#REF!</definedName>
    <definedName name="____aux2" localSheetId="28">#REF!</definedName>
    <definedName name="____AUX3">#REF!</definedName>
    <definedName name="____bla1" localSheetId="37">[47]leads!$H$7</definedName>
    <definedName name="____bla1">[8]leads!$H$7</definedName>
    <definedName name="____BSG100" localSheetId="8">#REF!</definedName>
    <definedName name="____BSG100" localSheetId="10">#REF!</definedName>
    <definedName name="____BSG100" localSheetId="28">#REF!</definedName>
    <definedName name="____BSG100">#REF!</definedName>
    <definedName name="____BSG150" localSheetId="8">#REF!</definedName>
    <definedName name="____BSG150" localSheetId="10">#REF!</definedName>
    <definedName name="____BSG150" localSheetId="28">#REF!</definedName>
    <definedName name="____BSG150">#REF!</definedName>
    <definedName name="____BSG5" localSheetId="8">#REF!</definedName>
    <definedName name="____BSG5" localSheetId="10">#REF!</definedName>
    <definedName name="____BSG5" localSheetId="28">#REF!</definedName>
    <definedName name="____BSG5">#REF!</definedName>
    <definedName name="____BSG75" localSheetId="8">#REF!</definedName>
    <definedName name="____BSG75" localSheetId="10">#REF!</definedName>
    <definedName name="____BSG75" localSheetId="28">#REF!</definedName>
    <definedName name="____BSG75">#REF!</definedName>
    <definedName name="____BTC1" localSheetId="8">#REF!</definedName>
    <definedName name="____BTC1" localSheetId="10">#REF!</definedName>
    <definedName name="____BTC1" localSheetId="28">#REF!</definedName>
    <definedName name="____BTC1">#REF!</definedName>
    <definedName name="____BTC10" localSheetId="8">#REF!</definedName>
    <definedName name="____BTC10" localSheetId="10">#REF!</definedName>
    <definedName name="____BTC10" localSheetId="28">#REF!</definedName>
    <definedName name="____BTC10">#REF!</definedName>
    <definedName name="____BTC11" localSheetId="8">#REF!</definedName>
    <definedName name="____BTC11" localSheetId="10">#REF!</definedName>
    <definedName name="____BTC11" localSheetId="28">#REF!</definedName>
    <definedName name="____BTC11">#REF!</definedName>
    <definedName name="____BTC12" localSheetId="8">#REF!</definedName>
    <definedName name="____BTC12" localSheetId="10">#REF!</definedName>
    <definedName name="____BTC12" localSheetId="28">#REF!</definedName>
    <definedName name="____BTC12">#REF!</definedName>
    <definedName name="____BTC13" localSheetId="8">#REF!</definedName>
    <definedName name="____BTC13" localSheetId="10">#REF!</definedName>
    <definedName name="____BTC13" localSheetId="28">#REF!</definedName>
    <definedName name="____BTC13">#REF!</definedName>
    <definedName name="____BTC14" localSheetId="8">#REF!</definedName>
    <definedName name="____BTC14" localSheetId="10">#REF!</definedName>
    <definedName name="____BTC14" localSheetId="28">#REF!</definedName>
    <definedName name="____BTC14">#REF!</definedName>
    <definedName name="____BTC15" localSheetId="8">#REF!</definedName>
    <definedName name="____BTC15" localSheetId="10">#REF!</definedName>
    <definedName name="____BTC15" localSheetId="28">#REF!</definedName>
    <definedName name="____BTC15">#REF!</definedName>
    <definedName name="____BTC16">#REF!</definedName>
    <definedName name="____BTC17">#REF!</definedName>
    <definedName name="____BTC18">#REF!</definedName>
    <definedName name="____BTC19">#REF!</definedName>
    <definedName name="____BTC2" localSheetId="8">#REF!</definedName>
    <definedName name="____BTC2" localSheetId="10">#REF!</definedName>
    <definedName name="____BTC2" localSheetId="28">#REF!</definedName>
    <definedName name="____BTC2">#REF!</definedName>
    <definedName name="____BTC20">#REF!</definedName>
    <definedName name="____BTC21">#REF!</definedName>
    <definedName name="____BTC22">#REF!</definedName>
    <definedName name="____BTC23">#REF!</definedName>
    <definedName name="____BTC24">#REF!</definedName>
    <definedName name="____BTC3" localSheetId="8">#REF!</definedName>
    <definedName name="____BTC3" localSheetId="10">#REF!</definedName>
    <definedName name="____BTC3" localSheetId="28">#REF!</definedName>
    <definedName name="____BTC3">#REF!</definedName>
    <definedName name="____BTC4" localSheetId="8">#REF!</definedName>
    <definedName name="____BTC4" localSheetId="10">#REF!</definedName>
    <definedName name="____BTC4" localSheetId="28">#REF!</definedName>
    <definedName name="____BTC4">#REF!</definedName>
    <definedName name="____BTC5" localSheetId="8">#REF!</definedName>
    <definedName name="____BTC5" localSheetId="10">#REF!</definedName>
    <definedName name="____BTC5" localSheetId="28">#REF!</definedName>
    <definedName name="____BTC5">#REF!</definedName>
    <definedName name="____BTC6" localSheetId="8">#REF!</definedName>
    <definedName name="____BTC6" localSheetId="10">#REF!</definedName>
    <definedName name="____BTC6" localSheetId="28">#REF!</definedName>
    <definedName name="____BTC6">#REF!</definedName>
    <definedName name="____BTC7" localSheetId="8">#REF!</definedName>
    <definedName name="____BTC7" localSheetId="10">#REF!</definedName>
    <definedName name="____BTC7" localSheetId="28">#REF!</definedName>
    <definedName name="____BTC7">#REF!</definedName>
    <definedName name="____BTC8" localSheetId="8">#REF!</definedName>
    <definedName name="____BTC8" localSheetId="10">#REF!</definedName>
    <definedName name="____BTC8" localSheetId="28">#REF!</definedName>
    <definedName name="____BTC8">#REF!</definedName>
    <definedName name="____BTC9" localSheetId="8">#REF!</definedName>
    <definedName name="____BTC9" localSheetId="10">#REF!</definedName>
    <definedName name="____BTC9" localSheetId="28">#REF!</definedName>
    <definedName name="____BTC9">#REF!</definedName>
    <definedName name="____BTR1">#REF!</definedName>
    <definedName name="____BTR10">#REF!</definedName>
    <definedName name="____BTR11">#REF!</definedName>
    <definedName name="____BTR12">#REF!</definedName>
    <definedName name="____BTR13">#REF!</definedName>
    <definedName name="____BTR14">#REF!</definedName>
    <definedName name="____BTR15">#REF!</definedName>
    <definedName name="____BTR16">#REF!</definedName>
    <definedName name="____BTR17">#REF!</definedName>
    <definedName name="____BTR18">#REF!</definedName>
    <definedName name="____BTR19">#REF!</definedName>
    <definedName name="____BTR2">#REF!</definedName>
    <definedName name="____BTR20">#REF!</definedName>
    <definedName name="____BTR21">#REF!</definedName>
    <definedName name="____BTR22">#REF!</definedName>
    <definedName name="____BTR23">#REF!</definedName>
    <definedName name="____BTR24">#REF!</definedName>
    <definedName name="____BTR3">#REF!</definedName>
    <definedName name="____BTR4">#REF!</definedName>
    <definedName name="____BTR5">#REF!</definedName>
    <definedName name="____BTR6">#REF!</definedName>
    <definedName name="____BTR7">#REF!</definedName>
    <definedName name="____BTR8">#REF!</definedName>
    <definedName name="____BTR9">#REF!</definedName>
    <definedName name="____BTS1" localSheetId="8">#REF!</definedName>
    <definedName name="____BTS1" localSheetId="10">#REF!</definedName>
    <definedName name="____BTS1" localSheetId="28">#REF!</definedName>
    <definedName name="____BTS1">#REF!</definedName>
    <definedName name="____BTS10" localSheetId="8">#REF!</definedName>
    <definedName name="____BTS10" localSheetId="10">#REF!</definedName>
    <definedName name="____BTS10" localSheetId="28">#REF!</definedName>
    <definedName name="____BTS10">#REF!</definedName>
    <definedName name="____BTS11" localSheetId="8">#REF!</definedName>
    <definedName name="____BTS11" localSheetId="10">#REF!</definedName>
    <definedName name="____BTS11" localSheetId="28">#REF!</definedName>
    <definedName name="____BTS11">#REF!</definedName>
    <definedName name="____BTS12" localSheetId="8">#REF!</definedName>
    <definedName name="____BTS12" localSheetId="10">#REF!</definedName>
    <definedName name="____BTS12" localSheetId="28">#REF!</definedName>
    <definedName name="____BTS12">#REF!</definedName>
    <definedName name="____BTS13" localSheetId="8">#REF!</definedName>
    <definedName name="____BTS13" localSheetId="10">#REF!</definedName>
    <definedName name="____BTS13" localSheetId="28">#REF!</definedName>
    <definedName name="____BTS13">#REF!</definedName>
    <definedName name="____BTS14" localSheetId="8">#REF!</definedName>
    <definedName name="____BTS14" localSheetId="10">#REF!</definedName>
    <definedName name="____BTS14" localSheetId="28">#REF!</definedName>
    <definedName name="____BTS14">#REF!</definedName>
    <definedName name="____BTS15" localSheetId="8">#REF!</definedName>
    <definedName name="____BTS15" localSheetId="10">#REF!</definedName>
    <definedName name="____BTS15" localSheetId="28">#REF!</definedName>
    <definedName name="____BTS15">#REF!</definedName>
    <definedName name="____BTS16">#REF!</definedName>
    <definedName name="____BTS17">#REF!</definedName>
    <definedName name="____BTS18">#REF!</definedName>
    <definedName name="____BTS19">#REF!</definedName>
    <definedName name="____BTS2" localSheetId="8">#REF!</definedName>
    <definedName name="____BTS2" localSheetId="10">#REF!</definedName>
    <definedName name="____BTS2" localSheetId="28">#REF!</definedName>
    <definedName name="____BTS2">#REF!</definedName>
    <definedName name="____BTS20">#REF!</definedName>
    <definedName name="____BTS21">#REF!</definedName>
    <definedName name="____BTS22">#REF!</definedName>
    <definedName name="____BTS23">#REF!</definedName>
    <definedName name="____BTS24">#REF!</definedName>
    <definedName name="____BTS3" localSheetId="8">#REF!</definedName>
    <definedName name="____BTS3" localSheetId="10">#REF!</definedName>
    <definedName name="____BTS3" localSheetId="28">#REF!</definedName>
    <definedName name="____BTS3">#REF!</definedName>
    <definedName name="____BTS4" localSheetId="8">#REF!</definedName>
    <definedName name="____BTS4" localSheetId="10">#REF!</definedName>
    <definedName name="____BTS4" localSheetId="28">#REF!</definedName>
    <definedName name="____BTS4">#REF!</definedName>
    <definedName name="____BTS5" localSheetId="8">#REF!</definedName>
    <definedName name="____BTS5" localSheetId="10">#REF!</definedName>
    <definedName name="____BTS5" localSheetId="28">#REF!</definedName>
    <definedName name="____BTS5">#REF!</definedName>
    <definedName name="____BTS6" localSheetId="8">#REF!</definedName>
    <definedName name="____BTS6" localSheetId="10">#REF!</definedName>
    <definedName name="____BTS6" localSheetId="28">#REF!</definedName>
    <definedName name="____BTS6">#REF!</definedName>
    <definedName name="____BTS7" localSheetId="8">#REF!</definedName>
    <definedName name="____BTS7" localSheetId="10">#REF!</definedName>
    <definedName name="____BTS7" localSheetId="28">#REF!</definedName>
    <definedName name="____BTS7">#REF!</definedName>
    <definedName name="____BTS8" localSheetId="8">#REF!</definedName>
    <definedName name="____BTS8" localSheetId="10">#REF!</definedName>
    <definedName name="____BTS8" localSheetId="28">#REF!</definedName>
    <definedName name="____BTS8">#REF!</definedName>
    <definedName name="____BTS9" localSheetId="8">#REF!</definedName>
    <definedName name="____BTS9" localSheetId="10">#REF!</definedName>
    <definedName name="____BTS9" localSheetId="28">#REF!</definedName>
    <definedName name="____BTS9">#REF!</definedName>
    <definedName name="____can430">40.73</definedName>
    <definedName name="____can435">43.3</definedName>
    <definedName name="____cbr1" localSheetId="8">#REF!</definedName>
    <definedName name="____cbr1" localSheetId="10">#REF!</definedName>
    <definedName name="____cbr1" localSheetId="28">#REF!</definedName>
    <definedName name="____cbr1">#REF!</definedName>
    <definedName name="____cbr2" localSheetId="8">#REF!</definedName>
    <definedName name="____cbr2" localSheetId="10">#REF!</definedName>
    <definedName name="____cbr2" localSheetId="28">#REF!</definedName>
    <definedName name="____cbr2">#REF!</definedName>
    <definedName name="____cbr3" localSheetId="8">#REF!</definedName>
    <definedName name="____cbr3" localSheetId="10">#REF!</definedName>
    <definedName name="____cbr3" localSheetId="28">#REF!</definedName>
    <definedName name="____cbr3">#REF!</definedName>
    <definedName name="____cbr4" localSheetId="8">#REF!</definedName>
    <definedName name="____cbr4" localSheetId="10">#REF!</definedName>
    <definedName name="____cbr4" localSheetId="28">#REF!</definedName>
    <definedName name="____cbr4">#REF!</definedName>
    <definedName name="____CCW1">[48]DATA!$H$67</definedName>
    <definedName name="____CCW2">[48]DATA!$H$97</definedName>
    <definedName name="____cur1">[6]r!$F$30</definedName>
    <definedName name="____df3" localSheetId="8">#REF!</definedName>
    <definedName name="____df3" localSheetId="10">#REF!</definedName>
    <definedName name="____df3" localSheetId="11">#REF!</definedName>
    <definedName name="____df3" localSheetId="28">#REF!</definedName>
    <definedName name="____df3">#REF!</definedName>
    <definedName name="____er1">#REF!</definedName>
    <definedName name="____ewe1" localSheetId="11">#REF!</definedName>
    <definedName name="____ewe1" localSheetId="28">#REF!</definedName>
    <definedName name="____ewe1">#REF!</definedName>
    <definedName name="____ewe2">#REF!</definedName>
    <definedName name="____f1" localSheetId="8">#REF!</definedName>
    <definedName name="____f1" localSheetId="10">#REF!</definedName>
    <definedName name="____f1" localSheetId="11">#REF!</definedName>
    <definedName name="____f1" localSheetId="28">#REF!</definedName>
    <definedName name="____f1">#REF!</definedName>
    <definedName name="____GBS11" localSheetId="8">#REF!</definedName>
    <definedName name="____GBS11" localSheetId="10">#REF!</definedName>
    <definedName name="____GBS11" localSheetId="28">#REF!</definedName>
    <definedName name="____GBS11">#REF!</definedName>
    <definedName name="____GBS110" localSheetId="8">#REF!</definedName>
    <definedName name="____GBS110" localSheetId="10">#REF!</definedName>
    <definedName name="____GBS110" localSheetId="28">#REF!</definedName>
    <definedName name="____GBS110">#REF!</definedName>
    <definedName name="____GBS111" localSheetId="8">#REF!</definedName>
    <definedName name="____GBS111" localSheetId="10">#REF!</definedName>
    <definedName name="____GBS111" localSheetId="28">#REF!</definedName>
    <definedName name="____GBS111">#REF!</definedName>
    <definedName name="____GBS112" localSheetId="8">#REF!</definedName>
    <definedName name="____GBS112" localSheetId="10">#REF!</definedName>
    <definedName name="____GBS112" localSheetId="28">#REF!</definedName>
    <definedName name="____GBS112">#REF!</definedName>
    <definedName name="____GBS113" localSheetId="8">#REF!</definedName>
    <definedName name="____GBS113" localSheetId="10">#REF!</definedName>
    <definedName name="____GBS113" localSheetId="28">#REF!</definedName>
    <definedName name="____GBS113">#REF!</definedName>
    <definedName name="____GBS114" localSheetId="8">#REF!</definedName>
    <definedName name="____GBS114" localSheetId="10">#REF!</definedName>
    <definedName name="____GBS114" localSheetId="28">#REF!</definedName>
    <definedName name="____GBS114">#REF!</definedName>
    <definedName name="____GBS115" localSheetId="8">#REF!</definedName>
    <definedName name="____GBS115" localSheetId="10">#REF!</definedName>
    <definedName name="____GBS115" localSheetId="28">#REF!</definedName>
    <definedName name="____GBS115">#REF!</definedName>
    <definedName name="____GBS116">#REF!</definedName>
    <definedName name="____GBS117">#REF!</definedName>
    <definedName name="____GBS118">#REF!</definedName>
    <definedName name="____GBS119">#REF!</definedName>
    <definedName name="____GBS12" localSheetId="8">#REF!</definedName>
    <definedName name="____GBS12" localSheetId="10">#REF!</definedName>
    <definedName name="____GBS12" localSheetId="28">#REF!</definedName>
    <definedName name="____GBS12">#REF!</definedName>
    <definedName name="____GBS120">#REF!</definedName>
    <definedName name="____GBS121">#REF!</definedName>
    <definedName name="____GBS122">#REF!</definedName>
    <definedName name="____GBS123">#REF!</definedName>
    <definedName name="____GBS124">#REF!</definedName>
    <definedName name="____GBS13" localSheetId="8">#REF!</definedName>
    <definedName name="____GBS13" localSheetId="10">#REF!</definedName>
    <definedName name="____GBS13" localSheetId="28">#REF!</definedName>
    <definedName name="____GBS13">#REF!</definedName>
    <definedName name="____GBS14" localSheetId="8">#REF!</definedName>
    <definedName name="____GBS14" localSheetId="10">#REF!</definedName>
    <definedName name="____GBS14" localSheetId="28">#REF!</definedName>
    <definedName name="____GBS14">#REF!</definedName>
    <definedName name="____GBS15" localSheetId="8">#REF!</definedName>
    <definedName name="____GBS15" localSheetId="10">#REF!</definedName>
    <definedName name="____GBS15" localSheetId="28">#REF!</definedName>
    <definedName name="____GBS15">#REF!</definedName>
    <definedName name="____GBS16" localSheetId="8">#REF!</definedName>
    <definedName name="____GBS16" localSheetId="10">#REF!</definedName>
    <definedName name="____GBS16" localSheetId="28">#REF!</definedName>
    <definedName name="____GBS16">#REF!</definedName>
    <definedName name="____GBS17" localSheetId="8">#REF!</definedName>
    <definedName name="____GBS17" localSheetId="10">#REF!</definedName>
    <definedName name="____GBS17" localSheetId="28">#REF!</definedName>
    <definedName name="____GBS17">#REF!</definedName>
    <definedName name="____GBS18" localSheetId="8">#REF!</definedName>
    <definedName name="____GBS18" localSheetId="10">#REF!</definedName>
    <definedName name="____GBS18" localSheetId="28">#REF!</definedName>
    <definedName name="____GBS18">#REF!</definedName>
    <definedName name="____GBS19" localSheetId="8">#REF!</definedName>
    <definedName name="____GBS19" localSheetId="10">#REF!</definedName>
    <definedName name="____GBS19" localSheetId="28">#REF!</definedName>
    <definedName name="____GBS19">#REF!</definedName>
    <definedName name="____GBS21" localSheetId="8">#REF!</definedName>
    <definedName name="____GBS21" localSheetId="10">#REF!</definedName>
    <definedName name="____GBS21" localSheetId="28">#REF!</definedName>
    <definedName name="____GBS21">#REF!</definedName>
    <definedName name="____GBS210" localSheetId="8">#REF!</definedName>
    <definedName name="____GBS210" localSheetId="10">#REF!</definedName>
    <definedName name="____GBS210" localSheetId="28">#REF!</definedName>
    <definedName name="____GBS210">#REF!</definedName>
    <definedName name="____GBS211" localSheetId="8">#REF!</definedName>
    <definedName name="____GBS211" localSheetId="10">#REF!</definedName>
    <definedName name="____GBS211" localSheetId="28">#REF!</definedName>
    <definedName name="____GBS211">#REF!</definedName>
    <definedName name="____GBS212" localSheetId="8">#REF!</definedName>
    <definedName name="____GBS212" localSheetId="10">#REF!</definedName>
    <definedName name="____GBS212" localSheetId="28">#REF!</definedName>
    <definedName name="____GBS212">#REF!</definedName>
    <definedName name="____GBS213" localSheetId="8">#REF!</definedName>
    <definedName name="____GBS213" localSheetId="10">#REF!</definedName>
    <definedName name="____GBS213" localSheetId="28">#REF!</definedName>
    <definedName name="____GBS213">#REF!</definedName>
    <definedName name="____GBS214" localSheetId="8">#REF!</definedName>
    <definedName name="____GBS214" localSheetId="10">#REF!</definedName>
    <definedName name="____GBS214" localSheetId="28">#REF!</definedName>
    <definedName name="____GBS214">#REF!</definedName>
    <definedName name="____GBS215" localSheetId="8">#REF!</definedName>
    <definedName name="____GBS215" localSheetId="10">#REF!</definedName>
    <definedName name="____GBS215" localSheetId="28">#REF!</definedName>
    <definedName name="____GBS215">#REF!</definedName>
    <definedName name="____GBS216">#REF!</definedName>
    <definedName name="____GBS217">#REF!</definedName>
    <definedName name="____GBS218">#REF!</definedName>
    <definedName name="____GBS219">#REF!</definedName>
    <definedName name="____GBS22" localSheetId="8">#REF!</definedName>
    <definedName name="____GBS22" localSheetId="10">#REF!</definedName>
    <definedName name="____GBS22" localSheetId="28">#REF!</definedName>
    <definedName name="____GBS22">#REF!</definedName>
    <definedName name="____GBS220">#REF!</definedName>
    <definedName name="____GBS221">#REF!</definedName>
    <definedName name="____GBS222">#REF!</definedName>
    <definedName name="____GBS223">#REF!</definedName>
    <definedName name="____GBS224">#REF!</definedName>
    <definedName name="____GBS23" localSheetId="8">#REF!</definedName>
    <definedName name="____GBS23" localSheetId="10">#REF!</definedName>
    <definedName name="____GBS23" localSheetId="28">#REF!</definedName>
    <definedName name="____GBS23">#REF!</definedName>
    <definedName name="____GBS24" localSheetId="8">#REF!</definedName>
    <definedName name="____GBS24" localSheetId="10">#REF!</definedName>
    <definedName name="____GBS24" localSheetId="28">#REF!</definedName>
    <definedName name="____GBS24">#REF!</definedName>
    <definedName name="____GBS25" localSheetId="8">#REF!</definedName>
    <definedName name="____GBS25" localSheetId="10">#REF!</definedName>
    <definedName name="____GBS25" localSheetId="28">#REF!</definedName>
    <definedName name="____GBS25">#REF!</definedName>
    <definedName name="____GBS26" localSheetId="8">#REF!</definedName>
    <definedName name="____GBS26" localSheetId="10">#REF!</definedName>
    <definedName name="____GBS26" localSheetId="28">#REF!</definedName>
    <definedName name="____GBS26">#REF!</definedName>
    <definedName name="____GBS27" localSheetId="8">#REF!</definedName>
    <definedName name="____GBS27" localSheetId="10">#REF!</definedName>
    <definedName name="____GBS27" localSheetId="28">#REF!</definedName>
    <definedName name="____GBS27">#REF!</definedName>
    <definedName name="____GBS28" localSheetId="8">#REF!</definedName>
    <definedName name="____GBS28" localSheetId="10">#REF!</definedName>
    <definedName name="____GBS28" localSheetId="28">#REF!</definedName>
    <definedName name="____GBS28">#REF!</definedName>
    <definedName name="____GBS29" localSheetId="8">#REF!</definedName>
    <definedName name="____GBS29" localSheetId="10">#REF!</definedName>
    <definedName name="____GBS29" localSheetId="28">#REF!</definedName>
    <definedName name="____GBS29">#REF!</definedName>
    <definedName name="____grp10003" localSheetId="8">#REF!</definedName>
    <definedName name="____grp10003" localSheetId="10">#REF!</definedName>
    <definedName name="____grp10003" localSheetId="11">#REF!</definedName>
    <definedName name="____grp10003" localSheetId="28">#REF!</definedName>
    <definedName name="____grp10003">#REF!</definedName>
    <definedName name="____grp3503" localSheetId="8">#REF!</definedName>
    <definedName name="____grp3503" localSheetId="10">#REF!</definedName>
    <definedName name="____grp3503" localSheetId="11">#REF!</definedName>
    <definedName name="____grp3503" localSheetId="28">#REF!</definedName>
    <definedName name="____grp3503">#REF!</definedName>
    <definedName name="____grp4003" localSheetId="8">#REF!</definedName>
    <definedName name="____grp4003" localSheetId="10">#REF!</definedName>
    <definedName name="____grp4003" localSheetId="11">#REF!</definedName>
    <definedName name="____grp4003" localSheetId="28">#REF!</definedName>
    <definedName name="____grp4003">#REF!</definedName>
    <definedName name="____grp4503" localSheetId="8">#REF!</definedName>
    <definedName name="____grp4503" localSheetId="10">#REF!</definedName>
    <definedName name="____grp4503" localSheetId="11">#REF!</definedName>
    <definedName name="____grp4503" localSheetId="28">#REF!</definedName>
    <definedName name="____grp4503">#REF!</definedName>
    <definedName name="____grp5003" localSheetId="8">#REF!</definedName>
    <definedName name="____grp5003" localSheetId="10">#REF!</definedName>
    <definedName name="____grp5003" localSheetId="11">#REF!</definedName>
    <definedName name="____grp5003" localSheetId="28">#REF!</definedName>
    <definedName name="____grp5003">#REF!</definedName>
    <definedName name="____grp6003" localSheetId="8">#REF!</definedName>
    <definedName name="____grp6003" localSheetId="10">#REF!</definedName>
    <definedName name="____grp6003" localSheetId="11">#REF!</definedName>
    <definedName name="____grp6003" localSheetId="28">#REF!</definedName>
    <definedName name="____grp6003">#REF!</definedName>
    <definedName name="____grp7003" localSheetId="8">#REF!</definedName>
    <definedName name="____grp7003" localSheetId="10">#REF!</definedName>
    <definedName name="____grp7003" localSheetId="11">#REF!</definedName>
    <definedName name="____grp7003" localSheetId="28">#REF!</definedName>
    <definedName name="____grp7003">#REF!</definedName>
    <definedName name="____grp8003" localSheetId="8">#REF!</definedName>
    <definedName name="____grp8003" localSheetId="10">#REF!</definedName>
    <definedName name="____grp8003" localSheetId="11">#REF!</definedName>
    <definedName name="____grp8003" localSheetId="28">#REF!</definedName>
    <definedName name="____grp8003">#REF!</definedName>
    <definedName name="____grp9003" localSheetId="8">#REF!</definedName>
    <definedName name="____grp9003" localSheetId="10">#REF!</definedName>
    <definedName name="____grp9003" localSheetId="11">#REF!</definedName>
    <definedName name="____grp9003" localSheetId="28">#REF!</definedName>
    <definedName name="____grp9003">#REF!</definedName>
    <definedName name="____gus1">#REF!</definedName>
    <definedName name="____hpm1">#REF!</definedName>
    <definedName name="____knr2" localSheetId="5">#REF!</definedName>
    <definedName name="____knr2" localSheetId="8">#REF!</definedName>
    <definedName name="____knr2" localSheetId="10">#REF!</definedName>
    <definedName name="____knr2" localSheetId="11">#REF!</definedName>
    <definedName name="____knr2" localSheetId="28">#REF!</definedName>
    <definedName name="____knr2">#REF!</definedName>
    <definedName name="____l1" localSheetId="37">[49]leads!$A$3:$E$108</definedName>
    <definedName name="____l1">[9]leads!$A$3:$E$108</definedName>
    <definedName name="____l12" localSheetId="33">#REF!</definedName>
    <definedName name="____l12" localSheetId="34">#REF!</definedName>
    <definedName name="____l12" localSheetId="35">#REF!</definedName>
    <definedName name="____l12" localSheetId="5">#REF!</definedName>
    <definedName name="____l12" localSheetId="8">#REF!</definedName>
    <definedName name="____l12" localSheetId="10">#REF!</definedName>
    <definedName name="____l12" localSheetId="11">#REF!</definedName>
    <definedName name="____l12" localSheetId="37">#REF!</definedName>
    <definedName name="____l12" localSheetId="28">#REF!</definedName>
    <definedName name="____l12" localSheetId="42">#REF!</definedName>
    <definedName name="____l12" localSheetId="31">#REF!</definedName>
    <definedName name="____l12">#REF!</definedName>
    <definedName name="____l12_33">"$#REF!.$#REF!$#REF!"</definedName>
    <definedName name="____l12_38">"$#REF!.$#REF!$#REF!"</definedName>
    <definedName name="____l12_41">"$#REF!.$#REF!$#REF!"</definedName>
    <definedName name="____l12_7">"$#REF!.$#REF!$#REF!"</definedName>
    <definedName name="____l12_8">"$#REF!.$#REF!$#REF!"</definedName>
    <definedName name="____l2">[6]r!$F$29</definedName>
    <definedName name="____l3" localSheetId="33">#REF!</definedName>
    <definedName name="____l3" localSheetId="34">#REF!</definedName>
    <definedName name="____l3" localSheetId="35">#REF!</definedName>
    <definedName name="____l3" localSheetId="5">#REF!</definedName>
    <definedName name="____l3" localSheetId="8">#REF!</definedName>
    <definedName name="____l3" localSheetId="10">#REF!</definedName>
    <definedName name="____l3" localSheetId="11">#REF!</definedName>
    <definedName name="____l3" localSheetId="37">#REF!</definedName>
    <definedName name="____l3" localSheetId="28">#REF!</definedName>
    <definedName name="____l3" localSheetId="42">#REF!</definedName>
    <definedName name="____l3" localSheetId="31">#REF!</definedName>
    <definedName name="____l3">#REF!</definedName>
    <definedName name="____l3_33">"$#REF!.$#REF!$#REF!"</definedName>
    <definedName name="____l3_38">"$#REF!.$#REF!$#REF!"</definedName>
    <definedName name="____l3_41">"$#REF!.$#REF!$#REF!"</definedName>
    <definedName name="____l3_7">"$#REF!.$#REF!$#REF!"</definedName>
    <definedName name="____l3_8">"$#REF!.$#REF!$#REF!"</definedName>
    <definedName name="____l4" localSheetId="37">[50]Sheet1!$W$2:$Y$103</definedName>
    <definedName name="____l4">[10]Sheet1!$W$2:$Y$103</definedName>
    <definedName name="____l5" localSheetId="33">#REF!</definedName>
    <definedName name="____l5" localSheetId="34">#REF!</definedName>
    <definedName name="____l5" localSheetId="35">#REF!</definedName>
    <definedName name="____l5" localSheetId="5">#REF!</definedName>
    <definedName name="____l5" localSheetId="8">#REF!</definedName>
    <definedName name="____l5" localSheetId="10">#REF!</definedName>
    <definedName name="____l5" localSheetId="11">#REF!</definedName>
    <definedName name="____l5" localSheetId="37">#REF!</definedName>
    <definedName name="____l5" localSheetId="28">#REF!</definedName>
    <definedName name="____l5" localSheetId="42">#REF!</definedName>
    <definedName name="____l5" localSheetId="31">#REF!</definedName>
    <definedName name="____l5">#REF!</definedName>
    <definedName name="____l5_33">"$#REF!.$#REF!$#REF!"</definedName>
    <definedName name="____l5_38">"$#REF!.$#REF!$#REF!"</definedName>
    <definedName name="____l5_41">"$#REF!.$#REF!$#REF!"</definedName>
    <definedName name="____l5_7">"$#REF!.$#REF!$#REF!"</definedName>
    <definedName name="____l5_8">"$#REF!.$#REF!$#REF!"</definedName>
    <definedName name="____l6">[6]r!$F$4</definedName>
    <definedName name="____l7">[7]r!$F$4</definedName>
    <definedName name="____l8">[6]r!$F$2</definedName>
    <definedName name="____l9">[6]r!$F$3</definedName>
    <definedName name="____lcn1">#REF!</definedName>
    <definedName name="____LI9" localSheetId="8">#REF!</definedName>
    <definedName name="____LI9" localSheetId="10">#REF!</definedName>
    <definedName name="____LI9" localSheetId="28">#REF!</definedName>
    <definedName name="____LI9">#REF!</definedName>
    <definedName name="____LII9" localSheetId="8">#REF!</definedName>
    <definedName name="____LII9" localSheetId="10">#REF!</definedName>
    <definedName name="____LII9" localSheetId="28">#REF!</definedName>
    <definedName name="____LII9">#REF!</definedName>
    <definedName name="____LJ6">[48]DATA!$H$245</definedName>
    <definedName name="____lj600" localSheetId="28">#REF!</definedName>
    <definedName name="____lj900">#REF!</definedName>
    <definedName name="____LL3">#REF!</definedName>
    <definedName name="____lm1">#REF!</definedName>
    <definedName name="____MA1">#REF!</definedName>
    <definedName name="____MA2" localSheetId="28">#REF!</definedName>
    <definedName name="____MIX124">[36]maya!$A$11:$A$18</definedName>
    <definedName name="____ML11" localSheetId="8">#REF!</definedName>
    <definedName name="____ML11" localSheetId="10">#REF!</definedName>
    <definedName name="____ML11" localSheetId="28">#REF!</definedName>
    <definedName name="____ML11">#REF!</definedName>
    <definedName name="____ML110" localSheetId="8">#REF!</definedName>
    <definedName name="____ML110" localSheetId="10">#REF!</definedName>
    <definedName name="____ML110" localSheetId="28">#REF!</definedName>
    <definedName name="____ML110">#REF!</definedName>
    <definedName name="____ML111" localSheetId="8">#REF!</definedName>
    <definedName name="____ML111" localSheetId="10">#REF!</definedName>
    <definedName name="____ML111" localSheetId="28">#REF!</definedName>
    <definedName name="____ML111">#REF!</definedName>
    <definedName name="____ML112" localSheetId="8">#REF!</definedName>
    <definedName name="____ML112" localSheetId="10">#REF!</definedName>
    <definedName name="____ML112" localSheetId="28">#REF!</definedName>
    <definedName name="____ML112">#REF!</definedName>
    <definedName name="____ML113" localSheetId="8">#REF!</definedName>
    <definedName name="____ML113" localSheetId="10">#REF!</definedName>
    <definedName name="____ML113" localSheetId="28">#REF!</definedName>
    <definedName name="____ML113">#REF!</definedName>
    <definedName name="____ML114" localSheetId="8">#REF!</definedName>
    <definedName name="____ML114" localSheetId="10">#REF!</definedName>
    <definedName name="____ML114" localSheetId="28">#REF!</definedName>
    <definedName name="____ML114">#REF!</definedName>
    <definedName name="____ML115" localSheetId="8">#REF!</definedName>
    <definedName name="____ML115" localSheetId="10">#REF!</definedName>
    <definedName name="____ML115" localSheetId="28">#REF!</definedName>
    <definedName name="____ML115">#REF!</definedName>
    <definedName name="____ML12" localSheetId="8">#REF!</definedName>
    <definedName name="____ML12" localSheetId="10">#REF!</definedName>
    <definedName name="____ML12" localSheetId="28">#REF!</definedName>
    <definedName name="____ML12">#REF!</definedName>
    <definedName name="____ML13" localSheetId="8">#REF!</definedName>
    <definedName name="____ML13" localSheetId="10">#REF!</definedName>
    <definedName name="____ML13" localSheetId="28">#REF!</definedName>
    <definedName name="____ML13">#REF!</definedName>
    <definedName name="____ML14" localSheetId="8">#REF!</definedName>
    <definedName name="____ML14" localSheetId="10">#REF!</definedName>
    <definedName name="____ML14" localSheetId="28">#REF!</definedName>
    <definedName name="____ML14">#REF!</definedName>
    <definedName name="____ML15" localSheetId="8">#REF!</definedName>
    <definedName name="____ML15" localSheetId="10">#REF!</definedName>
    <definedName name="____ML15" localSheetId="28">#REF!</definedName>
    <definedName name="____ML15">#REF!</definedName>
    <definedName name="____ML16" localSheetId="8">#REF!</definedName>
    <definedName name="____ML16" localSheetId="10">#REF!</definedName>
    <definedName name="____ML16" localSheetId="28">#REF!</definedName>
    <definedName name="____ML16">#REF!</definedName>
    <definedName name="____ML17" localSheetId="8">#REF!</definedName>
    <definedName name="____ML17" localSheetId="10">#REF!</definedName>
    <definedName name="____ML17" localSheetId="28">#REF!</definedName>
    <definedName name="____ML17">#REF!</definedName>
    <definedName name="____ML18" localSheetId="8">#REF!</definedName>
    <definedName name="____ML18" localSheetId="10">#REF!</definedName>
    <definedName name="____ML18" localSheetId="28">#REF!</definedName>
    <definedName name="____ML18">#REF!</definedName>
    <definedName name="____ML19" localSheetId="8">#REF!</definedName>
    <definedName name="____ML19" localSheetId="10">#REF!</definedName>
    <definedName name="____ML19" localSheetId="28">#REF!</definedName>
    <definedName name="____ML19">#REF!</definedName>
    <definedName name="____ML21" localSheetId="8">#REF!</definedName>
    <definedName name="____ML21" localSheetId="10">#REF!</definedName>
    <definedName name="____ML21" localSheetId="28">#REF!</definedName>
    <definedName name="____ML21">#REF!</definedName>
    <definedName name="____ML210" localSheetId="8">#REF!</definedName>
    <definedName name="____ML210" localSheetId="10">#REF!</definedName>
    <definedName name="____ML210" localSheetId="28">#REF!</definedName>
    <definedName name="____ML210">#REF!</definedName>
    <definedName name="____ML211" localSheetId="8">#REF!</definedName>
    <definedName name="____ML211" localSheetId="10">#REF!</definedName>
    <definedName name="____ML211" localSheetId="28">#REF!</definedName>
    <definedName name="____ML211">#REF!</definedName>
    <definedName name="____ML212" localSheetId="8">#REF!</definedName>
    <definedName name="____ML212" localSheetId="10">#REF!</definedName>
    <definedName name="____ML212" localSheetId="28">#REF!</definedName>
    <definedName name="____ML212">#REF!</definedName>
    <definedName name="____ML213" localSheetId="8">#REF!</definedName>
    <definedName name="____ML213" localSheetId="10">#REF!</definedName>
    <definedName name="____ML213" localSheetId="28">#REF!</definedName>
    <definedName name="____ML213">#REF!</definedName>
    <definedName name="____ML214" localSheetId="8">#REF!</definedName>
    <definedName name="____ML214" localSheetId="10">#REF!</definedName>
    <definedName name="____ML214" localSheetId="28">#REF!</definedName>
    <definedName name="____ML214">#REF!</definedName>
    <definedName name="____ML215" localSheetId="8">#REF!</definedName>
    <definedName name="____ML215" localSheetId="10">#REF!</definedName>
    <definedName name="____ML215" localSheetId="28">#REF!</definedName>
    <definedName name="____ML215">#REF!</definedName>
    <definedName name="____ML216">#REF!</definedName>
    <definedName name="____ML217">#REF!</definedName>
    <definedName name="____ML218">#REF!</definedName>
    <definedName name="____ML219">#REF!</definedName>
    <definedName name="____ML22" localSheetId="8">#REF!</definedName>
    <definedName name="____ML22" localSheetId="10">#REF!</definedName>
    <definedName name="____ML22" localSheetId="28">#REF!</definedName>
    <definedName name="____ML22">#REF!</definedName>
    <definedName name="____ML220">#REF!</definedName>
    <definedName name="____ML221">#REF!</definedName>
    <definedName name="____ML222">#REF!</definedName>
    <definedName name="____ML223">#REF!</definedName>
    <definedName name="____ML224">#REF!</definedName>
    <definedName name="____ML23" localSheetId="8">#REF!</definedName>
    <definedName name="____ML23" localSheetId="10">#REF!</definedName>
    <definedName name="____ML23" localSheetId="28">#REF!</definedName>
    <definedName name="____ML23">#REF!</definedName>
    <definedName name="____ML24" localSheetId="8">#REF!</definedName>
    <definedName name="____ML24" localSheetId="10">#REF!</definedName>
    <definedName name="____ML24" localSheetId="28">#REF!</definedName>
    <definedName name="____ML24">#REF!</definedName>
    <definedName name="____ML25" localSheetId="8">#REF!</definedName>
    <definedName name="____ML25" localSheetId="10">#REF!</definedName>
    <definedName name="____ML25" localSheetId="28">#REF!</definedName>
    <definedName name="____ML25">#REF!</definedName>
    <definedName name="____ML26" localSheetId="8">#REF!</definedName>
    <definedName name="____ML26" localSheetId="10">#REF!</definedName>
    <definedName name="____ML26" localSheetId="28">#REF!</definedName>
    <definedName name="____ML26">#REF!</definedName>
    <definedName name="____ML27" localSheetId="8">#REF!</definedName>
    <definedName name="____ML27" localSheetId="10">#REF!</definedName>
    <definedName name="____ML27" localSheetId="28">#REF!</definedName>
    <definedName name="____ML27">#REF!</definedName>
    <definedName name="____ML28" localSheetId="8">#REF!</definedName>
    <definedName name="____ML28" localSheetId="10">#REF!</definedName>
    <definedName name="____ML28" localSheetId="28">#REF!</definedName>
    <definedName name="____ML28">#REF!</definedName>
    <definedName name="____ML29" localSheetId="8">#REF!</definedName>
    <definedName name="____ML29" localSheetId="10">#REF!</definedName>
    <definedName name="____ML29" localSheetId="28">#REF!</definedName>
    <definedName name="____ML29">#REF!</definedName>
    <definedName name="____ML31" localSheetId="8">#REF!</definedName>
    <definedName name="____ML31" localSheetId="10">#REF!</definedName>
    <definedName name="____ML31" localSheetId="28">#REF!</definedName>
    <definedName name="____ML31">#REF!</definedName>
    <definedName name="____ML310" localSheetId="8">#REF!</definedName>
    <definedName name="____ML310" localSheetId="10">#REF!</definedName>
    <definedName name="____ML310" localSheetId="28">#REF!</definedName>
    <definedName name="____ML310">#REF!</definedName>
    <definedName name="____ML311" localSheetId="8">#REF!</definedName>
    <definedName name="____ML311" localSheetId="10">#REF!</definedName>
    <definedName name="____ML311" localSheetId="28">#REF!</definedName>
    <definedName name="____ML311">#REF!</definedName>
    <definedName name="____ML312" localSheetId="8">#REF!</definedName>
    <definedName name="____ML312" localSheetId="10">#REF!</definedName>
    <definedName name="____ML312" localSheetId="28">#REF!</definedName>
    <definedName name="____ML312">#REF!</definedName>
    <definedName name="____ML313" localSheetId="8">#REF!</definedName>
    <definedName name="____ML313" localSheetId="10">#REF!</definedName>
    <definedName name="____ML313" localSheetId="28">#REF!</definedName>
    <definedName name="____ML313">#REF!</definedName>
    <definedName name="____ML314" localSheetId="8">#REF!</definedName>
    <definedName name="____ML314" localSheetId="10">#REF!</definedName>
    <definedName name="____ML314" localSheetId="28">#REF!</definedName>
    <definedName name="____ML314">#REF!</definedName>
    <definedName name="____ML315" localSheetId="8">#REF!</definedName>
    <definedName name="____ML315" localSheetId="10">#REF!</definedName>
    <definedName name="____ML315" localSheetId="28">#REF!</definedName>
    <definedName name="____ML315">#REF!</definedName>
    <definedName name="____ML316">#REF!</definedName>
    <definedName name="____ML317">#REF!</definedName>
    <definedName name="____ML318">#REF!</definedName>
    <definedName name="____ML319">#REF!</definedName>
    <definedName name="____ML32" localSheetId="8">#REF!</definedName>
    <definedName name="____ML32" localSheetId="10">#REF!</definedName>
    <definedName name="____ML32" localSheetId="28">#REF!</definedName>
    <definedName name="____ML32">#REF!</definedName>
    <definedName name="____ML320">#REF!</definedName>
    <definedName name="____ML321">#REF!</definedName>
    <definedName name="____ML322">#REF!</definedName>
    <definedName name="____ML323">#REF!</definedName>
    <definedName name="____ML324">#REF!</definedName>
    <definedName name="____ML33" localSheetId="8">#REF!</definedName>
    <definedName name="____ML33" localSheetId="10">#REF!</definedName>
    <definedName name="____ML33" localSheetId="28">#REF!</definedName>
    <definedName name="____ML33">#REF!</definedName>
    <definedName name="____ML34" localSheetId="8">#REF!</definedName>
    <definedName name="____ML34" localSheetId="10">#REF!</definedName>
    <definedName name="____ML34" localSheetId="28">#REF!</definedName>
    <definedName name="____ML34">#REF!</definedName>
    <definedName name="____ML35" localSheetId="8">#REF!</definedName>
    <definedName name="____ML35" localSheetId="10">#REF!</definedName>
    <definedName name="____ML35" localSheetId="28">#REF!</definedName>
    <definedName name="____ML35">#REF!</definedName>
    <definedName name="____ML36" localSheetId="8">#REF!</definedName>
    <definedName name="____ML36" localSheetId="10">#REF!</definedName>
    <definedName name="____ML36" localSheetId="28">#REF!</definedName>
    <definedName name="____ML36">#REF!</definedName>
    <definedName name="____ML37" localSheetId="8">#REF!</definedName>
    <definedName name="____ML37" localSheetId="10">#REF!</definedName>
    <definedName name="____ML37" localSheetId="28">#REF!</definedName>
    <definedName name="____ML37">#REF!</definedName>
    <definedName name="____ML38" localSheetId="8">#REF!</definedName>
    <definedName name="____ML38" localSheetId="10">#REF!</definedName>
    <definedName name="____ML38" localSheetId="28">#REF!</definedName>
    <definedName name="____ML38">#REF!</definedName>
    <definedName name="____ML39" localSheetId="8">#REF!</definedName>
    <definedName name="____ML39" localSheetId="10">#REF!</definedName>
    <definedName name="____ML39" localSheetId="28">#REF!</definedName>
    <definedName name="____ML39">#REF!</definedName>
    <definedName name="____ML7" localSheetId="8">#REF!</definedName>
    <definedName name="____ML7" localSheetId="10">#REF!</definedName>
    <definedName name="____ML7" localSheetId="28">#REF!</definedName>
    <definedName name="____ML7">#REF!</definedName>
    <definedName name="____ML8" localSheetId="8">#REF!</definedName>
    <definedName name="____ML8" localSheetId="10">#REF!</definedName>
    <definedName name="____ML8" localSheetId="28">#REF!</definedName>
    <definedName name="____ML8">#REF!</definedName>
    <definedName name="____ML9" localSheetId="8">#REF!</definedName>
    <definedName name="____ML9" localSheetId="10">#REF!</definedName>
    <definedName name="____ML9" localSheetId="28">#REF!</definedName>
    <definedName name="____ML9">#REF!</definedName>
    <definedName name="____mm1" localSheetId="37">[51]r!$F$4</definedName>
    <definedName name="____mm1">[11]r!$F$4</definedName>
    <definedName name="____mm11">[6]r!$F$4</definedName>
    <definedName name="____mm111">[7]r!$F$4</definedName>
    <definedName name="____mm20" localSheetId="8">#REF!</definedName>
    <definedName name="____mm20" localSheetId="10">#REF!</definedName>
    <definedName name="____mm20" localSheetId="28">#REF!</definedName>
    <definedName name="____mm20">#REF!</definedName>
    <definedName name="____mm40" localSheetId="8">#REF!</definedName>
    <definedName name="____mm40" localSheetId="10">#REF!</definedName>
    <definedName name="____mm40" localSheetId="28">#REF!</definedName>
    <definedName name="____mm40">#REF!</definedName>
    <definedName name="____o3" localSheetId="28">#REF!</definedName>
    <definedName name="____pc02">#REF!</definedName>
    <definedName name="____PC1" localSheetId="28">#REF!</definedName>
    <definedName name="____PC10">#REF!</definedName>
    <definedName name="____PC11">#REF!</definedName>
    <definedName name="____PC12">#REF!</definedName>
    <definedName name="____PC13">#REF!</definedName>
    <definedName name="____PC14">#REF!</definedName>
    <definedName name="____PC15">#REF!</definedName>
    <definedName name="____PC16">#REF!</definedName>
    <definedName name="____PC17">#REF!</definedName>
    <definedName name="____PC18">#REF!</definedName>
    <definedName name="____PC19">#REF!</definedName>
    <definedName name="____pc2" localSheetId="33">#REF!</definedName>
    <definedName name="____pc2" localSheetId="34">#REF!</definedName>
    <definedName name="____pc2" localSheetId="35">#REF!</definedName>
    <definedName name="____pc2" localSheetId="5">#REF!</definedName>
    <definedName name="____pc2" localSheetId="8">#REF!</definedName>
    <definedName name="____pc2" localSheetId="10">#REF!</definedName>
    <definedName name="____pc2" localSheetId="11">#REF!</definedName>
    <definedName name="____pc2" localSheetId="37">#REF!</definedName>
    <definedName name="____pc2" localSheetId="28">#REF!</definedName>
    <definedName name="____pc2" localSheetId="42">#REF!</definedName>
    <definedName name="____pc2" localSheetId="31">#REF!</definedName>
    <definedName name="____pc2">#REF!</definedName>
    <definedName name="____pc2_33">"$#REF!.$#REF!$#REF!"</definedName>
    <definedName name="____pc2_38">"$#REF!.$#REF!$#REF!"</definedName>
    <definedName name="____pc2_41">"$#REF!.$#REF!$#REF!"</definedName>
    <definedName name="____pc2_7">"$#REF!.$#REF!$#REF!"</definedName>
    <definedName name="____pc2_8">"$#REF!.$#REF!$#REF!"</definedName>
    <definedName name="____PC20">#REF!</definedName>
    <definedName name="____PC21">#REF!</definedName>
    <definedName name="____PC22">#REF!</definedName>
    <definedName name="____PC23">#REF!</definedName>
    <definedName name="____PC24">#REF!</definedName>
    <definedName name="____PC3">#REF!</definedName>
    <definedName name="____PC4">#REF!</definedName>
    <definedName name="____PC5">#REF!</definedName>
    <definedName name="____PC6">#REF!</definedName>
    <definedName name="____pc600">#REF!</definedName>
    <definedName name="____PC7">#REF!</definedName>
    <definedName name="____PC8">#REF!</definedName>
    <definedName name="____PC9">#REF!</definedName>
    <definedName name="____pc900">#REF!</definedName>
    <definedName name="____PMS2" localSheetId="8">#REF!</definedName>
    <definedName name="____PMS2" localSheetId="10">#REF!</definedName>
    <definedName name="____PMS2" localSheetId="28">#REF!</definedName>
    <definedName name="____PMS2">#REF!</definedName>
    <definedName name="____psc10006" localSheetId="8">#REF!</definedName>
    <definedName name="____psc10006" localSheetId="10">#REF!</definedName>
    <definedName name="____psc10006" localSheetId="11">#REF!</definedName>
    <definedName name="____psc10006" localSheetId="28">#REF!</definedName>
    <definedName name="____psc10006">#REF!</definedName>
    <definedName name="____psc10008" localSheetId="8">#REF!</definedName>
    <definedName name="____psc10008" localSheetId="10">#REF!</definedName>
    <definedName name="____psc10008" localSheetId="11">#REF!</definedName>
    <definedName name="____psc10008" localSheetId="28">#REF!</definedName>
    <definedName name="____psc10008">#REF!</definedName>
    <definedName name="____psc3506" localSheetId="8">#REF!</definedName>
    <definedName name="____psc3506" localSheetId="10">#REF!</definedName>
    <definedName name="____psc3506" localSheetId="11">#REF!</definedName>
    <definedName name="____psc3506" localSheetId="28">#REF!</definedName>
    <definedName name="____psc3506">#REF!</definedName>
    <definedName name="____psc3508" localSheetId="8">#REF!</definedName>
    <definedName name="____psc3508" localSheetId="10">#REF!</definedName>
    <definedName name="____psc3508" localSheetId="11">#REF!</definedName>
    <definedName name="____psc3508" localSheetId="28">#REF!</definedName>
    <definedName name="____psc3508">#REF!</definedName>
    <definedName name="____psc4006" localSheetId="8">#REF!</definedName>
    <definedName name="____psc4006" localSheetId="10">#REF!</definedName>
    <definedName name="____psc4006" localSheetId="11">#REF!</definedName>
    <definedName name="____psc4006" localSheetId="28">#REF!</definedName>
    <definedName name="____psc4006">#REF!</definedName>
    <definedName name="____psc4008" localSheetId="8">#REF!</definedName>
    <definedName name="____psc4008" localSheetId="10">#REF!</definedName>
    <definedName name="____psc4008" localSheetId="11">#REF!</definedName>
    <definedName name="____psc4008" localSheetId="28">#REF!</definedName>
    <definedName name="____psc4008">#REF!</definedName>
    <definedName name="____psc4506" localSheetId="8">#REF!</definedName>
    <definedName name="____psc4506" localSheetId="10">#REF!</definedName>
    <definedName name="____psc4506" localSheetId="11">#REF!</definedName>
    <definedName name="____psc4506" localSheetId="28">#REF!</definedName>
    <definedName name="____psc4506">#REF!</definedName>
    <definedName name="____psc4508" localSheetId="8">#REF!</definedName>
    <definedName name="____psc4508" localSheetId="10">#REF!</definedName>
    <definedName name="____psc4508" localSheetId="11">#REF!</definedName>
    <definedName name="____psc4508" localSheetId="28">#REF!</definedName>
    <definedName name="____psc4508">#REF!</definedName>
    <definedName name="____psc5006" localSheetId="8">#REF!</definedName>
    <definedName name="____psc5006" localSheetId="10">#REF!</definedName>
    <definedName name="____psc5006" localSheetId="11">#REF!</definedName>
    <definedName name="____psc5006" localSheetId="28">#REF!</definedName>
    <definedName name="____psc5006">#REF!</definedName>
    <definedName name="____psc5008" localSheetId="8">#REF!</definedName>
    <definedName name="____psc5008" localSheetId="10">#REF!</definedName>
    <definedName name="____psc5008" localSheetId="11">#REF!</definedName>
    <definedName name="____psc5008" localSheetId="28">#REF!</definedName>
    <definedName name="____psc5008">#REF!</definedName>
    <definedName name="____psc6006" localSheetId="8">#REF!</definedName>
    <definedName name="____psc6006" localSheetId="10">#REF!</definedName>
    <definedName name="____psc6006" localSheetId="11">#REF!</definedName>
    <definedName name="____psc6006" localSheetId="28">#REF!</definedName>
    <definedName name="____psc6006">#REF!</definedName>
    <definedName name="____psc6008" localSheetId="8">#REF!</definedName>
    <definedName name="____psc6008" localSheetId="10">#REF!</definedName>
    <definedName name="____psc6008" localSheetId="11">#REF!</definedName>
    <definedName name="____psc6008" localSheetId="28">#REF!</definedName>
    <definedName name="____psc6008">#REF!</definedName>
    <definedName name="____psc7006" localSheetId="8">#REF!</definedName>
    <definedName name="____psc7006" localSheetId="10">#REF!</definedName>
    <definedName name="____psc7006" localSheetId="11">#REF!</definedName>
    <definedName name="____psc7006" localSheetId="28">#REF!</definedName>
    <definedName name="____psc7006">#REF!</definedName>
    <definedName name="____psc7008" localSheetId="8">#REF!</definedName>
    <definedName name="____psc7008" localSheetId="10">#REF!</definedName>
    <definedName name="____psc7008" localSheetId="11">#REF!</definedName>
    <definedName name="____psc7008" localSheetId="28">#REF!</definedName>
    <definedName name="____psc7008">#REF!</definedName>
    <definedName name="____psc8006" localSheetId="8">#REF!</definedName>
    <definedName name="____psc8006" localSheetId="10">#REF!</definedName>
    <definedName name="____psc8006" localSheetId="11">#REF!</definedName>
    <definedName name="____psc8006" localSheetId="28">#REF!</definedName>
    <definedName name="____psc8006">#REF!</definedName>
    <definedName name="____psc8008" localSheetId="8">#REF!</definedName>
    <definedName name="____psc8008" localSheetId="10">#REF!</definedName>
    <definedName name="____psc8008" localSheetId="11">#REF!</definedName>
    <definedName name="____psc8008" localSheetId="28">#REF!</definedName>
    <definedName name="____psc8008">#REF!</definedName>
    <definedName name="____psc9006" localSheetId="8">#REF!</definedName>
    <definedName name="____psc9006" localSheetId="10">#REF!</definedName>
    <definedName name="____psc9006" localSheetId="11">#REF!</definedName>
    <definedName name="____psc9006" localSheetId="28">#REF!</definedName>
    <definedName name="____psc9006">#REF!</definedName>
    <definedName name="____psc9008" localSheetId="8">#REF!</definedName>
    <definedName name="____psc9008" localSheetId="10">#REF!</definedName>
    <definedName name="____psc9008" localSheetId="11">#REF!</definedName>
    <definedName name="____psc9008" localSheetId="28">#REF!</definedName>
    <definedName name="____psc9008">#REF!</definedName>
    <definedName name="____pv1" localSheetId="8">#REF!</definedName>
    <definedName name="____pv1" localSheetId="10">#REF!</definedName>
    <definedName name="____pv1" localSheetId="28">#REF!</definedName>
    <definedName name="____pv1">#REF!</definedName>
    <definedName name="____pv2" localSheetId="33">#REF!</definedName>
    <definedName name="____pv2" localSheetId="34">#REF!</definedName>
    <definedName name="____pv2" localSheetId="35">#REF!</definedName>
    <definedName name="____pv2" localSheetId="5">#REF!</definedName>
    <definedName name="____pv2" localSheetId="8">#REF!</definedName>
    <definedName name="____pv2" localSheetId="10">#REF!</definedName>
    <definedName name="____pv2" localSheetId="11">#REF!</definedName>
    <definedName name="____pv2" localSheetId="37">#REF!</definedName>
    <definedName name="____pv2" localSheetId="28">#REF!</definedName>
    <definedName name="____pv2" localSheetId="42">#REF!</definedName>
    <definedName name="____pv2" localSheetId="31">#REF!</definedName>
    <definedName name="____pv2">#REF!</definedName>
    <definedName name="____pv2_33">"$#REF!.$#REF!$#REF!"</definedName>
    <definedName name="____pv2_38">"$#REF!.$#REF!$#REF!"</definedName>
    <definedName name="____pv2_41">"$#REF!.$#REF!$#REF!"</definedName>
    <definedName name="____pv2_7">"$#REF!.$#REF!$#REF!"</definedName>
    <definedName name="____pv2_8">"$#REF!.$#REF!$#REF!"</definedName>
    <definedName name="____rr3" localSheetId="37">[52]v!$A$2:$E$51</definedName>
    <definedName name="____rr3">[12]v!$A$2:$E$51</definedName>
    <definedName name="____rrr1" localSheetId="37">[52]r!$B$1:$I$145</definedName>
    <definedName name="____rrr1">[12]r!$B$1:$I$145</definedName>
    <definedName name="____SO016" localSheetId="8">#REF!</definedName>
    <definedName name="____SO016" localSheetId="10">#REF!</definedName>
    <definedName name="____SO016" localSheetId="11">#REF!</definedName>
    <definedName name="____SO016" localSheetId="28">#REF!</definedName>
    <definedName name="____SO016">#REF!</definedName>
    <definedName name="____SP001" localSheetId="8">#REF!</definedName>
    <definedName name="____SP001" localSheetId="10">#REF!</definedName>
    <definedName name="____SP001" localSheetId="11">#REF!</definedName>
    <definedName name="____SP001" localSheetId="28">#REF!</definedName>
    <definedName name="____SP001">#REF!</definedName>
    <definedName name="____SP002" localSheetId="8">#REF!</definedName>
    <definedName name="____SP002" localSheetId="10">#REF!</definedName>
    <definedName name="____SP002" localSheetId="11">#REF!</definedName>
    <definedName name="____SP002" localSheetId="28">#REF!</definedName>
    <definedName name="____SP002">#REF!</definedName>
    <definedName name="____SP003" localSheetId="8">#REF!</definedName>
    <definedName name="____SP003" localSheetId="10">#REF!</definedName>
    <definedName name="____SP003" localSheetId="11">#REF!</definedName>
    <definedName name="____SP003" localSheetId="28">#REF!</definedName>
    <definedName name="____SP003">#REF!</definedName>
    <definedName name="____SP004" localSheetId="8">#REF!</definedName>
    <definedName name="____SP004" localSheetId="10">#REF!</definedName>
    <definedName name="____SP004" localSheetId="11">#REF!</definedName>
    <definedName name="____SP004" localSheetId="28">#REF!</definedName>
    <definedName name="____SP004">#REF!</definedName>
    <definedName name="____SP005" localSheetId="8">#REF!</definedName>
    <definedName name="____SP005" localSheetId="10">#REF!</definedName>
    <definedName name="____SP005" localSheetId="11">#REF!</definedName>
    <definedName name="____SP005" localSheetId="28">#REF!</definedName>
    <definedName name="____SP005">#REF!</definedName>
    <definedName name="____SP006" localSheetId="8">#REF!</definedName>
    <definedName name="____SP006" localSheetId="10">#REF!</definedName>
    <definedName name="____SP006" localSheetId="11">#REF!</definedName>
    <definedName name="____SP006" localSheetId="28">#REF!</definedName>
    <definedName name="____SP006">#REF!</definedName>
    <definedName name="____SP007" localSheetId="8">#REF!</definedName>
    <definedName name="____SP007" localSheetId="10">#REF!</definedName>
    <definedName name="____SP007" localSheetId="11">#REF!</definedName>
    <definedName name="____SP007" localSheetId="28">#REF!</definedName>
    <definedName name="____SP007">#REF!</definedName>
    <definedName name="____SP008" localSheetId="8">#REF!</definedName>
    <definedName name="____SP008" localSheetId="10">#REF!</definedName>
    <definedName name="____SP008" localSheetId="11">#REF!</definedName>
    <definedName name="____SP008" localSheetId="28">#REF!</definedName>
    <definedName name="____SP008">#REF!</definedName>
    <definedName name="____SP009" localSheetId="8">#REF!</definedName>
    <definedName name="____SP009" localSheetId="10">#REF!</definedName>
    <definedName name="____SP009" localSheetId="11">#REF!</definedName>
    <definedName name="____SP009" localSheetId="28">#REF!</definedName>
    <definedName name="____SP009">#REF!</definedName>
    <definedName name="____SP010" localSheetId="8">#REF!</definedName>
    <definedName name="____SP010" localSheetId="10">#REF!</definedName>
    <definedName name="____SP010" localSheetId="11">#REF!</definedName>
    <definedName name="____SP010" localSheetId="28">#REF!</definedName>
    <definedName name="____SP010">#REF!</definedName>
    <definedName name="____SP011" localSheetId="8">#REF!</definedName>
    <definedName name="____SP011" localSheetId="10">#REF!</definedName>
    <definedName name="____SP011" localSheetId="11">#REF!</definedName>
    <definedName name="____SP011" localSheetId="28">#REF!</definedName>
    <definedName name="____SP011">#REF!</definedName>
    <definedName name="____SP012" localSheetId="8">#REF!</definedName>
    <definedName name="____SP012" localSheetId="10">#REF!</definedName>
    <definedName name="____SP012" localSheetId="11">#REF!</definedName>
    <definedName name="____SP012" localSheetId="28">#REF!</definedName>
    <definedName name="____SP012">#REF!</definedName>
    <definedName name="____SP013" localSheetId="8">#REF!</definedName>
    <definedName name="____SP013" localSheetId="10">#REF!</definedName>
    <definedName name="____SP013" localSheetId="11">#REF!</definedName>
    <definedName name="____SP013" localSheetId="28">#REF!</definedName>
    <definedName name="____SP013">#REF!</definedName>
    <definedName name="____SP014" localSheetId="8">#REF!</definedName>
    <definedName name="____SP014" localSheetId="10">#REF!</definedName>
    <definedName name="____SP014" localSheetId="11">#REF!</definedName>
    <definedName name="____SP014" localSheetId="28">#REF!</definedName>
    <definedName name="____SP014">#REF!</definedName>
    <definedName name="____SP015" localSheetId="8">#REF!</definedName>
    <definedName name="____SP015" localSheetId="10">#REF!</definedName>
    <definedName name="____SP015" localSheetId="11">#REF!</definedName>
    <definedName name="____SP015" localSheetId="28">#REF!</definedName>
    <definedName name="____SP015">#REF!</definedName>
    <definedName name="____SP016" localSheetId="8">#REF!</definedName>
    <definedName name="____SP016" localSheetId="10">#REF!</definedName>
    <definedName name="____SP016" localSheetId="11">#REF!</definedName>
    <definedName name="____SP016" localSheetId="28">#REF!</definedName>
    <definedName name="____SP016">#REF!</definedName>
    <definedName name="____SP017" localSheetId="8">#REF!</definedName>
    <definedName name="____SP017" localSheetId="10">#REF!</definedName>
    <definedName name="____SP017" localSheetId="11">#REF!</definedName>
    <definedName name="____SP017" localSheetId="28">#REF!</definedName>
    <definedName name="____SP017">#REF!</definedName>
    <definedName name="____SP018" localSheetId="8">#REF!</definedName>
    <definedName name="____SP018" localSheetId="10">#REF!</definedName>
    <definedName name="____SP018" localSheetId="11">#REF!</definedName>
    <definedName name="____SP018" localSheetId="28">#REF!</definedName>
    <definedName name="____SP018">#REF!</definedName>
    <definedName name="____SP019" localSheetId="8">#REF!</definedName>
    <definedName name="____SP019" localSheetId="10">#REF!</definedName>
    <definedName name="____SP019" localSheetId="11">#REF!</definedName>
    <definedName name="____SP019" localSheetId="28">#REF!</definedName>
    <definedName name="____SP019">#REF!</definedName>
    <definedName name="____SP020" localSheetId="8">#REF!</definedName>
    <definedName name="____SP020" localSheetId="10">#REF!</definedName>
    <definedName name="____SP020" localSheetId="11">#REF!</definedName>
    <definedName name="____SP020" localSheetId="28">#REF!</definedName>
    <definedName name="____SP020">#REF!</definedName>
    <definedName name="____SP021" localSheetId="8">#REF!</definedName>
    <definedName name="____SP021" localSheetId="10">#REF!</definedName>
    <definedName name="____SP021" localSheetId="11">#REF!</definedName>
    <definedName name="____SP021" localSheetId="28">#REF!</definedName>
    <definedName name="____SP021">#REF!</definedName>
    <definedName name="____SP022" localSheetId="8">#REF!</definedName>
    <definedName name="____SP022" localSheetId="10">#REF!</definedName>
    <definedName name="____SP022" localSheetId="11">#REF!</definedName>
    <definedName name="____SP022" localSheetId="28">#REF!</definedName>
    <definedName name="____SP022">#REF!</definedName>
    <definedName name="____SP023" localSheetId="8">#REF!</definedName>
    <definedName name="____SP023" localSheetId="10">#REF!</definedName>
    <definedName name="____SP023" localSheetId="11">#REF!</definedName>
    <definedName name="____SP023" localSheetId="28">#REF!</definedName>
    <definedName name="____SP023">#REF!</definedName>
    <definedName name="____SP024" localSheetId="8">#REF!</definedName>
    <definedName name="____SP024" localSheetId="10">#REF!</definedName>
    <definedName name="____SP024" localSheetId="11">#REF!</definedName>
    <definedName name="____SP024" localSheetId="28">#REF!</definedName>
    <definedName name="____SP024">#REF!</definedName>
    <definedName name="____SP025" localSheetId="8">#REF!</definedName>
    <definedName name="____SP025" localSheetId="10">#REF!</definedName>
    <definedName name="____SP025" localSheetId="11">#REF!</definedName>
    <definedName name="____SP025" localSheetId="28">#REF!</definedName>
    <definedName name="____SP025">#REF!</definedName>
    <definedName name="____SP026" localSheetId="8">#REF!</definedName>
    <definedName name="____SP026" localSheetId="10">#REF!</definedName>
    <definedName name="____SP026" localSheetId="11">#REF!</definedName>
    <definedName name="____SP026" localSheetId="28">#REF!</definedName>
    <definedName name="____SP026">#REF!</definedName>
    <definedName name="____SP027" localSheetId="8">#REF!</definedName>
    <definedName name="____SP027" localSheetId="10">#REF!</definedName>
    <definedName name="____SP027" localSheetId="11">#REF!</definedName>
    <definedName name="____SP027" localSheetId="28">#REF!</definedName>
    <definedName name="____SP027">#REF!</definedName>
    <definedName name="____SP028" localSheetId="8">#REF!</definedName>
    <definedName name="____SP028" localSheetId="10">#REF!</definedName>
    <definedName name="____SP028" localSheetId="11">#REF!</definedName>
    <definedName name="____SP028" localSheetId="28">#REF!</definedName>
    <definedName name="____SP028">#REF!</definedName>
    <definedName name="____SP029" localSheetId="8">#REF!</definedName>
    <definedName name="____SP029" localSheetId="10">#REF!</definedName>
    <definedName name="____SP029" localSheetId="11">#REF!</definedName>
    <definedName name="____SP029" localSheetId="28">#REF!</definedName>
    <definedName name="____SP029">#REF!</definedName>
    <definedName name="____SP030" localSheetId="8">#REF!</definedName>
    <definedName name="____SP030" localSheetId="10">#REF!</definedName>
    <definedName name="____SP030" localSheetId="11">#REF!</definedName>
    <definedName name="____SP030" localSheetId="28">#REF!</definedName>
    <definedName name="____SP030">#REF!</definedName>
    <definedName name="____SP031" localSheetId="8">#REF!</definedName>
    <definedName name="____SP031" localSheetId="10">#REF!</definedName>
    <definedName name="____SP031" localSheetId="11">#REF!</definedName>
    <definedName name="____SP031" localSheetId="28">#REF!</definedName>
    <definedName name="____SP031">#REF!</definedName>
    <definedName name="____SP032" localSheetId="8">#REF!</definedName>
    <definedName name="____SP032" localSheetId="10">#REF!</definedName>
    <definedName name="____SP032" localSheetId="11">#REF!</definedName>
    <definedName name="____SP032" localSheetId="28">#REF!</definedName>
    <definedName name="____SP032">#REF!</definedName>
    <definedName name="____SP033" localSheetId="8">#REF!</definedName>
    <definedName name="____SP033" localSheetId="10">#REF!</definedName>
    <definedName name="____SP033" localSheetId="11">#REF!</definedName>
    <definedName name="____SP033" localSheetId="28">#REF!</definedName>
    <definedName name="____SP033">#REF!</definedName>
    <definedName name="____SP034" localSheetId="8">#REF!</definedName>
    <definedName name="____SP034" localSheetId="10">#REF!</definedName>
    <definedName name="____SP034" localSheetId="11">#REF!</definedName>
    <definedName name="____SP034" localSheetId="28">#REF!</definedName>
    <definedName name="____SP034">#REF!</definedName>
    <definedName name="____SP035" localSheetId="8">#REF!</definedName>
    <definedName name="____SP035" localSheetId="10">#REF!</definedName>
    <definedName name="____SP035" localSheetId="11">#REF!</definedName>
    <definedName name="____SP035" localSheetId="28">#REF!</definedName>
    <definedName name="____SP035">#REF!</definedName>
    <definedName name="____SP036" localSheetId="8">#REF!</definedName>
    <definedName name="____SP036" localSheetId="10">#REF!</definedName>
    <definedName name="____SP036" localSheetId="11">#REF!</definedName>
    <definedName name="____SP036" localSheetId="28">#REF!</definedName>
    <definedName name="____SP036">#REF!</definedName>
    <definedName name="____SP037" localSheetId="8">#REF!</definedName>
    <definedName name="____SP037" localSheetId="10">#REF!</definedName>
    <definedName name="____SP037" localSheetId="11">#REF!</definedName>
    <definedName name="____SP037" localSheetId="28">#REF!</definedName>
    <definedName name="____SP037">#REF!</definedName>
    <definedName name="____SP038" localSheetId="8">#REF!</definedName>
    <definedName name="____SP038" localSheetId="10">#REF!</definedName>
    <definedName name="____SP038" localSheetId="11">#REF!</definedName>
    <definedName name="____SP038" localSheetId="28">#REF!</definedName>
    <definedName name="____SP038">#REF!</definedName>
    <definedName name="____SP039" localSheetId="8">#REF!</definedName>
    <definedName name="____SP039" localSheetId="10">#REF!</definedName>
    <definedName name="____SP039" localSheetId="11">#REF!</definedName>
    <definedName name="____SP039" localSheetId="28">#REF!</definedName>
    <definedName name="____SP039">#REF!</definedName>
    <definedName name="____SP040" localSheetId="8">#REF!</definedName>
    <definedName name="____SP040" localSheetId="10">#REF!</definedName>
    <definedName name="____SP040" localSheetId="11">#REF!</definedName>
    <definedName name="____SP040" localSheetId="28">#REF!</definedName>
    <definedName name="____SP040">#REF!</definedName>
    <definedName name="____SP041" localSheetId="8">#REF!</definedName>
    <definedName name="____SP041" localSheetId="10">#REF!</definedName>
    <definedName name="____SP041" localSheetId="11">#REF!</definedName>
    <definedName name="____SP041" localSheetId="28">#REF!</definedName>
    <definedName name="____SP041">#REF!</definedName>
    <definedName name="____SP042" localSheetId="8">#REF!</definedName>
    <definedName name="____SP042" localSheetId="10">#REF!</definedName>
    <definedName name="____SP042" localSheetId="11">#REF!</definedName>
    <definedName name="____SP042" localSheetId="28">#REF!</definedName>
    <definedName name="____SP042">#REF!</definedName>
    <definedName name="____SP043" localSheetId="8">#REF!</definedName>
    <definedName name="____SP043" localSheetId="10">#REF!</definedName>
    <definedName name="____SP043" localSheetId="11">#REF!</definedName>
    <definedName name="____SP043" localSheetId="28">#REF!</definedName>
    <definedName name="____SP043">#REF!</definedName>
    <definedName name="____SP044" localSheetId="8">#REF!</definedName>
    <definedName name="____SP044" localSheetId="10">#REF!</definedName>
    <definedName name="____SP044" localSheetId="11">#REF!</definedName>
    <definedName name="____SP044" localSheetId="28">#REF!</definedName>
    <definedName name="____SP044">#REF!</definedName>
    <definedName name="____SP045" localSheetId="8">#REF!</definedName>
    <definedName name="____SP045" localSheetId="10">#REF!</definedName>
    <definedName name="____SP045" localSheetId="11">#REF!</definedName>
    <definedName name="____SP045" localSheetId="28">#REF!</definedName>
    <definedName name="____SP045">#REF!</definedName>
    <definedName name="____SP046" localSheetId="8">#REF!</definedName>
    <definedName name="____SP046" localSheetId="10">#REF!</definedName>
    <definedName name="____SP046" localSheetId="11">#REF!</definedName>
    <definedName name="____SP046" localSheetId="28">#REF!</definedName>
    <definedName name="____SP046">#REF!</definedName>
    <definedName name="____SP047" localSheetId="8">#REF!</definedName>
    <definedName name="____SP047" localSheetId="10">#REF!</definedName>
    <definedName name="____SP047" localSheetId="11">#REF!</definedName>
    <definedName name="____SP047" localSheetId="28">#REF!</definedName>
    <definedName name="____SP047">#REF!</definedName>
    <definedName name="____SP048" localSheetId="8">#REF!</definedName>
    <definedName name="____SP048" localSheetId="10">#REF!</definedName>
    <definedName name="____SP048" localSheetId="11">#REF!</definedName>
    <definedName name="____SP048" localSheetId="28">#REF!</definedName>
    <definedName name="____SP048">#REF!</definedName>
    <definedName name="____SP049" localSheetId="8">#REF!</definedName>
    <definedName name="____SP049" localSheetId="10">#REF!</definedName>
    <definedName name="____SP049" localSheetId="11">#REF!</definedName>
    <definedName name="____SP049" localSheetId="28">#REF!</definedName>
    <definedName name="____SP049">#REF!</definedName>
    <definedName name="____SP050" localSheetId="8">#REF!</definedName>
    <definedName name="____SP050" localSheetId="10">#REF!</definedName>
    <definedName name="____SP050" localSheetId="11">#REF!</definedName>
    <definedName name="____SP050" localSheetId="28">#REF!</definedName>
    <definedName name="____SP050">#REF!</definedName>
    <definedName name="____SP051" localSheetId="8">#REF!</definedName>
    <definedName name="____SP051" localSheetId="10">#REF!</definedName>
    <definedName name="____SP051" localSheetId="11">#REF!</definedName>
    <definedName name="____SP051" localSheetId="28">#REF!</definedName>
    <definedName name="____SP051">#REF!</definedName>
    <definedName name="____SP052" localSheetId="8">#REF!</definedName>
    <definedName name="____SP052" localSheetId="10">#REF!</definedName>
    <definedName name="____SP052" localSheetId="11">#REF!</definedName>
    <definedName name="____SP052" localSheetId="28">#REF!</definedName>
    <definedName name="____SP052">#REF!</definedName>
    <definedName name="____SP053" localSheetId="8">#REF!</definedName>
    <definedName name="____SP053" localSheetId="10">#REF!</definedName>
    <definedName name="____SP053" localSheetId="11">#REF!</definedName>
    <definedName name="____SP053" localSheetId="28">#REF!</definedName>
    <definedName name="____SP053">#REF!</definedName>
    <definedName name="____SP054" localSheetId="8">#REF!</definedName>
    <definedName name="____SP054" localSheetId="10">#REF!</definedName>
    <definedName name="____SP054" localSheetId="11">#REF!</definedName>
    <definedName name="____SP054" localSheetId="28">#REF!</definedName>
    <definedName name="____SP054">#REF!</definedName>
    <definedName name="____SP055" localSheetId="8">#REF!</definedName>
    <definedName name="____SP055" localSheetId="10">#REF!</definedName>
    <definedName name="____SP055" localSheetId="11">#REF!</definedName>
    <definedName name="____SP055" localSheetId="28">#REF!</definedName>
    <definedName name="____SP055">#REF!</definedName>
    <definedName name="____SP056" localSheetId="8">#REF!</definedName>
    <definedName name="____SP056" localSheetId="10">#REF!</definedName>
    <definedName name="____SP056" localSheetId="11">#REF!</definedName>
    <definedName name="____SP056" localSheetId="28">#REF!</definedName>
    <definedName name="____SP056">#REF!</definedName>
    <definedName name="____SP057" localSheetId="8">#REF!</definedName>
    <definedName name="____SP057" localSheetId="10">#REF!</definedName>
    <definedName name="____SP057" localSheetId="11">#REF!</definedName>
    <definedName name="____SP057" localSheetId="28">#REF!</definedName>
    <definedName name="____SP057">#REF!</definedName>
    <definedName name="____SP058" localSheetId="8">#REF!</definedName>
    <definedName name="____SP058" localSheetId="10">#REF!</definedName>
    <definedName name="____SP058" localSheetId="11">#REF!</definedName>
    <definedName name="____SP058" localSheetId="28">#REF!</definedName>
    <definedName name="____SP058">#REF!</definedName>
    <definedName name="____SP059" localSheetId="8">#REF!</definedName>
    <definedName name="____SP059" localSheetId="10">#REF!</definedName>
    <definedName name="____SP059" localSheetId="11">#REF!</definedName>
    <definedName name="____SP059" localSheetId="28">#REF!</definedName>
    <definedName name="____SP059">#REF!</definedName>
    <definedName name="____SP060" localSheetId="8">#REF!</definedName>
    <definedName name="____SP060" localSheetId="10">#REF!</definedName>
    <definedName name="____SP060" localSheetId="11">#REF!</definedName>
    <definedName name="____SP060" localSheetId="28">#REF!</definedName>
    <definedName name="____SP060">#REF!</definedName>
    <definedName name="____SP061" localSheetId="8">#REF!</definedName>
    <definedName name="____SP061" localSheetId="10">#REF!</definedName>
    <definedName name="____SP061" localSheetId="11">#REF!</definedName>
    <definedName name="____SP061" localSheetId="28">#REF!</definedName>
    <definedName name="____SP061">#REF!</definedName>
    <definedName name="____SP062" localSheetId="8">#REF!</definedName>
    <definedName name="____SP062" localSheetId="10">#REF!</definedName>
    <definedName name="____SP062" localSheetId="11">#REF!</definedName>
    <definedName name="____SP062" localSheetId="28">#REF!</definedName>
    <definedName name="____SP062">#REF!</definedName>
    <definedName name="____SP063" localSheetId="8">#REF!</definedName>
    <definedName name="____SP063" localSheetId="10">#REF!</definedName>
    <definedName name="____SP063" localSheetId="11">#REF!</definedName>
    <definedName name="____SP063" localSheetId="28">#REF!</definedName>
    <definedName name="____SP063">#REF!</definedName>
    <definedName name="____SP064" localSheetId="8">#REF!</definedName>
    <definedName name="____SP064" localSheetId="10">#REF!</definedName>
    <definedName name="____SP064" localSheetId="11">#REF!</definedName>
    <definedName name="____SP064" localSheetId="28">#REF!</definedName>
    <definedName name="____SP064">#REF!</definedName>
    <definedName name="____SP065" localSheetId="8">#REF!</definedName>
    <definedName name="____SP065" localSheetId="10">#REF!</definedName>
    <definedName name="____SP065" localSheetId="11">#REF!</definedName>
    <definedName name="____SP065" localSheetId="28">#REF!</definedName>
    <definedName name="____SP065">#REF!</definedName>
    <definedName name="____SP066" localSheetId="8">#REF!</definedName>
    <definedName name="____SP066" localSheetId="10">#REF!</definedName>
    <definedName name="____SP066" localSheetId="11">#REF!</definedName>
    <definedName name="____SP066" localSheetId="28">#REF!</definedName>
    <definedName name="____SP066">#REF!</definedName>
    <definedName name="____SP067" localSheetId="8">#REF!</definedName>
    <definedName name="____SP067" localSheetId="10">#REF!</definedName>
    <definedName name="____SP067" localSheetId="11">#REF!</definedName>
    <definedName name="____SP067" localSheetId="28">#REF!</definedName>
    <definedName name="____SP067">#REF!</definedName>
    <definedName name="____SP068" localSheetId="8">#REF!</definedName>
    <definedName name="____SP068" localSheetId="10">#REF!</definedName>
    <definedName name="____SP068" localSheetId="11">#REF!</definedName>
    <definedName name="____SP068" localSheetId="28">#REF!</definedName>
    <definedName name="____SP068">#REF!</definedName>
    <definedName name="____SP069" localSheetId="8">#REF!</definedName>
    <definedName name="____SP069" localSheetId="10">#REF!</definedName>
    <definedName name="____SP069" localSheetId="11">#REF!</definedName>
    <definedName name="____SP069" localSheetId="28">#REF!</definedName>
    <definedName name="____SP069">#REF!</definedName>
    <definedName name="____SP070" localSheetId="8">#REF!</definedName>
    <definedName name="____SP070" localSheetId="10">#REF!</definedName>
    <definedName name="____SP070" localSheetId="11">#REF!</definedName>
    <definedName name="____SP070" localSheetId="28">#REF!</definedName>
    <definedName name="____SP070">#REF!</definedName>
    <definedName name="____sp071" localSheetId="8">#REF!</definedName>
    <definedName name="____sp071" localSheetId="10">#REF!</definedName>
    <definedName name="____sp071" localSheetId="11">#REF!</definedName>
    <definedName name="____sp071" localSheetId="28">#REF!</definedName>
    <definedName name="____sp071">#REF!</definedName>
    <definedName name="____SP072" localSheetId="8">#REF!</definedName>
    <definedName name="____SP072" localSheetId="10">#REF!</definedName>
    <definedName name="____SP072" localSheetId="11">#REF!</definedName>
    <definedName name="____SP072" localSheetId="28">#REF!</definedName>
    <definedName name="____SP072">#REF!</definedName>
    <definedName name="____SP073" localSheetId="8">#REF!</definedName>
    <definedName name="____SP073" localSheetId="10">#REF!</definedName>
    <definedName name="____SP073" localSheetId="11">#REF!</definedName>
    <definedName name="____SP073" localSheetId="28">#REF!</definedName>
    <definedName name="____SP073">#REF!</definedName>
    <definedName name="____SP074" localSheetId="8">#REF!</definedName>
    <definedName name="____SP074" localSheetId="10">#REF!</definedName>
    <definedName name="____SP074" localSheetId="11">#REF!</definedName>
    <definedName name="____SP074" localSheetId="28">#REF!</definedName>
    <definedName name="____SP074">#REF!</definedName>
    <definedName name="____SP075" localSheetId="8">#REF!</definedName>
    <definedName name="____SP075" localSheetId="10">#REF!</definedName>
    <definedName name="____SP075" localSheetId="11">#REF!</definedName>
    <definedName name="____SP075" localSheetId="28">#REF!</definedName>
    <definedName name="____SP075">#REF!</definedName>
    <definedName name="____SP076" localSheetId="8">#REF!</definedName>
    <definedName name="____SP076" localSheetId="10">#REF!</definedName>
    <definedName name="____SP076" localSheetId="11">#REF!</definedName>
    <definedName name="____SP076" localSheetId="28">#REF!</definedName>
    <definedName name="____SP076">#REF!</definedName>
    <definedName name="____SP077" localSheetId="8">#REF!</definedName>
    <definedName name="____SP077" localSheetId="10">#REF!</definedName>
    <definedName name="____SP077" localSheetId="11">#REF!</definedName>
    <definedName name="____SP077" localSheetId="28">#REF!</definedName>
    <definedName name="____SP077">#REF!</definedName>
    <definedName name="____sp078" localSheetId="8">#REF!</definedName>
    <definedName name="____sp078" localSheetId="10">#REF!</definedName>
    <definedName name="____sp078" localSheetId="11">#REF!</definedName>
    <definedName name="____sp078" localSheetId="28">#REF!</definedName>
    <definedName name="____sp078">#REF!</definedName>
    <definedName name="____SPO79" localSheetId="8">#REF!</definedName>
    <definedName name="____SPO79" localSheetId="10">#REF!</definedName>
    <definedName name="____SPO79" localSheetId="11">#REF!</definedName>
    <definedName name="____SPO79" localSheetId="28">#REF!</definedName>
    <definedName name="____SPO79">#REF!</definedName>
    <definedName name="____ss12" localSheetId="37">[53]rdamdata!$J$8</definedName>
    <definedName name="____ss12">[13]rdamdata!$J$8</definedName>
    <definedName name="____ss20" localSheetId="37">[53]rdamdata!$J$7</definedName>
    <definedName name="____ss20">[13]rdamdata!$J$7</definedName>
    <definedName name="____ss40" localSheetId="37">[53]rdamdata!$J$6</definedName>
    <definedName name="____ss40">[13]rdamdata!$J$6</definedName>
    <definedName name="____sw1" localSheetId="28">#REF!</definedName>
    <definedName name="____t1">#REF!</definedName>
    <definedName name="____t2">#REF!</definedName>
    <definedName name="____tab1">#REF!</definedName>
    <definedName name="____us1">#REF!</definedName>
    <definedName name="____var04">#REF!</definedName>
    <definedName name="____var1" localSheetId="33">#REF!</definedName>
    <definedName name="____var1" localSheetId="34">#REF!</definedName>
    <definedName name="____var1" localSheetId="35">#REF!</definedName>
    <definedName name="____var1" localSheetId="5">#REF!</definedName>
    <definedName name="____var1" localSheetId="8">#REF!</definedName>
    <definedName name="____var1" localSheetId="10">#REF!</definedName>
    <definedName name="____var1" localSheetId="11">#REF!</definedName>
    <definedName name="____var1" localSheetId="37">#REF!</definedName>
    <definedName name="____var1" localSheetId="28">#REF!</definedName>
    <definedName name="____var1" localSheetId="42">#REF!</definedName>
    <definedName name="____var1" localSheetId="31">#REF!</definedName>
    <definedName name="____var1">#REF!</definedName>
    <definedName name="____var1_33">"$#REF!.$#REF!$#REF!"</definedName>
    <definedName name="____var1_38">"$#REF!.$#REF!$#REF!"</definedName>
    <definedName name="____var1_41">"$#REF!.$#REF!$#REF!"</definedName>
    <definedName name="____var1_7">"$#REF!.$#REF!$#REF!"</definedName>
    <definedName name="____var1_8">"$#REF!.$#REF!$#REF!"</definedName>
    <definedName name="____var4" localSheetId="33">#REF!</definedName>
    <definedName name="____var4" localSheetId="34">#REF!</definedName>
    <definedName name="____var4" localSheetId="35">#REF!</definedName>
    <definedName name="____var4" localSheetId="5">#REF!</definedName>
    <definedName name="____var4" localSheetId="8">#REF!</definedName>
    <definedName name="____var4" localSheetId="10">#REF!</definedName>
    <definedName name="____var4" localSheetId="11">#REF!</definedName>
    <definedName name="____var4" localSheetId="37">#REF!</definedName>
    <definedName name="____var4" localSheetId="28">#REF!</definedName>
    <definedName name="____var4" localSheetId="42">#REF!</definedName>
    <definedName name="____var4" localSheetId="31">#REF!</definedName>
    <definedName name="____var4">#REF!</definedName>
    <definedName name="____var4_33">"$#REF!.$#REF!$#REF!"</definedName>
    <definedName name="____var4_38">"$#REF!.$#REF!$#REF!"</definedName>
    <definedName name="____var4_41">"$#REF!.$#REF!$#REF!"</definedName>
    <definedName name="____var4_7">"$#REF!.$#REF!$#REF!"</definedName>
    <definedName name="____var4_8">"$#REF!.$#REF!$#REF!"</definedName>
    <definedName name="____vat1" localSheetId="8">#REF!</definedName>
    <definedName name="____vat1" localSheetId="10">#REF!</definedName>
    <definedName name="____vat1" localSheetId="28">#REF!</definedName>
    <definedName name="____vat1">#REF!</definedName>
    <definedName name="____vat2" localSheetId="8">#REF!</definedName>
    <definedName name="____vat2" localSheetId="10">#REF!</definedName>
    <definedName name="____vat2" localSheetId="28">#REF!</definedName>
    <definedName name="____vat2">#REF!</definedName>
    <definedName name="____xh11010" localSheetId="8">#REF!</definedName>
    <definedName name="____xh11010" localSheetId="10">#REF!</definedName>
    <definedName name="____xh11010" localSheetId="11">#REF!</definedName>
    <definedName name="____xh11010" localSheetId="28">#REF!</definedName>
    <definedName name="____xh11010">#REF!</definedName>
    <definedName name="____xh1104" localSheetId="8">#REF!</definedName>
    <definedName name="____xh1104" localSheetId="10">#REF!</definedName>
    <definedName name="____xh1104" localSheetId="11">#REF!</definedName>
    <definedName name="____xh1104" localSheetId="28">#REF!</definedName>
    <definedName name="____xh1104">#REF!</definedName>
    <definedName name="____xh1106" localSheetId="8">#REF!</definedName>
    <definedName name="____xh1106" localSheetId="10">#REF!</definedName>
    <definedName name="____xh1106" localSheetId="11">#REF!</definedName>
    <definedName name="____xh1106" localSheetId="28">#REF!</definedName>
    <definedName name="____xh1106">#REF!</definedName>
    <definedName name="____xh1108" localSheetId="8">#REF!</definedName>
    <definedName name="____xh1108" localSheetId="10">#REF!</definedName>
    <definedName name="____xh1108" localSheetId="11">#REF!</definedName>
    <definedName name="____xh1108" localSheetId="28">#REF!</definedName>
    <definedName name="____xh1108">#REF!</definedName>
    <definedName name="____xh12510" localSheetId="8">#REF!</definedName>
    <definedName name="____xh12510" localSheetId="10">#REF!</definedName>
    <definedName name="____xh12510" localSheetId="11">#REF!</definedName>
    <definedName name="____xh12510" localSheetId="28">#REF!</definedName>
    <definedName name="____xh12510">#REF!</definedName>
    <definedName name="____xh1254" localSheetId="8">#REF!</definedName>
    <definedName name="____xh1254" localSheetId="10">#REF!</definedName>
    <definedName name="____xh1254" localSheetId="11">#REF!</definedName>
    <definedName name="____xh1254" localSheetId="28">#REF!</definedName>
    <definedName name="____xh1254">#REF!</definedName>
    <definedName name="____xh1256" localSheetId="8">#REF!</definedName>
    <definedName name="____xh1256" localSheetId="10">#REF!</definedName>
    <definedName name="____xh1256" localSheetId="11">#REF!</definedName>
    <definedName name="____xh1256" localSheetId="28">#REF!</definedName>
    <definedName name="____xh1256">#REF!</definedName>
    <definedName name="____xh1258" localSheetId="8">#REF!</definedName>
    <definedName name="____xh1258" localSheetId="10">#REF!</definedName>
    <definedName name="____xh1258" localSheetId="11">#REF!</definedName>
    <definedName name="____xh1258" localSheetId="28">#REF!</definedName>
    <definedName name="____xh1258">#REF!</definedName>
    <definedName name="____xh14010" localSheetId="8">#REF!</definedName>
    <definedName name="____xh14010" localSheetId="10">#REF!</definedName>
    <definedName name="____xh14010" localSheetId="11">#REF!</definedName>
    <definedName name="____xh14010" localSheetId="28">#REF!</definedName>
    <definedName name="____xh14010">#REF!</definedName>
    <definedName name="____xh1404" localSheetId="8">#REF!</definedName>
    <definedName name="____xh1404" localSheetId="10">#REF!</definedName>
    <definedName name="____xh1404" localSheetId="11">#REF!</definedName>
    <definedName name="____xh1404" localSheetId="28">#REF!</definedName>
    <definedName name="____xh1404">#REF!</definedName>
    <definedName name="____xh1406" localSheetId="8">#REF!</definedName>
    <definedName name="____xh1406" localSheetId="10">#REF!</definedName>
    <definedName name="____xh1406" localSheetId="11">#REF!</definedName>
    <definedName name="____xh1406" localSheetId="28">#REF!</definedName>
    <definedName name="____xh1406">#REF!</definedName>
    <definedName name="____xh1408" localSheetId="8">#REF!</definedName>
    <definedName name="____xh1408" localSheetId="10">#REF!</definedName>
    <definedName name="____xh1408" localSheetId="11">#REF!</definedName>
    <definedName name="____xh1408" localSheetId="28">#REF!</definedName>
    <definedName name="____xh1408">#REF!</definedName>
    <definedName name="____xh16010" localSheetId="8">#REF!</definedName>
    <definedName name="____xh16010" localSheetId="10">#REF!</definedName>
    <definedName name="____xh16010" localSheetId="11">#REF!</definedName>
    <definedName name="____xh16010" localSheetId="28">#REF!</definedName>
    <definedName name="____xh16010">#REF!</definedName>
    <definedName name="____xh1604" localSheetId="8">#REF!</definedName>
    <definedName name="____xh1604" localSheetId="10">#REF!</definedName>
    <definedName name="____xh1604" localSheetId="11">#REF!</definedName>
    <definedName name="____xh1604" localSheetId="28">#REF!</definedName>
    <definedName name="____xh1604">#REF!</definedName>
    <definedName name="____xh1606" localSheetId="8">#REF!</definedName>
    <definedName name="____xh1606" localSheetId="10">#REF!</definedName>
    <definedName name="____xh1606" localSheetId="11">#REF!</definedName>
    <definedName name="____xh1606" localSheetId="28">#REF!</definedName>
    <definedName name="____xh1606">#REF!</definedName>
    <definedName name="____xh1608" localSheetId="8">#REF!</definedName>
    <definedName name="____xh1608" localSheetId="10">#REF!</definedName>
    <definedName name="____xh1608" localSheetId="11">#REF!</definedName>
    <definedName name="____xh1608" localSheetId="28">#REF!</definedName>
    <definedName name="____xh1608">#REF!</definedName>
    <definedName name="____xh18010" localSheetId="8">#REF!</definedName>
    <definedName name="____xh18010" localSheetId="10">#REF!</definedName>
    <definedName name="____xh18010" localSheetId="11">#REF!</definedName>
    <definedName name="____xh18010" localSheetId="28">#REF!</definedName>
    <definedName name="____xh18010">#REF!</definedName>
    <definedName name="____xh1804" localSheetId="8">#REF!</definedName>
    <definedName name="____xh1804" localSheetId="10">#REF!</definedName>
    <definedName name="____xh1804" localSheetId="11">#REF!</definedName>
    <definedName name="____xh1804" localSheetId="28">#REF!</definedName>
    <definedName name="____xh1804">#REF!</definedName>
    <definedName name="____xh1806" localSheetId="8">#REF!</definedName>
    <definedName name="____xh1806" localSheetId="10">#REF!</definedName>
    <definedName name="____xh1806" localSheetId="11">#REF!</definedName>
    <definedName name="____xh1806" localSheetId="28">#REF!</definedName>
    <definedName name="____xh1806">#REF!</definedName>
    <definedName name="____xh1808" localSheetId="8">#REF!</definedName>
    <definedName name="____xh1808" localSheetId="10">#REF!</definedName>
    <definedName name="____xh1808" localSheetId="11">#REF!</definedName>
    <definedName name="____xh1808" localSheetId="28">#REF!</definedName>
    <definedName name="____xh1808">#REF!</definedName>
    <definedName name="____xh20010" localSheetId="8">#REF!</definedName>
    <definedName name="____xh20010" localSheetId="10">#REF!</definedName>
    <definedName name="____xh20010" localSheetId="11">#REF!</definedName>
    <definedName name="____xh20010" localSheetId="28">#REF!</definedName>
    <definedName name="____xh20010">#REF!</definedName>
    <definedName name="____xh2004" localSheetId="8">#REF!</definedName>
    <definedName name="____xh2004" localSheetId="10">#REF!</definedName>
    <definedName name="____xh2004" localSheetId="11">#REF!</definedName>
    <definedName name="____xh2004" localSheetId="28">#REF!</definedName>
    <definedName name="____xh2004">#REF!</definedName>
    <definedName name="____xh2006" localSheetId="8">#REF!</definedName>
    <definedName name="____xh2006" localSheetId="10">#REF!</definedName>
    <definedName name="____xh2006" localSheetId="11">#REF!</definedName>
    <definedName name="____xh2006" localSheetId="28">#REF!</definedName>
    <definedName name="____xh2006">#REF!</definedName>
    <definedName name="____xh2008" localSheetId="8">#REF!</definedName>
    <definedName name="____xh2008" localSheetId="10">#REF!</definedName>
    <definedName name="____xh2008" localSheetId="11">#REF!</definedName>
    <definedName name="____xh2008" localSheetId="28">#REF!</definedName>
    <definedName name="____xh2008">#REF!</definedName>
    <definedName name="____xh22510" localSheetId="8">#REF!</definedName>
    <definedName name="____xh22510" localSheetId="10">#REF!</definedName>
    <definedName name="____xh22510" localSheetId="11">#REF!</definedName>
    <definedName name="____xh22510" localSheetId="28">#REF!</definedName>
    <definedName name="____xh22510">#REF!</definedName>
    <definedName name="____xh2254" localSheetId="8">#REF!</definedName>
    <definedName name="____xh2254" localSheetId="10">#REF!</definedName>
    <definedName name="____xh2254" localSheetId="11">#REF!</definedName>
    <definedName name="____xh2254" localSheetId="28">#REF!</definedName>
    <definedName name="____xh2254">#REF!</definedName>
    <definedName name="____xh2256">[54]HDPE!$L$30</definedName>
    <definedName name="____xh2258" localSheetId="8">#REF!</definedName>
    <definedName name="____xh2258" localSheetId="10">#REF!</definedName>
    <definedName name="____xh2258" localSheetId="11">#REF!</definedName>
    <definedName name="____xh2258" localSheetId="28">#REF!</definedName>
    <definedName name="____xh2258">#REF!</definedName>
    <definedName name="____xh25010" localSheetId="8">#REF!</definedName>
    <definedName name="____xh25010" localSheetId="10">#REF!</definedName>
    <definedName name="____xh25010" localSheetId="11">#REF!</definedName>
    <definedName name="____xh25010" localSheetId="28">#REF!</definedName>
    <definedName name="____xh25010">#REF!</definedName>
    <definedName name="____xh2504" localSheetId="8">#REF!</definedName>
    <definedName name="____xh2504" localSheetId="10">#REF!</definedName>
    <definedName name="____xh2504" localSheetId="11">#REF!</definedName>
    <definedName name="____xh2504" localSheetId="28">#REF!</definedName>
    <definedName name="____xh2504">#REF!</definedName>
    <definedName name="____xh2506">[54]HDPE!$M$30</definedName>
    <definedName name="____xh2508" localSheetId="8">#REF!</definedName>
    <definedName name="____xh2508" localSheetId="10">#REF!</definedName>
    <definedName name="____xh2508" localSheetId="11">#REF!</definedName>
    <definedName name="____xh2508" localSheetId="28">#REF!</definedName>
    <definedName name="____xh2508">#REF!</definedName>
    <definedName name="____xh28010" localSheetId="8">#REF!</definedName>
    <definedName name="____xh28010" localSheetId="10">#REF!</definedName>
    <definedName name="____xh28010" localSheetId="11">#REF!</definedName>
    <definedName name="____xh28010" localSheetId="28">#REF!</definedName>
    <definedName name="____xh28010">#REF!</definedName>
    <definedName name="____xh2804" localSheetId="8">#REF!</definedName>
    <definedName name="____xh2804" localSheetId="10">#REF!</definedName>
    <definedName name="____xh2804" localSheetId="11">#REF!</definedName>
    <definedName name="____xh2804" localSheetId="28">#REF!</definedName>
    <definedName name="____xh2804">#REF!</definedName>
    <definedName name="____xh2806">[54]HDPE!$N$30</definedName>
    <definedName name="____xh2808" localSheetId="8">#REF!</definedName>
    <definedName name="____xh2808" localSheetId="10">#REF!</definedName>
    <definedName name="____xh2808" localSheetId="11">#REF!</definedName>
    <definedName name="____xh2808" localSheetId="28">#REF!</definedName>
    <definedName name="____xh2808">#REF!</definedName>
    <definedName name="____xh31510" localSheetId="8">#REF!</definedName>
    <definedName name="____xh31510" localSheetId="10">#REF!</definedName>
    <definedName name="____xh31510" localSheetId="11">#REF!</definedName>
    <definedName name="____xh31510" localSheetId="28">#REF!</definedName>
    <definedName name="____xh31510">#REF!</definedName>
    <definedName name="____xh3154" localSheetId="8">#REF!</definedName>
    <definedName name="____xh3154" localSheetId="10">#REF!</definedName>
    <definedName name="____xh3154" localSheetId="11">#REF!</definedName>
    <definedName name="____xh3154" localSheetId="28">#REF!</definedName>
    <definedName name="____xh3154">#REF!</definedName>
    <definedName name="____xh3156">[54]HDPE!$O$30</definedName>
    <definedName name="____xh3158" localSheetId="8">#REF!</definedName>
    <definedName name="____xh3158" localSheetId="10">#REF!</definedName>
    <definedName name="____xh3158" localSheetId="11">#REF!</definedName>
    <definedName name="____xh3158" localSheetId="28">#REF!</definedName>
    <definedName name="____xh3158">#REF!</definedName>
    <definedName name="____xh3554" localSheetId="8">#REF!</definedName>
    <definedName name="____xh3554" localSheetId="10">#REF!</definedName>
    <definedName name="____xh3554" localSheetId="11">#REF!</definedName>
    <definedName name="____xh3554" localSheetId="28">#REF!</definedName>
    <definedName name="____xh3554">#REF!</definedName>
    <definedName name="____xh3556" localSheetId="8">#REF!</definedName>
    <definedName name="____xh3556" localSheetId="10">#REF!</definedName>
    <definedName name="____xh3556" localSheetId="11">#REF!</definedName>
    <definedName name="____xh3556" localSheetId="28">#REF!</definedName>
    <definedName name="____xh3556">#REF!</definedName>
    <definedName name="____xh6310" localSheetId="8">#REF!</definedName>
    <definedName name="____xh6310" localSheetId="10">#REF!</definedName>
    <definedName name="____xh6310" localSheetId="11">#REF!</definedName>
    <definedName name="____xh6310" localSheetId="28">#REF!</definedName>
    <definedName name="____xh6310">#REF!</definedName>
    <definedName name="____xh634">[54]HDPE!$C$16</definedName>
    <definedName name="____xh636" localSheetId="8">#REF!</definedName>
    <definedName name="____xh636" localSheetId="10">#REF!</definedName>
    <definedName name="____xh636" localSheetId="11">#REF!</definedName>
    <definedName name="____xh636" localSheetId="28">#REF!</definedName>
    <definedName name="____xh636">#REF!</definedName>
    <definedName name="____xh638" localSheetId="8">#REF!</definedName>
    <definedName name="____xh638" localSheetId="10">#REF!</definedName>
    <definedName name="____xh638" localSheetId="11">#REF!</definedName>
    <definedName name="____xh638" localSheetId="28">#REF!</definedName>
    <definedName name="____xh638">#REF!</definedName>
    <definedName name="____xh7510" localSheetId="8">#REF!</definedName>
    <definedName name="____xh7510" localSheetId="10">#REF!</definedName>
    <definedName name="____xh7510" localSheetId="11">#REF!</definedName>
    <definedName name="____xh7510" localSheetId="28">#REF!</definedName>
    <definedName name="____xh7510">#REF!</definedName>
    <definedName name="____xh754" localSheetId="8">#REF!</definedName>
    <definedName name="____xh754" localSheetId="10">#REF!</definedName>
    <definedName name="____xh754" localSheetId="11">#REF!</definedName>
    <definedName name="____xh754" localSheetId="28">#REF!</definedName>
    <definedName name="____xh754">#REF!</definedName>
    <definedName name="____xh756" localSheetId="8">#REF!</definedName>
    <definedName name="____xh756" localSheetId="10">#REF!</definedName>
    <definedName name="____xh756" localSheetId="11">#REF!</definedName>
    <definedName name="____xh756" localSheetId="28">#REF!</definedName>
    <definedName name="____xh756">#REF!</definedName>
    <definedName name="____xh758" localSheetId="8">#REF!</definedName>
    <definedName name="____xh758" localSheetId="10">#REF!</definedName>
    <definedName name="____xh758" localSheetId="11">#REF!</definedName>
    <definedName name="____xh758" localSheetId="28">#REF!</definedName>
    <definedName name="____xh758">#REF!</definedName>
    <definedName name="____xh9010" localSheetId="8">#REF!</definedName>
    <definedName name="____xh9010" localSheetId="10">#REF!</definedName>
    <definedName name="____xh9010" localSheetId="11">#REF!</definedName>
    <definedName name="____xh9010" localSheetId="28">#REF!</definedName>
    <definedName name="____xh9010">#REF!</definedName>
    <definedName name="____xh904" localSheetId="8">#REF!</definedName>
    <definedName name="____xh904" localSheetId="10">#REF!</definedName>
    <definedName name="____xh904" localSheetId="11">#REF!</definedName>
    <definedName name="____xh904" localSheetId="28">#REF!</definedName>
    <definedName name="____xh904">#REF!</definedName>
    <definedName name="____xh906" localSheetId="8">#REF!</definedName>
    <definedName name="____xh906" localSheetId="10">#REF!</definedName>
    <definedName name="____xh906" localSheetId="11">#REF!</definedName>
    <definedName name="____xh906" localSheetId="28">#REF!</definedName>
    <definedName name="____xh906">#REF!</definedName>
    <definedName name="____xh908" localSheetId="8">#REF!</definedName>
    <definedName name="____xh908" localSheetId="10">#REF!</definedName>
    <definedName name="____xh908" localSheetId="11">#REF!</definedName>
    <definedName name="____xh908" localSheetId="28">#REF!</definedName>
    <definedName name="____xh908">#REF!</definedName>
    <definedName name="____xk7100">[54]DI!$C$37</definedName>
    <definedName name="____xk7150">[54]DI!$D$37</definedName>
    <definedName name="____xk7200" localSheetId="8">#REF!</definedName>
    <definedName name="____xk7200" localSheetId="10">#REF!</definedName>
    <definedName name="____xk7200" localSheetId="11">#REF!</definedName>
    <definedName name="____xk7200" localSheetId="28">#REF!</definedName>
    <definedName name="____xk7200">#REF!</definedName>
    <definedName name="____xk7250">[54]DI!$F$37</definedName>
    <definedName name="____xk7300">[54]DI!$G$37</definedName>
    <definedName name="____xk7350" localSheetId="8">#REF!</definedName>
    <definedName name="____xk7350" localSheetId="10">#REF!</definedName>
    <definedName name="____xk7350" localSheetId="11">#REF!</definedName>
    <definedName name="____xk7350" localSheetId="28">#REF!</definedName>
    <definedName name="____xk7350">#REF!</definedName>
    <definedName name="____xk7400" localSheetId="8">#REF!</definedName>
    <definedName name="____xk7400" localSheetId="10">#REF!</definedName>
    <definedName name="____xk7400" localSheetId="11">#REF!</definedName>
    <definedName name="____xk7400" localSheetId="28">#REF!</definedName>
    <definedName name="____xk7400">#REF!</definedName>
    <definedName name="____xk7450" localSheetId="8">#REF!</definedName>
    <definedName name="____xk7450" localSheetId="10">#REF!</definedName>
    <definedName name="____xk7450" localSheetId="11">#REF!</definedName>
    <definedName name="____xk7450" localSheetId="28">#REF!</definedName>
    <definedName name="____xk7450">#REF!</definedName>
    <definedName name="____xk7500" localSheetId="8">#REF!</definedName>
    <definedName name="____xk7500" localSheetId="10">#REF!</definedName>
    <definedName name="____xk7500" localSheetId="11">#REF!</definedName>
    <definedName name="____xk7500" localSheetId="28">#REF!</definedName>
    <definedName name="____xk7500">#REF!</definedName>
    <definedName name="____xk7600" localSheetId="8">#REF!</definedName>
    <definedName name="____xk7600" localSheetId="10">#REF!</definedName>
    <definedName name="____xk7600" localSheetId="11">#REF!</definedName>
    <definedName name="____xk7600" localSheetId="28">#REF!</definedName>
    <definedName name="____xk7600">#REF!</definedName>
    <definedName name="____xk9100" localSheetId="8">#REF!</definedName>
    <definedName name="____xk9100" localSheetId="10">#REF!</definedName>
    <definedName name="____xk9100" localSheetId="11">#REF!</definedName>
    <definedName name="____xk9100" localSheetId="28">#REF!</definedName>
    <definedName name="____xk9100">#REF!</definedName>
    <definedName name="____xk91000" localSheetId="8">#REF!</definedName>
    <definedName name="____xk91000" localSheetId="10">#REF!</definedName>
    <definedName name="____xk91000" localSheetId="11">#REF!</definedName>
    <definedName name="____xk91000" localSheetId="28">#REF!</definedName>
    <definedName name="____xk91000">#REF!</definedName>
    <definedName name="____xk9150" localSheetId="8">#REF!</definedName>
    <definedName name="____xk9150" localSheetId="10">#REF!</definedName>
    <definedName name="____xk9150" localSheetId="11">#REF!</definedName>
    <definedName name="____xk9150" localSheetId="28">#REF!</definedName>
    <definedName name="____xk9150">#REF!</definedName>
    <definedName name="____xk9200" localSheetId="8">#REF!</definedName>
    <definedName name="____xk9200" localSheetId="10">#REF!</definedName>
    <definedName name="____xk9200" localSheetId="11">#REF!</definedName>
    <definedName name="____xk9200" localSheetId="28">#REF!</definedName>
    <definedName name="____xk9200">#REF!</definedName>
    <definedName name="____xk9250" localSheetId="8">#REF!</definedName>
    <definedName name="____xk9250" localSheetId="10">#REF!</definedName>
    <definedName name="____xk9250" localSheetId="11">#REF!</definedName>
    <definedName name="____xk9250" localSheetId="28">#REF!</definedName>
    <definedName name="____xk9250">#REF!</definedName>
    <definedName name="____xk9300" localSheetId="8">#REF!</definedName>
    <definedName name="____xk9300" localSheetId="10">#REF!</definedName>
    <definedName name="____xk9300" localSheetId="11">#REF!</definedName>
    <definedName name="____xk9300" localSheetId="28">#REF!</definedName>
    <definedName name="____xk9300">#REF!</definedName>
    <definedName name="____xk9350" localSheetId="8">#REF!</definedName>
    <definedName name="____xk9350" localSheetId="10">#REF!</definedName>
    <definedName name="____xk9350" localSheetId="11">#REF!</definedName>
    <definedName name="____xk9350" localSheetId="28">#REF!</definedName>
    <definedName name="____xk9350">#REF!</definedName>
    <definedName name="____xk9400" localSheetId="8">#REF!</definedName>
    <definedName name="____xk9400" localSheetId="10">#REF!</definedName>
    <definedName name="____xk9400" localSheetId="11">#REF!</definedName>
    <definedName name="____xk9400" localSheetId="28">#REF!</definedName>
    <definedName name="____xk9400">#REF!</definedName>
    <definedName name="____xk9450" localSheetId="8">#REF!</definedName>
    <definedName name="____xk9450" localSheetId="10">#REF!</definedName>
    <definedName name="____xk9450" localSheetId="11">#REF!</definedName>
    <definedName name="____xk9450" localSheetId="28">#REF!</definedName>
    <definedName name="____xk9450">#REF!</definedName>
    <definedName name="____xk9500" localSheetId="8">#REF!</definedName>
    <definedName name="____xk9500" localSheetId="10">#REF!</definedName>
    <definedName name="____xk9500" localSheetId="11">#REF!</definedName>
    <definedName name="____xk9500" localSheetId="28">#REF!</definedName>
    <definedName name="____xk9500">#REF!</definedName>
    <definedName name="____xk9600" localSheetId="8">#REF!</definedName>
    <definedName name="____xk9600" localSheetId="10">#REF!</definedName>
    <definedName name="____xk9600" localSheetId="11">#REF!</definedName>
    <definedName name="____xk9600" localSheetId="28">#REF!</definedName>
    <definedName name="____xk9600">#REF!</definedName>
    <definedName name="____xk9700" localSheetId="8">#REF!</definedName>
    <definedName name="____xk9700" localSheetId="10">#REF!</definedName>
    <definedName name="____xk9700" localSheetId="11">#REF!</definedName>
    <definedName name="____xk9700" localSheetId="28">#REF!</definedName>
    <definedName name="____xk9700">#REF!</definedName>
    <definedName name="____xk9750" localSheetId="8">#REF!</definedName>
    <definedName name="____xk9750" localSheetId="10">#REF!</definedName>
    <definedName name="____xk9750" localSheetId="11">#REF!</definedName>
    <definedName name="____xk9750" localSheetId="28">#REF!</definedName>
    <definedName name="____xk9750">#REF!</definedName>
    <definedName name="____xk9800" localSheetId="8">#REF!</definedName>
    <definedName name="____xk9800" localSheetId="10">#REF!</definedName>
    <definedName name="____xk9800" localSheetId="11">#REF!</definedName>
    <definedName name="____xk9800" localSheetId="28">#REF!</definedName>
    <definedName name="____xk9800">#REF!</definedName>
    <definedName name="____xk9900" localSheetId="8">#REF!</definedName>
    <definedName name="____xk9900" localSheetId="10">#REF!</definedName>
    <definedName name="____xk9900" localSheetId="11">#REF!</definedName>
    <definedName name="____xk9900" localSheetId="28">#REF!</definedName>
    <definedName name="____xk9900">#REF!</definedName>
    <definedName name="____xlfn_BAHTTEXT">#N/A</definedName>
    <definedName name="____xp11010">[54]pvc!$F$61</definedName>
    <definedName name="____xp1104">[54]pvc!$F$31</definedName>
    <definedName name="____xp1106">[54]pvc!$F$46</definedName>
    <definedName name="____xp12510" localSheetId="8">#REF!</definedName>
    <definedName name="____xp12510" localSheetId="10">#REF!</definedName>
    <definedName name="____xp12510" localSheetId="11">#REF!</definedName>
    <definedName name="____xp12510" localSheetId="28">#REF!</definedName>
    <definedName name="____xp12510">#REF!</definedName>
    <definedName name="____xp1254">[54]pvc!$G$31</definedName>
    <definedName name="____xp1256">[54]pvc!$G$46</definedName>
    <definedName name="____xp14010">[54]pvc!$H$61</definedName>
    <definedName name="____xp1404">[54]pvc!$H$31</definedName>
    <definedName name="____xp1406">[54]pvc!$H$46</definedName>
    <definedName name="____xp16010" localSheetId="8">#REF!</definedName>
    <definedName name="____xp16010" localSheetId="10">#REF!</definedName>
    <definedName name="____xp16010" localSheetId="11">#REF!</definedName>
    <definedName name="____xp16010" localSheetId="28">#REF!</definedName>
    <definedName name="____xp16010">#REF!</definedName>
    <definedName name="____xp1604">[54]pvc!$I$31</definedName>
    <definedName name="____xp1606">[54]pvc!$I$46</definedName>
    <definedName name="____xp18010" localSheetId="8">#REF!</definedName>
    <definedName name="____xp18010" localSheetId="10">#REF!</definedName>
    <definedName name="____xp18010" localSheetId="11">#REF!</definedName>
    <definedName name="____xp18010" localSheetId="28">#REF!</definedName>
    <definedName name="____xp18010">#REF!</definedName>
    <definedName name="____xp1804">[54]pvc!$J$31</definedName>
    <definedName name="____xp1806">[54]pvc!$J$46</definedName>
    <definedName name="____xp20010" localSheetId="8">#REF!</definedName>
    <definedName name="____xp20010" localSheetId="10">#REF!</definedName>
    <definedName name="____xp20010" localSheetId="11">#REF!</definedName>
    <definedName name="____xp20010" localSheetId="28">#REF!</definedName>
    <definedName name="____xp20010">#REF!</definedName>
    <definedName name="____xp2004" localSheetId="8">#REF!</definedName>
    <definedName name="____xp2004" localSheetId="10">#REF!</definedName>
    <definedName name="____xp2004" localSheetId="11">#REF!</definedName>
    <definedName name="____xp2004" localSheetId="28">#REF!</definedName>
    <definedName name="____xp2004">#REF!</definedName>
    <definedName name="____xp2006">[54]pvc!$K$46</definedName>
    <definedName name="____xp22510" localSheetId="8">#REF!</definedName>
    <definedName name="____xp22510" localSheetId="10">#REF!</definedName>
    <definedName name="____xp22510" localSheetId="11">#REF!</definedName>
    <definedName name="____xp22510" localSheetId="28">#REF!</definedName>
    <definedName name="____xp22510">#REF!</definedName>
    <definedName name="____xp2254" localSheetId="8">#REF!</definedName>
    <definedName name="____xp2254" localSheetId="10">#REF!</definedName>
    <definedName name="____xp2254" localSheetId="11">#REF!</definedName>
    <definedName name="____xp2254" localSheetId="28">#REF!</definedName>
    <definedName name="____xp2254">#REF!</definedName>
    <definedName name="____xp2256" localSheetId="8">#REF!</definedName>
    <definedName name="____xp2256" localSheetId="10">#REF!</definedName>
    <definedName name="____xp2256" localSheetId="11">#REF!</definedName>
    <definedName name="____xp2256" localSheetId="28">#REF!</definedName>
    <definedName name="____xp2256">#REF!</definedName>
    <definedName name="____xp25010" localSheetId="8">#REF!</definedName>
    <definedName name="____xp25010" localSheetId="10">#REF!</definedName>
    <definedName name="____xp25010" localSheetId="11">#REF!</definedName>
    <definedName name="____xp25010" localSheetId="28">#REF!</definedName>
    <definedName name="____xp25010">#REF!</definedName>
    <definedName name="____xp2504" localSheetId="8">#REF!</definedName>
    <definedName name="____xp2504" localSheetId="10">#REF!</definedName>
    <definedName name="____xp2504" localSheetId="11">#REF!</definedName>
    <definedName name="____xp2504" localSheetId="28">#REF!</definedName>
    <definedName name="____xp2504">#REF!</definedName>
    <definedName name="____xp2506" localSheetId="8">#REF!</definedName>
    <definedName name="____xp2506" localSheetId="10">#REF!</definedName>
    <definedName name="____xp2506" localSheetId="11">#REF!</definedName>
    <definedName name="____xp2506" localSheetId="28">#REF!</definedName>
    <definedName name="____xp2506">#REF!</definedName>
    <definedName name="____xp28010" localSheetId="8">#REF!</definedName>
    <definedName name="____xp28010" localSheetId="10">#REF!</definedName>
    <definedName name="____xp28010" localSheetId="11">#REF!</definedName>
    <definedName name="____xp28010" localSheetId="28">#REF!</definedName>
    <definedName name="____xp28010">#REF!</definedName>
    <definedName name="____xp2804" localSheetId="8">#REF!</definedName>
    <definedName name="____xp2804" localSheetId="10">#REF!</definedName>
    <definedName name="____xp2804" localSheetId="11">#REF!</definedName>
    <definedName name="____xp2804" localSheetId="28">#REF!</definedName>
    <definedName name="____xp2804">#REF!</definedName>
    <definedName name="____xp2806" localSheetId="8">#REF!</definedName>
    <definedName name="____xp2806" localSheetId="10">#REF!</definedName>
    <definedName name="____xp2806" localSheetId="11">#REF!</definedName>
    <definedName name="____xp2806" localSheetId="28">#REF!</definedName>
    <definedName name="____xp2806">#REF!</definedName>
    <definedName name="____xp31510" localSheetId="8">#REF!</definedName>
    <definedName name="____xp31510" localSheetId="10">#REF!</definedName>
    <definedName name="____xp31510" localSheetId="11">#REF!</definedName>
    <definedName name="____xp31510" localSheetId="28">#REF!</definedName>
    <definedName name="____xp31510">#REF!</definedName>
    <definedName name="____xp3154" localSheetId="8">#REF!</definedName>
    <definedName name="____xp3154" localSheetId="10">#REF!</definedName>
    <definedName name="____xp3154" localSheetId="11">#REF!</definedName>
    <definedName name="____xp3154" localSheetId="28">#REF!</definedName>
    <definedName name="____xp3154">#REF!</definedName>
    <definedName name="____xp3156" localSheetId="8">#REF!</definedName>
    <definedName name="____xp3156" localSheetId="10">#REF!</definedName>
    <definedName name="____xp3156" localSheetId="11">#REF!</definedName>
    <definedName name="____xp3156" localSheetId="28">#REF!</definedName>
    <definedName name="____xp3156">#REF!</definedName>
    <definedName name="____xp6310">[54]pvc!$C$61</definedName>
    <definedName name="____xp634" localSheetId="8">#REF!</definedName>
    <definedName name="____xp634" localSheetId="10">#REF!</definedName>
    <definedName name="____xp634" localSheetId="11">#REF!</definedName>
    <definedName name="____xp634" localSheetId="28">#REF!</definedName>
    <definedName name="____xp634">#REF!</definedName>
    <definedName name="____xp636">[54]pvc!$C$46</definedName>
    <definedName name="____xp7510">[54]pvc!$D$61</definedName>
    <definedName name="____xp754">[54]pvc!$D$31</definedName>
    <definedName name="____xp756">[54]pvc!$D$46</definedName>
    <definedName name="____xp9010">[54]pvc!$E$61</definedName>
    <definedName name="____xp904">[54]pvc!$E$31</definedName>
    <definedName name="____xp906">[54]pvc!$E$46</definedName>
    <definedName name="___abs1" localSheetId="5">#REF!</definedName>
    <definedName name="___abs1" localSheetId="14">#REF!</definedName>
    <definedName name="___abs1" localSheetId="8">#REF!</definedName>
    <definedName name="___abs1" localSheetId="10">#REF!</definedName>
    <definedName name="___abs1" localSheetId="28">#REF!</definedName>
    <definedName name="___abs1">#REF!</definedName>
    <definedName name="___AUX1">#REF!</definedName>
    <definedName name="___aux2" localSheetId="28">#REF!</definedName>
    <definedName name="___AUX3">#REF!</definedName>
    <definedName name="___bla1" localSheetId="37">[47]leads!$H$7</definedName>
    <definedName name="___bla1">[19]leads!$H$7</definedName>
    <definedName name="___BSG100" localSheetId="8">#REF!</definedName>
    <definedName name="___BSG100" localSheetId="10">#REF!</definedName>
    <definedName name="___BSG100" localSheetId="28">#REF!</definedName>
    <definedName name="___BSG100">#REF!</definedName>
    <definedName name="___BSG150" localSheetId="8">#REF!</definedName>
    <definedName name="___BSG150" localSheetId="10">#REF!</definedName>
    <definedName name="___BSG150" localSheetId="28">#REF!</definedName>
    <definedName name="___BSG150">#REF!</definedName>
    <definedName name="___BSG5" localSheetId="8">#REF!</definedName>
    <definedName name="___BSG5" localSheetId="10">#REF!</definedName>
    <definedName name="___BSG5" localSheetId="28">#REF!</definedName>
    <definedName name="___BSG5">#REF!</definedName>
    <definedName name="___BSG75" localSheetId="8">#REF!</definedName>
    <definedName name="___BSG75" localSheetId="10">#REF!</definedName>
    <definedName name="___BSG75" localSheetId="28">#REF!</definedName>
    <definedName name="___BSG75">#REF!</definedName>
    <definedName name="___BTC1" localSheetId="8">#REF!</definedName>
    <definedName name="___BTC1" localSheetId="10">#REF!</definedName>
    <definedName name="___BTC1" localSheetId="28">#REF!</definedName>
    <definedName name="___BTC1">#REF!</definedName>
    <definedName name="___BTC10" localSheetId="8">#REF!</definedName>
    <definedName name="___BTC10" localSheetId="10">#REF!</definedName>
    <definedName name="___BTC10" localSheetId="28">#REF!</definedName>
    <definedName name="___BTC10">#REF!</definedName>
    <definedName name="___BTC11" localSheetId="8">#REF!</definedName>
    <definedName name="___BTC11" localSheetId="10">#REF!</definedName>
    <definedName name="___BTC11" localSheetId="28">#REF!</definedName>
    <definedName name="___BTC11">#REF!</definedName>
    <definedName name="___BTC12" localSheetId="8">#REF!</definedName>
    <definedName name="___BTC12" localSheetId="10">#REF!</definedName>
    <definedName name="___BTC12" localSheetId="28">#REF!</definedName>
    <definedName name="___BTC12">#REF!</definedName>
    <definedName name="___BTC13" localSheetId="8">#REF!</definedName>
    <definedName name="___BTC13" localSheetId="10">#REF!</definedName>
    <definedName name="___BTC13" localSheetId="28">#REF!</definedName>
    <definedName name="___BTC13">#REF!</definedName>
    <definedName name="___BTC14" localSheetId="8">#REF!</definedName>
    <definedName name="___BTC14" localSheetId="10">#REF!</definedName>
    <definedName name="___BTC14" localSheetId="28">#REF!</definedName>
    <definedName name="___BTC14">#REF!</definedName>
    <definedName name="___BTC15" localSheetId="8">#REF!</definedName>
    <definedName name="___BTC15" localSheetId="10">#REF!</definedName>
    <definedName name="___BTC15" localSheetId="28">#REF!</definedName>
    <definedName name="___BTC15">#REF!</definedName>
    <definedName name="___BTC16">#REF!</definedName>
    <definedName name="___BTC17">#REF!</definedName>
    <definedName name="___BTC18">#REF!</definedName>
    <definedName name="___BTC19">#REF!</definedName>
    <definedName name="___BTC2" localSheetId="8">#REF!</definedName>
    <definedName name="___BTC2" localSheetId="10">#REF!</definedName>
    <definedName name="___BTC2" localSheetId="28">#REF!</definedName>
    <definedName name="___BTC2">#REF!</definedName>
    <definedName name="___BTC20">#REF!</definedName>
    <definedName name="___BTC21">#REF!</definedName>
    <definedName name="___BTC22">#REF!</definedName>
    <definedName name="___BTC23">#REF!</definedName>
    <definedName name="___BTC24">#REF!</definedName>
    <definedName name="___BTC3" localSheetId="8">#REF!</definedName>
    <definedName name="___BTC3" localSheetId="10">#REF!</definedName>
    <definedName name="___BTC3" localSheetId="28">#REF!</definedName>
    <definedName name="___BTC3">#REF!</definedName>
    <definedName name="___BTC4" localSheetId="8">#REF!</definedName>
    <definedName name="___BTC4" localSheetId="10">#REF!</definedName>
    <definedName name="___BTC4" localSheetId="28">#REF!</definedName>
    <definedName name="___BTC4">#REF!</definedName>
    <definedName name="___BTC5" localSheetId="8">#REF!</definedName>
    <definedName name="___BTC5" localSheetId="10">#REF!</definedName>
    <definedName name="___BTC5" localSheetId="28">#REF!</definedName>
    <definedName name="___BTC5">#REF!</definedName>
    <definedName name="___BTC6" localSheetId="8">#REF!</definedName>
    <definedName name="___BTC6" localSheetId="10">#REF!</definedName>
    <definedName name="___BTC6" localSheetId="28">#REF!</definedName>
    <definedName name="___BTC6">#REF!</definedName>
    <definedName name="___BTC7" localSheetId="8">#REF!</definedName>
    <definedName name="___BTC7" localSheetId="10">#REF!</definedName>
    <definedName name="___BTC7" localSheetId="28">#REF!</definedName>
    <definedName name="___BTC7">#REF!</definedName>
    <definedName name="___BTC8" localSheetId="8">#REF!</definedName>
    <definedName name="___BTC8" localSheetId="10">#REF!</definedName>
    <definedName name="___BTC8" localSheetId="28">#REF!</definedName>
    <definedName name="___BTC8">#REF!</definedName>
    <definedName name="___BTC9" localSheetId="8">#REF!</definedName>
    <definedName name="___BTC9" localSheetId="10">#REF!</definedName>
    <definedName name="___BTC9" localSheetId="28">#REF!</definedName>
    <definedName name="___BTC9">#REF!</definedName>
    <definedName name="___BTR1">#REF!</definedName>
    <definedName name="___BTR10">#REF!</definedName>
    <definedName name="___BTR11">#REF!</definedName>
    <definedName name="___BTR12">#REF!</definedName>
    <definedName name="___BTR13">#REF!</definedName>
    <definedName name="___BTR14">#REF!</definedName>
    <definedName name="___BTR15">#REF!</definedName>
    <definedName name="___BTR16">#REF!</definedName>
    <definedName name="___BTR17">#REF!</definedName>
    <definedName name="___BTR18">#REF!</definedName>
    <definedName name="___BTR19">#REF!</definedName>
    <definedName name="___BTR2">#REF!</definedName>
    <definedName name="___BTR20">#REF!</definedName>
    <definedName name="___BTR21">#REF!</definedName>
    <definedName name="___BTR22">#REF!</definedName>
    <definedName name="___BTR23">#REF!</definedName>
    <definedName name="___BTR24">#REF!</definedName>
    <definedName name="___BTR3">#REF!</definedName>
    <definedName name="___BTR4">#REF!</definedName>
    <definedName name="___BTR5">#REF!</definedName>
    <definedName name="___BTR6">#REF!</definedName>
    <definedName name="___BTR7">#REF!</definedName>
    <definedName name="___BTR8">#REF!</definedName>
    <definedName name="___BTR9">#REF!</definedName>
    <definedName name="___BTS1" localSheetId="8">#REF!</definedName>
    <definedName name="___BTS1" localSheetId="10">#REF!</definedName>
    <definedName name="___BTS1" localSheetId="28">#REF!</definedName>
    <definedName name="___BTS1">#REF!</definedName>
    <definedName name="___BTS10" localSheetId="8">#REF!</definedName>
    <definedName name="___BTS10" localSheetId="10">#REF!</definedName>
    <definedName name="___BTS10" localSheetId="28">#REF!</definedName>
    <definedName name="___BTS10">#REF!</definedName>
    <definedName name="___BTS11" localSheetId="8">#REF!</definedName>
    <definedName name="___BTS11" localSheetId="10">#REF!</definedName>
    <definedName name="___BTS11" localSheetId="28">#REF!</definedName>
    <definedName name="___BTS11">#REF!</definedName>
    <definedName name="___BTS12" localSheetId="8">#REF!</definedName>
    <definedName name="___BTS12" localSheetId="10">#REF!</definedName>
    <definedName name="___BTS12" localSheetId="28">#REF!</definedName>
    <definedName name="___BTS12">#REF!</definedName>
    <definedName name="___BTS13" localSheetId="8">#REF!</definedName>
    <definedName name="___BTS13" localSheetId="10">#REF!</definedName>
    <definedName name="___BTS13" localSheetId="28">#REF!</definedName>
    <definedName name="___BTS13">#REF!</definedName>
    <definedName name="___BTS14" localSheetId="8">#REF!</definedName>
    <definedName name="___BTS14" localSheetId="10">#REF!</definedName>
    <definedName name="___BTS14" localSheetId="28">#REF!</definedName>
    <definedName name="___BTS14">#REF!</definedName>
    <definedName name="___BTS15" localSheetId="8">#REF!</definedName>
    <definedName name="___BTS15" localSheetId="10">#REF!</definedName>
    <definedName name="___BTS15" localSheetId="28">#REF!</definedName>
    <definedName name="___BTS15">#REF!</definedName>
    <definedName name="___BTS16">#REF!</definedName>
    <definedName name="___BTS17">#REF!</definedName>
    <definedName name="___BTS18">#REF!</definedName>
    <definedName name="___BTS19">#REF!</definedName>
    <definedName name="___BTS2" localSheetId="8">#REF!</definedName>
    <definedName name="___BTS2" localSheetId="10">#REF!</definedName>
    <definedName name="___BTS2" localSheetId="28">#REF!</definedName>
    <definedName name="___BTS2">#REF!</definedName>
    <definedName name="___BTS20">#REF!</definedName>
    <definedName name="___BTS21">#REF!</definedName>
    <definedName name="___BTS22">#REF!</definedName>
    <definedName name="___BTS23">#REF!</definedName>
    <definedName name="___BTS24">#REF!</definedName>
    <definedName name="___BTS3" localSheetId="8">#REF!</definedName>
    <definedName name="___BTS3" localSheetId="10">#REF!</definedName>
    <definedName name="___BTS3" localSheetId="28">#REF!</definedName>
    <definedName name="___BTS3">#REF!</definedName>
    <definedName name="___BTS4" localSheetId="8">#REF!</definedName>
    <definedName name="___BTS4" localSheetId="10">#REF!</definedName>
    <definedName name="___BTS4" localSheetId="28">#REF!</definedName>
    <definedName name="___BTS4">#REF!</definedName>
    <definedName name="___BTS5" localSheetId="8">#REF!</definedName>
    <definedName name="___BTS5" localSheetId="10">#REF!</definedName>
    <definedName name="___BTS5" localSheetId="28">#REF!</definedName>
    <definedName name="___BTS5">#REF!</definedName>
    <definedName name="___BTS6" localSheetId="8">#REF!</definedName>
    <definedName name="___BTS6" localSheetId="10">#REF!</definedName>
    <definedName name="___BTS6" localSheetId="28">#REF!</definedName>
    <definedName name="___BTS6">#REF!</definedName>
    <definedName name="___BTS7" localSheetId="8">#REF!</definedName>
    <definedName name="___BTS7" localSheetId="10">#REF!</definedName>
    <definedName name="___BTS7" localSheetId="28">#REF!</definedName>
    <definedName name="___BTS7">#REF!</definedName>
    <definedName name="___BTS8" localSheetId="8">#REF!</definedName>
    <definedName name="___BTS8" localSheetId="10">#REF!</definedName>
    <definedName name="___BTS8" localSheetId="28">#REF!</definedName>
    <definedName name="___BTS8">#REF!</definedName>
    <definedName name="___BTS9" localSheetId="8">#REF!</definedName>
    <definedName name="___BTS9" localSheetId="10">#REF!</definedName>
    <definedName name="___BTS9" localSheetId="28">#REF!</definedName>
    <definedName name="___BTS9">#REF!</definedName>
    <definedName name="___can430">40.73</definedName>
    <definedName name="___can435">43.3</definedName>
    <definedName name="___cbr1" localSheetId="8">#REF!</definedName>
    <definedName name="___cbr1" localSheetId="10">#REF!</definedName>
    <definedName name="___cbr1" localSheetId="37">#REF!</definedName>
    <definedName name="___cbr1" localSheetId="28">#REF!</definedName>
    <definedName name="___cbr1">#REF!</definedName>
    <definedName name="___cbr2" localSheetId="8">#REF!</definedName>
    <definedName name="___cbr2" localSheetId="10">#REF!</definedName>
    <definedName name="___cbr2" localSheetId="28">#REF!</definedName>
    <definedName name="___cbr2">#REF!</definedName>
    <definedName name="___cbr3" localSheetId="8">#REF!</definedName>
    <definedName name="___cbr3" localSheetId="10">#REF!</definedName>
    <definedName name="___cbr3" localSheetId="28">#REF!</definedName>
    <definedName name="___cbr3">#REF!</definedName>
    <definedName name="___cbr4" localSheetId="8">#REF!</definedName>
    <definedName name="___cbr4" localSheetId="10">#REF!</definedName>
    <definedName name="___cbr4" localSheetId="28">#REF!</definedName>
    <definedName name="___cbr4">#REF!</definedName>
    <definedName name="___CCW1" localSheetId="37">[55]DATA!$H$67</definedName>
    <definedName name="___CCW1">[56]DATA!$H$67</definedName>
    <definedName name="___CCW2" localSheetId="37">[55]DATA!$H$97</definedName>
    <definedName name="___CCW2">[56]DATA!$H$97</definedName>
    <definedName name="___cur1">[6]r!$F$30</definedName>
    <definedName name="___df3" localSheetId="8">#REF!</definedName>
    <definedName name="___df3" localSheetId="10">#REF!</definedName>
    <definedName name="___df3" localSheetId="11">#REF!</definedName>
    <definedName name="___df3" localSheetId="28">#REF!</definedName>
    <definedName name="___df3">#REF!</definedName>
    <definedName name="___er1">#REF!</definedName>
    <definedName name="___ewe1" localSheetId="11">#REF!</definedName>
    <definedName name="___ewe1" localSheetId="28">#REF!</definedName>
    <definedName name="___ewe1">#REF!</definedName>
    <definedName name="___ewe2">#REF!</definedName>
    <definedName name="___f1" localSheetId="8">#REF!</definedName>
    <definedName name="___f1" localSheetId="10">#REF!</definedName>
    <definedName name="___f1" localSheetId="11">#REF!</definedName>
    <definedName name="___f1" localSheetId="28">#REF!</definedName>
    <definedName name="___f1">#REF!</definedName>
    <definedName name="___GBS11" localSheetId="8">#REF!</definedName>
    <definedName name="___GBS11" localSheetId="10">#REF!</definedName>
    <definedName name="___GBS11" localSheetId="28">#REF!</definedName>
    <definedName name="___GBS11">#REF!</definedName>
    <definedName name="___GBS110" localSheetId="8">#REF!</definedName>
    <definedName name="___GBS110" localSheetId="10">#REF!</definedName>
    <definedName name="___GBS110" localSheetId="28">#REF!</definedName>
    <definedName name="___GBS110">#REF!</definedName>
    <definedName name="___GBS111" localSheetId="8">#REF!</definedName>
    <definedName name="___GBS111" localSheetId="10">#REF!</definedName>
    <definedName name="___GBS111" localSheetId="28">#REF!</definedName>
    <definedName name="___GBS111">#REF!</definedName>
    <definedName name="___GBS112" localSheetId="8">#REF!</definedName>
    <definedName name="___GBS112" localSheetId="10">#REF!</definedName>
    <definedName name="___GBS112" localSheetId="28">#REF!</definedName>
    <definedName name="___GBS112">#REF!</definedName>
    <definedName name="___GBS113" localSheetId="8">#REF!</definedName>
    <definedName name="___GBS113" localSheetId="10">#REF!</definedName>
    <definedName name="___GBS113" localSheetId="28">#REF!</definedName>
    <definedName name="___GBS113">#REF!</definedName>
    <definedName name="___GBS114" localSheetId="8">#REF!</definedName>
    <definedName name="___GBS114" localSheetId="10">#REF!</definedName>
    <definedName name="___GBS114" localSheetId="28">#REF!</definedName>
    <definedName name="___GBS114">#REF!</definedName>
    <definedName name="___GBS115" localSheetId="8">#REF!</definedName>
    <definedName name="___GBS115" localSheetId="10">#REF!</definedName>
    <definedName name="___GBS115" localSheetId="28">#REF!</definedName>
    <definedName name="___GBS115">#REF!</definedName>
    <definedName name="___GBS116">#REF!</definedName>
    <definedName name="___GBS117">#REF!</definedName>
    <definedName name="___GBS118">#REF!</definedName>
    <definedName name="___GBS119">#REF!</definedName>
    <definedName name="___GBS12" localSheetId="8">#REF!</definedName>
    <definedName name="___GBS12" localSheetId="10">#REF!</definedName>
    <definedName name="___GBS12" localSheetId="28">#REF!</definedName>
    <definedName name="___GBS12">#REF!</definedName>
    <definedName name="___GBS120">#REF!</definedName>
    <definedName name="___GBS121">#REF!</definedName>
    <definedName name="___GBS122">#REF!</definedName>
    <definedName name="___GBS123">#REF!</definedName>
    <definedName name="___GBS124">#REF!</definedName>
    <definedName name="___GBS13" localSheetId="8">#REF!</definedName>
    <definedName name="___GBS13" localSheetId="10">#REF!</definedName>
    <definedName name="___GBS13" localSheetId="28">#REF!</definedName>
    <definedName name="___GBS13">#REF!</definedName>
    <definedName name="___GBS14" localSheetId="8">#REF!</definedName>
    <definedName name="___GBS14" localSheetId="10">#REF!</definedName>
    <definedName name="___GBS14" localSheetId="28">#REF!</definedName>
    <definedName name="___GBS14">#REF!</definedName>
    <definedName name="___GBS15" localSheetId="8">#REF!</definedName>
    <definedName name="___GBS15" localSheetId="10">#REF!</definedName>
    <definedName name="___GBS15" localSheetId="28">#REF!</definedName>
    <definedName name="___GBS15">#REF!</definedName>
    <definedName name="___GBS16" localSheetId="8">#REF!</definedName>
    <definedName name="___GBS16" localSheetId="10">#REF!</definedName>
    <definedName name="___GBS16" localSheetId="28">#REF!</definedName>
    <definedName name="___GBS16">#REF!</definedName>
    <definedName name="___GBS17" localSheetId="8">#REF!</definedName>
    <definedName name="___GBS17" localSheetId="10">#REF!</definedName>
    <definedName name="___GBS17" localSheetId="28">#REF!</definedName>
    <definedName name="___GBS17">#REF!</definedName>
    <definedName name="___GBS18" localSheetId="8">#REF!</definedName>
    <definedName name="___GBS18" localSheetId="10">#REF!</definedName>
    <definedName name="___GBS18" localSheetId="28">#REF!</definedName>
    <definedName name="___GBS18">#REF!</definedName>
    <definedName name="___GBS19" localSheetId="8">#REF!</definedName>
    <definedName name="___GBS19" localSheetId="10">#REF!</definedName>
    <definedName name="___GBS19" localSheetId="28">#REF!</definedName>
    <definedName name="___GBS19">#REF!</definedName>
    <definedName name="___GBS21" localSheetId="8">#REF!</definedName>
    <definedName name="___GBS21" localSheetId="10">#REF!</definedName>
    <definedName name="___GBS21" localSheetId="28">#REF!</definedName>
    <definedName name="___GBS21">#REF!</definedName>
    <definedName name="___GBS210" localSheetId="8">#REF!</definedName>
    <definedName name="___GBS210" localSheetId="10">#REF!</definedName>
    <definedName name="___GBS210" localSheetId="28">#REF!</definedName>
    <definedName name="___GBS210">#REF!</definedName>
    <definedName name="___GBS211" localSheetId="8">#REF!</definedName>
    <definedName name="___GBS211" localSheetId="10">#REF!</definedName>
    <definedName name="___GBS211" localSheetId="28">#REF!</definedName>
    <definedName name="___GBS211">#REF!</definedName>
    <definedName name="___GBS212" localSheetId="8">#REF!</definedName>
    <definedName name="___GBS212" localSheetId="10">#REF!</definedName>
    <definedName name="___GBS212" localSheetId="28">#REF!</definedName>
    <definedName name="___GBS212">#REF!</definedName>
    <definedName name="___GBS213" localSheetId="8">#REF!</definedName>
    <definedName name="___GBS213" localSheetId="10">#REF!</definedName>
    <definedName name="___GBS213" localSheetId="28">#REF!</definedName>
    <definedName name="___GBS213">#REF!</definedName>
    <definedName name="___GBS214" localSheetId="8">#REF!</definedName>
    <definedName name="___GBS214" localSheetId="10">#REF!</definedName>
    <definedName name="___GBS214" localSheetId="28">#REF!</definedName>
    <definedName name="___GBS214">#REF!</definedName>
    <definedName name="___GBS215" localSheetId="8">#REF!</definedName>
    <definedName name="___GBS215" localSheetId="10">#REF!</definedName>
    <definedName name="___GBS215" localSheetId="28">#REF!</definedName>
    <definedName name="___GBS215">#REF!</definedName>
    <definedName name="___GBS216">#REF!</definedName>
    <definedName name="___GBS217">#REF!</definedName>
    <definedName name="___GBS218">#REF!</definedName>
    <definedName name="___GBS219">#REF!</definedName>
    <definedName name="___GBS22" localSheetId="8">#REF!</definedName>
    <definedName name="___GBS22" localSheetId="10">#REF!</definedName>
    <definedName name="___GBS22" localSheetId="28">#REF!</definedName>
    <definedName name="___GBS22">#REF!</definedName>
    <definedName name="___GBS220">#REF!</definedName>
    <definedName name="___GBS221">#REF!</definedName>
    <definedName name="___GBS222">#REF!</definedName>
    <definedName name="___GBS223">#REF!</definedName>
    <definedName name="___GBS224">#REF!</definedName>
    <definedName name="___GBS23" localSheetId="8">#REF!</definedName>
    <definedName name="___GBS23" localSheetId="10">#REF!</definedName>
    <definedName name="___GBS23" localSheetId="28">#REF!</definedName>
    <definedName name="___GBS23">#REF!</definedName>
    <definedName name="___GBS24" localSheetId="8">#REF!</definedName>
    <definedName name="___GBS24" localSheetId="10">#REF!</definedName>
    <definedName name="___GBS24" localSheetId="28">#REF!</definedName>
    <definedName name="___GBS24">#REF!</definedName>
    <definedName name="___GBS25" localSheetId="8">#REF!</definedName>
    <definedName name="___GBS25" localSheetId="10">#REF!</definedName>
    <definedName name="___GBS25" localSheetId="28">#REF!</definedName>
    <definedName name="___GBS25">#REF!</definedName>
    <definedName name="___GBS26" localSheetId="8">#REF!</definedName>
    <definedName name="___GBS26" localSheetId="10">#REF!</definedName>
    <definedName name="___GBS26" localSheetId="28">#REF!</definedName>
    <definedName name="___GBS26">#REF!</definedName>
    <definedName name="___GBS27" localSheetId="8">#REF!</definedName>
    <definedName name="___GBS27" localSheetId="10">#REF!</definedName>
    <definedName name="___GBS27" localSheetId="28">#REF!</definedName>
    <definedName name="___GBS27">#REF!</definedName>
    <definedName name="___GBS28" localSheetId="8">#REF!</definedName>
    <definedName name="___GBS28" localSheetId="10">#REF!</definedName>
    <definedName name="___GBS28" localSheetId="28">#REF!</definedName>
    <definedName name="___GBS28">#REF!</definedName>
    <definedName name="___GBS29" localSheetId="8">#REF!</definedName>
    <definedName name="___GBS29" localSheetId="10">#REF!</definedName>
    <definedName name="___GBS29" localSheetId="28">#REF!</definedName>
    <definedName name="___GBS29">#REF!</definedName>
    <definedName name="___grp10003" localSheetId="8">#REF!</definedName>
    <definedName name="___grp10003" localSheetId="10">#REF!</definedName>
    <definedName name="___grp10003" localSheetId="11">#REF!</definedName>
    <definedName name="___grp10003" localSheetId="28">#REF!</definedName>
    <definedName name="___grp10003">#REF!</definedName>
    <definedName name="___grp3503" localSheetId="8">#REF!</definedName>
    <definedName name="___grp3503" localSheetId="10">#REF!</definedName>
    <definedName name="___grp3503" localSheetId="11">#REF!</definedName>
    <definedName name="___grp3503" localSheetId="28">#REF!</definedName>
    <definedName name="___grp3503">#REF!</definedName>
    <definedName name="___grp4003" localSheetId="8">#REF!</definedName>
    <definedName name="___grp4003" localSheetId="10">#REF!</definedName>
    <definedName name="___grp4003" localSheetId="11">#REF!</definedName>
    <definedName name="___grp4003" localSheetId="28">#REF!</definedName>
    <definedName name="___grp4003">#REF!</definedName>
    <definedName name="___grp4503" localSheetId="8">#REF!</definedName>
    <definedName name="___grp4503" localSheetId="10">#REF!</definedName>
    <definedName name="___grp4503" localSheetId="11">#REF!</definedName>
    <definedName name="___grp4503" localSheetId="28">#REF!</definedName>
    <definedName name="___grp4503">#REF!</definedName>
    <definedName name="___grp5003" localSheetId="8">#REF!</definedName>
    <definedName name="___grp5003" localSheetId="10">#REF!</definedName>
    <definedName name="___grp5003" localSheetId="11">#REF!</definedName>
    <definedName name="___grp5003" localSheetId="28">#REF!</definedName>
    <definedName name="___grp5003">#REF!</definedName>
    <definedName name="___grp6003" localSheetId="8">#REF!</definedName>
    <definedName name="___grp6003" localSheetId="10">#REF!</definedName>
    <definedName name="___grp6003" localSheetId="11">#REF!</definedName>
    <definedName name="___grp6003" localSheetId="28">#REF!</definedName>
    <definedName name="___grp6003">#REF!</definedName>
    <definedName name="___grp7003" localSheetId="8">#REF!</definedName>
    <definedName name="___grp7003" localSheetId="10">#REF!</definedName>
    <definedName name="___grp7003" localSheetId="11">#REF!</definedName>
    <definedName name="___grp7003" localSheetId="28">#REF!</definedName>
    <definedName name="___grp7003">#REF!</definedName>
    <definedName name="___grp8003" localSheetId="8">#REF!</definedName>
    <definedName name="___grp8003" localSheetId="10">#REF!</definedName>
    <definedName name="___grp8003" localSheetId="11">#REF!</definedName>
    <definedName name="___grp8003" localSheetId="28">#REF!</definedName>
    <definedName name="___grp8003">#REF!</definedName>
    <definedName name="___grp9003" localSheetId="8">#REF!</definedName>
    <definedName name="___grp9003" localSheetId="10">#REF!</definedName>
    <definedName name="___grp9003" localSheetId="11">#REF!</definedName>
    <definedName name="___grp9003" localSheetId="28">#REF!</definedName>
    <definedName name="___grp9003">#REF!</definedName>
    <definedName name="___gus1">#REF!</definedName>
    <definedName name="___hpm1">#REF!</definedName>
    <definedName name="___knr2" localSheetId="5">#REF!</definedName>
    <definedName name="___knr2" localSheetId="8">#REF!</definedName>
    <definedName name="___knr2" localSheetId="10">#REF!</definedName>
    <definedName name="___knr2" localSheetId="11">#REF!</definedName>
    <definedName name="___knr2" localSheetId="28">#REF!</definedName>
    <definedName name="___knr2">#REF!</definedName>
    <definedName name="___l1" localSheetId="37">[49]leads!$A$3:$E$108</definedName>
    <definedName name="___l1">[20]leads!$A$3:$E$108</definedName>
    <definedName name="___l12" localSheetId="33">#REF!</definedName>
    <definedName name="___l12" localSheetId="34">#REF!</definedName>
    <definedName name="___l12" localSheetId="35">#REF!</definedName>
    <definedName name="___l12" localSheetId="5">#REF!</definedName>
    <definedName name="___l12" localSheetId="8">#REF!</definedName>
    <definedName name="___l12" localSheetId="10">#REF!</definedName>
    <definedName name="___l12" localSheetId="11">#REF!</definedName>
    <definedName name="___l12" localSheetId="37">#REF!</definedName>
    <definedName name="___l12" localSheetId="28">#REF!</definedName>
    <definedName name="___l12" localSheetId="42">#REF!</definedName>
    <definedName name="___l12" localSheetId="31">#REF!</definedName>
    <definedName name="___l12">#REF!</definedName>
    <definedName name="___l2">[6]r!$F$29</definedName>
    <definedName name="___l3" localSheetId="33">#REF!</definedName>
    <definedName name="___l3" localSheetId="34">#REF!</definedName>
    <definedName name="___l3" localSheetId="35">#REF!</definedName>
    <definedName name="___l3" localSheetId="5">#REF!</definedName>
    <definedName name="___l3" localSheetId="8">#REF!</definedName>
    <definedName name="___l3" localSheetId="10">#REF!</definedName>
    <definedName name="___l3" localSheetId="11">#REF!</definedName>
    <definedName name="___l3" localSheetId="37">#REF!</definedName>
    <definedName name="___l3" localSheetId="28">#REF!</definedName>
    <definedName name="___l3" localSheetId="42">#REF!</definedName>
    <definedName name="___l3" localSheetId="31">#REF!</definedName>
    <definedName name="___l3">#REF!</definedName>
    <definedName name="___l4" localSheetId="37">[50]Sheet1!$W$2:$Y$103</definedName>
    <definedName name="___l4">[21]Sheet1!$W$2:$Y$103</definedName>
    <definedName name="___l5" localSheetId="33">#REF!</definedName>
    <definedName name="___l5" localSheetId="34">#REF!</definedName>
    <definedName name="___l5" localSheetId="35">#REF!</definedName>
    <definedName name="___l5" localSheetId="5">#REF!</definedName>
    <definedName name="___l5" localSheetId="8">#REF!</definedName>
    <definedName name="___l5" localSheetId="10">#REF!</definedName>
    <definedName name="___l5" localSheetId="11">#REF!</definedName>
    <definedName name="___l5" localSheetId="37">#REF!</definedName>
    <definedName name="___l5" localSheetId="28">#REF!</definedName>
    <definedName name="___l5" localSheetId="42">#REF!</definedName>
    <definedName name="___l5" localSheetId="31">#REF!</definedName>
    <definedName name="___l5">#REF!</definedName>
    <definedName name="___l6">[6]r!$F$4</definedName>
    <definedName name="___l7">[7]r!$F$4</definedName>
    <definedName name="___l8">[6]r!$F$2</definedName>
    <definedName name="___l9">[6]r!$F$3</definedName>
    <definedName name="___lcn1">#REF!</definedName>
    <definedName name="___LI9" localSheetId="8">#REF!</definedName>
    <definedName name="___LI9" localSheetId="10">#REF!</definedName>
    <definedName name="___LI9" localSheetId="28">#REF!</definedName>
    <definedName name="___LI9">#REF!</definedName>
    <definedName name="___LII9" localSheetId="8">#REF!</definedName>
    <definedName name="___LII9" localSheetId="10">#REF!</definedName>
    <definedName name="___LII9" localSheetId="28">#REF!</definedName>
    <definedName name="___LII9">#REF!</definedName>
    <definedName name="___LJ6" localSheetId="37">[55]DATA!$H$245</definedName>
    <definedName name="___LJ6">[56]DATA!$H$245</definedName>
    <definedName name="___lj600" localSheetId="28">#REF!</definedName>
    <definedName name="___lj900">#REF!</definedName>
    <definedName name="___LL3">#REF!</definedName>
    <definedName name="___lm1">#REF!</definedName>
    <definedName name="___MA1" localSheetId="28">#REF!</definedName>
    <definedName name="___MA2" localSheetId="28">#REF!</definedName>
    <definedName name="___Met22" localSheetId="28">#REF!</definedName>
    <definedName name="___Met45">#REF!</definedName>
    <definedName name="___MEt55">#REF!</definedName>
    <definedName name="___Met63">#REF!</definedName>
    <definedName name="___MIX124">[36]maya!$A$11:$A$18</definedName>
    <definedName name="___ML11" localSheetId="8">#REF!</definedName>
    <definedName name="___ML11" localSheetId="10">#REF!</definedName>
    <definedName name="___ML11" localSheetId="28">#REF!</definedName>
    <definedName name="___ML11">#REF!</definedName>
    <definedName name="___ML110" localSheetId="8">#REF!</definedName>
    <definedName name="___ML110" localSheetId="10">#REF!</definedName>
    <definedName name="___ML110" localSheetId="28">#REF!</definedName>
    <definedName name="___ML110">#REF!</definedName>
    <definedName name="___ML111" localSheetId="8">#REF!</definedName>
    <definedName name="___ML111" localSheetId="10">#REF!</definedName>
    <definedName name="___ML111" localSheetId="28">#REF!</definedName>
    <definedName name="___ML111">#REF!</definedName>
    <definedName name="___ML112" localSheetId="8">#REF!</definedName>
    <definedName name="___ML112" localSheetId="10">#REF!</definedName>
    <definedName name="___ML112" localSheetId="28">#REF!</definedName>
    <definedName name="___ML112">#REF!</definedName>
    <definedName name="___ML113" localSheetId="8">#REF!</definedName>
    <definedName name="___ML113" localSheetId="10">#REF!</definedName>
    <definedName name="___ML113" localSheetId="28">#REF!</definedName>
    <definedName name="___ML113">#REF!</definedName>
    <definedName name="___ML114" localSheetId="8">#REF!</definedName>
    <definedName name="___ML114" localSheetId="10">#REF!</definedName>
    <definedName name="___ML114" localSheetId="28">#REF!</definedName>
    <definedName name="___ML114">#REF!</definedName>
    <definedName name="___ML115" localSheetId="8">#REF!</definedName>
    <definedName name="___ML115" localSheetId="10">#REF!</definedName>
    <definedName name="___ML115" localSheetId="28">#REF!</definedName>
    <definedName name="___ML115">#REF!</definedName>
    <definedName name="___ML12" localSheetId="8">#REF!</definedName>
    <definedName name="___ML12" localSheetId="10">#REF!</definedName>
    <definedName name="___ML12" localSheetId="28">#REF!</definedName>
    <definedName name="___ML12">#REF!</definedName>
    <definedName name="___ML13" localSheetId="8">#REF!</definedName>
    <definedName name="___ML13" localSheetId="10">#REF!</definedName>
    <definedName name="___ML13" localSheetId="28">#REF!</definedName>
    <definedName name="___ML13">#REF!</definedName>
    <definedName name="___ML14" localSheetId="8">#REF!</definedName>
    <definedName name="___ML14" localSheetId="10">#REF!</definedName>
    <definedName name="___ML14" localSheetId="28">#REF!</definedName>
    <definedName name="___ML14">#REF!</definedName>
    <definedName name="___ML15" localSheetId="8">#REF!</definedName>
    <definedName name="___ML15" localSheetId="10">#REF!</definedName>
    <definedName name="___ML15" localSheetId="28">#REF!</definedName>
    <definedName name="___ML15">#REF!</definedName>
    <definedName name="___ML16" localSheetId="8">#REF!</definedName>
    <definedName name="___ML16" localSheetId="10">#REF!</definedName>
    <definedName name="___ML16" localSheetId="28">#REF!</definedName>
    <definedName name="___ML16">#REF!</definedName>
    <definedName name="___ML17" localSheetId="8">#REF!</definedName>
    <definedName name="___ML17" localSheetId="10">#REF!</definedName>
    <definedName name="___ML17" localSheetId="28">#REF!</definedName>
    <definedName name="___ML17">#REF!</definedName>
    <definedName name="___ML18" localSheetId="8">#REF!</definedName>
    <definedName name="___ML18" localSheetId="10">#REF!</definedName>
    <definedName name="___ML18" localSheetId="28">#REF!</definedName>
    <definedName name="___ML18">#REF!</definedName>
    <definedName name="___ML19" localSheetId="8">#REF!</definedName>
    <definedName name="___ML19" localSheetId="10">#REF!</definedName>
    <definedName name="___ML19" localSheetId="28">#REF!</definedName>
    <definedName name="___ML19">#REF!</definedName>
    <definedName name="___ML21" localSheetId="8">#REF!</definedName>
    <definedName name="___ML21" localSheetId="10">#REF!</definedName>
    <definedName name="___ML21" localSheetId="28">#REF!</definedName>
    <definedName name="___ML21">#REF!</definedName>
    <definedName name="___ML210" localSheetId="8">#REF!</definedName>
    <definedName name="___ML210" localSheetId="10">#REF!</definedName>
    <definedName name="___ML210" localSheetId="28">#REF!</definedName>
    <definedName name="___ML210">#REF!</definedName>
    <definedName name="___ML211" localSheetId="8">#REF!</definedName>
    <definedName name="___ML211" localSheetId="10">#REF!</definedName>
    <definedName name="___ML211" localSheetId="28">#REF!</definedName>
    <definedName name="___ML211">#REF!</definedName>
    <definedName name="___ML212" localSheetId="8">#REF!</definedName>
    <definedName name="___ML212" localSheetId="10">#REF!</definedName>
    <definedName name="___ML212" localSheetId="28">#REF!</definedName>
    <definedName name="___ML212">#REF!</definedName>
    <definedName name="___ML213" localSheetId="8">#REF!</definedName>
    <definedName name="___ML213" localSheetId="10">#REF!</definedName>
    <definedName name="___ML213" localSheetId="28">#REF!</definedName>
    <definedName name="___ML213">#REF!</definedName>
    <definedName name="___ML214" localSheetId="8">#REF!</definedName>
    <definedName name="___ML214" localSheetId="10">#REF!</definedName>
    <definedName name="___ML214" localSheetId="28">#REF!</definedName>
    <definedName name="___ML214">#REF!</definedName>
    <definedName name="___ML215" localSheetId="8">#REF!</definedName>
    <definedName name="___ML215" localSheetId="10">#REF!</definedName>
    <definedName name="___ML215" localSheetId="28">#REF!</definedName>
    <definedName name="___ML215">#REF!</definedName>
    <definedName name="___ML216">#REF!</definedName>
    <definedName name="___ML217">#REF!</definedName>
    <definedName name="___ML218">#REF!</definedName>
    <definedName name="___ML219">#REF!</definedName>
    <definedName name="___ML22" localSheetId="8">#REF!</definedName>
    <definedName name="___ML22" localSheetId="10">#REF!</definedName>
    <definedName name="___ML22" localSheetId="28">#REF!</definedName>
    <definedName name="___ML22">#REF!</definedName>
    <definedName name="___ML220">#REF!</definedName>
    <definedName name="___ML221">#REF!</definedName>
    <definedName name="___ML222">#REF!</definedName>
    <definedName name="___ML223">#REF!</definedName>
    <definedName name="___ML224">#REF!</definedName>
    <definedName name="___ML23" localSheetId="8">#REF!</definedName>
    <definedName name="___ML23" localSheetId="10">#REF!</definedName>
    <definedName name="___ML23" localSheetId="28">#REF!</definedName>
    <definedName name="___ML23">#REF!</definedName>
    <definedName name="___ML24" localSheetId="8">#REF!</definedName>
    <definedName name="___ML24" localSheetId="10">#REF!</definedName>
    <definedName name="___ML24" localSheetId="28">#REF!</definedName>
    <definedName name="___ML24">#REF!</definedName>
    <definedName name="___ML25" localSheetId="8">#REF!</definedName>
    <definedName name="___ML25" localSheetId="10">#REF!</definedName>
    <definedName name="___ML25" localSheetId="28">#REF!</definedName>
    <definedName name="___ML25">#REF!</definedName>
    <definedName name="___ML26" localSheetId="8">#REF!</definedName>
    <definedName name="___ML26" localSheetId="10">#REF!</definedName>
    <definedName name="___ML26" localSheetId="28">#REF!</definedName>
    <definedName name="___ML26">#REF!</definedName>
    <definedName name="___ML27" localSheetId="8">#REF!</definedName>
    <definedName name="___ML27" localSheetId="10">#REF!</definedName>
    <definedName name="___ML27" localSheetId="28">#REF!</definedName>
    <definedName name="___ML27">#REF!</definedName>
    <definedName name="___ML28" localSheetId="8">#REF!</definedName>
    <definedName name="___ML28" localSheetId="10">#REF!</definedName>
    <definedName name="___ML28" localSheetId="28">#REF!</definedName>
    <definedName name="___ML28">#REF!</definedName>
    <definedName name="___ML29" localSheetId="8">#REF!</definedName>
    <definedName name="___ML29" localSheetId="10">#REF!</definedName>
    <definedName name="___ML29" localSheetId="28">#REF!</definedName>
    <definedName name="___ML29">#REF!</definedName>
    <definedName name="___ML31" localSheetId="8">#REF!</definedName>
    <definedName name="___ML31" localSheetId="10">#REF!</definedName>
    <definedName name="___ML31" localSheetId="28">#REF!</definedName>
    <definedName name="___ML31">#REF!</definedName>
    <definedName name="___ML310" localSheetId="8">#REF!</definedName>
    <definedName name="___ML310" localSheetId="10">#REF!</definedName>
    <definedName name="___ML310" localSheetId="28">#REF!</definedName>
    <definedName name="___ML310">#REF!</definedName>
    <definedName name="___ML311" localSheetId="8">#REF!</definedName>
    <definedName name="___ML311" localSheetId="10">#REF!</definedName>
    <definedName name="___ML311" localSheetId="28">#REF!</definedName>
    <definedName name="___ML311">#REF!</definedName>
    <definedName name="___ML312" localSheetId="8">#REF!</definedName>
    <definedName name="___ML312" localSheetId="10">#REF!</definedName>
    <definedName name="___ML312" localSheetId="28">#REF!</definedName>
    <definedName name="___ML312">#REF!</definedName>
    <definedName name="___ML313" localSheetId="8">#REF!</definedName>
    <definedName name="___ML313" localSheetId="10">#REF!</definedName>
    <definedName name="___ML313" localSheetId="28">#REF!</definedName>
    <definedName name="___ML313">#REF!</definedName>
    <definedName name="___ML314" localSheetId="8">#REF!</definedName>
    <definedName name="___ML314" localSheetId="10">#REF!</definedName>
    <definedName name="___ML314" localSheetId="28">#REF!</definedName>
    <definedName name="___ML314">#REF!</definedName>
    <definedName name="___ML315" localSheetId="8">#REF!</definedName>
    <definedName name="___ML315" localSheetId="10">#REF!</definedName>
    <definedName name="___ML315" localSheetId="28">#REF!</definedName>
    <definedName name="___ML315">#REF!</definedName>
    <definedName name="___ML316">#REF!</definedName>
    <definedName name="___ML317">#REF!</definedName>
    <definedName name="___ML318">#REF!</definedName>
    <definedName name="___ML319">#REF!</definedName>
    <definedName name="___ML32" localSheetId="8">#REF!</definedName>
    <definedName name="___ML32" localSheetId="10">#REF!</definedName>
    <definedName name="___ML32" localSheetId="28">#REF!</definedName>
    <definedName name="___ML32">#REF!</definedName>
    <definedName name="___ML320">#REF!</definedName>
    <definedName name="___ML321">#REF!</definedName>
    <definedName name="___ML322">#REF!</definedName>
    <definedName name="___ML323">#REF!</definedName>
    <definedName name="___ML324">#REF!</definedName>
    <definedName name="___ML33" localSheetId="8">#REF!</definedName>
    <definedName name="___ML33" localSheetId="10">#REF!</definedName>
    <definedName name="___ML33" localSheetId="28">#REF!</definedName>
    <definedName name="___ML33">#REF!</definedName>
    <definedName name="___ML34" localSheetId="8">#REF!</definedName>
    <definedName name="___ML34" localSheetId="10">#REF!</definedName>
    <definedName name="___ML34" localSheetId="28">#REF!</definedName>
    <definedName name="___ML34">#REF!</definedName>
    <definedName name="___ML35" localSheetId="8">#REF!</definedName>
    <definedName name="___ML35" localSheetId="10">#REF!</definedName>
    <definedName name="___ML35" localSheetId="28">#REF!</definedName>
    <definedName name="___ML35">#REF!</definedName>
    <definedName name="___ML36" localSheetId="8">#REF!</definedName>
    <definedName name="___ML36" localSheetId="10">#REF!</definedName>
    <definedName name="___ML36" localSheetId="28">#REF!</definedName>
    <definedName name="___ML36">#REF!</definedName>
    <definedName name="___ML37" localSheetId="8">#REF!</definedName>
    <definedName name="___ML37" localSheetId="10">#REF!</definedName>
    <definedName name="___ML37" localSheetId="28">#REF!</definedName>
    <definedName name="___ML37">#REF!</definedName>
    <definedName name="___ML38" localSheetId="8">#REF!</definedName>
    <definedName name="___ML38" localSheetId="10">#REF!</definedName>
    <definedName name="___ML38" localSheetId="28">#REF!</definedName>
    <definedName name="___ML38">#REF!</definedName>
    <definedName name="___ML39" localSheetId="8">#REF!</definedName>
    <definedName name="___ML39" localSheetId="10">#REF!</definedName>
    <definedName name="___ML39" localSheetId="28">#REF!</definedName>
    <definedName name="___ML39">#REF!</definedName>
    <definedName name="___ML7" localSheetId="8">#REF!</definedName>
    <definedName name="___ML7" localSheetId="10">#REF!</definedName>
    <definedName name="___ML7" localSheetId="28">#REF!</definedName>
    <definedName name="___ML7">#REF!</definedName>
    <definedName name="___ML8" localSheetId="8">#REF!</definedName>
    <definedName name="___ML8" localSheetId="10">#REF!</definedName>
    <definedName name="___ML8" localSheetId="28">#REF!</definedName>
    <definedName name="___ML8">#REF!</definedName>
    <definedName name="___ML9" localSheetId="8">#REF!</definedName>
    <definedName name="___ML9" localSheetId="10">#REF!</definedName>
    <definedName name="___ML9" localSheetId="28">#REF!</definedName>
    <definedName name="___ML9">#REF!</definedName>
    <definedName name="___mm1" localSheetId="37">[51]r!$F$4</definedName>
    <definedName name="___mm1">[22]r!$F$4</definedName>
    <definedName name="___mm1000">#REF!</definedName>
    <definedName name="___mm11">[6]r!$F$4</definedName>
    <definedName name="___mm111">[7]r!$F$4</definedName>
    <definedName name="___mm2">[57]r!$F$4</definedName>
    <definedName name="___mm20" localSheetId="8">#REF!</definedName>
    <definedName name="___mm20" localSheetId="10">#REF!</definedName>
    <definedName name="___mm20" localSheetId="37">#REF!</definedName>
    <definedName name="___mm20" localSheetId="28">#REF!</definedName>
    <definedName name="___mm20">#REF!</definedName>
    <definedName name="___mm40" localSheetId="8">#REF!</definedName>
    <definedName name="___mm40" localSheetId="10">#REF!</definedName>
    <definedName name="___mm40" localSheetId="28">#REF!</definedName>
    <definedName name="___mm40">#REF!</definedName>
    <definedName name="___mm600">#REF!</definedName>
    <definedName name="___mm800">#REF!</definedName>
    <definedName name="___o3" localSheetId="28">#REF!</definedName>
    <definedName name="___pc02">#REF!</definedName>
    <definedName name="___PC1" localSheetId="28">#REF!</definedName>
    <definedName name="___PC10">#REF!</definedName>
    <definedName name="___PC11">#REF!</definedName>
    <definedName name="___PC12">#REF!</definedName>
    <definedName name="___PC13">#REF!</definedName>
    <definedName name="___PC14">#REF!</definedName>
    <definedName name="___PC15">#REF!</definedName>
    <definedName name="___PC16">#REF!</definedName>
    <definedName name="___PC17">#REF!</definedName>
    <definedName name="___PC18">#REF!</definedName>
    <definedName name="___PC19">#REF!</definedName>
    <definedName name="___pc2" localSheetId="33">#REF!</definedName>
    <definedName name="___pc2" localSheetId="34">#REF!</definedName>
    <definedName name="___pc2" localSheetId="35">#REF!</definedName>
    <definedName name="___pc2" localSheetId="5">#REF!</definedName>
    <definedName name="___pc2" localSheetId="8">#REF!</definedName>
    <definedName name="___pc2" localSheetId="10">#REF!</definedName>
    <definedName name="___pc2" localSheetId="11">#REF!</definedName>
    <definedName name="___pc2" localSheetId="37">#REF!</definedName>
    <definedName name="___pc2" localSheetId="28">#REF!</definedName>
    <definedName name="___pc2" localSheetId="42">#REF!</definedName>
    <definedName name="___pc2" localSheetId="31">#REF!</definedName>
    <definedName name="___pc2">#REF!</definedName>
    <definedName name="___pc2_33">"$#REF!.$#REF!$#REF!"</definedName>
    <definedName name="___pc2_38">"$#REF!.$#REF!$#REF!"</definedName>
    <definedName name="___pc2_41">"$#REF!.$#REF!$#REF!"</definedName>
    <definedName name="___pc2_7">"$#REF!.$#REF!$#REF!"</definedName>
    <definedName name="___pc2_8">"$#REF!.$#REF!$#REF!"</definedName>
    <definedName name="___PC20">#REF!</definedName>
    <definedName name="___PC21">#REF!</definedName>
    <definedName name="___PC22">#REF!</definedName>
    <definedName name="___PC23">#REF!</definedName>
    <definedName name="___PC24">#REF!</definedName>
    <definedName name="___PC3">#REF!</definedName>
    <definedName name="___PC4">#REF!</definedName>
    <definedName name="___PC5">#REF!</definedName>
    <definedName name="___PC6">#REF!</definedName>
    <definedName name="___pc600">#REF!</definedName>
    <definedName name="___PC7">#REF!</definedName>
    <definedName name="___PC8">#REF!</definedName>
    <definedName name="___PC9">#REF!</definedName>
    <definedName name="___pc900">#REF!</definedName>
    <definedName name="___PMS2" localSheetId="8">#REF!</definedName>
    <definedName name="___PMS2" localSheetId="10">#REF!</definedName>
    <definedName name="___PMS2" localSheetId="28">#REF!</definedName>
    <definedName name="___PMS2">#REF!</definedName>
    <definedName name="___psc10006" localSheetId="8">#REF!</definedName>
    <definedName name="___psc10006" localSheetId="10">#REF!</definedName>
    <definedName name="___psc10006" localSheetId="11">#REF!</definedName>
    <definedName name="___psc10006" localSheetId="28">#REF!</definedName>
    <definedName name="___psc10006">#REF!</definedName>
    <definedName name="___psc10008" localSheetId="8">#REF!</definedName>
    <definedName name="___psc10008" localSheetId="10">#REF!</definedName>
    <definedName name="___psc10008" localSheetId="11">#REF!</definedName>
    <definedName name="___psc10008" localSheetId="28">#REF!</definedName>
    <definedName name="___psc10008">#REF!</definedName>
    <definedName name="___psc3506" localSheetId="8">#REF!</definedName>
    <definedName name="___psc3506" localSheetId="10">#REF!</definedName>
    <definedName name="___psc3506" localSheetId="11">#REF!</definedName>
    <definedName name="___psc3506" localSheetId="28">#REF!</definedName>
    <definedName name="___psc3506">#REF!</definedName>
    <definedName name="___psc3508" localSheetId="8">#REF!</definedName>
    <definedName name="___psc3508" localSheetId="10">#REF!</definedName>
    <definedName name="___psc3508" localSheetId="11">#REF!</definedName>
    <definedName name="___psc3508" localSheetId="28">#REF!</definedName>
    <definedName name="___psc3508">#REF!</definedName>
    <definedName name="___psc4006" localSheetId="8">#REF!</definedName>
    <definedName name="___psc4006" localSheetId="10">#REF!</definedName>
    <definedName name="___psc4006" localSheetId="11">#REF!</definedName>
    <definedName name="___psc4006" localSheetId="28">#REF!</definedName>
    <definedName name="___psc4006">#REF!</definedName>
    <definedName name="___psc4008" localSheetId="8">#REF!</definedName>
    <definedName name="___psc4008" localSheetId="10">#REF!</definedName>
    <definedName name="___psc4008" localSheetId="11">#REF!</definedName>
    <definedName name="___psc4008" localSheetId="28">#REF!</definedName>
    <definedName name="___psc4008">#REF!</definedName>
    <definedName name="___psc4506" localSheetId="8">#REF!</definedName>
    <definedName name="___psc4506" localSheetId="10">#REF!</definedName>
    <definedName name="___psc4506" localSheetId="11">#REF!</definedName>
    <definedName name="___psc4506" localSheetId="28">#REF!</definedName>
    <definedName name="___psc4506">#REF!</definedName>
    <definedName name="___psc4508" localSheetId="8">#REF!</definedName>
    <definedName name="___psc4508" localSheetId="10">#REF!</definedName>
    <definedName name="___psc4508" localSheetId="11">#REF!</definedName>
    <definedName name="___psc4508" localSheetId="28">#REF!</definedName>
    <definedName name="___psc4508">#REF!</definedName>
    <definedName name="___psc5006" localSheetId="8">#REF!</definedName>
    <definedName name="___psc5006" localSheetId="10">#REF!</definedName>
    <definedName name="___psc5006" localSheetId="11">#REF!</definedName>
    <definedName name="___psc5006" localSheetId="28">#REF!</definedName>
    <definedName name="___psc5006">#REF!</definedName>
    <definedName name="___psc5008" localSheetId="8">#REF!</definedName>
    <definedName name="___psc5008" localSheetId="10">#REF!</definedName>
    <definedName name="___psc5008" localSheetId="11">#REF!</definedName>
    <definedName name="___psc5008" localSheetId="28">#REF!</definedName>
    <definedName name="___psc5008">#REF!</definedName>
    <definedName name="___psc6006" localSheetId="8">#REF!</definedName>
    <definedName name="___psc6006" localSheetId="10">#REF!</definedName>
    <definedName name="___psc6006" localSheetId="11">#REF!</definedName>
    <definedName name="___psc6006" localSheetId="28">#REF!</definedName>
    <definedName name="___psc6006">#REF!</definedName>
    <definedName name="___psc6008" localSheetId="8">#REF!</definedName>
    <definedName name="___psc6008" localSheetId="10">#REF!</definedName>
    <definedName name="___psc6008" localSheetId="11">#REF!</definedName>
    <definedName name="___psc6008" localSheetId="28">#REF!</definedName>
    <definedName name="___psc6008">#REF!</definedName>
    <definedName name="___psc7006" localSheetId="8">#REF!</definedName>
    <definedName name="___psc7006" localSheetId="10">#REF!</definedName>
    <definedName name="___psc7006" localSheetId="11">#REF!</definedName>
    <definedName name="___psc7006" localSheetId="28">#REF!</definedName>
    <definedName name="___psc7006">#REF!</definedName>
    <definedName name="___psc7008" localSheetId="8">#REF!</definedName>
    <definedName name="___psc7008" localSheetId="10">#REF!</definedName>
    <definedName name="___psc7008" localSheetId="11">#REF!</definedName>
    <definedName name="___psc7008" localSheetId="28">#REF!</definedName>
    <definedName name="___psc7008">#REF!</definedName>
    <definedName name="___psc8006" localSheetId="8">#REF!</definedName>
    <definedName name="___psc8006" localSheetId="10">#REF!</definedName>
    <definedName name="___psc8006" localSheetId="11">#REF!</definedName>
    <definedName name="___psc8006" localSheetId="28">#REF!</definedName>
    <definedName name="___psc8006">#REF!</definedName>
    <definedName name="___psc8008" localSheetId="8">#REF!</definedName>
    <definedName name="___psc8008" localSheetId="10">#REF!</definedName>
    <definedName name="___psc8008" localSheetId="11">#REF!</definedName>
    <definedName name="___psc8008" localSheetId="28">#REF!</definedName>
    <definedName name="___psc8008">#REF!</definedName>
    <definedName name="___psc9006" localSheetId="8">#REF!</definedName>
    <definedName name="___psc9006" localSheetId="10">#REF!</definedName>
    <definedName name="___psc9006" localSheetId="11">#REF!</definedName>
    <definedName name="___psc9006" localSheetId="28">#REF!</definedName>
    <definedName name="___psc9006">#REF!</definedName>
    <definedName name="___psc9008" localSheetId="8">#REF!</definedName>
    <definedName name="___psc9008" localSheetId="10">#REF!</definedName>
    <definedName name="___psc9008" localSheetId="11">#REF!</definedName>
    <definedName name="___psc9008" localSheetId="28">#REF!</definedName>
    <definedName name="___psc9008">#REF!</definedName>
    <definedName name="___pv1" localSheetId="8">#REF!</definedName>
    <definedName name="___pv1" localSheetId="10">#REF!</definedName>
    <definedName name="___pv1" localSheetId="28">#REF!</definedName>
    <definedName name="___pv1">#REF!</definedName>
    <definedName name="___pv2" localSheetId="33">#REF!</definedName>
    <definedName name="___pv2" localSheetId="34">#REF!</definedName>
    <definedName name="___pv2" localSheetId="35">#REF!</definedName>
    <definedName name="___pv2" localSheetId="5">#REF!</definedName>
    <definedName name="___pv2" localSheetId="8">#REF!</definedName>
    <definedName name="___pv2" localSheetId="10">#REF!</definedName>
    <definedName name="___pv2" localSheetId="11">#REF!</definedName>
    <definedName name="___pv2" localSheetId="37">#REF!</definedName>
    <definedName name="___pv2" localSheetId="28">#REF!</definedName>
    <definedName name="___pv2" localSheetId="42">#REF!</definedName>
    <definedName name="___pv2" localSheetId="31">#REF!</definedName>
    <definedName name="___pv2">#REF!</definedName>
    <definedName name="___pv2_33">"$#REF!.$#REF!$#REF!"</definedName>
    <definedName name="___pv2_38">"$#REF!.$#REF!$#REF!"</definedName>
    <definedName name="___pv2_41">"$#REF!.$#REF!$#REF!"</definedName>
    <definedName name="___pv2_7">"$#REF!.$#REF!$#REF!"</definedName>
    <definedName name="___pv2_8">"$#REF!.$#REF!$#REF!"</definedName>
    <definedName name="___rr3" localSheetId="37">[52]v!$A$2:$E$51</definedName>
    <definedName name="___rr3">[23]v!$A$2:$E$51</definedName>
    <definedName name="___rrr1" localSheetId="37">[52]r!$B$1:$I$145</definedName>
    <definedName name="___rrr1">[23]r!$B$1:$I$145</definedName>
    <definedName name="___SO016" localSheetId="8">#REF!</definedName>
    <definedName name="___SO016" localSheetId="10">#REF!</definedName>
    <definedName name="___SO016" localSheetId="11">#REF!</definedName>
    <definedName name="___SO016" localSheetId="28">#REF!</definedName>
    <definedName name="___SO016">#REF!</definedName>
    <definedName name="___SP001" localSheetId="8">#REF!</definedName>
    <definedName name="___SP001" localSheetId="10">#REF!</definedName>
    <definedName name="___SP001" localSheetId="11">#REF!</definedName>
    <definedName name="___SP001" localSheetId="28">#REF!</definedName>
    <definedName name="___SP001">#REF!</definedName>
    <definedName name="___SP002" localSheetId="8">#REF!</definedName>
    <definedName name="___SP002" localSheetId="10">#REF!</definedName>
    <definedName name="___SP002" localSheetId="11">#REF!</definedName>
    <definedName name="___SP002" localSheetId="28">#REF!</definedName>
    <definedName name="___SP002">#REF!</definedName>
    <definedName name="___SP003" localSheetId="8">#REF!</definedName>
    <definedName name="___SP003" localSheetId="10">#REF!</definedName>
    <definedName name="___SP003" localSheetId="11">#REF!</definedName>
    <definedName name="___SP003" localSheetId="28">#REF!</definedName>
    <definedName name="___SP003">#REF!</definedName>
    <definedName name="___SP004" localSheetId="8">#REF!</definedName>
    <definedName name="___SP004" localSheetId="10">#REF!</definedName>
    <definedName name="___SP004" localSheetId="11">#REF!</definedName>
    <definedName name="___SP004" localSheetId="28">#REF!</definedName>
    <definedName name="___SP004">#REF!</definedName>
    <definedName name="___SP005" localSheetId="8">#REF!</definedName>
    <definedName name="___SP005" localSheetId="10">#REF!</definedName>
    <definedName name="___SP005" localSheetId="11">#REF!</definedName>
    <definedName name="___SP005" localSheetId="28">#REF!</definedName>
    <definedName name="___SP005">#REF!</definedName>
    <definedName name="___SP006" localSheetId="8">#REF!</definedName>
    <definedName name="___SP006" localSheetId="10">#REF!</definedName>
    <definedName name="___SP006" localSheetId="11">#REF!</definedName>
    <definedName name="___SP006" localSheetId="28">#REF!</definedName>
    <definedName name="___SP006">#REF!</definedName>
    <definedName name="___SP007" localSheetId="8">#REF!</definedName>
    <definedName name="___SP007" localSheetId="10">#REF!</definedName>
    <definedName name="___SP007" localSheetId="11">#REF!</definedName>
    <definedName name="___SP007" localSheetId="28">#REF!</definedName>
    <definedName name="___SP007">#REF!</definedName>
    <definedName name="___SP008" localSheetId="8">#REF!</definedName>
    <definedName name="___SP008" localSheetId="10">#REF!</definedName>
    <definedName name="___SP008" localSheetId="11">#REF!</definedName>
    <definedName name="___SP008" localSheetId="28">#REF!</definedName>
    <definedName name="___SP008">#REF!</definedName>
    <definedName name="___SP009" localSheetId="8">#REF!</definedName>
    <definedName name="___SP009" localSheetId="10">#REF!</definedName>
    <definedName name="___SP009" localSheetId="11">#REF!</definedName>
    <definedName name="___SP009" localSheetId="28">#REF!</definedName>
    <definedName name="___SP009">#REF!</definedName>
    <definedName name="___SP010" localSheetId="8">#REF!</definedName>
    <definedName name="___SP010" localSheetId="10">#REF!</definedName>
    <definedName name="___SP010" localSheetId="11">#REF!</definedName>
    <definedName name="___SP010" localSheetId="28">#REF!</definedName>
    <definedName name="___SP010">#REF!</definedName>
    <definedName name="___SP011" localSheetId="8">#REF!</definedName>
    <definedName name="___SP011" localSheetId="10">#REF!</definedName>
    <definedName name="___SP011" localSheetId="11">#REF!</definedName>
    <definedName name="___SP011" localSheetId="28">#REF!</definedName>
    <definedName name="___SP011">#REF!</definedName>
    <definedName name="___SP012" localSheetId="8">#REF!</definedName>
    <definedName name="___SP012" localSheetId="10">#REF!</definedName>
    <definedName name="___SP012" localSheetId="11">#REF!</definedName>
    <definedName name="___SP012" localSheetId="28">#REF!</definedName>
    <definedName name="___SP012">#REF!</definedName>
    <definedName name="___SP013" localSheetId="8">#REF!</definedName>
    <definedName name="___SP013" localSheetId="10">#REF!</definedName>
    <definedName name="___SP013" localSheetId="11">#REF!</definedName>
    <definedName name="___SP013" localSheetId="28">#REF!</definedName>
    <definedName name="___SP013">#REF!</definedName>
    <definedName name="___SP014" localSheetId="8">#REF!</definedName>
    <definedName name="___SP014" localSheetId="10">#REF!</definedName>
    <definedName name="___SP014" localSheetId="11">#REF!</definedName>
    <definedName name="___SP014" localSheetId="28">#REF!</definedName>
    <definedName name="___SP014">#REF!</definedName>
    <definedName name="___SP015" localSheetId="8">#REF!</definedName>
    <definedName name="___SP015" localSheetId="10">#REF!</definedName>
    <definedName name="___SP015" localSheetId="11">#REF!</definedName>
    <definedName name="___SP015" localSheetId="28">#REF!</definedName>
    <definedName name="___SP015">#REF!</definedName>
    <definedName name="___SP016" localSheetId="8">#REF!</definedName>
    <definedName name="___SP016" localSheetId="10">#REF!</definedName>
    <definedName name="___SP016" localSheetId="11">#REF!</definedName>
    <definedName name="___SP016" localSheetId="28">#REF!</definedName>
    <definedName name="___SP016">#REF!</definedName>
    <definedName name="___SP017" localSheetId="8">#REF!</definedName>
    <definedName name="___SP017" localSheetId="10">#REF!</definedName>
    <definedName name="___SP017" localSheetId="11">#REF!</definedName>
    <definedName name="___SP017" localSheetId="28">#REF!</definedName>
    <definedName name="___SP017">#REF!</definedName>
    <definedName name="___SP018" localSheetId="8">#REF!</definedName>
    <definedName name="___SP018" localSheetId="10">#REF!</definedName>
    <definedName name="___SP018" localSheetId="11">#REF!</definedName>
    <definedName name="___SP018" localSheetId="28">#REF!</definedName>
    <definedName name="___SP018">#REF!</definedName>
    <definedName name="___SP019" localSheetId="8">#REF!</definedName>
    <definedName name="___SP019" localSheetId="10">#REF!</definedName>
    <definedName name="___SP019" localSheetId="11">#REF!</definedName>
    <definedName name="___SP019" localSheetId="28">#REF!</definedName>
    <definedName name="___SP019">#REF!</definedName>
    <definedName name="___SP020" localSheetId="8">#REF!</definedName>
    <definedName name="___SP020" localSheetId="10">#REF!</definedName>
    <definedName name="___SP020" localSheetId="11">#REF!</definedName>
    <definedName name="___SP020" localSheetId="28">#REF!</definedName>
    <definedName name="___SP020">#REF!</definedName>
    <definedName name="___SP021" localSheetId="8">#REF!</definedName>
    <definedName name="___SP021" localSheetId="10">#REF!</definedName>
    <definedName name="___SP021" localSheetId="11">#REF!</definedName>
    <definedName name="___SP021" localSheetId="28">#REF!</definedName>
    <definedName name="___SP021">#REF!</definedName>
    <definedName name="___SP022" localSheetId="8">#REF!</definedName>
    <definedName name="___SP022" localSheetId="10">#REF!</definedName>
    <definedName name="___SP022" localSheetId="11">#REF!</definedName>
    <definedName name="___SP022" localSheetId="28">#REF!</definedName>
    <definedName name="___SP022">#REF!</definedName>
    <definedName name="___SP023" localSheetId="8">#REF!</definedName>
    <definedName name="___SP023" localSheetId="10">#REF!</definedName>
    <definedName name="___SP023" localSheetId="11">#REF!</definedName>
    <definedName name="___SP023" localSheetId="28">#REF!</definedName>
    <definedName name="___SP023">#REF!</definedName>
    <definedName name="___SP024" localSheetId="8">#REF!</definedName>
    <definedName name="___SP024" localSheetId="10">#REF!</definedName>
    <definedName name="___SP024" localSheetId="11">#REF!</definedName>
    <definedName name="___SP024" localSheetId="28">#REF!</definedName>
    <definedName name="___SP024">#REF!</definedName>
    <definedName name="___SP025" localSheetId="8">#REF!</definedName>
    <definedName name="___SP025" localSheetId="10">#REF!</definedName>
    <definedName name="___SP025" localSheetId="11">#REF!</definedName>
    <definedName name="___SP025" localSheetId="28">#REF!</definedName>
    <definedName name="___SP025">#REF!</definedName>
    <definedName name="___SP026" localSheetId="8">#REF!</definedName>
    <definedName name="___SP026" localSheetId="10">#REF!</definedName>
    <definedName name="___SP026" localSheetId="11">#REF!</definedName>
    <definedName name="___SP026" localSheetId="28">#REF!</definedName>
    <definedName name="___SP026">#REF!</definedName>
    <definedName name="___SP027" localSheetId="8">#REF!</definedName>
    <definedName name="___SP027" localSheetId="10">#REF!</definedName>
    <definedName name="___SP027" localSheetId="11">#REF!</definedName>
    <definedName name="___SP027" localSheetId="28">#REF!</definedName>
    <definedName name="___SP027">#REF!</definedName>
    <definedName name="___SP028" localSheetId="8">#REF!</definedName>
    <definedName name="___SP028" localSheetId="10">#REF!</definedName>
    <definedName name="___SP028" localSheetId="11">#REF!</definedName>
    <definedName name="___SP028" localSheetId="28">#REF!</definedName>
    <definedName name="___SP028">#REF!</definedName>
    <definedName name="___SP029" localSheetId="8">#REF!</definedName>
    <definedName name="___SP029" localSheetId="10">#REF!</definedName>
    <definedName name="___SP029" localSheetId="11">#REF!</definedName>
    <definedName name="___SP029" localSheetId="28">#REF!</definedName>
    <definedName name="___SP029">#REF!</definedName>
    <definedName name="___SP030" localSheetId="8">#REF!</definedName>
    <definedName name="___SP030" localSheetId="10">#REF!</definedName>
    <definedName name="___SP030" localSheetId="11">#REF!</definedName>
    <definedName name="___SP030" localSheetId="28">#REF!</definedName>
    <definedName name="___SP030">#REF!</definedName>
    <definedName name="___SP031" localSheetId="8">#REF!</definedName>
    <definedName name="___SP031" localSheetId="10">#REF!</definedName>
    <definedName name="___SP031" localSheetId="11">#REF!</definedName>
    <definedName name="___SP031" localSheetId="28">#REF!</definedName>
    <definedName name="___SP031">#REF!</definedName>
    <definedName name="___SP032" localSheetId="8">#REF!</definedName>
    <definedName name="___SP032" localSheetId="10">#REF!</definedName>
    <definedName name="___SP032" localSheetId="11">#REF!</definedName>
    <definedName name="___SP032" localSheetId="28">#REF!</definedName>
    <definedName name="___SP032">#REF!</definedName>
    <definedName name="___SP033" localSheetId="8">#REF!</definedName>
    <definedName name="___SP033" localSheetId="10">#REF!</definedName>
    <definedName name="___SP033" localSheetId="11">#REF!</definedName>
    <definedName name="___SP033" localSheetId="28">#REF!</definedName>
    <definedName name="___SP033">#REF!</definedName>
    <definedName name="___SP034" localSheetId="8">#REF!</definedName>
    <definedName name="___SP034" localSheetId="10">#REF!</definedName>
    <definedName name="___SP034" localSheetId="11">#REF!</definedName>
    <definedName name="___SP034" localSheetId="28">#REF!</definedName>
    <definedName name="___SP034">#REF!</definedName>
    <definedName name="___SP035" localSheetId="8">#REF!</definedName>
    <definedName name="___SP035" localSheetId="10">#REF!</definedName>
    <definedName name="___SP035" localSheetId="11">#REF!</definedName>
    <definedName name="___SP035" localSheetId="28">#REF!</definedName>
    <definedName name="___SP035">#REF!</definedName>
    <definedName name="___SP036" localSheetId="8">#REF!</definedName>
    <definedName name="___SP036" localSheetId="10">#REF!</definedName>
    <definedName name="___SP036" localSheetId="11">#REF!</definedName>
    <definedName name="___SP036" localSheetId="28">#REF!</definedName>
    <definedName name="___SP036">#REF!</definedName>
    <definedName name="___SP037" localSheetId="8">#REF!</definedName>
    <definedName name="___SP037" localSheetId="10">#REF!</definedName>
    <definedName name="___SP037" localSheetId="11">#REF!</definedName>
    <definedName name="___SP037" localSheetId="28">#REF!</definedName>
    <definedName name="___SP037">#REF!</definedName>
    <definedName name="___SP038" localSheetId="8">#REF!</definedName>
    <definedName name="___SP038" localSheetId="10">#REF!</definedName>
    <definedName name="___SP038" localSheetId="11">#REF!</definedName>
    <definedName name="___SP038" localSheetId="28">#REF!</definedName>
    <definedName name="___SP038">#REF!</definedName>
    <definedName name="___SP039" localSheetId="8">#REF!</definedName>
    <definedName name="___SP039" localSheetId="10">#REF!</definedName>
    <definedName name="___SP039" localSheetId="11">#REF!</definedName>
    <definedName name="___SP039" localSheetId="28">#REF!</definedName>
    <definedName name="___SP039">#REF!</definedName>
    <definedName name="___SP040" localSheetId="8">#REF!</definedName>
    <definedName name="___SP040" localSheetId="10">#REF!</definedName>
    <definedName name="___SP040" localSheetId="11">#REF!</definedName>
    <definedName name="___SP040" localSheetId="28">#REF!</definedName>
    <definedName name="___SP040">#REF!</definedName>
    <definedName name="___SP041" localSheetId="8">#REF!</definedName>
    <definedName name="___SP041" localSheetId="10">#REF!</definedName>
    <definedName name="___SP041" localSheetId="11">#REF!</definedName>
    <definedName name="___SP041" localSheetId="28">#REF!</definedName>
    <definedName name="___SP041">#REF!</definedName>
    <definedName name="___SP042" localSheetId="8">#REF!</definedName>
    <definedName name="___SP042" localSheetId="10">#REF!</definedName>
    <definedName name="___SP042" localSheetId="11">#REF!</definedName>
    <definedName name="___SP042" localSheetId="28">#REF!</definedName>
    <definedName name="___SP042">#REF!</definedName>
    <definedName name="___SP043" localSheetId="8">#REF!</definedName>
    <definedName name="___SP043" localSheetId="10">#REF!</definedName>
    <definedName name="___SP043" localSheetId="11">#REF!</definedName>
    <definedName name="___SP043" localSheetId="28">#REF!</definedName>
    <definedName name="___SP043">#REF!</definedName>
    <definedName name="___SP044" localSheetId="8">#REF!</definedName>
    <definedName name="___SP044" localSheetId="10">#REF!</definedName>
    <definedName name="___SP044" localSheetId="11">#REF!</definedName>
    <definedName name="___SP044" localSheetId="28">#REF!</definedName>
    <definedName name="___SP044">#REF!</definedName>
    <definedName name="___SP045" localSheetId="8">#REF!</definedName>
    <definedName name="___SP045" localSheetId="10">#REF!</definedName>
    <definedName name="___SP045" localSheetId="11">#REF!</definedName>
    <definedName name="___SP045" localSheetId="28">#REF!</definedName>
    <definedName name="___SP045">#REF!</definedName>
    <definedName name="___SP046" localSheetId="8">#REF!</definedName>
    <definedName name="___SP046" localSheetId="10">#REF!</definedName>
    <definedName name="___SP046" localSheetId="11">#REF!</definedName>
    <definedName name="___SP046" localSheetId="28">#REF!</definedName>
    <definedName name="___SP046">#REF!</definedName>
    <definedName name="___SP047" localSheetId="8">#REF!</definedName>
    <definedName name="___SP047" localSheetId="10">#REF!</definedName>
    <definedName name="___SP047" localSheetId="11">#REF!</definedName>
    <definedName name="___SP047" localSheetId="28">#REF!</definedName>
    <definedName name="___SP047">#REF!</definedName>
    <definedName name="___SP048" localSheetId="8">#REF!</definedName>
    <definedName name="___SP048" localSheetId="10">#REF!</definedName>
    <definedName name="___SP048" localSheetId="11">#REF!</definedName>
    <definedName name="___SP048" localSheetId="28">#REF!</definedName>
    <definedName name="___SP048">#REF!</definedName>
    <definedName name="___SP049" localSheetId="8">#REF!</definedName>
    <definedName name="___SP049" localSheetId="10">#REF!</definedName>
    <definedName name="___SP049" localSheetId="11">#REF!</definedName>
    <definedName name="___SP049" localSheetId="28">#REF!</definedName>
    <definedName name="___SP049">#REF!</definedName>
    <definedName name="___SP050" localSheetId="8">#REF!</definedName>
    <definedName name="___SP050" localSheetId="10">#REF!</definedName>
    <definedName name="___SP050" localSheetId="11">#REF!</definedName>
    <definedName name="___SP050" localSheetId="28">#REF!</definedName>
    <definedName name="___SP050">#REF!</definedName>
    <definedName name="___SP051" localSheetId="8">#REF!</definedName>
    <definedName name="___SP051" localSheetId="10">#REF!</definedName>
    <definedName name="___SP051" localSheetId="11">#REF!</definedName>
    <definedName name="___SP051" localSheetId="28">#REF!</definedName>
    <definedName name="___SP051">#REF!</definedName>
    <definedName name="___SP052" localSheetId="8">#REF!</definedName>
    <definedName name="___SP052" localSheetId="10">#REF!</definedName>
    <definedName name="___SP052" localSheetId="11">#REF!</definedName>
    <definedName name="___SP052" localSheetId="28">#REF!</definedName>
    <definedName name="___SP052">#REF!</definedName>
    <definedName name="___SP053" localSheetId="8">#REF!</definedName>
    <definedName name="___SP053" localSheetId="10">#REF!</definedName>
    <definedName name="___SP053" localSheetId="11">#REF!</definedName>
    <definedName name="___SP053" localSheetId="28">#REF!</definedName>
    <definedName name="___SP053">#REF!</definedName>
    <definedName name="___SP054" localSheetId="8">#REF!</definedName>
    <definedName name="___SP054" localSheetId="10">#REF!</definedName>
    <definedName name="___SP054" localSheetId="11">#REF!</definedName>
    <definedName name="___SP054" localSheetId="28">#REF!</definedName>
    <definedName name="___SP054">#REF!</definedName>
    <definedName name="___SP055" localSheetId="8">#REF!</definedName>
    <definedName name="___SP055" localSheetId="10">#REF!</definedName>
    <definedName name="___SP055" localSheetId="11">#REF!</definedName>
    <definedName name="___SP055" localSheetId="28">#REF!</definedName>
    <definedName name="___SP055">#REF!</definedName>
    <definedName name="___SP056" localSheetId="8">#REF!</definedName>
    <definedName name="___SP056" localSheetId="10">#REF!</definedName>
    <definedName name="___SP056" localSheetId="11">#REF!</definedName>
    <definedName name="___SP056" localSheetId="28">#REF!</definedName>
    <definedName name="___SP056">#REF!</definedName>
    <definedName name="___SP057" localSheetId="8">#REF!</definedName>
    <definedName name="___SP057" localSheetId="10">#REF!</definedName>
    <definedName name="___SP057" localSheetId="11">#REF!</definedName>
    <definedName name="___SP057" localSheetId="28">#REF!</definedName>
    <definedName name="___SP057">#REF!</definedName>
    <definedName name="___SP058" localSheetId="8">#REF!</definedName>
    <definedName name="___SP058" localSheetId="10">#REF!</definedName>
    <definedName name="___SP058" localSheetId="11">#REF!</definedName>
    <definedName name="___SP058" localSheetId="28">#REF!</definedName>
    <definedName name="___SP058">#REF!</definedName>
    <definedName name="___SP059" localSheetId="8">#REF!</definedName>
    <definedName name="___SP059" localSheetId="10">#REF!</definedName>
    <definedName name="___SP059" localSheetId="11">#REF!</definedName>
    <definedName name="___SP059" localSheetId="28">#REF!</definedName>
    <definedName name="___SP059">#REF!</definedName>
    <definedName name="___SP060" localSheetId="8">#REF!</definedName>
    <definedName name="___SP060" localSheetId="10">#REF!</definedName>
    <definedName name="___SP060" localSheetId="11">#REF!</definedName>
    <definedName name="___SP060" localSheetId="28">#REF!</definedName>
    <definedName name="___SP060">#REF!</definedName>
    <definedName name="___SP061" localSheetId="8">#REF!</definedName>
    <definedName name="___SP061" localSheetId="10">#REF!</definedName>
    <definedName name="___SP061" localSheetId="11">#REF!</definedName>
    <definedName name="___SP061" localSheetId="28">#REF!</definedName>
    <definedName name="___SP061">#REF!</definedName>
    <definedName name="___SP062" localSheetId="8">#REF!</definedName>
    <definedName name="___SP062" localSheetId="10">#REF!</definedName>
    <definedName name="___SP062" localSheetId="11">#REF!</definedName>
    <definedName name="___SP062" localSheetId="28">#REF!</definedName>
    <definedName name="___SP062">#REF!</definedName>
    <definedName name="___SP063" localSheetId="8">#REF!</definedName>
    <definedName name="___SP063" localSheetId="10">#REF!</definedName>
    <definedName name="___SP063" localSheetId="11">#REF!</definedName>
    <definedName name="___SP063" localSheetId="28">#REF!</definedName>
    <definedName name="___SP063">#REF!</definedName>
    <definedName name="___SP064" localSheetId="8">#REF!</definedName>
    <definedName name="___SP064" localSheetId="10">#REF!</definedName>
    <definedName name="___SP064" localSheetId="11">#REF!</definedName>
    <definedName name="___SP064" localSheetId="28">#REF!</definedName>
    <definedName name="___SP064">#REF!</definedName>
    <definedName name="___SP065" localSheetId="8">#REF!</definedName>
    <definedName name="___SP065" localSheetId="10">#REF!</definedName>
    <definedName name="___SP065" localSheetId="11">#REF!</definedName>
    <definedName name="___SP065" localSheetId="28">#REF!</definedName>
    <definedName name="___SP065">#REF!</definedName>
    <definedName name="___SP066" localSheetId="8">#REF!</definedName>
    <definedName name="___SP066" localSheetId="10">#REF!</definedName>
    <definedName name="___SP066" localSheetId="11">#REF!</definedName>
    <definedName name="___SP066" localSheetId="28">#REF!</definedName>
    <definedName name="___SP066">#REF!</definedName>
    <definedName name="___SP067" localSheetId="8">#REF!</definedName>
    <definedName name="___SP067" localSheetId="10">#REF!</definedName>
    <definedName name="___SP067" localSheetId="11">#REF!</definedName>
    <definedName name="___SP067" localSheetId="28">#REF!</definedName>
    <definedName name="___SP067">#REF!</definedName>
    <definedName name="___SP068" localSheetId="8">#REF!</definedName>
    <definedName name="___SP068" localSheetId="10">#REF!</definedName>
    <definedName name="___SP068" localSheetId="11">#REF!</definedName>
    <definedName name="___SP068" localSheetId="28">#REF!</definedName>
    <definedName name="___SP068">#REF!</definedName>
    <definedName name="___SP069" localSheetId="8">#REF!</definedName>
    <definedName name="___SP069" localSheetId="10">#REF!</definedName>
    <definedName name="___SP069" localSheetId="11">#REF!</definedName>
    <definedName name="___SP069" localSheetId="28">#REF!</definedName>
    <definedName name="___SP069">#REF!</definedName>
    <definedName name="___SP070" localSheetId="8">#REF!</definedName>
    <definedName name="___SP070" localSheetId="10">#REF!</definedName>
    <definedName name="___SP070" localSheetId="11">#REF!</definedName>
    <definedName name="___SP070" localSheetId="28">#REF!</definedName>
    <definedName name="___SP070">#REF!</definedName>
    <definedName name="___sp071" localSheetId="8">#REF!</definedName>
    <definedName name="___sp071" localSheetId="10">#REF!</definedName>
    <definedName name="___sp071" localSheetId="11">#REF!</definedName>
    <definedName name="___sp071" localSheetId="28">#REF!</definedName>
    <definedName name="___sp071">#REF!</definedName>
    <definedName name="___SP072" localSheetId="8">#REF!</definedName>
    <definedName name="___SP072" localSheetId="10">#REF!</definedName>
    <definedName name="___SP072" localSheetId="11">#REF!</definedName>
    <definedName name="___SP072" localSheetId="28">#REF!</definedName>
    <definedName name="___SP072">#REF!</definedName>
    <definedName name="___SP073" localSheetId="8">#REF!</definedName>
    <definedName name="___SP073" localSheetId="10">#REF!</definedName>
    <definedName name="___SP073" localSheetId="11">#REF!</definedName>
    <definedName name="___SP073" localSheetId="28">#REF!</definedName>
    <definedName name="___SP073">#REF!</definedName>
    <definedName name="___SP074" localSheetId="8">#REF!</definedName>
    <definedName name="___SP074" localSheetId="10">#REF!</definedName>
    <definedName name="___SP074" localSheetId="11">#REF!</definedName>
    <definedName name="___SP074" localSheetId="28">#REF!</definedName>
    <definedName name="___SP074">#REF!</definedName>
    <definedName name="___SP075" localSheetId="8">#REF!</definedName>
    <definedName name="___SP075" localSheetId="10">#REF!</definedName>
    <definedName name="___SP075" localSheetId="11">#REF!</definedName>
    <definedName name="___SP075" localSheetId="28">#REF!</definedName>
    <definedName name="___SP075">#REF!</definedName>
    <definedName name="___SP076" localSheetId="8">#REF!</definedName>
    <definedName name="___SP076" localSheetId="10">#REF!</definedName>
    <definedName name="___SP076" localSheetId="11">#REF!</definedName>
    <definedName name="___SP076" localSheetId="28">#REF!</definedName>
    <definedName name="___SP076">#REF!</definedName>
    <definedName name="___SP077" localSheetId="8">#REF!</definedName>
    <definedName name="___SP077" localSheetId="10">#REF!</definedName>
    <definedName name="___SP077" localSheetId="11">#REF!</definedName>
    <definedName name="___SP077" localSheetId="28">#REF!</definedName>
    <definedName name="___SP077">#REF!</definedName>
    <definedName name="___sp078" localSheetId="8">#REF!</definedName>
    <definedName name="___sp078" localSheetId="10">#REF!</definedName>
    <definedName name="___sp078" localSheetId="11">#REF!</definedName>
    <definedName name="___sp078" localSheetId="28">#REF!</definedName>
    <definedName name="___sp078">#REF!</definedName>
    <definedName name="___SPO79" localSheetId="8">#REF!</definedName>
    <definedName name="___SPO79" localSheetId="10">#REF!</definedName>
    <definedName name="___SPO79" localSheetId="11">#REF!</definedName>
    <definedName name="___SPO79" localSheetId="28">#REF!</definedName>
    <definedName name="___SPO79">#REF!</definedName>
    <definedName name="___ss12" localSheetId="37">[53]rdamdata!$J$8</definedName>
    <definedName name="___ss12">[25]rdamdata!$J$8</definedName>
    <definedName name="___ss20" localSheetId="37">[53]rdamdata!$J$7</definedName>
    <definedName name="___ss20">[25]rdamdata!$J$7</definedName>
    <definedName name="___ss40" localSheetId="37">[53]rdamdata!$J$6</definedName>
    <definedName name="___ss40">[25]rdamdata!$J$6</definedName>
    <definedName name="___sw1" localSheetId="28">#REF!</definedName>
    <definedName name="___t1">#REF!</definedName>
    <definedName name="___t2">#REF!</definedName>
    <definedName name="___tab1">#REF!</definedName>
    <definedName name="___us1">#REF!</definedName>
    <definedName name="___var04">#REF!</definedName>
    <definedName name="___var1" localSheetId="33">#REF!</definedName>
    <definedName name="___var1" localSheetId="34">#REF!</definedName>
    <definedName name="___var1" localSheetId="35">#REF!</definedName>
    <definedName name="___var1" localSheetId="5">#REF!</definedName>
    <definedName name="___var1" localSheetId="8">#REF!</definedName>
    <definedName name="___var1" localSheetId="10">#REF!</definedName>
    <definedName name="___var1" localSheetId="11">#REF!</definedName>
    <definedName name="___var1" localSheetId="37">#REF!</definedName>
    <definedName name="___var1" localSheetId="28">#REF!</definedName>
    <definedName name="___var1" localSheetId="42">#REF!</definedName>
    <definedName name="___var1" localSheetId="31">#REF!</definedName>
    <definedName name="___var1">#REF!</definedName>
    <definedName name="___var4" localSheetId="33">#REF!</definedName>
    <definedName name="___var4" localSheetId="34">#REF!</definedName>
    <definedName name="___var4" localSheetId="35">#REF!</definedName>
    <definedName name="___var4" localSheetId="5">#REF!</definedName>
    <definedName name="___var4" localSheetId="8">#REF!</definedName>
    <definedName name="___var4" localSheetId="10">#REF!</definedName>
    <definedName name="___var4" localSheetId="11">#REF!</definedName>
    <definedName name="___var4" localSheetId="37">#REF!</definedName>
    <definedName name="___var4" localSheetId="28">#REF!</definedName>
    <definedName name="___var4" localSheetId="42">#REF!</definedName>
    <definedName name="___var4" localSheetId="31">#REF!</definedName>
    <definedName name="___var4">#REF!</definedName>
    <definedName name="___vat1" localSheetId="8">#REF!</definedName>
    <definedName name="___vat1" localSheetId="10">#REF!</definedName>
    <definedName name="___vat1" localSheetId="28">#REF!</definedName>
    <definedName name="___vat1">#REF!</definedName>
    <definedName name="___vat2" localSheetId="8">#REF!</definedName>
    <definedName name="___vat2" localSheetId="10">#REF!</definedName>
    <definedName name="___vat2" localSheetId="28">#REF!</definedName>
    <definedName name="___vat2">#REF!</definedName>
    <definedName name="___xh11010" localSheetId="8">#REF!</definedName>
    <definedName name="___xh11010" localSheetId="10">#REF!</definedName>
    <definedName name="___xh11010" localSheetId="11">#REF!</definedName>
    <definedName name="___xh11010" localSheetId="28">#REF!</definedName>
    <definedName name="___xh11010">#REF!</definedName>
    <definedName name="___xh1104" localSheetId="8">#REF!</definedName>
    <definedName name="___xh1104" localSheetId="10">#REF!</definedName>
    <definedName name="___xh1104" localSheetId="11">#REF!</definedName>
    <definedName name="___xh1104" localSheetId="28">#REF!</definedName>
    <definedName name="___xh1104">#REF!</definedName>
    <definedName name="___xh1106" localSheetId="8">#REF!</definedName>
    <definedName name="___xh1106" localSheetId="10">#REF!</definedName>
    <definedName name="___xh1106" localSheetId="11">#REF!</definedName>
    <definedName name="___xh1106" localSheetId="28">#REF!</definedName>
    <definedName name="___xh1106">#REF!</definedName>
    <definedName name="___xh1108" localSheetId="8">#REF!</definedName>
    <definedName name="___xh1108" localSheetId="10">#REF!</definedName>
    <definedName name="___xh1108" localSheetId="11">#REF!</definedName>
    <definedName name="___xh1108" localSheetId="28">#REF!</definedName>
    <definedName name="___xh1108">#REF!</definedName>
    <definedName name="___xh12510" localSheetId="8">#REF!</definedName>
    <definedName name="___xh12510" localSheetId="10">#REF!</definedName>
    <definedName name="___xh12510" localSheetId="11">#REF!</definedName>
    <definedName name="___xh12510" localSheetId="28">#REF!</definedName>
    <definedName name="___xh12510">#REF!</definedName>
    <definedName name="___xh1254" localSheetId="8">#REF!</definedName>
    <definedName name="___xh1254" localSheetId="10">#REF!</definedName>
    <definedName name="___xh1254" localSheetId="11">#REF!</definedName>
    <definedName name="___xh1254" localSheetId="28">#REF!</definedName>
    <definedName name="___xh1254">#REF!</definedName>
    <definedName name="___xh1256" localSheetId="8">#REF!</definedName>
    <definedName name="___xh1256" localSheetId="10">#REF!</definedName>
    <definedName name="___xh1256" localSheetId="11">#REF!</definedName>
    <definedName name="___xh1256" localSheetId="28">#REF!</definedName>
    <definedName name="___xh1256">#REF!</definedName>
    <definedName name="___xh1258" localSheetId="8">#REF!</definedName>
    <definedName name="___xh1258" localSheetId="10">#REF!</definedName>
    <definedName name="___xh1258" localSheetId="11">#REF!</definedName>
    <definedName name="___xh1258" localSheetId="28">#REF!</definedName>
    <definedName name="___xh1258">#REF!</definedName>
    <definedName name="___xh14010" localSheetId="8">#REF!</definedName>
    <definedName name="___xh14010" localSheetId="10">#REF!</definedName>
    <definedName name="___xh14010" localSheetId="11">#REF!</definedName>
    <definedName name="___xh14010" localSheetId="28">#REF!</definedName>
    <definedName name="___xh14010">#REF!</definedName>
    <definedName name="___xh1404" localSheetId="8">#REF!</definedName>
    <definedName name="___xh1404" localSheetId="10">#REF!</definedName>
    <definedName name="___xh1404" localSheetId="11">#REF!</definedName>
    <definedName name="___xh1404" localSheetId="28">#REF!</definedName>
    <definedName name="___xh1404">#REF!</definedName>
    <definedName name="___xh1406" localSheetId="8">#REF!</definedName>
    <definedName name="___xh1406" localSheetId="10">#REF!</definedName>
    <definedName name="___xh1406" localSheetId="11">#REF!</definedName>
    <definedName name="___xh1406" localSheetId="28">#REF!</definedName>
    <definedName name="___xh1406">#REF!</definedName>
    <definedName name="___xh1408" localSheetId="8">#REF!</definedName>
    <definedName name="___xh1408" localSheetId="10">#REF!</definedName>
    <definedName name="___xh1408" localSheetId="11">#REF!</definedName>
    <definedName name="___xh1408" localSheetId="28">#REF!</definedName>
    <definedName name="___xh1408">#REF!</definedName>
    <definedName name="___xh16010" localSheetId="8">#REF!</definedName>
    <definedName name="___xh16010" localSheetId="10">#REF!</definedName>
    <definedName name="___xh16010" localSheetId="11">#REF!</definedName>
    <definedName name="___xh16010" localSheetId="28">#REF!</definedName>
    <definedName name="___xh16010">#REF!</definedName>
    <definedName name="___xh1604" localSheetId="8">#REF!</definedName>
    <definedName name="___xh1604" localSheetId="10">#REF!</definedName>
    <definedName name="___xh1604" localSheetId="11">#REF!</definedName>
    <definedName name="___xh1604" localSheetId="28">#REF!</definedName>
    <definedName name="___xh1604">#REF!</definedName>
    <definedName name="___xh1606" localSheetId="8">#REF!</definedName>
    <definedName name="___xh1606" localSheetId="10">#REF!</definedName>
    <definedName name="___xh1606" localSheetId="11">#REF!</definedName>
    <definedName name="___xh1606" localSheetId="28">#REF!</definedName>
    <definedName name="___xh1606">#REF!</definedName>
    <definedName name="___xh1608" localSheetId="8">#REF!</definedName>
    <definedName name="___xh1608" localSheetId="10">#REF!</definedName>
    <definedName name="___xh1608" localSheetId="11">#REF!</definedName>
    <definedName name="___xh1608" localSheetId="28">#REF!</definedName>
    <definedName name="___xh1608">#REF!</definedName>
    <definedName name="___xh18010" localSheetId="8">#REF!</definedName>
    <definedName name="___xh18010" localSheetId="10">#REF!</definedName>
    <definedName name="___xh18010" localSheetId="11">#REF!</definedName>
    <definedName name="___xh18010" localSheetId="28">#REF!</definedName>
    <definedName name="___xh18010">#REF!</definedName>
    <definedName name="___xh1804" localSheetId="8">#REF!</definedName>
    <definedName name="___xh1804" localSheetId="10">#REF!</definedName>
    <definedName name="___xh1804" localSheetId="11">#REF!</definedName>
    <definedName name="___xh1804" localSheetId="28">#REF!</definedName>
    <definedName name="___xh1804">#REF!</definedName>
    <definedName name="___xh1806" localSheetId="8">#REF!</definedName>
    <definedName name="___xh1806" localSheetId="10">#REF!</definedName>
    <definedName name="___xh1806" localSheetId="11">#REF!</definedName>
    <definedName name="___xh1806" localSheetId="28">#REF!</definedName>
    <definedName name="___xh1806">#REF!</definedName>
    <definedName name="___xh1808" localSheetId="8">#REF!</definedName>
    <definedName name="___xh1808" localSheetId="10">#REF!</definedName>
    <definedName name="___xh1808" localSheetId="11">#REF!</definedName>
    <definedName name="___xh1808" localSheetId="28">#REF!</definedName>
    <definedName name="___xh1808">#REF!</definedName>
    <definedName name="___xh20010" localSheetId="8">#REF!</definedName>
    <definedName name="___xh20010" localSheetId="10">#REF!</definedName>
    <definedName name="___xh20010" localSheetId="11">#REF!</definedName>
    <definedName name="___xh20010" localSheetId="28">#REF!</definedName>
    <definedName name="___xh20010">#REF!</definedName>
    <definedName name="___xh2004" localSheetId="8">#REF!</definedName>
    <definedName name="___xh2004" localSheetId="10">#REF!</definedName>
    <definedName name="___xh2004" localSheetId="11">#REF!</definedName>
    <definedName name="___xh2004" localSheetId="28">#REF!</definedName>
    <definedName name="___xh2004">#REF!</definedName>
    <definedName name="___xh2006" localSheetId="8">#REF!</definedName>
    <definedName name="___xh2006" localSheetId="10">#REF!</definedName>
    <definedName name="___xh2006" localSheetId="11">#REF!</definedName>
    <definedName name="___xh2006" localSheetId="28">#REF!</definedName>
    <definedName name="___xh2006">#REF!</definedName>
    <definedName name="___xh2008" localSheetId="8">#REF!</definedName>
    <definedName name="___xh2008" localSheetId="10">#REF!</definedName>
    <definedName name="___xh2008" localSheetId="11">#REF!</definedName>
    <definedName name="___xh2008" localSheetId="28">#REF!</definedName>
    <definedName name="___xh2008">#REF!</definedName>
    <definedName name="___xh22510" localSheetId="8">#REF!</definedName>
    <definedName name="___xh22510" localSheetId="10">#REF!</definedName>
    <definedName name="___xh22510" localSheetId="11">#REF!</definedName>
    <definedName name="___xh22510" localSheetId="28">#REF!</definedName>
    <definedName name="___xh22510">#REF!</definedName>
    <definedName name="___xh2254" localSheetId="8">#REF!</definedName>
    <definedName name="___xh2254" localSheetId="10">#REF!</definedName>
    <definedName name="___xh2254" localSheetId="11">#REF!</definedName>
    <definedName name="___xh2254" localSheetId="28">#REF!</definedName>
    <definedName name="___xh2254">#REF!</definedName>
    <definedName name="___xh2256">[54]HDPE!$L$30</definedName>
    <definedName name="___xh2258" localSheetId="8">#REF!</definedName>
    <definedName name="___xh2258" localSheetId="10">#REF!</definedName>
    <definedName name="___xh2258" localSheetId="11">#REF!</definedName>
    <definedName name="___xh2258" localSheetId="28">#REF!</definedName>
    <definedName name="___xh2258">#REF!</definedName>
    <definedName name="___xh25010" localSheetId="8">#REF!</definedName>
    <definedName name="___xh25010" localSheetId="10">#REF!</definedName>
    <definedName name="___xh25010" localSheetId="11">#REF!</definedName>
    <definedName name="___xh25010" localSheetId="28">#REF!</definedName>
    <definedName name="___xh25010">#REF!</definedName>
    <definedName name="___xh2504" localSheetId="8">#REF!</definedName>
    <definedName name="___xh2504" localSheetId="10">#REF!</definedName>
    <definedName name="___xh2504" localSheetId="11">#REF!</definedName>
    <definedName name="___xh2504" localSheetId="28">#REF!</definedName>
    <definedName name="___xh2504">#REF!</definedName>
    <definedName name="___xh2506">[54]HDPE!$M$30</definedName>
    <definedName name="___xh2508" localSheetId="8">#REF!</definedName>
    <definedName name="___xh2508" localSheetId="10">#REF!</definedName>
    <definedName name="___xh2508" localSheetId="11">#REF!</definedName>
    <definedName name="___xh2508" localSheetId="28">#REF!</definedName>
    <definedName name="___xh2508">#REF!</definedName>
    <definedName name="___xh28010" localSheetId="8">#REF!</definedName>
    <definedName name="___xh28010" localSheetId="10">#REF!</definedName>
    <definedName name="___xh28010" localSheetId="11">#REF!</definedName>
    <definedName name="___xh28010" localSheetId="28">#REF!</definedName>
    <definedName name="___xh28010">#REF!</definedName>
    <definedName name="___xh2804" localSheetId="8">#REF!</definedName>
    <definedName name="___xh2804" localSheetId="10">#REF!</definedName>
    <definedName name="___xh2804" localSheetId="11">#REF!</definedName>
    <definedName name="___xh2804" localSheetId="28">#REF!</definedName>
    <definedName name="___xh2804">#REF!</definedName>
    <definedName name="___xh2806">[54]HDPE!$N$30</definedName>
    <definedName name="___xh2808" localSheetId="8">#REF!</definedName>
    <definedName name="___xh2808" localSheetId="10">#REF!</definedName>
    <definedName name="___xh2808" localSheetId="11">#REF!</definedName>
    <definedName name="___xh2808" localSheetId="28">#REF!</definedName>
    <definedName name="___xh2808">#REF!</definedName>
    <definedName name="___xh31510" localSheetId="8">#REF!</definedName>
    <definedName name="___xh31510" localSheetId="10">#REF!</definedName>
    <definedName name="___xh31510" localSheetId="11">#REF!</definedName>
    <definedName name="___xh31510" localSheetId="28">#REF!</definedName>
    <definedName name="___xh31510">#REF!</definedName>
    <definedName name="___xh3154" localSheetId="8">#REF!</definedName>
    <definedName name="___xh3154" localSheetId="10">#REF!</definedName>
    <definedName name="___xh3154" localSheetId="11">#REF!</definedName>
    <definedName name="___xh3154" localSheetId="28">#REF!</definedName>
    <definedName name="___xh3154">#REF!</definedName>
    <definedName name="___xh3156">[54]HDPE!$O$30</definedName>
    <definedName name="___xh3158" localSheetId="8">#REF!</definedName>
    <definedName name="___xh3158" localSheetId="10">#REF!</definedName>
    <definedName name="___xh3158" localSheetId="11">#REF!</definedName>
    <definedName name="___xh3158" localSheetId="28">#REF!</definedName>
    <definedName name="___xh3158">#REF!</definedName>
    <definedName name="___xh3554" localSheetId="8">#REF!</definedName>
    <definedName name="___xh3554" localSheetId="10">#REF!</definedName>
    <definedName name="___xh3554" localSheetId="11">#REF!</definedName>
    <definedName name="___xh3554" localSheetId="28">#REF!</definedName>
    <definedName name="___xh3554">#REF!</definedName>
    <definedName name="___xh3556" localSheetId="8">#REF!</definedName>
    <definedName name="___xh3556" localSheetId="10">#REF!</definedName>
    <definedName name="___xh3556" localSheetId="11">#REF!</definedName>
    <definedName name="___xh3556" localSheetId="28">#REF!</definedName>
    <definedName name="___xh3556">#REF!</definedName>
    <definedName name="___xh6310" localSheetId="8">#REF!</definedName>
    <definedName name="___xh6310" localSheetId="10">#REF!</definedName>
    <definedName name="___xh6310" localSheetId="11">#REF!</definedName>
    <definedName name="___xh6310" localSheetId="28">#REF!</definedName>
    <definedName name="___xh6310">#REF!</definedName>
    <definedName name="___xh634">[54]HDPE!$C$16</definedName>
    <definedName name="___xh636" localSheetId="8">#REF!</definedName>
    <definedName name="___xh636" localSheetId="10">#REF!</definedName>
    <definedName name="___xh636" localSheetId="11">#REF!</definedName>
    <definedName name="___xh636" localSheetId="28">#REF!</definedName>
    <definedName name="___xh636">#REF!</definedName>
    <definedName name="___xh638" localSheetId="8">#REF!</definedName>
    <definedName name="___xh638" localSheetId="10">#REF!</definedName>
    <definedName name="___xh638" localSheetId="11">#REF!</definedName>
    <definedName name="___xh638" localSheetId="28">#REF!</definedName>
    <definedName name="___xh638">#REF!</definedName>
    <definedName name="___xh7510" localSheetId="8">#REF!</definedName>
    <definedName name="___xh7510" localSheetId="10">#REF!</definedName>
    <definedName name="___xh7510" localSheetId="11">#REF!</definedName>
    <definedName name="___xh7510" localSheetId="28">#REF!</definedName>
    <definedName name="___xh7510">#REF!</definedName>
    <definedName name="___xh754" localSheetId="8">#REF!</definedName>
    <definedName name="___xh754" localSheetId="10">#REF!</definedName>
    <definedName name="___xh754" localSheetId="11">#REF!</definedName>
    <definedName name="___xh754" localSheetId="28">#REF!</definedName>
    <definedName name="___xh754">#REF!</definedName>
    <definedName name="___xh756" localSheetId="8">#REF!</definedName>
    <definedName name="___xh756" localSheetId="10">#REF!</definedName>
    <definedName name="___xh756" localSheetId="11">#REF!</definedName>
    <definedName name="___xh756" localSheetId="28">#REF!</definedName>
    <definedName name="___xh756">#REF!</definedName>
    <definedName name="___xh758" localSheetId="8">#REF!</definedName>
    <definedName name="___xh758" localSheetId="10">#REF!</definedName>
    <definedName name="___xh758" localSheetId="11">#REF!</definedName>
    <definedName name="___xh758" localSheetId="28">#REF!</definedName>
    <definedName name="___xh758">#REF!</definedName>
    <definedName name="___xh9010" localSheetId="8">#REF!</definedName>
    <definedName name="___xh9010" localSheetId="10">#REF!</definedName>
    <definedName name="___xh9010" localSheetId="11">#REF!</definedName>
    <definedName name="___xh9010" localSheetId="28">#REF!</definedName>
    <definedName name="___xh9010">#REF!</definedName>
    <definedName name="___xh904" localSheetId="8">#REF!</definedName>
    <definedName name="___xh904" localSheetId="10">#REF!</definedName>
    <definedName name="___xh904" localSheetId="11">#REF!</definedName>
    <definedName name="___xh904" localSheetId="28">#REF!</definedName>
    <definedName name="___xh904">#REF!</definedName>
    <definedName name="___xh906" localSheetId="8">#REF!</definedName>
    <definedName name="___xh906" localSheetId="10">#REF!</definedName>
    <definedName name="___xh906" localSheetId="11">#REF!</definedName>
    <definedName name="___xh906" localSheetId="28">#REF!</definedName>
    <definedName name="___xh906">#REF!</definedName>
    <definedName name="___xh908" localSheetId="8">#REF!</definedName>
    <definedName name="___xh908" localSheetId="10">#REF!</definedName>
    <definedName name="___xh908" localSheetId="11">#REF!</definedName>
    <definedName name="___xh908" localSheetId="28">#REF!</definedName>
    <definedName name="___xh908">#REF!</definedName>
    <definedName name="___xk7100">[54]DI!$C$37</definedName>
    <definedName name="___xk7150">[54]DI!$D$37</definedName>
    <definedName name="___xk7200" localSheetId="8">#REF!</definedName>
    <definedName name="___xk7200" localSheetId="10">#REF!</definedName>
    <definedName name="___xk7200" localSheetId="11">#REF!</definedName>
    <definedName name="___xk7200" localSheetId="28">#REF!</definedName>
    <definedName name="___xk7200">#REF!</definedName>
    <definedName name="___xk7250">[54]DI!$F$37</definedName>
    <definedName name="___xk7300">[54]DI!$G$37</definedName>
    <definedName name="___xk7350" localSheetId="8">#REF!</definedName>
    <definedName name="___xk7350" localSheetId="10">#REF!</definedName>
    <definedName name="___xk7350" localSheetId="11">#REF!</definedName>
    <definedName name="___xk7350" localSheetId="28">#REF!</definedName>
    <definedName name="___xk7350">#REF!</definedName>
    <definedName name="___xk7400" localSheetId="8">#REF!</definedName>
    <definedName name="___xk7400" localSheetId="10">#REF!</definedName>
    <definedName name="___xk7400" localSheetId="11">#REF!</definedName>
    <definedName name="___xk7400" localSheetId="28">#REF!</definedName>
    <definedName name="___xk7400">#REF!</definedName>
    <definedName name="___xk7450" localSheetId="8">#REF!</definedName>
    <definedName name="___xk7450" localSheetId="10">#REF!</definedName>
    <definedName name="___xk7450" localSheetId="11">#REF!</definedName>
    <definedName name="___xk7450" localSheetId="28">#REF!</definedName>
    <definedName name="___xk7450">#REF!</definedName>
    <definedName name="___xk7500" localSheetId="8">#REF!</definedName>
    <definedName name="___xk7500" localSheetId="10">#REF!</definedName>
    <definedName name="___xk7500" localSheetId="11">#REF!</definedName>
    <definedName name="___xk7500" localSheetId="28">#REF!</definedName>
    <definedName name="___xk7500">#REF!</definedName>
    <definedName name="___xk7600" localSheetId="8">#REF!</definedName>
    <definedName name="___xk7600" localSheetId="10">#REF!</definedName>
    <definedName name="___xk7600" localSheetId="11">#REF!</definedName>
    <definedName name="___xk7600" localSheetId="28">#REF!</definedName>
    <definedName name="___xk7600">#REF!</definedName>
    <definedName name="___xk9100" localSheetId="8">#REF!</definedName>
    <definedName name="___xk9100" localSheetId="10">#REF!</definedName>
    <definedName name="___xk9100" localSheetId="11">#REF!</definedName>
    <definedName name="___xk9100" localSheetId="28">#REF!</definedName>
    <definedName name="___xk9100">#REF!</definedName>
    <definedName name="___xk91000" localSheetId="8">#REF!</definedName>
    <definedName name="___xk91000" localSheetId="10">#REF!</definedName>
    <definedName name="___xk91000" localSheetId="11">#REF!</definedName>
    <definedName name="___xk91000" localSheetId="28">#REF!</definedName>
    <definedName name="___xk91000">#REF!</definedName>
    <definedName name="___xk9150" localSheetId="8">#REF!</definedName>
    <definedName name="___xk9150" localSheetId="10">#REF!</definedName>
    <definedName name="___xk9150" localSheetId="11">#REF!</definedName>
    <definedName name="___xk9150" localSheetId="28">#REF!</definedName>
    <definedName name="___xk9150">#REF!</definedName>
    <definedName name="___xk9200" localSheetId="8">#REF!</definedName>
    <definedName name="___xk9200" localSheetId="10">#REF!</definedName>
    <definedName name="___xk9200" localSheetId="11">#REF!</definedName>
    <definedName name="___xk9200" localSheetId="28">#REF!</definedName>
    <definedName name="___xk9200">#REF!</definedName>
    <definedName name="___xk9250" localSheetId="8">#REF!</definedName>
    <definedName name="___xk9250" localSheetId="10">#REF!</definedName>
    <definedName name="___xk9250" localSheetId="11">#REF!</definedName>
    <definedName name="___xk9250" localSheetId="28">#REF!</definedName>
    <definedName name="___xk9250">#REF!</definedName>
    <definedName name="___xk9300" localSheetId="8">#REF!</definedName>
    <definedName name="___xk9300" localSheetId="10">#REF!</definedName>
    <definedName name="___xk9300" localSheetId="11">#REF!</definedName>
    <definedName name="___xk9300" localSheetId="28">#REF!</definedName>
    <definedName name="___xk9300">#REF!</definedName>
    <definedName name="___xk9350" localSheetId="8">#REF!</definedName>
    <definedName name="___xk9350" localSheetId="10">#REF!</definedName>
    <definedName name="___xk9350" localSheetId="11">#REF!</definedName>
    <definedName name="___xk9350" localSheetId="28">#REF!</definedName>
    <definedName name="___xk9350">#REF!</definedName>
    <definedName name="___xk9400" localSheetId="8">#REF!</definedName>
    <definedName name="___xk9400" localSheetId="10">#REF!</definedName>
    <definedName name="___xk9400" localSheetId="11">#REF!</definedName>
    <definedName name="___xk9400" localSheetId="28">#REF!</definedName>
    <definedName name="___xk9400">#REF!</definedName>
    <definedName name="___xk9450" localSheetId="8">#REF!</definedName>
    <definedName name="___xk9450" localSheetId="10">#REF!</definedName>
    <definedName name="___xk9450" localSheetId="11">#REF!</definedName>
    <definedName name="___xk9450" localSheetId="28">#REF!</definedName>
    <definedName name="___xk9450">#REF!</definedName>
    <definedName name="___xk9500" localSheetId="8">#REF!</definedName>
    <definedName name="___xk9500" localSheetId="10">#REF!</definedName>
    <definedName name="___xk9500" localSheetId="11">#REF!</definedName>
    <definedName name="___xk9500" localSheetId="28">#REF!</definedName>
    <definedName name="___xk9500">#REF!</definedName>
    <definedName name="___xk9600" localSheetId="8">#REF!</definedName>
    <definedName name="___xk9600" localSheetId="10">#REF!</definedName>
    <definedName name="___xk9600" localSheetId="11">#REF!</definedName>
    <definedName name="___xk9600" localSheetId="28">#REF!</definedName>
    <definedName name="___xk9600">#REF!</definedName>
    <definedName name="___xk9700" localSheetId="8">#REF!</definedName>
    <definedName name="___xk9700" localSheetId="10">#REF!</definedName>
    <definedName name="___xk9700" localSheetId="11">#REF!</definedName>
    <definedName name="___xk9700" localSheetId="28">#REF!</definedName>
    <definedName name="___xk9700">#REF!</definedName>
    <definedName name="___xk9750" localSheetId="8">#REF!</definedName>
    <definedName name="___xk9750" localSheetId="10">#REF!</definedName>
    <definedName name="___xk9750" localSheetId="11">#REF!</definedName>
    <definedName name="___xk9750" localSheetId="28">#REF!</definedName>
    <definedName name="___xk9750">#REF!</definedName>
    <definedName name="___xk9800" localSheetId="8">#REF!</definedName>
    <definedName name="___xk9800" localSheetId="10">#REF!</definedName>
    <definedName name="___xk9800" localSheetId="11">#REF!</definedName>
    <definedName name="___xk9800" localSheetId="28">#REF!</definedName>
    <definedName name="___xk9800">#REF!</definedName>
    <definedName name="___xk9900" localSheetId="8">#REF!</definedName>
    <definedName name="___xk9900" localSheetId="10">#REF!</definedName>
    <definedName name="___xk9900" localSheetId="11">#REF!</definedName>
    <definedName name="___xk9900" localSheetId="28">#REF!</definedName>
    <definedName name="___xk9900">#REF!</definedName>
    <definedName name="___xlfn_BAHTTEXT">#N/A</definedName>
    <definedName name="___xp11010">[54]pvc!$F$61</definedName>
    <definedName name="___xp1104">[54]pvc!$F$31</definedName>
    <definedName name="___xp1106">[54]pvc!$F$46</definedName>
    <definedName name="___xp12510" localSheetId="8">#REF!</definedName>
    <definedName name="___xp12510" localSheetId="10">#REF!</definedName>
    <definedName name="___xp12510" localSheetId="11">#REF!</definedName>
    <definedName name="___xp12510" localSheetId="28">#REF!</definedName>
    <definedName name="___xp12510">#REF!</definedName>
    <definedName name="___xp1254">[54]pvc!$G$31</definedName>
    <definedName name="___xp1256">[54]pvc!$G$46</definedName>
    <definedName name="___xp14010">[54]pvc!$H$61</definedName>
    <definedName name="___xp1404">[54]pvc!$H$31</definedName>
    <definedName name="___xp1406">[54]pvc!$H$46</definedName>
    <definedName name="___xp16010" localSheetId="8">#REF!</definedName>
    <definedName name="___xp16010" localSheetId="10">#REF!</definedName>
    <definedName name="___xp16010" localSheetId="11">#REF!</definedName>
    <definedName name="___xp16010" localSheetId="28">#REF!</definedName>
    <definedName name="___xp16010">#REF!</definedName>
    <definedName name="___xp1604">[54]pvc!$I$31</definedName>
    <definedName name="___xp1606">[54]pvc!$I$46</definedName>
    <definedName name="___xp18010" localSheetId="8">#REF!</definedName>
    <definedName name="___xp18010" localSheetId="10">#REF!</definedName>
    <definedName name="___xp18010" localSheetId="11">#REF!</definedName>
    <definedName name="___xp18010" localSheetId="28">#REF!</definedName>
    <definedName name="___xp18010">#REF!</definedName>
    <definedName name="___xp1804">[54]pvc!$J$31</definedName>
    <definedName name="___xp1806">[54]pvc!$J$46</definedName>
    <definedName name="___xp20010" localSheetId="8">#REF!</definedName>
    <definedName name="___xp20010" localSheetId="10">#REF!</definedName>
    <definedName name="___xp20010" localSheetId="11">#REF!</definedName>
    <definedName name="___xp20010" localSheetId="28">#REF!</definedName>
    <definedName name="___xp20010">#REF!</definedName>
    <definedName name="___xp2004" localSheetId="8">#REF!</definedName>
    <definedName name="___xp2004" localSheetId="10">#REF!</definedName>
    <definedName name="___xp2004" localSheetId="11">#REF!</definedName>
    <definedName name="___xp2004" localSheetId="28">#REF!</definedName>
    <definedName name="___xp2004">#REF!</definedName>
    <definedName name="___xp2006">[54]pvc!$K$46</definedName>
    <definedName name="___xp22510" localSheetId="8">#REF!</definedName>
    <definedName name="___xp22510" localSheetId="10">#REF!</definedName>
    <definedName name="___xp22510" localSheetId="11">#REF!</definedName>
    <definedName name="___xp22510" localSheetId="28">#REF!</definedName>
    <definedName name="___xp22510">#REF!</definedName>
    <definedName name="___xp2254" localSheetId="8">#REF!</definedName>
    <definedName name="___xp2254" localSheetId="10">#REF!</definedName>
    <definedName name="___xp2254" localSheetId="11">#REF!</definedName>
    <definedName name="___xp2254" localSheetId="28">#REF!</definedName>
    <definedName name="___xp2254">#REF!</definedName>
    <definedName name="___xp2256" localSheetId="8">#REF!</definedName>
    <definedName name="___xp2256" localSheetId="10">#REF!</definedName>
    <definedName name="___xp2256" localSheetId="11">#REF!</definedName>
    <definedName name="___xp2256" localSheetId="28">#REF!</definedName>
    <definedName name="___xp2256">#REF!</definedName>
    <definedName name="___xp25010" localSheetId="8">#REF!</definedName>
    <definedName name="___xp25010" localSheetId="10">#REF!</definedName>
    <definedName name="___xp25010" localSheetId="11">#REF!</definedName>
    <definedName name="___xp25010" localSheetId="28">#REF!</definedName>
    <definedName name="___xp25010">#REF!</definedName>
    <definedName name="___xp2504" localSheetId="8">#REF!</definedName>
    <definedName name="___xp2504" localSheetId="10">#REF!</definedName>
    <definedName name="___xp2504" localSheetId="11">#REF!</definedName>
    <definedName name="___xp2504" localSheetId="28">#REF!</definedName>
    <definedName name="___xp2504">#REF!</definedName>
    <definedName name="___xp2506" localSheetId="8">#REF!</definedName>
    <definedName name="___xp2506" localSheetId="10">#REF!</definedName>
    <definedName name="___xp2506" localSheetId="11">#REF!</definedName>
    <definedName name="___xp2506" localSheetId="28">#REF!</definedName>
    <definedName name="___xp2506">#REF!</definedName>
    <definedName name="___xp28010" localSheetId="8">#REF!</definedName>
    <definedName name="___xp28010" localSheetId="10">#REF!</definedName>
    <definedName name="___xp28010" localSheetId="11">#REF!</definedName>
    <definedName name="___xp28010" localSheetId="28">#REF!</definedName>
    <definedName name="___xp28010">#REF!</definedName>
    <definedName name="___xp2804" localSheetId="8">#REF!</definedName>
    <definedName name="___xp2804" localSheetId="10">#REF!</definedName>
    <definedName name="___xp2804" localSheetId="11">#REF!</definedName>
    <definedName name="___xp2804" localSheetId="28">#REF!</definedName>
    <definedName name="___xp2804">#REF!</definedName>
    <definedName name="___xp2806" localSheetId="8">#REF!</definedName>
    <definedName name="___xp2806" localSheetId="10">#REF!</definedName>
    <definedName name="___xp2806" localSheetId="11">#REF!</definedName>
    <definedName name="___xp2806" localSheetId="28">#REF!</definedName>
    <definedName name="___xp2806">#REF!</definedName>
    <definedName name="___xp31510" localSheetId="8">#REF!</definedName>
    <definedName name="___xp31510" localSheetId="10">#REF!</definedName>
    <definedName name="___xp31510" localSheetId="11">#REF!</definedName>
    <definedName name="___xp31510" localSheetId="28">#REF!</definedName>
    <definedName name="___xp31510">#REF!</definedName>
    <definedName name="___xp3154" localSheetId="8">#REF!</definedName>
    <definedName name="___xp3154" localSheetId="10">#REF!</definedName>
    <definedName name="___xp3154" localSheetId="11">#REF!</definedName>
    <definedName name="___xp3154" localSheetId="28">#REF!</definedName>
    <definedName name="___xp3154">#REF!</definedName>
    <definedName name="___xp3156" localSheetId="8">#REF!</definedName>
    <definedName name="___xp3156" localSheetId="10">#REF!</definedName>
    <definedName name="___xp3156" localSheetId="11">#REF!</definedName>
    <definedName name="___xp3156" localSheetId="28">#REF!</definedName>
    <definedName name="___xp3156">#REF!</definedName>
    <definedName name="___xp6310">[54]pvc!$C$61</definedName>
    <definedName name="___xp634" localSheetId="8">#REF!</definedName>
    <definedName name="___xp634" localSheetId="10">#REF!</definedName>
    <definedName name="___xp634" localSheetId="11">#REF!</definedName>
    <definedName name="___xp634" localSheetId="28">#REF!</definedName>
    <definedName name="___xp634">#REF!</definedName>
    <definedName name="___xp636">[54]pvc!$C$46</definedName>
    <definedName name="___xp7510">[54]pvc!$D$61</definedName>
    <definedName name="___xp754">[54]pvc!$D$31</definedName>
    <definedName name="___xp756">[54]pvc!$D$46</definedName>
    <definedName name="___xp9010">[54]pvc!$E$61</definedName>
    <definedName name="___xp904">[54]pvc!$E$31</definedName>
    <definedName name="___xp906">[54]pvc!$E$46</definedName>
    <definedName name="__abs1" localSheetId="5">#REF!</definedName>
    <definedName name="__abs1" localSheetId="14">#REF!</definedName>
    <definedName name="__abs1" localSheetId="8">#REF!</definedName>
    <definedName name="__abs1" localSheetId="10">#REF!</definedName>
    <definedName name="__abs1" localSheetId="28">#REF!</definedName>
    <definedName name="__abs1">#REF!</definedName>
    <definedName name="__AUX1" localSheetId="28">#REF!</definedName>
    <definedName name="__aux2" localSheetId="28">#REF!</definedName>
    <definedName name="__AUX3">#REF!</definedName>
    <definedName name="__bla1" localSheetId="37">[58]leads!$H$7</definedName>
    <definedName name="__bla1">[19]leads!$H$7</definedName>
    <definedName name="__bla1_21" localSheetId="28">#REF!</definedName>
    <definedName name="__bla1_33">#REF!</definedName>
    <definedName name="__bla1_34">#REF!</definedName>
    <definedName name="__BSG100" localSheetId="8">#REF!</definedName>
    <definedName name="__BSG100" localSheetId="10">#REF!</definedName>
    <definedName name="__BSG100" localSheetId="28">#REF!</definedName>
    <definedName name="__BSG100">#REF!</definedName>
    <definedName name="__BSG150" localSheetId="8">#REF!</definedName>
    <definedName name="__BSG150" localSheetId="10">#REF!</definedName>
    <definedName name="__BSG150" localSheetId="28">#REF!</definedName>
    <definedName name="__BSG150">#REF!</definedName>
    <definedName name="__BSG5" localSheetId="8">#REF!</definedName>
    <definedName name="__BSG5" localSheetId="10">#REF!</definedName>
    <definedName name="__BSG5" localSheetId="28">#REF!</definedName>
    <definedName name="__BSG5">#REF!</definedName>
    <definedName name="__BSG75" localSheetId="8">#REF!</definedName>
    <definedName name="__BSG75" localSheetId="10">#REF!</definedName>
    <definedName name="__BSG75" localSheetId="28">#REF!</definedName>
    <definedName name="__BSG75">#REF!</definedName>
    <definedName name="__BTC1" localSheetId="8">#REF!</definedName>
    <definedName name="__BTC1" localSheetId="10">#REF!</definedName>
    <definedName name="__BTC1" localSheetId="28">#REF!</definedName>
    <definedName name="__BTC1">#REF!</definedName>
    <definedName name="__BTC10" localSheetId="8">#REF!</definedName>
    <definedName name="__BTC10" localSheetId="10">#REF!</definedName>
    <definedName name="__BTC10" localSheetId="28">#REF!</definedName>
    <definedName name="__BTC10">#REF!</definedName>
    <definedName name="__BTC11" localSheetId="8">#REF!</definedName>
    <definedName name="__BTC11" localSheetId="10">#REF!</definedName>
    <definedName name="__BTC11" localSheetId="28">#REF!</definedName>
    <definedName name="__BTC11">#REF!</definedName>
    <definedName name="__BTC12" localSheetId="8">#REF!</definedName>
    <definedName name="__BTC12" localSheetId="10">#REF!</definedName>
    <definedName name="__BTC12" localSheetId="28">#REF!</definedName>
    <definedName name="__BTC12">#REF!</definedName>
    <definedName name="__BTC13" localSheetId="8">#REF!</definedName>
    <definedName name="__BTC13" localSheetId="10">#REF!</definedName>
    <definedName name="__BTC13" localSheetId="28">#REF!</definedName>
    <definedName name="__BTC13">#REF!</definedName>
    <definedName name="__BTC14" localSheetId="8">#REF!</definedName>
    <definedName name="__BTC14" localSheetId="10">#REF!</definedName>
    <definedName name="__BTC14" localSheetId="28">#REF!</definedName>
    <definedName name="__BTC14">#REF!</definedName>
    <definedName name="__BTC15" localSheetId="8">#REF!</definedName>
    <definedName name="__BTC15" localSheetId="10">#REF!</definedName>
    <definedName name="__BTC15" localSheetId="28">#REF!</definedName>
    <definedName name="__BTC15">#REF!</definedName>
    <definedName name="__BTC16">#REF!</definedName>
    <definedName name="__BTC17">#REF!</definedName>
    <definedName name="__BTC18">#REF!</definedName>
    <definedName name="__BTC19">#REF!</definedName>
    <definedName name="__BTC2" localSheetId="8">#REF!</definedName>
    <definedName name="__BTC2" localSheetId="10">#REF!</definedName>
    <definedName name="__BTC2" localSheetId="28">#REF!</definedName>
    <definedName name="__BTC2">#REF!</definedName>
    <definedName name="__BTC20">#REF!</definedName>
    <definedName name="__BTC21">#REF!</definedName>
    <definedName name="__BTC22">#REF!</definedName>
    <definedName name="__BTC23">#REF!</definedName>
    <definedName name="__BTC24">#REF!</definedName>
    <definedName name="__BTC3" localSheetId="8">#REF!</definedName>
    <definedName name="__BTC3" localSheetId="10">#REF!</definedName>
    <definedName name="__BTC3" localSheetId="28">#REF!</definedName>
    <definedName name="__BTC3">#REF!</definedName>
    <definedName name="__BTC4" localSheetId="8">#REF!</definedName>
    <definedName name="__BTC4" localSheetId="10">#REF!</definedName>
    <definedName name="__BTC4" localSheetId="28">#REF!</definedName>
    <definedName name="__BTC4">#REF!</definedName>
    <definedName name="__BTC5" localSheetId="8">#REF!</definedName>
    <definedName name="__BTC5" localSheetId="10">#REF!</definedName>
    <definedName name="__BTC5" localSheetId="28">#REF!</definedName>
    <definedName name="__BTC5">#REF!</definedName>
    <definedName name="__BTC6" localSheetId="8">#REF!</definedName>
    <definedName name="__BTC6" localSheetId="10">#REF!</definedName>
    <definedName name="__BTC6" localSheetId="28">#REF!</definedName>
    <definedName name="__BTC6">#REF!</definedName>
    <definedName name="__BTC7" localSheetId="8">#REF!</definedName>
    <definedName name="__BTC7" localSheetId="10">#REF!</definedName>
    <definedName name="__BTC7" localSheetId="28">#REF!</definedName>
    <definedName name="__BTC7">#REF!</definedName>
    <definedName name="__BTC8" localSheetId="8">#REF!</definedName>
    <definedName name="__BTC8" localSheetId="10">#REF!</definedName>
    <definedName name="__BTC8" localSheetId="28">#REF!</definedName>
    <definedName name="__BTC8">#REF!</definedName>
    <definedName name="__BTC9" localSheetId="8">#REF!</definedName>
    <definedName name="__BTC9" localSheetId="10">#REF!</definedName>
    <definedName name="__BTC9" localSheetId="28">#REF!</definedName>
    <definedName name="__BTC9">#REF!</definedName>
    <definedName name="__BTR1">#REF!</definedName>
    <definedName name="__BTR10">#REF!</definedName>
    <definedName name="__BTR11">#REF!</definedName>
    <definedName name="__BTR12">#REF!</definedName>
    <definedName name="__BTR13">#REF!</definedName>
    <definedName name="__BTR14">#REF!</definedName>
    <definedName name="__BTR15">#REF!</definedName>
    <definedName name="__BTR16">#REF!</definedName>
    <definedName name="__BTR17">#REF!</definedName>
    <definedName name="__BTR18">#REF!</definedName>
    <definedName name="__BTR19">#REF!</definedName>
    <definedName name="__BTR2">#REF!</definedName>
    <definedName name="__BTR20">#REF!</definedName>
    <definedName name="__BTR21">#REF!</definedName>
    <definedName name="__BTR22">#REF!</definedName>
    <definedName name="__BTR23">#REF!</definedName>
    <definedName name="__BTR24">#REF!</definedName>
    <definedName name="__BTR3">#REF!</definedName>
    <definedName name="__BTR4">#REF!</definedName>
    <definedName name="__BTR5">#REF!</definedName>
    <definedName name="__BTR6">#REF!</definedName>
    <definedName name="__BTR7">#REF!</definedName>
    <definedName name="__BTR8">#REF!</definedName>
    <definedName name="__BTR9">#REF!</definedName>
    <definedName name="__BTS1" localSheetId="8">#REF!</definedName>
    <definedName name="__BTS1" localSheetId="10">#REF!</definedName>
    <definedName name="__BTS1" localSheetId="28">#REF!</definedName>
    <definedName name="__BTS1">#REF!</definedName>
    <definedName name="__BTS10" localSheetId="8">#REF!</definedName>
    <definedName name="__BTS10" localSheetId="10">#REF!</definedName>
    <definedName name="__BTS10" localSheetId="28">#REF!</definedName>
    <definedName name="__BTS10">#REF!</definedName>
    <definedName name="__BTS11" localSheetId="8">#REF!</definedName>
    <definedName name="__BTS11" localSheetId="10">#REF!</definedName>
    <definedName name="__BTS11" localSheetId="28">#REF!</definedName>
    <definedName name="__BTS11">#REF!</definedName>
    <definedName name="__BTS12" localSheetId="8">#REF!</definedName>
    <definedName name="__BTS12" localSheetId="10">#REF!</definedName>
    <definedName name="__BTS12" localSheetId="28">#REF!</definedName>
    <definedName name="__BTS12">#REF!</definedName>
    <definedName name="__BTS13" localSheetId="8">#REF!</definedName>
    <definedName name="__BTS13" localSheetId="10">#REF!</definedName>
    <definedName name="__BTS13" localSheetId="28">#REF!</definedName>
    <definedName name="__BTS13">#REF!</definedName>
    <definedName name="__BTS14" localSheetId="8">#REF!</definedName>
    <definedName name="__BTS14" localSheetId="10">#REF!</definedName>
    <definedName name="__BTS14" localSheetId="28">#REF!</definedName>
    <definedName name="__BTS14">#REF!</definedName>
    <definedName name="__BTS15" localSheetId="8">#REF!</definedName>
    <definedName name="__BTS15" localSheetId="10">#REF!</definedName>
    <definedName name="__BTS15" localSheetId="28">#REF!</definedName>
    <definedName name="__BTS15">#REF!</definedName>
    <definedName name="__BTS16">#REF!</definedName>
    <definedName name="__BTS17">#REF!</definedName>
    <definedName name="__BTS18">#REF!</definedName>
    <definedName name="__BTS19">#REF!</definedName>
    <definedName name="__BTS2" localSheetId="8">#REF!</definedName>
    <definedName name="__BTS2" localSheetId="10">#REF!</definedName>
    <definedName name="__BTS2" localSheetId="28">#REF!</definedName>
    <definedName name="__BTS2">#REF!</definedName>
    <definedName name="__BTS20">#REF!</definedName>
    <definedName name="__BTS21">#REF!</definedName>
    <definedName name="__BTS22">#REF!</definedName>
    <definedName name="__BTS23">#REF!</definedName>
    <definedName name="__BTS24">#REF!</definedName>
    <definedName name="__BTS3" localSheetId="8">#REF!</definedName>
    <definedName name="__BTS3" localSheetId="10">#REF!</definedName>
    <definedName name="__BTS3" localSheetId="28">#REF!</definedName>
    <definedName name="__BTS3">#REF!</definedName>
    <definedName name="__BTS4" localSheetId="8">#REF!</definedName>
    <definedName name="__BTS4" localSheetId="10">#REF!</definedName>
    <definedName name="__BTS4" localSheetId="28">#REF!</definedName>
    <definedName name="__BTS4">#REF!</definedName>
    <definedName name="__BTS5" localSheetId="8">#REF!</definedName>
    <definedName name="__BTS5" localSheetId="10">#REF!</definedName>
    <definedName name="__BTS5" localSheetId="28">#REF!</definedName>
    <definedName name="__BTS5">#REF!</definedName>
    <definedName name="__BTS6" localSheetId="8">#REF!</definedName>
    <definedName name="__BTS6" localSheetId="10">#REF!</definedName>
    <definedName name="__BTS6" localSheetId="28">#REF!</definedName>
    <definedName name="__BTS6">#REF!</definedName>
    <definedName name="__BTS7" localSheetId="8">#REF!</definedName>
    <definedName name="__BTS7" localSheetId="10">#REF!</definedName>
    <definedName name="__BTS7" localSheetId="28">#REF!</definedName>
    <definedName name="__BTS7">#REF!</definedName>
    <definedName name="__BTS8" localSheetId="8">#REF!</definedName>
    <definedName name="__BTS8" localSheetId="10">#REF!</definedName>
    <definedName name="__BTS8" localSheetId="28">#REF!</definedName>
    <definedName name="__BTS8">#REF!</definedName>
    <definedName name="__BTS9" localSheetId="8">#REF!</definedName>
    <definedName name="__BTS9" localSheetId="10">#REF!</definedName>
    <definedName name="__BTS9" localSheetId="28">#REF!</definedName>
    <definedName name="__BTS9">#REF!</definedName>
    <definedName name="__can430">40.73</definedName>
    <definedName name="__can435">43.3</definedName>
    <definedName name="__cbr1" localSheetId="8">#REF!</definedName>
    <definedName name="__cbr1" localSheetId="10">#REF!</definedName>
    <definedName name="__cbr1" localSheetId="28">#REF!</definedName>
    <definedName name="__cbr1">#REF!</definedName>
    <definedName name="__cbr2" localSheetId="8">#REF!</definedName>
    <definedName name="__cbr2" localSheetId="10">#REF!</definedName>
    <definedName name="__cbr2" localSheetId="28">#REF!</definedName>
    <definedName name="__cbr2">#REF!</definedName>
    <definedName name="__cbr3" localSheetId="8">#REF!</definedName>
    <definedName name="__cbr3" localSheetId="10">#REF!</definedName>
    <definedName name="__cbr3" localSheetId="28">#REF!</definedName>
    <definedName name="__cbr3">#REF!</definedName>
    <definedName name="__cbr4" localSheetId="8">#REF!</definedName>
    <definedName name="__cbr4" localSheetId="10">#REF!</definedName>
    <definedName name="__cbr4" localSheetId="28">#REF!</definedName>
    <definedName name="__cbr4">#REF!</definedName>
    <definedName name="__CCW1" localSheetId="37">[55]DATA!$H$67</definedName>
    <definedName name="__CCW1">[56]DATA!$H$67</definedName>
    <definedName name="__CCW2" localSheetId="37">[55]DATA!$H$97</definedName>
    <definedName name="__CCW2">[56]DATA!$H$97</definedName>
    <definedName name="__cur1">[6]r!$F$30</definedName>
    <definedName name="__df3" localSheetId="8">#REF!</definedName>
    <definedName name="__df3" localSheetId="10">#REF!</definedName>
    <definedName name="__df3" localSheetId="11">#REF!</definedName>
    <definedName name="__df3" localSheetId="28">#REF!</definedName>
    <definedName name="__df3">#REF!</definedName>
    <definedName name="__er1">#REF!</definedName>
    <definedName name="__ewe1" localSheetId="33">#REF!</definedName>
    <definedName name="__ewe1" localSheetId="34">#REF!</definedName>
    <definedName name="__ewe1" localSheetId="11">#REF!</definedName>
    <definedName name="__ewe1" localSheetId="37">#REF!</definedName>
    <definedName name="__ewe1">#REF!</definedName>
    <definedName name="__ewe2">#REF!</definedName>
    <definedName name="__f1" localSheetId="33">#REF!</definedName>
    <definedName name="__f1" localSheetId="34">#REF!</definedName>
    <definedName name="__f1" localSheetId="8">#REF!</definedName>
    <definedName name="__f1" localSheetId="10">#REF!</definedName>
    <definedName name="__f1" localSheetId="11">#REF!</definedName>
    <definedName name="__f1" localSheetId="28">#REF!</definedName>
    <definedName name="__f1">#REF!</definedName>
    <definedName name="__GBS11" localSheetId="8">#REF!</definedName>
    <definedName name="__GBS11" localSheetId="10">#REF!</definedName>
    <definedName name="__GBS11" localSheetId="28">#REF!</definedName>
    <definedName name="__GBS11">#REF!</definedName>
    <definedName name="__GBS110" localSheetId="8">#REF!</definedName>
    <definedName name="__GBS110" localSheetId="10">#REF!</definedName>
    <definedName name="__GBS110" localSheetId="28">#REF!</definedName>
    <definedName name="__GBS110">#REF!</definedName>
    <definedName name="__GBS111" localSheetId="8">#REF!</definedName>
    <definedName name="__GBS111" localSheetId="10">#REF!</definedName>
    <definedName name="__GBS111" localSheetId="28">#REF!</definedName>
    <definedName name="__GBS111">#REF!</definedName>
    <definedName name="__GBS112" localSheetId="8">#REF!</definedName>
    <definedName name="__GBS112" localSheetId="10">#REF!</definedName>
    <definedName name="__GBS112" localSheetId="28">#REF!</definedName>
    <definedName name="__GBS112">#REF!</definedName>
    <definedName name="__GBS113" localSheetId="8">#REF!</definedName>
    <definedName name="__GBS113" localSheetId="10">#REF!</definedName>
    <definedName name="__GBS113" localSheetId="28">#REF!</definedName>
    <definedName name="__GBS113">#REF!</definedName>
    <definedName name="__GBS114" localSheetId="8">#REF!</definedName>
    <definedName name="__GBS114" localSheetId="10">#REF!</definedName>
    <definedName name="__GBS114" localSheetId="28">#REF!</definedName>
    <definedName name="__GBS114">#REF!</definedName>
    <definedName name="__GBS115" localSheetId="8">#REF!</definedName>
    <definedName name="__GBS115" localSheetId="10">#REF!</definedName>
    <definedName name="__GBS115" localSheetId="28">#REF!</definedName>
    <definedName name="__GBS115">#REF!</definedName>
    <definedName name="__GBS116">#REF!</definedName>
    <definedName name="__GBS117">#REF!</definedName>
    <definedName name="__GBS118">#REF!</definedName>
    <definedName name="__GBS119">#REF!</definedName>
    <definedName name="__GBS12" localSheetId="8">#REF!</definedName>
    <definedName name="__GBS12" localSheetId="10">#REF!</definedName>
    <definedName name="__GBS12" localSheetId="28">#REF!</definedName>
    <definedName name="__GBS12">#REF!</definedName>
    <definedName name="__GBS120">#REF!</definedName>
    <definedName name="__GBS121">#REF!</definedName>
    <definedName name="__GBS122">#REF!</definedName>
    <definedName name="__GBS123">#REF!</definedName>
    <definedName name="__GBS124">#REF!</definedName>
    <definedName name="__GBS13" localSheetId="8">#REF!</definedName>
    <definedName name="__GBS13" localSheetId="10">#REF!</definedName>
    <definedName name="__GBS13" localSheetId="28">#REF!</definedName>
    <definedName name="__GBS13">#REF!</definedName>
    <definedName name="__GBS14" localSheetId="8">#REF!</definedName>
    <definedName name="__GBS14" localSheetId="10">#REF!</definedName>
    <definedName name="__GBS14" localSheetId="28">#REF!</definedName>
    <definedName name="__GBS14">#REF!</definedName>
    <definedName name="__GBS15" localSheetId="8">#REF!</definedName>
    <definedName name="__GBS15" localSheetId="10">#REF!</definedName>
    <definedName name="__GBS15" localSheetId="28">#REF!</definedName>
    <definedName name="__GBS15">#REF!</definedName>
    <definedName name="__GBS16" localSheetId="8">#REF!</definedName>
    <definedName name="__GBS16" localSheetId="10">#REF!</definedName>
    <definedName name="__GBS16" localSheetId="28">#REF!</definedName>
    <definedName name="__GBS16">#REF!</definedName>
    <definedName name="__GBS17" localSheetId="8">#REF!</definedName>
    <definedName name="__GBS17" localSheetId="10">#REF!</definedName>
    <definedName name="__GBS17" localSheetId="28">#REF!</definedName>
    <definedName name="__GBS17">#REF!</definedName>
    <definedName name="__GBS18" localSheetId="8">#REF!</definedName>
    <definedName name="__GBS18" localSheetId="10">#REF!</definedName>
    <definedName name="__GBS18" localSheetId="28">#REF!</definedName>
    <definedName name="__GBS18">#REF!</definedName>
    <definedName name="__GBS19" localSheetId="8">#REF!</definedName>
    <definedName name="__GBS19" localSheetId="10">#REF!</definedName>
    <definedName name="__GBS19" localSheetId="28">#REF!</definedName>
    <definedName name="__GBS19">#REF!</definedName>
    <definedName name="__GBS21" localSheetId="8">#REF!</definedName>
    <definedName name="__GBS21" localSheetId="10">#REF!</definedName>
    <definedName name="__GBS21" localSheetId="28">#REF!</definedName>
    <definedName name="__GBS21">#REF!</definedName>
    <definedName name="__GBS210" localSheetId="8">#REF!</definedName>
    <definedName name="__GBS210" localSheetId="10">#REF!</definedName>
    <definedName name="__GBS210" localSheetId="28">#REF!</definedName>
    <definedName name="__GBS210">#REF!</definedName>
    <definedName name="__GBS211" localSheetId="8">#REF!</definedName>
    <definedName name="__GBS211" localSheetId="10">#REF!</definedName>
    <definedName name="__GBS211" localSheetId="28">#REF!</definedName>
    <definedName name="__GBS211">#REF!</definedName>
    <definedName name="__GBS212" localSheetId="8">#REF!</definedName>
    <definedName name="__GBS212" localSheetId="10">#REF!</definedName>
    <definedName name="__GBS212" localSheetId="28">#REF!</definedName>
    <definedName name="__GBS212">#REF!</definedName>
    <definedName name="__GBS213" localSheetId="8">#REF!</definedName>
    <definedName name="__GBS213" localSheetId="10">#REF!</definedName>
    <definedName name="__GBS213" localSheetId="28">#REF!</definedName>
    <definedName name="__GBS213">#REF!</definedName>
    <definedName name="__GBS214" localSheetId="8">#REF!</definedName>
    <definedName name="__GBS214" localSheetId="10">#REF!</definedName>
    <definedName name="__GBS214" localSheetId="28">#REF!</definedName>
    <definedName name="__GBS214">#REF!</definedName>
    <definedName name="__GBS215" localSheetId="8">#REF!</definedName>
    <definedName name="__GBS215" localSheetId="10">#REF!</definedName>
    <definedName name="__GBS215" localSheetId="28">#REF!</definedName>
    <definedName name="__GBS215">#REF!</definedName>
    <definedName name="__GBS216">#REF!</definedName>
    <definedName name="__GBS217">#REF!</definedName>
    <definedName name="__GBS218">#REF!</definedName>
    <definedName name="__GBS219">#REF!</definedName>
    <definedName name="__GBS22" localSheetId="8">#REF!</definedName>
    <definedName name="__GBS22" localSheetId="10">#REF!</definedName>
    <definedName name="__GBS22" localSheetId="28">#REF!</definedName>
    <definedName name="__GBS22">#REF!</definedName>
    <definedName name="__GBS220">#REF!</definedName>
    <definedName name="__GBS221">#REF!</definedName>
    <definedName name="__GBS222">#REF!</definedName>
    <definedName name="__GBS223">#REF!</definedName>
    <definedName name="__GBS224">#REF!</definedName>
    <definedName name="__GBS23" localSheetId="8">#REF!</definedName>
    <definedName name="__GBS23" localSheetId="10">#REF!</definedName>
    <definedName name="__GBS23" localSheetId="28">#REF!</definedName>
    <definedName name="__GBS23">#REF!</definedName>
    <definedName name="__GBS24" localSheetId="8">#REF!</definedName>
    <definedName name="__GBS24" localSheetId="10">#REF!</definedName>
    <definedName name="__GBS24" localSheetId="28">#REF!</definedName>
    <definedName name="__GBS24">#REF!</definedName>
    <definedName name="__GBS25" localSheetId="8">#REF!</definedName>
    <definedName name="__GBS25" localSheetId="10">#REF!</definedName>
    <definedName name="__GBS25" localSheetId="28">#REF!</definedName>
    <definedName name="__GBS25">#REF!</definedName>
    <definedName name="__GBS26" localSheetId="8">#REF!</definedName>
    <definedName name="__GBS26" localSheetId="10">#REF!</definedName>
    <definedName name="__GBS26" localSheetId="28">#REF!</definedName>
    <definedName name="__GBS26">#REF!</definedName>
    <definedName name="__GBS27" localSheetId="8">#REF!</definedName>
    <definedName name="__GBS27" localSheetId="10">#REF!</definedName>
    <definedName name="__GBS27" localSheetId="28">#REF!</definedName>
    <definedName name="__GBS27">#REF!</definedName>
    <definedName name="__GBS28" localSheetId="8">#REF!</definedName>
    <definedName name="__GBS28" localSheetId="10">#REF!</definedName>
    <definedName name="__GBS28" localSheetId="28">#REF!</definedName>
    <definedName name="__GBS28">#REF!</definedName>
    <definedName name="__GBS29" localSheetId="8">#REF!</definedName>
    <definedName name="__GBS29" localSheetId="10">#REF!</definedName>
    <definedName name="__GBS29" localSheetId="28">#REF!</definedName>
    <definedName name="__GBS29">#REF!</definedName>
    <definedName name="__grp10003" localSheetId="8">#REF!</definedName>
    <definedName name="__grp10003" localSheetId="10">#REF!</definedName>
    <definedName name="__grp10003" localSheetId="11">#REF!</definedName>
    <definedName name="__grp10003" localSheetId="28">#REF!</definedName>
    <definedName name="__grp10003">#REF!</definedName>
    <definedName name="__grp3503" localSheetId="8">#REF!</definedName>
    <definedName name="__grp3503" localSheetId="10">#REF!</definedName>
    <definedName name="__grp3503" localSheetId="11">#REF!</definedName>
    <definedName name="__grp3503" localSheetId="28">#REF!</definedName>
    <definedName name="__grp3503">#REF!</definedName>
    <definedName name="__grp4003" localSheetId="8">#REF!</definedName>
    <definedName name="__grp4003" localSheetId="10">#REF!</definedName>
    <definedName name="__grp4003" localSheetId="11">#REF!</definedName>
    <definedName name="__grp4003" localSheetId="28">#REF!</definedName>
    <definedName name="__grp4003">#REF!</definedName>
    <definedName name="__grp4503" localSheetId="8">#REF!</definedName>
    <definedName name="__grp4503" localSheetId="10">#REF!</definedName>
    <definedName name="__grp4503" localSheetId="11">#REF!</definedName>
    <definedName name="__grp4503" localSheetId="28">#REF!</definedName>
    <definedName name="__grp4503">#REF!</definedName>
    <definedName name="__grp5003" localSheetId="8">#REF!</definedName>
    <definedName name="__grp5003" localSheetId="10">#REF!</definedName>
    <definedName name="__grp5003" localSheetId="11">#REF!</definedName>
    <definedName name="__grp5003" localSheetId="28">#REF!</definedName>
    <definedName name="__grp5003">#REF!</definedName>
    <definedName name="__grp6003" localSheetId="8">#REF!</definedName>
    <definedName name="__grp6003" localSheetId="10">#REF!</definedName>
    <definedName name="__grp6003" localSheetId="11">#REF!</definedName>
    <definedName name="__grp6003" localSheetId="28">#REF!</definedName>
    <definedName name="__grp6003">#REF!</definedName>
    <definedName name="__grp7003" localSheetId="8">#REF!</definedName>
    <definedName name="__grp7003" localSheetId="10">#REF!</definedName>
    <definedName name="__grp7003" localSheetId="11">#REF!</definedName>
    <definedName name="__grp7003" localSheetId="28">#REF!</definedName>
    <definedName name="__grp7003">#REF!</definedName>
    <definedName name="__grp8003" localSheetId="8">#REF!</definedName>
    <definedName name="__grp8003" localSheetId="10">#REF!</definedName>
    <definedName name="__grp8003" localSheetId="11">#REF!</definedName>
    <definedName name="__grp8003" localSheetId="28">#REF!</definedName>
    <definedName name="__grp8003">#REF!</definedName>
    <definedName name="__grp9003" localSheetId="8">#REF!</definedName>
    <definedName name="__grp9003" localSheetId="10">#REF!</definedName>
    <definedName name="__grp9003" localSheetId="11">#REF!</definedName>
    <definedName name="__grp9003" localSheetId="28">#REF!</definedName>
    <definedName name="__grp9003">#REF!</definedName>
    <definedName name="__gus1">#REF!</definedName>
    <definedName name="__hpm1">#REF!</definedName>
    <definedName name="__k1" localSheetId="8">#REF!</definedName>
    <definedName name="__k1" localSheetId="10">#REF!</definedName>
    <definedName name="__k1" localSheetId="28">#REF!</definedName>
    <definedName name="__k1">#REF!</definedName>
    <definedName name="__knr2" localSheetId="5">#REF!</definedName>
    <definedName name="__knr2" localSheetId="8">#REF!</definedName>
    <definedName name="__knr2" localSheetId="10">#REF!</definedName>
    <definedName name="__knr2" localSheetId="11">#REF!</definedName>
    <definedName name="__knr2" localSheetId="28">#REF!</definedName>
    <definedName name="__knr2">#REF!</definedName>
    <definedName name="__l1" localSheetId="37">[59]leads!$A$3:$E$108</definedName>
    <definedName name="__l1">[20]leads!$A$3:$E$108</definedName>
    <definedName name="__l1_21" localSheetId="28">#REF!</definedName>
    <definedName name="__l1_33">#REF!</definedName>
    <definedName name="__l1_34">#REF!</definedName>
    <definedName name="__l12" localSheetId="33">#REF!</definedName>
    <definedName name="__l12" localSheetId="34">#REF!</definedName>
    <definedName name="__l12" localSheetId="35">#REF!</definedName>
    <definedName name="__l12" localSheetId="5">#REF!</definedName>
    <definedName name="__l12" localSheetId="8">#REF!</definedName>
    <definedName name="__l12" localSheetId="10">#REF!</definedName>
    <definedName name="__l12" localSheetId="11">#REF!</definedName>
    <definedName name="__l12" localSheetId="37">#REF!</definedName>
    <definedName name="__l12" localSheetId="28">#REF!</definedName>
    <definedName name="__l12" localSheetId="42">#REF!</definedName>
    <definedName name="__l12" localSheetId="31">#REF!</definedName>
    <definedName name="__l12">#REF!</definedName>
    <definedName name="__l12_23">"$#REF!.$#REF!$#REF!"</definedName>
    <definedName name="__l12_33">"$#REF!.$#REF!$#REF!"</definedName>
    <definedName name="__l12_34">"$#REF!.$#REF!$#REF!"</definedName>
    <definedName name="__l12_38">"$#REF!.$#REF!$#REF!"</definedName>
    <definedName name="__l12_41">"$#REF!.$#REF!$#REF!"</definedName>
    <definedName name="__l12_43">"$#REF!.$#REF!$#REF!"</definedName>
    <definedName name="__l12_48">"$#REF!.$#REF!$#REF!"</definedName>
    <definedName name="__l12_57">"$#REF!.$#REF!$#REF!"</definedName>
    <definedName name="__l12_59">"$#REF!.$#REF!$#REF!"</definedName>
    <definedName name="__l12_60">"$#REF!.$#REF!$#REF!"</definedName>
    <definedName name="__l12_61">"$#REF!.$#REF!$#REF!"</definedName>
    <definedName name="__l12_62">"$#REF!.$#REF!$#REF!"</definedName>
    <definedName name="__l12_7">"$#REF!.$#REF!$#REF!"</definedName>
    <definedName name="__l12_72">"$#REF!.$#REF!$#REF!"</definedName>
    <definedName name="__l12_73">"$#REF!.$#REF!$#REF!"</definedName>
    <definedName name="__l12_8">"$#REF!.$#REF!$#REF!"</definedName>
    <definedName name="__l2">[6]r!$F$29</definedName>
    <definedName name="__l3" localSheetId="33">#REF!</definedName>
    <definedName name="__l3" localSheetId="34">#REF!</definedName>
    <definedName name="__l3" localSheetId="35">#REF!</definedName>
    <definedName name="__l3" localSheetId="5">#REF!</definedName>
    <definedName name="__l3" localSheetId="8">#REF!</definedName>
    <definedName name="__l3" localSheetId="10">#REF!</definedName>
    <definedName name="__l3" localSheetId="11">#REF!</definedName>
    <definedName name="__l3" localSheetId="37">#REF!</definedName>
    <definedName name="__l3" localSheetId="28">#REF!</definedName>
    <definedName name="__l3" localSheetId="42">#REF!</definedName>
    <definedName name="__l3" localSheetId="31">#REF!</definedName>
    <definedName name="__l3">#REF!</definedName>
    <definedName name="__l3_23">"$#REF!.$#REF!$#REF!"</definedName>
    <definedName name="__l3_33">"$#REF!.$#REF!$#REF!"</definedName>
    <definedName name="__l3_34">"$#REF!.$#REF!$#REF!"</definedName>
    <definedName name="__l3_38">"$#REF!.$#REF!$#REF!"</definedName>
    <definedName name="__l3_41">"$#REF!.$#REF!$#REF!"</definedName>
    <definedName name="__l3_43">"$#REF!.$#REF!$#REF!"</definedName>
    <definedName name="__l3_48">"$#REF!.$#REF!$#REF!"</definedName>
    <definedName name="__l3_57">"$#REF!.$#REF!$#REF!"</definedName>
    <definedName name="__l3_59">"$#REF!.$#REF!$#REF!"</definedName>
    <definedName name="__l3_60">"$#REF!.$#REF!$#REF!"</definedName>
    <definedName name="__l3_61">"$#REF!.$#REF!$#REF!"</definedName>
    <definedName name="__l3_62">"$#REF!.$#REF!$#REF!"</definedName>
    <definedName name="__l3_7">"$#REF!.$#REF!$#REF!"</definedName>
    <definedName name="__l3_72">"$#REF!.$#REF!$#REF!"</definedName>
    <definedName name="__l3_73">"$#REF!.$#REF!$#REF!"</definedName>
    <definedName name="__l3_8">"$#REF!.$#REF!$#REF!"</definedName>
    <definedName name="__l4" localSheetId="37">[60]Sheet1!$W$2:$Y$103</definedName>
    <definedName name="__l4">[21]Sheet1!$W$2:$Y$103</definedName>
    <definedName name="__l4_21" localSheetId="28">#REF!</definedName>
    <definedName name="__l4_33">#REF!</definedName>
    <definedName name="__l4_34">#REF!</definedName>
    <definedName name="__l5" localSheetId="33">#REF!</definedName>
    <definedName name="__l5" localSheetId="34">#REF!</definedName>
    <definedName name="__l5" localSheetId="35">#REF!</definedName>
    <definedName name="__l5" localSheetId="5">#REF!</definedName>
    <definedName name="__l5" localSheetId="8">#REF!</definedName>
    <definedName name="__l5" localSheetId="10">#REF!</definedName>
    <definedName name="__l5" localSheetId="11">#REF!</definedName>
    <definedName name="__l5" localSheetId="37">#REF!</definedName>
    <definedName name="__l5" localSheetId="28">#REF!</definedName>
    <definedName name="__l5" localSheetId="42">#REF!</definedName>
    <definedName name="__l5" localSheetId="31">#REF!</definedName>
    <definedName name="__l5">#REF!</definedName>
    <definedName name="__l5_23">"$#REF!.$#REF!$#REF!"</definedName>
    <definedName name="__l5_33">"$#REF!.$#REF!$#REF!"</definedName>
    <definedName name="__l5_34">"$#REF!.$#REF!$#REF!"</definedName>
    <definedName name="__l5_38">"$#REF!.$#REF!$#REF!"</definedName>
    <definedName name="__l5_41">"$#REF!.$#REF!$#REF!"</definedName>
    <definedName name="__l5_43">"$#REF!.$#REF!$#REF!"</definedName>
    <definedName name="__l5_48">"$#REF!.$#REF!$#REF!"</definedName>
    <definedName name="__l5_57">"$#REF!.$#REF!$#REF!"</definedName>
    <definedName name="__l5_59">"$#REF!.$#REF!$#REF!"</definedName>
    <definedName name="__l5_60">"$#REF!.$#REF!$#REF!"</definedName>
    <definedName name="__l5_61">"$#REF!.$#REF!$#REF!"</definedName>
    <definedName name="__l5_62">"$#REF!.$#REF!$#REF!"</definedName>
    <definedName name="__l5_7">"$#REF!.$#REF!$#REF!"</definedName>
    <definedName name="__l5_72">"$#REF!.$#REF!$#REF!"</definedName>
    <definedName name="__l5_73">"$#REF!.$#REF!$#REF!"</definedName>
    <definedName name="__l5_8">"$#REF!.$#REF!$#REF!"</definedName>
    <definedName name="__l6">[6]r!$F$4</definedName>
    <definedName name="__l7">[7]r!$F$4</definedName>
    <definedName name="__l8">[6]r!$F$2</definedName>
    <definedName name="__l9">[6]r!$F$3</definedName>
    <definedName name="__lcn1">#REF!</definedName>
    <definedName name="__LI9" localSheetId="8">#REF!</definedName>
    <definedName name="__LI9" localSheetId="10">#REF!</definedName>
    <definedName name="__LI9" localSheetId="28">#REF!</definedName>
    <definedName name="__LI9">#REF!</definedName>
    <definedName name="__LII9" localSheetId="8">#REF!</definedName>
    <definedName name="__LII9" localSheetId="10">#REF!</definedName>
    <definedName name="__LII9" localSheetId="28">#REF!</definedName>
    <definedName name="__LII9">#REF!</definedName>
    <definedName name="__LJ6" localSheetId="37">[55]DATA!$H$245</definedName>
    <definedName name="__LJ6">[56]DATA!$H$245</definedName>
    <definedName name="__lj600" localSheetId="28">#REF!</definedName>
    <definedName name="__lj900">#REF!</definedName>
    <definedName name="__LL3">#REF!</definedName>
    <definedName name="__lm1">#REF!</definedName>
    <definedName name="__MA1" localSheetId="28">#REF!</definedName>
    <definedName name="__ma2" localSheetId="8">#REF!</definedName>
    <definedName name="__ma2" localSheetId="10">#REF!</definedName>
    <definedName name="__ma2" localSheetId="11">#REF!</definedName>
    <definedName name="__ma2" localSheetId="28">#REF!</definedName>
    <definedName name="__ma2">#REF!</definedName>
    <definedName name="__man1" localSheetId="37">[61]m!$B$149</definedName>
    <definedName name="__man1">[62]m!$B$149</definedName>
    <definedName name="__Met22" localSheetId="28">#REF!</definedName>
    <definedName name="__Met45">#REF!</definedName>
    <definedName name="__MEt55">#REF!</definedName>
    <definedName name="__Met63">#REF!</definedName>
    <definedName name="__MIX124" localSheetId="37">[36]maya!$A$11:$A$18</definedName>
    <definedName name="__MIX124">[63]maya!$A$11:$A$18</definedName>
    <definedName name="__ML11" localSheetId="8">#REF!</definedName>
    <definedName name="__ML11" localSheetId="10">#REF!</definedName>
    <definedName name="__ML11" localSheetId="28">#REF!</definedName>
    <definedName name="__ML11">#REF!</definedName>
    <definedName name="__ML110" localSheetId="8">#REF!</definedName>
    <definedName name="__ML110" localSheetId="10">#REF!</definedName>
    <definedName name="__ML110" localSheetId="28">#REF!</definedName>
    <definedName name="__ML110">#REF!</definedName>
    <definedName name="__ML111" localSheetId="8">#REF!</definedName>
    <definedName name="__ML111" localSheetId="10">#REF!</definedName>
    <definedName name="__ML111" localSheetId="28">#REF!</definedName>
    <definedName name="__ML111">#REF!</definedName>
    <definedName name="__ML112" localSheetId="8">#REF!</definedName>
    <definedName name="__ML112" localSheetId="10">#REF!</definedName>
    <definedName name="__ML112" localSheetId="28">#REF!</definedName>
    <definedName name="__ML112">#REF!</definedName>
    <definedName name="__ML113" localSheetId="8">#REF!</definedName>
    <definedName name="__ML113" localSheetId="10">#REF!</definedName>
    <definedName name="__ML113" localSheetId="28">#REF!</definedName>
    <definedName name="__ML113">#REF!</definedName>
    <definedName name="__ML114" localSheetId="8">#REF!</definedName>
    <definedName name="__ML114" localSheetId="10">#REF!</definedName>
    <definedName name="__ML114" localSheetId="28">#REF!</definedName>
    <definedName name="__ML114">#REF!</definedName>
    <definedName name="__ML115" localSheetId="8">#REF!</definedName>
    <definedName name="__ML115" localSheetId="10">#REF!</definedName>
    <definedName name="__ML115" localSheetId="28">#REF!</definedName>
    <definedName name="__ML115">#REF!</definedName>
    <definedName name="__ML12" localSheetId="8">#REF!</definedName>
    <definedName name="__ML12" localSheetId="10">#REF!</definedName>
    <definedName name="__ML12" localSheetId="28">#REF!</definedName>
    <definedName name="__ML12">#REF!</definedName>
    <definedName name="__ML13" localSheetId="8">#REF!</definedName>
    <definedName name="__ML13" localSheetId="10">#REF!</definedName>
    <definedName name="__ML13" localSheetId="28">#REF!</definedName>
    <definedName name="__ML13">#REF!</definedName>
    <definedName name="__ML14" localSheetId="8">#REF!</definedName>
    <definedName name="__ML14" localSheetId="10">#REF!</definedName>
    <definedName name="__ML14" localSheetId="28">#REF!</definedName>
    <definedName name="__ML14">#REF!</definedName>
    <definedName name="__ML15" localSheetId="8">#REF!</definedName>
    <definedName name="__ML15" localSheetId="10">#REF!</definedName>
    <definedName name="__ML15" localSheetId="28">#REF!</definedName>
    <definedName name="__ML15">#REF!</definedName>
    <definedName name="__ML16" localSheetId="8">#REF!</definedName>
    <definedName name="__ML16" localSheetId="10">#REF!</definedName>
    <definedName name="__ML16" localSheetId="28">#REF!</definedName>
    <definedName name="__ML16">#REF!</definedName>
    <definedName name="__ML17" localSheetId="8">#REF!</definedName>
    <definedName name="__ML17" localSheetId="10">#REF!</definedName>
    <definedName name="__ML17" localSheetId="28">#REF!</definedName>
    <definedName name="__ML17">#REF!</definedName>
    <definedName name="__ML18" localSheetId="8">#REF!</definedName>
    <definedName name="__ML18" localSheetId="10">#REF!</definedName>
    <definedName name="__ML18" localSheetId="28">#REF!</definedName>
    <definedName name="__ML18">#REF!</definedName>
    <definedName name="__ML19" localSheetId="8">#REF!</definedName>
    <definedName name="__ML19" localSheetId="10">#REF!</definedName>
    <definedName name="__ML19" localSheetId="28">#REF!</definedName>
    <definedName name="__ML19">#REF!</definedName>
    <definedName name="__ML21" localSheetId="8">#REF!</definedName>
    <definedName name="__ML21" localSheetId="10">#REF!</definedName>
    <definedName name="__ML21" localSheetId="28">#REF!</definedName>
    <definedName name="__ML21">#REF!</definedName>
    <definedName name="__ML210" localSheetId="8">#REF!</definedName>
    <definedName name="__ML210" localSheetId="10">#REF!</definedName>
    <definedName name="__ML210" localSheetId="28">#REF!</definedName>
    <definedName name="__ML210">#REF!</definedName>
    <definedName name="__ML211" localSheetId="8">#REF!</definedName>
    <definedName name="__ML211" localSheetId="10">#REF!</definedName>
    <definedName name="__ML211" localSheetId="28">#REF!</definedName>
    <definedName name="__ML211">#REF!</definedName>
    <definedName name="__ML212" localSheetId="8">#REF!</definedName>
    <definedName name="__ML212" localSheetId="10">#REF!</definedName>
    <definedName name="__ML212" localSheetId="28">#REF!</definedName>
    <definedName name="__ML212">#REF!</definedName>
    <definedName name="__ML213" localSheetId="8">#REF!</definedName>
    <definedName name="__ML213" localSheetId="10">#REF!</definedName>
    <definedName name="__ML213" localSheetId="28">#REF!</definedName>
    <definedName name="__ML213">#REF!</definedName>
    <definedName name="__ML214" localSheetId="8">#REF!</definedName>
    <definedName name="__ML214" localSheetId="10">#REF!</definedName>
    <definedName name="__ML214" localSheetId="28">#REF!</definedName>
    <definedName name="__ML214">#REF!</definedName>
    <definedName name="__ML215" localSheetId="8">#REF!</definedName>
    <definedName name="__ML215" localSheetId="10">#REF!</definedName>
    <definedName name="__ML215" localSheetId="28">#REF!</definedName>
    <definedName name="__ML215">#REF!</definedName>
    <definedName name="__ML216">#REF!</definedName>
    <definedName name="__ML217">#REF!</definedName>
    <definedName name="__ML218">#REF!</definedName>
    <definedName name="__ML219">#REF!</definedName>
    <definedName name="__ML22" localSheetId="8">#REF!</definedName>
    <definedName name="__ML22" localSheetId="10">#REF!</definedName>
    <definedName name="__ML22" localSheetId="28">#REF!</definedName>
    <definedName name="__ML22">#REF!</definedName>
    <definedName name="__ML220">#REF!</definedName>
    <definedName name="__ML221">#REF!</definedName>
    <definedName name="__ML222">#REF!</definedName>
    <definedName name="__ML223">#REF!</definedName>
    <definedName name="__ML224">#REF!</definedName>
    <definedName name="__ML23" localSheetId="8">#REF!</definedName>
    <definedName name="__ML23" localSheetId="10">#REF!</definedName>
    <definedName name="__ML23" localSheetId="28">#REF!</definedName>
    <definedName name="__ML23">#REF!</definedName>
    <definedName name="__ML24" localSheetId="8">#REF!</definedName>
    <definedName name="__ML24" localSheetId="10">#REF!</definedName>
    <definedName name="__ML24" localSheetId="28">#REF!</definedName>
    <definedName name="__ML24">#REF!</definedName>
    <definedName name="__ML25" localSheetId="8">#REF!</definedName>
    <definedName name="__ML25" localSheetId="10">#REF!</definedName>
    <definedName name="__ML25" localSheetId="28">#REF!</definedName>
    <definedName name="__ML25">#REF!</definedName>
    <definedName name="__ML26" localSheetId="8">#REF!</definedName>
    <definedName name="__ML26" localSheetId="10">#REF!</definedName>
    <definedName name="__ML26" localSheetId="28">#REF!</definedName>
    <definedName name="__ML26">#REF!</definedName>
    <definedName name="__ML27" localSheetId="8">#REF!</definedName>
    <definedName name="__ML27" localSheetId="10">#REF!</definedName>
    <definedName name="__ML27" localSheetId="28">#REF!</definedName>
    <definedName name="__ML27">#REF!</definedName>
    <definedName name="__ML28" localSheetId="8">#REF!</definedName>
    <definedName name="__ML28" localSheetId="10">#REF!</definedName>
    <definedName name="__ML28" localSheetId="28">#REF!</definedName>
    <definedName name="__ML28">#REF!</definedName>
    <definedName name="__ML29" localSheetId="8">#REF!</definedName>
    <definedName name="__ML29" localSheetId="10">#REF!</definedName>
    <definedName name="__ML29" localSheetId="28">#REF!</definedName>
    <definedName name="__ML29">#REF!</definedName>
    <definedName name="__ML31" localSheetId="8">#REF!</definedName>
    <definedName name="__ML31" localSheetId="10">#REF!</definedName>
    <definedName name="__ML31" localSheetId="28">#REF!</definedName>
    <definedName name="__ML31">#REF!</definedName>
    <definedName name="__ML310" localSheetId="8">#REF!</definedName>
    <definedName name="__ML310" localSheetId="10">#REF!</definedName>
    <definedName name="__ML310" localSheetId="28">#REF!</definedName>
    <definedName name="__ML310">#REF!</definedName>
    <definedName name="__ML311" localSheetId="8">#REF!</definedName>
    <definedName name="__ML311" localSheetId="10">#REF!</definedName>
    <definedName name="__ML311" localSheetId="28">#REF!</definedName>
    <definedName name="__ML311">#REF!</definedName>
    <definedName name="__ML312" localSheetId="8">#REF!</definedName>
    <definedName name="__ML312" localSheetId="10">#REF!</definedName>
    <definedName name="__ML312" localSheetId="28">#REF!</definedName>
    <definedName name="__ML312">#REF!</definedName>
    <definedName name="__ML313" localSheetId="8">#REF!</definedName>
    <definedName name="__ML313" localSheetId="10">#REF!</definedName>
    <definedName name="__ML313" localSheetId="28">#REF!</definedName>
    <definedName name="__ML313">#REF!</definedName>
    <definedName name="__ML314" localSheetId="8">#REF!</definedName>
    <definedName name="__ML314" localSheetId="10">#REF!</definedName>
    <definedName name="__ML314" localSheetId="28">#REF!</definedName>
    <definedName name="__ML314">#REF!</definedName>
    <definedName name="__ML315" localSheetId="8">#REF!</definedName>
    <definedName name="__ML315" localSheetId="10">#REF!</definedName>
    <definedName name="__ML315" localSheetId="28">#REF!</definedName>
    <definedName name="__ML315">#REF!</definedName>
    <definedName name="__ML316">#REF!</definedName>
    <definedName name="__ML317">#REF!</definedName>
    <definedName name="__ML318">#REF!</definedName>
    <definedName name="__ML319">#REF!</definedName>
    <definedName name="__ML32" localSheetId="8">#REF!</definedName>
    <definedName name="__ML32" localSheetId="10">#REF!</definedName>
    <definedName name="__ML32" localSheetId="28">#REF!</definedName>
    <definedName name="__ML32">#REF!</definedName>
    <definedName name="__ML320">#REF!</definedName>
    <definedName name="__ML321">#REF!</definedName>
    <definedName name="__ML322">#REF!</definedName>
    <definedName name="__ML323">#REF!</definedName>
    <definedName name="__ML324">#REF!</definedName>
    <definedName name="__ML33" localSheetId="8">#REF!</definedName>
    <definedName name="__ML33" localSheetId="10">#REF!</definedName>
    <definedName name="__ML33" localSheetId="28">#REF!</definedName>
    <definedName name="__ML33">#REF!</definedName>
    <definedName name="__ML34" localSheetId="8">#REF!</definedName>
    <definedName name="__ML34" localSheetId="10">#REF!</definedName>
    <definedName name="__ML34" localSheetId="28">#REF!</definedName>
    <definedName name="__ML34">#REF!</definedName>
    <definedName name="__ML35" localSheetId="8">#REF!</definedName>
    <definedName name="__ML35" localSheetId="10">#REF!</definedName>
    <definedName name="__ML35" localSheetId="28">#REF!</definedName>
    <definedName name="__ML35">#REF!</definedName>
    <definedName name="__ML36" localSheetId="8">#REF!</definedName>
    <definedName name="__ML36" localSheetId="10">#REF!</definedName>
    <definedName name="__ML36" localSheetId="28">#REF!</definedName>
    <definedName name="__ML36">#REF!</definedName>
    <definedName name="__ML37" localSheetId="8">#REF!</definedName>
    <definedName name="__ML37" localSheetId="10">#REF!</definedName>
    <definedName name="__ML37" localSheetId="28">#REF!</definedName>
    <definedName name="__ML37">#REF!</definedName>
    <definedName name="__ML38" localSheetId="8">#REF!</definedName>
    <definedName name="__ML38" localSheetId="10">#REF!</definedName>
    <definedName name="__ML38" localSheetId="28">#REF!</definedName>
    <definedName name="__ML38">#REF!</definedName>
    <definedName name="__ML39" localSheetId="8">#REF!</definedName>
    <definedName name="__ML39" localSheetId="10">#REF!</definedName>
    <definedName name="__ML39" localSheetId="28">#REF!</definedName>
    <definedName name="__ML39">#REF!</definedName>
    <definedName name="__ML7" localSheetId="8">#REF!</definedName>
    <definedName name="__ML7" localSheetId="10">#REF!</definedName>
    <definedName name="__ML7" localSheetId="28">#REF!</definedName>
    <definedName name="__ML7">#REF!</definedName>
    <definedName name="__ML8" localSheetId="8">#REF!</definedName>
    <definedName name="__ML8" localSheetId="10">#REF!</definedName>
    <definedName name="__ML8" localSheetId="28">#REF!</definedName>
    <definedName name="__ML8">#REF!</definedName>
    <definedName name="__ML9" localSheetId="8">#REF!</definedName>
    <definedName name="__ML9" localSheetId="10">#REF!</definedName>
    <definedName name="__ML9" localSheetId="28">#REF!</definedName>
    <definedName name="__ML9">#REF!</definedName>
    <definedName name="__mm1" localSheetId="37">[64]r!$F$4</definedName>
    <definedName name="__mm1">[22]r!$F$4</definedName>
    <definedName name="__mm1_21" localSheetId="28">#REF!</definedName>
    <definedName name="__mm1_33">#REF!</definedName>
    <definedName name="__mm1_34">#REF!</definedName>
    <definedName name="__mm1000">#REF!</definedName>
    <definedName name="__mm11">[6]r!$F$4</definedName>
    <definedName name="__mm111">[7]r!$F$4</definedName>
    <definedName name="__mm2">[57]r!$F$4</definedName>
    <definedName name="__mm20" localSheetId="5">#REF!</definedName>
    <definedName name="__mm20" localSheetId="8">#REF!</definedName>
    <definedName name="__mm20" localSheetId="10">#REF!</definedName>
    <definedName name="__mm20" localSheetId="11">#REF!</definedName>
    <definedName name="__mm20" localSheetId="37">#REF!</definedName>
    <definedName name="__mm20" localSheetId="28">#REF!</definedName>
    <definedName name="__mm20" localSheetId="42">#REF!</definedName>
    <definedName name="__mm20">#REF!</definedName>
    <definedName name="__mm40" localSheetId="5">#REF!</definedName>
    <definedName name="__mm40" localSheetId="8">#REF!</definedName>
    <definedName name="__mm40" localSheetId="10">#REF!</definedName>
    <definedName name="__mm40" localSheetId="11">#REF!</definedName>
    <definedName name="__mm40" localSheetId="37">#REF!</definedName>
    <definedName name="__mm40" localSheetId="28">#REF!</definedName>
    <definedName name="__mm40" localSheetId="42">#REF!</definedName>
    <definedName name="__mm40">#REF!</definedName>
    <definedName name="__mm600">#REF!</definedName>
    <definedName name="__mm800">#REF!</definedName>
    <definedName name="__MT1" localSheetId="8">#REF!</definedName>
    <definedName name="__MT1" localSheetId="10">#REF!</definedName>
    <definedName name="__MT1" localSheetId="28">#REF!</definedName>
    <definedName name="__MT1">#REF!</definedName>
    <definedName name="__MT10" localSheetId="8">#REF!</definedName>
    <definedName name="__MT10" localSheetId="10">#REF!</definedName>
    <definedName name="__MT10" localSheetId="28">#REF!</definedName>
    <definedName name="__MT10">#REF!</definedName>
    <definedName name="__MT100" localSheetId="8">#REF!</definedName>
    <definedName name="__MT100" localSheetId="10">#REF!</definedName>
    <definedName name="__MT100" localSheetId="28">#REF!</definedName>
    <definedName name="__MT100">#REF!</definedName>
    <definedName name="__MT101" localSheetId="8">#REF!</definedName>
    <definedName name="__MT101" localSheetId="10">#REF!</definedName>
    <definedName name="__MT101" localSheetId="28">#REF!</definedName>
    <definedName name="__MT101">#REF!</definedName>
    <definedName name="__MT102" localSheetId="8">#REF!</definedName>
    <definedName name="__MT102" localSheetId="10">#REF!</definedName>
    <definedName name="__MT102" localSheetId="28">#REF!</definedName>
    <definedName name="__MT102">#REF!</definedName>
    <definedName name="__MT103" localSheetId="8">#REF!</definedName>
    <definedName name="__MT103" localSheetId="10">#REF!</definedName>
    <definedName name="__MT103" localSheetId="28">#REF!</definedName>
    <definedName name="__MT103">#REF!</definedName>
    <definedName name="__MT104" localSheetId="8">#REF!</definedName>
    <definedName name="__MT104" localSheetId="10">#REF!</definedName>
    <definedName name="__MT104" localSheetId="28">#REF!</definedName>
    <definedName name="__MT104">#REF!</definedName>
    <definedName name="__MT105" localSheetId="8">#REF!</definedName>
    <definedName name="__MT105" localSheetId="10">#REF!</definedName>
    <definedName name="__MT105" localSheetId="28">#REF!</definedName>
    <definedName name="__MT105">#REF!</definedName>
    <definedName name="__MT106" localSheetId="8">#REF!</definedName>
    <definedName name="__MT106" localSheetId="10">#REF!</definedName>
    <definedName name="__MT106" localSheetId="28">#REF!</definedName>
    <definedName name="__MT106">#REF!</definedName>
    <definedName name="__MT107" localSheetId="8">#REF!</definedName>
    <definedName name="__MT107" localSheetId="10">#REF!</definedName>
    <definedName name="__MT107" localSheetId="28">#REF!</definedName>
    <definedName name="__MT107">#REF!</definedName>
    <definedName name="__MT108" localSheetId="8">#REF!</definedName>
    <definedName name="__MT108" localSheetId="10">#REF!</definedName>
    <definedName name="__MT108" localSheetId="28">#REF!</definedName>
    <definedName name="__MT108">#REF!</definedName>
    <definedName name="__MT109" localSheetId="8">#REF!</definedName>
    <definedName name="__MT109" localSheetId="10">#REF!</definedName>
    <definedName name="__MT109" localSheetId="28">#REF!</definedName>
    <definedName name="__MT109">#REF!</definedName>
    <definedName name="__MT11" localSheetId="8">#REF!</definedName>
    <definedName name="__MT11" localSheetId="10">#REF!</definedName>
    <definedName name="__MT11" localSheetId="28">#REF!</definedName>
    <definedName name="__MT11">#REF!</definedName>
    <definedName name="__MT110" localSheetId="8">#REF!</definedName>
    <definedName name="__MT110" localSheetId="10">#REF!</definedName>
    <definedName name="__MT110" localSheetId="28">#REF!</definedName>
    <definedName name="__MT110">#REF!</definedName>
    <definedName name="__MT111" localSheetId="8">#REF!</definedName>
    <definedName name="__MT111" localSheetId="10">#REF!</definedName>
    <definedName name="__MT111" localSheetId="28">#REF!</definedName>
    <definedName name="__MT111">#REF!</definedName>
    <definedName name="__MT112" localSheetId="8">#REF!</definedName>
    <definedName name="__MT112" localSheetId="10">#REF!</definedName>
    <definedName name="__MT112" localSheetId="28">#REF!</definedName>
    <definedName name="__MT112">#REF!</definedName>
    <definedName name="__MT113" localSheetId="8">#REF!</definedName>
    <definedName name="__MT113" localSheetId="10">#REF!</definedName>
    <definedName name="__MT113" localSheetId="28">#REF!</definedName>
    <definedName name="__MT113">#REF!</definedName>
    <definedName name="__MT114" localSheetId="8">#REF!</definedName>
    <definedName name="__MT114" localSheetId="10">#REF!</definedName>
    <definedName name="__MT114" localSheetId="28">#REF!</definedName>
    <definedName name="__MT114">#REF!</definedName>
    <definedName name="__MT115" localSheetId="8">#REF!</definedName>
    <definedName name="__MT115" localSheetId="10">#REF!</definedName>
    <definedName name="__MT115" localSheetId="28">#REF!</definedName>
    <definedName name="__MT115">#REF!</definedName>
    <definedName name="__MT116" localSheetId="8">#REF!</definedName>
    <definedName name="__MT116" localSheetId="10">#REF!</definedName>
    <definedName name="__MT116" localSheetId="28">#REF!</definedName>
    <definedName name="__MT116">#REF!</definedName>
    <definedName name="__MT117" localSheetId="8">#REF!</definedName>
    <definedName name="__MT117" localSheetId="10">#REF!</definedName>
    <definedName name="__MT117" localSheetId="28">#REF!</definedName>
    <definedName name="__MT117">#REF!</definedName>
    <definedName name="__MT118" localSheetId="8">#REF!</definedName>
    <definedName name="__MT118" localSheetId="10">#REF!</definedName>
    <definedName name="__MT118" localSheetId="28">#REF!</definedName>
    <definedName name="__MT118">#REF!</definedName>
    <definedName name="__MT119" localSheetId="8">#REF!</definedName>
    <definedName name="__MT119" localSheetId="10">#REF!</definedName>
    <definedName name="__MT119" localSheetId="28">#REF!</definedName>
    <definedName name="__MT119">#REF!</definedName>
    <definedName name="__MT12" localSheetId="8">#REF!</definedName>
    <definedName name="__MT12" localSheetId="10">#REF!</definedName>
    <definedName name="__MT12" localSheetId="28">#REF!</definedName>
    <definedName name="__MT12">#REF!</definedName>
    <definedName name="__MT120" localSheetId="8">#REF!</definedName>
    <definedName name="__MT120" localSheetId="10">#REF!</definedName>
    <definedName name="__MT120" localSheetId="28">#REF!</definedName>
    <definedName name="__MT120">#REF!</definedName>
    <definedName name="__MT121" localSheetId="8">#REF!</definedName>
    <definedName name="__MT121" localSheetId="10">#REF!</definedName>
    <definedName name="__MT121" localSheetId="28">#REF!</definedName>
    <definedName name="__MT121">#REF!</definedName>
    <definedName name="__MT122" localSheetId="8">#REF!</definedName>
    <definedName name="__MT122" localSheetId="10">#REF!</definedName>
    <definedName name="__MT122" localSheetId="28">#REF!</definedName>
    <definedName name="__MT122">#REF!</definedName>
    <definedName name="__MT123" localSheetId="8">#REF!</definedName>
    <definedName name="__MT123" localSheetId="10">#REF!</definedName>
    <definedName name="__MT123" localSheetId="28">#REF!</definedName>
    <definedName name="__MT123">#REF!</definedName>
    <definedName name="__MT124" localSheetId="8">#REF!</definedName>
    <definedName name="__MT124" localSheetId="10">#REF!</definedName>
    <definedName name="__MT124" localSheetId="28">#REF!</definedName>
    <definedName name="__MT124">#REF!</definedName>
    <definedName name="__MT125" localSheetId="8">#REF!</definedName>
    <definedName name="__MT125" localSheetId="10">#REF!</definedName>
    <definedName name="__MT125" localSheetId="28">#REF!</definedName>
    <definedName name="__MT125">#REF!</definedName>
    <definedName name="__MT126" localSheetId="8">#REF!</definedName>
    <definedName name="__MT126" localSheetId="10">#REF!</definedName>
    <definedName name="__MT126" localSheetId="28">#REF!</definedName>
    <definedName name="__MT126">#REF!</definedName>
    <definedName name="__MT127" localSheetId="8">#REF!</definedName>
    <definedName name="__MT127" localSheetId="10">#REF!</definedName>
    <definedName name="__MT127" localSheetId="28">#REF!</definedName>
    <definedName name="__MT127">#REF!</definedName>
    <definedName name="__MT128" localSheetId="8">#REF!</definedName>
    <definedName name="__MT128" localSheetId="10">#REF!</definedName>
    <definedName name="__MT128" localSheetId="28">#REF!</definedName>
    <definedName name="__MT128">#REF!</definedName>
    <definedName name="__MT129" localSheetId="8">#REF!</definedName>
    <definedName name="__MT129" localSheetId="10">#REF!</definedName>
    <definedName name="__MT129" localSheetId="28">#REF!</definedName>
    <definedName name="__MT129">#REF!</definedName>
    <definedName name="__MT13" localSheetId="8">#REF!</definedName>
    <definedName name="__MT13" localSheetId="10">#REF!</definedName>
    <definedName name="__MT13" localSheetId="28">#REF!</definedName>
    <definedName name="__MT13">#REF!</definedName>
    <definedName name="__MT130" localSheetId="8">#REF!</definedName>
    <definedName name="__MT130" localSheetId="10">#REF!</definedName>
    <definedName name="__MT130" localSheetId="28">#REF!</definedName>
    <definedName name="__MT130">#REF!</definedName>
    <definedName name="__MT131" localSheetId="8">#REF!</definedName>
    <definedName name="__MT131" localSheetId="10">#REF!</definedName>
    <definedName name="__MT131" localSheetId="28">#REF!</definedName>
    <definedName name="__MT131">#REF!</definedName>
    <definedName name="__MT132" localSheetId="8">#REF!</definedName>
    <definedName name="__MT132" localSheetId="10">#REF!</definedName>
    <definedName name="__MT132" localSheetId="28">#REF!</definedName>
    <definedName name="__MT132">#REF!</definedName>
    <definedName name="__MT133" localSheetId="8">#REF!</definedName>
    <definedName name="__MT133" localSheetId="10">#REF!</definedName>
    <definedName name="__MT133" localSheetId="28">#REF!</definedName>
    <definedName name="__MT133">#REF!</definedName>
    <definedName name="__MT134" localSheetId="8">#REF!</definedName>
    <definedName name="__MT134" localSheetId="10">#REF!</definedName>
    <definedName name="__MT134" localSheetId="28">#REF!</definedName>
    <definedName name="__MT134">#REF!</definedName>
    <definedName name="__MT135" localSheetId="8">#REF!</definedName>
    <definedName name="__MT135" localSheetId="10">#REF!</definedName>
    <definedName name="__MT135" localSheetId="28">#REF!</definedName>
    <definedName name="__MT135">#REF!</definedName>
    <definedName name="__MT136" localSheetId="8">#REF!</definedName>
    <definedName name="__MT136" localSheetId="10">#REF!</definedName>
    <definedName name="__MT136" localSheetId="28">#REF!</definedName>
    <definedName name="__MT136">#REF!</definedName>
    <definedName name="__MT137" localSheetId="8">#REF!</definedName>
    <definedName name="__MT137" localSheetId="10">#REF!</definedName>
    <definedName name="__MT137" localSheetId="28">#REF!</definedName>
    <definedName name="__MT137">#REF!</definedName>
    <definedName name="__MT138" localSheetId="8">#REF!</definedName>
    <definedName name="__MT138" localSheetId="10">#REF!</definedName>
    <definedName name="__MT138" localSheetId="28">#REF!</definedName>
    <definedName name="__MT138">#REF!</definedName>
    <definedName name="__MT139" localSheetId="8">#REF!</definedName>
    <definedName name="__MT139" localSheetId="10">#REF!</definedName>
    <definedName name="__MT139" localSheetId="28">#REF!</definedName>
    <definedName name="__MT139">#REF!</definedName>
    <definedName name="__MT14" localSheetId="8">#REF!</definedName>
    <definedName name="__MT14" localSheetId="10">#REF!</definedName>
    <definedName name="__MT14" localSheetId="28">#REF!</definedName>
    <definedName name="__MT14">#REF!</definedName>
    <definedName name="__MT140" localSheetId="8">#REF!</definedName>
    <definedName name="__MT140" localSheetId="10">#REF!</definedName>
    <definedName name="__MT140" localSheetId="28">#REF!</definedName>
    <definedName name="__MT140">#REF!</definedName>
    <definedName name="__MT141" localSheetId="8">#REF!</definedName>
    <definedName name="__MT141" localSheetId="10">#REF!</definedName>
    <definedName name="__MT141" localSheetId="28">#REF!</definedName>
    <definedName name="__MT141">#REF!</definedName>
    <definedName name="__MT142" localSheetId="8">#REF!</definedName>
    <definedName name="__MT142" localSheetId="10">#REF!</definedName>
    <definedName name="__MT142" localSheetId="28">#REF!</definedName>
    <definedName name="__MT142">#REF!</definedName>
    <definedName name="__MT143" localSheetId="8">#REF!</definedName>
    <definedName name="__MT143" localSheetId="10">#REF!</definedName>
    <definedName name="__MT143" localSheetId="28">#REF!</definedName>
    <definedName name="__MT143">#REF!</definedName>
    <definedName name="__MT144" localSheetId="8">#REF!</definedName>
    <definedName name="__MT144" localSheetId="10">#REF!</definedName>
    <definedName name="__MT144" localSheetId="28">#REF!</definedName>
    <definedName name="__MT144">#REF!</definedName>
    <definedName name="__MT145" localSheetId="8">#REF!</definedName>
    <definedName name="__MT145" localSheetId="10">#REF!</definedName>
    <definedName name="__MT145" localSheetId="28">#REF!</definedName>
    <definedName name="__MT145">#REF!</definedName>
    <definedName name="__MT146" localSheetId="8">#REF!</definedName>
    <definedName name="__MT146" localSheetId="10">#REF!</definedName>
    <definedName name="__MT146" localSheetId="28">#REF!</definedName>
    <definedName name="__MT146">#REF!</definedName>
    <definedName name="__MT147" localSheetId="8">#REF!</definedName>
    <definedName name="__MT147" localSheetId="10">#REF!</definedName>
    <definedName name="__MT147" localSheetId="28">#REF!</definedName>
    <definedName name="__MT147">#REF!</definedName>
    <definedName name="__MT148" localSheetId="8">#REF!</definedName>
    <definedName name="__MT148" localSheetId="10">#REF!</definedName>
    <definedName name="__MT148" localSheetId="28">#REF!</definedName>
    <definedName name="__MT148">#REF!</definedName>
    <definedName name="__MT149" localSheetId="8">#REF!</definedName>
    <definedName name="__MT149" localSheetId="10">#REF!</definedName>
    <definedName name="__MT149" localSheetId="28">#REF!</definedName>
    <definedName name="__MT149">#REF!</definedName>
    <definedName name="__MT15" localSheetId="8">#REF!</definedName>
    <definedName name="__MT15" localSheetId="10">#REF!</definedName>
    <definedName name="__MT15" localSheetId="28">#REF!</definedName>
    <definedName name="__MT15">#REF!</definedName>
    <definedName name="__MT150" localSheetId="8">#REF!</definedName>
    <definedName name="__MT150" localSheetId="10">#REF!</definedName>
    <definedName name="__MT150" localSheetId="28">#REF!</definedName>
    <definedName name="__MT150">#REF!</definedName>
    <definedName name="__MT16" localSheetId="8">#REF!</definedName>
    <definedName name="__MT16" localSheetId="10">#REF!</definedName>
    <definedName name="__MT16" localSheetId="28">#REF!</definedName>
    <definedName name="__MT16">#REF!</definedName>
    <definedName name="__MT17" localSheetId="8">#REF!</definedName>
    <definedName name="__MT17" localSheetId="10">#REF!</definedName>
    <definedName name="__MT17" localSheetId="28">#REF!</definedName>
    <definedName name="__MT17">#REF!</definedName>
    <definedName name="__MT18" localSheetId="8">#REF!</definedName>
    <definedName name="__MT18" localSheetId="10">#REF!</definedName>
    <definedName name="__MT18" localSheetId="28">#REF!</definedName>
    <definedName name="__MT18">#REF!</definedName>
    <definedName name="__MT19" localSheetId="8">#REF!</definedName>
    <definedName name="__MT19" localSheetId="10">#REF!</definedName>
    <definedName name="__MT19" localSheetId="28">#REF!</definedName>
    <definedName name="__MT19">#REF!</definedName>
    <definedName name="__MT2" localSheetId="8">#REF!</definedName>
    <definedName name="__MT2" localSheetId="10">#REF!</definedName>
    <definedName name="__MT2" localSheetId="28">#REF!</definedName>
    <definedName name="__MT2">#REF!</definedName>
    <definedName name="__MT20" localSheetId="8">#REF!</definedName>
    <definedName name="__MT20" localSheetId="10">#REF!</definedName>
    <definedName name="__MT20" localSheetId="28">#REF!</definedName>
    <definedName name="__MT20">#REF!</definedName>
    <definedName name="__MT21" localSheetId="8">#REF!</definedName>
    <definedName name="__MT21" localSheetId="10">#REF!</definedName>
    <definedName name="__MT21" localSheetId="28">#REF!</definedName>
    <definedName name="__MT21">#REF!</definedName>
    <definedName name="__MT22" localSheetId="8">#REF!</definedName>
    <definedName name="__MT22" localSheetId="10">#REF!</definedName>
    <definedName name="__MT22" localSheetId="28">#REF!</definedName>
    <definedName name="__MT22">#REF!</definedName>
    <definedName name="__MT23" localSheetId="8">#REF!</definedName>
    <definedName name="__MT23" localSheetId="10">#REF!</definedName>
    <definedName name="__MT23" localSheetId="28">#REF!</definedName>
    <definedName name="__MT23">#REF!</definedName>
    <definedName name="__MT24" localSheetId="8">#REF!</definedName>
    <definedName name="__MT24" localSheetId="10">#REF!</definedName>
    <definedName name="__MT24" localSheetId="28">#REF!</definedName>
    <definedName name="__MT24">#REF!</definedName>
    <definedName name="__MT25" localSheetId="8">#REF!</definedName>
    <definedName name="__MT25" localSheetId="10">#REF!</definedName>
    <definedName name="__MT25" localSheetId="28">#REF!</definedName>
    <definedName name="__MT25">#REF!</definedName>
    <definedName name="__MT26" localSheetId="8">#REF!</definedName>
    <definedName name="__MT26" localSheetId="10">#REF!</definedName>
    <definedName name="__MT26" localSheetId="28">#REF!</definedName>
    <definedName name="__MT26">#REF!</definedName>
    <definedName name="__MT27" localSheetId="8">#REF!</definedName>
    <definedName name="__MT27" localSheetId="10">#REF!</definedName>
    <definedName name="__MT27" localSheetId="28">#REF!</definedName>
    <definedName name="__MT27">#REF!</definedName>
    <definedName name="__MT28" localSheetId="8">#REF!</definedName>
    <definedName name="__MT28" localSheetId="10">#REF!</definedName>
    <definedName name="__MT28" localSheetId="28">#REF!</definedName>
    <definedName name="__MT28">#REF!</definedName>
    <definedName name="__MT29" localSheetId="8">#REF!</definedName>
    <definedName name="__MT29" localSheetId="10">#REF!</definedName>
    <definedName name="__MT29" localSheetId="28">#REF!</definedName>
    <definedName name="__MT29">#REF!</definedName>
    <definedName name="__MT3" localSheetId="8">#REF!</definedName>
    <definedName name="__MT3" localSheetId="10">#REF!</definedName>
    <definedName name="__MT3" localSheetId="28">#REF!</definedName>
    <definedName name="__MT3">#REF!</definedName>
    <definedName name="__MT30" localSheetId="8">#REF!</definedName>
    <definedName name="__MT30" localSheetId="10">#REF!</definedName>
    <definedName name="__MT30" localSheetId="28">#REF!</definedName>
    <definedName name="__MT30">#REF!</definedName>
    <definedName name="__MT31" localSheetId="8">#REF!</definedName>
    <definedName name="__MT31" localSheetId="10">#REF!</definedName>
    <definedName name="__MT31" localSheetId="28">#REF!</definedName>
    <definedName name="__MT31">#REF!</definedName>
    <definedName name="__MT32" localSheetId="8">#REF!</definedName>
    <definedName name="__MT32" localSheetId="10">#REF!</definedName>
    <definedName name="__MT32" localSheetId="28">#REF!</definedName>
    <definedName name="__MT32">#REF!</definedName>
    <definedName name="__MT33" localSheetId="8">#REF!</definedName>
    <definedName name="__MT33" localSheetId="10">#REF!</definedName>
    <definedName name="__MT33" localSheetId="28">#REF!</definedName>
    <definedName name="__MT33">#REF!</definedName>
    <definedName name="__MT34" localSheetId="8">#REF!</definedName>
    <definedName name="__MT34" localSheetId="10">#REF!</definedName>
    <definedName name="__MT34" localSheetId="28">#REF!</definedName>
    <definedName name="__MT34">#REF!</definedName>
    <definedName name="__MT35" localSheetId="8">#REF!</definedName>
    <definedName name="__MT35" localSheetId="10">#REF!</definedName>
    <definedName name="__MT35" localSheetId="28">#REF!</definedName>
    <definedName name="__MT35">#REF!</definedName>
    <definedName name="__MT36" localSheetId="8">#REF!</definedName>
    <definedName name="__MT36" localSheetId="10">#REF!</definedName>
    <definedName name="__MT36" localSheetId="28">#REF!</definedName>
    <definedName name="__MT36">#REF!</definedName>
    <definedName name="__MT37" localSheetId="8">#REF!</definedName>
    <definedName name="__MT37" localSheetId="10">#REF!</definedName>
    <definedName name="__MT37" localSheetId="28">#REF!</definedName>
    <definedName name="__MT37">#REF!</definedName>
    <definedName name="__MT38" localSheetId="8">#REF!</definedName>
    <definedName name="__MT38" localSheetId="10">#REF!</definedName>
    <definedName name="__MT38" localSheetId="28">#REF!</definedName>
    <definedName name="__MT38">#REF!</definedName>
    <definedName name="__MT39" localSheetId="8">#REF!</definedName>
    <definedName name="__MT39" localSheetId="10">#REF!</definedName>
    <definedName name="__MT39" localSheetId="28">#REF!</definedName>
    <definedName name="__MT39">#REF!</definedName>
    <definedName name="__MT4" localSheetId="8">#REF!</definedName>
    <definedName name="__MT4" localSheetId="10">#REF!</definedName>
    <definedName name="__MT4" localSheetId="28">#REF!</definedName>
    <definedName name="__MT4">#REF!</definedName>
    <definedName name="__MT40" localSheetId="8">#REF!</definedName>
    <definedName name="__MT40" localSheetId="10">#REF!</definedName>
    <definedName name="__MT40" localSheetId="28">#REF!</definedName>
    <definedName name="__MT40">#REF!</definedName>
    <definedName name="__MT41" localSheetId="8">#REF!</definedName>
    <definedName name="__MT41" localSheetId="10">#REF!</definedName>
    <definedName name="__MT41" localSheetId="28">#REF!</definedName>
    <definedName name="__MT41">#REF!</definedName>
    <definedName name="__MT42" localSheetId="8">#REF!</definedName>
    <definedName name="__MT42" localSheetId="10">#REF!</definedName>
    <definedName name="__MT42" localSheetId="28">#REF!</definedName>
    <definedName name="__MT42">#REF!</definedName>
    <definedName name="__MT43" localSheetId="8">#REF!</definedName>
    <definedName name="__MT43" localSheetId="10">#REF!</definedName>
    <definedName name="__MT43" localSheetId="28">#REF!</definedName>
    <definedName name="__MT43">#REF!</definedName>
    <definedName name="__MT44" localSheetId="8">#REF!</definedName>
    <definedName name="__MT44" localSheetId="10">#REF!</definedName>
    <definedName name="__MT44" localSheetId="28">#REF!</definedName>
    <definedName name="__MT44">#REF!</definedName>
    <definedName name="__MT45" localSheetId="8">#REF!</definedName>
    <definedName name="__MT45" localSheetId="10">#REF!</definedName>
    <definedName name="__MT45" localSheetId="28">#REF!</definedName>
    <definedName name="__MT45">#REF!</definedName>
    <definedName name="__MT46" localSheetId="8">#REF!</definedName>
    <definedName name="__MT46" localSheetId="10">#REF!</definedName>
    <definedName name="__MT46" localSheetId="28">#REF!</definedName>
    <definedName name="__MT46">#REF!</definedName>
    <definedName name="__MT47" localSheetId="8">#REF!</definedName>
    <definedName name="__MT47" localSheetId="10">#REF!</definedName>
    <definedName name="__MT47" localSheetId="28">#REF!</definedName>
    <definedName name="__MT47">#REF!</definedName>
    <definedName name="__MT48" localSheetId="8">#REF!</definedName>
    <definedName name="__MT48" localSheetId="10">#REF!</definedName>
    <definedName name="__MT48" localSheetId="28">#REF!</definedName>
    <definedName name="__MT48">#REF!</definedName>
    <definedName name="__MT49" localSheetId="8">#REF!</definedName>
    <definedName name="__MT49" localSheetId="10">#REF!</definedName>
    <definedName name="__MT49" localSheetId="28">#REF!</definedName>
    <definedName name="__MT49">#REF!</definedName>
    <definedName name="__MT5" localSheetId="8">#REF!</definedName>
    <definedName name="__MT5" localSheetId="10">#REF!</definedName>
    <definedName name="__MT5" localSheetId="28">#REF!</definedName>
    <definedName name="__MT5">#REF!</definedName>
    <definedName name="__MT50" localSheetId="8">#REF!</definedName>
    <definedName name="__MT50" localSheetId="10">#REF!</definedName>
    <definedName name="__MT50" localSheetId="28">#REF!</definedName>
    <definedName name="__MT50">#REF!</definedName>
    <definedName name="__MT500" localSheetId="8">#REF!</definedName>
    <definedName name="__MT500" localSheetId="10">#REF!</definedName>
    <definedName name="__MT500" localSheetId="28">#REF!</definedName>
    <definedName name="__MT500">#REF!</definedName>
    <definedName name="__MT51" localSheetId="8">#REF!</definedName>
    <definedName name="__MT51" localSheetId="10">#REF!</definedName>
    <definedName name="__MT51" localSheetId="28">#REF!</definedName>
    <definedName name="__MT51">#REF!</definedName>
    <definedName name="__MT52" localSheetId="8">#REF!</definedName>
    <definedName name="__MT52" localSheetId="10">#REF!</definedName>
    <definedName name="__MT52" localSheetId="28">#REF!</definedName>
    <definedName name="__MT52">#REF!</definedName>
    <definedName name="__MT53" localSheetId="8">#REF!</definedName>
    <definedName name="__MT53" localSheetId="10">#REF!</definedName>
    <definedName name="__MT53" localSheetId="28">#REF!</definedName>
    <definedName name="__MT53">#REF!</definedName>
    <definedName name="__MT54" localSheetId="8">#REF!</definedName>
    <definedName name="__MT54" localSheetId="10">#REF!</definedName>
    <definedName name="__MT54" localSheetId="28">#REF!</definedName>
    <definedName name="__MT54">#REF!</definedName>
    <definedName name="__MT55" localSheetId="8">#REF!</definedName>
    <definedName name="__MT55" localSheetId="10">#REF!</definedName>
    <definedName name="__MT55" localSheetId="28">#REF!</definedName>
    <definedName name="__MT55">#REF!</definedName>
    <definedName name="__MT56" localSheetId="8">#REF!</definedName>
    <definedName name="__MT56" localSheetId="10">#REF!</definedName>
    <definedName name="__MT56" localSheetId="28">#REF!</definedName>
    <definedName name="__MT56">#REF!</definedName>
    <definedName name="__MT57" localSheetId="8">#REF!</definedName>
    <definedName name="__MT57" localSheetId="10">#REF!</definedName>
    <definedName name="__MT57" localSheetId="28">#REF!</definedName>
    <definedName name="__MT57">#REF!</definedName>
    <definedName name="__MT58" localSheetId="8">#REF!</definedName>
    <definedName name="__MT58" localSheetId="10">#REF!</definedName>
    <definedName name="__MT58" localSheetId="28">#REF!</definedName>
    <definedName name="__MT58">#REF!</definedName>
    <definedName name="__MT59" localSheetId="8">#REF!</definedName>
    <definedName name="__MT59" localSheetId="10">#REF!</definedName>
    <definedName name="__MT59" localSheetId="28">#REF!</definedName>
    <definedName name="__MT59">#REF!</definedName>
    <definedName name="__MT6" localSheetId="8">#REF!</definedName>
    <definedName name="__MT6" localSheetId="10">#REF!</definedName>
    <definedName name="__MT6" localSheetId="28">#REF!</definedName>
    <definedName name="__MT6">#REF!</definedName>
    <definedName name="__MT60" localSheetId="8">#REF!</definedName>
    <definedName name="__MT60" localSheetId="10">#REF!</definedName>
    <definedName name="__MT60" localSheetId="28">#REF!</definedName>
    <definedName name="__MT60">#REF!</definedName>
    <definedName name="__MT61" localSheetId="8">#REF!</definedName>
    <definedName name="__MT61" localSheetId="10">#REF!</definedName>
    <definedName name="__MT61" localSheetId="28">#REF!</definedName>
    <definedName name="__MT61">#REF!</definedName>
    <definedName name="__MT62" localSheetId="8">#REF!</definedName>
    <definedName name="__MT62" localSheetId="10">#REF!</definedName>
    <definedName name="__MT62" localSheetId="28">#REF!</definedName>
    <definedName name="__MT62">#REF!</definedName>
    <definedName name="__MT63" localSheetId="8">#REF!</definedName>
    <definedName name="__MT63" localSheetId="10">#REF!</definedName>
    <definedName name="__MT63" localSheetId="28">#REF!</definedName>
    <definedName name="__MT63">#REF!</definedName>
    <definedName name="__MT64" localSheetId="8">#REF!</definedName>
    <definedName name="__MT64" localSheetId="10">#REF!</definedName>
    <definedName name="__MT64" localSheetId="28">#REF!</definedName>
    <definedName name="__MT64">#REF!</definedName>
    <definedName name="__MT65" localSheetId="8">#REF!</definedName>
    <definedName name="__MT65" localSheetId="10">#REF!</definedName>
    <definedName name="__MT65" localSheetId="28">#REF!</definedName>
    <definedName name="__MT65">#REF!</definedName>
    <definedName name="__MT66" localSheetId="8">#REF!</definedName>
    <definedName name="__MT66" localSheetId="10">#REF!</definedName>
    <definedName name="__MT66" localSheetId="28">#REF!</definedName>
    <definedName name="__MT66">#REF!</definedName>
    <definedName name="__MT67" localSheetId="8">#REF!</definedName>
    <definedName name="__MT67" localSheetId="10">#REF!</definedName>
    <definedName name="__MT67" localSheetId="28">#REF!</definedName>
    <definedName name="__MT67">#REF!</definedName>
    <definedName name="__MT68" localSheetId="8">#REF!</definedName>
    <definedName name="__MT68" localSheetId="10">#REF!</definedName>
    <definedName name="__MT68" localSheetId="28">#REF!</definedName>
    <definedName name="__MT68">#REF!</definedName>
    <definedName name="__MT69" localSheetId="8">#REF!</definedName>
    <definedName name="__MT69" localSheetId="10">#REF!</definedName>
    <definedName name="__MT69" localSheetId="28">#REF!</definedName>
    <definedName name="__MT69">#REF!</definedName>
    <definedName name="__MT7" localSheetId="8">#REF!</definedName>
    <definedName name="__MT7" localSheetId="10">#REF!</definedName>
    <definedName name="__MT7" localSheetId="28">#REF!</definedName>
    <definedName name="__MT7">#REF!</definedName>
    <definedName name="__MT70" localSheetId="8">#REF!</definedName>
    <definedName name="__MT70" localSheetId="10">#REF!</definedName>
    <definedName name="__MT70" localSheetId="28">#REF!</definedName>
    <definedName name="__MT70">#REF!</definedName>
    <definedName name="__MT71" localSheetId="8">#REF!</definedName>
    <definedName name="__MT71" localSheetId="10">#REF!</definedName>
    <definedName name="__MT71" localSheetId="28">#REF!</definedName>
    <definedName name="__MT71">#REF!</definedName>
    <definedName name="__MT72" localSheetId="8">#REF!</definedName>
    <definedName name="__MT72" localSheetId="10">#REF!</definedName>
    <definedName name="__MT72" localSheetId="28">#REF!</definedName>
    <definedName name="__MT72">#REF!</definedName>
    <definedName name="__MT73" localSheetId="8">#REF!</definedName>
    <definedName name="__MT73" localSheetId="10">#REF!</definedName>
    <definedName name="__MT73" localSheetId="28">#REF!</definedName>
    <definedName name="__MT73">#REF!</definedName>
    <definedName name="__MT74" localSheetId="8">#REF!</definedName>
    <definedName name="__MT74" localSheetId="10">#REF!</definedName>
    <definedName name="__MT74" localSheetId="28">#REF!</definedName>
    <definedName name="__MT74">#REF!</definedName>
    <definedName name="__MT75" localSheetId="8">#REF!</definedName>
    <definedName name="__MT75" localSheetId="10">#REF!</definedName>
    <definedName name="__MT75" localSheetId="28">#REF!</definedName>
    <definedName name="__MT75">#REF!</definedName>
    <definedName name="__MT76" localSheetId="8">#REF!</definedName>
    <definedName name="__MT76" localSheetId="10">#REF!</definedName>
    <definedName name="__MT76" localSheetId="28">#REF!</definedName>
    <definedName name="__MT76">#REF!</definedName>
    <definedName name="__MT77" localSheetId="8">#REF!</definedName>
    <definedName name="__MT77" localSheetId="10">#REF!</definedName>
    <definedName name="__MT77" localSheetId="28">#REF!</definedName>
    <definedName name="__MT77">#REF!</definedName>
    <definedName name="__MT78" localSheetId="8">#REF!</definedName>
    <definedName name="__MT78" localSheetId="10">#REF!</definedName>
    <definedName name="__MT78" localSheetId="28">#REF!</definedName>
    <definedName name="__MT78">#REF!</definedName>
    <definedName name="__MT79" localSheetId="8">#REF!</definedName>
    <definedName name="__MT79" localSheetId="10">#REF!</definedName>
    <definedName name="__MT79" localSheetId="28">#REF!</definedName>
    <definedName name="__MT79">#REF!</definedName>
    <definedName name="__MT8" localSheetId="8">#REF!</definedName>
    <definedName name="__MT8" localSheetId="10">#REF!</definedName>
    <definedName name="__MT8" localSheetId="28">#REF!</definedName>
    <definedName name="__MT8">#REF!</definedName>
    <definedName name="__MT80" localSheetId="8">#REF!</definedName>
    <definedName name="__MT80" localSheetId="10">#REF!</definedName>
    <definedName name="__MT80" localSheetId="28">#REF!</definedName>
    <definedName name="__MT80">#REF!</definedName>
    <definedName name="__MT81" localSheetId="8">#REF!</definedName>
    <definedName name="__MT81" localSheetId="10">#REF!</definedName>
    <definedName name="__MT81" localSheetId="28">#REF!</definedName>
    <definedName name="__MT81">#REF!</definedName>
    <definedName name="__MT82" localSheetId="8">#REF!</definedName>
    <definedName name="__MT82" localSheetId="10">#REF!</definedName>
    <definedName name="__MT82" localSheetId="28">#REF!</definedName>
    <definedName name="__MT82">#REF!</definedName>
    <definedName name="__MT83" localSheetId="8">#REF!</definedName>
    <definedName name="__MT83" localSheetId="10">#REF!</definedName>
    <definedName name="__MT83" localSheetId="28">#REF!</definedName>
    <definedName name="__MT83">#REF!</definedName>
    <definedName name="__MT84" localSheetId="8">#REF!</definedName>
    <definedName name="__MT84" localSheetId="10">#REF!</definedName>
    <definedName name="__MT84" localSheetId="28">#REF!</definedName>
    <definedName name="__MT84">#REF!</definedName>
    <definedName name="__MT85" localSheetId="8">#REF!</definedName>
    <definedName name="__MT85" localSheetId="10">#REF!</definedName>
    <definedName name="__MT85" localSheetId="28">#REF!</definedName>
    <definedName name="__MT85">#REF!</definedName>
    <definedName name="__MT86" localSheetId="8">#REF!</definedName>
    <definedName name="__MT86" localSheetId="10">#REF!</definedName>
    <definedName name="__MT86" localSheetId="28">#REF!</definedName>
    <definedName name="__MT86">#REF!</definedName>
    <definedName name="__MT87" localSheetId="8">#REF!</definedName>
    <definedName name="__MT87" localSheetId="10">#REF!</definedName>
    <definedName name="__MT87" localSheetId="28">#REF!</definedName>
    <definedName name="__MT87">#REF!</definedName>
    <definedName name="__MT88" localSheetId="8">#REF!</definedName>
    <definedName name="__MT88" localSheetId="10">#REF!</definedName>
    <definedName name="__MT88" localSheetId="28">#REF!</definedName>
    <definedName name="__MT88">#REF!</definedName>
    <definedName name="__MT89" localSheetId="8">#REF!</definedName>
    <definedName name="__MT89" localSheetId="10">#REF!</definedName>
    <definedName name="__MT89" localSheetId="28">#REF!</definedName>
    <definedName name="__MT89">#REF!</definedName>
    <definedName name="__MT9" localSheetId="8">#REF!</definedName>
    <definedName name="__MT9" localSheetId="10">#REF!</definedName>
    <definedName name="__MT9" localSheetId="28">#REF!</definedName>
    <definedName name="__MT9">#REF!</definedName>
    <definedName name="__MT90" localSheetId="8">#REF!</definedName>
    <definedName name="__MT90" localSheetId="10">#REF!</definedName>
    <definedName name="__MT90" localSheetId="28">#REF!</definedName>
    <definedName name="__MT90">#REF!</definedName>
    <definedName name="__MT91" localSheetId="8">#REF!</definedName>
    <definedName name="__MT91" localSheetId="10">#REF!</definedName>
    <definedName name="__MT91" localSheetId="28">#REF!</definedName>
    <definedName name="__MT91">#REF!</definedName>
    <definedName name="__MT92" localSheetId="8">#REF!</definedName>
    <definedName name="__MT92" localSheetId="10">#REF!</definedName>
    <definedName name="__MT92" localSheetId="28">#REF!</definedName>
    <definedName name="__MT92">#REF!</definedName>
    <definedName name="__MT93" localSheetId="8">#REF!</definedName>
    <definedName name="__MT93" localSheetId="10">#REF!</definedName>
    <definedName name="__MT93" localSheetId="28">#REF!</definedName>
    <definedName name="__MT93">#REF!</definedName>
    <definedName name="__MT94" localSheetId="8">#REF!</definedName>
    <definedName name="__MT94" localSheetId="10">#REF!</definedName>
    <definedName name="__MT94" localSheetId="28">#REF!</definedName>
    <definedName name="__MT94">#REF!</definedName>
    <definedName name="__MT95" localSheetId="8">#REF!</definedName>
    <definedName name="__MT95" localSheetId="10">#REF!</definedName>
    <definedName name="__MT95" localSheetId="28">#REF!</definedName>
    <definedName name="__MT95">#REF!</definedName>
    <definedName name="__MT96" localSheetId="8">#REF!</definedName>
    <definedName name="__MT96" localSheetId="10">#REF!</definedName>
    <definedName name="__MT96" localSheetId="28">#REF!</definedName>
    <definedName name="__MT96">#REF!</definedName>
    <definedName name="__MT97" localSheetId="8">#REF!</definedName>
    <definedName name="__MT97" localSheetId="10">#REF!</definedName>
    <definedName name="__MT97" localSheetId="28">#REF!</definedName>
    <definedName name="__MT97">#REF!</definedName>
    <definedName name="__MT98" localSheetId="8">#REF!</definedName>
    <definedName name="__MT98" localSheetId="10">#REF!</definedName>
    <definedName name="__MT98" localSheetId="28">#REF!</definedName>
    <definedName name="__MT98">#REF!</definedName>
    <definedName name="__MT99" localSheetId="8">#REF!</definedName>
    <definedName name="__MT99" localSheetId="10">#REF!</definedName>
    <definedName name="__MT99" localSheetId="28">#REF!</definedName>
    <definedName name="__MT99">#REF!</definedName>
    <definedName name="__o3">#REF!</definedName>
    <definedName name="__p5" localSheetId="8">#REF!</definedName>
    <definedName name="__p5" localSheetId="10">#REF!</definedName>
    <definedName name="__p5" localSheetId="28">#REF!</definedName>
    <definedName name="__p5">#REF!</definedName>
    <definedName name="__pc02">#REF!</definedName>
    <definedName name="__PC1">#REF!</definedName>
    <definedName name="__PC10">#REF!</definedName>
    <definedName name="__PC11">#REF!</definedName>
    <definedName name="__PC12">#REF!</definedName>
    <definedName name="__PC13">#REF!</definedName>
    <definedName name="__PC14">#REF!</definedName>
    <definedName name="__PC15">#REF!</definedName>
    <definedName name="__PC16">#REF!</definedName>
    <definedName name="__PC17">#REF!</definedName>
    <definedName name="__PC18">#REF!</definedName>
    <definedName name="__PC19">#REF!</definedName>
    <definedName name="__pc2" localSheetId="33">#REF!</definedName>
    <definedName name="__pc2" localSheetId="34">#REF!</definedName>
    <definedName name="__pc2" localSheetId="35">#REF!</definedName>
    <definedName name="__pc2" localSheetId="5">#REF!</definedName>
    <definedName name="__pc2" localSheetId="8">#REF!</definedName>
    <definedName name="__pc2" localSheetId="10">#REF!</definedName>
    <definedName name="__pc2" localSheetId="11">#REF!</definedName>
    <definedName name="__pc2" localSheetId="37">#REF!</definedName>
    <definedName name="__pc2" localSheetId="28">#REF!</definedName>
    <definedName name="__pc2" localSheetId="42">#REF!</definedName>
    <definedName name="__pc2" localSheetId="31">#REF!</definedName>
    <definedName name="__pc2">#REF!</definedName>
    <definedName name="__pc2_23">"$#REF!.$#REF!$#REF!"</definedName>
    <definedName name="__pc2_33">"$#REF!.$#REF!$#REF!"</definedName>
    <definedName name="__pc2_34">"$#REF!.$#REF!$#REF!"</definedName>
    <definedName name="__pc2_38">"$#REF!.$#REF!$#REF!"</definedName>
    <definedName name="__pc2_41">"$#REF!.$#REF!$#REF!"</definedName>
    <definedName name="__pc2_43">"$#REF!.$#REF!$#REF!"</definedName>
    <definedName name="__pc2_48">"$#REF!.$#REF!$#REF!"</definedName>
    <definedName name="__pc2_57">"$#REF!.$#REF!$#REF!"</definedName>
    <definedName name="__pc2_59">"$#REF!.$#REF!$#REF!"</definedName>
    <definedName name="__pc2_60">"$#REF!.$#REF!$#REF!"</definedName>
    <definedName name="__pc2_61">"$#REF!.$#REF!$#REF!"</definedName>
    <definedName name="__pc2_62">"$#REF!.$#REF!$#REF!"</definedName>
    <definedName name="__pc2_7">"$#REF!.$#REF!$#REF!"</definedName>
    <definedName name="__pc2_72">"$#REF!.$#REF!$#REF!"</definedName>
    <definedName name="__pc2_73">"$#REF!.$#REF!$#REF!"</definedName>
    <definedName name="__pc2_8">"$#REF!.$#REF!$#REF!"</definedName>
    <definedName name="__PC20">#REF!</definedName>
    <definedName name="__PC21">#REF!</definedName>
    <definedName name="__PC22">#REF!</definedName>
    <definedName name="__PC23">#REF!</definedName>
    <definedName name="__PC24">#REF!</definedName>
    <definedName name="__PC3">#REF!</definedName>
    <definedName name="__PC4">#REF!</definedName>
    <definedName name="__PC5">#REF!</definedName>
    <definedName name="__PC6">#REF!</definedName>
    <definedName name="__pc600">#REF!</definedName>
    <definedName name="__PC7">#REF!</definedName>
    <definedName name="__PC8">#REF!</definedName>
    <definedName name="__PC9">#REF!</definedName>
    <definedName name="__pc900">#REF!</definedName>
    <definedName name="__pi1">#REF!</definedName>
    <definedName name="__PMS2" localSheetId="8">#REF!</definedName>
    <definedName name="__PMS2" localSheetId="10">#REF!</definedName>
    <definedName name="__PMS2" localSheetId="28">#REF!</definedName>
    <definedName name="__PMS2">#REF!</definedName>
    <definedName name="__PPA14" localSheetId="8">#REF!</definedName>
    <definedName name="__PPA14" localSheetId="10">#REF!</definedName>
    <definedName name="__PPA14" localSheetId="28">#REF!</definedName>
    <definedName name="__PPA14">#REF!</definedName>
    <definedName name="__PPB154" localSheetId="8">#REF!</definedName>
    <definedName name="__PPB154" localSheetId="10">#REF!</definedName>
    <definedName name="__PPB154" localSheetId="28">#REF!</definedName>
    <definedName name="__PPB154">#REF!</definedName>
    <definedName name="__PPB155" localSheetId="8">#REF!</definedName>
    <definedName name="__PPB155" localSheetId="10">#REF!</definedName>
    <definedName name="__PPB155" localSheetId="28">#REF!</definedName>
    <definedName name="__PPB155">#REF!</definedName>
    <definedName name="__PPB16" localSheetId="8">#REF!</definedName>
    <definedName name="__PPB16" localSheetId="10">#REF!</definedName>
    <definedName name="__PPB16" localSheetId="28">#REF!</definedName>
    <definedName name="__PPB16">#REF!</definedName>
    <definedName name="__PPB17" localSheetId="8">#REF!</definedName>
    <definedName name="__PPB17" localSheetId="10">#REF!</definedName>
    <definedName name="__PPB17" localSheetId="28">#REF!</definedName>
    <definedName name="__PPB17">#REF!</definedName>
    <definedName name="__PPB18" localSheetId="8">#REF!</definedName>
    <definedName name="__PPB18" localSheetId="10">#REF!</definedName>
    <definedName name="__PPB18" localSheetId="28">#REF!</definedName>
    <definedName name="__PPB18">#REF!</definedName>
    <definedName name="__PPB19" localSheetId="8">#REF!</definedName>
    <definedName name="__PPB19" localSheetId="10">#REF!</definedName>
    <definedName name="__PPB19" localSheetId="28">#REF!</definedName>
    <definedName name="__PPB19">#REF!</definedName>
    <definedName name="__PPB2" localSheetId="8">#REF!</definedName>
    <definedName name="__PPB2" localSheetId="10">#REF!</definedName>
    <definedName name="__PPB2" localSheetId="28">#REF!</definedName>
    <definedName name="__PPB2">#REF!</definedName>
    <definedName name="__PPB20" localSheetId="8">#REF!</definedName>
    <definedName name="__PPB20" localSheetId="10">#REF!</definedName>
    <definedName name="__PPB20" localSheetId="28">#REF!</definedName>
    <definedName name="__PPB20">#REF!</definedName>
    <definedName name="__PPB21" localSheetId="8">#REF!</definedName>
    <definedName name="__PPB21" localSheetId="10">#REF!</definedName>
    <definedName name="__PPB21" localSheetId="28">#REF!</definedName>
    <definedName name="__PPB21">#REF!</definedName>
    <definedName name="__PPB22" localSheetId="8">#REF!</definedName>
    <definedName name="__PPB22" localSheetId="10">#REF!</definedName>
    <definedName name="__PPB22" localSheetId="28">#REF!</definedName>
    <definedName name="__PPB22">#REF!</definedName>
    <definedName name="__PPB23" localSheetId="8">#REF!</definedName>
    <definedName name="__PPB23" localSheetId="10">#REF!</definedName>
    <definedName name="__PPB23" localSheetId="28">#REF!</definedName>
    <definedName name="__PPB23">#REF!</definedName>
    <definedName name="__PPB24" localSheetId="8">#REF!</definedName>
    <definedName name="__PPB24" localSheetId="10">#REF!</definedName>
    <definedName name="__PPB24" localSheetId="28">#REF!</definedName>
    <definedName name="__PPB24">#REF!</definedName>
    <definedName name="__PPB25" localSheetId="8">#REF!</definedName>
    <definedName name="__PPB25" localSheetId="10">#REF!</definedName>
    <definedName name="__PPB25" localSheetId="28">#REF!</definedName>
    <definedName name="__PPB25">#REF!</definedName>
    <definedName name="__PPB26" localSheetId="8">#REF!</definedName>
    <definedName name="__PPB26" localSheetId="10">#REF!</definedName>
    <definedName name="__PPB26" localSheetId="28">#REF!</definedName>
    <definedName name="__PPB26">#REF!</definedName>
    <definedName name="__PPB27" localSheetId="8">#REF!</definedName>
    <definedName name="__PPB27" localSheetId="10">#REF!</definedName>
    <definedName name="__PPB27" localSheetId="28">#REF!</definedName>
    <definedName name="__PPB27">#REF!</definedName>
    <definedName name="__PPB28" localSheetId="8">#REF!</definedName>
    <definedName name="__PPB28" localSheetId="10">#REF!</definedName>
    <definedName name="__PPB28" localSheetId="28">#REF!</definedName>
    <definedName name="__PPB28">#REF!</definedName>
    <definedName name="__PPB29" localSheetId="8">#REF!</definedName>
    <definedName name="__PPB29" localSheetId="10">#REF!</definedName>
    <definedName name="__PPB29" localSheetId="28">#REF!</definedName>
    <definedName name="__PPB29">#REF!</definedName>
    <definedName name="__PPB3" localSheetId="8">#REF!</definedName>
    <definedName name="__PPB3" localSheetId="10">#REF!</definedName>
    <definedName name="__PPB3" localSheetId="28">#REF!</definedName>
    <definedName name="__PPB3">#REF!</definedName>
    <definedName name="__PPB30" localSheetId="8">#REF!</definedName>
    <definedName name="__PPB30" localSheetId="10">#REF!</definedName>
    <definedName name="__PPB30" localSheetId="28">#REF!</definedName>
    <definedName name="__PPB30">#REF!</definedName>
    <definedName name="__PPB31" localSheetId="8">#REF!</definedName>
    <definedName name="__PPB31" localSheetId="10">#REF!</definedName>
    <definedName name="__PPB31" localSheetId="28">#REF!</definedName>
    <definedName name="__PPB31">#REF!</definedName>
    <definedName name="__PPB32" localSheetId="8">#REF!</definedName>
    <definedName name="__PPB32" localSheetId="10">#REF!</definedName>
    <definedName name="__PPB32" localSheetId="28">#REF!</definedName>
    <definedName name="__PPB32">#REF!</definedName>
    <definedName name="__PPB33" localSheetId="8">#REF!</definedName>
    <definedName name="__PPB33" localSheetId="10">#REF!</definedName>
    <definedName name="__PPB33" localSheetId="28">#REF!</definedName>
    <definedName name="__PPB33">#REF!</definedName>
    <definedName name="__PPB34" localSheetId="8">#REF!</definedName>
    <definedName name="__PPB34" localSheetId="10">#REF!</definedName>
    <definedName name="__PPB34" localSheetId="28">#REF!</definedName>
    <definedName name="__PPB34">#REF!</definedName>
    <definedName name="__PPB35" localSheetId="8">#REF!</definedName>
    <definedName name="__PPB35" localSheetId="10">#REF!</definedName>
    <definedName name="__PPB35" localSheetId="28">#REF!</definedName>
    <definedName name="__PPB35">#REF!</definedName>
    <definedName name="__PPB36" localSheetId="8">#REF!</definedName>
    <definedName name="__PPB36" localSheetId="10">#REF!</definedName>
    <definedName name="__PPB36" localSheetId="28">#REF!</definedName>
    <definedName name="__PPB36">#REF!</definedName>
    <definedName name="__PPB37" localSheetId="8">#REF!</definedName>
    <definedName name="__PPB37" localSheetId="10">#REF!</definedName>
    <definedName name="__PPB37" localSheetId="28">#REF!</definedName>
    <definedName name="__PPB37">#REF!</definedName>
    <definedName name="__PPB38" localSheetId="8">#REF!</definedName>
    <definedName name="__PPB38" localSheetId="10">#REF!</definedName>
    <definedName name="__PPB38" localSheetId="28">#REF!</definedName>
    <definedName name="__PPB38">#REF!</definedName>
    <definedName name="__PPB39" localSheetId="8">#REF!</definedName>
    <definedName name="__PPB39" localSheetId="10">#REF!</definedName>
    <definedName name="__PPB39" localSheetId="28">#REF!</definedName>
    <definedName name="__PPB39">#REF!</definedName>
    <definedName name="__PPB4" localSheetId="8">#REF!</definedName>
    <definedName name="__PPB4" localSheetId="10">#REF!</definedName>
    <definedName name="__PPB4" localSheetId="28">#REF!</definedName>
    <definedName name="__PPB4">#REF!</definedName>
    <definedName name="__PPB40" localSheetId="8">#REF!</definedName>
    <definedName name="__PPB40" localSheetId="10">#REF!</definedName>
    <definedName name="__PPB40" localSheetId="28">#REF!</definedName>
    <definedName name="__PPB40">#REF!</definedName>
    <definedName name="__PPB41" localSheetId="8">#REF!</definedName>
    <definedName name="__PPB41" localSheetId="10">#REF!</definedName>
    <definedName name="__PPB41" localSheetId="28">#REF!</definedName>
    <definedName name="__PPB41">#REF!</definedName>
    <definedName name="__PPB42" localSheetId="8">#REF!</definedName>
    <definedName name="__PPB42" localSheetId="10">#REF!</definedName>
    <definedName name="__PPB42" localSheetId="28">#REF!</definedName>
    <definedName name="__PPB42">#REF!</definedName>
    <definedName name="__PPB43" localSheetId="8">#REF!</definedName>
    <definedName name="__PPB43" localSheetId="10">#REF!</definedName>
    <definedName name="__PPB43" localSheetId="28">#REF!</definedName>
    <definedName name="__PPB43">#REF!</definedName>
    <definedName name="__PPB44" localSheetId="8">#REF!</definedName>
    <definedName name="__PPB44" localSheetId="10">#REF!</definedName>
    <definedName name="__PPB44" localSheetId="28">#REF!</definedName>
    <definedName name="__PPB44">#REF!</definedName>
    <definedName name="__PPB45" localSheetId="8">#REF!</definedName>
    <definedName name="__PPB45" localSheetId="10">#REF!</definedName>
    <definedName name="__PPB45" localSheetId="28">#REF!</definedName>
    <definedName name="__PPB45">#REF!</definedName>
    <definedName name="__PPB46" localSheetId="8">#REF!</definedName>
    <definedName name="__PPB46" localSheetId="10">#REF!</definedName>
    <definedName name="__PPB46" localSheetId="28">#REF!</definedName>
    <definedName name="__PPB46">#REF!</definedName>
    <definedName name="__PPB47" localSheetId="8">#REF!</definedName>
    <definedName name="__PPB47" localSheetId="10">#REF!</definedName>
    <definedName name="__PPB47" localSheetId="28">#REF!</definedName>
    <definedName name="__PPB47">#REF!</definedName>
    <definedName name="__PPB48" localSheetId="8">#REF!</definedName>
    <definedName name="__PPB48" localSheetId="10">#REF!</definedName>
    <definedName name="__PPB48" localSheetId="28">#REF!</definedName>
    <definedName name="__PPB48">#REF!</definedName>
    <definedName name="__PPB49" localSheetId="8">#REF!</definedName>
    <definedName name="__PPB49" localSheetId="10">#REF!</definedName>
    <definedName name="__PPB49" localSheetId="28">#REF!</definedName>
    <definedName name="__PPB49">#REF!</definedName>
    <definedName name="__PPB5" localSheetId="8">#REF!</definedName>
    <definedName name="__PPB5" localSheetId="10">#REF!</definedName>
    <definedName name="__PPB5" localSheetId="28">#REF!</definedName>
    <definedName name="__PPB5">#REF!</definedName>
    <definedName name="__PPB50" localSheetId="8">#REF!</definedName>
    <definedName name="__PPB50" localSheetId="10">#REF!</definedName>
    <definedName name="__PPB50" localSheetId="28">#REF!</definedName>
    <definedName name="__PPB50">#REF!</definedName>
    <definedName name="__PPB51" localSheetId="8">#REF!</definedName>
    <definedName name="__PPB51" localSheetId="10">#REF!</definedName>
    <definedName name="__PPB51" localSheetId="28">#REF!</definedName>
    <definedName name="__PPB51">#REF!</definedName>
    <definedName name="__PPB52" localSheetId="8">#REF!</definedName>
    <definedName name="__PPB52" localSheetId="10">#REF!</definedName>
    <definedName name="__PPB52" localSheetId="28">#REF!</definedName>
    <definedName name="__PPB52">#REF!</definedName>
    <definedName name="__PPB53" localSheetId="8">#REF!</definedName>
    <definedName name="__PPB53" localSheetId="10">#REF!</definedName>
    <definedName name="__PPB53" localSheetId="28">#REF!</definedName>
    <definedName name="__PPB53">#REF!</definedName>
    <definedName name="__PPB54" localSheetId="8">#REF!</definedName>
    <definedName name="__PPB54" localSheetId="10">#REF!</definedName>
    <definedName name="__PPB54" localSheetId="28">#REF!</definedName>
    <definedName name="__PPB54">#REF!</definedName>
    <definedName name="__PPB55" localSheetId="8">#REF!</definedName>
    <definedName name="__PPB55" localSheetId="10">#REF!</definedName>
    <definedName name="__PPB55" localSheetId="28">#REF!</definedName>
    <definedName name="__PPB55">#REF!</definedName>
    <definedName name="__PPB56" localSheetId="8">#REF!</definedName>
    <definedName name="__PPB56" localSheetId="10">#REF!</definedName>
    <definedName name="__PPB56" localSheetId="28">#REF!</definedName>
    <definedName name="__PPB56">#REF!</definedName>
    <definedName name="__PPB57" localSheetId="8">#REF!</definedName>
    <definedName name="__PPB57" localSheetId="10">#REF!</definedName>
    <definedName name="__PPB57" localSheetId="28">#REF!</definedName>
    <definedName name="__PPB57">#REF!</definedName>
    <definedName name="__PPB58" localSheetId="8">#REF!</definedName>
    <definedName name="__PPB58" localSheetId="10">#REF!</definedName>
    <definedName name="__PPB58" localSheetId="28">#REF!</definedName>
    <definedName name="__PPB58">#REF!</definedName>
    <definedName name="__PPB59" localSheetId="8">#REF!</definedName>
    <definedName name="__PPB59" localSheetId="10">#REF!</definedName>
    <definedName name="__PPB59" localSheetId="28">#REF!</definedName>
    <definedName name="__PPB59">#REF!</definedName>
    <definedName name="__PPB6" localSheetId="8">#REF!</definedName>
    <definedName name="__PPB6" localSheetId="10">#REF!</definedName>
    <definedName name="__PPB6" localSheetId="28">#REF!</definedName>
    <definedName name="__PPB6">#REF!</definedName>
    <definedName name="__PPB60" localSheetId="8">#REF!</definedName>
    <definedName name="__PPB60" localSheetId="10">#REF!</definedName>
    <definedName name="__PPB60" localSheetId="28">#REF!</definedName>
    <definedName name="__PPB60">#REF!</definedName>
    <definedName name="__PPB61" localSheetId="8">#REF!</definedName>
    <definedName name="__PPB61" localSheetId="10">#REF!</definedName>
    <definedName name="__PPB61" localSheetId="28">#REF!</definedName>
    <definedName name="__PPB61">#REF!</definedName>
    <definedName name="__PPB62" localSheetId="8">#REF!</definedName>
    <definedName name="__PPB62" localSheetId="10">#REF!</definedName>
    <definedName name="__PPB62" localSheetId="28">#REF!</definedName>
    <definedName name="__PPB62">#REF!</definedName>
    <definedName name="__PPB63" localSheetId="8">#REF!</definedName>
    <definedName name="__PPB63" localSheetId="10">#REF!</definedName>
    <definedName name="__PPB63" localSheetId="28">#REF!</definedName>
    <definedName name="__PPB63">#REF!</definedName>
    <definedName name="__PPB64" localSheetId="8">#REF!</definedName>
    <definedName name="__PPB64" localSheetId="10">#REF!</definedName>
    <definedName name="__PPB64" localSheetId="28">#REF!</definedName>
    <definedName name="__PPB64">#REF!</definedName>
    <definedName name="__PPB65" localSheetId="8">#REF!</definedName>
    <definedName name="__PPB65" localSheetId="10">#REF!</definedName>
    <definedName name="__PPB65" localSheetId="28">#REF!</definedName>
    <definedName name="__PPB65">#REF!</definedName>
    <definedName name="__PPB66" localSheetId="8">#REF!</definedName>
    <definedName name="__PPB66" localSheetId="10">#REF!</definedName>
    <definedName name="__PPB66" localSheetId="28">#REF!</definedName>
    <definedName name="__PPB66">#REF!</definedName>
    <definedName name="__PPB67" localSheetId="8">#REF!</definedName>
    <definedName name="__PPB67" localSheetId="10">#REF!</definedName>
    <definedName name="__PPB67" localSheetId="28">#REF!</definedName>
    <definedName name="__PPB67">#REF!</definedName>
    <definedName name="__PPB68" localSheetId="8">#REF!</definedName>
    <definedName name="__PPB68" localSheetId="10">#REF!</definedName>
    <definedName name="__PPB68" localSheetId="28">#REF!</definedName>
    <definedName name="__PPB68">#REF!</definedName>
    <definedName name="__PPB69" localSheetId="8">#REF!</definedName>
    <definedName name="__PPB69" localSheetId="10">#REF!</definedName>
    <definedName name="__PPB69" localSheetId="28">#REF!</definedName>
    <definedName name="__PPB69">#REF!</definedName>
    <definedName name="__PPB7" localSheetId="8">#REF!</definedName>
    <definedName name="__PPB7" localSheetId="10">#REF!</definedName>
    <definedName name="__PPB7" localSheetId="28">#REF!</definedName>
    <definedName name="__PPB7">#REF!</definedName>
    <definedName name="__PPB70" localSheetId="8">#REF!</definedName>
    <definedName name="__PPB70" localSheetId="10">#REF!</definedName>
    <definedName name="__PPB70" localSheetId="28">#REF!</definedName>
    <definedName name="__PPB70">#REF!</definedName>
    <definedName name="__PPB71" localSheetId="8">#REF!</definedName>
    <definedName name="__PPB71" localSheetId="10">#REF!</definedName>
    <definedName name="__PPB71" localSheetId="28">#REF!</definedName>
    <definedName name="__PPB71">#REF!</definedName>
    <definedName name="__PPB72" localSheetId="8">#REF!</definedName>
    <definedName name="__PPB72" localSheetId="10">#REF!</definedName>
    <definedName name="__PPB72" localSheetId="28">#REF!</definedName>
    <definedName name="__PPB72">#REF!</definedName>
    <definedName name="__PPB73" localSheetId="8">#REF!</definedName>
    <definedName name="__PPB73" localSheetId="10">#REF!</definedName>
    <definedName name="__PPB73" localSheetId="28">#REF!</definedName>
    <definedName name="__PPB73">#REF!</definedName>
    <definedName name="__PPB74" localSheetId="8">#REF!</definedName>
    <definedName name="__PPB74" localSheetId="10">#REF!</definedName>
    <definedName name="__PPB74" localSheetId="28">#REF!</definedName>
    <definedName name="__PPB74">#REF!</definedName>
    <definedName name="__PPB75" localSheetId="8">#REF!</definedName>
    <definedName name="__PPB75" localSheetId="10">#REF!</definedName>
    <definedName name="__PPB75" localSheetId="28">#REF!</definedName>
    <definedName name="__PPB75">#REF!</definedName>
    <definedName name="__PPB76" localSheetId="8">#REF!</definedName>
    <definedName name="__PPB76" localSheetId="10">#REF!</definedName>
    <definedName name="__PPB76" localSheetId="28">#REF!</definedName>
    <definedName name="__PPB76">#REF!</definedName>
    <definedName name="__PPB77" localSheetId="8">#REF!</definedName>
    <definedName name="__PPB77" localSheetId="10">#REF!</definedName>
    <definedName name="__PPB77" localSheetId="28">#REF!</definedName>
    <definedName name="__PPB77">#REF!</definedName>
    <definedName name="__PPB78" localSheetId="8">#REF!</definedName>
    <definedName name="__PPB78" localSheetId="10">#REF!</definedName>
    <definedName name="__PPB78" localSheetId="28">#REF!</definedName>
    <definedName name="__PPB78">#REF!</definedName>
    <definedName name="__PPB79" localSheetId="8">#REF!</definedName>
    <definedName name="__PPB79" localSheetId="10">#REF!</definedName>
    <definedName name="__PPB79" localSheetId="28">#REF!</definedName>
    <definedName name="__PPB79">#REF!</definedName>
    <definedName name="__PPB8" localSheetId="8">#REF!</definedName>
    <definedName name="__PPB8" localSheetId="10">#REF!</definedName>
    <definedName name="__PPB8" localSheetId="28">#REF!</definedName>
    <definedName name="__PPB8">#REF!</definedName>
    <definedName name="__PPB80" localSheetId="8">#REF!</definedName>
    <definedName name="__PPB80" localSheetId="10">#REF!</definedName>
    <definedName name="__PPB80" localSheetId="28">#REF!</definedName>
    <definedName name="__PPB80">#REF!</definedName>
    <definedName name="__PPB81" localSheetId="8">#REF!</definedName>
    <definedName name="__PPB81" localSheetId="10">#REF!</definedName>
    <definedName name="__PPB81" localSheetId="28">#REF!</definedName>
    <definedName name="__PPB81">#REF!</definedName>
    <definedName name="__PPB82" localSheetId="8">#REF!</definedName>
    <definedName name="__PPB82" localSheetId="10">#REF!</definedName>
    <definedName name="__PPB82" localSheetId="28">#REF!</definedName>
    <definedName name="__PPB82">#REF!</definedName>
    <definedName name="__PPB83" localSheetId="8">#REF!</definedName>
    <definedName name="__PPB83" localSheetId="10">#REF!</definedName>
    <definedName name="__PPB83" localSheetId="28">#REF!</definedName>
    <definedName name="__PPB83">#REF!</definedName>
    <definedName name="__PPB84" localSheetId="8">#REF!</definedName>
    <definedName name="__PPB84" localSheetId="10">#REF!</definedName>
    <definedName name="__PPB84" localSheetId="28">#REF!</definedName>
    <definedName name="__PPB84">#REF!</definedName>
    <definedName name="__PPB85" localSheetId="8">#REF!</definedName>
    <definedName name="__PPB85" localSheetId="10">#REF!</definedName>
    <definedName name="__PPB85" localSheetId="28">#REF!</definedName>
    <definedName name="__PPB85">#REF!</definedName>
    <definedName name="__PPB86" localSheetId="8">#REF!</definedName>
    <definedName name="__PPB86" localSheetId="10">#REF!</definedName>
    <definedName name="__PPB86" localSheetId="28">#REF!</definedName>
    <definedName name="__PPB86">#REF!</definedName>
    <definedName name="__PPB87" localSheetId="8">#REF!</definedName>
    <definedName name="__PPB87" localSheetId="10">#REF!</definedName>
    <definedName name="__PPB87" localSheetId="28">#REF!</definedName>
    <definedName name="__PPB87">#REF!</definedName>
    <definedName name="__PPB88" localSheetId="8">#REF!</definedName>
    <definedName name="__PPB88" localSheetId="10">#REF!</definedName>
    <definedName name="__PPB88" localSheetId="28">#REF!</definedName>
    <definedName name="__PPB88">#REF!</definedName>
    <definedName name="__PPB89" localSheetId="8">#REF!</definedName>
    <definedName name="__PPB89" localSheetId="10">#REF!</definedName>
    <definedName name="__PPB89" localSheetId="28">#REF!</definedName>
    <definedName name="__PPB89">#REF!</definedName>
    <definedName name="__PPB9" localSheetId="8">#REF!</definedName>
    <definedName name="__PPB9" localSheetId="10">#REF!</definedName>
    <definedName name="__PPB9" localSheetId="28">#REF!</definedName>
    <definedName name="__PPB9">#REF!</definedName>
    <definedName name="__PPB90" localSheetId="8">#REF!</definedName>
    <definedName name="__PPB90" localSheetId="10">#REF!</definedName>
    <definedName name="__PPB90" localSheetId="28">#REF!</definedName>
    <definedName name="__PPB90">#REF!</definedName>
    <definedName name="__PPB91" localSheetId="8">#REF!</definedName>
    <definedName name="__PPB91" localSheetId="10">#REF!</definedName>
    <definedName name="__PPB91" localSheetId="28">#REF!</definedName>
    <definedName name="__PPB91">#REF!</definedName>
    <definedName name="__PPB92" localSheetId="8">#REF!</definedName>
    <definedName name="__PPB92" localSheetId="10">#REF!</definedName>
    <definedName name="__PPB92" localSheetId="28">#REF!</definedName>
    <definedName name="__PPB92">#REF!</definedName>
    <definedName name="__PPB93" localSheetId="8">#REF!</definedName>
    <definedName name="__PPB93" localSheetId="10">#REF!</definedName>
    <definedName name="__PPB93" localSheetId="28">#REF!</definedName>
    <definedName name="__PPB93">#REF!</definedName>
    <definedName name="__PPB94" localSheetId="8">#REF!</definedName>
    <definedName name="__PPB94" localSheetId="10">#REF!</definedName>
    <definedName name="__PPB94" localSheetId="28">#REF!</definedName>
    <definedName name="__PPB94">#REF!</definedName>
    <definedName name="__PPB95" localSheetId="8">#REF!</definedName>
    <definedName name="__PPB95" localSheetId="10">#REF!</definedName>
    <definedName name="__PPB95" localSheetId="28">#REF!</definedName>
    <definedName name="__PPB95">#REF!</definedName>
    <definedName name="__PPB96" localSheetId="8">#REF!</definedName>
    <definedName name="__PPB96" localSheetId="10">#REF!</definedName>
    <definedName name="__PPB96" localSheetId="28">#REF!</definedName>
    <definedName name="__PPB96">#REF!</definedName>
    <definedName name="__PPB97" localSheetId="8">#REF!</definedName>
    <definedName name="__PPB97" localSheetId="10">#REF!</definedName>
    <definedName name="__PPB97" localSheetId="28">#REF!</definedName>
    <definedName name="__PPB97">#REF!</definedName>
    <definedName name="__PPB98" localSheetId="8">#REF!</definedName>
    <definedName name="__PPB98" localSheetId="10">#REF!</definedName>
    <definedName name="__PPB98" localSheetId="28">#REF!</definedName>
    <definedName name="__PPB98">#REF!</definedName>
    <definedName name="__PPB99" localSheetId="8">#REF!</definedName>
    <definedName name="__PPB99" localSheetId="10">#REF!</definedName>
    <definedName name="__PPB99" localSheetId="28">#REF!</definedName>
    <definedName name="__PPB99">#REF!</definedName>
    <definedName name="__PPC1" localSheetId="8">#REF!</definedName>
    <definedName name="__PPC1" localSheetId="10">#REF!</definedName>
    <definedName name="__PPC1" localSheetId="28">#REF!</definedName>
    <definedName name="__PPC1">#REF!</definedName>
    <definedName name="__PPC10" localSheetId="8">#REF!</definedName>
    <definedName name="__PPC10" localSheetId="10">#REF!</definedName>
    <definedName name="__PPC10" localSheetId="28">#REF!</definedName>
    <definedName name="__PPC10">#REF!</definedName>
    <definedName name="__PPC100" localSheetId="8">#REF!</definedName>
    <definedName name="__PPC100" localSheetId="10">#REF!</definedName>
    <definedName name="__PPC100" localSheetId="28">#REF!</definedName>
    <definedName name="__PPC100">#REF!</definedName>
    <definedName name="__PPC101" localSheetId="8">#REF!</definedName>
    <definedName name="__PPC101" localSheetId="10">#REF!</definedName>
    <definedName name="__PPC101" localSheetId="28">#REF!</definedName>
    <definedName name="__PPC101">#REF!</definedName>
    <definedName name="__PPC102" localSheetId="8">#REF!</definedName>
    <definedName name="__PPC102" localSheetId="10">#REF!</definedName>
    <definedName name="__PPC102" localSheetId="28">#REF!</definedName>
    <definedName name="__PPC102">#REF!</definedName>
    <definedName name="__PPC103" localSheetId="8">#REF!</definedName>
    <definedName name="__PPC103" localSheetId="10">#REF!</definedName>
    <definedName name="__PPC103" localSheetId="28">#REF!</definedName>
    <definedName name="__PPC103">#REF!</definedName>
    <definedName name="__PPC104" localSheetId="8">#REF!</definedName>
    <definedName name="__PPC104" localSheetId="10">#REF!</definedName>
    <definedName name="__PPC104" localSheetId="28">#REF!</definedName>
    <definedName name="__PPC104">#REF!</definedName>
    <definedName name="__PPC105" localSheetId="8">#REF!</definedName>
    <definedName name="__PPC105" localSheetId="10">#REF!</definedName>
    <definedName name="__PPC105" localSheetId="28">#REF!</definedName>
    <definedName name="__PPC105">#REF!</definedName>
    <definedName name="__PPC106" localSheetId="8">#REF!</definedName>
    <definedName name="__PPC106" localSheetId="10">#REF!</definedName>
    <definedName name="__PPC106" localSheetId="28">#REF!</definedName>
    <definedName name="__PPC106">#REF!</definedName>
    <definedName name="__PPC107" localSheetId="8">#REF!</definedName>
    <definedName name="__PPC107" localSheetId="10">#REF!</definedName>
    <definedName name="__PPC107" localSheetId="28">#REF!</definedName>
    <definedName name="__PPC107">#REF!</definedName>
    <definedName name="__PPC108" localSheetId="8">#REF!</definedName>
    <definedName name="__PPC108" localSheetId="10">#REF!</definedName>
    <definedName name="__PPC108" localSheetId="28">#REF!</definedName>
    <definedName name="__PPC108">#REF!</definedName>
    <definedName name="__PPC109" localSheetId="8">#REF!</definedName>
    <definedName name="__PPC109" localSheetId="10">#REF!</definedName>
    <definedName name="__PPC109" localSheetId="28">#REF!</definedName>
    <definedName name="__PPC109">#REF!</definedName>
    <definedName name="__PPC11" localSheetId="8">#REF!</definedName>
    <definedName name="__PPC11" localSheetId="10">#REF!</definedName>
    <definedName name="__PPC11" localSheetId="28">#REF!</definedName>
    <definedName name="__PPC11">#REF!</definedName>
    <definedName name="__PPC110" localSheetId="8">#REF!</definedName>
    <definedName name="__PPC110" localSheetId="10">#REF!</definedName>
    <definedName name="__PPC110" localSheetId="28">#REF!</definedName>
    <definedName name="__PPC110">#REF!</definedName>
    <definedName name="__PPC111" localSheetId="8">#REF!</definedName>
    <definedName name="__PPC111" localSheetId="10">#REF!</definedName>
    <definedName name="__PPC111" localSheetId="28">#REF!</definedName>
    <definedName name="__PPC111">#REF!</definedName>
    <definedName name="__PPC112" localSheetId="8">#REF!</definedName>
    <definedName name="__PPC112" localSheetId="10">#REF!</definedName>
    <definedName name="__PPC112" localSheetId="28">#REF!</definedName>
    <definedName name="__PPC112">#REF!</definedName>
    <definedName name="__PPC113" localSheetId="8">#REF!</definedName>
    <definedName name="__PPC113" localSheetId="10">#REF!</definedName>
    <definedName name="__PPC113" localSheetId="28">#REF!</definedName>
    <definedName name="__PPC113">#REF!</definedName>
    <definedName name="__PPC114" localSheetId="8">#REF!</definedName>
    <definedName name="__PPC114" localSheetId="10">#REF!</definedName>
    <definedName name="__PPC114" localSheetId="28">#REF!</definedName>
    <definedName name="__PPC114">#REF!</definedName>
    <definedName name="__PPC115" localSheetId="8">#REF!</definedName>
    <definedName name="__PPC115" localSheetId="10">#REF!</definedName>
    <definedName name="__PPC115" localSheetId="28">#REF!</definedName>
    <definedName name="__PPC115">#REF!</definedName>
    <definedName name="__PPC116" localSheetId="8">#REF!</definedName>
    <definedName name="__PPC116" localSheetId="10">#REF!</definedName>
    <definedName name="__PPC116" localSheetId="28">#REF!</definedName>
    <definedName name="__PPC116">#REF!</definedName>
    <definedName name="__PPC117" localSheetId="8">#REF!</definedName>
    <definedName name="__PPC117" localSheetId="10">#REF!</definedName>
    <definedName name="__PPC117" localSheetId="28">#REF!</definedName>
    <definedName name="__PPC117">#REF!</definedName>
    <definedName name="__PPC118" localSheetId="8">#REF!</definedName>
    <definedName name="__PPC118" localSheetId="10">#REF!</definedName>
    <definedName name="__PPC118" localSheetId="28">#REF!</definedName>
    <definedName name="__PPC118">#REF!</definedName>
    <definedName name="__PPC119" localSheetId="8">#REF!</definedName>
    <definedName name="__PPC119" localSheetId="10">#REF!</definedName>
    <definedName name="__PPC119" localSheetId="28">#REF!</definedName>
    <definedName name="__PPC119">#REF!</definedName>
    <definedName name="__PPC12" localSheetId="8">#REF!</definedName>
    <definedName name="__PPC12" localSheetId="10">#REF!</definedName>
    <definedName name="__PPC12" localSheetId="28">#REF!</definedName>
    <definedName name="__PPC12">#REF!</definedName>
    <definedName name="__PPC120" localSheetId="8">#REF!</definedName>
    <definedName name="__PPC120" localSheetId="10">#REF!</definedName>
    <definedName name="__PPC120" localSheetId="28">#REF!</definedName>
    <definedName name="__PPC120">#REF!</definedName>
    <definedName name="__PPC121" localSheetId="8">#REF!</definedName>
    <definedName name="__PPC121" localSheetId="10">#REF!</definedName>
    <definedName name="__PPC121" localSheetId="28">#REF!</definedName>
    <definedName name="__PPC121">#REF!</definedName>
    <definedName name="__PPC122" localSheetId="8">#REF!</definedName>
    <definedName name="__PPC122" localSheetId="10">#REF!</definedName>
    <definedName name="__PPC122" localSheetId="28">#REF!</definedName>
    <definedName name="__PPC122">#REF!</definedName>
    <definedName name="__PPC123" localSheetId="8">#REF!</definedName>
    <definedName name="__PPC123" localSheetId="10">#REF!</definedName>
    <definedName name="__PPC123" localSheetId="28">#REF!</definedName>
    <definedName name="__PPC123">#REF!</definedName>
    <definedName name="__PPC124" localSheetId="8">#REF!</definedName>
    <definedName name="__PPC124" localSheetId="10">#REF!</definedName>
    <definedName name="__PPC124" localSheetId="28">#REF!</definedName>
    <definedName name="__PPC124">#REF!</definedName>
    <definedName name="__PPC125" localSheetId="8">#REF!</definedName>
    <definedName name="__PPC125" localSheetId="10">#REF!</definedName>
    <definedName name="__PPC125" localSheetId="28">#REF!</definedName>
    <definedName name="__PPC125">#REF!</definedName>
    <definedName name="__PPC126" localSheetId="8">#REF!</definedName>
    <definedName name="__PPC126" localSheetId="10">#REF!</definedName>
    <definedName name="__PPC126" localSheetId="28">#REF!</definedName>
    <definedName name="__PPC126">#REF!</definedName>
    <definedName name="__PPC127" localSheetId="8">#REF!</definedName>
    <definedName name="__PPC127" localSheetId="10">#REF!</definedName>
    <definedName name="__PPC127" localSheetId="28">#REF!</definedName>
    <definedName name="__PPC127">#REF!</definedName>
    <definedName name="__PPC128" localSheetId="8">#REF!</definedName>
    <definedName name="__PPC128" localSheetId="10">#REF!</definedName>
    <definedName name="__PPC128" localSheetId="28">#REF!</definedName>
    <definedName name="__PPC128">#REF!</definedName>
    <definedName name="__PPC129" localSheetId="8">#REF!</definedName>
    <definedName name="__PPC129" localSheetId="10">#REF!</definedName>
    <definedName name="__PPC129" localSheetId="28">#REF!</definedName>
    <definedName name="__PPC129">#REF!</definedName>
    <definedName name="__PPC13" localSheetId="8">#REF!</definedName>
    <definedName name="__PPC13" localSheetId="10">#REF!</definedName>
    <definedName name="__PPC13" localSheetId="28">#REF!</definedName>
    <definedName name="__PPC13">#REF!</definedName>
    <definedName name="__PPC130" localSheetId="8">#REF!</definedName>
    <definedName name="__PPC130" localSheetId="10">#REF!</definedName>
    <definedName name="__PPC130" localSheetId="28">#REF!</definedName>
    <definedName name="__PPC130">#REF!</definedName>
    <definedName name="__PPC131" localSheetId="8">#REF!</definedName>
    <definedName name="__PPC131" localSheetId="10">#REF!</definedName>
    <definedName name="__PPC131" localSheetId="28">#REF!</definedName>
    <definedName name="__PPC131">#REF!</definedName>
    <definedName name="__PPC132" localSheetId="8">#REF!</definedName>
    <definedName name="__PPC132" localSheetId="10">#REF!</definedName>
    <definedName name="__PPC132" localSheetId="28">#REF!</definedName>
    <definedName name="__PPC132">#REF!</definedName>
    <definedName name="__PPC133" localSheetId="8">#REF!</definedName>
    <definedName name="__PPC133" localSheetId="10">#REF!</definedName>
    <definedName name="__PPC133" localSheetId="28">#REF!</definedName>
    <definedName name="__PPC133">#REF!</definedName>
    <definedName name="__PPC134" localSheetId="8">#REF!</definedName>
    <definedName name="__PPC134" localSheetId="10">#REF!</definedName>
    <definedName name="__PPC134" localSheetId="28">#REF!</definedName>
    <definedName name="__PPC134">#REF!</definedName>
    <definedName name="__PPC135" localSheetId="8">#REF!</definedName>
    <definedName name="__PPC135" localSheetId="10">#REF!</definedName>
    <definedName name="__PPC135" localSheetId="28">#REF!</definedName>
    <definedName name="__PPC135">#REF!</definedName>
    <definedName name="__PPC136" localSheetId="8">#REF!</definedName>
    <definedName name="__PPC136" localSheetId="10">#REF!</definedName>
    <definedName name="__PPC136" localSheetId="28">#REF!</definedName>
    <definedName name="__PPC136">#REF!</definedName>
    <definedName name="__PPC137" localSheetId="8">#REF!</definedName>
    <definedName name="__PPC137" localSheetId="10">#REF!</definedName>
    <definedName name="__PPC137" localSheetId="28">#REF!</definedName>
    <definedName name="__PPC137">#REF!</definedName>
    <definedName name="__PPC138" localSheetId="8">#REF!</definedName>
    <definedName name="__PPC138" localSheetId="10">#REF!</definedName>
    <definedName name="__PPC138" localSheetId="28">#REF!</definedName>
    <definedName name="__PPC138">#REF!</definedName>
    <definedName name="__PPC139" localSheetId="8">#REF!</definedName>
    <definedName name="__PPC139" localSheetId="10">#REF!</definedName>
    <definedName name="__PPC139" localSheetId="28">#REF!</definedName>
    <definedName name="__PPC139">#REF!</definedName>
    <definedName name="__PPC14" localSheetId="8">#REF!</definedName>
    <definedName name="__PPC14" localSheetId="10">#REF!</definedName>
    <definedName name="__PPC14" localSheetId="28">#REF!</definedName>
    <definedName name="__PPC14">#REF!</definedName>
    <definedName name="__PPC140" localSheetId="8">#REF!</definedName>
    <definedName name="__PPC140" localSheetId="10">#REF!</definedName>
    <definedName name="__PPC140" localSheetId="28">#REF!</definedName>
    <definedName name="__PPC140">#REF!</definedName>
    <definedName name="__PPC141" localSheetId="8">#REF!</definedName>
    <definedName name="__PPC141" localSheetId="10">#REF!</definedName>
    <definedName name="__PPC141" localSheetId="28">#REF!</definedName>
    <definedName name="__PPC141">#REF!</definedName>
    <definedName name="__PPC142" localSheetId="8">#REF!</definedName>
    <definedName name="__PPC142" localSheetId="10">#REF!</definedName>
    <definedName name="__PPC142" localSheetId="28">#REF!</definedName>
    <definedName name="__PPC142">#REF!</definedName>
    <definedName name="__PPC143" localSheetId="8">#REF!</definedName>
    <definedName name="__PPC143" localSheetId="10">#REF!</definedName>
    <definedName name="__PPC143" localSheetId="28">#REF!</definedName>
    <definedName name="__PPC143">#REF!</definedName>
    <definedName name="__PPC144" localSheetId="8">#REF!</definedName>
    <definedName name="__PPC144" localSheetId="10">#REF!</definedName>
    <definedName name="__PPC144" localSheetId="28">#REF!</definedName>
    <definedName name="__PPC144">#REF!</definedName>
    <definedName name="__PPC145" localSheetId="8">#REF!</definedName>
    <definedName name="__PPC145" localSheetId="10">#REF!</definedName>
    <definedName name="__PPC145" localSheetId="28">#REF!</definedName>
    <definedName name="__PPC145">#REF!</definedName>
    <definedName name="__PPC146" localSheetId="8">#REF!</definedName>
    <definedName name="__PPC146" localSheetId="10">#REF!</definedName>
    <definedName name="__PPC146" localSheetId="28">#REF!</definedName>
    <definedName name="__PPC146">#REF!</definedName>
    <definedName name="__PPC147" localSheetId="8">#REF!</definedName>
    <definedName name="__PPC147" localSheetId="10">#REF!</definedName>
    <definedName name="__PPC147" localSheetId="28">#REF!</definedName>
    <definedName name="__PPC147">#REF!</definedName>
    <definedName name="__PPC148" localSheetId="8">#REF!</definedName>
    <definedName name="__PPC148" localSheetId="10">#REF!</definedName>
    <definedName name="__PPC148" localSheetId="28">#REF!</definedName>
    <definedName name="__PPC148">#REF!</definedName>
    <definedName name="__PPC149" localSheetId="8">#REF!</definedName>
    <definedName name="__PPC149" localSheetId="10">#REF!</definedName>
    <definedName name="__PPC149" localSheetId="28">#REF!</definedName>
    <definedName name="__PPC149">#REF!</definedName>
    <definedName name="__PPC15" localSheetId="8">#REF!</definedName>
    <definedName name="__PPC15" localSheetId="10">#REF!</definedName>
    <definedName name="__PPC15" localSheetId="28">#REF!</definedName>
    <definedName name="__PPC15">#REF!</definedName>
    <definedName name="__PPC150" localSheetId="8">#REF!</definedName>
    <definedName name="__PPC150" localSheetId="10">#REF!</definedName>
    <definedName name="__PPC150" localSheetId="28">#REF!</definedName>
    <definedName name="__PPC150">#REF!</definedName>
    <definedName name="__PPC151" localSheetId="8">#REF!</definedName>
    <definedName name="__PPC151" localSheetId="10">#REF!</definedName>
    <definedName name="__PPC151" localSheetId="28">#REF!</definedName>
    <definedName name="__PPC151">#REF!</definedName>
    <definedName name="__PPC152" localSheetId="8">#REF!</definedName>
    <definedName name="__PPC152" localSheetId="10">#REF!</definedName>
    <definedName name="__PPC152" localSheetId="28">#REF!</definedName>
    <definedName name="__PPC152">#REF!</definedName>
    <definedName name="__PPC153" localSheetId="8">#REF!</definedName>
    <definedName name="__PPC153" localSheetId="10">#REF!</definedName>
    <definedName name="__PPC153" localSheetId="28">#REF!</definedName>
    <definedName name="__PPC153">#REF!</definedName>
    <definedName name="__PPC154" localSheetId="8">#REF!</definedName>
    <definedName name="__PPC154" localSheetId="10">#REF!</definedName>
    <definedName name="__PPC154" localSheetId="28">#REF!</definedName>
    <definedName name="__PPC154">#REF!</definedName>
    <definedName name="__PPC155" localSheetId="8">#REF!</definedName>
    <definedName name="__PPC155" localSheetId="10">#REF!</definedName>
    <definedName name="__PPC155" localSheetId="28">#REF!</definedName>
    <definedName name="__PPC155">#REF!</definedName>
    <definedName name="__PPC16" localSheetId="8">#REF!</definedName>
    <definedName name="__PPC16" localSheetId="10">#REF!</definedName>
    <definedName name="__PPC16" localSheetId="28">#REF!</definedName>
    <definedName name="__PPC16">#REF!</definedName>
    <definedName name="__PPC17" localSheetId="8">#REF!</definedName>
    <definedName name="__PPC17" localSheetId="10">#REF!</definedName>
    <definedName name="__PPC17" localSheetId="28">#REF!</definedName>
    <definedName name="__PPC17">#REF!</definedName>
    <definedName name="__PPC18" localSheetId="8">#REF!</definedName>
    <definedName name="__PPC18" localSheetId="10">#REF!</definedName>
    <definedName name="__PPC18" localSheetId="28">#REF!</definedName>
    <definedName name="__PPC18">#REF!</definedName>
    <definedName name="__PPC19" localSheetId="8">#REF!</definedName>
    <definedName name="__PPC19" localSheetId="10">#REF!</definedName>
    <definedName name="__PPC19" localSheetId="28">#REF!</definedName>
    <definedName name="__PPC19">#REF!</definedName>
    <definedName name="__PPC2" localSheetId="8">#REF!</definedName>
    <definedName name="__PPC2" localSheetId="10">#REF!</definedName>
    <definedName name="__PPC2" localSheetId="28">#REF!</definedName>
    <definedName name="__PPC2">#REF!</definedName>
    <definedName name="__PPC20" localSheetId="8">#REF!</definedName>
    <definedName name="__PPC20" localSheetId="10">#REF!</definedName>
    <definedName name="__PPC20" localSheetId="28">#REF!</definedName>
    <definedName name="__PPC20">#REF!</definedName>
    <definedName name="__PPC21" localSheetId="8">#REF!</definedName>
    <definedName name="__PPC21" localSheetId="10">#REF!</definedName>
    <definedName name="__PPC21" localSheetId="28">#REF!</definedName>
    <definedName name="__PPC21">#REF!</definedName>
    <definedName name="__PPC22" localSheetId="8">#REF!</definedName>
    <definedName name="__PPC22" localSheetId="10">#REF!</definedName>
    <definedName name="__PPC22" localSheetId="28">#REF!</definedName>
    <definedName name="__PPC22">#REF!</definedName>
    <definedName name="__PPC23" localSheetId="8">#REF!</definedName>
    <definedName name="__PPC23" localSheetId="10">#REF!</definedName>
    <definedName name="__PPC23" localSheetId="28">#REF!</definedName>
    <definedName name="__PPC23">#REF!</definedName>
    <definedName name="__PPC24" localSheetId="8">#REF!</definedName>
    <definedName name="__PPC24" localSheetId="10">#REF!</definedName>
    <definedName name="__PPC24" localSheetId="28">#REF!</definedName>
    <definedName name="__PPC24">#REF!</definedName>
    <definedName name="__PPC25" localSheetId="8">#REF!</definedName>
    <definedName name="__PPC25" localSheetId="10">#REF!</definedName>
    <definedName name="__PPC25" localSheetId="28">#REF!</definedName>
    <definedName name="__PPC25">#REF!</definedName>
    <definedName name="__PPC26" localSheetId="8">#REF!</definedName>
    <definedName name="__PPC26" localSheetId="10">#REF!</definedName>
    <definedName name="__PPC26" localSheetId="28">#REF!</definedName>
    <definedName name="__PPC26">#REF!</definedName>
    <definedName name="__PPC27" localSheetId="8">#REF!</definedName>
    <definedName name="__PPC27" localSheetId="10">#REF!</definedName>
    <definedName name="__PPC27" localSheetId="28">#REF!</definedName>
    <definedName name="__PPC27">#REF!</definedName>
    <definedName name="__PPC28" localSheetId="8">#REF!</definedName>
    <definedName name="__PPC28" localSheetId="10">#REF!</definedName>
    <definedName name="__PPC28" localSheetId="28">#REF!</definedName>
    <definedName name="__PPC28">#REF!</definedName>
    <definedName name="__PPC29" localSheetId="8">#REF!</definedName>
    <definedName name="__PPC29" localSheetId="10">#REF!</definedName>
    <definedName name="__PPC29" localSheetId="28">#REF!</definedName>
    <definedName name="__PPC29">#REF!</definedName>
    <definedName name="__PPC3" localSheetId="8">#REF!</definedName>
    <definedName name="__PPC3" localSheetId="10">#REF!</definedName>
    <definedName name="__PPC3" localSheetId="28">#REF!</definedName>
    <definedName name="__PPC3">#REF!</definedName>
    <definedName name="__PPC30" localSheetId="8">#REF!</definedName>
    <definedName name="__PPC30" localSheetId="10">#REF!</definedName>
    <definedName name="__PPC30" localSheetId="28">#REF!</definedName>
    <definedName name="__PPC30">#REF!</definedName>
    <definedName name="__PPC31" localSheetId="8">#REF!</definedName>
    <definedName name="__PPC31" localSheetId="10">#REF!</definedName>
    <definedName name="__PPC31" localSheetId="28">#REF!</definedName>
    <definedName name="__PPC31">#REF!</definedName>
    <definedName name="__PPC32" localSheetId="8">#REF!</definedName>
    <definedName name="__PPC32" localSheetId="10">#REF!</definedName>
    <definedName name="__PPC32" localSheetId="28">#REF!</definedName>
    <definedName name="__PPC32">#REF!</definedName>
    <definedName name="__PPC33" localSheetId="8">#REF!</definedName>
    <definedName name="__PPC33" localSheetId="10">#REF!</definedName>
    <definedName name="__PPC33" localSheetId="28">#REF!</definedName>
    <definedName name="__PPC33">#REF!</definedName>
    <definedName name="__PPC34" localSheetId="8">#REF!</definedName>
    <definedName name="__PPC34" localSheetId="10">#REF!</definedName>
    <definedName name="__PPC34" localSheetId="28">#REF!</definedName>
    <definedName name="__PPC34">#REF!</definedName>
    <definedName name="__PPC35" localSheetId="8">#REF!</definedName>
    <definedName name="__PPC35" localSheetId="10">#REF!</definedName>
    <definedName name="__PPC35" localSheetId="28">#REF!</definedName>
    <definedName name="__PPC35">#REF!</definedName>
    <definedName name="__PPC36" localSheetId="8">#REF!</definedName>
    <definedName name="__PPC36" localSheetId="10">#REF!</definedName>
    <definedName name="__PPC36" localSheetId="28">#REF!</definedName>
    <definedName name="__PPC36">#REF!</definedName>
    <definedName name="__PPC37" localSheetId="8">#REF!</definedName>
    <definedName name="__PPC37" localSheetId="10">#REF!</definedName>
    <definedName name="__PPC37" localSheetId="28">#REF!</definedName>
    <definedName name="__PPC37">#REF!</definedName>
    <definedName name="__PPC38" localSheetId="8">#REF!</definedName>
    <definedName name="__PPC38" localSheetId="10">#REF!</definedName>
    <definedName name="__PPC38" localSheetId="28">#REF!</definedName>
    <definedName name="__PPC38">#REF!</definedName>
    <definedName name="__PPC39" localSheetId="8">#REF!</definedName>
    <definedName name="__PPC39" localSheetId="10">#REF!</definedName>
    <definedName name="__PPC39" localSheetId="28">#REF!</definedName>
    <definedName name="__PPC39">#REF!</definedName>
    <definedName name="__PPC4" localSheetId="8">#REF!</definedName>
    <definedName name="__PPC4" localSheetId="10">#REF!</definedName>
    <definedName name="__PPC4" localSheetId="28">#REF!</definedName>
    <definedName name="__PPC4">#REF!</definedName>
    <definedName name="__PPC40" localSheetId="8">#REF!</definedName>
    <definedName name="__PPC40" localSheetId="10">#REF!</definedName>
    <definedName name="__PPC40" localSheetId="28">#REF!</definedName>
    <definedName name="__PPC40">#REF!</definedName>
    <definedName name="__PPC41" localSheetId="8">#REF!</definedName>
    <definedName name="__PPC41" localSheetId="10">#REF!</definedName>
    <definedName name="__PPC41" localSheetId="28">#REF!</definedName>
    <definedName name="__PPC41">#REF!</definedName>
    <definedName name="__PPC42" localSheetId="8">#REF!</definedName>
    <definedName name="__PPC42" localSheetId="10">#REF!</definedName>
    <definedName name="__PPC42" localSheetId="28">#REF!</definedName>
    <definedName name="__PPC42">#REF!</definedName>
    <definedName name="__PPC43" localSheetId="8">#REF!</definedName>
    <definedName name="__PPC43" localSheetId="10">#REF!</definedName>
    <definedName name="__PPC43" localSheetId="28">#REF!</definedName>
    <definedName name="__PPC43">#REF!</definedName>
    <definedName name="__PPC44" localSheetId="8">#REF!</definedName>
    <definedName name="__PPC44" localSheetId="10">#REF!</definedName>
    <definedName name="__PPC44" localSheetId="28">#REF!</definedName>
    <definedName name="__PPC44">#REF!</definedName>
    <definedName name="__PPC45" localSheetId="8">#REF!</definedName>
    <definedName name="__PPC45" localSheetId="10">#REF!</definedName>
    <definedName name="__PPC45" localSheetId="28">#REF!</definedName>
    <definedName name="__PPC45">#REF!</definedName>
    <definedName name="__PPC46" localSheetId="8">#REF!</definedName>
    <definedName name="__PPC46" localSheetId="10">#REF!</definedName>
    <definedName name="__PPC46" localSheetId="28">#REF!</definedName>
    <definedName name="__PPC46">#REF!</definedName>
    <definedName name="__PPC47" localSheetId="8">#REF!</definedName>
    <definedName name="__PPC47" localSheetId="10">#REF!</definedName>
    <definedName name="__PPC47" localSheetId="28">#REF!</definedName>
    <definedName name="__PPC47">#REF!</definedName>
    <definedName name="__PPC48" localSheetId="8">#REF!</definedName>
    <definedName name="__PPC48" localSheetId="10">#REF!</definedName>
    <definedName name="__PPC48" localSheetId="28">#REF!</definedName>
    <definedName name="__PPC48">#REF!</definedName>
    <definedName name="__PPC49" localSheetId="8">#REF!</definedName>
    <definedName name="__PPC49" localSheetId="10">#REF!</definedName>
    <definedName name="__PPC49" localSheetId="28">#REF!</definedName>
    <definedName name="__PPC49">#REF!</definedName>
    <definedName name="__PPC5" localSheetId="8">#REF!</definedName>
    <definedName name="__PPC5" localSheetId="10">#REF!</definedName>
    <definedName name="__PPC5" localSheetId="28">#REF!</definedName>
    <definedName name="__PPC5">#REF!</definedName>
    <definedName name="__PPC50" localSheetId="8">#REF!</definedName>
    <definedName name="__PPC50" localSheetId="10">#REF!</definedName>
    <definedName name="__PPC50" localSheetId="28">#REF!</definedName>
    <definedName name="__PPC50">#REF!</definedName>
    <definedName name="__PPC51" localSheetId="8">#REF!</definedName>
    <definedName name="__PPC51" localSheetId="10">#REF!</definedName>
    <definedName name="__PPC51" localSheetId="28">#REF!</definedName>
    <definedName name="__PPC51">#REF!</definedName>
    <definedName name="__PPC52" localSheetId="8">#REF!</definedName>
    <definedName name="__PPC52" localSheetId="10">#REF!</definedName>
    <definedName name="__PPC52" localSheetId="28">#REF!</definedName>
    <definedName name="__PPC52">#REF!</definedName>
    <definedName name="__PPC53" localSheetId="8">#REF!</definedName>
    <definedName name="__PPC53" localSheetId="10">#REF!</definedName>
    <definedName name="__PPC53" localSheetId="28">#REF!</definedName>
    <definedName name="__PPC53">#REF!</definedName>
    <definedName name="__PPC54" localSheetId="8">#REF!</definedName>
    <definedName name="__PPC54" localSheetId="10">#REF!</definedName>
    <definedName name="__PPC54" localSheetId="28">#REF!</definedName>
    <definedName name="__PPC54">#REF!</definedName>
    <definedName name="__PPC55" localSheetId="8">#REF!</definedName>
    <definedName name="__PPC55" localSheetId="10">#REF!</definedName>
    <definedName name="__PPC55" localSheetId="28">#REF!</definedName>
    <definedName name="__PPC55">#REF!</definedName>
    <definedName name="__PPC56" localSheetId="8">#REF!</definedName>
    <definedName name="__PPC56" localSheetId="10">#REF!</definedName>
    <definedName name="__PPC56" localSheetId="28">#REF!</definedName>
    <definedName name="__PPC56">#REF!</definedName>
    <definedName name="__PPC57" localSheetId="8">#REF!</definedName>
    <definedName name="__PPC57" localSheetId="10">#REF!</definedName>
    <definedName name="__PPC57" localSheetId="28">#REF!</definedName>
    <definedName name="__PPC57">#REF!</definedName>
    <definedName name="__PPC58" localSheetId="8">#REF!</definedName>
    <definedName name="__PPC58" localSheetId="10">#REF!</definedName>
    <definedName name="__PPC58" localSheetId="28">#REF!</definedName>
    <definedName name="__PPC58">#REF!</definedName>
    <definedName name="__PPC59" localSheetId="8">#REF!</definedName>
    <definedName name="__PPC59" localSheetId="10">#REF!</definedName>
    <definedName name="__PPC59" localSheetId="28">#REF!</definedName>
    <definedName name="__PPC59">#REF!</definedName>
    <definedName name="__PPC6" localSheetId="8">#REF!</definedName>
    <definedName name="__PPC6" localSheetId="10">#REF!</definedName>
    <definedName name="__PPC6" localSheetId="28">#REF!</definedName>
    <definedName name="__PPC6">#REF!</definedName>
    <definedName name="__PPC60" localSheetId="8">#REF!</definedName>
    <definedName name="__PPC60" localSheetId="10">#REF!</definedName>
    <definedName name="__PPC60" localSheetId="28">#REF!</definedName>
    <definedName name="__PPC60">#REF!</definedName>
    <definedName name="__PPC61" localSheetId="8">#REF!</definedName>
    <definedName name="__PPC61" localSheetId="10">#REF!</definedName>
    <definedName name="__PPC61" localSheetId="28">#REF!</definedName>
    <definedName name="__PPC61">#REF!</definedName>
    <definedName name="__PPC62" localSheetId="8">#REF!</definedName>
    <definedName name="__PPC62" localSheetId="10">#REF!</definedName>
    <definedName name="__PPC62" localSheetId="28">#REF!</definedName>
    <definedName name="__PPC62">#REF!</definedName>
    <definedName name="__PPC63" localSheetId="8">#REF!</definedName>
    <definedName name="__PPC63" localSheetId="10">#REF!</definedName>
    <definedName name="__PPC63" localSheetId="28">#REF!</definedName>
    <definedName name="__PPC63">#REF!</definedName>
    <definedName name="__PPC64" localSheetId="8">#REF!</definedName>
    <definedName name="__PPC64" localSheetId="10">#REF!</definedName>
    <definedName name="__PPC64" localSheetId="28">#REF!</definedName>
    <definedName name="__PPC64">#REF!</definedName>
    <definedName name="__PPC65" localSheetId="8">#REF!</definedName>
    <definedName name="__PPC65" localSheetId="10">#REF!</definedName>
    <definedName name="__PPC65" localSheetId="28">#REF!</definedName>
    <definedName name="__PPC65">#REF!</definedName>
    <definedName name="__PPC66" localSheetId="8">#REF!</definedName>
    <definedName name="__PPC66" localSheetId="10">#REF!</definedName>
    <definedName name="__PPC66" localSheetId="28">#REF!</definedName>
    <definedName name="__PPC66">#REF!</definedName>
    <definedName name="__PPC67" localSheetId="8">#REF!</definedName>
    <definedName name="__PPC67" localSheetId="10">#REF!</definedName>
    <definedName name="__PPC67" localSheetId="28">#REF!</definedName>
    <definedName name="__PPC67">#REF!</definedName>
    <definedName name="__PPC68" localSheetId="8">#REF!</definedName>
    <definedName name="__PPC68" localSheetId="10">#REF!</definedName>
    <definedName name="__PPC68" localSheetId="28">#REF!</definedName>
    <definedName name="__PPC68">#REF!</definedName>
    <definedName name="__PPC69" localSheetId="8">#REF!</definedName>
    <definedName name="__PPC69" localSheetId="10">#REF!</definedName>
    <definedName name="__PPC69" localSheetId="28">#REF!</definedName>
    <definedName name="__PPC69">#REF!</definedName>
    <definedName name="__PPC7" localSheetId="8">#REF!</definedName>
    <definedName name="__PPC7" localSheetId="10">#REF!</definedName>
    <definedName name="__PPC7" localSheetId="28">#REF!</definedName>
    <definedName name="__PPC7">#REF!</definedName>
    <definedName name="__PPC70" localSheetId="8">#REF!</definedName>
    <definedName name="__PPC70" localSheetId="10">#REF!</definedName>
    <definedName name="__PPC70" localSheetId="28">#REF!</definedName>
    <definedName name="__PPC70">#REF!</definedName>
    <definedName name="__PPC71" localSheetId="8">#REF!</definedName>
    <definedName name="__PPC71" localSheetId="10">#REF!</definedName>
    <definedName name="__PPC71" localSheetId="28">#REF!</definedName>
    <definedName name="__PPC71">#REF!</definedName>
    <definedName name="__PPC72" localSheetId="8">#REF!</definedName>
    <definedName name="__PPC72" localSheetId="10">#REF!</definedName>
    <definedName name="__PPC72" localSheetId="28">#REF!</definedName>
    <definedName name="__PPC72">#REF!</definedName>
    <definedName name="__PPC73" localSheetId="8">#REF!</definedName>
    <definedName name="__PPC73" localSheetId="10">#REF!</definedName>
    <definedName name="__PPC73" localSheetId="28">#REF!</definedName>
    <definedName name="__PPC73">#REF!</definedName>
    <definedName name="__PPC74" localSheetId="8">#REF!</definedName>
    <definedName name="__PPC74" localSheetId="10">#REF!</definedName>
    <definedName name="__PPC74" localSheetId="28">#REF!</definedName>
    <definedName name="__PPC74">#REF!</definedName>
    <definedName name="__PPC75" localSheetId="8">#REF!</definedName>
    <definedName name="__PPC75" localSheetId="10">#REF!</definedName>
    <definedName name="__PPC75" localSheetId="28">#REF!</definedName>
    <definedName name="__PPC75">#REF!</definedName>
    <definedName name="__PPC76" localSheetId="8">#REF!</definedName>
    <definedName name="__PPC76" localSheetId="10">#REF!</definedName>
    <definedName name="__PPC76" localSheetId="28">#REF!</definedName>
    <definedName name="__PPC76">#REF!</definedName>
    <definedName name="__PPC77" localSheetId="8">#REF!</definedName>
    <definedName name="__PPC77" localSheetId="10">#REF!</definedName>
    <definedName name="__PPC77" localSheetId="28">#REF!</definedName>
    <definedName name="__PPC77">#REF!</definedName>
    <definedName name="__PPC78" localSheetId="8">#REF!</definedName>
    <definedName name="__PPC78" localSheetId="10">#REF!</definedName>
    <definedName name="__PPC78" localSheetId="28">#REF!</definedName>
    <definedName name="__PPC78">#REF!</definedName>
    <definedName name="__PPC79" localSheetId="8">#REF!</definedName>
    <definedName name="__PPC79" localSheetId="10">#REF!</definedName>
    <definedName name="__PPC79" localSheetId="28">#REF!</definedName>
    <definedName name="__PPC79">#REF!</definedName>
    <definedName name="__PPC8" localSheetId="8">#REF!</definedName>
    <definedName name="__PPC8" localSheetId="10">#REF!</definedName>
    <definedName name="__PPC8" localSheetId="28">#REF!</definedName>
    <definedName name="__PPC8">#REF!</definedName>
    <definedName name="__PPC80" localSheetId="8">#REF!</definedName>
    <definedName name="__PPC80" localSheetId="10">#REF!</definedName>
    <definedName name="__PPC80" localSheetId="28">#REF!</definedName>
    <definedName name="__PPC80">#REF!</definedName>
    <definedName name="__PPC81" localSheetId="8">#REF!</definedName>
    <definedName name="__PPC81" localSheetId="10">#REF!</definedName>
    <definedName name="__PPC81" localSheetId="28">#REF!</definedName>
    <definedName name="__PPC81">#REF!</definedName>
    <definedName name="__PPC82" localSheetId="8">#REF!</definedName>
    <definedName name="__PPC82" localSheetId="10">#REF!</definedName>
    <definedName name="__PPC82" localSheetId="28">#REF!</definedName>
    <definedName name="__PPC82">#REF!</definedName>
    <definedName name="__PPC83" localSheetId="8">#REF!</definedName>
    <definedName name="__PPC83" localSheetId="10">#REF!</definedName>
    <definedName name="__PPC83" localSheetId="28">#REF!</definedName>
    <definedName name="__PPC83">#REF!</definedName>
    <definedName name="__PPC84" localSheetId="8">#REF!</definedName>
    <definedName name="__PPC84" localSheetId="10">#REF!</definedName>
    <definedName name="__PPC84" localSheetId="28">#REF!</definedName>
    <definedName name="__PPC84">#REF!</definedName>
    <definedName name="__PPC85" localSheetId="8">#REF!</definedName>
    <definedName name="__PPC85" localSheetId="10">#REF!</definedName>
    <definedName name="__PPC85" localSheetId="28">#REF!</definedName>
    <definedName name="__PPC85">#REF!</definedName>
    <definedName name="__PPC86" localSheetId="8">#REF!</definedName>
    <definedName name="__PPC86" localSheetId="10">#REF!</definedName>
    <definedName name="__PPC86" localSheetId="28">#REF!</definedName>
    <definedName name="__PPC86">#REF!</definedName>
    <definedName name="__PPC87" localSheetId="8">#REF!</definedName>
    <definedName name="__PPC87" localSheetId="10">#REF!</definedName>
    <definedName name="__PPC87" localSheetId="28">#REF!</definedName>
    <definedName name="__PPC87">#REF!</definedName>
    <definedName name="__PPC88" localSheetId="8">#REF!</definedName>
    <definedName name="__PPC88" localSheetId="10">#REF!</definedName>
    <definedName name="__PPC88" localSheetId="28">#REF!</definedName>
    <definedName name="__PPC88">#REF!</definedName>
    <definedName name="__PPC89" localSheetId="8">#REF!</definedName>
    <definedName name="__PPC89" localSheetId="10">#REF!</definedName>
    <definedName name="__PPC89" localSheetId="28">#REF!</definedName>
    <definedName name="__PPC89">#REF!</definedName>
    <definedName name="__PPC9" localSheetId="8">#REF!</definedName>
    <definedName name="__PPC9" localSheetId="10">#REF!</definedName>
    <definedName name="__PPC9" localSheetId="28">#REF!</definedName>
    <definedName name="__PPC9">#REF!</definedName>
    <definedName name="__PPC90" localSheetId="8">#REF!</definedName>
    <definedName name="__PPC90" localSheetId="10">#REF!</definedName>
    <definedName name="__PPC90" localSheetId="28">#REF!</definedName>
    <definedName name="__PPC90">#REF!</definedName>
    <definedName name="__PPC91" localSheetId="8">#REF!</definedName>
    <definedName name="__PPC91" localSheetId="10">#REF!</definedName>
    <definedName name="__PPC91" localSheetId="28">#REF!</definedName>
    <definedName name="__PPC91">#REF!</definedName>
    <definedName name="__PPC92" localSheetId="8">#REF!</definedName>
    <definedName name="__PPC92" localSheetId="10">#REF!</definedName>
    <definedName name="__PPC92" localSheetId="28">#REF!</definedName>
    <definedName name="__PPC92">#REF!</definedName>
    <definedName name="__PPC93" localSheetId="8">#REF!</definedName>
    <definedName name="__PPC93" localSheetId="10">#REF!</definedName>
    <definedName name="__PPC93" localSheetId="28">#REF!</definedName>
    <definedName name="__PPC93">#REF!</definedName>
    <definedName name="__PPC94" localSheetId="8">#REF!</definedName>
    <definedName name="__PPC94" localSheetId="10">#REF!</definedName>
    <definedName name="__PPC94" localSheetId="28">#REF!</definedName>
    <definedName name="__PPC94">#REF!</definedName>
    <definedName name="__PPC95">#REF!</definedName>
    <definedName name="__PPD114" localSheetId="8">#REF!</definedName>
    <definedName name="__PPD114" localSheetId="10">#REF!</definedName>
    <definedName name="__PPD114" localSheetId="28">#REF!</definedName>
    <definedName name="__PPD114">#REF!</definedName>
    <definedName name="__PPD89">#REF!</definedName>
    <definedName name="__psc10006" localSheetId="8">#REF!</definedName>
    <definedName name="__psc10006" localSheetId="10">#REF!</definedName>
    <definedName name="__psc10006" localSheetId="11">#REF!</definedName>
    <definedName name="__psc10006" localSheetId="28">#REF!</definedName>
    <definedName name="__psc10006">#REF!</definedName>
    <definedName name="__psc10008" localSheetId="8">#REF!</definedName>
    <definedName name="__psc10008" localSheetId="10">#REF!</definedName>
    <definedName name="__psc10008" localSheetId="11">#REF!</definedName>
    <definedName name="__psc10008" localSheetId="28">#REF!</definedName>
    <definedName name="__psc10008">#REF!</definedName>
    <definedName name="__psc3506" localSheetId="8">#REF!</definedName>
    <definedName name="__psc3506" localSheetId="10">#REF!</definedName>
    <definedName name="__psc3506" localSheetId="11">#REF!</definedName>
    <definedName name="__psc3506" localSheetId="28">#REF!</definedName>
    <definedName name="__psc3506">#REF!</definedName>
    <definedName name="__psc3508" localSheetId="8">#REF!</definedName>
    <definedName name="__psc3508" localSheetId="10">#REF!</definedName>
    <definedName name="__psc3508" localSheetId="11">#REF!</definedName>
    <definedName name="__psc3508" localSheetId="28">#REF!</definedName>
    <definedName name="__psc3508">#REF!</definedName>
    <definedName name="__psc4006" localSheetId="8">#REF!</definedName>
    <definedName name="__psc4006" localSheetId="10">#REF!</definedName>
    <definedName name="__psc4006" localSheetId="11">#REF!</definedName>
    <definedName name="__psc4006" localSheetId="28">#REF!</definedName>
    <definedName name="__psc4006">#REF!</definedName>
    <definedName name="__psc4008" localSheetId="8">#REF!</definedName>
    <definedName name="__psc4008" localSheetId="10">#REF!</definedName>
    <definedName name="__psc4008" localSheetId="11">#REF!</definedName>
    <definedName name="__psc4008" localSheetId="28">#REF!</definedName>
    <definedName name="__psc4008">#REF!</definedName>
    <definedName name="__psc4506" localSheetId="8">#REF!</definedName>
    <definedName name="__psc4506" localSheetId="10">#REF!</definedName>
    <definedName name="__psc4506" localSheetId="11">#REF!</definedName>
    <definedName name="__psc4506" localSheetId="28">#REF!</definedName>
    <definedName name="__psc4506">#REF!</definedName>
    <definedName name="__psc4508" localSheetId="8">#REF!</definedName>
    <definedName name="__psc4508" localSheetId="10">#REF!</definedName>
    <definedName name="__psc4508" localSheetId="11">#REF!</definedName>
    <definedName name="__psc4508" localSheetId="28">#REF!</definedName>
    <definedName name="__psc4508">#REF!</definedName>
    <definedName name="__psc5006" localSheetId="8">#REF!</definedName>
    <definedName name="__psc5006" localSheetId="10">#REF!</definedName>
    <definedName name="__psc5006" localSheetId="11">#REF!</definedName>
    <definedName name="__psc5006" localSheetId="28">#REF!</definedName>
    <definedName name="__psc5006">#REF!</definedName>
    <definedName name="__psc5008" localSheetId="8">#REF!</definedName>
    <definedName name="__psc5008" localSheetId="10">#REF!</definedName>
    <definedName name="__psc5008" localSheetId="11">#REF!</definedName>
    <definedName name="__psc5008" localSheetId="28">#REF!</definedName>
    <definedName name="__psc5008">#REF!</definedName>
    <definedName name="__psc6006" localSheetId="8">#REF!</definedName>
    <definedName name="__psc6006" localSheetId="10">#REF!</definedName>
    <definedName name="__psc6006" localSheetId="11">#REF!</definedName>
    <definedName name="__psc6006" localSheetId="28">#REF!</definedName>
    <definedName name="__psc6006">#REF!</definedName>
    <definedName name="__psc6008" localSheetId="8">#REF!</definedName>
    <definedName name="__psc6008" localSheetId="10">#REF!</definedName>
    <definedName name="__psc6008" localSheetId="11">#REF!</definedName>
    <definedName name="__psc6008" localSheetId="28">#REF!</definedName>
    <definedName name="__psc6008">#REF!</definedName>
    <definedName name="__psc7006" localSheetId="8">#REF!</definedName>
    <definedName name="__psc7006" localSheetId="10">#REF!</definedName>
    <definedName name="__psc7006" localSheetId="11">#REF!</definedName>
    <definedName name="__psc7006" localSheetId="28">#REF!</definedName>
    <definedName name="__psc7006">#REF!</definedName>
    <definedName name="__psc7008" localSheetId="8">#REF!</definedName>
    <definedName name="__psc7008" localSheetId="10">#REF!</definedName>
    <definedName name="__psc7008" localSheetId="11">#REF!</definedName>
    <definedName name="__psc7008" localSheetId="28">#REF!</definedName>
    <definedName name="__psc7008">#REF!</definedName>
    <definedName name="__psc8006" localSheetId="8">#REF!</definedName>
    <definedName name="__psc8006" localSheetId="10">#REF!</definedName>
    <definedName name="__psc8006" localSheetId="11">#REF!</definedName>
    <definedName name="__psc8006" localSheetId="28">#REF!</definedName>
    <definedName name="__psc8006">#REF!</definedName>
    <definedName name="__psc8008" localSheetId="8">#REF!</definedName>
    <definedName name="__psc8008" localSheetId="10">#REF!</definedName>
    <definedName name="__psc8008" localSheetId="11">#REF!</definedName>
    <definedName name="__psc8008" localSheetId="28">#REF!</definedName>
    <definedName name="__psc8008">#REF!</definedName>
    <definedName name="__psc9006" localSheetId="8">#REF!</definedName>
    <definedName name="__psc9006" localSheetId="10">#REF!</definedName>
    <definedName name="__psc9006" localSheetId="11">#REF!</definedName>
    <definedName name="__psc9006" localSheetId="28">#REF!</definedName>
    <definedName name="__psc9006">#REF!</definedName>
    <definedName name="__psc9008" localSheetId="8">#REF!</definedName>
    <definedName name="__psc9008" localSheetId="10">#REF!</definedName>
    <definedName name="__psc9008" localSheetId="11">#REF!</definedName>
    <definedName name="__psc9008" localSheetId="28">#REF!</definedName>
    <definedName name="__psc9008">#REF!</definedName>
    <definedName name="__pv1" localSheetId="8">#REF!</definedName>
    <definedName name="__pv1" localSheetId="10">#REF!</definedName>
    <definedName name="__pv1" localSheetId="28">#REF!</definedName>
    <definedName name="__pv1">#REF!</definedName>
    <definedName name="__pv2" localSheetId="33">#REF!</definedName>
    <definedName name="__pv2" localSheetId="34">#REF!</definedName>
    <definedName name="__pv2" localSheetId="35">#REF!</definedName>
    <definedName name="__pv2" localSheetId="5">#REF!</definedName>
    <definedName name="__pv2" localSheetId="8">#REF!</definedName>
    <definedName name="__pv2" localSheetId="10">#REF!</definedName>
    <definedName name="__pv2" localSheetId="11">#REF!</definedName>
    <definedName name="__pv2" localSheetId="37">#REF!</definedName>
    <definedName name="__pv2" localSheetId="28">#REF!</definedName>
    <definedName name="__pv2" localSheetId="42">#REF!</definedName>
    <definedName name="__pv2" localSheetId="31">#REF!</definedName>
    <definedName name="__pv2">#REF!</definedName>
    <definedName name="__pv2_23">"$#REF!.$#REF!$#REF!"</definedName>
    <definedName name="__pv2_33">"$#REF!.$#REF!$#REF!"</definedName>
    <definedName name="__pv2_34">"$#REF!.$#REF!$#REF!"</definedName>
    <definedName name="__pv2_38">"$#REF!.$#REF!$#REF!"</definedName>
    <definedName name="__pv2_41">"$#REF!.$#REF!$#REF!"</definedName>
    <definedName name="__pv2_43">"$#REF!.$#REF!$#REF!"</definedName>
    <definedName name="__pv2_48">"$#REF!.$#REF!$#REF!"</definedName>
    <definedName name="__pv2_57">"$#REF!.$#REF!$#REF!"</definedName>
    <definedName name="__pv2_59">"$#REF!.$#REF!$#REF!"</definedName>
    <definedName name="__pv2_60">"$#REF!.$#REF!$#REF!"</definedName>
    <definedName name="__pv2_61">"$#REF!.$#REF!$#REF!"</definedName>
    <definedName name="__pv2_62">"$#REF!.$#REF!$#REF!"</definedName>
    <definedName name="__pv2_7">"$#REF!.$#REF!$#REF!"</definedName>
    <definedName name="__pv2_72">"$#REF!.$#REF!$#REF!"</definedName>
    <definedName name="__pv2_73">"$#REF!.$#REF!$#REF!"</definedName>
    <definedName name="__pv2_8">"$#REF!.$#REF!$#REF!"</definedName>
    <definedName name="__rr3" localSheetId="37">[65]v!$A$2:$E$51</definedName>
    <definedName name="__rr3">[23]v!$A$2:$E$51</definedName>
    <definedName name="__rr3_21" localSheetId="28">#REF!</definedName>
    <definedName name="__rr3_33">#REF!</definedName>
    <definedName name="__rr3_34">#REF!</definedName>
    <definedName name="__rrr1" localSheetId="37">[65]r!$B$1:$I$145</definedName>
    <definedName name="__rrr1">[23]r!$B$1:$I$145</definedName>
    <definedName name="__rrr1_21" localSheetId="28">#REF!</definedName>
    <definedName name="__rrr1_33">#REF!</definedName>
    <definedName name="__rrr1_34">#REF!</definedName>
    <definedName name="__RS300" localSheetId="8">#REF!</definedName>
    <definedName name="__RS300" localSheetId="10">#REF!</definedName>
    <definedName name="__RS300" localSheetId="28">#REF!</definedName>
    <definedName name="__RS300">#REF!</definedName>
    <definedName name="__sd1" localSheetId="33">[62]m!$D$149</definedName>
    <definedName name="__sd1" localSheetId="34">[62]m!$D$149</definedName>
    <definedName name="__sd1" localSheetId="37">[61]m!$D$149</definedName>
    <definedName name="__SD1">#REF!</definedName>
    <definedName name="__SD10" localSheetId="8">#REF!</definedName>
    <definedName name="__SD10" localSheetId="10">#REF!</definedName>
    <definedName name="__SD10" localSheetId="28">#REF!</definedName>
    <definedName name="__SD10">#REF!</definedName>
    <definedName name="__SD100" localSheetId="8">#REF!</definedName>
    <definedName name="__SD100" localSheetId="10">#REF!</definedName>
    <definedName name="__SD100" localSheetId="28">#REF!</definedName>
    <definedName name="__SD100">#REF!</definedName>
    <definedName name="__SD101" localSheetId="8">#REF!</definedName>
    <definedName name="__SD101" localSheetId="10">#REF!</definedName>
    <definedName name="__SD101" localSheetId="28">#REF!</definedName>
    <definedName name="__SD101">#REF!</definedName>
    <definedName name="__SD102" localSheetId="8">#REF!</definedName>
    <definedName name="__SD102" localSheetId="10">#REF!</definedName>
    <definedName name="__SD102" localSheetId="28">#REF!</definedName>
    <definedName name="__SD102">#REF!</definedName>
    <definedName name="__SD103" localSheetId="8">#REF!</definedName>
    <definedName name="__SD103" localSheetId="10">#REF!</definedName>
    <definedName name="__SD103" localSheetId="28">#REF!</definedName>
    <definedName name="__SD103">#REF!</definedName>
    <definedName name="__SD104" localSheetId="8">#REF!</definedName>
    <definedName name="__SD104" localSheetId="10">#REF!</definedName>
    <definedName name="__SD104" localSheetId="28">#REF!</definedName>
    <definedName name="__SD104">#REF!</definedName>
    <definedName name="__SD105" localSheetId="8">#REF!</definedName>
    <definedName name="__SD105" localSheetId="10">#REF!</definedName>
    <definedName name="__SD105" localSheetId="28">#REF!</definedName>
    <definedName name="__SD105">#REF!</definedName>
    <definedName name="__SD106" localSheetId="8">#REF!</definedName>
    <definedName name="__SD106" localSheetId="10">#REF!</definedName>
    <definedName name="__SD106" localSheetId="28">#REF!</definedName>
    <definedName name="__SD106">#REF!</definedName>
    <definedName name="__SD107" localSheetId="8">#REF!</definedName>
    <definedName name="__SD107" localSheetId="10">#REF!</definedName>
    <definedName name="__SD107" localSheetId="28">#REF!</definedName>
    <definedName name="__SD107">#REF!</definedName>
    <definedName name="__SD108" localSheetId="8">#REF!</definedName>
    <definedName name="__SD108" localSheetId="10">#REF!</definedName>
    <definedName name="__SD108" localSheetId="28">#REF!</definedName>
    <definedName name="__SD108">#REF!</definedName>
    <definedName name="__SD109" localSheetId="8">#REF!</definedName>
    <definedName name="__SD109" localSheetId="10">#REF!</definedName>
    <definedName name="__SD109" localSheetId="28">#REF!</definedName>
    <definedName name="__SD109">#REF!</definedName>
    <definedName name="__SD11" localSheetId="8">#REF!</definedName>
    <definedName name="__SD11" localSheetId="10">#REF!</definedName>
    <definedName name="__SD11" localSheetId="28">#REF!</definedName>
    <definedName name="__SD11">#REF!</definedName>
    <definedName name="__SD110" localSheetId="8">#REF!</definedName>
    <definedName name="__SD110" localSheetId="10">#REF!</definedName>
    <definedName name="__SD110" localSheetId="28">#REF!</definedName>
    <definedName name="__SD110">#REF!</definedName>
    <definedName name="__SD111" localSheetId="8">#REF!</definedName>
    <definedName name="__SD111" localSheetId="10">#REF!</definedName>
    <definedName name="__SD111" localSheetId="28">#REF!</definedName>
    <definedName name="__SD111">#REF!</definedName>
    <definedName name="__SD112" localSheetId="8">#REF!</definedName>
    <definedName name="__SD112" localSheetId="10">#REF!</definedName>
    <definedName name="__SD112" localSheetId="28">#REF!</definedName>
    <definedName name="__SD112">#REF!</definedName>
    <definedName name="__SD113" localSheetId="8">#REF!</definedName>
    <definedName name="__SD113" localSheetId="10">#REF!</definedName>
    <definedName name="__SD113" localSheetId="28">#REF!</definedName>
    <definedName name="__SD113">#REF!</definedName>
    <definedName name="__SD114" localSheetId="8">#REF!</definedName>
    <definedName name="__SD114" localSheetId="10">#REF!</definedName>
    <definedName name="__SD114" localSheetId="28">#REF!</definedName>
    <definedName name="__SD114">#REF!</definedName>
    <definedName name="__SD115" localSheetId="8">#REF!</definedName>
    <definedName name="__SD115" localSheetId="10">#REF!</definedName>
    <definedName name="__SD115" localSheetId="28">#REF!</definedName>
    <definedName name="__SD115">#REF!</definedName>
    <definedName name="__SD116" localSheetId="8">#REF!</definedName>
    <definedName name="__SD116" localSheetId="10">#REF!</definedName>
    <definedName name="__SD116" localSheetId="28">#REF!</definedName>
    <definedName name="__SD116">#REF!</definedName>
    <definedName name="__SD117" localSheetId="8">#REF!</definedName>
    <definedName name="__SD117" localSheetId="10">#REF!</definedName>
    <definedName name="__SD117" localSheetId="28">#REF!</definedName>
    <definedName name="__SD117">#REF!</definedName>
    <definedName name="__SD118" localSheetId="8">#REF!</definedName>
    <definedName name="__SD118" localSheetId="10">#REF!</definedName>
    <definedName name="__SD118" localSheetId="28">#REF!</definedName>
    <definedName name="__SD118">#REF!</definedName>
    <definedName name="__SD119" localSheetId="8">#REF!</definedName>
    <definedName name="__SD119" localSheetId="10">#REF!</definedName>
    <definedName name="__SD119" localSheetId="28">#REF!</definedName>
    <definedName name="__SD119">#REF!</definedName>
    <definedName name="__SD12" localSheetId="8">#REF!</definedName>
    <definedName name="__SD12" localSheetId="10">#REF!</definedName>
    <definedName name="__SD12" localSheetId="28">#REF!</definedName>
    <definedName name="__SD12">#REF!</definedName>
    <definedName name="__SD121" localSheetId="8">#REF!</definedName>
    <definedName name="__SD121" localSheetId="10">#REF!</definedName>
    <definedName name="__SD121" localSheetId="28">#REF!</definedName>
    <definedName name="__SD121">#REF!</definedName>
    <definedName name="__SD122" localSheetId="8">#REF!</definedName>
    <definedName name="__SD122" localSheetId="10">#REF!</definedName>
    <definedName name="__SD122" localSheetId="28">#REF!</definedName>
    <definedName name="__SD122">#REF!</definedName>
    <definedName name="__SD123" localSheetId="8">#REF!</definedName>
    <definedName name="__SD123" localSheetId="10">#REF!</definedName>
    <definedName name="__SD123" localSheetId="28">#REF!</definedName>
    <definedName name="__SD123">#REF!</definedName>
    <definedName name="__SD124" localSheetId="8">#REF!</definedName>
    <definedName name="__SD124" localSheetId="10">#REF!</definedName>
    <definedName name="__SD124" localSheetId="28">#REF!</definedName>
    <definedName name="__SD124">#REF!</definedName>
    <definedName name="__SD125" localSheetId="8">#REF!</definedName>
    <definedName name="__SD125" localSheetId="10">#REF!</definedName>
    <definedName name="__SD125" localSheetId="28">#REF!</definedName>
    <definedName name="__SD125">#REF!</definedName>
    <definedName name="__SD126" localSheetId="8">#REF!</definedName>
    <definedName name="__SD126" localSheetId="10">#REF!</definedName>
    <definedName name="__SD126" localSheetId="28">#REF!</definedName>
    <definedName name="__SD126">#REF!</definedName>
    <definedName name="__SD127" localSheetId="8">#REF!</definedName>
    <definedName name="__SD127" localSheetId="10">#REF!</definedName>
    <definedName name="__SD127" localSheetId="28">#REF!</definedName>
    <definedName name="__SD127">#REF!</definedName>
    <definedName name="__SD128" localSheetId="8">#REF!</definedName>
    <definedName name="__SD128" localSheetId="10">#REF!</definedName>
    <definedName name="__SD128" localSheetId="28">#REF!</definedName>
    <definedName name="__SD128">#REF!</definedName>
    <definedName name="__SD129" localSheetId="8">#REF!</definedName>
    <definedName name="__SD129" localSheetId="10">#REF!</definedName>
    <definedName name="__SD129" localSheetId="28">#REF!</definedName>
    <definedName name="__SD129">#REF!</definedName>
    <definedName name="__SD13" localSheetId="8">#REF!</definedName>
    <definedName name="__SD13" localSheetId="10">#REF!</definedName>
    <definedName name="__SD13" localSheetId="28">#REF!</definedName>
    <definedName name="__SD13">#REF!</definedName>
    <definedName name="__SD130" localSheetId="8">#REF!</definedName>
    <definedName name="__SD130" localSheetId="10">#REF!</definedName>
    <definedName name="__SD130" localSheetId="28">#REF!</definedName>
    <definedName name="__SD130">#REF!</definedName>
    <definedName name="__SD131" localSheetId="8">#REF!</definedName>
    <definedName name="__SD131" localSheetId="10">#REF!</definedName>
    <definedName name="__SD131" localSheetId="28">#REF!</definedName>
    <definedName name="__SD131">#REF!</definedName>
    <definedName name="__SD132" localSheetId="8">#REF!</definedName>
    <definedName name="__SD132" localSheetId="10">#REF!</definedName>
    <definedName name="__SD132" localSheetId="28">#REF!</definedName>
    <definedName name="__SD132">#REF!</definedName>
    <definedName name="__SD133" localSheetId="8">#REF!</definedName>
    <definedName name="__SD133" localSheetId="10">#REF!</definedName>
    <definedName name="__SD133" localSheetId="28">#REF!</definedName>
    <definedName name="__SD133">#REF!</definedName>
    <definedName name="__SD134" localSheetId="8">#REF!</definedName>
    <definedName name="__SD134" localSheetId="10">#REF!</definedName>
    <definedName name="__SD134" localSheetId="28">#REF!</definedName>
    <definedName name="__SD134">#REF!</definedName>
    <definedName name="__SD135" localSheetId="8">#REF!</definedName>
    <definedName name="__SD135" localSheetId="10">#REF!</definedName>
    <definedName name="__SD135" localSheetId="28">#REF!</definedName>
    <definedName name="__SD135">#REF!</definedName>
    <definedName name="__SD136" localSheetId="8">#REF!</definedName>
    <definedName name="__SD136" localSheetId="10">#REF!</definedName>
    <definedName name="__SD136" localSheetId="28">#REF!</definedName>
    <definedName name="__SD136">#REF!</definedName>
    <definedName name="__SD137" localSheetId="8">#REF!</definedName>
    <definedName name="__SD137" localSheetId="10">#REF!</definedName>
    <definedName name="__SD137" localSheetId="28">#REF!</definedName>
    <definedName name="__SD137">#REF!</definedName>
    <definedName name="__SD138" localSheetId="8">#REF!</definedName>
    <definedName name="__SD138" localSheetId="10">#REF!</definedName>
    <definedName name="__SD138" localSheetId="28">#REF!</definedName>
    <definedName name="__SD138">#REF!</definedName>
    <definedName name="__SD139" localSheetId="8">#REF!</definedName>
    <definedName name="__SD139" localSheetId="10">#REF!</definedName>
    <definedName name="__SD139" localSheetId="28">#REF!</definedName>
    <definedName name="__SD139">#REF!</definedName>
    <definedName name="__SD14" localSheetId="8">#REF!</definedName>
    <definedName name="__SD14" localSheetId="10">#REF!</definedName>
    <definedName name="__SD14" localSheetId="28">#REF!</definedName>
    <definedName name="__SD14">#REF!</definedName>
    <definedName name="__SD140" localSheetId="8">#REF!</definedName>
    <definedName name="__SD140" localSheetId="10">#REF!</definedName>
    <definedName name="__SD140" localSheetId="28">#REF!</definedName>
    <definedName name="__SD140">#REF!</definedName>
    <definedName name="__SD141" localSheetId="8">#REF!</definedName>
    <definedName name="__SD141" localSheetId="10">#REF!</definedName>
    <definedName name="__SD141" localSheetId="28">#REF!</definedName>
    <definedName name="__SD141">#REF!</definedName>
    <definedName name="__SD142" localSheetId="8">#REF!</definedName>
    <definedName name="__SD142" localSheetId="10">#REF!</definedName>
    <definedName name="__SD142" localSheetId="28">#REF!</definedName>
    <definedName name="__SD142">#REF!</definedName>
    <definedName name="__SD143" localSheetId="8">#REF!</definedName>
    <definedName name="__SD143" localSheetId="10">#REF!</definedName>
    <definedName name="__SD143" localSheetId="28">#REF!</definedName>
    <definedName name="__SD143">#REF!</definedName>
    <definedName name="__SD144" localSheetId="8">#REF!</definedName>
    <definedName name="__SD144" localSheetId="10">#REF!</definedName>
    <definedName name="__SD144" localSheetId="28">#REF!</definedName>
    <definedName name="__SD144">#REF!</definedName>
    <definedName name="__SD145" localSheetId="8">#REF!</definedName>
    <definedName name="__SD145" localSheetId="10">#REF!</definedName>
    <definedName name="__SD145" localSheetId="28">#REF!</definedName>
    <definedName name="__SD145">#REF!</definedName>
    <definedName name="__SD146" localSheetId="8">#REF!</definedName>
    <definedName name="__SD146" localSheetId="10">#REF!</definedName>
    <definedName name="__SD146" localSheetId="28">#REF!</definedName>
    <definedName name="__SD146">#REF!</definedName>
    <definedName name="__SD147" localSheetId="8">#REF!</definedName>
    <definedName name="__SD147" localSheetId="10">#REF!</definedName>
    <definedName name="__SD147" localSheetId="28">#REF!</definedName>
    <definedName name="__SD147">#REF!</definedName>
    <definedName name="__SD148" localSheetId="8">#REF!</definedName>
    <definedName name="__SD148" localSheetId="10">#REF!</definedName>
    <definedName name="__SD148" localSheetId="28">#REF!</definedName>
    <definedName name="__SD148">#REF!</definedName>
    <definedName name="__SD149" localSheetId="8">#REF!</definedName>
    <definedName name="__SD149" localSheetId="10">#REF!</definedName>
    <definedName name="__SD149" localSheetId="28">#REF!</definedName>
    <definedName name="__SD149">#REF!</definedName>
    <definedName name="__SD15" localSheetId="8">#REF!</definedName>
    <definedName name="__SD15" localSheetId="10">#REF!</definedName>
    <definedName name="__SD15" localSheetId="28">#REF!</definedName>
    <definedName name="__SD15">#REF!</definedName>
    <definedName name="__SD150" localSheetId="8">#REF!</definedName>
    <definedName name="__SD150" localSheetId="10">#REF!</definedName>
    <definedName name="__SD150" localSheetId="28">#REF!</definedName>
    <definedName name="__SD150">#REF!</definedName>
    <definedName name="__SD16" localSheetId="8">#REF!</definedName>
    <definedName name="__SD16" localSheetId="10">#REF!</definedName>
    <definedName name="__SD16" localSheetId="28">#REF!</definedName>
    <definedName name="__SD16">#REF!</definedName>
    <definedName name="__SD17" localSheetId="8">#REF!</definedName>
    <definedName name="__SD17" localSheetId="10">#REF!</definedName>
    <definedName name="__SD17" localSheetId="28">#REF!</definedName>
    <definedName name="__SD17">#REF!</definedName>
    <definedName name="__SD18" localSheetId="8">#REF!</definedName>
    <definedName name="__SD18" localSheetId="10">#REF!</definedName>
    <definedName name="__SD18" localSheetId="28">#REF!</definedName>
    <definedName name="__SD18">#REF!</definedName>
    <definedName name="__SD19" localSheetId="8">#REF!</definedName>
    <definedName name="__SD19" localSheetId="10">#REF!</definedName>
    <definedName name="__SD19" localSheetId="28">#REF!</definedName>
    <definedName name="__SD19">#REF!</definedName>
    <definedName name="__SD2" localSheetId="8">#REF!</definedName>
    <definedName name="__SD2" localSheetId="10">#REF!</definedName>
    <definedName name="__SD2" localSheetId="28">#REF!</definedName>
    <definedName name="__SD2">#REF!</definedName>
    <definedName name="__SD20" localSheetId="8">#REF!</definedName>
    <definedName name="__SD20" localSheetId="10">#REF!</definedName>
    <definedName name="__SD20" localSheetId="28">#REF!</definedName>
    <definedName name="__SD20">#REF!</definedName>
    <definedName name="__SD21" localSheetId="8">#REF!</definedName>
    <definedName name="__SD21" localSheetId="10">#REF!</definedName>
    <definedName name="__SD21" localSheetId="28">#REF!</definedName>
    <definedName name="__SD21">#REF!</definedName>
    <definedName name="__SD22" localSheetId="8">#REF!</definedName>
    <definedName name="__SD22" localSheetId="10">#REF!</definedName>
    <definedName name="__SD22" localSheetId="28">#REF!</definedName>
    <definedName name="__SD22">#REF!</definedName>
    <definedName name="__SD23" localSheetId="8">#REF!</definedName>
    <definedName name="__SD23" localSheetId="10">#REF!</definedName>
    <definedName name="__SD23" localSheetId="28">#REF!</definedName>
    <definedName name="__SD23">#REF!</definedName>
    <definedName name="__SD24" localSheetId="8">#REF!</definedName>
    <definedName name="__SD24" localSheetId="10">#REF!</definedName>
    <definedName name="__SD24" localSheetId="28">#REF!</definedName>
    <definedName name="__SD24">#REF!</definedName>
    <definedName name="__SD25" localSheetId="8">#REF!</definedName>
    <definedName name="__SD25" localSheetId="10">#REF!</definedName>
    <definedName name="__SD25" localSheetId="28">#REF!</definedName>
    <definedName name="__SD25">#REF!</definedName>
    <definedName name="__SD250" localSheetId="8">#REF!</definedName>
    <definedName name="__SD250" localSheetId="10">#REF!</definedName>
    <definedName name="__SD250" localSheetId="28">#REF!</definedName>
    <definedName name="__SD250">#REF!</definedName>
    <definedName name="__SD26" localSheetId="8">#REF!</definedName>
    <definedName name="__SD26" localSheetId="10">#REF!</definedName>
    <definedName name="__SD26" localSheetId="28">#REF!</definedName>
    <definedName name="__SD26">#REF!</definedName>
    <definedName name="__SD27" localSheetId="8">#REF!</definedName>
    <definedName name="__SD27" localSheetId="10">#REF!</definedName>
    <definedName name="__SD27" localSheetId="28">#REF!</definedName>
    <definedName name="__SD27">#REF!</definedName>
    <definedName name="__SD28" localSheetId="8">#REF!</definedName>
    <definedName name="__SD28" localSheetId="10">#REF!</definedName>
    <definedName name="__SD28" localSheetId="28">#REF!</definedName>
    <definedName name="__SD28">#REF!</definedName>
    <definedName name="__SD29" localSheetId="8">#REF!</definedName>
    <definedName name="__SD29" localSheetId="10">#REF!</definedName>
    <definedName name="__SD29" localSheetId="28">#REF!</definedName>
    <definedName name="__SD29">#REF!</definedName>
    <definedName name="__SD3" localSheetId="8">#REF!</definedName>
    <definedName name="__SD3" localSheetId="10">#REF!</definedName>
    <definedName name="__SD3" localSheetId="28">#REF!</definedName>
    <definedName name="__SD3">#REF!</definedName>
    <definedName name="__SD30" localSheetId="8">#REF!</definedName>
    <definedName name="__SD30" localSheetId="10">#REF!</definedName>
    <definedName name="__SD30" localSheetId="28">#REF!</definedName>
    <definedName name="__SD30">#REF!</definedName>
    <definedName name="__SD31" localSheetId="8">#REF!</definedName>
    <definedName name="__SD31" localSheetId="10">#REF!</definedName>
    <definedName name="__SD31" localSheetId="28">#REF!</definedName>
    <definedName name="__SD31">#REF!</definedName>
    <definedName name="__SD32" localSheetId="8">#REF!</definedName>
    <definedName name="__SD32" localSheetId="10">#REF!</definedName>
    <definedName name="__SD32" localSheetId="28">#REF!</definedName>
    <definedName name="__SD32">#REF!</definedName>
    <definedName name="__SD33" localSheetId="8">#REF!</definedName>
    <definedName name="__SD33" localSheetId="10">#REF!</definedName>
    <definedName name="__SD33" localSheetId="28">#REF!</definedName>
    <definedName name="__SD33">#REF!</definedName>
    <definedName name="__SD34" localSheetId="8">#REF!</definedName>
    <definedName name="__SD34" localSheetId="10">#REF!</definedName>
    <definedName name="__SD34" localSheetId="28">#REF!</definedName>
    <definedName name="__SD34">#REF!</definedName>
    <definedName name="__SD35" localSheetId="8">#REF!</definedName>
    <definedName name="__SD35" localSheetId="10">#REF!</definedName>
    <definedName name="__SD35" localSheetId="28">#REF!</definedName>
    <definedName name="__SD35">#REF!</definedName>
    <definedName name="__SD36" localSheetId="8">#REF!</definedName>
    <definedName name="__SD36" localSheetId="10">#REF!</definedName>
    <definedName name="__SD36" localSheetId="28">#REF!</definedName>
    <definedName name="__SD36">#REF!</definedName>
    <definedName name="__SD37" localSheetId="8">#REF!</definedName>
    <definedName name="__SD37" localSheetId="10">#REF!</definedName>
    <definedName name="__SD37" localSheetId="28">#REF!</definedName>
    <definedName name="__SD37">#REF!</definedName>
    <definedName name="__SD38" localSheetId="8">#REF!</definedName>
    <definedName name="__SD38" localSheetId="10">#REF!</definedName>
    <definedName name="__SD38" localSheetId="28">#REF!</definedName>
    <definedName name="__SD38">#REF!</definedName>
    <definedName name="__SD39" localSheetId="8">#REF!</definedName>
    <definedName name="__SD39" localSheetId="10">#REF!</definedName>
    <definedName name="__SD39" localSheetId="28">#REF!</definedName>
    <definedName name="__SD39">#REF!</definedName>
    <definedName name="__SD4" localSheetId="8">#REF!</definedName>
    <definedName name="__SD4" localSheetId="10">#REF!</definedName>
    <definedName name="__SD4" localSheetId="28">#REF!</definedName>
    <definedName name="__SD4">#REF!</definedName>
    <definedName name="__SD40" localSheetId="8">#REF!</definedName>
    <definedName name="__SD40" localSheetId="10">#REF!</definedName>
    <definedName name="__SD40" localSheetId="28">#REF!</definedName>
    <definedName name="__SD40">#REF!</definedName>
    <definedName name="__SD41" localSheetId="8">#REF!</definedName>
    <definedName name="__SD41" localSheetId="10">#REF!</definedName>
    <definedName name="__SD41" localSheetId="28">#REF!</definedName>
    <definedName name="__SD41">#REF!</definedName>
    <definedName name="__SD42" localSheetId="8">#REF!</definedName>
    <definedName name="__SD42" localSheetId="10">#REF!</definedName>
    <definedName name="__SD42" localSheetId="28">#REF!</definedName>
    <definedName name="__SD42">#REF!</definedName>
    <definedName name="__SD43" localSheetId="8">#REF!</definedName>
    <definedName name="__SD43" localSheetId="10">#REF!</definedName>
    <definedName name="__SD43" localSheetId="28">#REF!</definedName>
    <definedName name="__SD43">#REF!</definedName>
    <definedName name="__SD44" localSheetId="8">#REF!</definedName>
    <definedName name="__SD44" localSheetId="10">#REF!</definedName>
    <definedName name="__SD44" localSheetId="28">#REF!</definedName>
    <definedName name="__SD44">#REF!</definedName>
    <definedName name="__SD45" localSheetId="8">#REF!</definedName>
    <definedName name="__SD45" localSheetId="10">#REF!</definedName>
    <definedName name="__SD45" localSheetId="28">#REF!</definedName>
    <definedName name="__SD45">#REF!</definedName>
    <definedName name="__SD46" localSheetId="8">#REF!</definedName>
    <definedName name="__SD46" localSheetId="10">#REF!</definedName>
    <definedName name="__SD46" localSheetId="28">#REF!</definedName>
    <definedName name="__SD46">#REF!</definedName>
    <definedName name="__SD47" localSheetId="8">#REF!</definedName>
    <definedName name="__SD47" localSheetId="10">#REF!</definedName>
    <definedName name="__SD47" localSheetId="28">#REF!</definedName>
    <definedName name="__SD47">#REF!</definedName>
    <definedName name="__SD48" localSheetId="8">#REF!</definedName>
    <definedName name="__SD48" localSheetId="10">#REF!</definedName>
    <definedName name="__SD48" localSheetId="28">#REF!</definedName>
    <definedName name="__SD48">#REF!</definedName>
    <definedName name="__SD49" localSheetId="8">#REF!</definedName>
    <definedName name="__SD49" localSheetId="10">#REF!</definedName>
    <definedName name="__SD49" localSheetId="28">#REF!</definedName>
    <definedName name="__SD49">#REF!</definedName>
    <definedName name="__SD5" localSheetId="8">#REF!</definedName>
    <definedName name="__SD5" localSheetId="10">#REF!</definedName>
    <definedName name="__SD5" localSheetId="28">#REF!</definedName>
    <definedName name="__SD5">#REF!</definedName>
    <definedName name="__SD50" localSheetId="8">#REF!</definedName>
    <definedName name="__SD50" localSheetId="10">#REF!</definedName>
    <definedName name="__SD50" localSheetId="28">#REF!</definedName>
    <definedName name="__SD50">#REF!</definedName>
    <definedName name="__SD500" localSheetId="8">#REF!</definedName>
    <definedName name="__SD500" localSheetId="10">#REF!</definedName>
    <definedName name="__SD500" localSheetId="28">#REF!</definedName>
    <definedName name="__SD500">#REF!</definedName>
    <definedName name="__SD51" localSheetId="8">#REF!</definedName>
    <definedName name="__SD51" localSheetId="10">#REF!</definedName>
    <definedName name="__SD51" localSheetId="28">#REF!</definedName>
    <definedName name="__SD51">#REF!</definedName>
    <definedName name="__SD52" localSheetId="8">#REF!</definedName>
    <definedName name="__SD52" localSheetId="10">#REF!</definedName>
    <definedName name="__SD52" localSheetId="28">#REF!</definedName>
    <definedName name="__SD52">#REF!</definedName>
    <definedName name="__SD53" localSheetId="8">#REF!</definedName>
    <definedName name="__SD53" localSheetId="10">#REF!</definedName>
    <definedName name="__SD53" localSheetId="28">#REF!</definedName>
    <definedName name="__SD53">#REF!</definedName>
    <definedName name="__SD54" localSheetId="8">#REF!</definedName>
    <definedName name="__SD54" localSheetId="10">#REF!</definedName>
    <definedName name="__SD54" localSheetId="28">#REF!</definedName>
    <definedName name="__SD54">#REF!</definedName>
    <definedName name="__SD55" localSheetId="8">#REF!</definedName>
    <definedName name="__SD55" localSheetId="10">#REF!</definedName>
    <definedName name="__SD55" localSheetId="28">#REF!</definedName>
    <definedName name="__SD55">#REF!</definedName>
    <definedName name="__SD56" localSheetId="8">#REF!</definedName>
    <definedName name="__SD56" localSheetId="10">#REF!</definedName>
    <definedName name="__SD56" localSheetId="28">#REF!</definedName>
    <definedName name="__SD56">#REF!</definedName>
    <definedName name="__SD57" localSheetId="8">#REF!</definedName>
    <definedName name="__SD57" localSheetId="10">#REF!</definedName>
    <definedName name="__SD57" localSheetId="28">#REF!</definedName>
    <definedName name="__SD57">#REF!</definedName>
    <definedName name="__SD58" localSheetId="8">#REF!</definedName>
    <definedName name="__SD58" localSheetId="10">#REF!</definedName>
    <definedName name="__SD58" localSheetId="28">#REF!</definedName>
    <definedName name="__SD58">#REF!</definedName>
    <definedName name="__SD59" localSheetId="8">#REF!</definedName>
    <definedName name="__SD59" localSheetId="10">#REF!</definedName>
    <definedName name="__SD59" localSheetId="28">#REF!</definedName>
    <definedName name="__SD59">#REF!</definedName>
    <definedName name="__SD6" localSheetId="8">#REF!</definedName>
    <definedName name="__SD6" localSheetId="10">#REF!</definedName>
    <definedName name="__SD6" localSheetId="28">#REF!</definedName>
    <definedName name="__SD6">#REF!</definedName>
    <definedName name="__SD60" localSheetId="8">#REF!</definedName>
    <definedName name="__SD60" localSheetId="10">#REF!</definedName>
    <definedName name="__SD60" localSheetId="28">#REF!</definedName>
    <definedName name="__SD60">#REF!</definedName>
    <definedName name="__SD61" localSheetId="8">#REF!</definedName>
    <definedName name="__SD61" localSheetId="10">#REF!</definedName>
    <definedName name="__SD61" localSheetId="28">#REF!</definedName>
    <definedName name="__SD61">#REF!</definedName>
    <definedName name="__SD62" localSheetId="8">#REF!</definedName>
    <definedName name="__SD62" localSheetId="10">#REF!</definedName>
    <definedName name="__SD62" localSheetId="28">#REF!</definedName>
    <definedName name="__SD62">#REF!</definedName>
    <definedName name="__SD63" localSheetId="8">#REF!</definedName>
    <definedName name="__SD63" localSheetId="10">#REF!</definedName>
    <definedName name="__SD63" localSheetId="28">#REF!</definedName>
    <definedName name="__SD63">#REF!</definedName>
    <definedName name="__SD64" localSheetId="8">#REF!</definedName>
    <definedName name="__SD64" localSheetId="10">#REF!</definedName>
    <definedName name="__SD64" localSheetId="28">#REF!</definedName>
    <definedName name="__SD64">#REF!</definedName>
    <definedName name="__SD65" localSheetId="8">#REF!</definedName>
    <definedName name="__SD65" localSheetId="10">#REF!</definedName>
    <definedName name="__SD65" localSheetId="28">#REF!</definedName>
    <definedName name="__SD65">#REF!</definedName>
    <definedName name="__SD66" localSheetId="8">#REF!</definedName>
    <definedName name="__SD66" localSheetId="10">#REF!</definedName>
    <definedName name="__SD66" localSheetId="28">#REF!</definedName>
    <definedName name="__SD66">#REF!</definedName>
    <definedName name="__SD67" localSheetId="8">#REF!</definedName>
    <definedName name="__SD67" localSheetId="10">#REF!</definedName>
    <definedName name="__SD67" localSheetId="28">#REF!</definedName>
    <definedName name="__SD67">#REF!</definedName>
    <definedName name="__SD68" localSheetId="8">#REF!</definedName>
    <definedName name="__SD68" localSheetId="10">#REF!</definedName>
    <definedName name="__SD68" localSheetId="28">#REF!</definedName>
    <definedName name="__SD68">#REF!</definedName>
    <definedName name="__SD69" localSheetId="8">#REF!</definedName>
    <definedName name="__SD69" localSheetId="10">#REF!</definedName>
    <definedName name="__SD69" localSheetId="28">#REF!</definedName>
    <definedName name="__SD69">#REF!</definedName>
    <definedName name="__SD7" localSheetId="8">#REF!</definedName>
    <definedName name="__SD7" localSheetId="10">#REF!</definedName>
    <definedName name="__SD7" localSheetId="28">#REF!</definedName>
    <definedName name="__SD7">#REF!</definedName>
    <definedName name="__SD70" localSheetId="8">#REF!</definedName>
    <definedName name="__SD70" localSheetId="10">#REF!</definedName>
    <definedName name="__SD70" localSheetId="28">#REF!</definedName>
    <definedName name="__SD70">#REF!</definedName>
    <definedName name="__SD71" localSheetId="8">#REF!</definedName>
    <definedName name="__SD71" localSheetId="10">#REF!</definedName>
    <definedName name="__SD71" localSheetId="28">#REF!</definedName>
    <definedName name="__SD71">#REF!</definedName>
    <definedName name="__SD72" localSheetId="8">#REF!</definedName>
    <definedName name="__SD72" localSheetId="10">#REF!</definedName>
    <definedName name="__SD72" localSheetId="28">#REF!</definedName>
    <definedName name="__SD72">#REF!</definedName>
    <definedName name="__SD73" localSheetId="8">#REF!</definedName>
    <definedName name="__SD73" localSheetId="10">#REF!</definedName>
    <definedName name="__SD73" localSheetId="28">#REF!</definedName>
    <definedName name="__SD73">#REF!</definedName>
    <definedName name="__SD74" localSheetId="8">#REF!</definedName>
    <definedName name="__SD74" localSheetId="10">#REF!</definedName>
    <definedName name="__SD74" localSheetId="28">#REF!</definedName>
    <definedName name="__SD74">#REF!</definedName>
    <definedName name="__SD75" localSheetId="8">#REF!</definedName>
    <definedName name="__SD75" localSheetId="10">#REF!</definedName>
    <definedName name="__SD75" localSheetId="28">#REF!</definedName>
    <definedName name="__SD75">#REF!</definedName>
    <definedName name="__SD76" localSheetId="8">#REF!</definedName>
    <definedName name="__SD76" localSheetId="10">#REF!</definedName>
    <definedName name="__SD76" localSheetId="28">#REF!</definedName>
    <definedName name="__SD76">#REF!</definedName>
    <definedName name="__SD77" localSheetId="8">#REF!</definedName>
    <definedName name="__SD77" localSheetId="10">#REF!</definedName>
    <definedName name="__SD77" localSheetId="28">#REF!</definedName>
    <definedName name="__SD77">#REF!</definedName>
    <definedName name="__SD78" localSheetId="8">#REF!</definedName>
    <definedName name="__SD78" localSheetId="10">#REF!</definedName>
    <definedName name="__SD78" localSheetId="28">#REF!</definedName>
    <definedName name="__SD78">#REF!</definedName>
    <definedName name="__SD79" localSheetId="8">#REF!</definedName>
    <definedName name="__SD79" localSheetId="10">#REF!</definedName>
    <definedName name="__SD79" localSheetId="28">#REF!</definedName>
    <definedName name="__SD79">#REF!</definedName>
    <definedName name="__SD8" localSheetId="8">#REF!</definedName>
    <definedName name="__SD8" localSheetId="10">#REF!</definedName>
    <definedName name="__SD8" localSheetId="28">#REF!</definedName>
    <definedName name="__SD8">#REF!</definedName>
    <definedName name="__SD80" localSheetId="8">#REF!</definedName>
    <definedName name="__SD80" localSheetId="10">#REF!</definedName>
    <definedName name="__SD80" localSheetId="28">#REF!</definedName>
    <definedName name="__SD80">#REF!</definedName>
    <definedName name="__SD81" localSheetId="8">#REF!</definedName>
    <definedName name="__SD81" localSheetId="10">#REF!</definedName>
    <definedName name="__SD81" localSheetId="28">#REF!</definedName>
    <definedName name="__SD81">#REF!</definedName>
    <definedName name="__SD82" localSheetId="8">#REF!</definedName>
    <definedName name="__SD82" localSheetId="10">#REF!</definedName>
    <definedName name="__SD82" localSheetId="28">#REF!</definedName>
    <definedName name="__SD82">#REF!</definedName>
    <definedName name="__SD83" localSheetId="8">#REF!</definedName>
    <definedName name="__SD83" localSheetId="10">#REF!</definedName>
    <definedName name="__SD83" localSheetId="28">#REF!</definedName>
    <definedName name="__SD83">#REF!</definedName>
    <definedName name="__SD84" localSheetId="8">#REF!</definedName>
    <definedName name="__SD84" localSheetId="10">#REF!</definedName>
    <definedName name="__SD84" localSheetId="28">#REF!</definedName>
    <definedName name="__SD84">#REF!</definedName>
    <definedName name="__SD85" localSheetId="8">#REF!</definedName>
    <definedName name="__SD85" localSheetId="10">#REF!</definedName>
    <definedName name="__SD85" localSheetId="28">#REF!</definedName>
    <definedName name="__SD85">#REF!</definedName>
    <definedName name="__SD86" localSheetId="8">#REF!</definedName>
    <definedName name="__SD86" localSheetId="10">#REF!</definedName>
    <definedName name="__SD86" localSheetId="28">#REF!</definedName>
    <definedName name="__SD86">#REF!</definedName>
    <definedName name="__SD87" localSheetId="8">#REF!</definedName>
    <definedName name="__SD87" localSheetId="10">#REF!</definedName>
    <definedName name="__SD87" localSheetId="28">#REF!</definedName>
    <definedName name="__SD87">#REF!</definedName>
    <definedName name="__SD88" localSheetId="8">#REF!</definedName>
    <definedName name="__SD88" localSheetId="10">#REF!</definedName>
    <definedName name="__SD88" localSheetId="28">#REF!</definedName>
    <definedName name="__SD88">#REF!</definedName>
    <definedName name="__SD89" localSheetId="8">#REF!</definedName>
    <definedName name="__SD89" localSheetId="10">#REF!</definedName>
    <definedName name="__SD89" localSheetId="28">#REF!</definedName>
    <definedName name="__SD89">#REF!</definedName>
    <definedName name="__SD9" localSheetId="8">#REF!</definedName>
    <definedName name="__SD9" localSheetId="10">#REF!</definedName>
    <definedName name="__SD9" localSheetId="28">#REF!</definedName>
    <definedName name="__SD9">#REF!</definedName>
    <definedName name="__SD90" localSheetId="8">#REF!</definedName>
    <definedName name="__SD90" localSheetId="10">#REF!</definedName>
    <definedName name="__SD90" localSheetId="28">#REF!</definedName>
    <definedName name="__SD90">#REF!</definedName>
    <definedName name="__SD91" localSheetId="8">#REF!</definedName>
    <definedName name="__SD91" localSheetId="10">#REF!</definedName>
    <definedName name="__SD91" localSheetId="28">#REF!</definedName>
    <definedName name="__SD91">#REF!</definedName>
    <definedName name="__SD92" localSheetId="8">#REF!</definedName>
    <definedName name="__SD92" localSheetId="10">#REF!</definedName>
    <definedName name="__SD92" localSheetId="28">#REF!</definedName>
    <definedName name="__SD92">#REF!</definedName>
    <definedName name="__SD93" localSheetId="8">#REF!</definedName>
    <definedName name="__SD93" localSheetId="10">#REF!</definedName>
    <definedName name="__SD93" localSheetId="28">#REF!</definedName>
    <definedName name="__SD93">#REF!</definedName>
    <definedName name="__SD94" localSheetId="8">#REF!</definedName>
    <definedName name="__SD94" localSheetId="10">#REF!</definedName>
    <definedName name="__SD94" localSheetId="28">#REF!</definedName>
    <definedName name="__SD94">#REF!</definedName>
    <definedName name="__SD95" localSheetId="8">#REF!</definedName>
    <definedName name="__SD95" localSheetId="10">#REF!</definedName>
    <definedName name="__SD95" localSheetId="28">#REF!</definedName>
    <definedName name="__SD95">#REF!</definedName>
    <definedName name="__SD96" localSheetId="8">#REF!</definedName>
    <definedName name="__SD96" localSheetId="10">#REF!</definedName>
    <definedName name="__SD96" localSheetId="28">#REF!</definedName>
    <definedName name="__SD96">#REF!</definedName>
    <definedName name="__SD97" localSheetId="8">#REF!</definedName>
    <definedName name="__SD97" localSheetId="10">#REF!</definedName>
    <definedName name="__SD97" localSheetId="28">#REF!</definedName>
    <definedName name="__SD97">#REF!</definedName>
    <definedName name="__SD98" localSheetId="8">#REF!</definedName>
    <definedName name="__SD98" localSheetId="10">#REF!</definedName>
    <definedName name="__SD98" localSheetId="28">#REF!</definedName>
    <definedName name="__SD98">#REF!</definedName>
    <definedName name="__SD99" localSheetId="8">#REF!</definedName>
    <definedName name="__SD99" localSheetId="10">#REF!</definedName>
    <definedName name="__SD99" localSheetId="28">#REF!</definedName>
    <definedName name="__SD99">#REF!</definedName>
    <definedName name="__SO016" localSheetId="8">#REF!</definedName>
    <definedName name="__SO016" localSheetId="10">#REF!</definedName>
    <definedName name="__SO016" localSheetId="11">#REF!</definedName>
    <definedName name="__SO016" localSheetId="28">#REF!</definedName>
    <definedName name="__SO016">#REF!</definedName>
    <definedName name="__SP001" localSheetId="8">#REF!</definedName>
    <definedName name="__SP001" localSheetId="10">#REF!</definedName>
    <definedName name="__SP001" localSheetId="11">#REF!</definedName>
    <definedName name="__SP001" localSheetId="28">#REF!</definedName>
    <definedName name="__SP001">#REF!</definedName>
    <definedName name="__SP002" localSheetId="8">#REF!</definedName>
    <definedName name="__SP002" localSheetId="10">#REF!</definedName>
    <definedName name="__SP002" localSheetId="11">#REF!</definedName>
    <definedName name="__SP002" localSheetId="28">#REF!</definedName>
    <definedName name="__SP002">#REF!</definedName>
    <definedName name="__SP003" localSheetId="8">#REF!</definedName>
    <definedName name="__SP003" localSheetId="10">#REF!</definedName>
    <definedName name="__SP003" localSheetId="11">#REF!</definedName>
    <definedName name="__SP003" localSheetId="28">#REF!</definedName>
    <definedName name="__SP003">#REF!</definedName>
    <definedName name="__SP004" localSheetId="8">#REF!</definedName>
    <definedName name="__SP004" localSheetId="10">#REF!</definedName>
    <definedName name="__SP004" localSheetId="11">#REF!</definedName>
    <definedName name="__SP004" localSheetId="28">#REF!</definedName>
    <definedName name="__SP004">#REF!</definedName>
    <definedName name="__SP005" localSheetId="8">#REF!</definedName>
    <definedName name="__SP005" localSheetId="10">#REF!</definedName>
    <definedName name="__SP005" localSheetId="11">#REF!</definedName>
    <definedName name="__SP005" localSheetId="28">#REF!</definedName>
    <definedName name="__SP005">#REF!</definedName>
    <definedName name="__SP006" localSheetId="8">#REF!</definedName>
    <definedName name="__SP006" localSheetId="10">#REF!</definedName>
    <definedName name="__SP006" localSheetId="11">#REF!</definedName>
    <definedName name="__SP006" localSheetId="28">#REF!</definedName>
    <definedName name="__SP006">#REF!</definedName>
    <definedName name="__SP007" localSheetId="8">#REF!</definedName>
    <definedName name="__SP007" localSheetId="10">#REF!</definedName>
    <definedName name="__SP007" localSheetId="11">#REF!</definedName>
    <definedName name="__SP007" localSheetId="28">#REF!</definedName>
    <definedName name="__SP007">#REF!</definedName>
    <definedName name="__SP008" localSheetId="8">#REF!</definedName>
    <definedName name="__SP008" localSheetId="10">#REF!</definedName>
    <definedName name="__SP008" localSheetId="11">#REF!</definedName>
    <definedName name="__SP008" localSheetId="28">#REF!</definedName>
    <definedName name="__SP008">#REF!</definedName>
    <definedName name="__SP009" localSheetId="8">#REF!</definedName>
    <definedName name="__SP009" localSheetId="10">#REF!</definedName>
    <definedName name="__SP009" localSheetId="11">#REF!</definedName>
    <definedName name="__SP009" localSheetId="28">#REF!</definedName>
    <definedName name="__SP009">#REF!</definedName>
    <definedName name="__SP010" localSheetId="8">#REF!</definedName>
    <definedName name="__SP010" localSheetId="10">#REF!</definedName>
    <definedName name="__SP010" localSheetId="11">#REF!</definedName>
    <definedName name="__SP010" localSheetId="28">#REF!</definedName>
    <definedName name="__SP010">#REF!</definedName>
    <definedName name="__SP011" localSheetId="8">#REF!</definedName>
    <definedName name="__SP011" localSheetId="10">#REF!</definedName>
    <definedName name="__SP011" localSheetId="11">#REF!</definedName>
    <definedName name="__SP011" localSheetId="28">#REF!</definedName>
    <definedName name="__SP011">#REF!</definedName>
    <definedName name="__SP012" localSheetId="8">#REF!</definedName>
    <definedName name="__SP012" localSheetId="10">#REF!</definedName>
    <definedName name="__SP012" localSheetId="11">#REF!</definedName>
    <definedName name="__SP012" localSheetId="28">#REF!</definedName>
    <definedName name="__SP012">#REF!</definedName>
    <definedName name="__SP013" localSheetId="8">#REF!</definedName>
    <definedName name="__SP013" localSheetId="10">#REF!</definedName>
    <definedName name="__SP013" localSheetId="11">#REF!</definedName>
    <definedName name="__SP013" localSheetId="28">#REF!</definedName>
    <definedName name="__SP013">#REF!</definedName>
    <definedName name="__SP014" localSheetId="8">#REF!</definedName>
    <definedName name="__SP014" localSheetId="10">#REF!</definedName>
    <definedName name="__SP014" localSheetId="11">#REF!</definedName>
    <definedName name="__SP014" localSheetId="28">#REF!</definedName>
    <definedName name="__SP014">#REF!</definedName>
    <definedName name="__SP015" localSheetId="8">#REF!</definedName>
    <definedName name="__SP015" localSheetId="10">#REF!</definedName>
    <definedName name="__SP015" localSheetId="11">#REF!</definedName>
    <definedName name="__SP015" localSheetId="28">#REF!</definedName>
    <definedName name="__SP015">#REF!</definedName>
    <definedName name="__SP016" localSheetId="8">#REF!</definedName>
    <definedName name="__SP016" localSheetId="10">#REF!</definedName>
    <definedName name="__SP016" localSheetId="11">#REF!</definedName>
    <definedName name="__SP016" localSheetId="28">#REF!</definedName>
    <definedName name="__SP016">#REF!</definedName>
    <definedName name="__SP017" localSheetId="8">#REF!</definedName>
    <definedName name="__SP017" localSheetId="10">#REF!</definedName>
    <definedName name="__SP017" localSheetId="11">#REF!</definedName>
    <definedName name="__SP017" localSheetId="28">#REF!</definedName>
    <definedName name="__SP017">#REF!</definedName>
    <definedName name="__SP018" localSheetId="8">#REF!</definedName>
    <definedName name="__SP018" localSheetId="10">#REF!</definedName>
    <definedName name="__SP018" localSheetId="11">#REF!</definedName>
    <definedName name="__SP018" localSheetId="28">#REF!</definedName>
    <definedName name="__SP018">#REF!</definedName>
    <definedName name="__SP019" localSheetId="8">#REF!</definedName>
    <definedName name="__SP019" localSheetId="10">#REF!</definedName>
    <definedName name="__SP019" localSheetId="11">#REF!</definedName>
    <definedName name="__SP019" localSheetId="28">#REF!</definedName>
    <definedName name="__SP019">#REF!</definedName>
    <definedName name="__SP020" localSheetId="8">#REF!</definedName>
    <definedName name="__SP020" localSheetId="10">#REF!</definedName>
    <definedName name="__SP020" localSheetId="11">#REF!</definedName>
    <definedName name="__SP020" localSheetId="28">#REF!</definedName>
    <definedName name="__SP020">#REF!</definedName>
    <definedName name="__SP021" localSheetId="8">#REF!</definedName>
    <definedName name="__SP021" localSheetId="10">#REF!</definedName>
    <definedName name="__SP021" localSheetId="11">#REF!</definedName>
    <definedName name="__SP021" localSheetId="28">#REF!</definedName>
    <definedName name="__SP021">#REF!</definedName>
    <definedName name="__SP022" localSheetId="8">#REF!</definedName>
    <definedName name="__SP022" localSheetId="10">#REF!</definedName>
    <definedName name="__SP022" localSheetId="11">#REF!</definedName>
    <definedName name="__SP022" localSheetId="28">#REF!</definedName>
    <definedName name="__SP022">#REF!</definedName>
    <definedName name="__SP023" localSheetId="8">#REF!</definedName>
    <definedName name="__SP023" localSheetId="10">#REF!</definedName>
    <definedName name="__SP023" localSheetId="11">#REF!</definedName>
    <definedName name="__SP023" localSheetId="28">#REF!</definedName>
    <definedName name="__SP023">#REF!</definedName>
    <definedName name="__SP024" localSheetId="8">#REF!</definedName>
    <definedName name="__SP024" localSheetId="10">#REF!</definedName>
    <definedName name="__SP024" localSheetId="11">#REF!</definedName>
    <definedName name="__SP024" localSheetId="28">#REF!</definedName>
    <definedName name="__SP024">#REF!</definedName>
    <definedName name="__SP025" localSheetId="8">#REF!</definedName>
    <definedName name="__SP025" localSheetId="10">#REF!</definedName>
    <definedName name="__SP025" localSheetId="11">#REF!</definedName>
    <definedName name="__SP025" localSheetId="28">#REF!</definedName>
    <definedName name="__SP025">#REF!</definedName>
    <definedName name="__SP026" localSheetId="8">#REF!</definedName>
    <definedName name="__SP026" localSheetId="10">#REF!</definedName>
    <definedName name="__SP026" localSheetId="11">#REF!</definedName>
    <definedName name="__SP026" localSheetId="28">#REF!</definedName>
    <definedName name="__SP026">#REF!</definedName>
    <definedName name="__SP027" localSheetId="8">#REF!</definedName>
    <definedName name="__SP027" localSheetId="10">#REF!</definedName>
    <definedName name="__SP027" localSheetId="11">#REF!</definedName>
    <definedName name="__SP027" localSheetId="28">#REF!</definedName>
    <definedName name="__SP027">#REF!</definedName>
    <definedName name="__SP028" localSheetId="8">#REF!</definedName>
    <definedName name="__SP028" localSheetId="10">#REF!</definedName>
    <definedName name="__SP028" localSheetId="11">#REF!</definedName>
    <definedName name="__SP028" localSheetId="28">#REF!</definedName>
    <definedName name="__SP028">#REF!</definedName>
    <definedName name="__SP029" localSheetId="8">#REF!</definedName>
    <definedName name="__SP029" localSheetId="10">#REF!</definedName>
    <definedName name="__SP029" localSheetId="11">#REF!</definedName>
    <definedName name="__SP029" localSheetId="28">#REF!</definedName>
    <definedName name="__SP029">#REF!</definedName>
    <definedName name="__SP030" localSheetId="8">#REF!</definedName>
    <definedName name="__SP030" localSheetId="10">#REF!</definedName>
    <definedName name="__SP030" localSheetId="11">#REF!</definedName>
    <definedName name="__SP030" localSheetId="28">#REF!</definedName>
    <definedName name="__SP030">#REF!</definedName>
    <definedName name="__SP031" localSheetId="8">#REF!</definedName>
    <definedName name="__SP031" localSheetId="10">#REF!</definedName>
    <definedName name="__SP031" localSheetId="11">#REF!</definedName>
    <definedName name="__SP031" localSheetId="28">#REF!</definedName>
    <definedName name="__SP031">#REF!</definedName>
    <definedName name="__SP032" localSheetId="8">#REF!</definedName>
    <definedName name="__SP032" localSheetId="10">#REF!</definedName>
    <definedName name="__SP032" localSheetId="11">#REF!</definedName>
    <definedName name="__SP032" localSheetId="28">#REF!</definedName>
    <definedName name="__SP032">#REF!</definedName>
    <definedName name="__SP033" localSheetId="8">#REF!</definedName>
    <definedName name="__SP033" localSheetId="10">#REF!</definedName>
    <definedName name="__SP033" localSheetId="11">#REF!</definedName>
    <definedName name="__SP033" localSheetId="28">#REF!</definedName>
    <definedName name="__SP033">#REF!</definedName>
    <definedName name="__SP034" localSheetId="8">#REF!</definedName>
    <definedName name="__SP034" localSheetId="10">#REF!</definedName>
    <definedName name="__SP034" localSheetId="11">#REF!</definedName>
    <definedName name="__SP034" localSheetId="28">#REF!</definedName>
    <definedName name="__SP034">#REF!</definedName>
    <definedName name="__SP035" localSheetId="8">#REF!</definedName>
    <definedName name="__SP035" localSheetId="10">#REF!</definedName>
    <definedName name="__SP035" localSheetId="11">#REF!</definedName>
    <definedName name="__SP035" localSheetId="28">#REF!</definedName>
    <definedName name="__SP035">#REF!</definedName>
    <definedName name="__SP036" localSheetId="8">#REF!</definedName>
    <definedName name="__SP036" localSheetId="10">#REF!</definedName>
    <definedName name="__SP036" localSheetId="11">#REF!</definedName>
    <definedName name="__SP036" localSheetId="28">#REF!</definedName>
    <definedName name="__SP036">#REF!</definedName>
    <definedName name="__SP037" localSheetId="8">#REF!</definedName>
    <definedName name="__SP037" localSheetId="10">#REF!</definedName>
    <definedName name="__SP037" localSheetId="11">#REF!</definedName>
    <definedName name="__SP037" localSheetId="28">#REF!</definedName>
    <definedName name="__SP037">#REF!</definedName>
    <definedName name="__SP038" localSheetId="8">#REF!</definedName>
    <definedName name="__SP038" localSheetId="10">#REF!</definedName>
    <definedName name="__SP038" localSheetId="11">#REF!</definedName>
    <definedName name="__SP038" localSheetId="28">#REF!</definedName>
    <definedName name="__SP038">#REF!</definedName>
    <definedName name="__SP039" localSheetId="8">#REF!</definedName>
    <definedName name="__SP039" localSheetId="10">#REF!</definedName>
    <definedName name="__SP039" localSheetId="11">#REF!</definedName>
    <definedName name="__SP039" localSheetId="28">#REF!</definedName>
    <definedName name="__SP039">#REF!</definedName>
    <definedName name="__SP040" localSheetId="8">#REF!</definedName>
    <definedName name="__SP040" localSheetId="10">#REF!</definedName>
    <definedName name="__SP040" localSheetId="11">#REF!</definedName>
    <definedName name="__SP040" localSheetId="28">#REF!</definedName>
    <definedName name="__SP040">#REF!</definedName>
    <definedName name="__SP041" localSheetId="8">#REF!</definedName>
    <definedName name="__SP041" localSheetId="10">#REF!</definedName>
    <definedName name="__SP041" localSheetId="11">#REF!</definedName>
    <definedName name="__SP041" localSheetId="28">#REF!</definedName>
    <definedName name="__SP041">#REF!</definedName>
    <definedName name="__SP042" localSheetId="8">#REF!</definedName>
    <definedName name="__SP042" localSheetId="10">#REF!</definedName>
    <definedName name="__SP042" localSheetId="11">#REF!</definedName>
    <definedName name="__SP042" localSheetId="28">#REF!</definedName>
    <definedName name="__SP042">#REF!</definedName>
    <definedName name="__SP043" localSheetId="8">#REF!</definedName>
    <definedName name="__SP043" localSheetId="10">#REF!</definedName>
    <definedName name="__SP043" localSheetId="11">#REF!</definedName>
    <definedName name="__SP043" localSheetId="28">#REF!</definedName>
    <definedName name="__SP043">#REF!</definedName>
    <definedName name="__SP044" localSheetId="8">#REF!</definedName>
    <definedName name="__SP044" localSheetId="10">#REF!</definedName>
    <definedName name="__SP044" localSheetId="11">#REF!</definedName>
    <definedName name="__SP044" localSheetId="28">#REF!</definedName>
    <definedName name="__SP044">#REF!</definedName>
    <definedName name="__SP045" localSheetId="8">#REF!</definedName>
    <definedName name="__SP045" localSheetId="10">#REF!</definedName>
    <definedName name="__SP045" localSheetId="11">#REF!</definedName>
    <definedName name="__SP045" localSheetId="28">#REF!</definedName>
    <definedName name="__SP045">#REF!</definedName>
    <definedName name="__SP046" localSheetId="8">#REF!</definedName>
    <definedName name="__SP046" localSheetId="10">#REF!</definedName>
    <definedName name="__SP046" localSheetId="11">#REF!</definedName>
    <definedName name="__SP046" localSheetId="28">#REF!</definedName>
    <definedName name="__SP046">#REF!</definedName>
    <definedName name="__SP047" localSheetId="8">#REF!</definedName>
    <definedName name="__SP047" localSheetId="10">#REF!</definedName>
    <definedName name="__SP047" localSheetId="11">#REF!</definedName>
    <definedName name="__SP047" localSheetId="28">#REF!</definedName>
    <definedName name="__SP047">#REF!</definedName>
    <definedName name="__SP048" localSheetId="8">#REF!</definedName>
    <definedName name="__SP048" localSheetId="10">#REF!</definedName>
    <definedName name="__SP048" localSheetId="11">#REF!</definedName>
    <definedName name="__SP048" localSheetId="28">#REF!</definedName>
    <definedName name="__SP048">#REF!</definedName>
    <definedName name="__SP049" localSheetId="8">#REF!</definedName>
    <definedName name="__SP049" localSheetId="10">#REF!</definedName>
    <definedName name="__SP049" localSheetId="11">#REF!</definedName>
    <definedName name="__SP049" localSheetId="28">#REF!</definedName>
    <definedName name="__SP049">#REF!</definedName>
    <definedName name="__SP050" localSheetId="8">#REF!</definedName>
    <definedName name="__SP050" localSheetId="10">#REF!</definedName>
    <definedName name="__SP050" localSheetId="11">#REF!</definedName>
    <definedName name="__SP050" localSheetId="28">#REF!</definedName>
    <definedName name="__SP050">#REF!</definedName>
    <definedName name="__SP051" localSheetId="8">#REF!</definedName>
    <definedName name="__SP051" localSheetId="10">#REF!</definedName>
    <definedName name="__SP051" localSheetId="11">#REF!</definedName>
    <definedName name="__SP051" localSheetId="28">#REF!</definedName>
    <definedName name="__SP051">#REF!</definedName>
    <definedName name="__SP052" localSheetId="8">#REF!</definedName>
    <definedName name="__SP052" localSheetId="10">#REF!</definedName>
    <definedName name="__SP052" localSheetId="11">#REF!</definedName>
    <definedName name="__SP052" localSheetId="28">#REF!</definedName>
    <definedName name="__SP052">#REF!</definedName>
    <definedName name="__SP053" localSheetId="8">#REF!</definedName>
    <definedName name="__SP053" localSheetId="10">#REF!</definedName>
    <definedName name="__SP053" localSheetId="11">#REF!</definedName>
    <definedName name="__SP053" localSheetId="28">#REF!</definedName>
    <definedName name="__SP053">#REF!</definedName>
    <definedName name="__SP054" localSheetId="8">#REF!</definedName>
    <definedName name="__SP054" localSheetId="10">#REF!</definedName>
    <definedName name="__SP054" localSheetId="11">#REF!</definedName>
    <definedName name="__SP054" localSheetId="28">#REF!</definedName>
    <definedName name="__SP054">#REF!</definedName>
    <definedName name="__SP055" localSheetId="8">#REF!</definedName>
    <definedName name="__SP055" localSheetId="10">#REF!</definedName>
    <definedName name="__SP055" localSheetId="11">#REF!</definedName>
    <definedName name="__SP055" localSheetId="28">#REF!</definedName>
    <definedName name="__SP055">#REF!</definedName>
    <definedName name="__SP056" localSheetId="8">#REF!</definedName>
    <definedName name="__SP056" localSheetId="10">#REF!</definedName>
    <definedName name="__SP056" localSheetId="11">#REF!</definedName>
    <definedName name="__SP056" localSheetId="28">#REF!</definedName>
    <definedName name="__SP056">#REF!</definedName>
    <definedName name="__SP057" localSheetId="8">#REF!</definedName>
    <definedName name="__SP057" localSheetId="10">#REF!</definedName>
    <definedName name="__SP057" localSheetId="11">#REF!</definedName>
    <definedName name="__SP057" localSheetId="28">#REF!</definedName>
    <definedName name="__SP057">#REF!</definedName>
    <definedName name="__SP058" localSheetId="8">#REF!</definedName>
    <definedName name="__SP058" localSheetId="10">#REF!</definedName>
    <definedName name="__SP058" localSheetId="11">#REF!</definedName>
    <definedName name="__SP058" localSheetId="28">#REF!</definedName>
    <definedName name="__SP058">#REF!</definedName>
    <definedName name="__SP059" localSheetId="8">#REF!</definedName>
    <definedName name="__SP059" localSheetId="10">#REF!</definedName>
    <definedName name="__SP059" localSheetId="11">#REF!</definedName>
    <definedName name="__SP059" localSheetId="28">#REF!</definedName>
    <definedName name="__SP059">#REF!</definedName>
    <definedName name="__SP060" localSheetId="8">#REF!</definedName>
    <definedName name="__SP060" localSheetId="10">#REF!</definedName>
    <definedName name="__SP060" localSheetId="11">#REF!</definedName>
    <definedName name="__SP060" localSheetId="28">#REF!</definedName>
    <definedName name="__SP060">#REF!</definedName>
    <definedName name="__SP061" localSheetId="8">#REF!</definedName>
    <definedName name="__SP061" localSheetId="10">#REF!</definedName>
    <definedName name="__SP061" localSheetId="11">#REF!</definedName>
    <definedName name="__SP061" localSheetId="28">#REF!</definedName>
    <definedName name="__SP061">#REF!</definedName>
    <definedName name="__SP062" localSheetId="8">#REF!</definedName>
    <definedName name="__SP062" localSheetId="10">#REF!</definedName>
    <definedName name="__SP062" localSheetId="11">#REF!</definedName>
    <definedName name="__SP062" localSheetId="28">#REF!</definedName>
    <definedName name="__SP062">#REF!</definedName>
    <definedName name="__SP063" localSheetId="8">#REF!</definedName>
    <definedName name="__SP063" localSheetId="10">#REF!</definedName>
    <definedName name="__SP063" localSheetId="11">#REF!</definedName>
    <definedName name="__SP063" localSheetId="28">#REF!</definedName>
    <definedName name="__SP063">#REF!</definedName>
    <definedName name="__SP064" localSheetId="8">#REF!</definedName>
    <definedName name="__SP064" localSheetId="10">#REF!</definedName>
    <definedName name="__SP064" localSheetId="11">#REF!</definedName>
    <definedName name="__SP064" localSheetId="28">#REF!</definedName>
    <definedName name="__SP064">#REF!</definedName>
    <definedName name="__SP065" localSheetId="8">#REF!</definedName>
    <definedName name="__SP065" localSheetId="10">#REF!</definedName>
    <definedName name="__SP065" localSheetId="11">#REF!</definedName>
    <definedName name="__SP065" localSheetId="28">#REF!</definedName>
    <definedName name="__SP065">#REF!</definedName>
    <definedName name="__SP066" localSheetId="8">#REF!</definedName>
    <definedName name="__SP066" localSheetId="10">#REF!</definedName>
    <definedName name="__SP066" localSheetId="11">#REF!</definedName>
    <definedName name="__SP066" localSheetId="28">#REF!</definedName>
    <definedName name="__SP066">#REF!</definedName>
    <definedName name="__SP067" localSheetId="8">#REF!</definedName>
    <definedName name="__SP067" localSheetId="10">#REF!</definedName>
    <definedName name="__SP067" localSheetId="11">#REF!</definedName>
    <definedName name="__SP067" localSheetId="28">#REF!</definedName>
    <definedName name="__SP067">#REF!</definedName>
    <definedName name="__SP068" localSheetId="8">#REF!</definedName>
    <definedName name="__SP068" localSheetId="10">#REF!</definedName>
    <definedName name="__SP068" localSheetId="11">#REF!</definedName>
    <definedName name="__SP068" localSheetId="28">#REF!</definedName>
    <definedName name="__SP068">#REF!</definedName>
    <definedName name="__SP069" localSheetId="8">#REF!</definedName>
    <definedName name="__SP069" localSheetId="10">#REF!</definedName>
    <definedName name="__SP069" localSheetId="11">#REF!</definedName>
    <definedName name="__SP069" localSheetId="28">#REF!</definedName>
    <definedName name="__SP069">#REF!</definedName>
    <definedName name="__SP070" localSheetId="8">#REF!</definedName>
    <definedName name="__SP070" localSheetId="10">#REF!</definedName>
    <definedName name="__SP070" localSheetId="11">#REF!</definedName>
    <definedName name="__SP070" localSheetId="28">#REF!</definedName>
    <definedName name="__SP070">#REF!</definedName>
    <definedName name="__sp071" localSheetId="8">#REF!</definedName>
    <definedName name="__sp071" localSheetId="10">#REF!</definedName>
    <definedName name="__sp071" localSheetId="11">#REF!</definedName>
    <definedName name="__sp071" localSheetId="28">#REF!</definedName>
    <definedName name="__sp071">#REF!</definedName>
    <definedName name="__SP072" localSheetId="8">#REF!</definedName>
    <definedName name="__SP072" localSheetId="10">#REF!</definedName>
    <definedName name="__SP072" localSheetId="11">#REF!</definedName>
    <definedName name="__SP072" localSheetId="28">#REF!</definedName>
    <definedName name="__SP072">#REF!</definedName>
    <definedName name="__SP073" localSheetId="8">#REF!</definedName>
    <definedName name="__SP073" localSheetId="10">#REF!</definedName>
    <definedName name="__SP073" localSheetId="11">#REF!</definedName>
    <definedName name="__SP073" localSheetId="28">#REF!</definedName>
    <definedName name="__SP073">#REF!</definedName>
    <definedName name="__SP074" localSheetId="8">#REF!</definedName>
    <definedName name="__SP074" localSheetId="10">#REF!</definedName>
    <definedName name="__SP074" localSheetId="11">#REF!</definedName>
    <definedName name="__SP074" localSheetId="28">#REF!</definedName>
    <definedName name="__SP074">#REF!</definedName>
    <definedName name="__SP075" localSheetId="8">#REF!</definedName>
    <definedName name="__SP075" localSheetId="10">#REF!</definedName>
    <definedName name="__SP075" localSheetId="11">#REF!</definedName>
    <definedName name="__SP075" localSheetId="28">#REF!</definedName>
    <definedName name="__SP075">#REF!</definedName>
    <definedName name="__SP076" localSheetId="8">#REF!</definedName>
    <definedName name="__SP076" localSheetId="10">#REF!</definedName>
    <definedName name="__SP076" localSheetId="11">#REF!</definedName>
    <definedName name="__SP076" localSheetId="28">#REF!</definedName>
    <definedName name="__SP076">#REF!</definedName>
    <definedName name="__SP077" localSheetId="8">#REF!</definedName>
    <definedName name="__SP077" localSheetId="10">#REF!</definedName>
    <definedName name="__SP077" localSheetId="11">#REF!</definedName>
    <definedName name="__SP077" localSheetId="28">#REF!</definedName>
    <definedName name="__SP077">#REF!</definedName>
    <definedName name="__sp078" localSheetId="8">#REF!</definedName>
    <definedName name="__sp078" localSheetId="10">#REF!</definedName>
    <definedName name="__sp078" localSheetId="11">#REF!</definedName>
    <definedName name="__sp078" localSheetId="28">#REF!</definedName>
    <definedName name="__sp078">#REF!</definedName>
    <definedName name="__SPO79" localSheetId="8">#REF!</definedName>
    <definedName name="__SPO79" localSheetId="10">#REF!</definedName>
    <definedName name="__SPO79" localSheetId="11">#REF!</definedName>
    <definedName name="__SPO79" localSheetId="28">#REF!</definedName>
    <definedName name="__SPO79">#REF!</definedName>
    <definedName name="__ss12" localSheetId="37">[66]rdamdata!$J$8</definedName>
    <definedName name="__ss12">[25]rdamdata!$J$8</definedName>
    <definedName name="__ss12_21" localSheetId="28">#REF!</definedName>
    <definedName name="__ss12_33">#REF!</definedName>
    <definedName name="__ss12_34">#REF!</definedName>
    <definedName name="__ss20" localSheetId="37">[66]rdamdata!$J$7</definedName>
    <definedName name="__ss20">[25]rdamdata!$J$7</definedName>
    <definedName name="__ss20_21" localSheetId="28">#REF!</definedName>
    <definedName name="__ss20_33">#REF!</definedName>
    <definedName name="__ss20_34">#REF!</definedName>
    <definedName name="__ss40" localSheetId="37">[66]rdamdata!$J$6</definedName>
    <definedName name="__ss40">[25]rdamdata!$J$6</definedName>
    <definedName name="__ss40_21" localSheetId="28">#REF!</definedName>
    <definedName name="__ss40_33">#REF!</definedName>
    <definedName name="__ss40_34">#REF!</definedName>
    <definedName name="__sw1" localSheetId="28">#REF!</definedName>
    <definedName name="__t1">#REF!</definedName>
    <definedName name="__t2">#REF!</definedName>
    <definedName name="__tab1">#REF!</definedName>
    <definedName name="__us1" localSheetId="28">#REF!</definedName>
    <definedName name="__var04" localSheetId="37">#REF!</definedName>
    <definedName name="__var04">#REF!</definedName>
    <definedName name="__var1" localSheetId="33">#REF!</definedName>
    <definedName name="__var1" localSheetId="34">#REF!</definedName>
    <definedName name="__var1" localSheetId="35">#REF!</definedName>
    <definedName name="__var1" localSheetId="5">#REF!</definedName>
    <definedName name="__var1" localSheetId="8">#REF!</definedName>
    <definedName name="__var1" localSheetId="10">#REF!</definedName>
    <definedName name="__var1" localSheetId="11">#REF!</definedName>
    <definedName name="__var1" localSheetId="37">#REF!</definedName>
    <definedName name="__var1" localSheetId="28">#REF!</definedName>
    <definedName name="__var1" localSheetId="42">#REF!</definedName>
    <definedName name="__var1" localSheetId="31">#REF!</definedName>
    <definedName name="__var1">#REF!</definedName>
    <definedName name="__var1_23">"$#REF!.$#REF!$#REF!"</definedName>
    <definedName name="__var1_33">"$#REF!.$#REF!$#REF!"</definedName>
    <definedName name="__var1_34">"$#REF!.$#REF!$#REF!"</definedName>
    <definedName name="__var1_38">"$#REF!.$#REF!$#REF!"</definedName>
    <definedName name="__var1_41">"$#REF!.$#REF!$#REF!"</definedName>
    <definedName name="__var1_43">"$#REF!.$#REF!$#REF!"</definedName>
    <definedName name="__var1_48">"$#REF!.$#REF!$#REF!"</definedName>
    <definedName name="__var1_57">"$#REF!.$#REF!$#REF!"</definedName>
    <definedName name="__var1_59">"$#REF!.$#REF!$#REF!"</definedName>
    <definedName name="__var1_60">"$#REF!.$#REF!$#REF!"</definedName>
    <definedName name="__var1_61">"$#REF!.$#REF!$#REF!"</definedName>
    <definedName name="__var1_62">"$#REF!.$#REF!$#REF!"</definedName>
    <definedName name="__var1_7">"$#REF!.$#REF!$#REF!"</definedName>
    <definedName name="__var1_72">"$#REF!.$#REF!$#REF!"</definedName>
    <definedName name="__var1_73">"$#REF!.$#REF!$#REF!"</definedName>
    <definedName name="__var1_8">"$#REF!.$#REF!$#REF!"</definedName>
    <definedName name="__var4" localSheetId="33">#REF!</definedName>
    <definedName name="__var4" localSheetId="34">#REF!</definedName>
    <definedName name="__var4" localSheetId="35">#REF!</definedName>
    <definedName name="__var4" localSheetId="5">#REF!</definedName>
    <definedName name="__var4" localSheetId="8">#REF!</definedName>
    <definedName name="__var4" localSheetId="10">#REF!</definedName>
    <definedName name="__var4" localSheetId="11">#REF!</definedName>
    <definedName name="__var4" localSheetId="37">#REF!</definedName>
    <definedName name="__var4" localSheetId="28">#REF!</definedName>
    <definedName name="__var4" localSheetId="42">#REF!</definedName>
    <definedName name="__var4" localSheetId="31">#REF!</definedName>
    <definedName name="__var4">#REF!</definedName>
    <definedName name="__var4_23">"$#REF!.$#REF!$#REF!"</definedName>
    <definedName name="__var4_33">"$#REF!.$#REF!$#REF!"</definedName>
    <definedName name="__var4_34">"$#REF!.$#REF!$#REF!"</definedName>
    <definedName name="__var4_38">"$#REF!.$#REF!$#REF!"</definedName>
    <definedName name="__var4_41">"$#REF!.$#REF!$#REF!"</definedName>
    <definedName name="__var4_43">"$#REF!.$#REF!$#REF!"</definedName>
    <definedName name="__var4_48">"$#REF!.$#REF!$#REF!"</definedName>
    <definedName name="__var4_57">"$#REF!.$#REF!$#REF!"</definedName>
    <definedName name="__var4_59">"$#REF!.$#REF!$#REF!"</definedName>
    <definedName name="__var4_60">"$#REF!.$#REF!$#REF!"</definedName>
    <definedName name="__var4_61">"$#REF!.$#REF!$#REF!"</definedName>
    <definedName name="__var4_62">"$#REF!.$#REF!$#REF!"</definedName>
    <definedName name="__var4_7">"$#REF!.$#REF!$#REF!"</definedName>
    <definedName name="__var4_72">"$#REF!.$#REF!$#REF!"</definedName>
    <definedName name="__var4_73">"$#REF!.$#REF!$#REF!"</definedName>
    <definedName name="__var4_8">"$#REF!.$#REF!$#REF!"</definedName>
    <definedName name="__vat1" localSheetId="8">#REF!</definedName>
    <definedName name="__vat1" localSheetId="10">#REF!</definedName>
    <definedName name="__vat1" localSheetId="28">#REF!</definedName>
    <definedName name="__vat1">#REF!</definedName>
    <definedName name="__vat2" localSheetId="8">#REF!</definedName>
    <definedName name="__vat2" localSheetId="10">#REF!</definedName>
    <definedName name="__vat2" localSheetId="28">#REF!</definedName>
    <definedName name="__vat2">#REF!</definedName>
    <definedName name="__xh11010" localSheetId="8">#REF!</definedName>
    <definedName name="__xh11010" localSheetId="10">#REF!</definedName>
    <definedName name="__xh11010" localSheetId="11">#REF!</definedName>
    <definedName name="__xh11010" localSheetId="28">#REF!</definedName>
    <definedName name="__xh11010">#REF!</definedName>
    <definedName name="__xh1104" localSheetId="8">#REF!</definedName>
    <definedName name="__xh1104" localSheetId="10">#REF!</definedName>
    <definedName name="__xh1104" localSheetId="11">#REF!</definedName>
    <definedName name="__xh1104" localSheetId="28">#REF!</definedName>
    <definedName name="__xh1104">#REF!</definedName>
    <definedName name="__xh1106" localSheetId="8">#REF!</definedName>
    <definedName name="__xh1106" localSheetId="10">#REF!</definedName>
    <definedName name="__xh1106" localSheetId="11">#REF!</definedName>
    <definedName name="__xh1106" localSheetId="28">#REF!</definedName>
    <definedName name="__xh1106">#REF!</definedName>
    <definedName name="__xh1108" localSheetId="8">#REF!</definedName>
    <definedName name="__xh1108" localSheetId="10">#REF!</definedName>
    <definedName name="__xh1108" localSheetId="11">#REF!</definedName>
    <definedName name="__xh1108" localSheetId="28">#REF!</definedName>
    <definedName name="__xh1108">#REF!</definedName>
    <definedName name="__xh12510" localSheetId="8">#REF!</definedName>
    <definedName name="__xh12510" localSheetId="10">#REF!</definedName>
    <definedName name="__xh12510" localSheetId="11">#REF!</definedName>
    <definedName name="__xh12510" localSheetId="28">#REF!</definedName>
    <definedName name="__xh12510">#REF!</definedName>
    <definedName name="__xh1254" localSheetId="8">#REF!</definedName>
    <definedName name="__xh1254" localSheetId="10">#REF!</definedName>
    <definedName name="__xh1254" localSheetId="11">#REF!</definedName>
    <definedName name="__xh1254" localSheetId="28">#REF!</definedName>
    <definedName name="__xh1254">#REF!</definedName>
    <definedName name="__xh1256" localSheetId="8">#REF!</definedName>
    <definedName name="__xh1256" localSheetId="10">#REF!</definedName>
    <definedName name="__xh1256" localSheetId="11">#REF!</definedName>
    <definedName name="__xh1256" localSheetId="28">#REF!</definedName>
    <definedName name="__xh1256">#REF!</definedName>
    <definedName name="__xh1258" localSheetId="8">#REF!</definedName>
    <definedName name="__xh1258" localSheetId="10">#REF!</definedName>
    <definedName name="__xh1258" localSheetId="11">#REF!</definedName>
    <definedName name="__xh1258" localSheetId="28">#REF!</definedName>
    <definedName name="__xh1258">#REF!</definedName>
    <definedName name="__xh14010" localSheetId="8">#REF!</definedName>
    <definedName name="__xh14010" localSheetId="10">#REF!</definedName>
    <definedName name="__xh14010" localSheetId="11">#REF!</definedName>
    <definedName name="__xh14010" localSheetId="28">#REF!</definedName>
    <definedName name="__xh14010">#REF!</definedName>
    <definedName name="__xh1404" localSheetId="8">#REF!</definedName>
    <definedName name="__xh1404" localSheetId="10">#REF!</definedName>
    <definedName name="__xh1404" localSheetId="11">#REF!</definedName>
    <definedName name="__xh1404" localSheetId="28">#REF!</definedName>
    <definedName name="__xh1404">#REF!</definedName>
    <definedName name="__xh1406" localSheetId="8">#REF!</definedName>
    <definedName name="__xh1406" localSheetId="10">#REF!</definedName>
    <definedName name="__xh1406" localSheetId="11">#REF!</definedName>
    <definedName name="__xh1406" localSheetId="28">#REF!</definedName>
    <definedName name="__xh1406">#REF!</definedName>
    <definedName name="__xh1408" localSheetId="8">#REF!</definedName>
    <definedName name="__xh1408" localSheetId="10">#REF!</definedName>
    <definedName name="__xh1408" localSheetId="11">#REF!</definedName>
    <definedName name="__xh1408" localSheetId="28">#REF!</definedName>
    <definedName name="__xh1408">#REF!</definedName>
    <definedName name="__xh16010" localSheetId="8">#REF!</definedName>
    <definedName name="__xh16010" localSheetId="10">#REF!</definedName>
    <definedName name="__xh16010" localSheetId="11">#REF!</definedName>
    <definedName name="__xh16010" localSheetId="28">#REF!</definedName>
    <definedName name="__xh16010">#REF!</definedName>
    <definedName name="__xh1604" localSheetId="8">#REF!</definedName>
    <definedName name="__xh1604" localSheetId="10">#REF!</definedName>
    <definedName name="__xh1604" localSheetId="11">#REF!</definedName>
    <definedName name="__xh1604" localSheetId="28">#REF!</definedName>
    <definedName name="__xh1604">#REF!</definedName>
    <definedName name="__xh1606" localSheetId="8">#REF!</definedName>
    <definedName name="__xh1606" localSheetId="10">#REF!</definedName>
    <definedName name="__xh1606" localSheetId="11">#REF!</definedName>
    <definedName name="__xh1606" localSheetId="28">#REF!</definedName>
    <definedName name="__xh1606">#REF!</definedName>
    <definedName name="__xh1608" localSheetId="8">#REF!</definedName>
    <definedName name="__xh1608" localSheetId="10">#REF!</definedName>
    <definedName name="__xh1608" localSheetId="11">#REF!</definedName>
    <definedName name="__xh1608" localSheetId="28">#REF!</definedName>
    <definedName name="__xh1608">#REF!</definedName>
    <definedName name="__xh18010" localSheetId="8">#REF!</definedName>
    <definedName name="__xh18010" localSheetId="10">#REF!</definedName>
    <definedName name="__xh18010" localSheetId="11">#REF!</definedName>
    <definedName name="__xh18010" localSheetId="28">#REF!</definedName>
    <definedName name="__xh18010">#REF!</definedName>
    <definedName name="__xh1804" localSheetId="8">#REF!</definedName>
    <definedName name="__xh1804" localSheetId="10">#REF!</definedName>
    <definedName name="__xh1804" localSheetId="11">#REF!</definedName>
    <definedName name="__xh1804" localSheetId="28">#REF!</definedName>
    <definedName name="__xh1804">#REF!</definedName>
    <definedName name="__xh1806" localSheetId="8">#REF!</definedName>
    <definedName name="__xh1806" localSheetId="10">#REF!</definedName>
    <definedName name="__xh1806" localSheetId="11">#REF!</definedName>
    <definedName name="__xh1806" localSheetId="28">#REF!</definedName>
    <definedName name="__xh1806">#REF!</definedName>
    <definedName name="__xh1808" localSheetId="8">#REF!</definedName>
    <definedName name="__xh1808" localSheetId="10">#REF!</definedName>
    <definedName name="__xh1808" localSheetId="11">#REF!</definedName>
    <definedName name="__xh1808" localSheetId="28">#REF!</definedName>
    <definedName name="__xh1808">#REF!</definedName>
    <definedName name="__xh20010" localSheetId="8">#REF!</definedName>
    <definedName name="__xh20010" localSheetId="10">#REF!</definedName>
    <definedName name="__xh20010" localSheetId="11">#REF!</definedName>
    <definedName name="__xh20010" localSheetId="28">#REF!</definedName>
    <definedName name="__xh20010">#REF!</definedName>
    <definedName name="__xh2004" localSheetId="8">#REF!</definedName>
    <definedName name="__xh2004" localSheetId="10">#REF!</definedName>
    <definedName name="__xh2004" localSheetId="11">#REF!</definedName>
    <definedName name="__xh2004" localSheetId="28">#REF!</definedName>
    <definedName name="__xh2004">#REF!</definedName>
    <definedName name="__xh2006" localSheetId="8">#REF!</definedName>
    <definedName name="__xh2006" localSheetId="10">#REF!</definedName>
    <definedName name="__xh2006" localSheetId="11">#REF!</definedName>
    <definedName name="__xh2006" localSheetId="28">#REF!</definedName>
    <definedName name="__xh2006">#REF!</definedName>
    <definedName name="__xh2008" localSheetId="8">#REF!</definedName>
    <definedName name="__xh2008" localSheetId="10">#REF!</definedName>
    <definedName name="__xh2008" localSheetId="11">#REF!</definedName>
    <definedName name="__xh2008" localSheetId="28">#REF!</definedName>
    <definedName name="__xh2008">#REF!</definedName>
    <definedName name="__xh22510" localSheetId="8">#REF!</definedName>
    <definedName name="__xh22510" localSheetId="10">#REF!</definedName>
    <definedName name="__xh22510" localSheetId="11">#REF!</definedName>
    <definedName name="__xh22510" localSheetId="28">#REF!</definedName>
    <definedName name="__xh22510">#REF!</definedName>
    <definedName name="__xh2254" localSheetId="8">#REF!</definedName>
    <definedName name="__xh2254" localSheetId="10">#REF!</definedName>
    <definedName name="__xh2254" localSheetId="11">#REF!</definedName>
    <definedName name="__xh2254" localSheetId="28">#REF!</definedName>
    <definedName name="__xh2254">#REF!</definedName>
    <definedName name="__xh2256">[54]HDPE!$L$30</definedName>
    <definedName name="__xh2258" localSheetId="8">#REF!</definedName>
    <definedName name="__xh2258" localSheetId="10">#REF!</definedName>
    <definedName name="__xh2258" localSheetId="11">#REF!</definedName>
    <definedName name="__xh2258" localSheetId="28">#REF!</definedName>
    <definedName name="__xh2258">#REF!</definedName>
    <definedName name="__xh25010" localSheetId="8">#REF!</definedName>
    <definedName name="__xh25010" localSheetId="10">#REF!</definedName>
    <definedName name="__xh25010" localSheetId="11">#REF!</definedName>
    <definedName name="__xh25010" localSheetId="28">#REF!</definedName>
    <definedName name="__xh25010">#REF!</definedName>
    <definedName name="__xh2504" localSheetId="8">#REF!</definedName>
    <definedName name="__xh2504" localSheetId="10">#REF!</definedName>
    <definedName name="__xh2504" localSheetId="11">#REF!</definedName>
    <definedName name="__xh2504" localSheetId="28">#REF!</definedName>
    <definedName name="__xh2504">#REF!</definedName>
    <definedName name="__xh2506">[54]HDPE!$M$30</definedName>
    <definedName name="__xh2508" localSheetId="8">#REF!</definedName>
    <definedName name="__xh2508" localSheetId="10">#REF!</definedName>
    <definedName name="__xh2508" localSheetId="11">#REF!</definedName>
    <definedName name="__xh2508" localSheetId="28">#REF!</definedName>
    <definedName name="__xh2508">#REF!</definedName>
    <definedName name="__xh28010" localSheetId="8">#REF!</definedName>
    <definedName name="__xh28010" localSheetId="10">#REF!</definedName>
    <definedName name="__xh28010" localSheetId="11">#REF!</definedName>
    <definedName name="__xh28010" localSheetId="28">#REF!</definedName>
    <definedName name="__xh28010">#REF!</definedName>
    <definedName name="__xh2804" localSheetId="8">#REF!</definedName>
    <definedName name="__xh2804" localSheetId="10">#REF!</definedName>
    <definedName name="__xh2804" localSheetId="11">#REF!</definedName>
    <definedName name="__xh2804" localSheetId="28">#REF!</definedName>
    <definedName name="__xh2804">#REF!</definedName>
    <definedName name="__xh2806">[54]HDPE!$N$30</definedName>
    <definedName name="__xh2808" localSheetId="8">#REF!</definedName>
    <definedName name="__xh2808" localSheetId="10">#REF!</definedName>
    <definedName name="__xh2808" localSheetId="11">#REF!</definedName>
    <definedName name="__xh2808" localSheetId="28">#REF!</definedName>
    <definedName name="__xh2808">#REF!</definedName>
    <definedName name="__xh31510" localSheetId="8">#REF!</definedName>
    <definedName name="__xh31510" localSheetId="10">#REF!</definedName>
    <definedName name="__xh31510" localSheetId="11">#REF!</definedName>
    <definedName name="__xh31510" localSheetId="28">#REF!</definedName>
    <definedName name="__xh31510">#REF!</definedName>
    <definedName name="__xh3154" localSheetId="8">#REF!</definedName>
    <definedName name="__xh3154" localSheetId="10">#REF!</definedName>
    <definedName name="__xh3154" localSheetId="11">#REF!</definedName>
    <definedName name="__xh3154" localSheetId="28">#REF!</definedName>
    <definedName name="__xh3154">#REF!</definedName>
    <definedName name="__xh3156">[54]HDPE!$O$30</definedName>
    <definedName name="__xh3158" localSheetId="8">#REF!</definedName>
    <definedName name="__xh3158" localSheetId="10">#REF!</definedName>
    <definedName name="__xh3158" localSheetId="11">#REF!</definedName>
    <definedName name="__xh3158" localSheetId="28">#REF!</definedName>
    <definedName name="__xh3158">#REF!</definedName>
    <definedName name="__xh3554" localSheetId="8">#REF!</definedName>
    <definedName name="__xh3554" localSheetId="10">#REF!</definedName>
    <definedName name="__xh3554" localSheetId="11">#REF!</definedName>
    <definedName name="__xh3554" localSheetId="28">#REF!</definedName>
    <definedName name="__xh3554">#REF!</definedName>
    <definedName name="__xh3556" localSheetId="8">#REF!</definedName>
    <definedName name="__xh3556" localSheetId="10">#REF!</definedName>
    <definedName name="__xh3556" localSheetId="11">#REF!</definedName>
    <definedName name="__xh3556" localSheetId="28">#REF!</definedName>
    <definedName name="__xh3556">#REF!</definedName>
    <definedName name="__xh6310" localSheetId="8">#REF!</definedName>
    <definedName name="__xh6310" localSheetId="10">#REF!</definedName>
    <definedName name="__xh6310" localSheetId="11">#REF!</definedName>
    <definedName name="__xh6310" localSheetId="28">#REF!</definedName>
    <definedName name="__xh6310">#REF!</definedName>
    <definedName name="__xh634">[54]HDPE!$C$16</definedName>
    <definedName name="__xh636" localSheetId="8">#REF!</definedName>
    <definedName name="__xh636" localSheetId="10">#REF!</definedName>
    <definedName name="__xh636" localSheetId="11">#REF!</definedName>
    <definedName name="__xh636" localSheetId="28">#REF!</definedName>
    <definedName name="__xh636">#REF!</definedName>
    <definedName name="__xh638" localSheetId="8">#REF!</definedName>
    <definedName name="__xh638" localSheetId="10">#REF!</definedName>
    <definedName name="__xh638" localSheetId="11">#REF!</definedName>
    <definedName name="__xh638" localSheetId="28">#REF!</definedName>
    <definedName name="__xh638">#REF!</definedName>
    <definedName name="__xh7510" localSheetId="8">#REF!</definedName>
    <definedName name="__xh7510" localSheetId="10">#REF!</definedName>
    <definedName name="__xh7510" localSheetId="11">#REF!</definedName>
    <definedName name="__xh7510" localSheetId="28">#REF!</definedName>
    <definedName name="__xh7510">#REF!</definedName>
    <definedName name="__xh754" localSheetId="8">#REF!</definedName>
    <definedName name="__xh754" localSheetId="10">#REF!</definedName>
    <definedName name="__xh754" localSheetId="11">#REF!</definedName>
    <definedName name="__xh754" localSheetId="28">#REF!</definedName>
    <definedName name="__xh754">#REF!</definedName>
    <definedName name="__xh756" localSheetId="8">#REF!</definedName>
    <definedName name="__xh756" localSheetId="10">#REF!</definedName>
    <definedName name="__xh756" localSheetId="11">#REF!</definedName>
    <definedName name="__xh756" localSheetId="28">#REF!</definedName>
    <definedName name="__xh756">#REF!</definedName>
    <definedName name="__xh758" localSheetId="8">#REF!</definedName>
    <definedName name="__xh758" localSheetId="10">#REF!</definedName>
    <definedName name="__xh758" localSheetId="11">#REF!</definedName>
    <definedName name="__xh758" localSheetId="28">#REF!</definedName>
    <definedName name="__xh758">#REF!</definedName>
    <definedName name="__xh9010" localSheetId="8">#REF!</definedName>
    <definedName name="__xh9010" localSheetId="10">#REF!</definedName>
    <definedName name="__xh9010" localSheetId="11">#REF!</definedName>
    <definedName name="__xh9010" localSheetId="28">#REF!</definedName>
    <definedName name="__xh9010">#REF!</definedName>
    <definedName name="__xh904" localSheetId="8">#REF!</definedName>
    <definedName name="__xh904" localSheetId="10">#REF!</definedName>
    <definedName name="__xh904" localSheetId="11">#REF!</definedName>
    <definedName name="__xh904" localSheetId="28">#REF!</definedName>
    <definedName name="__xh904">#REF!</definedName>
    <definedName name="__xh906" localSheetId="8">#REF!</definedName>
    <definedName name="__xh906" localSheetId="10">#REF!</definedName>
    <definedName name="__xh906" localSheetId="11">#REF!</definedName>
    <definedName name="__xh906" localSheetId="28">#REF!</definedName>
    <definedName name="__xh906">#REF!</definedName>
    <definedName name="__xh908" localSheetId="8">#REF!</definedName>
    <definedName name="__xh908" localSheetId="10">#REF!</definedName>
    <definedName name="__xh908" localSheetId="11">#REF!</definedName>
    <definedName name="__xh908" localSheetId="28">#REF!</definedName>
    <definedName name="__xh908">#REF!</definedName>
    <definedName name="__xk7100">[54]DI!$C$37</definedName>
    <definedName name="__xk7150">[54]DI!$D$37</definedName>
    <definedName name="__xk7200" localSheetId="8">#REF!</definedName>
    <definedName name="__xk7200" localSheetId="10">#REF!</definedName>
    <definedName name="__xk7200" localSheetId="11">#REF!</definedName>
    <definedName name="__xk7200" localSheetId="28">#REF!</definedName>
    <definedName name="__xk7200">#REF!</definedName>
    <definedName name="__xk7250">[54]DI!$F$37</definedName>
    <definedName name="__xk7300">[54]DI!$G$37</definedName>
    <definedName name="__xk7350" localSheetId="8">#REF!</definedName>
    <definedName name="__xk7350" localSheetId="10">#REF!</definedName>
    <definedName name="__xk7350" localSheetId="11">#REF!</definedName>
    <definedName name="__xk7350" localSheetId="28">#REF!</definedName>
    <definedName name="__xk7350">#REF!</definedName>
    <definedName name="__xk7400" localSheetId="8">#REF!</definedName>
    <definedName name="__xk7400" localSheetId="10">#REF!</definedName>
    <definedName name="__xk7400" localSheetId="11">#REF!</definedName>
    <definedName name="__xk7400" localSheetId="28">#REF!</definedName>
    <definedName name="__xk7400">#REF!</definedName>
    <definedName name="__xk7450" localSheetId="8">#REF!</definedName>
    <definedName name="__xk7450" localSheetId="10">#REF!</definedName>
    <definedName name="__xk7450" localSheetId="11">#REF!</definedName>
    <definedName name="__xk7450" localSheetId="28">#REF!</definedName>
    <definedName name="__xk7450">#REF!</definedName>
    <definedName name="__xk7500" localSheetId="8">#REF!</definedName>
    <definedName name="__xk7500" localSheetId="10">#REF!</definedName>
    <definedName name="__xk7500" localSheetId="11">#REF!</definedName>
    <definedName name="__xk7500" localSheetId="28">#REF!</definedName>
    <definedName name="__xk7500">#REF!</definedName>
    <definedName name="__xk7600" localSheetId="8">#REF!</definedName>
    <definedName name="__xk7600" localSheetId="10">#REF!</definedName>
    <definedName name="__xk7600" localSheetId="11">#REF!</definedName>
    <definedName name="__xk7600" localSheetId="28">#REF!</definedName>
    <definedName name="__xk7600">#REF!</definedName>
    <definedName name="__xk9100" localSheetId="8">#REF!</definedName>
    <definedName name="__xk9100" localSheetId="10">#REF!</definedName>
    <definedName name="__xk9100" localSheetId="11">#REF!</definedName>
    <definedName name="__xk9100" localSheetId="28">#REF!</definedName>
    <definedName name="__xk9100">#REF!</definedName>
    <definedName name="__xk91000" localSheetId="8">#REF!</definedName>
    <definedName name="__xk91000" localSheetId="10">#REF!</definedName>
    <definedName name="__xk91000" localSheetId="11">#REF!</definedName>
    <definedName name="__xk91000" localSheetId="28">#REF!</definedName>
    <definedName name="__xk91000">#REF!</definedName>
    <definedName name="__xk9150" localSheetId="8">#REF!</definedName>
    <definedName name="__xk9150" localSheetId="10">#REF!</definedName>
    <definedName name="__xk9150" localSheetId="11">#REF!</definedName>
    <definedName name="__xk9150" localSheetId="28">#REF!</definedName>
    <definedName name="__xk9150">#REF!</definedName>
    <definedName name="__xk9200" localSheetId="8">#REF!</definedName>
    <definedName name="__xk9200" localSheetId="10">#REF!</definedName>
    <definedName name="__xk9200" localSheetId="11">#REF!</definedName>
    <definedName name="__xk9200" localSheetId="28">#REF!</definedName>
    <definedName name="__xk9200">#REF!</definedName>
    <definedName name="__xk9250" localSheetId="8">#REF!</definedName>
    <definedName name="__xk9250" localSheetId="10">#REF!</definedName>
    <definedName name="__xk9250" localSheetId="11">#REF!</definedName>
    <definedName name="__xk9250" localSheetId="28">#REF!</definedName>
    <definedName name="__xk9250">#REF!</definedName>
    <definedName name="__xk9300" localSheetId="8">#REF!</definedName>
    <definedName name="__xk9300" localSheetId="10">#REF!</definedName>
    <definedName name="__xk9300" localSheetId="11">#REF!</definedName>
    <definedName name="__xk9300" localSheetId="28">#REF!</definedName>
    <definedName name="__xk9300">#REF!</definedName>
    <definedName name="__xk9350" localSheetId="8">#REF!</definedName>
    <definedName name="__xk9350" localSheetId="10">#REF!</definedName>
    <definedName name="__xk9350" localSheetId="11">#REF!</definedName>
    <definedName name="__xk9350" localSheetId="28">#REF!</definedName>
    <definedName name="__xk9350">#REF!</definedName>
    <definedName name="__xk9400" localSheetId="8">#REF!</definedName>
    <definedName name="__xk9400" localSheetId="10">#REF!</definedName>
    <definedName name="__xk9400" localSheetId="11">#REF!</definedName>
    <definedName name="__xk9400" localSheetId="28">#REF!</definedName>
    <definedName name="__xk9400">#REF!</definedName>
    <definedName name="__xk9450" localSheetId="8">#REF!</definedName>
    <definedName name="__xk9450" localSheetId="10">#REF!</definedName>
    <definedName name="__xk9450" localSheetId="11">#REF!</definedName>
    <definedName name="__xk9450" localSheetId="28">#REF!</definedName>
    <definedName name="__xk9450">#REF!</definedName>
    <definedName name="__xk9500" localSheetId="8">#REF!</definedName>
    <definedName name="__xk9500" localSheetId="10">#REF!</definedName>
    <definedName name="__xk9500" localSheetId="11">#REF!</definedName>
    <definedName name="__xk9500" localSheetId="28">#REF!</definedName>
    <definedName name="__xk9500">#REF!</definedName>
    <definedName name="__xk9600" localSheetId="8">#REF!</definedName>
    <definedName name="__xk9600" localSheetId="10">#REF!</definedName>
    <definedName name="__xk9600" localSheetId="11">#REF!</definedName>
    <definedName name="__xk9600" localSheetId="28">#REF!</definedName>
    <definedName name="__xk9600">#REF!</definedName>
    <definedName name="__xk9700" localSheetId="8">#REF!</definedName>
    <definedName name="__xk9700" localSheetId="10">#REF!</definedName>
    <definedName name="__xk9700" localSheetId="11">#REF!</definedName>
    <definedName name="__xk9700" localSheetId="28">#REF!</definedName>
    <definedName name="__xk9700">#REF!</definedName>
    <definedName name="__xk9750" localSheetId="8">#REF!</definedName>
    <definedName name="__xk9750" localSheetId="10">#REF!</definedName>
    <definedName name="__xk9750" localSheetId="11">#REF!</definedName>
    <definedName name="__xk9750" localSheetId="28">#REF!</definedName>
    <definedName name="__xk9750">#REF!</definedName>
    <definedName name="__xk9800" localSheetId="8">#REF!</definedName>
    <definedName name="__xk9800" localSheetId="10">#REF!</definedName>
    <definedName name="__xk9800" localSheetId="11">#REF!</definedName>
    <definedName name="__xk9800" localSheetId="28">#REF!</definedName>
    <definedName name="__xk9800">#REF!</definedName>
    <definedName name="__xk9900" localSheetId="8">#REF!</definedName>
    <definedName name="__xk9900" localSheetId="10">#REF!</definedName>
    <definedName name="__xk9900" localSheetId="11">#REF!</definedName>
    <definedName name="__xk9900" localSheetId="28">#REF!</definedName>
    <definedName name="__xk9900">#REF!</definedName>
    <definedName name="__xlfn.BAHTTEXT" hidden="1">#NAME?</definedName>
    <definedName name="__xlfn_BAHTTEXT">#N/A</definedName>
    <definedName name="__xlnm.Print_Area_33" localSheetId="8">#REF!</definedName>
    <definedName name="__xlnm.Print_Area_33" localSheetId="10">#REF!</definedName>
    <definedName name="__xlnm.Print_Area_33" localSheetId="28">#REF!</definedName>
    <definedName name="__xlnm.Print_Area_33">#REF!</definedName>
    <definedName name="__xlnm.Print_Area_34" localSheetId="8">#REF!</definedName>
    <definedName name="__xlnm.Print_Area_34" localSheetId="10">#REF!</definedName>
    <definedName name="__xlnm.Print_Area_34" localSheetId="28">#REF!</definedName>
    <definedName name="__xlnm.Print_Area_34">#REF!</definedName>
    <definedName name="__xp11010">[54]pvc!$F$61</definedName>
    <definedName name="__xp1104">[54]pvc!$F$31</definedName>
    <definedName name="__xp1106">[54]pvc!$F$46</definedName>
    <definedName name="__xp12510" localSheetId="8">#REF!</definedName>
    <definedName name="__xp12510" localSheetId="10">#REF!</definedName>
    <definedName name="__xp12510" localSheetId="11">#REF!</definedName>
    <definedName name="__xp12510" localSheetId="28">#REF!</definedName>
    <definedName name="__xp12510">#REF!</definedName>
    <definedName name="__xp1254">[54]pvc!$G$31</definedName>
    <definedName name="__xp1256">[54]pvc!$G$46</definedName>
    <definedName name="__xp14010">[54]pvc!$H$61</definedName>
    <definedName name="__xp1404">[54]pvc!$H$31</definedName>
    <definedName name="__xp1406">[54]pvc!$H$46</definedName>
    <definedName name="__xp16010" localSheetId="8">#REF!</definedName>
    <definedName name="__xp16010" localSheetId="10">#REF!</definedName>
    <definedName name="__xp16010" localSheetId="11">#REF!</definedName>
    <definedName name="__xp16010" localSheetId="28">#REF!</definedName>
    <definedName name="__xp16010">#REF!</definedName>
    <definedName name="__xp1604">[54]pvc!$I$31</definedName>
    <definedName name="__xp1606">[54]pvc!$I$46</definedName>
    <definedName name="__xp18010" localSheetId="8">#REF!</definedName>
    <definedName name="__xp18010" localSheetId="10">#REF!</definedName>
    <definedName name="__xp18010" localSheetId="11">#REF!</definedName>
    <definedName name="__xp18010" localSheetId="28">#REF!</definedName>
    <definedName name="__xp18010">#REF!</definedName>
    <definedName name="__xp1804">[54]pvc!$J$31</definedName>
    <definedName name="__xp1806">[54]pvc!$J$46</definedName>
    <definedName name="__xp20010" localSheetId="8">#REF!</definedName>
    <definedName name="__xp20010" localSheetId="10">#REF!</definedName>
    <definedName name="__xp20010" localSheetId="11">#REF!</definedName>
    <definedName name="__xp20010" localSheetId="28">#REF!</definedName>
    <definedName name="__xp20010">#REF!</definedName>
    <definedName name="__xp2004" localSheetId="8">#REF!</definedName>
    <definedName name="__xp2004" localSheetId="10">#REF!</definedName>
    <definedName name="__xp2004" localSheetId="11">#REF!</definedName>
    <definedName name="__xp2004" localSheetId="28">#REF!</definedName>
    <definedName name="__xp2004">#REF!</definedName>
    <definedName name="__xp2006">[54]pvc!$K$46</definedName>
    <definedName name="__xp22510" localSheetId="8">#REF!</definedName>
    <definedName name="__xp22510" localSheetId="10">#REF!</definedName>
    <definedName name="__xp22510" localSheetId="11">#REF!</definedName>
    <definedName name="__xp22510" localSheetId="28">#REF!</definedName>
    <definedName name="__xp22510">#REF!</definedName>
    <definedName name="__xp2254" localSheetId="8">#REF!</definedName>
    <definedName name="__xp2254" localSheetId="10">#REF!</definedName>
    <definedName name="__xp2254" localSheetId="11">#REF!</definedName>
    <definedName name="__xp2254" localSheetId="28">#REF!</definedName>
    <definedName name="__xp2254">#REF!</definedName>
    <definedName name="__xp2256" localSheetId="8">#REF!</definedName>
    <definedName name="__xp2256" localSheetId="10">#REF!</definedName>
    <definedName name="__xp2256" localSheetId="11">#REF!</definedName>
    <definedName name="__xp2256" localSheetId="28">#REF!</definedName>
    <definedName name="__xp2256">#REF!</definedName>
    <definedName name="__xp25010" localSheetId="8">#REF!</definedName>
    <definedName name="__xp25010" localSheetId="10">#REF!</definedName>
    <definedName name="__xp25010" localSheetId="11">#REF!</definedName>
    <definedName name="__xp25010" localSheetId="28">#REF!</definedName>
    <definedName name="__xp25010">#REF!</definedName>
    <definedName name="__xp2504" localSheetId="8">#REF!</definedName>
    <definedName name="__xp2504" localSheetId="10">#REF!</definedName>
    <definedName name="__xp2504" localSheetId="11">#REF!</definedName>
    <definedName name="__xp2504" localSheetId="28">#REF!</definedName>
    <definedName name="__xp2504">#REF!</definedName>
    <definedName name="__xp2506" localSheetId="8">#REF!</definedName>
    <definedName name="__xp2506" localSheetId="10">#REF!</definedName>
    <definedName name="__xp2506" localSheetId="11">#REF!</definedName>
    <definedName name="__xp2506" localSheetId="28">#REF!</definedName>
    <definedName name="__xp2506">#REF!</definedName>
    <definedName name="__xp28010" localSheetId="8">#REF!</definedName>
    <definedName name="__xp28010" localSheetId="10">#REF!</definedName>
    <definedName name="__xp28010" localSheetId="11">#REF!</definedName>
    <definedName name="__xp28010" localSheetId="28">#REF!</definedName>
    <definedName name="__xp28010">#REF!</definedName>
    <definedName name="__xp2804" localSheetId="8">#REF!</definedName>
    <definedName name="__xp2804" localSheetId="10">#REF!</definedName>
    <definedName name="__xp2804" localSheetId="11">#REF!</definedName>
    <definedName name="__xp2804" localSheetId="28">#REF!</definedName>
    <definedName name="__xp2804">#REF!</definedName>
    <definedName name="__xp2806" localSheetId="8">#REF!</definedName>
    <definedName name="__xp2806" localSheetId="10">#REF!</definedName>
    <definedName name="__xp2806" localSheetId="11">#REF!</definedName>
    <definedName name="__xp2806" localSheetId="28">#REF!</definedName>
    <definedName name="__xp2806">#REF!</definedName>
    <definedName name="__xp31510" localSheetId="8">#REF!</definedName>
    <definedName name="__xp31510" localSheetId="10">#REF!</definedName>
    <definedName name="__xp31510" localSheetId="11">#REF!</definedName>
    <definedName name="__xp31510" localSheetId="28">#REF!</definedName>
    <definedName name="__xp31510">#REF!</definedName>
    <definedName name="__xp3154" localSheetId="8">#REF!</definedName>
    <definedName name="__xp3154" localSheetId="10">#REF!</definedName>
    <definedName name="__xp3154" localSheetId="11">#REF!</definedName>
    <definedName name="__xp3154" localSheetId="28">#REF!</definedName>
    <definedName name="__xp3154">#REF!</definedName>
    <definedName name="__xp3156" localSheetId="8">#REF!</definedName>
    <definedName name="__xp3156" localSheetId="10">#REF!</definedName>
    <definedName name="__xp3156" localSheetId="11">#REF!</definedName>
    <definedName name="__xp3156" localSheetId="28">#REF!</definedName>
    <definedName name="__xp3156">#REF!</definedName>
    <definedName name="__xp6310">[54]pvc!$C$61</definedName>
    <definedName name="__xp634" localSheetId="8">#REF!</definedName>
    <definedName name="__xp634" localSheetId="10">#REF!</definedName>
    <definedName name="__xp634" localSheetId="11">#REF!</definedName>
    <definedName name="__xp634" localSheetId="28">#REF!</definedName>
    <definedName name="__xp634">#REF!</definedName>
    <definedName name="__xp636">[54]pvc!$C$46</definedName>
    <definedName name="__xp7510">[54]pvc!$D$61</definedName>
    <definedName name="__xp754">[54]pvc!$D$31</definedName>
    <definedName name="__xp756">[54]pvc!$D$46</definedName>
    <definedName name="__xp9010">[54]pvc!$E$61</definedName>
    <definedName name="__xp904">[54]pvc!$E$31</definedName>
    <definedName name="__xp906">[54]pvc!$E$46</definedName>
    <definedName name="_055" localSheetId="33">#REF!</definedName>
    <definedName name="_055" localSheetId="34">#REF!</definedName>
    <definedName name="_055" localSheetId="5">#REF!</definedName>
    <definedName name="_055" localSheetId="8">#REF!</definedName>
    <definedName name="_055" localSheetId="10">#REF!</definedName>
    <definedName name="_055" localSheetId="11">#REF!</definedName>
    <definedName name="_055" localSheetId="37">#REF!</definedName>
    <definedName name="_055" localSheetId="28">#REF!</definedName>
    <definedName name="_055" localSheetId="42">#REF!</definedName>
    <definedName name="_055">#REF!</definedName>
    <definedName name="_055_33">"$#REF!.$#REF!$#REF!"</definedName>
    <definedName name="_1.76_dmm" localSheetId="37">#REF!</definedName>
    <definedName name="_1.76_dmm">#REF!</definedName>
    <definedName name="_40MM_HBG" localSheetId="33">#REF!</definedName>
    <definedName name="_40MM_HBG" localSheetId="34">#REF!</definedName>
    <definedName name="_40MM_HBG" localSheetId="5">#REF!</definedName>
    <definedName name="_40MM_HBG" localSheetId="8">#REF!</definedName>
    <definedName name="_40MM_HBG" localSheetId="10">#REF!</definedName>
    <definedName name="_40MM_HBG" localSheetId="11">#REF!</definedName>
    <definedName name="_40MM_HBG" localSheetId="37">#REF!</definedName>
    <definedName name="_40MM_HBG" localSheetId="28">#REF!</definedName>
    <definedName name="_40MM_HBG" localSheetId="42">#REF!</definedName>
    <definedName name="_40MM_HBG">#REF!</definedName>
    <definedName name="_65MM_HBG" localSheetId="33">#REF!</definedName>
    <definedName name="_65MM_HBG" localSheetId="34">#REF!</definedName>
    <definedName name="_65MM_HBG" localSheetId="5">#REF!</definedName>
    <definedName name="_65MM_HBG" localSheetId="8">#REF!</definedName>
    <definedName name="_65MM_HBG" localSheetId="10">#REF!</definedName>
    <definedName name="_65MM_HBG" localSheetId="11">#REF!</definedName>
    <definedName name="_65MM_HBG" localSheetId="37">#REF!</definedName>
    <definedName name="_65MM_HBG" localSheetId="28">#REF!</definedName>
    <definedName name="_65MM_HBG" localSheetId="42">#REF!</definedName>
    <definedName name="_65MM_HBG">#REF!</definedName>
    <definedName name="_65MM_HBT" localSheetId="33">#REF!</definedName>
    <definedName name="_65MM_HBT" localSheetId="34">#REF!</definedName>
    <definedName name="_65MM_HBT" localSheetId="5">#REF!</definedName>
    <definedName name="_65MM_HBT" localSheetId="8">#REF!</definedName>
    <definedName name="_65MM_HBT" localSheetId="10">#REF!</definedName>
    <definedName name="_65MM_HBT" localSheetId="11">#REF!</definedName>
    <definedName name="_65MM_HBT" localSheetId="37">#REF!</definedName>
    <definedName name="_65MM_HBT" localSheetId="28">#REF!</definedName>
    <definedName name="_65MM_HBT" localSheetId="42">#REF!</definedName>
    <definedName name="_65MM_HBT">#REF!</definedName>
    <definedName name="_65MM_OG" localSheetId="33">#REF!</definedName>
    <definedName name="_65MM_OG" localSheetId="34">#REF!</definedName>
    <definedName name="_65MM_OG" localSheetId="5">#REF!</definedName>
    <definedName name="_65MM_OG" localSheetId="8">#REF!</definedName>
    <definedName name="_65MM_OG" localSheetId="10">#REF!</definedName>
    <definedName name="_65MM_OG" localSheetId="11">#REF!</definedName>
    <definedName name="_65MM_OG" localSheetId="37">#REF!</definedName>
    <definedName name="_65MM_OG" localSheetId="28">#REF!</definedName>
    <definedName name="_65MM_OG" localSheetId="42">#REF!</definedName>
    <definedName name="_65MM_OG">#REF!</definedName>
    <definedName name="_a3" localSheetId="28">#REF!</definedName>
    <definedName name="_abs1" localSheetId="35">#REF!</definedName>
    <definedName name="_abs1" localSheetId="5">#REF!</definedName>
    <definedName name="_abs1" localSheetId="8">#REF!</definedName>
    <definedName name="_abs1" localSheetId="10">#REF!</definedName>
    <definedName name="_abs1" localSheetId="11">#REF!</definedName>
    <definedName name="_abs1" localSheetId="28">#REF!</definedName>
    <definedName name="_abs1" localSheetId="42">#REF!</definedName>
    <definedName name="_abs1" localSheetId="31">#REF!</definedName>
    <definedName name="_abs1">#REF!</definedName>
    <definedName name="_atw2" localSheetId="8">#REF!</definedName>
    <definedName name="_atw2" localSheetId="10">#REF!</definedName>
    <definedName name="_atw2" localSheetId="11">#REF!</definedName>
    <definedName name="_atw2" localSheetId="28">#REF!</definedName>
    <definedName name="_atw2">#REF!</definedName>
    <definedName name="_AUX1">#REF!</definedName>
    <definedName name="_aux2" localSheetId="28">#REF!</definedName>
    <definedName name="_AUX3">#REF!</definedName>
    <definedName name="_bla1" localSheetId="37">[58]leads!$H$7</definedName>
    <definedName name="_bla1">[19]leads!$H$7</definedName>
    <definedName name="_bla1_32">#REF!</definedName>
    <definedName name="_bla1_33">#REF!</definedName>
    <definedName name="_bla1_34">#REF!</definedName>
    <definedName name="_bla1_43">#REF!</definedName>
    <definedName name="_bla1_56">#REF!</definedName>
    <definedName name="_bla1_59">#REF!</definedName>
    <definedName name="_bla1_61">#REF!</definedName>
    <definedName name="_brush" localSheetId="8">#REF!</definedName>
    <definedName name="_brush" localSheetId="10">#REF!</definedName>
    <definedName name="_brush" localSheetId="11">#REF!</definedName>
    <definedName name="_brush" localSheetId="28">#REF!</definedName>
    <definedName name="_brush">#REF!</definedName>
    <definedName name="_BSG100" localSheetId="8">#REF!</definedName>
    <definedName name="_BSG100" localSheetId="10">#REF!</definedName>
    <definedName name="_BSG100" localSheetId="28">#REF!</definedName>
    <definedName name="_BSG100">#REF!</definedName>
    <definedName name="_BSG150" localSheetId="8">#REF!</definedName>
    <definedName name="_BSG150" localSheetId="10">#REF!</definedName>
    <definedName name="_BSG150" localSheetId="28">#REF!</definedName>
    <definedName name="_BSG150">#REF!</definedName>
    <definedName name="_BSG5" localSheetId="8">#REF!</definedName>
    <definedName name="_BSG5" localSheetId="10">#REF!</definedName>
    <definedName name="_BSG5" localSheetId="28">#REF!</definedName>
    <definedName name="_BSG5">#REF!</definedName>
    <definedName name="_BSG75" localSheetId="8">#REF!</definedName>
    <definedName name="_BSG75" localSheetId="10">#REF!</definedName>
    <definedName name="_BSG75" localSheetId="28">#REF!</definedName>
    <definedName name="_BSG75">#REF!</definedName>
    <definedName name="_BTC1" localSheetId="8">#REF!</definedName>
    <definedName name="_BTC1" localSheetId="10">#REF!</definedName>
    <definedName name="_BTC1" localSheetId="28">#REF!</definedName>
    <definedName name="_BTC1">#REF!</definedName>
    <definedName name="_BTC10" localSheetId="8">#REF!</definedName>
    <definedName name="_BTC10" localSheetId="10">#REF!</definedName>
    <definedName name="_BTC10" localSheetId="28">#REF!</definedName>
    <definedName name="_BTC10">#REF!</definedName>
    <definedName name="_BTC11" localSheetId="8">#REF!</definedName>
    <definedName name="_BTC11" localSheetId="10">#REF!</definedName>
    <definedName name="_BTC11" localSheetId="28">#REF!</definedName>
    <definedName name="_BTC11">#REF!</definedName>
    <definedName name="_BTC12" localSheetId="8">#REF!</definedName>
    <definedName name="_BTC12" localSheetId="10">#REF!</definedName>
    <definedName name="_BTC12" localSheetId="28">#REF!</definedName>
    <definedName name="_BTC12">#REF!</definedName>
    <definedName name="_BTC13" localSheetId="8">#REF!</definedName>
    <definedName name="_BTC13" localSheetId="10">#REF!</definedName>
    <definedName name="_BTC13" localSheetId="28">#REF!</definedName>
    <definedName name="_BTC13">#REF!</definedName>
    <definedName name="_BTC14" localSheetId="8">#REF!</definedName>
    <definedName name="_BTC14" localSheetId="10">#REF!</definedName>
    <definedName name="_BTC14" localSheetId="28">#REF!</definedName>
    <definedName name="_BTC14">#REF!</definedName>
    <definedName name="_BTC15" localSheetId="8">#REF!</definedName>
    <definedName name="_BTC15" localSheetId="10">#REF!</definedName>
    <definedName name="_BTC15" localSheetId="28">#REF!</definedName>
    <definedName name="_BTC15">#REF!</definedName>
    <definedName name="_BTC16">#REF!</definedName>
    <definedName name="_BTC17">#REF!</definedName>
    <definedName name="_BTC18">#REF!</definedName>
    <definedName name="_BTC19">#REF!</definedName>
    <definedName name="_BTC2" localSheetId="8">#REF!</definedName>
    <definedName name="_BTC2" localSheetId="10">#REF!</definedName>
    <definedName name="_BTC2" localSheetId="28">#REF!</definedName>
    <definedName name="_BTC2">#REF!</definedName>
    <definedName name="_BTC20">#REF!</definedName>
    <definedName name="_BTC21">#REF!</definedName>
    <definedName name="_BTC22">#REF!</definedName>
    <definedName name="_BTC23">#REF!</definedName>
    <definedName name="_BTC24">#REF!</definedName>
    <definedName name="_BTC3" localSheetId="8">#REF!</definedName>
    <definedName name="_BTC3" localSheetId="10">#REF!</definedName>
    <definedName name="_BTC3" localSheetId="28">#REF!</definedName>
    <definedName name="_BTC3">#REF!</definedName>
    <definedName name="_BTC4" localSheetId="8">#REF!</definedName>
    <definedName name="_BTC4" localSheetId="10">#REF!</definedName>
    <definedName name="_BTC4" localSheetId="28">#REF!</definedName>
    <definedName name="_BTC4">#REF!</definedName>
    <definedName name="_BTC5" localSheetId="8">#REF!</definedName>
    <definedName name="_BTC5" localSheetId="10">#REF!</definedName>
    <definedName name="_BTC5" localSheetId="28">#REF!</definedName>
    <definedName name="_BTC5">#REF!</definedName>
    <definedName name="_BTC6" localSheetId="8">#REF!</definedName>
    <definedName name="_BTC6" localSheetId="10">#REF!</definedName>
    <definedName name="_BTC6" localSheetId="28">#REF!</definedName>
    <definedName name="_BTC6">#REF!</definedName>
    <definedName name="_BTC7" localSheetId="8">#REF!</definedName>
    <definedName name="_BTC7" localSheetId="10">#REF!</definedName>
    <definedName name="_BTC7" localSheetId="28">#REF!</definedName>
    <definedName name="_BTC7">#REF!</definedName>
    <definedName name="_BTC8" localSheetId="8">#REF!</definedName>
    <definedName name="_BTC8" localSheetId="10">#REF!</definedName>
    <definedName name="_BTC8" localSheetId="28">#REF!</definedName>
    <definedName name="_BTC8">#REF!</definedName>
    <definedName name="_BTC9" localSheetId="8">#REF!</definedName>
    <definedName name="_BTC9" localSheetId="10">#REF!</definedName>
    <definedName name="_BTC9" localSheetId="28">#REF!</definedName>
    <definedName name="_BTC9">#REF!</definedName>
    <definedName name="_BTR1">#REF!</definedName>
    <definedName name="_BTR10">#REF!</definedName>
    <definedName name="_BTR11">#REF!</definedName>
    <definedName name="_BTR12">#REF!</definedName>
    <definedName name="_BTR13">#REF!</definedName>
    <definedName name="_BTR14">#REF!</definedName>
    <definedName name="_BTR15">#REF!</definedName>
    <definedName name="_BTR16">#REF!</definedName>
    <definedName name="_BTR17">#REF!</definedName>
    <definedName name="_BTR18">#REF!</definedName>
    <definedName name="_BTR19">#REF!</definedName>
    <definedName name="_BTR2">#REF!</definedName>
    <definedName name="_BTR20">#REF!</definedName>
    <definedName name="_BTR21">#REF!</definedName>
    <definedName name="_BTR22">#REF!</definedName>
    <definedName name="_BTR23">#REF!</definedName>
    <definedName name="_BTR24">#REF!</definedName>
    <definedName name="_BTR3">#REF!</definedName>
    <definedName name="_BTR4">#REF!</definedName>
    <definedName name="_BTR5">#REF!</definedName>
    <definedName name="_BTR6">#REF!</definedName>
    <definedName name="_BTR7">#REF!</definedName>
    <definedName name="_BTR8">#REF!</definedName>
    <definedName name="_BTR9">#REF!</definedName>
    <definedName name="_BTS1" localSheetId="8">#REF!</definedName>
    <definedName name="_BTS1" localSheetId="10">#REF!</definedName>
    <definedName name="_BTS1" localSheetId="28">#REF!</definedName>
    <definedName name="_BTS1">#REF!</definedName>
    <definedName name="_BTS10" localSheetId="8">#REF!</definedName>
    <definedName name="_BTS10" localSheetId="10">#REF!</definedName>
    <definedName name="_BTS10" localSheetId="28">#REF!</definedName>
    <definedName name="_BTS10">#REF!</definedName>
    <definedName name="_BTS11" localSheetId="8">#REF!</definedName>
    <definedName name="_BTS11" localSheetId="10">#REF!</definedName>
    <definedName name="_BTS11" localSheetId="28">#REF!</definedName>
    <definedName name="_BTS11">#REF!</definedName>
    <definedName name="_BTS12" localSheetId="8">#REF!</definedName>
    <definedName name="_BTS12" localSheetId="10">#REF!</definedName>
    <definedName name="_BTS12" localSheetId="28">#REF!</definedName>
    <definedName name="_BTS12">#REF!</definedName>
    <definedName name="_BTS13" localSheetId="8">#REF!</definedName>
    <definedName name="_BTS13" localSheetId="10">#REF!</definedName>
    <definedName name="_BTS13" localSheetId="28">#REF!</definedName>
    <definedName name="_BTS13">#REF!</definedName>
    <definedName name="_BTS14" localSheetId="8">#REF!</definedName>
    <definedName name="_BTS14" localSheetId="10">#REF!</definedName>
    <definedName name="_BTS14" localSheetId="28">#REF!</definedName>
    <definedName name="_BTS14">#REF!</definedName>
    <definedName name="_BTS15" localSheetId="8">#REF!</definedName>
    <definedName name="_BTS15" localSheetId="10">#REF!</definedName>
    <definedName name="_BTS15" localSheetId="28">#REF!</definedName>
    <definedName name="_BTS15">#REF!</definedName>
    <definedName name="_BTS16">#REF!</definedName>
    <definedName name="_BTS17">#REF!</definedName>
    <definedName name="_BTS18">#REF!</definedName>
    <definedName name="_BTS19">#REF!</definedName>
    <definedName name="_BTS2" localSheetId="8">#REF!</definedName>
    <definedName name="_BTS2" localSheetId="10">#REF!</definedName>
    <definedName name="_BTS2" localSheetId="28">#REF!</definedName>
    <definedName name="_BTS2">#REF!</definedName>
    <definedName name="_BTS20">#REF!</definedName>
    <definedName name="_BTS21">#REF!</definedName>
    <definedName name="_BTS22">#REF!</definedName>
    <definedName name="_BTS23">#REF!</definedName>
    <definedName name="_BTS24">#REF!</definedName>
    <definedName name="_BTS3" localSheetId="8">#REF!</definedName>
    <definedName name="_BTS3" localSheetId="10">#REF!</definedName>
    <definedName name="_BTS3" localSheetId="28">#REF!</definedName>
    <definedName name="_BTS3">#REF!</definedName>
    <definedName name="_BTS4" localSheetId="8">#REF!</definedName>
    <definedName name="_BTS4" localSheetId="10">#REF!</definedName>
    <definedName name="_BTS4" localSheetId="28">#REF!</definedName>
    <definedName name="_BTS4">#REF!</definedName>
    <definedName name="_BTS5" localSheetId="8">#REF!</definedName>
    <definedName name="_BTS5" localSheetId="10">#REF!</definedName>
    <definedName name="_BTS5" localSheetId="28">#REF!</definedName>
    <definedName name="_BTS5">#REF!</definedName>
    <definedName name="_BTS6" localSheetId="8">#REF!</definedName>
    <definedName name="_BTS6" localSheetId="10">#REF!</definedName>
    <definedName name="_BTS6" localSheetId="28">#REF!</definedName>
    <definedName name="_BTS6">#REF!</definedName>
    <definedName name="_BTS7" localSheetId="8">#REF!</definedName>
    <definedName name="_BTS7" localSheetId="10">#REF!</definedName>
    <definedName name="_BTS7" localSheetId="28">#REF!</definedName>
    <definedName name="_BTS7">#REF!</definedName>
    <definedName name="_BTS8" localSheetId="8">#REF!</definedName>
    <definedName name="_BTS8" localSheetId="10">#REF!</definedName>
    <definedName name="_BTS8" localSheetId="28">#REF!</definedName>
    <definedName name="_BTS8">#REF!</definedName>
    <definedName name="_BTS9" localSheetId="8">#REF!</definedName>
    <definedName name="_BTS9" localSheetId="10">#REF!</definedName>
    <definedName name="_BTS9" localSheetId="28">#REF!</definedName>
    <definedName name="_BTS9">#REF!</definedName>
    <definedName name="_can430">40.73</definedName>
    <definedName name="_can435">43.3</definedName>
    <definedName name="_cbr1" localSheetId="33">#REF!</definedName>
    <definedName name="_cbr1" localSheetId="34">#REF!</definedName>
    <definedName name="_cbr1" localSheetId="5">#REF!</definedName>
    <definedName name="_cbr1" localSheetId="8">#REF!</definedName>
    <definedName name="_cbr1" localSheetId="10">#REF!</definedName>
    <definedName name="_cbr1" localSheetId="11">#REF!</definedName>
    <definedName name="_cbr1" localSheetId="37">#REF!</definedName>
    <definedName name="_cbr1" localSheetId="28">#REF!</definedName>
    <definedName name="_cbr1" localSheetId="42">#REF!</definedName>
    <definedName name="_cbr1">#REF!</definedName>
    <definedName name="_cbr2" localSheetId="33">#REF!</definedName>
    <definedName name="_cbr2" localSheetId="34">#REF!</definedName>
    <definedName name="_cbr2" localSheetId="5">#REF!</definedName>
    <definedName name="_cbr2" localSheetId="8">#REF!</definedName>
    <definedName name="_cbr2" localSheetId="10">#REF!</definedName>
    <definedName name="_cbr2" localSheetId="11">#REF!</definedName>
    <definedName name="_cbr2" localSheetId="37">#REF!</definedName>
    <definedName name="_cbr2" localSheetId="28">#REF!</definedName>
    <definedName name="_cbr2" localSheetId="42">#REF!</definedName>
    <definedName name="_cbr2">#REF!</definedName>
    <definedName name="_cbr3" localSheetId="33">#REF!</definedName>
    <definedName name="_cbr3" localSheetId="34">#REF!</definedName>
    <definedName name="_cbr3" localSheetId="5">#REF!</definedName>
    <definedName name="_cbr3" localSheetId="8">#REF!</definedName>
    <definedName name="_cbr3" localSheetId="10">#REF!</definedName>
    <definedName name="_cbr3" localSheetId="11">#REF!</definedName>
    <definedName name="_cbr3" localSheetId="37">#REF!</definedName>
    <definedName name="_cbr3" localSheetId="28">#REF!</definedName>
    <definedName name="_cbr3" localSheetId="42">#REF!</definedName>
    <definedName name="_cbr3">#REF!</definedName>
    <definedName name="_cbr4" localSheetId="33">#REF!</definedName>
    <definedName name="_cbr4" localSheetId="34">#REF!</definedName>
    <definedName name="_cbr4" localSheetId="5">#REF!</definedName>
    <definedName name="_cbr4" localSheetId="8">#REF!</definedName>
    <definedName name="_cbr4" localSheetId="10">#REF!</definedName>
    <definedName name="_cbr4" localSheetId="37">#REF!</definedName>
    <definedName name="_cbr4" localSheetId="28">#REF!</definedName>
    <definedName name="_cbr4" localSheetId="42">#REF!</definedName>
    <definedName name="_cbr4">#REF!</definedName>
    <definedName name="_CCW1" localSheetId="37">[55]DATA!$H$67</definedName>
    <definedName name="_CCW1">[56]DATA!$H$67</definedName>
    <definedName name="_CCW2" localSheetId="37">[55]DATA!$H$97</definedName>
    <definedName name="_CCW2">[56]DATA!$H$97</definedName>
    <definedName name="_CD2" localSheetId="8">#REF!</definedName>
    <definedName name="_CD2" localSheetId="10">#REF!</definedName>
    <definedName name="_CD2" localSheetId="28">#REF!</definedName>
    <definedName name="_CD2" localSheetId="42">#REF!</definedName>
    <definedName name="_CD2">#REF!</definedName>
    <definedName name="_CEM" localSheetId="33">#REF!</definedName>
    <definedName name="_CEM" localSheetId="34">#REF!</definedName>
    <definedName name="_CEM" localSheetId="5">#REF!</definedName>
    <definedName name="_CEM" localSheetId="8">#REF!</definedName>
    <definedName name="_CEM" localSheetId="10">#REF!</definedName>
    <definedName name="_CEM" localSheetId="11">#REF!</definedName>
    <definedName name="_CEM" localSheetId="37">#REF!</definedName>
    <definedName name="_CEM" localSheetId="28">#REF!</definedName>
    <definedName name="_CEM" localSheetId="42">#REF!</definedName>
    <definedName name="_CEM">#REF!</definedName>
    <definedName name="_CEM_33">"$#REF!.$#REF!$#REF!"</definedName>
    <definedName name="_ceramic" localSheetId="8">#REF!</definedName>
    <definedName name="_ceramic" localSheetId="10">#REF!</definedName>
    <definedName name="_ceramic" localSheetId="11">#REF!</definedName>
    <definedName name="_ceramic" localSheetId="28">#REF!</definedName>
    <definedName name="_ceramic">#REF!</definedName>
    <definedName name="_cp" localSheetId="8">#REF!</definedName>
    <definedName name="_cp" localSheetId="10">#REF!</definedName>
    <definedName name="_cp" localSheetId="11">#REF!</definedName>
    <definedName name="_cp" localSheetId="28">#REF!</definedName>
    <definedName name="_cp">#REF!</definedName>
    <definedName name="_cur1">[6]r!$F$30</definedName>
    <definedName name="_dadoing" localSheetId="8">#REF!</definedName>
    <definedName name="_dadoing" localSheetId="10">#REF!</definedName>
    <definedName name="_dadoing" localSheetId="11">#REF!</definedName>
    <definedName name="_dadoing" localSheetId="28">#REF!</definedName>
    <definedName name="_dadoing">#REF!</definedName>
    <definedName name="_df3" localSheetId="8">#REF!</definedName>
    <definedName name="_df3" localSheetId="10">#REF!</definedName>
    <definedName name="_df3" localSheetId="11">#REF!</definedName>
    <definedName name="_df3" localSheetId="28">#REF!</definedName>
    <definedName name="_df3">#REF!</definedName>
    <definedName name="_emulsion" localSheetId="8">#REF!</definedName>
    <definedName name="_emulsion" localSheetId="10">#REF!</definedName>
    <definedName name="_emulsion" localSheetId="11">#REF!</definedName>
    <definedName name="_emulsion" localSheetId="28">#REF!</definedName>
    <definedName name="_emulsion">#REF!</definedName>
    <definedName name="_er1">#REF!</definedName>
    <definedName name="_ewe1" localSheetId="33">#REF!</definedName>
    <definedName name="_ewe1" localSheetId="34">#REF!</definedName>
    <definedName name="_ewe1" localSheetId="5">#REF!</definedName>
    <definedName name="_ewe1" localSheetId="8">#REF!</definedName>
    <definedName name="_ewe1" localSheetId="10">#REF!</definedName>
    <definedName name="_ewe1" localSheetId="11">#REF!</definedName>
    <definedName name="_ewe1" localSheetId="37">#REF!</definedName>
    <definedName name="_ewe1" localSheetId="28">#REF!</definedName>
    <definedName name="_ewe1" localSheetId="42">#REF!</definedName>
    <definedName name="_ewe1">#REF!</definedName>
    <definedName name="_ewe2">#REF!</definedName>
    <definedName name="_f1" localSheetId="33">#REF!</definedName>
    <definedName name="_f1" localSheetId="34">#REF!</definedName>
    <definedName name="_f1" localSheetId="8">#REF!</definedName>
    <definedName name="_f1" localSheetId="10">#REF!</definedName>
    <definedName name="_f1" localSheetId="11">#REF!</definedName>
    <definedName name="_f1" localSheetId="28">#REF!</definedName>
    <definedName name="_f1">#REF!</definedName>
    <definedName name="_xlnm._FilterDatabase" localSheetId="33">#REF!</definedName>
    <definedName name="_xlnm._FilterDatabase" localSheetId="34">#REF!</definedName>
    <definedName name="_xlnm._FilterDatabase" localSheetId="5">#REF!</definedName>
    <definedName name="_xlnm._FilterDatabase" localSheetId="14">#REF!</definedName>
    <definedName name="_xlnm._FilterDatabase" localSheetId="8">#REF!</definedName>
    <definedName name="_xlnm._FilterDatabase" localSheetId="10">#REF!</definedName>
    <definedName name="_xlnm._FilterDatabase" localSheetId="24" hidden="1">'Mtc-data'!#REF!</definedName>
    <definedName name="_xlnm._FilterDatabase" localSheetId="6" hidden="1">'Note File'!$A$65:$AD$90</definedName>
    <definedName name="_xlnm._FilterDatabase" localSheetId="37">#REF!</definedName>
    <definedName name="_xlnm._FilterDatabase" localSheetId="28">#REF!</definedName>
    <definedName name="_xlnm._FilterDatabase" localSheetId="18" hidden="1">'Schedule-A'!$A$10:$P$55</definedName>
    <definedName name="_xlnm._FilterDatabase" localSheetId="42">#REF!</definedName>
    <definedName name="_xlnm._FilterDatabase">#REF!</definedName>
    <definedName name="_GBS11" localSheetId="8">#REF!</definedName>
    <definedName name="_GBS11" localSheetId="10">#REF!</definedName>
    <definedName name="_GBS11" localSheetId="28">#REF!</definedName>
    <definedName name="_GBS11">#REF!</definedName>
    <definedName name="_GBS110" localSheetId="8">#REF!</definedName>
    <definedName name="_GBS110" localSheetId="10">#REF!</definedName>
    <definedName name="_GBS110" localSheetId="28">#REF!</definedName>
    <definedName name="_GBS110">#REF!</definedName>
    <definedName name="_GBS111" localSheetId="8">#REF!</definedName>
    <definedName name="_GBS111" localSheetId="10">#REF!</definedName>
    <definedName name="_GBS111" localSheetId="28">#REF!</definedName>
    <definedName name="_GBS111">#REF!</definedName>
    <definedName name="_GBS112" localSheetId="8">#REF!</definedName>
    <definedName name="_GBS112" localSheetId="10">#REF!</definedName>
    <definedName name="_GBS112" localSheetId="28">#REF!</definedName>
    <definedName name="_GBS112">#REF!</definedName>
    <definedName name="_GBS113" localSheetId="8">#REF!</definedName>
    <definedName name="_GBS113" localSheetId="10">#REF!</definedName>
    <definedName name="_GBS113" localSheetId="28">#REF!</definedName>
    <definedName name="_GBS113">#REF!</definedName>
    <definedName name="_GBS114" localSheetId="8">#REF!</definedName>
    <definedName name="_GBS114" localSheetId="10">#REF!</definedName>
    <definedName name="_GBS114" localSheetId="28">#REF!</definedName>
    <definedName name="_GBS114">#REF!</definedName>
    <definedName name="_GBS115" localSheetId="8">#REF!</definedName>
    <definedName name="_GBS115" localSheetId="10">#REF!</definedName>
    <definedName name="_GBS115" localSheetId="28">#REF!</definedName>
    <definedName name="_GBS115">#REF!</definedName>
    <definedName name="_GBS116">#REF!</definedName>
    <definedName name="_GBS117">#REF!</definedName>
    <definedName name="_GBS118">#REF!</definedName>
    <definedName name="_GBS119">#REF!</definedName>
    <definedName name="_GBS12" localSheetId="8">#REF!</definedName>
    <definedName name="_GBS12" localSheetId="10">#REF!</definedName>
    <definedName name="_GBS12" localSheetId="28">#REF!</definedName>
    <definedName name="_GBS12">#REF!</definedName>
    <definedName name="_GBS120">#REF!</definedName>
    <definedName name="_GBS121">#REF!</definedName>
    <definedName name="_GBS122">#REF!</definedName>
    <definedName name="_GBS123">#REF!</definedName>
    <definedName name="_GBS124">#REF!</definedName>
    <definedName name="_GBS13" localSheetId="8">#REF!</definedName>
    <definedName name="_GBS13" localSheetId="10">#REF!</definedName>
    <definedName name="_GBS13" localSheetId="28">#REF!</definedName>
    <definedName name="_GBS13">#REF!</definedName>
    <definedName name="_GBS14" localSheetId="8">#REF!</definedName>
    <definedName name="_GBS14" localSheetId="10">#REF!</definedName>
    <definedName name="_GBS14" localSheetId="28">#REF!</definedName>
    <definedName name="_GBS14">#REF!</definedName>
    <definedName name="_GBS15" localSheetId="8">#REF!</definedName>
    <definedName name="_GBS15" localSheetId="10">#REF!</definedName>
    <definedName name="_GBS15" localSheetId="28">#REF!</definedName>
    <definedName name="_GBS15">#REF!</definedName>
    <definedName name="_GBS16" localSheetId="8">#REF!</definedName>
    <definedName name="_GBS16" localSheetId="10">#REF!</definedName>
    <definedName name="_GBS16" localSheetId="28">#REF!</definedName>
    <definedName name="_GBS16">#REF!</definedName>
    <definedName name="_GBS17" localSheetId="8">#REF!</definedName>
    <definedName name="_GBS17" localSheetId="10">#REF!</definedName>
    <definedName name="_GBS17" localSheetId="28">#REF!</definedName>
    <definedName name="_GBS17">#REF!</definedName>
    <definedName name="_GBS18" localSheetId="8">#REF!</definedName>
    <definedName name="_GBS18" localSheetId="10">#REF!</definedName>
    <definedName name="_GBS18" localSheetId="28">#REF!</definedName>
    <definedName name="_GBS18">#REF!</definedName>
    <definedName name="_GBS19" localSheetId="8">#REF!</definedName>
    <definedName name="_GBS19" localSheetId="10">#REF!</definedName>
    <definedName name="_GBS19" localSheetId="28">#REF!</definedName>
    <definedName name="_GBS19">#REF!</definedName>
    <definedName name="_GBS21" localSheetId="8">#REF!</definedName>
    <definedName name="_GBS21" localSheetId="10">#REF!</definedName>
    <definedName name="_GBS21" localSheetId="28">#REF!</definedName>
    <definedName name="_GBS21">#REF!</definedName>
    <definedName name="_GBS210" localSheetId="8">#REF!</definedName>
    <definedName name="_GBS210" localSheetId="10">#REF!</definedName>
    <definedName name="_GBS210" localSheetId="28">#REF!</definedName>
    <definedName name="_GBS210">#REF!</definedName>
    <definedName name="_GBS211" localSheetId="8">#REF!</definedName>
    <definedName name="_GBS211" localSheetId="10">#REF!</definedName>
    <definedName name="_GBS211" localSheetId="28">#REF!</definedName>
    <definedName name="_GBS211">#REF!</definedName>
    <definedName name="_GBS212" localSheetId="8">#REF!</definedName>
    <definedName name="_GBS212" localSheetId="10">#REF!</definedName>
    <definedName name="_GBS212" localSheetId="28">#REF!</definedName>
    <definedName name="_GBS212">#REF!</definedName>
    <definedName name="_GBS213" localSheetId="8">#REF!</definedName>
    <definedName name="_GBS213" localSheetId="10">#REF!</definedName>
    <definedName name="_GBS213" localSheetId="28">#REF!</definedName>
    <definedName name="_GBS213">#REF!</definedName>
    <definedName name="_GBS214" localSheetId="8">#REF!</definedName>
    <definedName name="_GBS214" localSheetId="10">#REF!</definedName>
    <definedName name="_GBS214" localSheetId="28">#REF!</definedName>
    <definedName name="_GBS214">#REF!</definedName>
    <definedName name="_GBS215" localSheetId="8">#REF!</definedName>
    <definedName name="_GBS215" localSheetId="10">#REF!</definedName>
    <definedName name="_GBS215" localSheetId="28">#REF!</definedName>
    <definedName name="_GBS215">#REF!</definedName>
    <definedName name="_GBS216">#REF!</definedName>
    <definedName name="_GBS217">#REF!</definedName>
    <definedName name="_GBS218">#REF!</definedName>
    <definedName name="_GBS219">#REF!</definedName>
    <definedName name="_GBS22" localSheetId="8">#REF!</definedName>
    <definedName name="_GBS22" localSheetId="10">#REF!</definedName>
    <definedName name="_GBS22" localSheetId="28">#REF!</definedName>
    <definedName name="_GBS22">#REF!</definedName>
    <definedName name="_GBS220">#REF!</definedName>
    <definedName name="_GBS221">#REF!</definedName>
    <definedName name="_GBS222">#REF!</definedName>
    <definedName name="_GBS223">#REF!</definedName>
    <definedName name="_GBS224">#REF!</definedName>
    <definedName name="_GBS23" localSheetId="8">#REF!</definedName>
    <definedName name="_GBS23" localSheetId="10">#REF!</definedName>
    <definedName name="_GBS23" localSheetId="28">#REF!</definedName>
    <definedName name="_GBS23">#REF!</definedName>
    <definedName name="_GBS24" localSheetId="8">#REF!</definedName>
    <definedName name="_GBS24" localSheetId="10">#REF!</definedName>
    <definedName name="_GBS24" localSheetId="28">#REF!</definedName>
    <definedName name="_GBS24">#REF!</definedName>
    <definedName name="_GBS25" localSheetId="8">#REF!</definedName>
    <definedName name="_GBS25" localSheetId="10">#REF!</definedName>
    <definedName name="_GBS25" localSheetId="28">#REF!</definedName>
    <definedName name="_GBS25">#REF!</definedName>
    <definedName name="_GBS26" localSheetId="8">#REF!</definedName>
    <definedName name="_GBS26" localSheetId="10">#REF!</definedName>
    <definedName name="_GBS26" localSheetId="28">#REF!</definedName>
    <definedName name="_GBS26">#REF!</definedName>
    <definedName name="_GBS27" localSheetId="8">#REF!</definedName>
    <definedName name="_GBS27" localSheetId="10">#REF!</definedName>
    <definedName name="_GBS27" localSheetId="28">#REF!</definedName>
    <definedName name="_GBS27">#REF!</definedName>
    <definedName name="_GBS28" localSheetId="8">#REF!</definedName>
    <definedName name="_GBS28" localSheetId="10">#REF!</definedName>
    <definedName name="_GBS28" localSheetId="28">#REF!</definedName>
    <definedName name="_GBS28">#REF!</definedName>
    <definedName name="_GBS29" localSheetId="8">#REF!</definedName>
    <definedName name="_GBS29" localSheetId="10">#REF!</definedName>
    <definedName name="_GBS29" localSheetId="28">#REF!</definedName>
    <definedName name="_GBS29">#REF!</definedName>
    <definedName name="_GRA" localSheetId="33">#REF!</definedName>
    <definedName name="_GRA" localSheetId="34">#REF!</definedName>
    <definedName name="_GRA" localSheetId="5">#REF!</definedName>
    <definedName name="_GRA" localSheetId="8">#REF!</definedName>
    <definedName name="_GRA" localSheetId="10">#REF!</definedName>
    <definedName name="_GRA" localSheetId="11">#REF!</definedName>
    <definedName name="_GRA" localSheetId="37">#REF!</definedName>
    <definedName name="_GRA" localSheetId="28">#REF!</definedName>
    <definedName name="_GRA" localSheetId="42">#REF!</definedName>
    <definedName name="_GRA">#REF!</definedName>
    <definedName name="_GRA_33">"$#REF!.$#REF!$#REF!"</definedName>
    <definedName name="_grp10003" localSheetId="8">#REF!</definedName>
    <definedName name="_grp10003" localSheetId="10">#REF!</definedName>
    <definedName name="_grp10003" localSheetId="11">#REF!</definedName>
    <definedName name="_grp10003" localSheetId="28">#REF!</definedName>
    <definedName name="_grp10003">#REF!</definedName>
    <definedName name="_grp3503" localSheetId="8">#REF!</definedName>
    <definedName name="_grp3503" localSheetId="10">#REF!</definedName>
    <definedName name="_grp3503" localSheetId="11">#REF!</definedName>
    <definedName name="_grp3503" localSheetId="28">#REF!</definedName>
    <definedName name="_grp3503">#REF!</definedName>
    <definedName name="_grp4003" localSheetId="8">#REF!</definedName>
    <definedName name="_grp4003" localSheetId="10">#REF!</definedName>
    <definedName name="_grp4003" localSheetId="11">#REF!</definedName>
    <definedName name="_grp4003" localSheetId="28">#REF!</definedName>
    <definedName name="_grp4003">#REF!</definedName>
    <definedName name="_grp4503" localSheetId="8">#REF!</definedName>
    <definedName name="_grp4503" localSheetId="10">#REF!</definedName>
    <definedName name="_grp4503" localSheetId="11">#REF!</definedName>
    <definedName name="_grp4503" localSheetId="28">#REF!</definedName>
    <definedName name="_grp4503">#REF!</definedName>
    <definedName name="_grp5003" localSheetId="8">#REF!</definedName>
    <definedName name="_grp5003" localSheetId="10">#REF!</definedName>
    <definedName name="_grp5003" localSheetId="11">#REF!</definedName>
    <definedName name="_grp5003" localSheetId="28">#REF!</definedName>
    <definedName name="_grp5003">#REF!</definedName>
    <definedName name="_grp6003" localSheetId="8">#REF!</definedName>
    <definedName name="_grp6003" localSheetId="10">#REF!</definedName>
    <definedName name="_grp6003" localSheetId="11">#REF!</definedName>
    <definedName name="_grp6003" localSheetId="28">#REF!</definedName>
    <definedName name="_grp6003">#REF!</definedName>
    <definedName name="_grp7003" localSheetId="8">#REF!</definedName>
    <definedName name="_grp7003" localSheetId="10">#REF!</definedName>
    <definedName name="_grp7003" localSheetId="11">#REF!</definedName>
    <definedName name="_grp7003" localSheetId="28">#REF!</definedName>
    <definedName name="_grp7003">#REF!</definedName>
    <definedName name="_grp8003" localSheetId="8">#REF!</definedName>
    <definedName name="_grp8003" localSheetId="10">#REF!</definedName>
    <definedName name="_grp8003" localSheetId="11">#REF!</definedName>
    <definedName name="_grp8003" localSheetId="28">#REF!</definedName>
    <definedName name="_grp8003">#REF!</definedName>
    <definedName name="_grp9003" localSheetId="8">#REF!</definedName>
    <definedName name="_grp9003" localSheetId="10">#REF!</definedName>
    <definedName name="_grp9003" localSheetId="11">#REF!</definedName>
    <definedName name="_grp9003" localSheetId="28">#REF!</definedName>
    <definedName name="_grp9003">#REF!</definedName>
    <definedName name="_grstn" localSheetId="8">#REF!</definedName>
    <definedName name="_grstn" localSheetId="10">#REF!</definedName>
    <definedName name="_grstn" localSheetId="11">#REF!</definedName>
    <definedName name="_grstn" localSheetId="28">#REF!</definedName>
    <definedName name="_grstn">#REF!</definedName>
    <definedName name="_gus1">#REF!</definedName>
    <definedName name="_hpm1">#REF!</definedName>
    <definedName name="_I06" localSheetId="33">#REF!</definedName>
    <definedName name="_I06" localSheetId="34">#REF!</definedName>
    <definedName name="_I06" localSheetId="5">#REF!</definedName>
    <definedName name="_I06" localSheetId="8">#REF!</definedName>
    <definedName name="_I06" localSheetId="10">#REF!</definedName>
    <definedName name="_I06" localSheetId="11">#REF!</definedName>
    <definedName name="_I06" localSheetId="37">#REF!</definedName>
    <definedName name="_I06" localSheetId="28">#REF!</definedName>
    <definedName name="_I06" localSheetId="42">#REF!</definedName>
    <definedName name="_I06">#REF!</definedName>
    <definedName name="_I06_33">"$#REF!.$#REF!$#REF!"</definedName>
    <definedName name="_I10" localSheetId="33">#REF!</definedName>
    <definedName name="_I10" localSheetId="34">#REF!</definedName>
    <definedName name="_I10" localSheetId="5">#REF!</definedName>
    <definedName name="_I10" localSheetId="8">#REF!</definedName>
    <definedName name="_I10" localSheetId="10">#REF!</definedName>
    <definedName name="_I10" localSheetId="11">#REF!</definedName>
    <definedName name="_I10" localSheetId="37">#REF!</definedName>
    <definedName name="_I10" localSheetId="28">#REF!</definedName>
    <definedName name="_I10" localSheetId="42">#REF!</definedName>
    <definedName name="_I10">#REF!</definedName>
    <definedName name="_I10_33">"$#REF!.$#REF!$#REF!"</definedName>
    <definedName name="_I12" localSheetId="33">#REF!</definedName>
    <definedName name="_I12" localSheetId="34">#REF!</definedName>
    <definedName name="_I12" localSheetId="5">#REF!</definedName>
    <definedName name="_I12" localSheetId="8">#REF!</definedName>
    <definedName name="_I12" localSheetId="10">#REF!</definedName>
    <definedName name="_I12" localSheetId="11">#REF!</definedName>
    <definedName name="_I12" localSheetId="37">#REF!</definedName>
    <definedName name="_I12" localSheetId="28">#REF!</definedName>
    <definedName name="_I12" localSheetId="42">#REF!</definedName>
    <definedName name="_I12">#REF!</definedName>
    <definedName name="_I12_33">"$#REF!.$#REF!$#REF!"</definedName>
    <definedName name="_I150" localSheetId="33">#REF!</definedName>
    <definedName name="_I150" localSheetId="34">#REF!</definedName>
    <definedName name="_I150" localSheetId="5">#REF!</definedName>
    <definedName name="_I150" localSheetId="8">#REF!</definedName>
    <definedName name="_I150" localSheetId="10">#REF!</definedName>
    <definedName name="_I150" localSheetId="11">#REF!</definedName>
    <definedName name="_I150" localSheetId="37">#REF!</definedName>
    <definedName name="_I150" localSheetId="28">#REF!</definedName>
    <definedName name="_I150" localSheetId="42">#REF!</definedName>
    <definedName name="_I150">#REF!</definedName>
    <definedName name="_I150_33">"$#REF!.$#REF!$#REF!"</definedName>
    <definedName name="_I20" localSheetId="33">#REF!</definedName>
    <definedName name="_I20" localSheetId="34">#REF!</definedName>
    <definedName name="_I20" localSheetId="5">#REF!</definedName>
    <definedName name="_I20" localSheetId="8">#REF!</definedName>
    <definedName name="_I20" localSheetId="10">#REF!</definedName>
    <definedName name="_I20" localSheetId="11">#REF!</definedName>
    <definedName name="_I20" localSheetId="37">#REF!</definedName>
    <definedName name="_I20" localSheetId="28">#REF!</definedName>
    <definedName name="_I20" localSheetId="42">#REF!</definedName>
    <definedName name="_I20">#REF!</definedName>
    <definedName name="_I20_33">"$#REF!.$#REF!$#REF!"</definedName>
    <definedName name="_I25" localSheetId="33">#REF!</definedName>
    <definedName name="_I25" localSheetId="34">#REF!</definedName>
    <definedName name="_I25" localSheetId="5">#REF!</definedName>
    <definedName name="_I25" localSheetId="8">#REF!</definedName>
    <definedName name="_I25" localSheetId="10">#REF!</definedName>
    <definedName name="_I25" localSheetId="11">#REF!</definedName>
    <definedName name="_I25" localSheetId="37">#REF!</definedName>
    <definedName name="_I25" localSheetId="28">#REF!</definedName>
    <definedName name="_I25" localSheetId="42">#REF!</definedName>
    <definedName name="_I25">#REF!</definedName>
    <definedName name="_I25_33">"$#REF!.$#REF!$#REF!"</definedName>
    <definedName name="_I40" localSheetId="33">#REF!</definedName>
    <definedName name="_I40" localSheetId="34">#REF!</definedName>
    <definedName name="_I40" localSheetId="5">#REF!</definedName>
    <definedName name="_I40" localSheetId="8">#REF!</definedName>
    <definedName name="_I40" localSheetId="10">#REF!</definedName>
    <definedName name="_I40" localSheetId="11">#REF!</definedName>
    <definedName name="_I40" localSheetId="37">#REF!</definedName>
    <definedName name="_I40" localSheetId="28">#REF!</definedName>
    <definedName name="_I40" localSheetId="42">#REF!</definedName>
    <definedName name="_I40">#REF!</definedName>
    <definedName name="_I40_33">"$#REF!.$#REF!$#REF!"</definedName>
    <definedName name="_i5" localSheetId="33">#REF!</definedName>
    <definedName name="_i5" localSheetId="34">#REF!</definedName>
    <definedName name="_i5" localSheetId="37">#REF!</definedName>
    <definedName name="_i5">#REF!</definedName>
    <definedName name="_I50" localSheetId="33">#REF!</definedName>
    <definedName name="_I50" localSheetId="34">#REF!</definedName>
    <definedName name="_I50" localSheetId="5">#REF!</definedName>
    <definedName name="_I50" localSheetId="8">#REF!</definedName>
    <definedName name="_I50" localSheetId="10">#REF!</definedName>
    <definedName name="_I50" localSheetId="11">#REF!</definedName>
    <definedName name="_I50" localSheetId="37">#REF!</definedName>
    <definedName name="_I50" localSheetId="28">#REF!</definedName>
    <definedName name="_I50" localSheetId="42">#REF!</definedName>
    <definedName name="_I50">#REF!</definedName>
    <definedName name="_I50_33">"$#REF!.$#REF!$#REF!"</definedName>
    <definedName name="_I60" localSheetId="33">#REF!</definedName>
    <definedName name="_I60" localSheetId="34">#REF!</definedName>
    <definedName name="_I60" localSheetId="5">#REF!</definedName>
    <definedName name="_I60" localSheetId="8">#REF!</definedName>
    <definedName name="_I60" localSheetId="10">#REF!</definedName>
    <definedName name="_I60" localSheetId="11">#REF!</definedName>
    <definedName name="_I60" localSheetId="37">#REF!</definedName>
    <definedName name="_I60" localSheetId="28">#REF!</definedName>
    <definedName name="_I60" localSheetId="42">#REF!</definedName>
    <definedName name="_I60">#REF!</definedName>
    <definedName name="_I60_33">"$#REF!.$#REF!$#REF!"</definedName>
    <definedName name="_I65" localSheetId="33">#REF!</definedName>
    <definedName name="_I65" localSheetId="34">#REF!</definedName>
    <definedName name="_I65" localSheetId="5">#REF!</definedName>
    <definedName name="_I65" localSheetId="8">#REF!</definedName>
    <definedName name="_I65" localSheetId="10">#REF!</definedName>
    <definedName name="_I65" localSheetId="11">#REF!</definedName>
    <definedName name="_I65" localSheetId="37">#REF!</definedName>
    <definedName name="_I65" localSheetId="28">#REF!</definedName>
    <definedName name="_I65" localSheetId="42">#REF!</definedName>
    <definedName name="_I65">#REF!</definedName>
    <definedName name="_I65_33">"$#REF!.$#REF!$#REF!"</definedName>
    <definedName name="_I75" localSheetId="33">#REF!</definedName>
    <definedName name="_I75" localSheetId="34">#REF!</definedName>
    <definedName name="_I75" localSheetId="5">#REF!</definedName>
    <definedName name="_I75" localSheetId="8">#REF!</definedName>
    <definedName name="_I75" localSheetId="10">#REF!</definedName>
    <definedName name="_I75" localSheetId="11">#REF!</definedName>
    <definedName name="_I75" localSheetId="37">#REF!</definedName>
    <definedName name="_I75" localSheetId="28">#REF!</definedName>
    <definedName name="_I75" localSheetId="42">#REF!</definedName>
    <definedName name="_I75">#REF!</definedName>
    <definedName name="_I75_33">"$#REF!.$#REF!$#REF!"</definedName>
    <definedName name="_k1" localSheetId="8">#REF!</definedName>
    <definedName name="_k1" localSheetId="10">#REF!</definedName>
    <definedName name="_k1" localSheetId="28">#REF!</definedName>
    <definedName name="_k1">#REF!</definedName>
    <definedName name="_Key1" hidden="1">#REF!</definedName>
    <definedName name="_knr2" localSheetId="33">#REF!</definedName>
    <definedName name="_knr2" localSheetId="34">#REF!</definedName>
    <definedName name="_knr2" localSheetId="5">#REF!</definedName>
    <definedName name="_knr2" localSheetId="8">#REF!</definedName>
    <definedName name="_knr2" localSheetId="10">#REF!</definedName>
    <definedName name="_knr2" localSheetId="11">#REF!</definedName>
    <definedName name="_knr2" localSheetId="28">#REF!</definedName>
    <definedName name="_knr2" localSheetId="42">#REF!</definedName>
    <definedName name="_knr2">#REF!</definedName>
    <definedName name="_l1" localSheetId="37">[59]leads!$A$3:$E$108</definedName>
    <definedName name="_l1">[20]leads!$A$3:$E$108</definedName>
    <definedName name="_l1_32">#REF!</definedName>
    <definedName name="_l1_33">#REF!</definedName>
    <definedName name="_l1_34">#REF!</definedName>
    <definedName name="_l1_43">#REF!</definedName>
    <definedName name="_l1_56">#REF!</definedName>
    <definedName name="_l1_59">#REF!</definedName>
    <definedName name="_l1_61">#REF!</definedName>
    <definedName name="_l12" localSheetId="33">#REF!</definedName>
    <definedName name="_l12" localSheetId="34">#REF!</definedName>
    <definedName name="_l12" localSheetId="5">#REF!</definedName>
    <definedName name="_l12" localSheetId="8">#REF!</definedName>
    <definedName name="_l12" localSheetId="10">#REF!</definedName>
    <definedName name="_l12" localSheetId="11">#REF!</definedName>
    <definedName name="_l12" localSheetId="37">#REF!</definedName>
    <definedName name="_l12" localSheetId="28">#REF!</definedName>
    <definedName name="_l12" localSheetId="42">#REF!</definedName>
    <definedName name="_l12">#REF!</definedName>
    <definedName name="_l12_23">"$#REF!.$#REF!$#REF!"</definedName>
    <definedName name="_l12_32">"$#REF!.$#REF!$#REF!"</definedName>
    <definedName name="_l12_33">"$#REF!.$#REF!$#REF!"</definedName>
    <definedName name="_l12_34">"$#REF!.$#REF!$#REF!"</definedName>
    <definedName name="_l12_38">"$#REF!.$#REF!$#REF!"</definedName>
    <definedName name="_l12_41">"$#REF!.$#REF!$#REF!"</definedName>
    <definedName name="_l12_43">"$#REF!.$#REF!$#REF!"</definedName>
    <definedName name="_l12_48">"$#REF!.$#REF!$#REF!"</definedName>
    <definedName name="_l12_56">"$#REF!.$#REF!$#REF!"</definedName>
    <definedName name="_l12_57">"$#REF!.$#REF!$#REF!"</definedName>
    <definedName name="_l12_59">"$#REF!.$#REF!$#REF!"</definedName>
    <definedName name="_l12_60">"$#REF!.$#REF!$#REF!"</definedName>
    <definedName name="_l12_61">"$#REF!.$#REF!$#REF!"</definedName>
    <definedName name="_l12_62">"$#REF!.$#REF!$#REF!"</definedName>
    <definedName name="_l12_7">"$#REF!.$#REF!$#REF!"</definedName>
    <definedName name="_l12_72">"$#REF!.$#REF!$#REF!"</definedName>
    <definedName name="_l12_73">"$#REF!.$#REF!$#REF!"</definedName>
    <definedName name="_l12_8">"$#REF!.$#REF!$#REF!"</definedName>
    <definedName name="_l122">#REF!</definedName>
    <definedName name="_l13">#REF!</definedName>
    <definedName name="_l14">#REF!</definedName>
    <definedName name="_l2">[6]r!$F$29</definedName>
    <definedName name="_l3" localSheetId="33">#REF!</definedName>
    <definedName name="_l3" localSheetId="34">#REF!</definedName>
    <definedName name="_l3" localSheetId="35">#REF!</definedName>
    <definedName name="_l3" localSheetId="5">#REF!</definedName>
    <definedName name="_l3" localSheetId="8">#REF!</definedName>
    <definedName name="_l3" localSheetId="10">#REF!</definedName>
    <definedName name="_l3" localSheetId="11">#REF!</definedName>
    <definedName name="_l3" localSheetId="37">#REF!</definedName>
    <definedName name="_l3" localSheetId="28">#REF!</definedName>
    <definedName name="_l3" localSheetId="42">#REF!</definedName>
    <definedName name="_l3" localSheetId="31">#REF!</definedName>
    <definedName name="_l3">#REF!</definedName>
    <definedName name="_l3_23">"$#REF!.$#REF!$#REF!"</definedName>
    <definedName name="_l3_32">"$#REF!.$#REF!$#REF!"</definedName>
    <definedName name="_l3_33">"$#REF!.$#REF!$#REF!"</definedName>
    <definedName name="_l3_34">"$#REF!.$#REF!$#REF!"</definedName>
    <definedName name="_l3_38">"$#REF!.$#REF!$#REF!"</definedName>
    <definedName name="_l3_41">"$#REF!.$#REF!$#REF!"</definedName>
    <definedName name="_l3_43">"$#REF!.$#REF!$#REF!"</definedName>
    <definedName name="_l3_48">"$#REF!.$#REF!$#REF!"</definedName>
    <definedName name="_l3_56">"$#REF!.$#REF!$#REF!"</definedName>
    <definedName name="_l3_57">"$#REF!.$#REF!$#REF!"</definedName>
    <definedName name="_l3_59">"$#REF!.$#REF!$#REF!"</definedName>
    <definedName name="_l3_60">"$#REF!.$#REF!$#REF!"</definedName>
    <definedName name="_l3_61">"$#REF!.$#REF!$#REF!"</definedName>
    <definedName name="_l3_62">"$#REF!.$#REF!$#REF!"</definedName>
    <definedName name="_l3_7">"$#REF!.$#REF!$#REF!"</definedName>
    <definedName name="_l3_72">"$#REF!.$#REF!$#REF!"</definedName>
    <definedName name="_l3_73">"$#REF!.$#REF!$#REF!"</definedName>
    <definedName name="_l3_8">"$#REF!.$#REF!$#REF!"</definedName>
    <definedName name="_l4" localSheetId="37">[60]Sheet1!$W$2:$Y$103</definedName>
    <definedName name="_l4">[21]Sheet1!$W$2:$Y$103</definedName>
    <definedName name="_l4_32">#REF!</definedName>
    <definedName name="_l4_33">#REF!</definedName>
    <definedName name="_l4_34">#REF!</definedName>
    <definedName name="_l4_43">#REF!</definedName>
    <definedName name="_l4_56">#REF!</definedName>
    <definedName name="_l4_59">#REF!</definedName>
    <definedName name="_l4_61">#REF!</definedName>
    <definedName name="_l5" localSheetId="33">#REF!</definedName>
    <definedName name="_l5" localSheetId="34">#REF!</definedName>
    <definedName name="_l5" localSheetId="35">#REF!</definedName>
    <definedName name="_l5" localSheetId="5">#REF!</definedName>
    <definedName name="_l5" localSheetId="8">#REF!</definedName>
    <definedName name="_l5" localSheetId="10">#REF!</definedName>
    <definedName name="_l5" localSheetId="11">#REF!</definedName>
    <definedName name="_l5" localSheetId="37">#REF!</definedName>
    <definedName name="_l5" localSheetId="28">#REF!</definedName>
    <definedName name="_l5" localSheetId="42">#REF!</definedName>
    <definedName name="_l5" localSheetId="31">#REF!</definedName>
    <definedName name="_l5">#REF!</definedName>
    <definedName name="_l5_23">"$#REF!.$#REF!$#REF!"</definedName>
    <definedName name="_l5_32">"$#REF!.$#REF!$#REF!"</definedName>
    <definedName name="_l5_33">"$#REF!.$#REF!$#REF!"</definedName>
    <definedName name="_l5_34">"$#REF!.$#REF!$#REF!"</definedName>
    <definedName name="_l5_38">"$#REF!.$#REF!$#REF!"</definedName>
    <definedName name="_l5_41">"$#REF!.$#REF!$#REF!"</definedName>
    <definedName name="_l5_43">"$#REF!.$#REF!$#REF!"</definedName>
    <definedName name="_l5_48">"$#REF!.$#REF!$#REF!"</definedName>
    <definedName name="_l5_56">"$#REF!.$#REF!$#REF!"</definedName>
    <definedName name="_l5_57">"$#REF!.$#REF!$#REF!"</definedName>
    <definedName name="_l5_59">"$#REF!.$#REF!$#REF!"</definedName>
    <definedName name="_l5_60">"$#REF!.$#REF!$#REF!"</definedName>
    <definedName name="_l5_61">"$#REF!.$#REF!$#REF!"</definedName>
    <definedName name="_l5_62">"$#REF!.$#REF!$#REF!"</definedName>
    <definedName name="_l5_7">"$#REF!.$#REF!$#REF!"</definedName>
    <definedName name="_l5_72">"$#REF!.$#REF!$#REF!"</definedName>
    <definedName name="_l5_73">"$#REF!.$#REF!$#REF!"</definedName>
    <definedName name="_l5_8">"$#REF!.$#REF!$#REF!"</definedName>
    <definedName name="_l6">[6]r!$F$4</definedName>
    <definedName name="_l7">[7]r!$F$4</definedName>
    <definedName name="_l8">[6]r!$F$2</definedName>
    <definedName name="_l9">[6]r!$F$3</definedName>
    <definedName name="_lcn1">#REF!</definedName>
    <definedName name="_LI9" localSheetId="8">#REF!</definedName>
    <definedName name="_LI9" localSheetId="10">#REF!</definedName>
    <definedName name="_LI9" localSheetId="28">#REF!</definedName>
    <definedName name="_LI9">#REF!</definedName>
    <definedName name="_LII9" localSheetId="8">#REF!</definedName>
    <definedName name="_LII9" localSheetId="10">#REF!</definedName>
    <definedName name="_LII9" localSheetId="28">#REF!</definedName>
    <definedName name="_LII9">#REF!</definedName>
    <definedName name="_LJ6" localSheetId="37">[55]DATA!$H$245</definedName>
    <definedName name="_LJ6">[56]DATA!$H$245</definedName>
    <definedName name="_lj600" localSheetId="28">#REF!</definedName>
    <definedName name="_lj900" localSheetId="8">#REF!</definedName>
    <definedName name="_lj900" localSheetId="10">#REF!</definedName>
    <definedName name="_lj900" localSheetId="28">#REF!</definedName>
    <definedName name="_lj900" localSheetId="42">#REF!</definedName>
    <definedName name="_lj900">#REF!</definedName>
    <definedName name="_LL3">#REF!</definedName>
    <definedName name="_lm1">#REF!</definedName>
    <definedName name="_M5" localSheetId="28">#REF!</definedName>
    <definedName name="_ma" localSheetId="8">#REF!</definedName>
    <definedName name="_ma" localSheetId="10">#REF!</definedName>
    <definedName name="_ma" localSheetId="11">#REF!</definedName>
    <definedName name="_ma" localSheetId="28">#REF!</definedName>
    <definedName name="_ma">#REF!</definedName>
    <definedName name="_ma1" localSheetId="8">#REF!</definedName>
    <definedName name="_ma1" localSheetId="10">#REF!</definedName>
    <definedName name="_ma1" localSheetId="11">#REF!</definedName>
    <definedName name="_ma1" localSheetId="28">#REF!</definedName>
    <definedName name="_ma1">#REF!</definedName>
    <definedName name="_ma2" localSheetId="8">#REF!</definedName>
    <definedName name="_ma2" localSheetId="10">#REF!</definedName>
    <definedName name="_ma2" localSheetId="11">#REF!</definedName>
    <definedName name="_ma2" localSheetId="28">#REF!</definedName>
    <definedName name="_ma2">#REF!</definedName>
    <definedName name="_man1" localSheetId="37">[61]m!$B$149</definedName>
    <definedName name="_man1">[62]m!$B$149</definedName>
    <definedName name="_melamine" localSheetId="8">#REF!</definedName>
    <definedName name="_melamine" localSheetId="10">#REF!</definedName>
    <definedName name="_melamine" localSheetId="11">#REF!</definedName>
    <definedName name="_melamine" localSheetId="28">#REF!</definedName>
    <definedName name="_melamine">#REF!</definedName>
    <definedName name="_Met22">#REF!</definedName>
    <definedName name="_Met45">#REF!</definedName>
    <definedName name="_MEt55">#REF!</definedName>
    <definedName name="_Met63">#REF!</definedName>
    <definedName name="_MIX124" localSheetId="37">[67]maya!$A$11:$A$18</definedName>
    <definedName name="_MIX124">[63]maya!$A$11:$A$18</definedName>
    <definedName name="_ML11" localSheetId="8">#REF!</definedName>
    <definedName name="_ML11" localSheetId="10">#REF!</definedName>
    <definedName name="_ML11" localSheetId="28">#REF!</definedName>
    <definedName name="_ML11">#REF!</definedName>
    <definedName name="_ML110" localSheetId="8">#REF!</definedName>
    <definedName name="_ML110" localSheetId="10">#REF!</definedName>
    <definedName name="_ML110" localSheetId="28">#REF!</definedName>
    <definedName name="_ML110">#REF!</definedName>
    <definedName name="_ML111" localSheetId="8">#REF!</definedName>
    <definedName name="_ML111" localSheetId="10">#REF!</definedName>
    <definedName name="_ML111" localSheetId="28">#REF!</definedName>
    <definedName name="_ML111">#REF!</definedName>
    <definedName name="_ML112" localSheetId="8">#REF!</definedName>
    <definedName name="_ML112" localSheetId="10">#REF!</definedName>
    <definedName name="_ML112" localSheetId="28">#REF!</definedName>
    <definedName name="_ML112">#REF!</definedName>
    <definedName name="_ML113" localSheetId="8">#REF!</definedName>
    <definedName name="_ML113" localSheetId="10">#REF!</definedName>
    <definedName name="_ML113" localSheetId="28">#REF!</definedName>
    <definedName name="_ML113">#REF!</definedName>
    <definedName name="_ML114" localSheetId="8">#REF!</definedName>
    <definedName name="_ML114" localSheetId="10">#REF!</definedName>
    <definedName name="_ML114" localSheetId="28">#REF!</definedName>
    <definedName name="_ML114">#REF!</definedName>
    <definedName name="_ML115" localSheetId="8">#REF!</definedName>
    <definedName name="_ML115" localSheetId="10">#REF!</definedName>
    <definedName name="_ML115" localSheetId="28">#REF!</definedName>
    <definedName name="_ML115">#REF!</definedName>
    <definedName name="_ML12" localSheetId="8">#REF!</definedName>
    <definedName name="_ML12" localSheetId="10">#REF!</definedName>
    <definedName name="_ML12" localSheetId="28">#REF!</definedName>
    <definedName name="_ML12">#REF!</definedName>
    <definedName name="_ML13" localSheetId="8">#REF!</definedName>
    <definedName name="_ML13" localSheetId="10">#REF!</definedName>
    <definedName name="_ML13" localSheetId="28">#REF!</definedName>
    <definedName name="_ML13">#REF!</definedName>
    <definedName name="_ML14" localSheetId="8">#REF!</definedName>
    <definedName name="_ML14" localSheetId="10">#REF!</definedName>
    <definedName name="_ML14" localSheetId="28">#REF!</definedName>
    <definedName name="_ML14">#REF!</definedName>
    <definedName name="_ML15" localSheetId="8">#REF!</definedName>
    <definedName name="_ML15" localSheetId="10">#REF!</definedName>
    <definedName name="_ML15" localSheetId="28">#REF!</definedName>
    <definedName name="_ML15">#REF!</definedName>
    <definedName name="_ML16" localSheetId="8">#REF!</definedName>
    <definedName name="_ML16" localSheetId="10">#REF!</definedName>
    <definedName name="_ML16" localSheetId="28">#REF!</definedName>
    <definedName name="_ML16">#REF!</definedName>
    <definedName name="_ML17" localSheetId="8">#REF!</definedName>
    <definedName name="_ML17" localSheetId="10">#REF!</definedName>
    <definedName name="_ML17" localSheetId="28">#REF!</definedName>
    <definedName name="_ML17">#REF!</definedName>
    <definedName name="_ML18" localSheetId="8">#REF!</definedName>
    <definedName name="_ML18" localSheetId="10">#REF!</definedName>
    <definedName name="_ML18" localSheetId="28">#REF!</definedName>
    <definedName name="_ML18">#REF!</definedName>
    <definedName name="_ML19" localSheetId="8">#REF!</definedName>
    <definedName name="_ML19" localSheetId="10">#REF!</definedName>
    <definedName name="_ML19" localSheetId="28">#REF!</definedName>
    <definedName name="_ML19">#REF!</definedName>
    <definedName name="_ML21" localSheetId="8">#REF!</definedName>
    <definedName name="_ML21" localSheetId="10">#REF!</definedName>
    <definedName name="_ML21" localSheetId="28">#REF!</definedName>
    <definedName name="_ML21">#REF!</definedName>
    <definedName name="_ML210" localSheetId="8">#REF!</definedName>
    <definedName name="_ML210" localSheetId="10">#REF!</definedName>
    <definedName name="_ML210" localSheetId="28">#REF!</definedName>
    <definedName name="_ML210">#REF!</definedName>
    <definedName name="_ML211" localSheetId="8">#REF!</definedName>
    <definedName name="_ML211" localSheetId="10">#REF!</definedName>
    <definedName name="_ML211" localSheetId="28">#REF!</definedName>
    <definedName name="_ML211">#REF!</definedName>
    <definedName name="_ML212" localSheetId="8">#REF!</definedName>
    <definedName name="_ML212" localSheetId="10">#REF!</definedName>
    <definedName name="_ML212" localSheetId="28">#REF!</definedName>
    <definedName name="_ML212">#REF!</definedName>
    <definedName name="_ML213" localSheetId="8">#REF!</definedName>
    <definedName name="_ML213" localSheetId="10">#REF!</definedName>
    <definedName name="_ML213" localSheetId="28">#REF!</definedName>
    <definedName name="_ML213">#REF!</definedName>
    <definedName name="_ML214" localSheetId="8">#REF!</definedName>
    <definedName name="_ML214" localSheetId="10">#REF!</definedName>
    <definedName name="_ML214" localSheetId="28">#REF!</definedName>
    <definedName name="_ML214">#REF!</definedName>
    <definedName name="_ML215" localSheetId="8">#REF!</definedName>
    <definedName name="_ML215" localSheetId="10">#REF!</definedName>
    <definedName name="_ML215" localSheetId="28">#REF!</definedName>
    <definedName name="_ML215">#REF!</definedName>
    <definedName name="_ML216">#REF!</definedName>
    <definedName name="_ML217">#REF!</definedName>
    <definedName name="_ML218">#REF!</definedName>
    <definedName name="_ML219">#REF!</definedName>
    <definedName name="_ML22" localSheetId="8">#REF!</definedName>
    <definedName name="_ML22" localSheetId="10">#REF!</definedName>
    <definedName name="_ML22" localSheetId="28">#REF!</definedName>
    <definedName name="_ML22">#REF!</definedName>
    <definedName name="_ML220">#REF!</definedName>
    <definedName name="_ML221">#REF!</definedName>
    <definedName name="_ML222">#REF!</definedName>
    <definedName name="_ML223">#REF!</definedName>
    <definedName name="_ML224">#REF!</definedName>
    <definedName name="_ML23" localSheetId="8">#REF!</definedName>
    <definedName name="_ML23" localSheetId="10">#REF!</definedName>
    <definedName name="_ML23" localSheetId="28">#REF!</definedName>
    <definedName name="_ML23">#REF!</definedName>
    <definedName name="_ML24" localSheetId="8">#REF!</definedName>
    <definedName name="_ML24" localSheetId="10">#REF!</definedName>
    <definedName name="_ML24" localSheetId="28">#REF!</definedName>
    <definedName name="_ML24">#REF!</definedName>
    <definedName name="_ML25" localSheetId="8">#REF!</definedName>
    <definedName name="_ML25" localSheetId="10">#REF!</definedName>
    <definedName name="_ML25" localSheetId="28">#REF!</definedName>
    <definedName name="_ML25">#REF!</definedName>
    <definedName name="_ML26" localSheetId="8">#REF!</definedName>
    <definedName name="_ML26" localSheetId="10">#REF!</definedName>
    <definedName name="_ML26" localSheetId="28">#REF!</definedName>
    <definedName name="_ML26">#REF!</definedName>
    <definedName name="_ML27" localSheetId="8">#REF!</definedName>
    <definedName name="_ML27" localSheetId="10">#REF!</definedName>
    <definedName name="_ML27" localSheetId="28">#REF!</definedName>
    <definedName name="_ML27">#REF!</definedName>
    <definedName name="_ML28" localSheetId="8">#REF!</definedName>
    <definedName name="_ML28" localSheetId="10">#REF!</definedName>
    <definedName name="_ML28" localSheetId="28">#REF!</definedName>
    <definedName name="_ML28">#REF!</definedName>
    <definedName name="_ML29" localSheetId="8">#REF!</definedName>
    <definedName name="_ML29" localSheetId="10">#REF!</definedName>
    <definedName name="_ML29" localSheetId="28">#REF!</definedName>
    <definedName name="_ML29">#REF!</definedName>
    <definedName name="_ML31" localSheetId="8">#REF!</definedName>
    <definedName name="_ML31" localSheetId="10">#REF!</definedName>
    <definedName name="_ML31" localSheetId="28">#REF!</definedName>
    <definedName name="_ML31">#REF!</definedName>
    <definedName name="_ML310" localSheetId="8">#REF!</definedName>
    <definedName name="_ML310" localSheetId="10">#REF!</definedName>
    <definedName name="_ML310" localSheetId="28">#REF!</definedName>
    <definedName name="_ML310">#REF!</definedName>
    <definedName name="_ML311" localSheetId="8">#REF!</definedName>
    <definedName name="_ML311" localSheetId="10">#REF!</definedName>
    <definedName name="_ML311" localSheetId="28">#REF!</definedName>
    <definedName name="_ML311">#REF!</definedName>
    <definedName name="_ML312" localSheetId="8">#REF!</definedName>
    <definedName name="_ML312" localSheetId="10">#REF!</definedName>
    <definedName name="_ML312" localSheetId="28">#REF!</definedName>
    <definedName name="_ML312">#REF!</definedName>
    <definedName name="_ML313" localSheetId="8">#REF!</definedName>
    <definedName name="_ML313" localSheetId="10">#REF!</definedName>
    <definedName name="_ML313" localSheetId="28">#REF!</definedName>
    <definedName name="_ML313">#REF!</definedName>
    <definedName name="_ML314" localSheetId="8">#REF!</definedName>
    <definedName name="_ML314" localSheetId="10">#REF!</definedName>
    <definedName name="_ML314" localSheetId="28">#REF!</definedName>
    <definedName name="_ML314">#REF!</definedName>
    <definedName name="_ML315" localSheetId="8">#REF!</definedName>
    <definedName name="_ML315" localSheetId="10">#REF!</definedName>
    <definedName name="_ML315" localSheetId="28">#REF!</definedName>
    <definedName name="_ML315">#REF!</definedName>
    <definedName name="_ML316">#REF!</definedName>
    <definedName name="_ML317">#REF!</definedName>
    <definedName name="_ML318">#REF!</definedName>
    <definedName name="_ML319">#REF!</definedName>
    <definedName name="_ML32" localSheetId="8">#REF!</definedName>
    <definedName name="_ML32" localSheetId="10">#REF!</definedName>
    <definedName name="_ML32" localSheetId="28">#REF!</definedName>
    <definedName name="_ML32">#REF!</definedName>
    <definedName name="_ML320">#REF!</definedName>
    <definedName name="_ML321">#REF!</definedName>
    <definedName name="_ML322">#REF!</definedName>
    <definedName name="_ML323">#REF!</definedName>
    <definedName name="_ML324">#REF!</definedName>
    <definedName name="_ML33" localSheetId="8">#REF!</definedName>
    <definedName name="_ML33" localSheetId="10">#REF!</definedName>
    <definedName name="_ML33" localSheetId="28">#REF!</definedName>
    <definedName name="_ML33">#REF!</definedName>
    <definedName name="_ML34" localSheetId="8">#REF!</definedName>
    <definedName name="_ML34" localSheetId="10">#REF!</definedName>
    <definedName name="_ML34" localSheetId="28">#REF!</definedName>
    <definedName name="_ML34">#REF!</definedName>
    <definedName name="_ML35" localSheetId="8">#REF!</definedName>
    <definedName name="_ML35" localSheetId="10">#REF!</definedName>
    <definedName name="_ML35" localSheetId="28">#REF!</definedName>
    <definedName name="_ML35">#REF!</definedName>
    <definedName name="_ML36" localSheetId="8">#REF!</definedName>
    <definedName name="_ML36" localSheetId="10">#REF!</definedName>
    <definedName name="_ML36" localSheetId="28">#REF!</definedName>
    <definedName name="_ML36">#REF!</definedName>
    <definedName name="_ML37" localSheetId="8">#REF!</definedName>
    <definedName name="_ML37" localSheetId="10">#REF!</definedName>
    <definedName name="_ML37" localSheetId="28">#REF!</definedName>
    <definedName name="_ML37">#REF!</definedName>
    <definedName name="_ML38" localSheetId="8">#REF!</definedName>
    <definedName name="_ML38" localSheetId="10">#REF!</definedName>
    <definedName name="_ML38" localSheetId="28">#REF!</definedName>
    <definedName name="_ML38">#REF!</definedName>
    <definedName name="_ML39" localSheetId="8">#REF!</definedName>
    <definedName name="_ML39" localSheetId="10">#REF!</definedName>
    <definedName name="_ML39" localSheetId="28">#REF!</definedName>
    <definedName name="_ML39">#REF!</definedName>
    <definedName name="_ML7" localSheetId="8">#REF!</definedName>
    <definedName name="_ML7" localSheetId="10">#REF!</definedName>
    <definedName name="_ML7" localSheetId="28">#REF!</definedName>
    <definedName name="_ML7">#REF!</definedName>
    <definedName name="_ML8" localSheetId="8">#REF!</definedName>
    <definedName name="_ML8" localSheetId="10">#REF!</definedName>
    <definedName name="_ML8" localSheetId="28">#REF!</definedName>
    <definedName name="_ML8">#REF!</definedName>
    <definedName name="_ML9" localSheetId="8">#REF!</definedName>
    <definedName name="_ML9" localSheetId="10">#REF!</definedName>
    <definedName name="_ML9" localSheetId="28">#REF!</definedName>
    <definedName name="_ML9">#REF!</definedName>
    <definedName name="_mm" localSheetId="8">#REF!</definedName>
    <definedName name="_mm" localSheetId="10">#REF!</definedName>
    <definedName name="_mm" localSheetId="11">#REF!</definedName>
    <definedName name="_mm" localSheetId="28">#REF!</definedName>
    <definedName name="_mm">#REF!</definedName>
    <definedName name="_mm1" localSheetId="37">[64]r!$F$4</definedName>
    <definedName name="_mm1">[22]r!$F$4</definedName>
    <definedName name="_mm1_32">#REF!</definedName>
    <definedName name="_mm1_33">#REF!</definedName>
    <definedName name="_mm1_34">#REF!</definedName>
    <definedName name="_mm1_43">#REF!</definedName>
    <definedName name="_mm1_56">#REF!</definedName>
    <definedName name="_mm1_59">#REF!</definedName>
    <definedName name="_mm1_61">#REF!</definedName>
    <definedName name="_mm1000">#REF!</definedName>
    <definedName name="_mm11">[6]r!$F$4</definedName>
    <definedName name="_mm111">[7]r!$F$4</definedName>
    <definedName name="_mm2">[57]r!$F$4</definedName>
    <definedName name="_mm20" localSheetId="33">#REF!</definedName>
    <definedName name="_mm20" localSheetId="34">#REF!</definedName>
    <definedName name="_mm20" localSheetId="5">#REF!</definedName>
    <definedName name="_mm20" localSheetId="8">#REF!</definedName>
    <definedName name="_mm20" localSheetId="10">#REF!</definedName>
    <definedName name="_mm20" localSheetId="37">#REF!</definedName>
    <definedName name="_mm20" localSheetId="28">#REF!</definedName>
    <definedName name="_mm20" localSheetId="42">#REF!</definedName>
    <definedName name="_mm20">#REF!</definedName>
    <definedName name="_mm40" localSheetId="33">#REF!</definedName>
    <definedName name="_mm40" localSheetId="34">#REF!</definedName>
    <definedName name="_mm40" localSheetId="5">#REF!</definedName>
    <definedName name="_mm40" localSheetId="8">#REF!</definedName>
    <definedName name="_mm40" localSheetId="10">#REF!</definedName>
    <definedName name="_mm40" localSheetId="37">#REF!</definedName>
    <definedName name="_mm40" localSheetId="28">#REF!</definedName>
    <definedName name="_mm40" localSheetId="42">#REF!</definedName>
    <definedName name="_mm40">#REF!</definedName>
    <definedName name="_mm600">#REF!</definedName>
    <definedName name="_mm800">#REF!</definedName>
    <definedName name="_MT1" localSheetId="8">#REF!</definedName>
    <definedName name="_MT1" localSheetId="10">#REF!</definedName>
    <definedName name="_MT1" localSheetId="28">#REF!</definedName>
    <definedName name="_MT1">#REF!</definedName>
    <definedName name="_MT10" localSheetId="8">#REF!</definedName>
    <definedName name="_MT10" localSheetId="10">#REF!</definedName>
    <definedName name="_MT10" localSheetId="28">#REF!</definedName>
    <definedName name="_MT10">#REF!</definedName>
    <definedName name="_MT100" localSheetId="8">#REF!</definedName>
    <definedName name="_MT100" localSheetId="10">#REF!</definedName>
    <definedName name="_MT100" localSheetId="28">#REF!</definedName>
    <definedName name="_MT100">#REF!</definedName>
    <definedName name="_MT101" localSheetId="8">#REF!</definedName>
    <definedName name="_MT101" localSheetId="10">#REF!</definedName>
    <definedName name="_MT101" localSheetId="28">#REF!</definedName>
    <definedName name="_MT101">#REF!</definedName>
    <definedName name="_MT102" localSheetId="8">#REF!</definedName>
    <definedName name="_MT102" localSheetId="10">#REF!</definedName>
    <definedName name="_MT102" localSheetId="28">#REF!</definedName>
    <definedName name="_MT102">#REF!</definedName>
    <definedName name="_MT103" localSheetId="8">#REF!</definedName>
    <definedName name="_MT103" localSheetId="10">#REF!</definedName>
    <definedName name="_MT103" localSheetId="28">#REF!</definedName>
    <definedName name="_MT103">#REF!</definedName>
    <definedName name="_MT104" localSheetId="8">#REF!</definedName>
    <definedName name="_MT104" localSheetId="10">#REF!</definedName>
    <definedName name="_MT104" localSheetId="28">#REF!</definedName>
    <definedName name="_MT104">#REF!</definedName>
    <definedName name="_MT105" localSheetId="8">#REF!</definedName>
    <definedName name="_MT105" localSheetId="10">#REF!</definedName>
    <definedName name="_MT105" localSheetId="28">#REF!</definedName>
    <definedName name="_MT105">#REF!</definedName>
    <definedName name="_MT106" localSheetId="8">#REF!</definedName>
    <definedName name="_MT106" localSheetId="10">#REF!</definedName>
    <definedName name="_MT106" localSheetId="28">#REF!</definedName>
    <definedName name="_MT106">#REF!</definedName>
    <definedName name="_MT107" localSheetId="8">#REF!</definedName>
    <definedName name="_MT107" localSheetId="10">#REF!</definedName>
    <definedName name="_MT107" localSheetId="28">#REF!</definedName>
    <definedName name="_MT107">#REF!</definedName>
    <definedName name="_MT108" localSheetId="8">#REF!</definedName>
    <definedName name="_MT108" localSheetId="10">#REF!</definedName>
    <definedName name="_MT108" localSheetId="28">#REF!</definedName>
    <definedName name="_MT108">#REF!</definedName>
    <definedName name="_MT109" localSheetId="8">#REF!</definedName>
    <definedName name="_MT109" localSheetId="10">#REF!</definedName>
    <definedName name="_MT109" localSheetId="28">#REF!</definedName>
    <definedName name="_MT109">#REF!</definedName>
    <definedName name="_MT11" localSheetId="8">#REF!</definedName>
    <definedName name="_MT11" localSheetId="10">#REF!</definedName>
    <definedName name="_MT11" localSheetId="28">#REF!</definedName>
    <definedName name="_MT11">#REF!</definedName>
    <definedName name="_MT110" localSheetId="8">#REF!</definedName>
    <definedName name="_MT110" localSheetId="10">#REF!</definedName>
    <definedName name="_MT110" localSheetId="28">#REF!</definedName>
    <definedName name="_MT110">#REF!</definedName>
    <definedName name="_MT111" localSheetId="8">#REF!</definedName>
    <definedName name="_MT111" localSheetId="10">#REF!</definedName>
    <definedName name="_MT111" localSheetId="28">#REF!</definedName>
    <definedName name="_MT111">#REF!</definedName>
    <definedName name="_MT112" localSheetId="8">#REF!</definedName>
    <definedName name="_MT112" localSheetId="10">#REF!</definedName>
    <definedName name="_MT112" localSheetId="28">#REF!</definedName>
    <definedName name="_MT112">#REF!</definedName>
    <definedName name="_MT113" localSheetId="8">#REF!</definedName>
    <definedName name="_MT113" localSheetId="10">#REF!</definedName>
    <definedName name="_MT113" localSheetId="28">#REF!</definedName>
    <definedName name="_MT113">#REF!</definedName>
    <definedName name="_MT114" localSheetId="8">#REF!</definedName>
    <definedName name="_MT114" localSheetId="10">#REF!</definedName>
    <definedName name="_MT114" localSheetId="28">#REF!</definedName>
    <definedName name="_MT114">#REF!</definedName>
    <definedName name="_MT115" localSheetId="8">#REF!</definedName>
    <definedName name="_MT115" localSheetId="10">#REF!</definedName>
    <definedName name="_MT115" localSheetId="28">#REF!</definedName>
    <definedName name="_MT115">#REF!</definedName>
    <definedName name="_MT116" localSheetId="8">#REF!</definedName>
    <definedName name="_MT116" localSheetId="10">#REF!</definedName>
    <definedName name="_MT116" localSheetId="28">#REF!</definedName>
    <definedName name="_MT116">#REF!</definedName>
    <definedName name="_MT117" localSheetId="8">#REF!</definedName>
    <definedName name="_MT117" localSheetId="10">#REF!</definedName>
    <definedName name="_MT117" localSheetId="28">#REF!</definedName>
    <definedName name="_MT117">#REF!</definedName>
    <definedName name="_MT118" localSheetId="8">#REF!</definedName>
    <definedName name="_MT118" localSheetId="10">#REF!</definedName>
    <definedName name="_MT118" localSheetId="28">#REF!</definedName>
    <definedName name="_MT118">#REF!</definedName>
    <definedName name="_MT119" localSheetId="8">#REF!</definedName>
    <definedName name="_MT119" localSheetId="10">#REF!</definedName>
    <definedName name="_MT119" localSheetId="28">#REF!</definedName>
    <definedName name="_MT119">#REF!</definedName>
    <definedName name="_MT12" localSheetId="8">#REF!</definedName>
    <definedName name="_MT12" localSheetId="10">#REF!</definedName>
    <definedName name="_MT12" localSheetId="28">#REF!</definedName>
    <definedName name="_MT12">#REF!</definedName>
    <definedName name="_MT120" localSheetId="8">#REF!</definedName>
    <definedName name="_MT120" localSheetId="10">#REF!</definedName>
    <definedName name="_MT120" localSheetId="28">#REF!</definedName>
    <definedName name="_MT120">#REF!</definedName>
    <definedName name="_MT121" localSheetId="8">#REF!</definedName>
    <definedName name="_MT121" localSheetId="10">#REF!</definedName>
    <definedName name="_MT121" localSheetId="28">#REF!</definedName>
    <definedName name="_MT121">#REF!</definedName>
    <definedName name="_MT122" localSheetId="8">#REF!</definedName>
    <definedName name="_MT122" localSheetId="10">#REF!</definedName>
    <definedName name="_MT122" localSheetId="28">#REF!</definedName>
    <definedName name="_MT122">#REF!</definedName>
    <definedName name="_MT123" localSheetId="8">#REF!</definedName>
    <definedName name="_MT123" localSheetId="10">#REF!</definedName>
    <definedName name="_MT123" localSheetId="28">#REF!</definedName>
    <definedName name="_MT123">#REF!</definedName>
    <definedName name="_MT124" localSheetId="8">#REF!</definedName>
    <definedName name="_MT124" localSheetId="10">#REF!</definedName>
    <definedName name="_MT124" localSheetId="28">#REF!</definedName>
    <definedName name="_MT124">#REF!</definedName>
    <definedName name="_MT125" localSheetId="8">#REF!</definedName>
    <definedName name="_MT125" localSheetId="10">#REF!</definedName>
    <definedName name="_MT125" localSheetId="28">#REF!</definedName>
    <definedName name="_MT125">#REF!</definedName>
    <definedName name="_MT126" localSheetId="8">#REF!</definedName>
    <definedName name="_MT126" localSheetId="10">#REF!</definedName>
    <definedName name="_MT126" localSheetId="28">#REF!</definedName>
    <definedName name="_MT126">#REF!</definedName>
    <definedName name="_MT127" localSheetId="8">#REF!</definedName>
    <definedName name="_MT127" localSheetId="10">#REF!</definedName>
    <definedName name="_MT127" localSheetId="28">#REF!</definedName>
    <definedName name="_MT127">#REF!</definedName>
    <definedName name="_MT128" localSheetId="8">#REF!</definedName>
    <definedName name="_MT128" localSheetId="10">#REF!</definedName>
    <definedName name="_MT128" localSheetId="28">#REF!</definedName>
    <definedName name="_MT128">#REF!</definedName>
    <definedName name="_MT129" localSheetId="8">#REF!</definedName>
    <definedName name="_MT129" localSheetId="10">#REF!</definedName>
    <definedName name="_MT129" localSheetId="28">#REF!</definedName>
    <definedName name="_MT129">#REF!</definedName>
    <definedName name="_MT13" localSheetId="8">#REF!</definedName>
    <definedName name="_MT13" localSheetId="10">#REF!</definedName>
    <definedName name="_MT13" localSheetId="28">#REF!</definedName>
    <definedName name="_MT13">#REF!</definedName>
    <definedName name="_MT130" localSheetId="8">#REF!</definedName>
    <definedName name="_MT130" localSheetId="10">#REF!</definedName>
    <definedName name="_MT130" localSheetId="28">#REF!</definedName>
    <definedName name="_MT130">#REF!</definedName>
    <definedName name="_MT131" localSheetId="8">#REF!</definedName>
    <definedName name="_MT131" localSheetId="10">#REF!</definedName>
    <definedName name="_MT131" localSheetId="28">#REF!</definedName>
    <definedName name="_MT131">#REF!</definedName>
    <definedName name="_MT132" localSheetId="8">#REF!</definedName>
    <definedName name="_MT132" localSheetId="10">#REF!</definedName>
    <definedName name="_MT132" localSheetId="28">#REF!</definedName>
    <definedName name="_MT132">#REF!</definedName>
    <definedName name="_MT133" localSheetId="8">#REF!</definedName>
    <definedName name="_MT133" localSheetId="10">#REF!</definedName>
    <definedName name="_MT133" localSheetId="28">#REF!</definedName>
    <definedName name="_MT133">#REF!</definedName>
    <definedName name="_MT134" localSheetId="8">#REF!</definedName>
    <definedName name="_MT134" localSheetId="10">#REF!</definedName>
    <definedName name="_MT134" localSheetId="28">#REF!</definedName>
    <definedName name="_MT134">#REF!</definedName>
    <definedName name="_MT135" localSheetId="8">#REF!</definedName>
    <definedName name="_MT135" localSheetId="10">#REF!</definedName>
    <definedName name="_MT135" localSheetId="28">#REF!</definedName>
    <definedName name="_MT135">#REF!</definedName>
    <definedName name="_MT136" localSheetId="8">#REF!</definedName>
    <definedName name="_MT136" localSheetId="10">#REF!</definedName>
    <definedName name="_MT136" localSheetId="28">#REF!</definedName>
    <definedName name="_MT136">#REF!</definedName>
    <definedName name="_MT137" localSheetId="8">#REF!</definedName>
    <definedName name="_MT137" localSheetId="10">#REF!</definedName>
    <definedName name="_MT137" localSheetId="28">#REF!</definedName>
    <definedName name="_MT137">#REF!</definedName>
    <definedName name="_MT138" localSheetId="8">#REF!</definedName>
    <definedName name="_MT138" localSheetId="10">#REF!</definedName>
    <definedName name="_MT138" localSheetId="28">#REF!</definedName>
    <definedName name="_MT138">#REF!</definedName>
    <definedName name="_MT139" localSheetId="8">#REF!</definedName>
    <definedName name="_MT139" localSheetId="10">#REF!</definedName>
    <definedName name="_MT139" localSheetId="28">#REF!</definedName>
    <definedName name="_MT139">#REF!</definedName>
    <definedName name="_MT14" localSheetId="8">#REF!</definedName>
    <definedName name="_MT14" localSheetId="10">#REF!</definedName>
    <definedName name="_MT14" localSheetId="28">#REF!</definedName>
    <definedName name="_MT14">#REF!</definedName>
    <definedName name="_MT140" localSheetId="8">#REF!</definedName>
    <definedName name="_MT140" localSheetId="10">#REF!</definedName>
    <definedName name="_MT140" localSheetId="28">#REF!</definedName>
    <definedName name="_MT140">#REF!</definedName>
    <definedName name="_MT141" localSheetId="8">#REF!</definedName>
    <definedName name="_MT141" localSheetId="10">#REF!</definedName>
    <definedName name="_MT141" localSheetId="28">#REF!</definedName>
    <definedName name="_MT141">#REF!</definedName>
    <definedName name="_MT142" localSheetId="8">#REF!</definedName>
    <definedName name="_MT142" localSheetId="10">#REF!</definedName>
    <definedName name="_MT142" localSheetId="28">#REF!</definedName>
    <definedName name="_MT142">#REF!</definedName>
    <definedName name="_MT143" localSheetId="8">#REF!</definedName>
    <definedName name="_MT143" localSheetId="10">#REF!</definedName>
    <definedName name="_MT143" localSheetId="28">#REF!</definedName>
    <definedName name="_MT143">#REF!</definedName>
    <definedName name="_MT144" localSheetId="8">#REF!</definedName>
    <definedName name="_MT144" localSheetId="10">#REF!</definedName>
    <definedName name="_MT144" localSheetId="28">#REF!</definedName>
    <definedName name="_MT144">#REF!</definedName>
    <definedName name="_MT145" localSheetId="8">#REF!</definedName>
    <definedName name="_MT145" localSheetId="10">#REF!</definedName>
    <definedName name="_MT145" localSheetId="28">#REF!</definedName>
    <definedName name="_MT145">#REF!</definedName>
    <definedName name="_MT146" localSheetId="8">#REF!</definedName>
    <definedName name="_MT146" localSheetId="10">#REF!</definedName>
    <definedName name="_MT146" localSheetId="28">#REF!</definedName>
    <definedName name="_MT146">#REF!</definedName>
    <definedName name="_MT147" localSheetId="8">#REF!</definedName>
    <definedName name="_MT147" localSheetId="10">#REF!</definedName>
    <definedName name="_MT147" localSheetId="28">#REF!</definedName>
    <definedName name="_MT147">#REF!</definedName>
    <definedName name="_MT148" localSheetId="8">#REF!</definedName>
    <definedName name="_MT148" localSheetId="10">#REF!</definedName>
    <definedName name="_MT148" localSheetId="28">#REF!</definedName>
    <definedName name="_MT148">#REF!</definedName>
    <definedName name="_MT149" localSheetId="8">#REF!</definedName>
    <definedName name="_MT149" localSheetId="10">#REF!</definedName>
    <definedName name="_MT149" localSheetId="28">#REF!</definedName>
    <definedName name="_MT149">#REF!</definedName>
    <definedName name="_MT15" localSheetId="8">#REF!</definedName>
    <definedName name="_MT15" localSheetId="10">#REF!</definedName>
    <definedName name="_MT15" localSheetId="28">#REF!</definedName>
    <definedName name="_MT15">#REF!</definedName>
    <definedName name="_MT150" localSheetId="8">#REF!</definedName>
    <definedName name="_MT150" localSheetId="10">#REF!</definedName>
    <definedName name="_MT150" localSheetId="28">#REF!</definedName>
    <definedName name="_MT150">#REF!</definedName>
    <definedName name="_MT16" localSheetId="8">#REF!</definedName>
    <definedName name="_MT16" localSheetId="10">#REF!</definedName>
    <definedName name="_MT16" localSheetId="28">#REF!</definedName>
    <definedName name="_MT16">#REF!</definedName>
    <definedName name="_MT17" localSheetId="8">#REF!</definedName>
    <definedName name="_MT17" localSheetId="10">#REF!</definedName>
    <definedName name="_MT17" localSheetId="28">#REF!</definedName>
    <definedName name="_MT17">#REF!</definedName>
    <definedName name="_MT18" localSheetId="8">#REF!</definedName>
    <definedName name="_MT18" localSheetId="10">#REF!</definedName>
    <definedName name="_MT18" localSheetId="28">#REF!</definedName>
    <definedName name="_MT18">#REF!</definedName>
    <definedName name="_MT19" localSheetId="8">#REF!</definedName>
    <definedName name="_MT19" localSheetId="10">#REF!</definedName>
    <definedName name="_MT19" localSheetId="28">#REF!</definedName>
    <definedName name="_MT19">#REF!</definedName>
    <definedName name="_MT2" localSheetId="8">#REF!</definedName>
    <definedName name="_MT2" localSheetId="10">#REF!</definedName>
    <definedName name="_MT2" localSheetId="28">#REF!</definedName>
    <definedName name="_MT2">#REF!</definedName>
    <definedName name="_MT20" localSheetId="8">#REF!</definedName>
    <definedName name="_MT20" localSheetId="10">#REF!</definedName>
    <definedName name="_MT20" localSheetId="28">#REF!</definedName>
    <definedName name="_MT20">#REF!</definedName>
    <definedName name="_MT21" localSheetId="8">#REF!</definedName>
    <definedName name="_MT21" localSheetId="10">#REF!</definedName>
    <definedName name="_MT21" localSheetId="28">#REF!</definedName>
    <definedName name="_MT21">#REF!</definedName>
    <definedName name="_MT22" localSheetId="8">#REF!</definedName>
    <definedName name="_MT22" localSheetId="10">#REF!</definedName>
    <definedName name="_MT22" localSheetId="28">#REF!</definedName>
    <definedName name="_MT22">#REF!</definedName>
    <definedName name="_MT23" localSheetId="8">#REF!</definedName>
    <definedName name="_MT23" localSheetId="10">#REF!</definedName>
    <definedName name="_MT23" localSheetId="28">#REF!</definedName>
    <definedName name="_MT23">#REF!</definedName>
    <definedName name="_MT24" localSheetId="8">#REF!</definedName>
    <definedName name="_MT24" localSheetId="10">#REF!</definedName>
    <definedName name="_MT24" localSheetId="28">#REF!</definedName>
    <definedName name="_MT24">#REF!</definedName>
    <definedName name="_MT25" localSheetId="8">#REF!</definedName>
    <definedName name="_MT25" localSheetId="10">#REF!</definedName>
    <definedName name="_MT25" localSheetId="28">#REF!</definedName>
    <definedName name="_MT25">#REF!</definedName>
    <definedName name="_MT26" localSheetId="8">#REF!</definedName>
    <definedName name="_MT26" localSheetId="10">#REF!</definedName>
    <definedName name="_MT26" localSheetId="28">#REF!</definedName>
    <definedName name="_MT26">#REF!</definedName>
    <definedName name="_MT27" localSheetId="8">#REF!</definedName>
    <definedName name="_MT27" localSheetId="10">#REF!</definedName>
    <definedName name="_MT27" localSheetId="28">#REF!</definedName>
    <definedName name="_MT27">#REF!</definedName>
    <definedName name="_MT28" localSheetId="8">#REF!</definedName>
    <definedName name="_MT28" localSheetId="10">#REF!</definedName>
    <definedName name="_MT28" localSheetId="28">#REF!</definedName>
    <definedName name="_MT28">#REF!</definedName>
    <definedName name="_MT29" localSheetId="8">#REF!</definedName>
    <definedName name="_MT29" localSheetId="10">#REF!</definedName>
    <definedName name="_MT29" localSheetId="28">#REF!</definedName>
    <definedName name="_MT29">#REF!</definedName>
    <definedName name="_MT3" localSheetId="8">#REF!</definedName>
    <definedName name="_MT3" localSheetId="10">#REF!</definedName>
    <definedName name="_MT3" localSheetId="28">#REF!</definedName>
    <definedName name="_MT3">#REF!</definedName>
    <definedName name="_MT30" localSheetId="8">#REF!</definedName>
    <definedName name="_MT30" localSheetId="10">#REF!</definedName>
    <definedName name="_MT30" localSheetId="28">#REF!</definedName>
    <definedName name="_MT30">#REF!</definedName>
    <definedName name="_MT31" localSheetId="8">#REF!</definedName>
    <definedName name="_MT31" localSheetId="10">#REF!</definedName>
    <definedName name="_MT31" localSheetId="28">#REF!</definedName>
    <definedName name="_MT31">#REF!</definedName>
    <definedName name="_MT32" localSheetId="8">#REF!</definedName>
    <definedName name="_MT32" localSheetId="10">#REF!</definedName>
    <definedName name="_MT32" localSheetId="28">#REF!</definedName>
    <definedName name="_MT32">#REF!</definedName>
    <definedName name="_MT33" localSheetId="8">#REF!</definedName>
    <definedName name="_MT33" localSheetId="10">#REF!</definedName>
    <definedName name="_MT33" localSheetId="28">#REF!</definedName>
    <definedName name="_MT33">#REF!</definedName>
    <definedName name="_MT34" localSheetId="8">#REF!</definedName>
    <definedName name="_MT34" localSheetId="10">#REF!</definedName>
    <definedName name="_MT34" localSheetId="28">#REF!</definedName>
    <definedName name="_MT34">#REF!</definedName>
    <definedName name="_MT35" localSheetId="8">#REF!</definedName>
    <definedName name="_MT35" localSheetId="10">#REF!</definedName>
    <definedName name="_MT35" localSheetId="28">#REF!</definedName>
    <definedName name="_MT35">#REF!</definedName>
    <definedName name="_MT36" localSheetId="8">#REF!</definedName>
    <definedName name="_MT36" localSheetId="10">#REF!</definedName>
    <definedName name="_MT36" localSheetId="28">#REF!</definedName>
    <definedName name="_MT36">#REF!</definedName>
    <definedName name="_MT37" localSheetId="8">#REF!</definedName>
    <definedName name="_MT37" localSheetId="10">#REF!</definedName>
    <definedName name="_MT37" localSheetId="28">#REF!</definedName>
    <definedName name="_MT37">#REF!</definedName>
    <definedName name="_MT38" localSheetId="8">#REF!</definedName>
    <definedName name="_MT38" localSheetId="10">#REF!</definedName>
    <definedName name="_MT38" localSheetId="28">#REF!</definedName>
    <definedName name="_MT38">#REF!</definedName>
    <definedName name="_MT39" localSheetId="8">#REF!</definedName>
    <definedName name="_MT39" localSheetId="10">#REF!</definedName>
    <definedName name="_MT39" localSheetId="28">#REF!</definedName>
    <definedName name="_MT39">#REF!</definedName>
    <definedName name="_MT4" localSheetId="8">#REF!</definedName>
    <definedName name="_MT4" localSheetId="10">#REF!</definedName>
    <definedName name="_MT4" localSheetId="28">#REF!</definedName>
    <definedName name="_MT4">#REF!</definedName>
    <definedName name="_MT40" localSheetId="8">#REF!</definedName>
    <definedName name="_MT40" localSheetId="10">#REF!</definedName>
    <definedName name="_MT40" localSheetId="28">#REF!</definedName>
    <definedName name="_MT40">#REF!</definedName>
    <definedName name="_MT41" localSheetId="8">#REF!</definedName>
    <definedName name="_MT41" localSheetId="10">#REF!</definedName>
    <definedName name="_MT41" localSheetId="28">#REF!</definedName>
    <definedName name="_MT41">#REF!</definedName>
    <definedName name="_MT42" localSheetId="8">#REF!</definedName>
    <definedName name="_MT42" localSheetId="10">#REF!</definedName>
    <definedName name="_MT42" localSheetId="28">#REF!</definedName>
    <definedName name="_MT42">#REF!</definedName>
    <definedName name="_MT43" localSheetId="8">#REF!</definedName>
    <definedName name="_MT43" localSheetId="10">#REF!</definedName>
    <definedName name="_MT43" localSheetId="28">#REF!</definedName>
    <definedName name="_MT43">#REF!</definedName>
    <definedName name="_MT44" localSheetId="8">#REF!</definedName>
    <definedName name="_MT44" localSheetId="10">#REF!</definedName>
    <definedName name="_MT44" localSheetId="28">#REF!</definedName>
    <definedName name="_MT44">#REF!</definedName>
    <definedName name="_MT45" localSheetId="8">#REF!</definedName>
    <definedName name="_MT45" localSheetId="10">#REF!</definedName>
    <definedName name="_MT45" localSheetId="28">#REF!</definedName>
    <definedName name="_MT45">#REF!</definedName>
    <definedName name="_MT46" localSheetId="8">#REF!</definedName>
    <definedName name="_MT46" localSheetId="10">#REF!</definedName>
    <definedName name="_MT46" localSheetId="28">#REF!</definedName>
    <definedName name="_MT46">#REF!</definedName>
    <definedName name="_MT47" localSheetId="8">#REF!</definedName>
    <definedName name="_MT47" localSheetId="10">#REF!</definedName>
    <definedName name="_MT47" localSheetId="28">#REF!</definedName>
    <definedName name="_MT47">#REF!</definedName>
    <definedName name="_MT48" localSheetId="8">#REF!</definedName>
    <definedName name="_MT48" localSheetId="10">#REF!</definedName>
    <definedName name="_MT48" localSheetId="28">#REF!</definedName>
    <definedName name="_MT48">#REF!</definedName>
    <definedName name="_MT49" localSheetId="8">#REF!</definedName>
    <definedName name="_MT49" localSheetId="10">#REF!</definedName>
    <definedName name="_MT49" localSheetId="28">#REF!</definedName>
    <definedName name="_MT49">#REF!</definedName>
    <definedName name="_MT5" localSheetId="8">#REF!</definedName>
    <definedName name="_MT5" localSheetId="10">#REF!</definedName>
    <definedName name="_MT5" localSheetId="28">#REF!</definedName>
    <definedName name="_MT5">#REF!</definedName>
    <definedName name="_MT50" localSheetId="8">#REF!</definedName>
    <definedName name="_MT50" localSheetId="10">#REF!</definedName>
    <definedName name="_MT50" localSheetId="28">#REF!</definedName>
    <definedName name="_MT50">#REF!</definedName>
    <definedName name="_MT500" localSheetId="8">#REF!</definedName>
    <definedName name="_MT500" localSheetId="10">#REF!</definedName>
    <definedName name="_MT500" localSheetId="28">#REF!</definedName>
    <definedName name="_MT500">#REF!</definedName>
    <definedName name="_MT51" localSheetId="8">#REF!</definedName>
    <definedName name="_MT51" localSheetId="10">#REF!</definedName>
    <definedName name="_MT51" localSheetId="28">#REF!</definedName>
    <definedName name="_MT51">#REF!</definedName>
    <definedName name="_MT52" localSheetId="8">#REF!</definedName>
    <definedName name="_MT52" localSheetId="10">#REF!</definedName>
    <definedName name="_MT52" localSheetId="28">#REF!</definedName>
    <definedName name="_MT52">#REF!</definedName>
    <definedName name="_MT53" localSheetId="8">#REF!</definedName>
    <definedName name="_MT53" localSheetId="10">#REF!</definedName>
    <definedName name="_MT53" localSheetId="28">#REF!</definedName>
    <definedName name="_MT53">#REF!</definedName>
    <definedName name="_MT54" localSheetId="8">#REF!</definedName>
    <definedName name="_MT54" localSheetId="10">#REF!</definedName>
    <definedName name="_MT54" localSheetId="28">#REF!</definedName>
    <definedName name="_MT54">#REF!</definedName>
    <definedName name="_MT55" localSheetId="8">#REF!</definedName>
    <definedName name="_MT55" localSheetId="10">#REF!</definedName>
    <definedName name="_MT55" localSheetId="28">#REF!</definedName>
    <definedName name="_MT55">#REF!</definedName>
    <definedName name="_MT56" localSheetId="8">#REF!</definedName>
    <definedName name="_MT56" localSheetId="10">#REF!</definedName>
    <definedName name="_MT56" localSheetId="28">#REF!</definedName>
    <definedName name="_MT56">#REF!</definedName>
    <definedName name="_MT57" localSheetId="8">#REF!</definedName>
    <definedName name="_MT57" localSheetId="10">#REF!</definedName>
    <definedName name="_MT57" localSheetId="28">#REF!</definedName>
    <definedName name="_MT57">#REF!</definedName>
    <definedName name="_MT58" localSheetId="8">#REF!</definedName>
    <definedName name="_MT58" localSheetId="10">#REF!</definedName>
    <definedName name="_MT58" localSheetId="28">#REF!</definedName>
    <definedName name="_MT58">#REF!</definedName>
    <definedName name="_MT59" localSheetId="8">#REF!</definedName>
    <definedName name="_MT59" localSheetId="10">#REF!</definedName>
    <definedName name="_MT59" localSheetId="28">#REF!</definedName>
    <definedName name="_MT59">#REF!</definedName>
    <definedName name="_MT6" localSheetId="8">#REF!</definedName>
    <definedName name="_MT6" localSheetId="10">#REF!</definedName>
    <definedName name="_MT6" localSheetId="28">#REF!</definedName>
    <definedName name="_MT6">#REF!</definedName>
    <definedName name="_MT60" localSheetId="8">#REF!</definedName>
    <definedName name="_MT60" localSheetId="10">#REF!</definedName>
    <definedName name="_MT60" localSheetId="28">#REF!</definedName>
    <definedName name="_MT60">#REF!</definedName>
    <definedName name="_MT61" localSheetId="8">#REF!</definedName>
    <definedName name="_MT61" localSheetId="10">#REF!</definedName>
    <definedName name="_MT61" localSheetId="28">#REF!</definedName>
    <definedName name="_MT61">#REF!</definedName>
    <definedName name="_MT62" localSheetId="8">#REF!</definedName>
    <definedName name="_MT62" localSheetId="10">#REF!</definedName>
    <definedName name="_MT62" localSheetId="28">#REF!</definedName>
    <definedName name="_MT62">#REF!</definedName>
    <definedName name="_MT63" localSheetId="8">#REF!</definedName>
    <definedName name="_MT63" localSheetId="10">#REF!</definedName>
    <definedName name="_MT63" localSheetId="28">#REF!</definedName>
    <definedName name="_MT63">#REF!</definedName>
    <definedName name="_MT64" localSheetId="8">#REF!</definedName>
    <definedName name="_MT64" localSheetId="10">#REF!</definedName>
    <definedName name="_MT64" localSheetId="28">#REF!</definedName>
    <definedName name="_MT64">#REF!</definedName>
    <definedName name="_MT65" localSheetId="8">#REF!</definedName>
    <definedName name="_MT65" localSheetId="10">#REF!</definedName>
    <definedName name="_MT65" localSheetId="28">#REF!</definedName>
    <definedName name="_MT65">#REF!</definedName>
    <definedName name="_MT66" localSheetId="8">#REF!</definedName>
    <definedName name="_MT66" localSheetId="10">#REF!</definedName>
    <definedName name="_MT66" localSheetId="28">#REF!</definedName>
    <definedName name="_MT66">#REF!</definedName>
    <definedName name="_MT67" localSheetId="8">#REF!</definedName>
    <definedName name="_MT67" localSheetId="10">#REF!</definedName>
    <definedName name="_MT67" localSheetId="28">#REF!</definedName>
    <definedName name="_MT67">#REF!</definedName>
    <definedName name="_MT68" localSheetId="8">#REF!</definedName>
    <definedName name="_MT68" localSheetId="10">#REF!</definedName>
    <definedName name="_MT68" localSheetId="28">#REF!</definedName>
    <definedName name="_MT68">#REF!</definedName>
    <definedName name="_MT69" localSheetId="8">#REF!</definedName>
    <definedName name="_MT69" localSheetId="10">#REF!</definedName>
    <definedName name="_MT69" localSheetId="28">#REF!</definedName>
    <definedName name="_MT69">#REF!</definedName>
    <definedName name="_MT7" localSheetId="8">#REF!</definedName>
    <definedName name="_MT7" localSheetId="10">#REF!</definedName>
    <definedName name="_MT7" localSheetId="28">#REF!</definedName>
    <definedName name="_MT7">#REF!</definedName>
    <definedName name="_MT70" localSheetId="8">#REF!</definedName>
    <definedName name="_MT70" localSheetId="10">#REF!</definedName>
    <definedName name="_MT70" localSheetId="28">#REF!</definedName>
    <definedName name="_MT70">#REF!</definedName>
    <definedName name="_MT71" localSheetId="8">#REF!</definedName>
    <definedName name="_MT71" localSheetId="10">#REF!</definedName>
    <definedName name="_MT71" localSheetId="28">#REF!</definedName>
    <definedName name="_MT71">#REF!</definedName>
    <definedName name="_MT72" localSheetId="8">#REF!</definedName>
    <definedName name="_MT72" localSheetId="10">#REF!</definedName>
    <definedName name="_MT72" localSheetId="28">#REF!</definedName>
    <definedName name="_MT72">#REF!</definedName>
    <definedName name="_MT73" localSheetId="8">#REF!</definedName>
    <definedName name="_MT73" localSheetId="10">#REF!</definedName>
    <definedName name="_MT73" localSheetId="28">#REF!</definedName>
    <definedName name="_MT73">#REF!</definedName>
    <definedName name="_MT74" localSheetId="8">#REF!</definedName>
    <definedName name="_MT74" localSheetId="10">#REF!</definedName>
    <definedName name="_MT74" localSheetId="28">#REF!</definedName>
    <definedName name="_MT74">#REF!</definedName>
    <definedName name="_MT75" localSheetId="8">#REF!</definedName>
    <definedName name="_MT75" localSheetId="10">#REF!</definedName>
    <definedName name="_MT75" localSheetId="28">#REF!</definedName>
    <definedName name="_MT75">#REF!</definedName>
    <definedName name="_MT76" localSheetId="8">#REF!</definedName>
    <definedName name="_MT76" localSheetId="10">#REF!</definedName>
    <definedName name="_MT76" localSheetId="28">#REF!</definedName>
    <definedName name="_MT76">#REF!</definedName>
    <definedName name="_MT77" localSheetId="8">#REF!</definedName>
    <definedName name="_MT77" localSheetId="10">#REF!</definedName>
    <definedName name="_MT77" localSheetId="28">#REF!</definedName>
    <definedName name="_MT77">#REF!</definedName>
    <definedName name="_MT78" localSheetId="8">#REF!</definedName>
    <definedName name="_MT78" localSheetId="10">#REF!</definedName>
    <definedName name="_MT78" localSheetId="28">#REF!</definedName>
    <definedName name="_MT78">#REF!</definedName>
    <definedName name="_MT79" localSheetId="8">#REF!</definedName>
    <definedName name="_MT79" localSheetId="10">#REF!</definedName>
    <definedName name="_MT79" localSheetId="28">#REF!</definedName>
    <definedName name="_MT79">#REF!</definedName>
    <definedName name="_MT8" localSheetId="8">#REF!</definedName>
    <definedName name="_MT8" localSheetId="10">#REF!</definedName>
    <definedName name="_MT8" localSheetId="28">#REF!</definedName>
    <definedName name="_MT8">#REF!</definedName>
    <definedName name="_MT80" localSheetId="8">#REF!</definedName>
    <definedName name="_MT80" localSheetId="10">#REF!</definedName>
    <definedName name="_MT80" localSheetId="28">#REF!</definedName>
    <definedName name="_MT80">#REF!</definedName>
    <definedName name="_MT81" localSheetId="8">#REF!</definedName>
    <definedName name="_MT81" localSheetId="10">#REF!</definedName>
    <definedName name="_MT81" localSheetId="28">#REF!</definedName>
    <definedName name="_MT81">#REF!</definedName>
    <definedName name="_MT82" localSheetId="8">#REF!</definedName>
    <definedName name="_MT82" localSheetId="10">#REF!</definedName>
    <definedName name="_MT82" localSheetId="28">#REF!</definedName>
    <definedName name="_MT82">#REF!</definedName>
    <definedName name="_MT83" localSheetId="8">#REF!</definedName>
    <definedName name="_MT83" localSheetId="10">#REF!</definedName>
    <definedName name="_MT83" localSheetId="28">#REF!</definedName>
    <definedName name="_MT83">#REF!</definedName>
    <definedName name="_MT84" localSheetId="8">#REF!</definedName>
    <definedName name="_MT84" localSheetId="10">#REF!</definedName>
    <definedName name="_MT84" localSheetId="28">#REF!</definedName>
    <definedName name="_MT84">#REF!</definedName>
    <definedName name="_MT85" localSheetId="8">#REF!</definedName>
    <definedName name="_MT85" localSheetId="10">#REF!</definedName>
    <definedName name="_MT85" localSheetId="28">#REF!</definedName>
    <definedName name="_MT85">#REF!</definedName>
    <definedName name="_MT86" localSheetId="8">#REF!</definedName>
    <definedName name="_MT86" localSheetId="10">#REF!</definedName>
    <definedName name="_MT86" localSheetId="28">#REF!</definedName>
    <definedName name="_MT86">#REF!</definedName>
    <definedName name="_MT87" localSheetId="8">#REF!</definedName>
    <definedName name="_MT87" localSheetId="10">#REF!</definedName>
    <definedName name="_MT87" localSheetId="28">#REF!</definedName>
    <definedName name="_MT87">#REF!</definedName>
    <definedName name="_MT88" localSheetId="8">#REF!</definedName>
    <definedName name="_MT88" localSheetId="10">#REF!</definedName>
    <definedName name="_MT88" localSheetId="28">#REF!</definedName>
    <definedName name="_MT88">#REF!</definedName>
    <definedName name="_MT89" localSheetId="8">#REF!</definedName>
    <definedName name="_MT89" localSheetId="10">#REF!</definedName>
    <definedName name="_MT89" localSheetId="28">#REF!</definedName>
    <definedName name="_MT89">#REF!</definedName>
    <definedName name="_MT9" localSheetId="8">#REF!</definedName>
    <definedName name="_MT9" localSheetId="10">#REF!</definedName>
    <definedName name="_MT9" localSheetId="28">#REF!</definedName>
    <definedName name="_MT9">#REF!</definedName>
    <definedName name="_MT90" localSheetId="8">#REF!</definedName>
    <definedName name="_MT90" localSheetId="10">#REF!</definedName>
    <definedName name="_MT90" localSheetId="28">#REF!</definedName>
    <definedName name="_MT90">#REF!</definedName>
    <definedName name="_MT91" localSheetId="8">#REF!</definedName>
    <definedName name="_MT91" localSheetId="10">#REF!</definedName>
    <definedName name="_MT91" localSheetId="28">#REF!</definedName>
    <definedName name="_MT91">#REF!</definedName>
    <definedName name="_MT92" localSheetId="8">#REF!</definedName>
    <definedName name="_MT92" localSheetId="10">#REF!</definedName>
    <definedName name="_MT92" localSheetId="28">#REF!</definedName>
    <definedName name="_MT92">#REF!</definedName>
    <definedName name="_MT93" localSheetId="8">#REF!</definedName>
    <definedName name="_MT93" localSheetId="10">#REF!</definedName>
    <definedName name="_MT93" localSheetId="28">#REF!</definedName>
    <definedName name="_MT93">#REF!</definedName>
    <definedName name="_MT94" localSheetId="8">#REF!</definedName>
    <definedName name="_MT94" localSheetId="10">#REF!</definedName>
    <definedName name="_MT94" localSheetId="28">#REF!</definedName>
    <definedName name="_MT94">#REF!</definedName>
    <definedName name="_MT95" localSheetId="8">#REF!</definedName>
    <definedName name="_MT95" localSheetId="10">#REF!</definedName>
    <definedName name="_MT95" localSheetId="28">#REF!</definedName>
    <definedName name="_MT95">#REF!</definedName>
    <definedName name="_MT96" localSheetId="8">#REF!</definedName>
    <definedName name="_MT96" localSheetId="10">#REF!</definedName>
    <definedName name="_MT96" localSheetId="28">#REF!</definedName>
    <definedName name="_MT96">#REF!</definedName>
    <definedName name="_MT97" localSheetId="8">#REF!</definedName>
    <definedName name="_MT97" localSheetId="10">#REF!</definedName>
    <definedName name="_MT97" localSheetId="28">#REF!</definedName>
    <definedName name="_MT97">#REF!</definedName>
    <definedName name="_MT98" localSheetId="8">#REF!</definedName>
    <definedName name="_MT98" localSheetId="10">#REF!</definedName>
    <definedName name="_MT98" localSheetId="28">#REF!</definedName>
    <definedName name="_MT98">#REF!</definedName>
    <definedName name="_MT99" localSheetId="8">#REF!</definedName>
    <definedName name="_MT99" localSheetId="10">#REF!</definedName>
    <definedName name="_MT99" localSheetId="28">#REF!</definedName>
    <definedName name="_MT99">#REF!</definedName>
    <definedName name="_O10" localSheetId="33">#REF!</definedName>
    <definedName name="_O10" localSheetId="34">#REF!</definedName>
    <definedName name="_O10" localSheetId="5">#REF!</definedName>
    <definedName name="_O10" localSheetId="8">#REF!</definedName>
    <definedName name="_O10" localSheetId="10">#REF!</definedName>
    <definedName name="_O10" localSheetId="11">#REF!</definedName>
    <definedName name="_O10" localSheetId="37">#REF!</definedName>
    <definedName name="_O10" localSheetId="28">#REF!</definedName>
    <definedName name="_O10" localSheetId="42">#REF!</definedName>
    <definedName name="_O10">#REF!</definedName>
    <definedName name="_O10_33">"$#REF!.$#REF!$#REF!"</definedName>
    <definedName name="_O100" localSheetId="33">#REF!</definedName>
    <definedName name="_O100" localSheetId="34">#REF!</definedName>
    <definedName name="_O100" localSheetId="5">#REF!</definedName>
    <definedName name="_O100" localSheetId="8">#REF!</definedName>
    <definedName name="_O100" localSheetId="10">#REF!</definedName>
    <definedName name="_O100" localSheetId="11">#REF!</definedName>
    <definedName name="_O100" localSheetId="37">#REF!</definedName>
    <definedName name="_O100" localSheetId="28">#REF!</definedName>
    <definedName name="_O100" localSheetId="42">#REF!</definedName>
    <definedName name="_O100">#REF!</definedName>
    <definedName name="_O100_33">"$#REF!.$#REF!$#REF!"</definedName>
    <definedName name="_O12" localSheetId="33">#REF!</definedName>
    <definedName name="_O12" localSheetId="34">#REF!</definedName>
    <definedName name="_O12" localSheetId="5">#REF!</definedName>
    <definedName name="_O12" localSheetId="8">#REF!</definedName>
    <definedName name="_O12" localSheetId="10">#REF!</definedName>
    <definedName name="_O12" localSheetId="11">#REF!</definedName>
    <definedName name="_O12" localSheetId="37">#REF!</definedName>
    <definedName name="_O12" localSheetId="28">#REF!</definedName>
    <definedName name="_O12" localSheetId="42">#REF!</definedName>
    <definedName name="_O12">#REF!</definedName>
    <definedName name="_O12_33">"$#REF!.$#REF!$#REF!"</definedName>
    <definedName name="_O150" localSheetId="33">#REF!</definedName>
    <definedName name="_O150" localSheetId="34">#REF!</definedName>
    <definedName name="_O150" localSheetId="5">#REF!</definedName>
    <definedName name="_O150" localSheetId="8">#REF!</definedName>
    <definedName name="_O150" localSheetId="10">#REF!</definedName>
    <definedName name="_O150" localSheetId="11">#REF!</definedName>
    <definedName name="_O150" localSheetId="37">#REF!</definedName>
    <definedName name="_O150" localSheetId="28">#REF!</definedName>
    <definedName name="_O150" localSheetId="42">#REF!</definedName>
    <definedName name="_O150">#REF!</definedName>
    <definedName name="_O150_33">"$#REF!.$#REF!$#REF!"</definedName>
    <definedName name="_O20" localSheetId="33">#REF!</definedName>
    <definedName name="_O20" localSheetId="34">#REF!</definedName>
    <definedName name="_O20" localSheetId="5">#REF!</definedName>
    <definedName name="_O20" localSheetId="8">#REF!</definedName>
    <definedName name="_O20" localSheetId="10">#REF!</definedName>
    <definedName name="_O20" localSheetId="11">#REF!</definedName>
    <definedName name="_O20" localSheetId="37">#REF!</definedName>
    <definedName name="_O20" localSheetId="28">#REF!</definedName>
    <definedName name="_O20" localSheetId="42">#REF!</definedName>
    <definedName name="_O20">#REF!</definedName>
    <definedName name="_O20_33">"$#REF!.$#REF!$#REF!"</definedName>
    <definedName name="_o3">#REF!</definedName>
    <definedName name="_O300" localSheetId="33">#REF!</definedName>
    <definedName name="_O300" localSheetId="34">#REF!</definedName>
    <definedName name="_O300" localSheetId="5">#REF!</definedName>
    <definedName name="_O300" localSheetId="8">#REF!</definedName>
    <definedName name="_O300" localSheetId="10">#REF!</definedName>
    <definedName name="_O300" localSheetId="11">#REF!</definedName>
    <definedName name="_O300" localSheetId="37">#REF!</definedName>
    <definedName name="_O300" localSheetId="28">#REF!</definedName>
    <definedName name="_O300" localSheetId="42">#REF!</definedName>
    <definedName name="_O300">#REF!</definedName>
    <definedName name="_O300_33">"$#REF!.$#REF!$#REF!"</definedName>
    <definedName name="_O45" localSheetId="33">#REF!</definedName>
    <definedName name="_O45" localSheetId="34">#REF!</definedName>
    <definedName name="_O45" localSheetId="5">#REF!</definedName>
    <definedName name="_O45" localSheetId="8">#REF!</definedName>
    <definedName name="_O45" localSheetId="10">#REF!</definedName>
    <definedName name="_O45" localSheetId="11">#REF!</definedName>
    <definedName name="_O45" localSheetId="37">#REF!</definedName>
    <definedName name="_O45" localSheetId="28">#REF!</definedName>
    <definedName name="_O45" localSheetId="42">#REF!</definedName>
    <definedName name="_O45">#REF!</definedName>
    <definedName name="_O45_33">"$#REF!.$#REF!$#REF!"</definedName>
    <definedName name="_O450" localSheetId="33">#REF!</definedName>
    <definedName name="_O450" localSheetId="34">#REF!</definedName>
    <definedName name="_O450" localSheetId="5">#REF!</definedName>
    <definedName name="_O450" localSheetId="8">#REF!</definedName>
    <definedName name="_O450" localSheetId="10">#REF!</definedName>
    <definedName name="_O450" localSheetId="11">#REF!</definedName>
    <definedName name="_O450" localSheetId="37">#REF!</definedName>
    <definedName name="_O450" localSheetId="28">#REF!</definedName>
    <definedName name="_O450" localSheetId="42">#REF!</definedName>
    <definedName name="_O450">#REF!</definedName>
    <definedName name="_O450_33">"$#REF!.$#REF!$#REF!"</definedName>
    <definedName name="_O55" localSheetId="33">#REF!</definedName>
    <definedName name="_O55" localSheetId="34">#REF!</definedName>
    <definedName name="_O55" localSheetId="5">#REF!</definedName>
    <definedName name="_O55" localSheetId="8">#REF!</definedName>
    <definedName name="_O55" localSheetId="10">#REF!</definedName>
    <definedName name="_O55" localSheetId="11">#REF!</definedName>
    <definedName name="_O55" localSheetId="37">#REF!</definedName>
    <definedName name="_O55" localSheetId="28">#REF!</definedName>
    <definedName name="_O55" localSheetId="42">#REF!</definedName>
    <definedName name="_O55">#REF!</definedName>
    <definedName name="_O55_33">"$#REF!.$#REF!$#REF!"</definedName>
    <definedName name="_O65" localSheetId="33">#REF!</definedName>
    <definedName name="_O65" localSheetId="34">#REF!</definedName>
    <definedName name="_O65" localSheetId="5">#REF!</definedName>
    <definedName name="_O65" localSheetId="8">#REF!</definedName>
    <definedName name="_O65" localSheetId="10">#REF!</definedName>
    <definedName name="_O65" localSheetId="11">#REF!</definedName>
    <definedName name="_O65" localSheetId="37">#REF!</definedName>
    <definedName name="_O65" localSheetId="28">#REF!</definedName>
    <definedName name="_O65" localSheetId="42">#REF!</definedName>
    <definedName name="_O65">#REF!</definedName>
    <definedName name="_O65_33">"$#REF!.$#REF!$#REF!"</definedName>
    <definedName name="_O75" localSheetId="33">#REF!</definedName>
    <definedName name="_O75" localSheetId="34">#REF!</definedName>
    <definedName name="_O75" localSheetId="5">#REF!</definedName>
    <definedName name="_O75" localSheetId="8">#REF!</definedName>
    <definedName name="_O75" localSheetId="10">#REF!</definedName>
    <definedName name="_O75" localSheetId="11">#REF!</definedName>
    <definedName name="_O75" localSheetId="37">#REF!</definedName>
    <definedName name="_O75" localSheetId="28">#REF!</definedName>
    <definedName name="_O75" localSheetId="42">#REF!</definedName>
    <definedName name="_O75">#REF!</definedName>
    <definedName name="_O75_33">"$#REF!.$#REF!$#REF!"</definedName>
    <definedName name="_od1" localSheetId="8">#REF!</definedName>
    <definedName name="_od1" localSheetId="10">#REF!</definedName>
    <definedName name="_od1" localSheetId="11">#REF!</definedName>
    <definedName name="_od1" localSheetId="28">#REF!</definedName>
    <definedName name="_od1">#REF!</definedName>
    <definedName name="_OQUA" localSheetId="33">#REF!</definedName>
    <definedName name="_OQUA" localSheetId="34">#REF!</definedName>
    <definedName name="_OQUA" localSheetId="5">#REF!</definedName>
    <definedName name="_OQUA" localSheetId="8">#REF!</definedName>
    <definedName name="_OQUA" localSheetId="10">#REF!</definedName>
    <definedName name="_OQUA" localSheetId="11">#REF!</definedName>
    <definedName name="_OQUA" localSheetId="37">#REF!</definedName>
    <definedName name="_OQUA" localSheetId="28">#REF!</definedName>
    <definedName name="_OQUA" localSheetId="42">#REF!</definedName>
    <definedName name="_OQUA">#REF!</definedName>
    <definedName name="_OQUA_33">"$#REF!.$#REF!$#REF!"</definedName>
    <definedName name="_Order1" hidden="1">255</definedName>
    <definedName name="_Order2" hidden="1">255</definedName>
    <definedName name="_p5" localSheetId="8">#REF!</definedName>
    <definedName name="_p5" localSheetId="10">#REF!</definedName>
    <definedName name="_p5" localSheetId="28">#REF!</definedName>
    <definedName name="_p5">#REF!</definedName>
    <definedName name="_pc02" localSheetId="28">#REF!</definedName>
    <definedName name="_pc02">#REF!</definedName>
    <definedName name="_PC1" localSheetId="28">#REF!</definedName>
    <definedName name="_PC10">#REF!</definedName>
    <definedName name="_PC11">#REF!</definedName>
    <definedName name="_PC12">#REF!</definedName>
    <definedName name="_PC13">#REF!</definedName>
    <definedName name="_PC14">#REF!</definedName>
    <definedName name="_PC15">#REF!</definedName>
    <definedName name="_PC16">#REF!</definedName>
    <definedName name="_PC17">#REF!</definedName>
    <definedName name="_PC18">#REF!</definedName>
    <definedName name="_PC19">#REF!</definedName>
    <definedName name="_pc2" localSheetId="33">#REF!</definedName>
    <definedName name="_pc2" localSheetId="34">#REF!</definedName>
    <definedName name="_pc2" localSheetId="35">#REF!</definedName>
    <definedName name="_pc2" localSheetId="5">#REF!</definedName>
    <definedName name="_pc2" localSheetId="8">#REF!</definedName>
    <definedName name="_pc2" localSheetId="10">#REF!</definedName>
    <definedName name="_pc2" localSheetId="11">#REF!</definedName>
    <definedName name="_pc2" localSheetId="37">#REF!</definedName>
    <definedName name="_pc2" localSheetId="28">#REF!</definedName>
    <definedName name="_pc2" localSheetId="42">#REF!</definedName>
    <definedName name="_pc2" localSheetId="31">#REF!</definedName>
    <definedName name="_pc2">#REF!</definedName>
    <definedName name="_pc2_23">"$#REF!.$#REF!$#REF!"</definedName>
    <definedName name="_pc2_32">"$#REF!.$#REF!$#REF!"</definedName>
    <definedName name="_pc2_33">"$#REF!.$#REF!$#REF!"</definedName>
    <definedName name="_pc2_34">"$#REF!.$#REF!$#REF!"</definedName>
    <definedName name="_pc2_38">"$#REF!.$#REF!$#REF!"</definedName>
    <definedName name="_pc2_41">"$#REF!.$#REF!$#REF!"</definedName>
    <definedName name="_pc2_43">"$#REF!.$#REF!$#REF!"</definedName>
    <definedName name="_pc2_48">"$#REF!.$#REF!$#REF!"</definedName>
    <definedName name="_pc2_56">"$#REF!.$#REF!$#REF!"</definedName>
    <definedName name="_pc2_57">"$#REF!.$#REF!$#REF!"</definedName>
    <definedName name="_pc2_59">"$#REF!.$#REF!$#REF!"</definedName>
    <definedName name="_pc2_60">"$#REF!.$#REF!$#REF!"</definedName>
    <definedName name="_pc2_61">"$#REF!.$#REF!$#REF!"</definedName>
    <definedName name="_pc2_62">"$#REF!.$#REF!$#REF!"</definedName>
    <definedName name="_pc2_7">"$#REF!.$#REF!$#REF!"</definedName>
    <definedName name="_pc2_72">"$#REF!.$#REF!$#REF!"</definedName>
    <definedName name="_pc2_73">"$#REF!.$#REF!$#REF!"</definedName>
    <definedName name="_pc2_8">"$#REF!.$#REF!$#REF!"</definedName>
    <definedName name="_PC20">#REF!</definedName>
    <definedName name="_PC21">#REF!</definedName>
    <definedName name="_PC22">#REF!</definedName>
    <definedName name="_PC23">#REF!</definedName>
    <definedName name="_PC24">#REF!</definedName>
    <definedName name="_PC3">#REF!</definedName>
    <definedName name="_PC4">#REF!</definedName>
    <definedName name="_PC5">#REF!</definedName>
    <definedName name="_PC6">#REF!</definedName>
    <definedName name="_pc600">#REF!</definedName>
    <definedName name="_PC7">#REF!</definedName>
    <definedName name="_PC8">#REF!</definedName>
    <definedName name="_PC9">#REF!</definedName>
    <definedName name="_pc900">#REF!</definedName>
    <definedName name="_pi1">#REF!</definedName>
    <definedName name="_PMS2" localSheetId="8">#REF!</definedName>
    <definedName name="_PMS2" localSheetId="10">#REF!</definedName>
    <definedName name="_PMS2" localSheetId="28">#REF!</definedName>
    <definedName name="_PMS2">#REF!</definedName>
    <definedName name="_PPA14" localSheetId="8">#REF!</definedName>
    <definedName name="_PPA14" localSheetId="10">#REF!</definedName>
    <definedName name="_PPA14" localSheetId="28">#REF!</definedName>
    <definedName name="_PPA14">#REF!</definedName>
    <definedName name="_PPB154" localSheetId="8">#REF!</definedName>
    <definedName name="_PPB154" localSheetId="10">#REF!</definedName>
    <definedName name="_PPB154" localSheetId="28">#REF!</definedName>
    <definedName name="_PPB154">#REF!</definedName>
    <definedName name="_PPB155" localSheetId="8">#REF!</definedName>
    <definedName name="_PPB155" localSheetId="10">#REF!</definedName>
    <definedName name="_PPB155" localSheetId="28">#REF!</definedName>
    <definedName name="_PPB155">#REF!</definedName>
    <definedName name="_PPB16" localSheetId="8">#REF!</definedName>
    <definedName name="_PPB16" localSheetId="10">#REF!</definedName>
    <definedName name="_PPB16" localSheetId="28">#REF!</definedName>
    <definedName name="_PPB16">#REF!</definedName>
    <definedName name="_PPB17" localSheetId="8">#REF!</definedName>
    <definedName name="_PPB17" localSheetId="10">#REF!</definedName>
    <definedName name="_PPB17" localSheetId="28">#REF!</definedName>
    <definedName name="_PPB17">#REF!</definedName>
    <definedName name="_PPB18" localSheetId="8">#REF!</definedName>
    <definedName name="_PPB18" localSheetId="10">#REF!</definedName>
    <definedName name="_PPB18" localSheetId="28">#REF!</definedName>
    <definedName name="_PPB18">#REF!</definedName>
    <definedName name="_PPB19" localSheetId="8">#REF!</definedName>
    <definedName name="_PPB19" localSheetId="10">#REF!</definedName>
    <definedName name="_PPB19" localSheetId="28">#REF!</definedName>
    <definedName name="_PPB19">#REF!</definedName>
    <definedName name="_PPB2" localSheetId="8">#REF!</definedName>
    <definedName name="_PPB2" localSheetId="10">#REF!</definedName>
    <definedName name="_PPB2" localSheetId="28">#REF!</definedName>
    <definedName name="_PPB2">#REF!</definedName>
    <definedName name="_PPB20" localSheetId="8">#REF!</definedName>
    <definedName name="_PPB20" localSheetId="10">#REF!</definedName>
    <definedName name="_PPB20" localSheetId="28">#REF!</definedName>
    <definedName name="_PPB20">#REF!</definedName>
    <definedName name="_PPB21" localSheetId="8">#REF!</definedName>
    <definedName name="_PPB21" localSheetId="10">#REF!</definedName>
    <definedName name="_PPB21" localSheetId="28">#REF!</definedName>
    <definedName name="_PPB21">#REF!</definedName>
    <definedName name="_PPB22" localSheetId="8">#REF!</definedName>
    <definedName name="_PPB22" localSheetId="10">#REF!</definedName>
    <definedName name="_PPB22" localSheetId="28">#REF!</definedName>
    <definedName name="_PPB22">#REF!</definedName>
    <definedName name="_PPB23" localSheetId="8">#REF!</definedName>
    <definedName name="_PPB23" localSheetId="10">#REF!</definedName>
    <definedName name="_PPB23" localSheetId="28">#REF!</definedName>
    <definedName name="_PPB23">#REF!</definedName>
    <definedName name="_PPB24" localSheetId="8">#REF!</definedName>
    <definedName name="_PPB24" localSheetId="10">#REF!</definedName>
    <definedName name="_PPB24" localSheetId="28">#REF!</definedName>
    <definedName name="_PPB24">#REF!</definedName>
    <definedName name="_PPB25" localSheetId="8">#REF!</definedName>
    <definedName name="_PPB25" localSheetId="10">#REF!</definedName>
    <definedName name="_PPB25" localSheetId="28">#REF!</definedName>
    <definedName name="_PPB25">#REF!</definedName>
    <definedName name="_PPB26" localSheetId="8">#REF!</definedName>
    <definedName name="_PPB26" localSheetId="10">#REF!</definedName>
    <definedName name="_PPB26" localSheetId="28">#REF!</definedName>
    <definedName name="_PPB26">#REF!</definedName>
    <definedName name="_PPB27" localSheetId="8">#REF!</definedName>
    <definedName name="_PPB27" localSheetId="10">#REF!</definedName>
    <definedName name="_PPB27" localSheetId="28">#REF!</definedName>
    <definedName name="_PPB27">#REF!</definedName>
    <definedName name="_PPB28" localSheetId="8">#REF!</definedName>
    <definedName name="_PPB28" localSheetId="10">#REF!</definedName>
    <definedName name="_PPB28" localSheetId="28">#REF!</definedName>
    <definedName name="_PPB28">#REF!</definedName>
    <definedName name="_PPB29" localSheetId="8">#REF!</definedName>
    <definedName name="_PPB29" localSheetId="10">#REF!</definedName>
    <definedName name="_PPB29" localSheetId="28">#REF!</definedName>
    <definedName name="_PPB29">#REF!</definedName>
    <definedName name="_PPB3" localSheetId="8">#REF!</definedName>
    <definedName name="_PPB3" localSheetId="10">#REF!</definedName>
    <definedName name="_PPB3" localSheetId="28">#REF!</definedName>
    <definedName name="_PPB3">#REF!</definedName>
    <definedName name="_PPB30" localSheetId="8">#REF!</definedName>
    <definedName name="_PPB30" localSheetId="10">#REF!</definedName>
    <definedName name="_PPB30" localSheetId="28">#REF!</definedName>
    <definedName name="_PPB30">#REF!</definedName>
    <definedName name="_PPB31" localSheetId="8">#REF!</definedName>
    <definedName name="_PPB31" localSheetId="10">#REF!</definedName>
    <definedName name="_PPB31" localSheetId="28">#REF!</definedName>
    <definedName name="_PPB31">#REF!</definedName>
    <definedName name="_PPB32" localSheetId="8">#REF!</definedName>
    <definedName name="_PPB32" localSheetId="10">#REF!</definedName>
    <definedName name="_PPB32" localSheetId="28">#REF!</definedName>
    <definedName name="_PPB32">#REF!</definedName>
    <definedName name="_PPB33" localSheetId="8">#REF!</definedName>
    <definedName name="_PPB33" localSheetId="10">#REF!</definedName>
    <definedName name="_PPB33" localSheetId="28">#REF!</definedName>
    <definedName name="_PPB33">#REF!</definedName>
    <definedName name="_PPB34" localSheetId="8">#REF!</definedName>
    <definedName name="_PPB34" localSheetId="10">#REF!</definedName>
    <definedName name="_PPB34" localSheetId="28">#REF!</definedName>
    <definedName name="_PPB34">#REF!</definedName>
    <definedName name="_PPB35" localSheetId="8">#REF!</definedName>
    <definedName name="_PPB35" localSheetId="10">#REF!</definedName>
    <definedName name="_PPB35" localSheetId="28">#REF!</definedName>
    <definedName name="_PPB35">#REF!</definedName>
    <definedName name="_PPB36" localSheetId="8">#REF!</definedName>
    <definedName name="_PPB36" localSheetId="10">#REF!</definedName>
    <definedName name="_PPB36" localSheetId="28">#REF!</definedName>
    <definedName name="_PPB36">#REF!</definedName>
    <definedName name="_PPB37" localSheetId="8">#REF!</definedName>
    <definedName name="_PPB37" localSheetId="10">#REF!</definedName>
    <definedName name="_PPB37" localSheetId="28">#REF!</definedName>
    <definedName name="_PPB37">#REF!</definedName>
    <definedName name="_PPB38" localSheetId="8">#REF!</definedName>
    <definedName name="_PPB38" localSheetId="10">#REF!</definedName>
    <definedName name="_PPB38" localSheetId="28">#REF!</definedName>
    <definedName name="_PPB38">#REF!</definedName>
    <definedName name="_PPB39" localSheetId="8">#REF!</definedName>
    <definedName name="_PPB39" localSheetId="10">#REF!</definedName>
    <definedName name="_PPB39" localSheetId="28">#REF!</definedName>
    <definedName name="_PPB39">#REF!</definedName>
    <definedName name="_PPB4" localSheetId="8">#REF!</definedName>
    <definedName name="_PPB4" localSheetId="10">#REF!</definedName>
    <definedName name="_PPB4" localSheetId="28">#REF!</definedName>
    <definedName name="_PPB4">#REF!</definedName>
    <definedName name="_PPB40" localSheetId="8">#REF!</definedName>
    <definedName name="_PPB40" localSheetId="10">#REF!</definedName>
    <definedName name="_PPB40" localSheetId="28">#REF!</definedName>
    <definedName name="_PPB40">#REF!</definedName>
    <definedName name="_PPB41" localSheetId="8">#REF!</definedName>
    <definedName name="_PPB41" localSheetId="10">#REF!</definedName>
    <definedName name="_PPB41" localSheetId="28">#REF!</definedName>
    <definedName name="_PPB41">#REF!</definedName>
    <definedName name="_PPB42" localSheetId="8">#REF!</definedName>
    <definedName name="_PPB42" localSheetId="10">#REF!</definedName>
    <definedName name="_PPB42" localSheetId="28">#REF!</definedName>
    <definedName name="_PPB42">#REF!</definedName>
    <definedName name="_PPB43" localSheetId="8">#REF!</definedName>
    <definedName name="_PPB43" localSheetId="10">#REF!</definedName>
    <definedName name="_PPB43" localSheetId="28">#REF!</definedName>
    <definedName name="_PPB43">#REF!</definedName>
    <definedName name="_PPB44" localSheetId="8">#REF!</definedName>
    <definedName name="_PPB44" localSheetId="10">#REF!</definedName>
    <definedName name="_PPB44" localSheetId="28">#REF!</definedName>
    <definedName name="_PPB44">#REF!</definedName>
    <definedName name="_PPB45" localSheetId="8">#REF!</definedName>
    <definedName name="_PPB45" localSheetId="10">#REF!</definedName>
    <definedName name="_PPB45" localSheetId="28">#REF!</definedName>
    <definedName name="_PPB45">#REF!</definedName>
    <definedName name="_PPB46" localSheetId="8">#REF!</definedName>
    <definedName name="_PPB46" localSheetId="10">#REF!</definedName>
    <definedName name="_PPB46" localSheetId="28">#REF!</definedName>
    <definedName name="_PPB46">#REF!</definedName>
    <definedName name="_PPB47" localSheetId="8">#REF!</definedName>
    <definedName name="_PPB47" localSheetId="10">#REF!</definedName>
    <definedName name="_PPB47" localSheetId="28">#REF!</definedName>
    <definedName name="_PPB47">#REF!</definedName>
    <definedName name="_PPB48" localSheetId="8">#REF!</definedName>
    <definedName name="_PPB48" localSheetId="10">#REF!</definedName>
    <definedName name="_PPB48" localSheetId="28">#REF!</definedName>
    <definedName name="_PPB48">#REF!</definedName>
    <definedName name="_PPB49" localSheetId="8">#REF!</definedName>
    <definedName name="_PPB49" localSheetId="10">#REF!</definedName>
    <definedName name="_PPB49" localSheetId="28">#REF!</definedName>
    <definedName name="_PPB49">#REF!</definedName>
    <definedName name="_PPB5" localSheetId="8">#REF!</definedName>
    <definedName name="_PPB5" localSheetId="10">#REF!</definedName>
    <definedName name="_PPB5" localSheetId="28">#REF!</definedName>
    <definedName name="_PPB5">#REF!</definedName>
    <definedName name="_PPB50" localSheetId="8">#REF!</definedName>
    <definedName name="_PPB50" localSheetId="10">#REF!</definedName>
    <definedName name="_PPB50" localSheetId="28">#REF!</definedName>
    <definedName name="_PPB50">#REF!</definedName>
    <definedName name="_PPB51" localSheetId="8">#REF!</definedName>
    <definedName name="_PPB51" localSheetId="10">#REF!</definedName>
    <definedName name="_PPB51" localSheetId="28">#REF!</definedName>
    <definedName name="_PPB51">#REF!</definedName>
    <definedName name="_PPB52" localSheetId="8">#REF!</definedName>
    <definedName name="_PPB52" localSheetId="10">#REF!</definedName>
    <definedName name="_PPB52" localSheetId="28">#REF!</definedName>
    <definedName name="_PPB52">#REF!</definedName>
    <definedName name="_PPB53" localSheetId="8">#REF!</definedName>
    <definedName name="_PPB53" localSheetId="10">#REF!</definedName>
    <definedName name="_PPB53" localSheetId="28">#REF!</definedName>
    <definedName name="_PPB53">#REF!</definedName>
    <definedName name="_PPB54" localSheetId="8">#REF!</definedName>
    <definedName name="_PPB54" localSheetId="10">#REF!</definedName>
    <definedName name="_PPB54" localSheetId="28">#REF!</definedName>
    <definedName name="_PPB54">#REF!</definedName>
    <definedName name="_PPB55" localSheetId="8">#REF!</definedName>
    <definedName name="_PPB55" localSheetId="10">#REF!</definedName>
    <definedName name="_PPB55" localSheetId="28">#REF!</definedName>
    <definedName name="_PPB55">#REF!</definedName>
    <definedName name="_PPB56" localSheetId="8">#REF!</definedName>
    <definedName name="_PPB56" localSheetId="10">#REF!</definedName>
    <definedName name="_PPB56" localSheetId="28">#REF!</definedName>
    <definedName name="_PPB56">#REF!</definedName>
    <definedName name="_PPB57" localSheetId="8">#REF!</definedName>
    <definedName name="_PPB57" localSheetId="10">#REF!</definedName>
    <definedName name="_PPB57" localSheetId="28">#REF!</definedName>
    <definedName name="_PPB57">#REF!</definedName>
    <definedName name="_PPB58" localSheetId="8">#REF!</definedName>
    <definedName name="_PPB58" localSheetId="10">#REF!</definedName>
    <definedName name="_PPB58" localSheetId="28">#REF!</definedName>
    <definedName name="_PPB58">#REF!</definedName>
    <definedName name="_PPB59" localSheetId="8">#REF!</definedName>
    <definedName name="_PPB59" localSheetId="10">#REF!</definedName>
    <definedName name="_PPB59" localSheetId="28">#REF!</definedName>
    <definedName name="_PPB59">#REF!</definedName>
    <definedName name="_PPB6" localSheetId="8">#REF!</definedName>
    <definedName name="_PPB6" localSheetId="10">#REF!</definedName>
    <definedName name="_PPB6" localSheetId="28">#REF!</definedName>
    <definedName name="_PPB6">#REF!</definedName>
    <definedName name="_PPB60" localSheetId="8">#REF!</definedName>
    <definedName name="_PPB60" localSheetId="10">#REF!</definedName>
    <definedName name="_PPB60" localSheetId="28">#REF!</definedName>
    <definedName name="_PPB60">#REF!</definedName>
    <definedName name="_PPB61" localSheetId="8">#REF!</definedName>
    <definedName name="_PPB61" localSheetId="10">#REF!</definedName>
    <definedName name="_PPB61" localSheetId="28">#REF!</definedName>
    <definedName name="_PPB61">#REF!</definedName>
    <definedName name="_PPB62" localSheetId="8">#REF!</definedName>
    <definedName name="_PPB62" localSheetId="10">#REF!</definedName>
    <definedName name="_PPB62" localSheetId="28">#REF!</definedName>
    <definedName name="_PPB62">#REF!</definedName>
    <definedName name="_PPB63" localSheetId="8">#REF!</definedName>
    <definedName name="_PPB63" localSheetId="10">#REF!</definedName>
    <definedName name="_PPB63" localSheetId="28">#REF!</definedName>
    <definedName name="_PPB63">#REF!</definedName>
    <definedName name="_PPB64" localSheetId="8">#REF!</definedName>
    <definedName name="_PPB64" localSheetId="10">#REF!</definedName>
    <definedName name="_PPB64" localSheetId="28">#REF!</definedName>
    <definedName name="_PPB64">#REF!</definedName>
    <definedName name="_PPB65" localSheetId="8">#REF!</definedName>
    <definedName name="_PPB65" localSheetId="10">#REF!</definedName>
    <definedName name="_PPB65" localSheetId="28">#REF!</definedName>
    <definedName name="_PPB65">#REF!</definedName>
    <definedName name="_PPB66" localSheetId="8">#REF!</definedName>
    <definedName name="_PPB66" localSheetId="10">#REF!</definedName>
    <definedName name="_PPB66" localSheetId="28">#REF!</definedName>
    <definedName name="_PPB66">#REF!</definedName>
    <definedName name="_PPB67" localSheetId="8">#REF!</definedName>
    <definedName name="_PPB67" localSheetId="10">#REF!</definedName>
    <definedName name="_PPB67" localSheetId="28">#REF!</definedName>
    <definedName name="_PPB67">#REF!</definedName>
    <definedName name="_PPB68" localSheetId="8">#REF!</definedName>
    <definedName name="_PPB68" localSheetId="10">#REF!</definedName>
    <definedName name="_PPB68" localSheetId="28">#REF!</definedName>
    <definedName name="_PPB68">#REF!</definedName>
    <definedName name="_PPB69" localSheetId="8">#REF!</definedName>
    <definedName name="_PPB69" localSheetId="10">#REF!</definedName>
    <definedName name="_PPB69" localSheetId="28">#REF!</definedName>
    <definedName name="_PPB69">#REF!</definedName>
    <definedName name="_PPB7" localSheetId="8">#REF!</definedName>
    <definedName name="_PPB7" localSheetId="10">#REF!</definedName>
    <definedName name="_PPB7" localSheetId="28">#REF!</definedName>
    <definedName name="_PPB7">#REF!</definedName>
    <definedName name="_PPB70" localSheetId="8">#REF!</definedName>
    <definedName name="_PPB70" localSheetId="10">#REF!</definedName>
    <definedName name="_PPB70" localSheetId="28">#REF!</definedName>
    <definedName name="_PPB70">#REF!</definedName>
    <definedName name="_PPB71" localSheetId="8">#REF!</definedName>
    <definedName name="_PPB71" localSheetId="10">#REF!</definedName>
    <definedName name="_PPB71" localSheetId="28">#REF!</definedName>
    <definedName name="_PPB71">#REF!</definedName>
    <definedName name="_PPB72" localSheetId="8">#REF!</definedName>
    <definedName name="_PPB72" localSheetId="10">#REF!</definedName>
    <definedName name="_PPB72" localSheetId="28">#REF!</definedName>
    <definedName name="_PPB72">#REF!</definedName>
    <definedName name="_PPB73" localSheetId="8">#REF!</definedName>
    <definedName name="_PPB73" localSheetId="10">#REF!</definedName>
    <definedName name="_PPB73" localSheetId="28">#REF!</definedName>
    <definedName name="_PPB73">#REF!</definedName>
    <definedName name="_PPB74" localSheetId="8">#REF!</definedName>
    <definedName name="_PPB74" localSheetId="10">#REF!</definedName>
    <definedName name="_PPB74" localSheetId="28">#REF!</definedName>
    <definedName name="_PPB74">#REF!</definedName>
    <definedName name="_PPB75" localSheetId="8">#REF!</definedName>
    <definedName name="_PPB75" localSheetId="10">#REF!</definedName>
    <definedName name="_PPB75" localSheetId="28">#REF!</definedName>
    <definedName name="_PPB75">#REF!</definedName>
    <definedName name="_PPB76" localSheetId="8">#REF!</definedName>
    <definedName name="_PPB76" localSheetId="10">#REF!</definedName>
    <definedName name="_PPB76" localSheetId="28">#REF!</definedName>
    <definedName name="_PPB76">#REF!</definedName>
    <definedName name="_PPB77" localSheetId="8">#REF!</definedName>
    <definedName name="_PPB77" localSheetId="10">#REF!</definedName>
    <definedName name="_PPB77" localSheetId="28">#REF!</definedName>
    <definedName name="_PPB77">#REF!</definedName>
    <definedName name="_PPB78" localSheetId="8">#REF!</definedName>
    <definedName name="_PPB78" localSheetId="10">#REF!</definedName>
    <definedName name="_PPB78" localSheetId="28">#REF!</definedName>
    <definedName name="_PPB78">#REF!</definedName>
    <definedName name="_PPB79" localSheetId="8">#REF!</definedName>
    <definedName name="_PPB79" localSheetId="10">#REF!</definedName>
    <definedName name="_PPB79" localSheetId="28">#REF!</definedName>
    <definedName name="_PPB79">#REF!</definedName>
    <definedName name="_PPB8" localSheetId="8">#REF!</definedName>
    <definedName name="_PPB8" localSheetId="10">#REF!</definedName>
    <definedName name="_PPB8" localSheetId="28">#REF!</definedName>
    <definedName name="_PPB8">#REF!</definedName>
    <definedName name="_PPB80" localSheetId="8">#REF!</definedName>
    <definedName name="_PPB80" localSheetId="10">#REF!</definedName>
    <definedName name="_PPB80" localSheetId="28">#REF!</definedName>
    <definedName name="_PPB80">#REF!</definedName>
    <definedName name="_PPB81" localSheetId="8">#REF!</definedName>
    <definedName name="_PPB81" localSheetId="10">#REF!</definedName>
    <definedName name="_PPB81" localSheetId="28">#REF!</definedName>
    <definedName name="_PPB81">#REF!</definedName>
    <definedName name="_PPB82" localSheetId="8">#REF!</definedName>
    <definedName name="_PPB82" localSheetId="10">#REF!</definedName>
    <definedName name="_PPB82" localSheetId="28">#REF!</definedName>
    <definedName name="_PPB82">#REF!</definedName>
    <definedName name="_PPB83" localSheetId="8">#REF!</definedName>
    <definedName name="_PPB83" localSheetId="10">#REF!</definedName>
    <definedName name="_PPB83" localSheetId="28">#REF!</definedName>
    <definedName name="_PPB83">#REF!</definedName>
    <definedName name="_PPB84" localSheetId="8">#REF!</definedName>
    <definedName name="_PPB84" localSheetId="10">#REF!</definedName>
    <definedName name="_PPB84" localSheetId="28">#REF!</definedName>
    <definedName name="_PPB84">#REF!</definedName>
    <definedName name="_PPB85" localSheetId="8">#REF!</definedName>
    <definedName name="_PPB85" localSheetId="10">#REF!</definedName>
    <definedName name="_PPB85" localSheetId="28">#REF!</definedName>
    <definedName name="_PPB85">#REF!</definedName>
    <definedName name="_PPB86" localSheetId="8">#REF!</definedName>
    <definedName name="_PPB86" localSheetId="10">#REF!</definedName>
    <definedName name="_PPB86" localSheetId="28">#REF!</definedName>
    <definedName name="_PPB86">#REF!</definedName>
    <definedName name="_PPB87" localSheetId="8">#REF!</definedName>
    <definedName name="_PPB87" localSheetId="10">#REF!</definedName>
    <definedName name="_PPB87" localSheetId="28">#REF!</definedName>
    <definedName name="_PPB87">#REF!</definedName>
    <definedName name="_PPB88" localSheetId="8">#REF!</definedName>
    <definedName name="_PPB88" localSheetId="10">#REF!</definedName>
    <definedName name="_PPB88" localSheetId="28">#REF!</definedName>
    <definedName name="_PPB88">#REF!</definedName>
    <definedName name="_PPB89" localSheetId="8">#REF!</definedName>
    <definedName name="_PPB89" localSheetId="10">#REF!</definedName>
    <definedName name="_PPB89" localSheetId="28">#REF!</definedName>
    <definedName name="_PPB89">#REF!</definedName>
    <definedName name="_PPB9" localSheetId="8">#REF!</definedName>
    <definedName name="_PPB9" localSheetId="10">#REF!</definedName>
    <definedName name="_PPB9" localSheetId="28">#REF!</definedName>
    <definedName name="_PPB9">#REF!</definedName>
    <definedName name="_PPB90" localSheetId="8">#REF!</definedName>
    <definedName name="_PPB90" localSheetId="10">#REF!</definedName>
    <definedName name="_PPB90" localSheetId="28">#REF!</definedName>
    <definedName name="_PPB90">#REF!</definedName>
    <definedName name="_PPB91" localSheetId="8">#REF!</definedName>
    <definedName name="_PPB91" localSheetId="10">#REF!</definedName>
    <definedName name="_PPB91" localSheetId="28">#REF!</definedName>
    <definedName name="_PPB91">#REF!</definedName>
    <definedName name="_PPB92" localSheetId="8">#REF!</definedName>
    <definedName name="_PPB92" localSheetId="10">#REF!</definedName>
    <definedName name="_PPB92" localSheetId="28">#REF!</definedName>
    <definedName name="_PPB92">#REF!</definedName>
    <definedName name="_PPB93" localSheetId="8">#REF!</definedName>
    <definedName name="_PPB93" localSheetId="10">#REF!</definedName>
    <definedName name="_PPB93" localSheetId="28">#REF!</definedName>
    <definedName name="_PPB93">#REF!</definedName>
    <definedName name="_PPB94" localSheetId="8">#REF!</definedName>
    <definedName name="_PPB94" localSheetId="10">#REF!</definedName>
    <definedName name="_PPB94" localSheetId="28">#REF!</definedName>
    <definedName name="_PPB94">#REF!</definedName>
    <definedName name="_PPB95" localSheetId="8">#REF!</definedName>
    <definedName name="_PPB95" localSheetId="10">#REF!</definedName>
    <definedName name="_PPB95" localSheetId="28">#REF!</definedName>
    <definedName name="_PPB95">#REF!</definedName>
    <definedName name="_PPB96" localSheetId="8">#REF!</definedName>
    <definedName name="_PPB96" localSheetId="10">#REF!</definedName>
    <definedName name="_PPB96" localSheetId="28">#REF!</definedName>
    <definedName name="_PPB96">#REF!</definedName>
    <definedName name="_PPB97" localSheetId="8">#REF!</definedName>
    <definedName name="_PPB97" localSheetId="10">#REF!</definedName>
    <definedName name="_PPB97" localSheetId="28">#REF!</definedName>
    <definedName name="_PPB97">#REF!</definedName>
    <definedName name="_PPB98" localSheetId="8">#REF!</definedName>
    <definedName name="_PPB98" localSheetId="10">#REF!</definedName>
    <definedName name="_PPB98" localSheetId="28">#REF!</definedName>
    <definedName name="_PPB98">#REF!</definedName>
    <definedName name="_PPB99" localSheetId="8">#REF!</definedName>
    <definedName name="_PPB99" localSheetId="10">#REF!</definedName>
    <definedName name="_PPB99" localSheetId="28">#REF!</definedName>
    <definedName name="_PPB99">#REF!</definedName>
    <definedName name="_PPC1" localSheetId="8">#REF!</definedName>
    <definedName name="_PPC1" localSheetId="10">#REF!</definedName>
    <definedName name="_PPC1" localSheetId="28">#REF!</definedName>
    <definedName name="_PPC1">#REF!</definedName>
    <definedName name="_PPC10" localSheetId="8">#REF!</definedName>
    <definedName name="_PPC10" localSheetId="10">#REF!</definedName>
    <definedName name="_PPC10" localSheetId="28">#REF!</definedName>
    <definedName name="_PPC10">#REF!</definedName>
    <definedName name="_PPC100" localSheetId="8">#REF!</definedName>
    <definedName name="_PPC100" localSheetId="10">#REF!</definedName>
    <definedName name="_PPC100" localSheetId="28">#REF!</definedName>
    <definedName name="_PPC100">#REF!</definedName>
    <definedName name="_PPC101" localSheetId="8">#REF!</definedName>
    <definedName name="_PPC101" localSheetId="10">#REF!</definedName>
    <definedName name="_PPC101" localSheetId="28">#REF!</definedName>
    <definedName name="_PPC101">#REF!</definedName>
    <definedName name="_PPC102" localSheetId="8">#REF!</definedName>
    <definedName name="_PPC102" localSheetId="10">#REF!</definedName>
    <definedName name="_PPC102" localSheetId="28">#REF!</definedName>
    <definedName name="_PPC102">#REF!</definedName>
    <definedName name="_PPC103" localSheetId="8">#REF!</definedName>
    <definedName name="_PPC103" localSheetId="10">#REF!</definedName>
    <definedName name="_PPC103" localSheetId="28">#REF!</definedName>
    <definedName name="_PPC103">#REF!</definedName>
    <definedName name="_PPC104" localSheetId="8">#REF!</definedName>
    <definedName name="_PPC104" localSheetId="10">#REF!</definedName>
    <definedName name="_PPC104" localSheetId="28">#REF!</definedName>
    <definedName name="_PPC104">#REF!</definedName>
    <definedName name="_PPC105" localSheetId="8">#REF!</definedName>
    <definedName name="_PPC105" localSheetId="10">#REF!</definedName>
    <definedName name="_PPC105" localSheetId="28">#REF!</definedName>
    <definedName name="_PPC105">#REF!</definedName>
    <definedName name="_PPC106" localSheetId="8">#REF!</definedName>
    <definedName name="_PPC106" localSheetId="10">#REF!</definedName>
    <definedName name="_PPC106" localSheetId="28">#REF!</definedName>
    <definedName name="_PPC106">#REF!</definedName>
    <definedName name="_PPC107" localSheetId="8">#REF!</definedName>
    <definedName name="_PPC107" localSheetId="10">#REF!</definedName>
    <definedName name="_PPC107" localSheetId="28">#REF!</definedName>
    <definedName name="_PPC107">#REF!</definedName>
    <definedName name="_PPC108" localSheetId="8">#REF!</definedName>
    <definedName name="_PPC108" localSheetId="10">#REF!</definedName>
    <definedName name="_PPC108" localSheetId="28">#REF!</definedName>
    <definedName name="_PPC108">#REF!</definedName>
    <definedName name="_PPC109" localSheetId="8">#REF!</definedName>
    <definedName name="_PPC109" localSheetId="10">#REF!</definedName>
    <definedName name="_PPC109" localSheetId="28">#REF!</definedName>
    <definedName name="_PPC109">#REF!</definedName>
    <definedName name="_PPC11" localSheetId="8">#REF!</definedName>
    <definedName name="_PPC11" localSheetId="10">#REF!</definedName>
    <definedName name="_PPC11" localSheetId="28">#REF!</definedName>
    <definedName name="_PPC11">#REF!</definedName>
    <definedName name="_PPC110" localSheetId="8">#REF!</definedName>
    <definedName name="_PPC110" localSheetId="10">#REF!</definedName>
    <definedName name="_PPC110" localSheetId="28">#REF!</definedName>
    <definedName name="_PPC110">#REF!</definedName>
    <definedName name="_PPC111" localSheetId="8">#REF!</definedName>
    <definedName name="_PPC111" localSheetId="10">#REF!</definedName>
    <definedName name="_PPC111" localSheetId="28">#REF!</definedName>
    <definedName name="_PPC111">#REF!</definedName>
    <definedName name="_PPC112" localSheetId="8">#REF!</definedName>
    <definedName name="_PPC112" localSheetId="10">#REF!</definedName>
    <definedName name="_PPC112" localSheetId="28">#REF!</definedName>
    <definedName name="_PPC112">#REF!</definedName>
    <definedName name="_PPC113" localSheetId="8">#REF!</definedName>
    <definedName name="_PPC113" localSheetId="10">#REF!</definedName>
    <definedName name="_PPC113" localSheetId="28">#REF!</definedName>
    <definedName name="_PPC113">#REF!</definedName>
    <definedName name="_PPC114" localSheetId="8">#REF!</definedName>
    <definedName name="_PPC114" localSheetId="10">#REF!</definedName>
    <definedName name="_PPC114" localSheetId="28">#REF!</definedName>
    <definedName name="_PPC114">#REF!</definedName>
    <definedName name="_PPC115" localSheetId="8">#REF!</definedName>
    <definedName name="_PPC115" localSheetId="10">#REF!</definedName>
    <definedName name="_PPC115" localSheetId="28">#REF!</definedName>
    <definedName name="_PPC115">#REF!</definedName>
    <definedName name="_PPC116" localSheetId="8">#REF!</definedName>
    <definedName name="_PPC116" localSheetId="10">#REF!</definedName>
    <definedName name="_PPC116" localSheetId="28">#REF!</definedName>
    <definedName name="_PPC116">#REF!</definedName>
    <definedName name="_PPC117" localSheetId="8">#REF!</definedName>
    <definedName name="_PPC117" localSheetId="10">#REF!</definedName>
    <definedName name="_PPC117" localSheetId="28">#REF!</definedName>
    <definedName name="_PPC117">#REF!</definedName>
    <definedName name="_PPC118" localSheetId="8">#REF!</definedName>
    <definedName name="_PPC118" localSheetId="10">#REF!</definedName>
    <definedName name="_PPC118" localSheetId="28">#REF!</definedName>
    <definedName name="_PPC118">#REF!</definedName>
    <definedName name="_PPC119" localSheetId="8">#REF!</definedName>
    <definedName name="_PPC119" localSheetId="10">#REF!</definedName>
    <definedName name="_PPC119" localSheetId="28">#REF!</definedName>
    <definedName name="_PPC119">#REF!</definedName>
    <definedName name="_PPC12" localSheetId="8">#REF!</definedName>
    <definedName name="_PPC12" localSheetId="10">#REF!</definedName>
    <definedName name="_PPC12" localSheetId="28">#REF!</definedName>
    <definedName name="_PPC12">#REF!</definedName>
    <definedName name="_PPC120" localSheetId="8">#REF!</definedName>
    <definedName name="_PPC120" localSheetId="10">#REF!</definedName>
    <definedName name="_PPC120" localSheetId="28">#REF!</definedName>
    <definedName name="_PPC120">#REF!</definedName>
    <definedName name="_PPC121" localSheetId="8">#REF!</definedName>
    <definedName name="_PPC121" localSheetId="10">#REF!</definedName>
    <definedName name="_PPC121" localSheetId="28">#REF!</definedName>
    <definedName name="_PPC121">#REF!</definedName>
    <definedName name="_PPC122" localSheetId="8">#REF!</definedName>
    <definedName name="_PPC122" localSheetId="10">#REF!</definedName>
    <definedName name="_PPC122" localSheetId="28">#REF!</definedName>
    <definedName name="_PPC122">#REF!</definedName>
    <definedName name="_PPC123" localSheetId="8">#REF!</definedName>
    <definedName name="_PPC123" localSheetId="10">#REF!</definedName>
    <definedName name="_PPC123" localSheetId="28">#REF!</definedName>
    <definedName name="_PPC123">#REF!</definedName>
    <definedName name="_PPC124" localSheetId="8">#REF!</definedName>
    <definedName name="_PPC124" localSheetId="10">#REF!</definedName>
    <definedName name="_PPC124" localSheetId="28">#REF!</definedName>
    <definedName name="_PPC124">#REF!</definedName>
    <definedName name="_PPC125" localSheetId="8">#REF!</definedName>
    <definedName name="_PPC125" localSheetId="10">#REF!</definedName>
    <definedName name="_PPC125" localSheetId="28">#REF!</definedName>
    <definedName name="_PPC125">#REF!</definedName>
    <definedName name="_PPC126" localSheetId="8">#REF!</definedName>
    <definedName name="_PPC126" localSheetId="10">#REF!</definedName>
    <definedName name="_PPC126" localSheetId="28">#REF!</definedName>
    <definedName name="_PPC126">#REF!</definedName>
    <definedName name="_PPC127" localSheetId="8">#REF!</definedName>
    <definedName name="_PPC127" localSheetId="10">#REF!</definedName>
    <definedName name="_PPC127" localSheetId="28">#REF!</definedName>
    <definedName name="_PPC127">#REF!</definedName>
    <definedName name="_PPC128" localSheetId="8">#REF!</definedName>
    <definedName name="_PPC128" localSheetId="10">#REF!</definedName>
    <definedName name="_PPC128" localSheetId="28">#REF!</definedName>
    <definedName name="_PPC128">#REF!</definedName>
    <definedName name="_PPC129" localSheetId="8">#REF!</definedName>
    <definedName name="_PPC129" localSheetId="10">#REF!</definedName>
    <definedName name="_PPC129" localSheetId="28">#REF!</definedName>
    <definedName name="_PPC129">#REF!</definedName>
    <definedName name="_PPC13" localSheetId="8">#REF!</definedName>
    <definedName name="_PPC13" localSheetId="10">#REF!</definedName>
    <definedName name="_PPC13" localSheetId="28">#REF!</definedName>
    <definedName name="_PPC13">#REF!</definedName>
    <definedName name="_PPC130" localSheetId="8">#REF!</definedName>
    <definedName name="_PPC130" localSheetId="10">#REF!</definedName>
    <definedName name="_PPC130" localSheetId="28">#REF!</definedName>
    <definedName name="_PPC130">#REF!</definedName>
    <definedName name="_PPC131" localSheetId="8">#REF!</definedName>
    <definedName name="_PPC131" localSheetId="10">#REF!</definedName>
    <definedName name="_PPC131" localSheetId="28">#REF!</definedName>
    <definedName name="_PPC131">#REF!</definedName>
    <definedName name="_PPC132" localSheetId="8">#REF!</definedName>
    <definedName name="_PPC132" localSheetId="10">#REF!</definedName>
    <definedName name="_PPC132" localSheetId="28">#REF!</definedName>
    <definedName name="_PPC132">#REF!</definedName>
    <definedName name="_PPC133" localSheetId="8">#REF!</definedName>
    <definedName name="_PPC133" localSheetId="10">#REF!</definedName>
    <definedName name="_PPC133" localSheetId="28">#REF!</definedName>
    <definedName name="_PPC133">#REF!</definedName>
    <definedName name="_PPC134" localSheetId="8">#REF!</definedName>
    <definedName name="_PPC134" localSheetId="10">#REF!</definedName>
    <definedName name="_PPC134" localSheetId="28">#REF!</definedName>
    <definedName name="_PPC134">#REF!</definedName>
    <definedName name="_PPC135" localSheetId="8">#REF!</definedName>
    <definedName name="_PPC135" localSheetId="10">#REF!</definedName>
    <definedName name="_PPC135" localSheetId="28">#REF!</definedName>
    <definedName name="_PPC135">#REF!</definedName>
    <definedName name="_PPC136" localSheetId="8">#REF!</definedName>
    <definedName name="_PPC136" localSheetId="10">#REF!</definedName>
    <definedName name="_PPC136" localSheetId="28">#REF!</definedName>
    <definedName name="_PPC136">#REF!</definedName>
    <definedName name="_PPC137" localSheetId="8">#REF!</definedName>
    <definedName name="_PPC137" localSheetId="10">#REF!</definedName>
    <definedName name="_PPC137" localSheetId="28">#REF!</definedName>
    <definedName name="_PPC137">#REF!</definedName>
    <definedName name="_PPC138" localSheetId="8">#REF!</definedName>
    <definedName name="_PPC138" localSheetId="10">#REF!</definedName>
    <definedName name="_PPC138" localSheetId="28">#REF!</definedName>
    <definedName name="_PPC138">#REF!</definedName>
    <definedName name="_PPC139" localSheetId="8">#REF!</definedName>
    <definedName name="_PPC139" localSheetId="10">#REF!</definedName>
    <definedName name="_PPC139" localSheetId="28">#REF!</definedName>
    <definedName name="_PPC139">#REF!</definedName>
    <definedName name="_PPC14" localSheetId="8">#REF!</definedName>
    <definedName name="_PPC14" localSheetId="10">#REF!</definedName>
    <definedName name="_PPC14" localSheetId="28">#REF!</definedName>
    <definedName name="_PPC14">#REF!</definedName>
    <definedName name="_PPC140" localSheetId="8">#REF!</definedName>
    <definedName name="_PPC140" localSheetId="10">#REF!</definedName>
    <definedName name="_PPC140" localSheetId="28">#REF!</definedName>
    <definedName name="_PPC140">#REF!</definedName>
    <definedName name="_PPC141" localSheetId="8">#REF!</definedName>
    <definedName name="_PPC141" localSheetId="10">#REF!</definedName>
    <definedName name="_PPC141" localSheetId="28">#REF!</definedName>
    <definedName name="_PPC141">#REF!</definedName>
    <definedName name="_PPC142" localSheetId="8">#REF!</definedName>
    <definedName name="_PPC142" localSheetId="10">#REF!</definedName>
    <definedName name="_PPC142" localSheetId="28">#REF!</definedName>
    <definedName name="_PPC142">#REF!</definedName>
    <definedName name="_PPC143" localSheetId="8">#REF!</definedName>
    <definedName name="_PPC143" localSheetId="10">#REF!</definedName>
    <definedName name="_PPC143" localSheetId="28">#REF!</definedName>
    <definedName name="_PPC143">#REF!</definedName>
    <definedName name="_PPC144" localSheetId="8">#REF!</definedName>
    <definedName name="_PPC144" localSheetId="10">#REF!</definedName>
    <definedName name="_PPC144" localSheetId="28">#REF!</definedName>
    <definedName name="_PPC144">#REF!</definedName>
    <definedName name="_PPC145" localSheetId="8">#REF!</definedName>
    <definedName name="_PPC145" localSheetId="10">#REF!</definedName>
    <definedName name="_PPC145" localSheetId="28">#REF!</definedName>
    <definedName name="_PPC145">#REF!</definedName>
    <definedName name="_PPC146" localSheetId="8">#REF!</definedName>
    <definedName name="_PPC146" localSheetId="10">#REF!</definedName>
    <definedName name="_PPC146" localSheetId="28">#REF!</definedName>
    <definedName name="_PPC146">#REF!</definedName>
    <definedName name="_PPC147" localSheetId="8">#REF!</definedName>
    <definedName name="_PPC147" localSheetId="10">#REF!</definedName>
    <definedName name="_PPC147" localSheetId="28">#REF!</definedName>
    <definedName name="_PPC147">#REF!</definedName>
    <definedName name="_PPC148" localSheetId="8">#REF!</definedName>
    <definedName name="_PPC148" localSheetId="10">#REF!</definedName>
    <definedName name="_PPC148" localSheetId="28">#REF!</definedName>
    <definedName name="_PPC148">#REF!</definedName>
    <definedName name="_PPC149" localSheetId="8">#REF!</definedName>
    <definedName name="_PPC149" localSheetId="10">#REF!</definedName>
    <definedName name="_PPC149" localSheetId="28">#REF!</definedName>
    <definedName name="_PPC149">#REF!</definedName>
    <definedName name="_PPC15" localSheetId="8">#REF!</definedName>
    <definedName name="_PPC15" localSheetId="10">#REF!</definedName>
    <definedName name="_PPC15" localSheetId="28">#REF!</definedName>
    <definedName name="_PPC15">#REF!</definedName>
    <definedName name="_PPC150" localSheetId="8">#REF!</definedName>
    <definedName name="_PPC150" localSheetId="10">#REF!</definedName>
    <definedName name="_PPC150" localSheetId="28">#REF!</definedName>
    <definedName name="_PPC150">#REF!</definedName>
    <definedName name="_PPC151" localSheetId="8">#REF!</definedName>
    <definedName name="_PPC151" localSheetId="10">#REF!</definedName>
    <definedName name="_PPC151" localSheetId="28">#REF!</definedName>
    <definedName name="_PPC151">#REF!</definedName>
    <definedName name="_PPC152" localSheetId="8">#REF!</definedName>
    <definedName name="_PPC152" localSheetId="10">#REF!</definedName>
    <definedName name="_PPC152" localSheetId="28">#REF!</definedName>
    <definedName name="_PPC152">#REF!</definedName>
    <definedName name="_PPC153" localSheetId="8">#REF!</definedName>
    <definedName name="_PPC153" localSheetId="10">#REF!</definedName>
    <definedName name="_PPC153" localSheetId="28">#REF!</definedName>
    <definedName name="_PPC153">#REF!</definedName>
    <definedName name="_PPC154" localSheetId="8">#REF!</definedName>
    <definedName name="_PPC154" localSheetId="10">#REF!</definedName>
    <definedName name="_PPC154" localSheetId="28">#REF!</definedName>
    <definedName name="_PPC154">#REF!</definedName>
    <definedName name="_PPC155" localSheetId="8">#REF!</definedName>
    <definedName name="_PPC155" localSheetId="10">#REF!</definedName>
    <definedName name="_PPC155" localSheetId="28">#REF!</definedName>
    <definedName name="_PPC155">#REF!</definedName>
    <definedName name="_PPC16" localSheetId="8">#REF!</definedName>
    <definedName name="_PPC16" localSheetId="10">#REF!</definedName>
    <definedName name="_PPC16" localSheetId="28">#REF!</definedName>
    <definedName name="_PPC16">#REF!</definedName>
    <definedName name="_PPC17" localSheetId="8">#REF!</definedName>
    <definedName name="_PPC17" localSheetId="10">#REF!</definedName>
    <definedName name="_PPC17" localSheetId="28">#REF!</definedName>
    <definedName name="_PPC17">#REF!</definedName>
    <definedName name="_PPC18" localSheetId="8">#REF!</definedName>
    <definedName name="_PPC18" localSheetId="10">#REF!</definedName>
    <definedName name="_PPC18" localSheetId="28">#REF!</definedName>
    <definedName name="_PPC18">#REF!</definedName>
    <definedName name="_PPC19" localSheetId="8">#REF!</definedName>
    <definedName name="_PPC19" localSheetId="10">#REF!</definedName>
    <definedName name="_PPC19" localSheetId="28">#REF!</definedName>
    <definedName name="_PPC19">#REF!</definedName>
    <definedName name="_PPC2" localSheetId="8">#REF!</definedName>
    <definedName name="_PPC2" localSheetId="10">#REF!</definedName>
    <definedName name="_PPC2" localSheetId="28">#REF!</definedName>
    <definedName name="_PPC2">#REF!</definedName>
    <definedName name="_PPC20" localSheetId="8">#REF!</definedName>
    <definedName name="_PPC20" localSheetId="10">#REF!</definedName>
    <definedName name="_PPC20" localSheetId="28">#REF!</definedName>
    <definedName name="_PPC20">#REF!</definedName>
    <definedName name="_PPC21" localSheetId="8">#REF!</definedName>
    <definedName name="_PPC21" localSheetId="10">#REF!</definedName>
    <definedName name="_PPC21" localSheetId="28">#REF!</definedName>
    <definedName name="_PPC21">#REF!</definedName>
    <definedName name="_PPC22" localSheetId="8">#REF!</definedName>
    <definedName name="_PPC22" localSheetId="10">#REF!</definedName>
    <definedName name="_PPC22" localSheetId="28">#REF!</definedName>
    <definedName name="_PPC22">#REF!</definedName>
    <definedName name="_PPC23" localSheetId="8">#REF!</definedName>
    <definedName name="_PPC23" localSheetId="10">#REF!</definedName>
    <definedName name="_PPC23" localSheetId="28">#REF!</definedName>
    <definedName name="_PPC23">#REF!</definedName>
    <definedName name="_PPC24" localSheetId="8">#REF!</definedName>
    <definedName name="_PPC24" localSheetId="10">#REF!</definedName>
    <definedName name="_PPC24" localSheetId="28">#REF!</definedName>
    <definedName name="_PPC24">#REF!</definedName>
    <definedName name="_PPC25" localSheetId="8">#REF!</definedName>
    <definedName name="_PPC25" localSheetId="10">#REF!</definedName>
    <definedName name="_PPC25" localSheetId="28">#REF!</definedName>
    <definedName name="_PPC25">#REF!</definedName>
    <definedName name="_PPC26" localSheetId="8">#REF!</definedName>
    <definedName name="_PPC26" localSheetId="10">#REF!</definedName>
    <definedName name="_PPC26" localSheetId="28">#REF!</definedName>
    <definedName name="_PPC26">#REF!</definedName>
    <definedName name="_PPC27" localSheetId="8">#REF!</definedName>
    <definedName name="_PPC27" localSheetId="10">#REF!</definedName>
    <definedName name="_PPC27" localSheetId="28">#REF!</definedName>
    <definedName name="_PPC27">#REF!</definedName>
    <definedName name="_PPC28" localSheetId="8">#REF!</definedName>
    <definedName name="_PPC28" localSheetId="10">#REF!</definedName>
    <definedName name="_PPC28" localSheetId="28">#REF!</definedName>
    <definedName name="_PPC28">#REF!</definedName>
    <definedName name="_PPC29" localSheetId="8">#REF!</definedName>
    <definedName name="_PPC29" localSheetId="10">#REF!</definedName>
    <definedName name="_PPC29" localSheetId="28">#REF!</definedName>
    <definedName name="_PPC29">#REF!</definedName>
    <definedName name="_PPC3" localSheetId="8">#REF!</definedName>
    <definedName name="_PPC3" localSheetId="10">#REF!</definedName>
    <definedName name="_PPC3" localSheetId="28">#REF!</definedName>
    <definedName name="_PPC3">#REF!</definedName>
    <definedName name="_PPC30" localSheetId="8">#REF!</definedName>
    <definedName name="_PPC30" localSheetId="10">#REF!</definedName>
    <definedName name="_PPC30" localSheetId="28">#REF!</definedName>
    <definedName name="_PPC30">#REF!</definedName>
    <definedName name="_PPC31" localSheetId="8">#REF!</definedName>
    <definedName name="_PPC31" localSheetId="10">#REF!</definedName>
    <definedName name="_PPC31" localSheetId="28">#REF!</definedName>
    <definedName name="_PPC31">#REF!</definedName>
    <definedName name="_PPC32" localSheetId="8">#REF!</definedName>
    <definedName name="_PPC32" localSheetId="10">#REF!</definedName>
    <definedName name="_PPC32" localSheetId="28">#REF!</definedName>
    <definedName name="_PPC32">#REF!</definedName>
    <definedName name="_PPC33" localSheetId="8">#REF!</definedName>
    <definedName name="_PPC33" localSheetId="10">#REF!</definedName>
    <definedName name="_PPC33" localSheetId="28">#REF!</definedName>
    <definedName name="_PPC33">#REF!</definedName>
    <definedName name="_PPC34" localSheetId="8">#REF!</definedName>
    <definedName name="_PPC34" localSheetId="10">#REF!</definedName>
    <definedName name="_PPC34" localSheetId="28">#REF!</definedName>
    <definedName name="_PPC34">#REF!</definedName>
    <definedName name="_PPC35" localSheetId="8">#REF!</definedName>
    <definedName name="_PPC35" localSheetId="10">#REF!</definedName>
    <definedName name="_PPC35" localSheetId="28">#REF!</definedName>
    <definedName name="_PPC35">#REF!</definedName>
    <definedName name="_PPC36" localSheetId="8">#REF!</definedName>
    <definedName name="_PPC36" localSheetId="10">#REF!</definedName>
    <definedName name="_PPC36" localSheetId="28">#REF!</definedName>
    <definedName name="_PPC36">#REF!</definedName>
    <definedName name="_PPC37" localSheetId="8">#REF!</definedName>
    <definedName name="_PPC37" localSheetId="10">#REF!</definedName>
    <definedName name="_PPC37" localSheetId="28">#REF!</definedName>
    <definedName name="_PPC37">#REF!</definedName>
    <definedName name="_PPC38" localSheetId="8">#REF!</definedName>
    <definedName name="_PPC38" localSheetId="10">#REF!</definedName>
    <definedName name="_PPC38" localSheetId="28">#REF!</definedName>
    <definedName name="_PPC38">#REF!</definedName>
    <definedName name="_PPC39" localSheetId="8">#REF!</definedName>
    <definedName name="_PPC39" localSheetId="10">#REF!</definedName>
    <definedName name="_PPC39" localSheetId="28">#REF!</definedName>
    <definedName name="_PPC39">#REF!</definedName>
    <definedName name="_PPC4" localSheetId="8">#REF!</definedName>
    <definedName name="_PPC4" localSheetId="10">#REF!</definedName>
    <definedName name="_PPC4" localSheetId="28">#REF!</definedName>
    <definedName name="_PPC4">#REF!</definedName>
    <definedName name="_PPC40" localSheetId="8">#REF!</definedName>
    <definedName name="_PPC40" localSheetId="10">#REF!</definedName>
    <definedName name="_PPC40" localSheetId="28">#REF!</definedName>
    <definedName name="_PPC40">#REF!</definedName>
    <definedName name="_PPC41" localSheetId="8">#REF!</definedName>
    <definedName name="_PPC41" localSheetId="10">#REF!</definedName>
    <definedName name="_PPC41" localSheetId="28">#REF!</definedName>
    <definedName name="_PPC41">#REF!</definedName>
    <definedName name="_PPC42" localSheetId="8">#REF!</definedName>
    <definedName name="_PPC42" localSheetId="10">#REF!</definedName>
    <definedName name="_PPC42" localSheetId="28">#REF!</definedName>
    <definedName name="_PPC42">#REF!</definedName>
    <definedName name="_PPC43" localSheetId="8">#REF!</definedName>
    <definedName name="_PPC43" localSheetId="10">#REF!</definedName>
    <definedName name="_PPC43" localSheetId="28">#REF!</definedName>
    <definedName name="_PPC43">#REF!</definedName>
    <definedName name="_PPC44" localSheetId="8">#REF!</definedName>
    <definedName name="_PPC44" localSheetId="10">#REF!</definedName>
    <definedName name="_PPC44" localSheetId="28">#REF!</definedName>
    <definedName name="_PPC44">#REF!</definedName>
    <definedName name="_PPC45" localSheetId="8">#REF!</definedName>
    <definedName name="_PPC45" localSheetId="10">#REF!</definedName>
    <definedName name="_PPC45" localSheetId="28">#REF!</definedName>
    <definedName name="_PPC45">#REF!</definedName>
    <definedName name="_PPC46" localSheetId="8">#REF!</definedName>
    <definedName name="_PPC46" localSheetId="10">#REF!</definedName>
    <definedName name="_PPC46" localSheetId="28">#REF!</definedName>
    <definedName name="_PPC46">#REF!</definedName>
    <definedName name="_PPC47" localSheetId="8">#REF!</definedName>
    <definedName name="_PPC47" localSheetId="10">#REF!</definedName>
    <definedName name="_PPC47" localSheetId="28">#REF!</definedName>
    <definedName name="_PPC47">#REF!</definedName>
    <definedName name="_PPC48" localSheetId="8">#REF!</definedName>
    <definedName name="_PPC48" localSheetId="10">#REF!</definedName>
    <definedName name="_PPC48" localSheetId="28">#REF!</definedName>
    <definedName name="_PPC48">#REF!</definedName>
    <definedName name="_PPC49" localSheetId="8">#REF!</definedName>
    <definedName name="_PPC49" localSheetId="10">#REF!</definedName>
    <definedName name="_PPC49" localSheetId="28">#REF!</definedName>
    <definedName name="_PPC49">#REF!</definedName>
    <definedName name="_PPC5" localSheetId="8">#REF!</definedName>
    <definedName name="_PPC5" localSheetId="10">#REF!</definedName>
    <definedName name="_PPC5" localSheetId="28">#REF!</definedName>
    <definedName name="_PPC5">#REF!</definedName>
    <definedName name="_PPC50" localSheetId="8">#REF!</definedName>
    <definedName name="_PPC50" localSheetId="10">#REF!</definedName>
    <definedName name="_PPC50" localSheetId="28">#REF!</definedName>
    <definedName name="_PPC50">#REF!</definedName>
    <definedName name="_PPC51" localSheetId="8">#REF!</definedName>
    <definedName name="_PPC51" localSheetId="10">#REF!</definedName>
    <definedName name="_PPC51" localSheetId="28">#REF!</definedName>
    <definedName name="_PPC51">#REF!</definedName>
    <definedName name="_PPC52" localSheetId="8">#REF!</definedName>
    <definedName name="_PPC52" localSheetId="10">#REF!</definedName>
    <definedName name="_PPC52" localSheetId="28">#REF!</definedName>
    <definedName name="_PPC52">#REF!</definedName>
    <definedName name="_PPC53" localSheetId="8">#REF!</definedName>
    <definedName name="_PPC53" localSheetId="10">#REF!</definedName>
    <definedName name="_PPC53" localSheetId="28">#REF!</definedName>
    <definedName name="_PPC53">#REF!</definedName>
    <definedName name="_PPC54" localSheetId="8">#REF!</definedName>
    <definedName name="_PPC54" localSheetId="10">#REF!</definedName>
    <definedName name="_PPC54" localSheetId="28">#REF!</definedName>
    <definedName name="_PPC54">#REF!</definedName>
    <definedName name="_PPC55" localSheetId="8">#REF!</definedName>
    <definedName name="_PPC55" localSheetId="10">#REF!</definedName>
    <definedName name="_PPC55" localSheetId="28">#REF!</definedName>
    <definedName name="_PPC55">#REF!</definedName>
    <definedName name="_PPC56" localSheetId="8">#REF!</definedName>
    <definedName name="_PPC56" localSheetId="10">#REF!</definedName>
    <definedName name="_PPC56" localSheetId="28">#REF!</definedName>
    <definedName name="_PPC56">#REF!</definedName>
    <definedName name="_PPC57" localSheetId="8">#REF!</definedName>
    <definedName name="_PPC57" localSheetId="10">#REF!</definedName>
    <definedName name="_PPC57" localSheetId="28">#REF!</definedName>
    <definedName name="_PPC57">#REF!</definedName>
    <definedName name="_PPC58" localSheetId="8">#REF!</definedName>
    <definedName name="_PPC58" localSheetId="10">#REF!</definedName>
    <definedName name="_PPC58" localSheetId="28">#REF!</definedName>
    <definedName name="_PPC58">#REF!</definedName>
    <definedName name="_PPC59" localSheetId="8">#REF!</definedName>
    <definedName name="_PPC59" localSheetId="10">#REF!</definedName>
    <definedName name="_PPC59" localSheetId="28">#REF!</definedName>
    <definedName name="_PPC59">#REF!</definedName>
    <definedName name="_PPC6" localSheetId="8">#REF!</definedName>
    <definedName name="_PPC6" localSheetId="10">#REF!</definedName>
    <definedName name="_PPC6" localSheetId="28">#REF!</definedName>
    <definedName name="_PPC6">#REF!</definedName>
    <definedName name="_PPC60" localSheetId="8">#REF!</definedName>
    <definedName name="_PPC60" localSheetId="10">#REF!</definedName>
    <definedName name="_PPC60" localSheetId="28">#REF!</definedName>
    <definedName name="_PPC60">#REF!</definedName>
    <definedName name="_PPC61" localSheetId="8">#REF!</definedName>
    <definedName name="_PPC61" localSheetId="10">#REF!</definedName>
    <definedName name="_PPC61" localSheetId="28">#REF!</definedName>
    <definedName name="_PPC61">#REF!</definedName>
    <definedName name="_PPC62" localSheetId="8">#REF!</definedName>
    <definedName name="_PPC62" localSheetId="10">#REF!</definedName>
    <definedName name="_PPC62" localSheetId="28">#REF!</definedName>
    <definedName name="_PPC62">#REF!</definedName>
    <definedName name="_PPC63" localSheetId="8">#REF!</definedName>
    <definedName name="_PPC63" localSheetId="10">#REF!</definedName>
    <definedName name="_PPC63" localSheetId="28">#REF!</definedName>
    <definedName name="_PPC63">#REF!</definedName>
    <definedName name="_PPC64" localSheetId="8">#REF!</definedName>
    <definedName name="_PPC64" localSheetId="10">#REF!</definedName>
    <definedName name="_PPC64" localSheetId="28">#REF!</definedName>
    <definedName name="_PPC64">#REF!</definedName>
    <definedName name="_PPC65" localSheetId="8">#REF!</definedName>
    <definedName name="_PPC65" localSheetId="10">#REF!</definedName>
    <definedName name="_PPC65" localSheetId="28">#REF!</definedName>
    <definedName name="_PPC65">#REF!</definedName>
    <definedName name="_PPC66" localSheetId="8">#REF!</definedName>
    <definedName name="_PPC66" localSheetId="10">#REF!</definedName>
    <definedName name="_PPC66" localSheetId="28">#REF!</definedName>
    <definedName name="_PPC66">#REF!</definedName>
    <definedName name="_PPC67" localSheetId="8">#REF!</definedName>
    <definedName name="_PPC67" localSheetId="10">#REF!</definedName>
    <definedName name="_PPC67" localSheetId="28">#REF!</definedName>
    <definedName name="_PPC67">#REF!</definedName>
    <definedName name="_PPC68" localSheetId="8">#REF!</definedName>
    <definedName name="_PPC68" localSheetId="10">#REF!</definedName>
    <definedName name="_PPC68" localSheetId="28">#REF!</definedName>
    <definedName name="_PPC68">#REF!</definedName>
    <definedName name="_PPC69" localSheetId="8">#REF!</definedName>
    <definedName name="_PPC69" localSheetId="10">#REF!</definedName>
    <definedName name="_PPC69" localSheetId="28">#REF!</definedName>
    <definedName name="_PPC69">#REF!</definedName>
    <definedName name="_PPC7" localSheetId="8">#REF!</definedName>
    <definedName name="_PPC7" localSheetId="10">#REF!</definedName>
    <definedName name="_PPC7" localSheetId="28">#REF!</definedName>
    <definedName name="_PPC7">#REF!</definedName>
    <definedName name="_PPC70" localSheetId="8">#REF!</definedName>
    <definedName name="_PPC70" localSheetId="10">#REF!</definedName>
    <definedName name="_PPC70" localSheetId="28">#REF!</definedName>
    <definedName name="_PPC70">#REF!</definedName>
    <definedName name="_PPC71" localSheetId="8">#REF!</definedName>
    <definedName name="_PPC71" localSheetId="10">#REF!</definedName>
    <definedName name="_PPC71" localSheetId="28">#REF!</definedName>
    <definedName name="_PPC71">#REF!</definedName>
    <definedName name="_PPC72" localSheetId="8">#REF!</definedName>
    <definedName name="_PPC72" localSheetId="10">#REF!</definedName>
    <definedName name="_PPC72" localSheetId="28">#REF!</definedName>
    <definedName name="_PPC72">#REF!</definedName>
    <definedName name="_PPC73" localSheetId="8">#REF!</definedName>
    <definedName name="_PPC73" localSheetId="10">#REF!</definedName>
    <definedName name="_PPC73" localSheetId="28">#REF!</definedName>
    <definedName name="_PPC73">#REF!</definedName>
    <definedName name="_PPC74" localSheetId="8">#REF!</definedName>
    <definedName name="_PPC74" localSheetId="10">#REF!</definedName>
    <definedName name="_PPC74" localSheetId="28">#REF!</definedName>
    <definedName name="_PPC74">#REF!</definedName>
    <definedName name="_PPC75" localSheetId="8">#REF!</definedName>
    <definedName name="_PPC75" localSheetId="10">#REF!</definedName>
    <definedName name="_PPC75" localSheetId="28">#REF!</definedName>
    <definedName name="_PPC75">#REF!</definedName>
    <definedName name="_PPC76" localSheetId="8">#REF!</definedName>
    <definedName name="_PPC76" localSheetId="10">#REF!</definedName>
    <definedName name="_PPC76" localSheetId="28">#REF!</definedName>
    <definedName name="_PPC76">#REF!</definedName>
    <definedName name="_PPC77" localSheetId="8">#REF!</definedName>
    <definedName name="_PPC77" localSheetId="10">#REF!</definedName>
    <definedName name="_PPC77" localSheetId="28">#REF!</definedName>
    <definedName name="_PPC77">#REF!</definedName>
    <definedName name="_PPC78" localSheetId="8">#REF!</definedName>
    <definedName name="_PPC78" localSheetId="10">#REF!</definedName>
    <definedName name="_PPC78" localSheetId="28">#REF!</definedName>
    <definedName name="_PPC78">#REF!</definedName>
    <definedName name="_PPC79" localSheetId="8">#REF!</definedName>
    <definedName name="_PPC79" localSheetId="10">#REF!</definedName>
    <definedName name="_PPC79" localSheetId="28">#REF!</definedName>
    <definedName name="_PPC79">#REF!</definedName>
    <definedName name="_PPC8" localSheetId="8">#REF!</definedName>
    <definedName name="_PPC8" localSheetId="10">#REF!</definedName>
    <definedName name="_PPC8" localSheetId="28">#REF!</definedName>
    <definedName name="_PPC8">#REF!</definedName>
    <definedName name="_PPC80" localSheetId="8">#REF!</definedName>
    <definedName name="_PPC80" localSheetId="10">#REF!</definedName>
    <definedName name="_PPC80" localSheetId="28">#REF!</definedName>
    <definedName name="_PPC80">#REF!</definedName>
    <definedName name="_PPC81" localSheetId="8">#REF!</definedName>
    <definedName name="_PPC81" localSheetId="10">#REF!</definedName>
    <definedName name="_PPC81" localSheetId="28">#REF!</definedName>
    <definedName name="_PPC81">#REF!</definedName>
    <definedName name="_PPC82" localSheetId="8">#REF!</definedName>
    <definedName name="_PPC82" localSheetId="10">#REF!</definedName>
    <definedName name="_PPC82" localSheetId="28">#REF!</definedName>
    <definedName name="_PPC82">#REF!</definedName>
    <definedName name="_PPC83" localSheetId="8">#REF!</definedName>
    <definedName name="_PPC83" localSheetId="10">#REF!</definedName>
    <definedName name="_PPC83" localSheetId="28">#REF!</definedName>
    <definedName name="_PPC83">#REF!</definedName>
    <definedName name="_PPC84" localSheetId="8">#REF!</definedName>
    <definedName name="_PPC84" localSheetId="10">#REF!</definedName>
    <definedName name="_PPC84" localSheetId="28">#REF!</definedName>
    <definedName name="_PPC84">#REF!</definedName>
    <definedName name="_PPC85" localSheetId="8">#REF!</definedName>
    <definedName name="_PPC85" localSheetId="10">#REF!</definedName>
    <definedName name="_PPC85" localSheetId="28">#REF!</definedName>
    <definedName name="_PPC85">#REF!</definedName>
    <definedName name="_PPC86" localSheetId="8">#REF!</definedName>
    <definedName name="_PPC86" localSheetId="10">#REF!</definedName>
    <definedName name="_PPC86" localSheetId="28">#REF!</definedName>
    <definedName name="_PPC86">#REF!</definedName>
    <definedName name="_PPC87" localSheetId="8">#REF!</definedName>
    <definedName name="_PPC87" localSheetId="10">#REF!</definedName>
    <definedName name="_PPC87" localSheetId="28">#REF!</definedName>
    <definedName name="_PPC87">#REF!</definedName>
    <definedName name="_PPC88" localSheetId="8">#REF!</definedName>
    <definedName name="_PPC88" localSheetId="10">#REF!</definedName>
    <definedName name="_PPC88" localSheetId="28">#REF!</definedName>
    <definedName name="_PPC88">#REF!</definedName>
    <definedName name="_PPC89" localSheetId="8">#REF!</definedName>
    <definedName name="_PPC89" localSheetId="10">#REF!</definedName>
    <definedName name="_PPC89" localSheetId="28">#REF!</definedName>
    <definedName name="_PPC89">#REF!</definedName>
    <definedName name="_PPC9" localSheetId="8">#REF!</definedName>
    <definedName name="_PPC9" localSheetId="10">#REF!</definedName>
    <definedName name="_PPC9" localSheetId="28">#REF!</definedName>
    <definedName name="_PPC9">#REF!</definedName>
    <definedName name="_PPC90" localSheetId="8">#REF!</definedName>
    <definedName name="_PPC90" localSheetId="10">#REF!</definedName>
    <definedName name="_PPC90" localSheetId="28">#REF!</definedName>
    <definedName name="_PPC90">#REF!</definedName>
    <definedName name="_PPC91" localSheetId="8">#REF!</definedName>
    <definedName name="_PPC91" localSheetId="10">#REF!</definedName>
    <definedName name="_PPC91" localSheetId="28">#REF!</definedName>
    <definedName name="_PPC91">#REF!</definedName>
    <definedName name="_PPC92" localSheetId="8">#REF!</definedName>
    <definedName name="_PPC92" localSheetId="10">#REF!</definedName>
    <definedName name="_PPC92" localSheetId="28">#REF!</definedName>
    <definedName name="_PPC92">#REF!</definedName>
    <definedName name="_PPC93" localSheetId="8">#REF!</definedName>
    <definedName name="_PPC93" localSheetId="10">#REF!</definedName>
    <definedName name="_PPC93" localSheetId="28">#REF!</definedName>
    <definedName name="_PPC93">#REF!</definedName>
    <definedName name="_PPC94" localSheetId="8">#REF!</definedName>
    <definedName name="_PPC94" localSheetId="10">#REF!</definedName>
    <definedName name="_PPC94" localSheetId="28">#REF!</definedName>
    <definedName name="_PPC94">#REF!</definedName>
    <definedName name="_PPC95" localSheetId="8">#REF!</definedName>
    <definedName name="_PPC95" localSheetId="10">#REF!</definedName>
    <definedName name="_PPC95" localSheetId="28">#REF!</definedName>
    <definedName name="_PPC95">#REF!</definedName>
    <definedName name="_PPD114" localSheetId="8">#REF!</definedName>
    <definedName name="_PPD114" localSheetId="10">#REF!</definedName>
    <definedName name="_PPD114" localSheetId="28">#REF!</definedName>
    <definedName name="_PPD114">#REF!</definedName>
    <definedName name="_PPD89" localSheetId="8">#REF!</definedName>
    <definedName name="_PPD89" localSheetId="10">#REF!</definedName>
    <definedName name="_PPD89" localSheetId="28">#REF!</definedName>
    <definedName name="_PPD89">#REF!</definedName>
    <definedName name="_psc10006" localSheetId="8">#REF!</definedName>
    <definedName name="_psc10006" localSheetId="10">#REF!</definedName>
    <definedName name="_psc10006" localSheetId="11">#REF!</definedName>
    <definedName name="_psc10006" localSheetId="28">#REF!</definedName>
    <definedName name="_psc10006">#REF!</definedName>
    <definedName name="_psc10008" localSheetId="8">#REF!</definedName>
    <definedName name="_psc10008" localSheetId="10">#REF!</definedName>
    <definedName name="_psc10008" localSheetId="11">#REF!</definedName>
    <definedName name="_psc10008" localSheetId="28">#REF!</definedName>
    <definedName name="_psc10008">#REF!</definedName>
    <definedName name="_psc3506" localSheetId="8">#REF!</definedName>
    <definedName name="_psc3506" localSheetId="10">#REF!</definedName>
    <definedName name="_psc3506" localSheetId="11">#REF!</definedName>
    <definedName name="_psc3506" localSheetId="28">#REF!</definedName>
    <definedName name="_psc3506">#REF!</definedName>
    <definedName name="_psc3508" localSheetId="8">#REF!</definedName>
    <definedName name="_psc3508" localSheetId="10">#REF!</definedName>
    <definedName name="_psc3508" localSheetId="11">#REF!</definedName>
    <definedName name="_psc3508" localSheetId="28">#REF!</definedName>
    <definedName name="_psc3508">#REF!</definedName>
    <definedName name="_psc4006" localSheetId="8">#REF!</definedName>
    <definedName name="_psc4006" localSheetId="10">#REF!</definedName>
    <definedName name="_psc4006" localSheetId="11">#REF!</definedName>
    <definedName name="_psc4006" localSheetId="28">#REF!</definedName>
    <definedName name="_psc4006">#REF!</definedName>
    <definedName name="_psc4008" localSheetId="8">#REF!</definedName>
    <definedName name="_psc4008" localSheetId="10">#REF!</definedName>
    <definedName name="_psc4008" localSheetId="11">#REF!</definedName>
    <definedName name="_psc4008" localSheetId="28">#REF!</definedName>
    <definedName name="_psc4008">#REF!</definedName>
    <definedName name="_psc4506" localSheetId="8">#REF!</definedName>
    <definedName name="_psc4506" localSheetId="10">#REF!</definedName>
    <definedName name="_psc4506" localSheetId="11">#REF!</definedName>
    <definedName name="_psc4506" localSheetId="28">#REF!</definedName>
    <definedName name="_psc4506">#REF!</definedName>
    <definedName name="_psc4508" localSheetId="8">#REF!</definedName>
    <definedName name="_psc4508" localSheetId="10">#REF!</definedName>
    <definedName name="_psc4508" localSheetId="11">#REF!</definedName>
    <definedName name="_psc4508" localSheetId="28">#REF!</definedName>
    <definedName name="_psc4508">#REF!</definedName>
    <definedName name="_psc5006" localSheetId="8">#REF!</definedName>
    <definedName name="_psc5006" localSheetId="10">#REF!</definedName>
    <definedName name="_psc5006" localSheetId="11">#REF!</definedName>
    <definedName name="_psc5006" localSheetId="28">#REF!</definedName>
    <definedName name="_psc5006">#REF!</definedName>
    <definedName name="_psc5008" localSheetId="8">#REF!</definedName>
    <definedName name="_psc5008" localSheetId="10">#REF!</definedName>
    <definedName name="_psc5008" localSheetId="11">#REF!</definedName>
    <definedName name="_psc5008" localSheetId="28">#REF!</definedName>
    <definedName name="_psc5008">#REF!</definedName>
    <definedName name="_psc6006" localSheetId="8">#REF!</definedName>
    <definedName name="_psc6006" localSheetId="10">#REF!</definedName>
    <definedName name="_psc6006" localSheetId="11">#REF!</definedName>
    <definedName name="_psc6006" localSheetId="28">#REF!</definedName>
    <definedName name="_psc6006">#REF!</definedName>
    <definedName name="_psc6008" localSheetId="8">#REF!</definedName>
    <definedName name="_psc6008" localSheetId="10">#REF!</definedName>
    <definedName name="_psc6008" localSheetId="11">#REF!</definedName>
    <definedName name="_psc6008" localSheetId="28">#REF!</definedName>
    <definedName name="_psc6008">#REF!</definedName>
    <definedName name="_psc7006" localSheetId="8">#REF!</definedName>
    <definedName name="_psc7006" localSheetId="10">#REF!</definedName>
    <definedName name="_psc7006" localSheetId="11">#REF!</definedName>
    <definedName name="_psc7006" localSheetId="28">#REF!</definedName>
    <definedName name="_psc7006">#REF!</definedName>
    <definedName name="_psc7008" localSheetId="8">#REF!</definedName>
    <definedName name="_psc7008" localSheetId="10">#REF!</definedName>
    <definedName name="_psc7008" localSheetId="11">#REF!</definedName>
    <definedName name="_psc7008" localSheetId="28">#REF!</definedName>
    <definedName name="_psc7008">#REF!</definedName>
    <definedName name="_psc8006" localSheetId="8">#REF!</definedName>
    <definedName name="_psc8006" localSheetId="10">#REF!</definedName>
    <definedName name="_psc8006" localSheetId="11">#REF!</definedName>
    <definedName name="_psc8006" localSheetId="28">#REF!</definedName>
    <definedName name="_psc8006">#REF!</definedName>
    <definedName name="_psc8008" localSheetId="8">#REF!</definedName>
    <definedName name="_psc8008" localSheetId="10">#REF!</definedName>
    <definedName name="_psc8008" localSheetId="11">#REF!</definedName>
    <definedName name="_psc8008" localSheetId="28">#REF!</definedName>
    <definedName name="_psc8008">#REF!</definedName>
    <definedName name="_psc9006" localSheetId="8">#REF!</definedName>
    <definedName name="_psc9006" localSheetId="10">#REF!</definedName>
    <definedName name="_psc9006" localSheetId="11">#REF!</definedName>
    <definedName name="_psc9006" localSheetId="28">#REF!</definedName>
    <definedName name="_psc9006">#REF!</definedName>
    <definedName name="_psc9008" localSheetId="8">#REF!</definedName>
    <definedName name="_psc9008" localSheetId="10">#REF!</definedName>
    <definedName name="_psc9008" localSheetId="11">#REF!</definedName>
    <definedName name="_psc9008" localSheetId="28">#REF!</definedName>
    <definedName name="_psc9008">#REF!</definedName>
    <definedName name="_pv1" localSheetId="5">#REF!</definedName>
    <definedName name="_pv1" localSheetId="8">#REF!</definedName>
    <definedName name="_pv1" localSheetId="10">#REF!</definedName>
    <definedName name="_pv1" localSheetId="28">#REF!</definedName>
    <definedName name="_pv1" localSheetId="42">#REF!</definedName>
    <definedName name="_pv1">#REF!</definedName>
    <definedName name="_pv2" localSheetId="33">#REF!</definedName>
    <definedName name="_pv2" localSheetId="34">#REF!</definedName>
    <definedName name="_pv2" localSheetId="35">#REF!</definedName>
    <definedName name="_pv2" localSheetId="5">#REF!</definedName>
    <definedName name="_pv2" localSheetId="8">#REF!</definedName>
    <definedName name="_pv2" localSheetId="10">#REF!</definedName>
    <definedName name="_pv2" localSheetId="11">#REF!</definedName>
    <definedName name="_pv2" localSheetId="37">#REF!</definedName>
    <definedName name="_pv2" localSheetId="28">#REF!</definedName>
    <definedName name="_pv2" localSheetId="42">#REF!</definedName>
    <definedName name="_pv2" localSheetId="31">#REF!</definedName>
    <definedName name="_pv2">#REF!</definedName>
    <definedName name="_pv2_23">"$#REF!.$#REF!$#REF!"</definedName>
    <definedName name="_pv2_32">"$#REF!.$#REF!$#REF!"</definedName>
    <definedName name="_pv2_33">"$#REF!.$#REF!$#REF!"</definedName>
    <definedName name="_pv2_34">"$#REF!.$#REF!$#REF!"</definedName>
    <definedName name="_pv2_38">"$#REF!.$#REF!$#REF!"</definedName>
    <definedName name="_pv2_41">"$#REF!.$#REF!$#REF!"</definedName>
    <definedName name="_pv2_43">"$#REF!.$#REF!$#REF!"</definedName>
    <definedName name="_pv2_48">"$#REF!.$#REF!$#REF!"</definedName>
    <definedName name="_pv2_56">"$#REF!.$#REF!$#REF!"</definedName>
    <definedName name="_pv2_57">"$#REF!.$#REF!$#REF!"</definedName>
    <definedName name="_pv2_59">"$#REF!.$#REF!$#REF!"</definedName>
    <definedName name="_pv2_60">"$#REF!.$#REF!$#REF!"</definedName>
    <definedName name="_pv2_61">"$#REF!.$#REF!$#REF!"</definedName>
    <definedName name="_pv2_62">"$#REF!.$#REF!$#REF!"</definedName>
    <definedName name="_pv2_7">"$#REF!.$#REF!$#REF!"</definedName>
    <definedName name="_pv2_72">"$#REF!.$#REF!$#REF!"</definedName>
    <definedName name="_pv2_73">"$#REF!.$#REF!$#REF!"</definedName>
    <definedName name="_pv2_8">"$#REF!.$#REF!$#REF!"</definedName>
    <definedName name="_QUA" localSheetId="33">#REF!</definedName>
    <definedName name="_QUA" localSheetId="34">#REF!</definedName>
    <definedName name="_QUA" localSheetId="5">#REF!</definedName>
    <definedName name="_QUA" localSheetId="8">#REF!</definedName>
    <definedName name="_QUA" localSheetId="10">#REF!</definedName>
    <definedName name="_QUA" localSheetId="11">#REF!</definedName>
    <definedName name="_QUA" localSheetId="37">#REF!</definedName>
    <definedName name="_QUA" localSheetId="28">#REF!</definedName>
    <definedName name="_QUA" localSheetId="42">#REF!</definedName>
    <definedName name="_QUA">#REF!</definedName>
    <definedName name="_QUA_33">"$#REF!.$#REF!$#REF!"</definedName>
    <definedName name="_QUA_RABBISH" localSheetId="33">#REF!</definedName>
    <definedName name="_QUA_RABBISH" localSheetId="34">#REF!</definedName>
    <definedName name="_QUA_RABBISH" localSheetId="5">#REF!</definedName>
    <definedName name="_QUA_RABBISH" localSheetId="8">#REF!</definedName>
    <definedName name="_QUA_RABBISH" localSheetId="10">#REF!</definedName>
    <definedName name="_QUA_RABBISH" localSheetId="11">#REF!</definedName>
    <definedName name="_QUA_RABBISH" localSheetId="37">#REF!</definedName>
    <definedName name="_QUA_RABBISH" localSheetId="28">#REF!</definedName>
    <definedName name="_QUA_RABBISH" localSheetId="42">#REF!</definedName>
    <definedName name="_QUA_RABBISH">#REF!</definedName>
    <definedName name="_QUA_RABBISH_33">"$#REF!.$#REF!$#REF!"</definedName>
    <definedName name="_rabbit" localSheetId="8">#REF!</definedName>
    <definedName name="_rabbit" localSheetId="10">#REF!</definedName>
    <definedName name="_rabbit" localSheetId="11">#REF!</definedName>
    <definedName name="_rabbit" localSheetId="28">#REF!</definedName>
    <definedName name="_rabbit">#REF!</definedName>
    <definedName name="_rr3" localSheetId="37">[65]v!$A$2:$E$51</definedName>
    <definedName name="_rr3">[23]v!$A$2:$E$51</definedName>
    <definedName name="_rr3_32">#REF!</definedName>
    <definedName name="_rr3_33">#REF!</definedName>
    <definedName name="_rr3_34">#REF!</definedName>
    <definedName name="_rr3_43">#REF!</definedName>
    <definedName name="_rr3_56">#REF!</definedName>
    <definedName name="_rr3_59">#REF!</definedName>
    <definedName name="_rr3_61">#REF!</definedName>
    <definedName name="_rrr1" localSheetId="37">[65]r!$B$1:$I$145</definedName>
    <definedName name="_rrr1">[23]r!$B$1:$I$145</definedName>
    <definedName name="_rrr1_32">#REF!</definedName>
    <definedName name="_rrr1_33">#REF!</definedName>
    <definedName name="_rrr1_34">#REF!</definedName>
    <definedName name="_rrr1_43">#REF!</definedName>
    <definedName name="_rrr1_56">#REF!</definedName>
    <definedName name="_rrr1_59">#REF!</definedName>
    <definedName name="_rrr1_61">#REF!</definedName>
    <definedName name="_RS300" localSheetId="8">#REF!</definedName>
    <definedName name="_RS300" localSheetId="10">#REF!</definedName>
    <definedName name="_RS300" localSheetId="28">#REF!</definedName>
    <definedName name="_RS300">#REF!</definedName>
    <definedName name="_S06" localSheetId="33">#REF!</definedName>
    <definedName name="_S06" localSheetId="34">#REF!</definedName>
    <definedName name="_S06" localSheetId="5">#REF!</definedName>
    <definedName name="_S06" localSheetId="8">#REF!</definedName>
    <definedName name="_S06" localSheetId="10">#REF!</definedName>
    <definedName name="_S06" localSheetId="11">#REF!</definedName>
    <definedName name="_S06" localSheetId="37">#REF!</definedName>
    <definedName name="_S06" localSheetId="28">#REF!</definedName>
    <definedName name="_S06" localSheetId="42">#REF!</definedName>
    <definedName name="_S06">#REF!</definedName>
    <definedName name="_S06_33">"$#REF!.$#REF!$#REF!"</definedName>
    <definedName name="_s1" localSheetId="8">#REF!</definedName>
    <definedName name="_s1" localSheetId="10">#REF!</definedName>
    <definedName name="_s1" localSheetId="11">#REF!</definedName>
    <definedName name="_s1" localSheetId="28">#REF!</definedName>
    <definedName name="_s1">#REF!</definedName>
    <definedName name="_S10" localSheetId="33">#REF!</definedName>
    <definedName name="_S10" localSheetId="34">#REF!</definedName>
    <definedName name="_S10" localSheetId="5">#REF!</definedName>
    <definedName name="_S10" localSheetId="8">#REF!</definedName>
    <definedName name="_S10" localSheetId="10">#REF!</definedName>
    <definedName name="_S10" localSheetId="11">#REF!</definedName>
    <definedName name="_S10" localSheetId="37">#REF!</definedName>
    <definedName name="_S10" localSheetId="28">#REF!</definedName>
    <definedName name="_S10" localSheetId="42">#REF!</definedName>
    <definedName name="_S10">#REF!</definedName>
    <definedName name="_S10_33">"$#REF!.$#REF!$#REF!"</definedName>
    <definedName name="_S100" localSheetId="33">#REF!</definedName>
    <definedName name="_S100" localSheetId="34">#REF!</definedName>
    <definedName name="_S100" localSheetId="5">#REF!</definedName>
    <definedName name="_S100" localSheetId="8">#REF!</definedName>
    <definedName name="_S100" localSheetId="10">#REF!</definedName>
    <definedName name="_S100" localSheetId="11">#REF!</definedName>
    <definedName name="_S100" localSheetId="37">#REF!</definedName>
    <definedName name="_S100" localSheetId="28">#REF!</definedName>
    <definedName name="_S100" localSheetId="42">#REF!</definedName>
    <definedName name="_S100">#REF!</definedName>
    <definedName name="_S100_33">"$#REF!.$#REF!$#REF!"</definedName>
    <definedName name="_S12" localSheetId="33">#REF!</definedName>
    <definedName name="_S12" localSheetId="34">#REF!</definedName>
    <definedName name="_S12" localSheetId="5">#REF!</definedName>
    <definedName name="_S12" localSheetId="8">#REF!</definedName>
    <definedName name="_S12" localSheetId="10">#REF!</definedName>
    <definedName name="_S12" localSheetId="11">#REF!</definedName>
    <definedName name="_S12" localSheetId="37">#REF!</definedName>
    <definedName name="_S12" localSheetId="28">#REF!</definedName>
    <definedName name="_S12" localSheetId="42">#REF!</definedName>
    <definedName name="_S12">#REF!</definedName>
    <definedName name="_S12_33">"$#REF!.$#REF!$#REF!"</definedName>
    <definedName name="_s2" localSheetId="8">#REF!</definedName>
    <definedName name="_s2" localSheetId="10">#REF!</definedName>
    <definedName name="_s2" localSheetId="28">#REF!</definedName>
    <definedName name="_s2">#REF!</definedName>
    <definedName name="_S20" localSheetId="33">#REF!</definedName>
    <definedName name="_S20" localSheetId="34">#REF!</definedName>
    <definedName name="_S20" localSheetId="5">#REF!</definedName>
    <definedName name="_S20" localSheetId="8">#REF!</definedName>
    <definedName name="_S20" localSheetId="10">#REF!</definedName>
    <definedName name="_S20" localSheetId="11">#REF!</definedName>
    <definedName name="_S20" localSheetId="37">#REF!</definedName>
    <definedName name="_S20" localSheetId="28">#REF!</definedName>
    <definedName name="_S20" localSheetId="42">#REF!</definedName>
    <definedName name="_S20">#REF!</definedName>
    <definedName name="_S20_33">"$#REF!.$#REF!$#REF!"</definedName>
    <definedName name="_S25" localSheetId="33">#REF!</definedName>
    <definedName name="_S25" localSheetId="34">#REF!</definedName>
    <definedName name="_S25" localSheetId="5">#REF!</definedName>
    <definedName name="_S25" localSheetId="8">#REF!</definedName>
    <definedName name="_S25" localSheetId="10">#REF!</definedName>
    <definedName name="_S25" localSheetId="11">#REF!</definedName>
    <definedName name="_S25" localSheetId="37">#REF!</definedName>
    <definedName name="_S25" localSheetId="28">#REF!</definedName>
    <definedName name="_S25" localSheetId="42">#REF!</definedName>
    <definedName name="_S25">#REF!</definedName>
    <definedName name="_S25_33">"$#REF!.$#REF!$#REF!"</definedName>
    <definedName name="_S40" localSheetId="33">#REF!</definedName>
    <definedName name="_S40" localSheetId="34">#REF!</definedName>
    <definedName name="_S40" localSheetId="5">#REF!</definedName>
    <definedName name="_S40" localSheetId="8">#REF!</definedName>
    <definedName name="_S40" localSheetId="10">#REF!</definedName>
    <definedName name="_S40" localSheetId="11">#REF!</definedName>
    <definedName name="_S40" localSheetId="37">#REF!</definedName>
    <definedName name="_S40" localSheetId="28">#REF!</definedName>
    <definedName name="_S40" localSheetId="42">#REF!</definedName>
    <definedName name="_S40">#REF!</definedName>
    <definedName name="_S40_33">"$#REF!.$#REF!$#REF!"</definedName>
    <definedName name="_S50" localSheetId="33">#REF!</definedName>
    <definedName name="_S50" localSheetId="34">#REF!</definedName>
    <definedName name="_S50" localSheetId="5">#REF!</definedName>
    <definedName name="_S50" localSheetId="8">#REF!</definedName>
    <definedName name="_S50" localSheetId="10">#REF!</definedName>
    <definedName name="_S50" localSheetId="11">#REF!</definedName>
    <definedName name="_S50" localSheetId="37">#REF!</definedName>
    <definedName name="_S50" localSheetId="28">#REF!</definedName>
    <definedName name="_S50" localSheetId="42">#REF!</definedName>
    <definedName name="_S50">#REF!</definedName>
    <definedName name="_S50_33">"$#REF!.$#REF!$#REF!"</definedName>
    <definedName name="_S60" localSheetId="33">#REF!</definedName>
    <definedName name="_S60" localSheetId="34">#REF!</definedName>
    <definedName name="_S60" localSheetId="5">#REF!</definedName>
    <definedName name="_S60" localSheetId="8">#REF!</definedName>
    <definedName name="_S60" localSheetId="10">#REF!</definedName>
    <definedName name="_S60" localSheetId="11">#REF!</definedName>
    <definedName name="_S60" localSheetId="37">#REF!</definedName>
    <definedName name="_S60" localSheetId="28">#REF!</definedName>
    <definedName name="_S60" localSheetId="42">#REF!</definedName>
    <definedName name="_S60">#REF!</definedName>
    <definedName name="_S60_33">"$#REF!.$#REF!$#REF!"</definedName>
    <definedName name="_S65" localSheetId="33">#REF!</definedName>
    <definedName name="_S65" localSheetId="34">#REF!</definedName>
    <definedName name="_S65" localSheetId="5">#REF!</definedName>
    <definedName name="_S65" localSheetId="8">#REF!</definedName>
    <definedName name="_S65" localSheetId="10">#REF!</definedName>
    <definedName name="_S65" localSheetId="11">#REF!</definedName>
    <definedName name="_S65" localSheetId="37">#REF!</definedName>
    <definedName name="_S65" localSheetId="28">#REF!</definedName>
    <definedName name="_S65" localSheetId="42">#REF!</definedName>
    <definedName name="_S65">#REF!</definedName>
    <definedName name="_S65_33">"$#REF!.$#REF!$#REF!"</definedName>
    <definedName name="_S75" localSheetId="33">#REF!</definedName>
    <definedName name="_S75" localSheetId="34">#REF!</definedName>
    <definedName name="_S75" localSheetId="5">#REF!</definedName>
    <definedName name="_S75" localSheetId="8">#REF!</definedName>
    <definedName name="_S75" localSheetId="10">#REF!</definedName>
    <definedName name="_S75" localSheetId="11">#REF!</definedName>
    <definedName name="_S75" localSheetId="37">#REF!</definedName>
    <definedName name="_S75" localSheetId="28">#REF!</definedName>
    <definedName name="_S75" localSheetId="42">#REF!</definedName>
    <definedName name="_S75">#REF!</definedName>
    <definedName name="_S75_33">"$#REF!.$#REF!$#REF!"</definedName>
    <definedName name="_SANF" localSheetId="33">#REF!</definedName>
    <definedName name="_SANF" localSheetId="34">#REF!</definedName>
    <definedName name="_SANF" localSheetId="5">#REF!</definedName>
    <definedName name="_SANF" localSheetId="8">#REF!</definedName>
    <definedName name="_SANF" localSheetId="10">#REF!</definedName>
    <definedName name="_SANF" localSheetId="11">#REF!</definedName>
    <definedName name="_SANF" localSheetId="37">#REF!</definedName>
    <definedName name="_SANF" localSheetId="28">#REF!</definedName>
    <definedName name="_SANF" localSheetId="42">#REF!</definedName>
    <definedName name="_SANF">#REF!</definedName>
    <definedName name="_SANF_33">"$#REF!.$#REF!$#REF!"</definedName>
    <definedName name="_SANM" localSheetId="33">#REF!</definedName>
    <definedName name="_SANM" localSheetId="34">#REF!</definedName>
    <definedName name="_SANM" localSheetId="5">#REF!</definedName>
    <definedName name="_SANM" localSheetId="8">#REF!</definedName>
    <definedName name="_SANM" localSheetId="10">#REF!</definedName>
    <definedName name="_SANM" localSheetId="11">#REF!</definedName>
    <definedName name="_SANM" localSheetId="37">#REF!</definedName>
    <definedName name="_SANM" localSheetId="28">#REF!</definedName>
    <definedName name="_SANM" localSheetId="42">#REF!</definedName>
    <definedName name="_SANM">#REF!</definedName>
    <definedName name="_SANM_33">"$#REF!.$#REF!$#REF!"</definedName>
    <definedName name="_sd1" localSheetId="33">[62]m!$D$149</definedName>
    <definedName name="_sd1" localSheetId="34">[62]m!$D$149</definedName>
    <definedName name="_sd1" localSheetId="37">[61]m!$D$149</definedName>
    <definedName name="_SD1">#REF!</definedName>
    <definedName name="_SD10" localSheetId="8">#REF!</definedName>
    <definedName name="_SD10" localSheetId="10">#REF!</definedName>
    <definedName name="_SD10" localSheetId="28">#REF!</definedName>
    <definedName name="_SD10">#REF!</definedName>
    <definedName name="_SD100" localSheetId="8">#REF!</definedName>
    <definedName name="_SD100" localSheetId="10">#REF!</definedName>
    <definedName name="_SD100" localSheetId="28">#REF!</definedName>
    <definedName name="_SD100">#REF!</definedName>
    <definedName name="_SD101" localSheetId="8">#REF!</definedName>
    <definedName name="_SD101" localSheetId="10">#REF!</definedName>
    <definedName name="_SD101" localSheetId="28">#REF!</definedName>
    <definedName name="_SD101">#REF!</definedName>
    <definedName name="_SD102" localSheetId="8">#REF!</definedName>
    <definedName name="_SD102" localSheetId="10">#REF!</definedName>
    <definedName name="_SD102" localSheetId="28">#REF!</definedName>
    <definedName name="_SD102">#REF!</definedName>
    <definedName name="_SD103" localSheetId="8">#REF!</definedName>
    <definedName name="_SD103" localSheetId="10">#REF!</definedName>
    <definedName name="_SD103" localSheetId="28">#REF!</definedName>
    <definedName name="_SD103">#REF!</definedName>
    <definedName name="_SD104" localSheetId="8">#REF!</definedName>
    <definedName name="_SD104" localSheetId="10">#REF!</definedName>
    <definedName name="_SD104" localSheetId="28">#REF!</definedName>
    <definedName name="_SD104">#REF!</definedName>
    <definedName name="_SD105" localSheetId="8">#REF!</definedName>
    <definedName name="_SD105" localSheetId="10">#REF!</definedName>
    <definedName name="_SD105" localSheetId="28">#REF!</definedName>
    <definedName name="_SD105">#REF!</definedName>
    <definedName name="_SD106" localSheetId="8">#REF!</definedName>
    <definedName name="_SD106" localSheetId="10">#REF!</definedName>
    <definedName name="_SD106" localSheetId="28">#REF!</definedName>
    <definedName name="_SD106">#REF!</definedName>
    <definedName name="_SD107" localSheetId="8">#REF!</definedName>
    <definedName name="_SD107" localSheetId="10">#REF!</definedName>
    <definedName name="_SD107" localSheetId="28">#REF!</definedName>
    <definedName name="_SD107">#REF!</definedName>
    <definedName name="_SD108" localSheetId="8">#REF!</definedName>
    <definedName name="_SD108" localSheetId="10">#REF!</definedName>
    <definedName name="_SD108" localSheetId="28">#REF!</definedName>
    <definedName name="_SD108">#REF!</definedName>
    <definedName name="_SD109" localSheetId="8">#REF!</definedName>
    <definedName name="_SD109" localSheetId="10">#REF!</definedName>
    <definedName name="_SD109" localSheetId="28">#REF!</definedName>
    <definedName name="_SD109">#REF!</definedName>
    <definedName name="_SD11" localSheetId="8">#REF!</definedName>
    <definedName name="_SD11" localSheetId="10">#REF!</definedName>
    <definedName name="_SD11" localSheetId="28">#REF!</definedName>
    <definedName name="_SD11">#REF!</definedName>
    <definedName name="_SD110" localSheetId="8">#REF!</definedName>
    <definedName name="_SD110" localSheetId="10">#REF!</definedName>
    <definedName name="_SD110" localSheetId="28">#REF!</definedName>
    <definedName name="_SD110">#REF!</definedName>
    <definedName name="_SD111" localSheetId="8">#REF!</definedName>
    <definedName name="_SD111" localSheetId="10">#REF!</definedName>
    <definedName name="_SD111" localSheetId="28">#REF!</definedName>
    <definedName name="_SD111">#REF!</definedName>
    <definedName name="_SD112" localSheetId="8">#REF!</definedName>
    <definedName name="_SD112" localSheetId="10">#REF!</definedName>
    <definedName name="_SD112" localSheetId="28">#REF!</definedName>
    <definedName name="_SD112">#REF!</definedName>
    <definedName name="_SD113" localSheetId="8">#REF!</definedName>
    <definedName name="_SD113" localSheetId="10">#REF!</definedName>
    <definedName name="_SD113" localSheetId="28">#REF!</definedName>
    <definedName name="_SD113">#REF!</definedName>
    <definedName name="_SD114" localSheetId="8">#REF!</definedName>
    <definedName name="_SD114" localSheetId="10">#REF!</definedName>
    <definedName name="_SD114" localSheetId="28">#REF!</definedName>
    <definedName name="_SD114">#REF!</definedName>
    <definedName name="_SD115" localSheetId="8">#REF!</definedName>
    <definedName name="_SD115" localSheetId="10">#REF!</definedName>
    <definedName name="_SD115" localSheetId="28">#REF!</definedName>
    <definedName name="_SD115">#REF!</definedName>
    <definedName name="_SD116" localSheetId="8">#REF!</definedName>
    <definedName name="_SD116" localSheetId="10">#REF!</definedName>
    <definedName name="_SD116" localSheetId="28">#REF!</definedName>
    <definedName name="_SD116">#REF!</definedName>
    <definedName name="_SD117" localSheetId="8">#REF!</definedName>
    <definedName name="_SD117" localSheetId="10">#REF!</definedName>
    <definedName name="_SD117" localSheetId="28">#REF!</definedName>
    <definedName name="_SD117">#REF!</definedName>
    <definedName name="_SD118" localSheetId="8">#REF!</definedName>
    <definedName name="_SD118" localSheetId="10">#REF!</definedName>
    <definedName name="_SD118" localSheetId="28">#REF!</definedName>
    <definedName name="_SD118">#REF!</definedName>
    <definedName name="_SD119" localSheetId="8">#REF!</definedName>
    <definedName name="_SD119" localSheetId="10">#REF!</definedName>
    <definedName name="_SD119" localSheetId="28">#REF!</definedName>
    <definedName name="_SD119">#REF!</definedName>
    <definedName name="_SD12" localSheetId="8">#REF!</definedName>
    <definedName name="_SD12" localSheetId="10">#REF!</definedName>
    <definedName name="_SD12" localSheetId="28">#REF!</definedName>
    <definedName name="_SD12">#REF!</definedName>
    <definedName name="_SD120" localSheetId="8">#REF!</definedName>
    <definedName name="_SD120" localSheetId="10">#REF!</definedName>
    <definedName name="_SD120" localSheetId="28">#REF!</definedName>
    <definedName name="_SD120">#REF!</definedName>
    <definedName name="_SD121" localSheetId="8">#REF!</definedName>
    <definedName name="_SD121" localSheetId="10">#REF!</definedName>
    <definedName name="_SD121" localSheetId="28">#REF!</definedName>
    <definedName name="_SD121">#REF!</definedName>
    <definedName name="_SD122" localSheetId="8">#REF!</definedName>
    <definedName name="_SD122" localSheetId="10">#REF!</definedName>
    <definedName name="_SD122" localSheetId="28">#REF!</definedName>
    <definedName name="_SD122">#REF!</definedName>
    <definedName name="_SD123" localSheetId="8">#REF!</definedName>
    <definedName name="_SD123" localSheetId="10">#REF!</definedName>
    <definedName name="_SD123" localSheetId="28">#REF!</definedName>
    <definedName name="_SD123">#REF!</definedName>
    <definedName name="_SD124" localSheetId="8">#REF!</definedName>
    <definedName name="_SD124" localSheetId="10">#REF!</definedName>
    <definedName name="_SD124" localSheetId="28">#REF!</definedName>
    <definedName name="_SD124">#REF!</definedName>
    <definedName name="_SD125" localSheetId="8">#REF!</definedName>
    <definedName name="_SD125" localSheetId="10">#REF!</definedName>
    <definedName name="_SD125" localSheetId="28">#REF!</definedName>
    <definedName name="_SD125">#REF!</definedName>
    <definedName name="_SD126" localSheetId="8">#REF!</definedName>
    <definedName name="_SD126" localSheetId="10">#REF!</definedName>
    <definedName name="_SD126" localSheetId="28">#REF!</definedName>
    <definedName name="_SD126">#REF!</definedName>
    <definedName name="_SD127" localSheetId="8">#REF!</definedName>
    <definedName name="_SD127" localSheetId="10">#REF!</definedName>
    <definedName name="_SD127" localSheetId="28">#REF!</definedName>
    <definedName name="_SD127">#REF!</definedName>
    <definedName name="_SD128" localSheetId="8">#REF!</definedName>
    <definedName name="_SD128" localSheetId="10">#REF!</definedName>
    <definedName name="_SD128" localSheetId="28">#REF!</definedName>
    <definedName name="_SD128">#REF!</definedName>
    <definedName name="_SD129" localSheetId="8">#REF!</definedName>
    <definedName name="_SD129" localSheetId="10">#REF!</definedName>
    <definedName name="_SD129" localSheetId="28">#REF!</definedName>
    <definedName name="_SD129">#REF!</definedName>
    <definedName name="_SD13" localSheetId="8">#REF!</definedName>
    <definedName name="_SD13" localSheetId="10">#REF!</definedName>
    <definedName name="_SD13" localSheetId="28">#REF!</definedName>
    <definedName name="_SD13">#REF!</definedName>
    <definedName name="_SD130" localSheetId="8">#REF!</definedName>
    <definedName name="_SD130" localSheetId="10">#REF!</definedName>
    <definedName name="_SD130" localSheetId="28">#REF!</definedName>
    <definedName name="_SD130">#REF!</definedName>
    <definedName name="_SD131" localSheetId="8">#REF!</definedName>
    <definedName name="_SD131" localSheetId="10">#REF!</definedName>
    <definedName name="_SD131" localSheetId="28">#REF!</definedName>
    <definedName name="_SD131">#REF!</definedName>
    <definedName name="_SD132" localSheetId="8">#REF!</definedName>
    <definedName name="_SD132" localSheetId="10">#REF!</definedName>
    <definedName name="_SD132" localSheetId="28">#REF!</definedName>
    <definedName name="_SD132">#REF!</definedName>
    <definedName name="_SD133" localSheetId="8">#REF!</definedName>
    <definedName name="_SD133" localSheetId="10">#REF!</definedName>
    <definedName name="_SD133" localSheetId="28">#REF!</definedName>
    <definedName name="_SD133">#REF!</definedName>
    <definedName name="_SD134" localSheetId="8">#REF!</definedName>
    <definedName name="_SD134" localSheetId="10">#REF!</definedName>
    <definedName name="_SD134" localSheetId="28">#REF!</definedName>
    <definedName name="_SD134">#REF!</definedName>
    <definedName name="_SD135" localSheetId="8">#REF!</definedName>
    <definedName name="_SD135" localSheetId="10">#REF!</definedName>
    <definedName name="_SD135" localSheetId="28">#REF!</definedName>
    <definedName name="_SD135">#REF!</definedName>
    <definedName name="_SD136" localSheetId="8">#REF!</definedName>
    <definedName name="_SD136" localSheetId="10">#REF!</definedName>
    <definedName name="_SD136" localSheetId="28">#REF!</definedName>
    <definedName name="_SD136">#REF!</definedName>
    <definedName name="_SD137" localSheetId="8">#REF!</definedName>
    <definedName name="_SD137" localSheetId="10">#REF!</definedName>
    <definedName name="_SD137" localSheetId="28">#REF!</definedName>
    <definedName name="_SD137">#REF!</definedName>
    <definedName name="_SD138" localSheetId="8">#REF!</definedName>
    <definedName name="_SD138" localSheetId="10">#REF!</definedName>
    <definedName name="_SD138" localSheetId="28">#REF!</definedName>
    <definedName name="_SD138">#REF!</definedName>
    <definedName name="_SD139" localSheetId="8">#REF!</definedName>
    <definedName name="_SD139" localSheetId="10">#REF!</definedName>
    <definedName name="_SD139" localSheetId="28">#REF!</definedName>
    <definedName name="_SD139">#REF!</definedName>
    <definedName name="_SD14" localSheetId="8">#REF!</definedName>
    <definedName name="_SD14" localSheetId="10">#REF!</definedName>
    <definedName name="_SD14" localSheetId="28">#REF!</definedName>
    <definedName name="_SD14">#REF!</definedName>
    <definedName name="_SD140" localSheetId="8">#REF!</definedName>
    <definedName name="_SD140" localSheetId="10">#REF!</definedName>
    <definedName name="_SD140" localSheetId="28">#REF!</definedName>
    <definedName name="_SD140">#REF!</definedName>
    <definedName name="_SD141" localSheetId="8">#REF!</definedName>
    <definedName name="_SD141" localSheetId="10">#REF!</definedName>
    <definedName name="_SD141" localSheetId="28">#REF!</definedName>
    <definedName name="_SD141">#REF!</definedName>
    <definedName name="_SD142" localSheetId="8">#REF!</definedName>
    <definedName name="_SD142" localSheetId="10">#REF!</definedName>
    <definedName name="_SD142" localSheetId="28">#REF!</definedName>
    <definedName name="_SD142">#REF!</definedName>
    <definedName name="_SD143" localSheetId="8">#REF!</definedName>
    <definedName name="_SD143" localSheetId="10">#REF!</definedName>
    <definedName name="_SD143" localSheetId="28">#REF!</definedName>
    <definedName name="_SD143">#REF!</definedName>
    <definedName name="_SD144" localSheetId="8">#REF!</definedName>
    <definedName name="_SD144" localSheetId="10">#REF!</definedName>
    <definedName name="_SD144" localSheetId="28">#REF!</definedName>
    <definedName name="_SD144">#REF!</definedName>
    <definedName name="_SD145" localSheetId="8">#REF!</definedName>
    <definedName name="_SD145" localSheetId="10">#REF!</definedName>
    <definedName name="_SD145" localSheetId="28">#REF!</definedName>
    <definedName name="_SD145">#REF!</definedName>
    <definedName name="_SD146" localSheetId="8">#REF!</definedName>
    <definedName name="_SD146" localSheetId="10">#REF!</definedName>
    <definedName name="_SD146" localSheetId="28">#REF!</definedName>
    <definedName name="_SD146">#REF!</definedName>
    <definedName name="_SD147" localSheetId="8">#REF!</definedName>
    <definedName name="_SD147" localSheetId="10">#REF!</definedName>
    <definedName name="_SD147" localSheetId="28">#REF!</definedName>
    <definedName name="_SD147">#REF!</definedName>
    <definedName name="_SD148" localSheetId="8">#REF!</definedName>
    <definedName name="_SD148" localSheetId="10">#REF!</definedName>
    <definedName name="_SD148" localSheetId="28">#REF!</definedName>
    <definedName name="_SD148">#REF!</definedName>
    <definedName name="_SD149" localSheetId="8">#REF!</definedName>
    <definedName name="_SD149" localSheetId="10">#REF!</definedName>
    <definedName name="_SD149" localSheetId="28">#REF!</definedName>
    <definedName name="_SD149">#REF!</definedName>
    <definedName name="_SD15" localSheetId="8">#REF!</definedName>
    <definedName name="_SD15" localSheetId="10">#REF!</definedName>
    <definedName name="_SD15" localSheetId="28">#REF!</definedName>
    <definedName name="_SD15">#REF!</definedName>
    <definedName name="_SD150" localSheetId="8">#REF!</definedName>
    <definedName name="_SD150" localSheetId="10">#REF!</definedName>
    <definedName name="_SD150" localSheetId="28">#REF!</definedName>
    <definedName name="_SD150">#REF!</definedName>
    <definedName name="_SD16" localSheetId="8">#REF!</definedName>
    <definedName name="_SD16" localSheetId="10">#REF!</definedName>
    <definedName name="_SD16" localSheetId="28">#REF!</definedName>
    <definedName name="_SD16">#REF!</definedName>
    <definedName name="_SD17" localSheetId="8">#REF!</definedName>
    <definedName name="_SD17" localSheetId="10">#REF!</definedName>
    <definedName name="_SD17" localSheetId="28">#REF!</definedName>
    <definedName name="_SD17">#REF!</definedName>
    <definedName name="_SD18" localSheetId="8">#REF!</definedName>
    <definedName name="_SD18" localSheetId="10">#REF!</definedName>
    <definedName name="_SD18" localSheetId="28">#REF!</definedName>
    <definedName name="_SD18">#REF!</definedName>
    <definedName name="_SD19" localSheetId="8">#REF!</definedName>
    <definedName name="_SD19" localSheetId="10">#REF!</definedName>
    <definedName name="_SD19" localSheetId="28">#REF!</definedName>
    <definedName name="_SD19">#REF!</definedName>
    <definedName name="_SD2" localSheetId="8">#REF!</definedName>
    <definedName name="_SD2" localSheetId="10">#REF!</definedName>
    <definedName name="_SD2" localSheetId="28">#REF!</definedName>
    <definedName name="_SD2">#REF!</definedName>
    <definedName name="_SD20" localSheetId="8">#REF!</definedName>
    <definedName name="_SD20" localSheetId="10">#REF!</definedName>
    <definedName name="_SD20" localSheetId="28">#REF!</definedName>
    <definedName name="_SD20">#REF!</definedName>
    <definedName name="_SD21" localSheetId="8">#REF!</definedName>
    <definedName name="_SD21" localSheetId="10">#REF!</definedName>
    <definedName name="_SD21" localSheetId="28">#REF!</definedName>
    <definedName name="_SD21">#REF!</definedName>
    <definedName name="_SD22" localSheetId="8">#REF!</definedName>
    <definedName name="_SD22" localSheetId="10">#REF!</definedName>
    <definedName name="_SD22" localSheetId="28">#REF!</definedName>
    <definedName name="_SD22">#REF!</definedName>
    <definedName name="_SD23" localSheetId="8">#REF!</definedName>
    <definedName name="_SD23" localSheetId="10">#REF!</definedName>
    <definedName name="_SD23" localSheetId="28">#REF!</definedName>
    <definedName name="_SD23">#REF!</definedName>
    <definedName name="_SD24" localSheetId="8">#REF!</definedName>
    <definedName name="_SD24" localSheetId="10">#REF!</definedName>
    <definedName name="_SD24" localSheetId="28">#REF!</definedName>
    <definedName name="_SD24">#REF!</definedName>
    <definedName name="_SD25" localSheetId="8">#REF!</definedName>
    <definedName name="_SD25" localSheetId="10">#REF!</definedName>
    <definedName name="_SD25" localSheetId="28">#REF!</definedName>
    <definedName name="_SD25">#REF!</definedName>
    <definedName name="_SD250" localSheetId="8">#REF!</definedName>
    <definedName name="_SD250" localSheetId="10">#REF!</definedName>
    <definedName name="_SD250" localSheetId="28">#REF!</definedName>
    <definedName name="_SD250">#REF!</definedName>
    <definedName name="_SD26" localSheetId="8">#REF!</definedName>
    <definedName name="_SD26" localSheetId="10">#REF!</definedName>
    <definedName name="_SD26" localSheetId="28">#REF!</definedName>
    <definedName name="_SD26">#REF!</definedName>
    <definedName name="_SD27" localSheetId="8">#REF!</definedName>
    <definedName name="_SD27" localSheetId="10">#REF!</definedName>
    <definedName name="_SD27" localSheetId="28">#REF!</definedName>
    <definedName name="_SD27">#REF!</definedName>
    <definedName name="_SD28" localSheetId="8">#REF!</definedName>
    <definedName name="_SD28" localSheetId="10">#REF!</definedName>
    <definedName name="_SD28" localSheetId="28">#REF!</definedName>
    <definedName name="_SD28">#REF!</definedName>
    <definedName name="_SD29" localSheetId="8">#REF!</definedName>
    <definedName name="_SD29" localSheetId="10">#REF!</definedName>
    <definedName name="_SD29" localSheetId="28">#REF!</definedName>
    <definedName name="_SD29">#REF!</definedName>
    <definedName name="_SD3" localSheetId="8">#REF!</definedName>
    <definedName name="_SD3" localSheetId="10">#REF!</definedName>
    <definedName name="_SD3" localSheetId="28">#REF!</definedName>
    <definedName name="_SD3">#REF!</definedName>
    <definedName name="_SD30" localSheetId="8">#REF!</definedName>
    <definedName name="_SD30" localSheetId="10">#REF!</definedName>
    <definedName name="_SD30" localSheetId="28">#REF!</definedName>
    <definedName name="_SD30">#REF!</definedName>
    <definedName name="_SD31" localSheetId="8">#REF!</definedName>
    <definedName name="_SD31" localSheetId="10">#REF!</definedName>
    <definedName name="_SD31" localSheetId="28">#REF!</definedName>
    <definedName name="_SD31">#REF!</definedName>
    <definedName name="_SD32" localSheetId="8">#REF!</definedName>
    <definedName name="_SD32" localSheetId="10">#REF!</definedName>
    <definedName name="_SD32" localSheetId="28">#REF!</definedName>
    <definedName name="_SD32">#REF!</definedName>
    <definedName name="_SD33" localSheetId="8">#REF!</definedName>
    <definedName name="_SD33" localSheetId="10">#REF!</definedName>
    <definedName name="_SD33" localSheetId="28">#REF!</definedName>
    <definedName name="_SD33">#REF!</definedName>
    <definedName name="_SD34" localSheetId="8">#REF!</definedName>
    <definedName name="_SD34" localSheetId="10">#REF!</definedName>
    <definedName name="_SD34" localSheetId="28">#REF!</definedName>
    <definedName name="_SD34">#REF!</definedName>
    <definedName name="_SD35" localSheetId="8">#REF!</definedName>
    <definedName name="_SD35" localSheetId="10">#REF!</definedName>
    <definedName name="_SD35" localSheetId="28">#REF!</definedName>
    <definedName name="_SD35">#REF!</definedName>
    <definedName name="_SD36" localSheetId="8">#REF!</definedName>
    <definedName name="_SD36" localSheetId="10">#REF!</definedName>
    <definedName name="_SD36" localSheetId="28">#REF!</definedName>
    <definedName name="_SD36">#REF!</definedName>
    <definedName name="_SD37" localSheetId="8">#REF!</definedName>
    <definedName name="_SD37" localSheetId="10">#REF!</definedName>
    <definedName name="_SD37" localSheetId="28">#REF!</definedName>
    <definedName name="_SD37">#REF!</definedName>
    <definedName name="_SD38" localSheetId="8">#REF!</definedName>
    <definedName name="_SD38" localSheetId="10">#REF!</definedName>
    <definedName name="_SD38" localSheetId="28">#REF!</definedName>
    <definedName name="_SD38">#REF!</definedName>
    <definedName name="_SD39" localSheetId="8">#REF!</definedName>
    <definedName name="_SD39" localSheetId="10">#REF!</definedName>
    <definedName name="_SD39" localSheetId="28">#REF!</definedName>
    <definedName name="_SD39">#REF!</definedName>
    <definedName name="_SD4" localSheetId="8">#REF!</definedName>
    <definedName name="_SD4" localSheetId="10">#REF!</definedName>
    <definedName name="_SD4" localSheetId="28">#REF!</definedName>
    <definedName name="_SD4">#REF!</definedName>
    <definedName name="_SD40" localSheetId="8">#REF!</definedName>
    <definedName name="_SD40" localSheetId="10">#REF!</definedName>
    <definedName name="_SD40" localSheetId="28">#REF!</definedName>
    <definedName name="_SD40">#REF!</definedName>
    <definedName name="_SD41" localSheetId="8">#REF!</definedName>
    <definedName name="_SD41" localSheetId="10">#REF!</definedName>
    <definedName name="_SD41" localSheetId="28">#REF!</definedName>
    <definedName name="_SD41">#REF!</definedName>
    <definedName name="_SD42" localSheetId="8">#REF!</definedName>
    <definedName name="_SD42" localSheetId="10">#REF!</definedName>
    <definedName name="_SD42" localSheetId="28">#REF!</definedName>
    <definedName name="_SD42">#REF!</definedName>
    <definedName name="_SD43" localSheetId="8">#REF!</definedName>
    <definedName name="_SD43" localSheetId="10">#REF!</definedName>
    <definedName name="_SD43" localSheetId="28">#REF!</definedName>
    <definedName name="_SD43">#REF!</definedName>
    <definedName name="_SD44" localSheetId="8">#REF!</definedName>
    <definedName name="_SD44" localSheetId="10">#REF!</definedName>
    <definedName name="_SD44" localSheetId="28">#REF!</definedName>
    <definedName name="_SD44">#REF!</definedName>
    <definedName name="_SD45" localSheetId="8">#REF!</definedName>
    <definedName name="_SD45" localSheetId="10">#REF!</definedName>
    <definedName name="_SD45" localSheetId="28">#REF!</definedName>
    <definedName name="_SD45">#REF!</definedName>
    <definedName name="_SD46" localSheetId="8">#REF!</definedName>
    <definedName name="_SD46" localSheetId="10">#REF!</definedName>
    <definedName name="_SD46" localSheetId="28">#REF!</definedName>
    <definedName name="_SD46">#REF!</definedName>
    <definedName name="_SD47" localSheetId="8">#REF!</definedName>
    <definedName name="_SD47" localSheetId="10">#REF!</definedName>
    <definedName name="_SD47" localSheetId="28">#REF!</definedName>
    <definedName name="_SD47">#REF!</definedName>
    <definedName name="_SD48" localSheetId="8">#REF!</definedName>
    <definedName name="_SD48" localSheetId="10">#REF!</definedName>
    <definedName name="_SD48" localSheetId="28">#REF!</definedName>
    <definedName name="_SD48">#REF!</definedName>
    <definedName name="_SD49" localSheetId="8">#REF!</definedName>
    <definedName name="_SD49" localSheetId="10">#REF!</definedName>
    <definedName name="_SD49" localSheetId="28">#REF!</definedName>
    <definedName name="_SD49">#REF!</definedName>
    <definedName name="_SD5" localSheetId="8">#REF!</definedName>
    <definedName name="_SD5" localSheetId="10">#REF!</definedName>
    <definedName name="_SD5" localSheetId="28">#REF!</definedName>
    <definedName name="_SD5">#REF!</definedName>
    <definedName name="_SD50" localSheetId="8">#REF!</definedName>
    <definedName name="_SD50" localSheetId="10">#REF!</definedName>
    <definedName name="_SD50" localSheetId="28">#REF!</definedName>
    <definedName name="_SD50">#REF!</definedName>
    <definedName name="_SD500" localSheetId="8">#REF!</definedName>
    <definedName name="_SD500" localSheetId="10">#REF!</definedName>
    <definedName name="_SD500" localSheetId="28">#REF!</definedName>
    <definedName name="_SD500">#REF!</definedName>
    <definedName name="_SD51" localSheetId="8">#REF!</definedName>
    <definedName name="_SD51" localSheetId="10">#REF!</definedName>
    <definedName name="_SD51" localSheetId="28">#REF!</definedName>
    <definedName name="_SD51">#REF!</definedName>
    <definedName name="_SD52" localSheetId="8">#REF!</definedName>
    <definedName name="_SD52" localSheetId="10">#REF!</definedName>
    <definedName name="_SD52" localSheetId="28">#REF!</definedName>
    <definedName name="_SD52">#REF!</definedName>
    <definedName name="_SD53" localSheetId="8">#REF!</definedName>
    <definedName name="_SD53" localSheetId="10">#REF!</definedName>
    <definedName name="_SD53" localSheetId="28">#REF!</definedName>
    <definedName name="_SD53">#REF!</definedName>
    <definedName name="_SD54" localSheetId="8">#REF!</definedName>
    <definedName name="_SD54" localSheetId="10">#REF!</definedName>
    <definedName name="_SD54" localSheetId="28">#REF!</definedName>
    <definedName name="_SD54">#REF!</definedName>
    <definedName name="_SD55" localSheetId="8">#REF!</definedName>
    <definedName name="_SD55" localSheetId="10">#REF!</definedName>
    <definedName name="_SD55" localSheetId="28">#REF!</definedName>
    <definedName name="_SD55">#REF!</definedName>
    <definedName name="_SD56" localSheetId="8">#REF!</definedName>
    <definedName name="_SD56" localSheetId="10">#REF!</definedName>
    <definedName name="_SD56" localSheetId="28">#REF!</definedName>
    <definedName name="_SD56">#REF!</definedName>
    <definedName name="_SD57" localSheetId="8">#REF!</definedName>
    <definedName name="_SD57" localSheetId="10">#REF!</definedName>
    <definedName name="_SD57" localSheetId="28">#REF!</definedName>
    <definedName name="_SD57">#REF!</definedName>
    <definedName name="_SD58" localSheetId="8">#REF!</definedName>
    <definedName name="_SD58" localSheetId="10">#REF!</definedName>
    <definedName name="_SD58" localSheetId="28">#REF!</definedName>
    <definedName name="_SD58">#REF!</definedName>
    <definedName name="_SD59" localSheetId="8">#REF!</definedName>
    <definedName name="_SD59" localSheetId="10">#REF!</definedName>
    <definedName name="_SD59" localSheetId="28">#REF!</definedName>
    <definedName name="_SD59">#REF!</definedName>
    <definedName name="_SD6" localSheetId="8">#REF!</definedName>
    <definedName name="_SD6" localSheetId="10">#REF!</definedName>
    <definedName name="_SD6" localSheetId="28">#REF!</definedName>
    <definedName name="_SD6">#REF!</definedName>
    <definedName name="_SD60" localSheetId="8">#REF!</definedName>
    <definedName name="_SD60" localSheetId="10">#REF!</definedName>
    <definedName name="_SD60" localSheetId="28">#REF!</definedName>
    <definedName name="_SD60">#REF!</definedName>
    <definedName name="_SD61" localSheetId="8">#REF!</definedName>
    <definedName name="_SD61" localSheetId="10">#REF!</definedName>
    <definedName name="_SD61" localSheetId="28">#REF!</definedName>
    <definedName name="_SD61">#REF!</definedName>
    <definedName name="_SD62" localSheetId="8">#REF!</definedName>
    <definedName name="_SD62" localSheetId="10">#REF!</definedName>
    <definedName name="_SD62" localSheetId="28">#REF!</definedName>
    <definedName name="_SD62">#REF!</definedName>
    <definedName name="_SD63" localSheetId="8">#REF!</definedName>
    <definedName name="_SD63" localSheetId="10">#REF!</definedName>
    <definedName name="_SD63" localSheetId="28">#REF!</definedName>
    <definedName name="_SD63">#REF!</definedName>
    <definedName name="_SD64" localSheetId="8">#REF!</definedName>
    <definedName name="_SD64" localSheetId="10">#REF!</definedName>
    <definedName name="_SD64" localSheetId="28">#REF!</definedName>
    <definedName name="_SD64">#REF!</definedName>
    <definedName name="_SD65" localSheetId="8">#REF!</definedName>
    <definedName name="_SD65" localSheetId="10">#REF!</definedName>
    <definedName name="_SD65" localSheetId="28">#REF!</definedName>
    <definedName name="_SD65">#REF!</definedName>
    <definedName name="_SD66" localSheetId="8">#REF!</definedName>
    <definedName name="_SD66" localSheetId="10">#REF!</definedName>
    <definedName name="_SD66" localSheetId="28">#REF!</definedName>
    <definedName name="_SD66">#REF!</definedName>
    <definedName name="_SD67" localSheetId="8">#REF!</definedName>
    <definedName name="_SD67" localSheetId="10">#REF!</definedName>
    <definedName name="_SD67" localSheetId="28">#REF!</definedName>
    <definedName name="_SD67">#REF!</definedName>
    <definedName name="_SD68" localSheetId="8">#REF!</definedName>
    <definedName name="_SD68" localSheetId="10">#REF!</definedName>
    <definedName name="_SD68" localSheetId="28">#REF!</definedName>
    <definedName name="_SD68">#REF!</definedName>
    <definedName name="_SD69" localSheetId="8">#REF!</definedName>
    <definedName name="_SD69" localSheetId="10">#REF!</definedName>
    <definedName name="_SD69" localSheetId="28">#REF!</definedName>
    <definedName name="_SD69">#REF!</definedName>
    <definedName name="_SD7" localSheetId="8">#REF!</definedName>
    <definedName name="_SD7" localSheetId="10">#REF!</definedName>
    <definedName name="_SD7" localSheetId="28">#REF!</definedName>
    <definedName name="_SD7">#REF!</definedName>
    <definedName name="_SD70" localSheetId="8">#REF!</definedName>
    <definedName name="_SD70" localSheetId="10">#REF!</definedName>
    <definedName name="_SD70" localSheetId="28">#REF!</definedName>
    <definedName name="_SD70">#REF!</definedName>
    <definedName name="_SD71" localSheetId="8">#REF!</definedName>
    <definedName name="_SD71" localSheetId="10">#REF!</definedName>
    <definedName name="_SD71" localSheetId="28">#REF!</definedName>
    <definedName name="_SD71">#REF!</definedName>
    <definedName name="_SD72" localSheetId="8">#REF!</definedName>
    <definedName name="_SD72" localSheetId="10">#REF!</definedName>
    <definedName name="_SD72" localSheetId="28">#REF!</definedName>
    <definedName name="_SD72">#REF!</definedName>
    <definedName name="_SD73" localSheetId="8">#REF!</definedName>
    <definedName name="_SD73" localSheetId="10">#REF!</definedName>
    <definedName name="_SD73" localSheetId="28">#REF!</definedName>
    <definedName name="_SD73">#REF!</definedName>
    <definedName name="_SD74" localSheetId="8">#REF!</definedName>
    <definedName name="_SD74" localSheetId="10">#REF!</definedName>
    <definedName name="_SD74" localSheetId="28">#REF!</definedName>
    <definedName name="_SD74">#REF!</definedName>
    <definedName name="_SD75" localSheetId="8">#REF!</definedName>
    <definedName name="_SD75" localSheetId="10">#REF!</definedName>
    <definedName name="_SD75" localSheetId="28">#REF!</definedName>
    <definedName name="_SD75">#REF!</definedName>
    <definedName name="_SD76" localSheetId="8">#REF!</definedName>
    <definedName name="_SD76" localSheetId="10">#REF!</definedName>
    <definedName name="_SD76" localSheetId="28">#REF!</definedName>
    <definedName name="_SD76">#REF!</definedName>
    <definedName name="_SD77" localSheetId="8">#REF!</definedName>
    <definedName name="_SD77" localSheetId="10">#REF!</definedName>
    <definedName name="_SD77" localSheetId="28">#REF!</definedName>
    <definedName name="_SD77">#REF!</definedName>
    <definedName name="_SD78" localSheetId="8">#REF!</definedName>
    <definedName name="_SD78" localSheetId="10">#REF!</definedName>
    <definedName name="_SD78" localSheetId="28">#REF!</definedName>
    <definedName name="_SD78">#REF!</definedName>
    <definedName name="_SD79" localSheetId="8">#REF!</definedName>
    <definedName name="_SD79" localSheetId="10">#REF!</definedName>
    <definedName name="_SD79" localSheetId="28">#REF!</definedName>
    <definedName name="_SD79">#REF!</definedName>
    <definedName name="_SD8" localSheetId="8">#REF!</definedName>
    <definedName name="_SD8" localSheetId="10">#REF!</definedName>
    <definedName name="_SD8" localSheetId="28">#REF!</definedName>
    <definedName name="_SD8">#REF!</definedName>
    <definedName name="_SD80" localSheetId="8">#REF!</definedName>
    <definedName name="_SD80" localSheetId="10">#REF!</definedName>
    <definedName name="_SD80" localSheetId="28">#REF!</definedName>
    <definedName name="_SD80">#REF!</definedName>
    <definedName name="_SD81" localSheetId="8">#REF!</definedName>
    <definedName name="_SD81" localSheetId="10">#REF!</definedName>
    <definedName name="_SD81" localSheetId="28">#REF!</definedName>
    <definedName name="_SD81">#REF!</definedName>
    <definedName name="_SD82" localSheetId="8">#REF!</definedName>
    <definedName name="_SD82" localSheetId="10">#REF!</definedName>
    <definedName name="_SD82" localSheetId="28">#REF!</definedName>
    <definedName name="_SD82">#REF!</definedName>
    <definedName name="_SD83" localSheetId="8">#REF!</definedName>
    <definedName name="_SD83" localSheetId="10">#REF!</definedName>
    <definedName name="_SD83" localSheetId="28">#REF!</definedName>
    <definedName name="_SD83">#REF!</definedName>
    <definedName name="_SD84" localSheetId="8">#REF!</definedName>
    <definedName name="_SD84" localSheetId="10">#REF!</definedName>
    <definedName name="_SD84" localSheetId="28">#REF!</definedName>
    <definedName name="_SD84">#REF!</definedName>
    <definedName name="_SD85" localSheetId="8">#REF!</definedName>
    <definedName name="_SD85" localSheetId="10">#REF!</definedName>
    <definedName name="_SD85" localSheetId="28">#REF!</definedName>
    <definedName name="_SD85">#REF!</definedName>
    <definedName name="_SD86" localSheetId="8">#REF!</definedName>
    <definedName name="_SD86" localSheetId="10">#REF!</definedName>
    <definedName name="_SD86" localSheetId="28">#REF!</definedName>
    <definedName name="_SD86">#REF!</definedName>
    <definedName name="_SD87" localSheetId="8">#REF!</definedName>
    <definedName name="_SD87" localSheetId="10">#REF!</definedName>
    <definedName name="_SD87" localSheetId="28">#REF!</definedName>
    <definedName name="_SD87">#REF!</definedName>
    <definedName name="_SD88" localSheetId="8">#REF!</definedName>
    <definedName name="_SD88" localSheetId="10">#REF!</definedName>
    <definedName name="_SD88" localSheetId="28">#REF!</definedName>
    <definedName name="_SD88">#REF!</definedName>
    <definedName name="_SD89" localSheetId="8">#REF!</definedName>
    <definedName name="_SD89" localSheetId="10">#REF!</definedName>
    <definedName name="_SD89" localSheetId="28">#REF!</definedName>
    <definedName name="_SD89">#REF!</definedName>
    <definedName name="_SD9" localSheetId="8">#REF!</definedName>
    <definedName name="_SD9" localSheetId="10">#REF!</definedName>
    <definedName name="_SD9" localSheetId="28">#REF!</definedName>
    <definedName name="_SD9">#REF!</definedName>
    <definedName name="_SD90" localSheetId="8">#REF!</definedName>
    <definedName name="_SD90" localSheetId="10">#REF!</definedName>
    <definedName name="_SD90" localSheetId="28">#REF!</definedName>
    <definedName name="_SD90">#REF!</definedName>
    <definedName name="_SD91" localSheetId="8">#REF!</definedName>
    <definedName name="_SD91" localSheetId="10">#REF!</definedName>
    <definedName name="_SD91" localSheetId="28">#REF!</definedName>
    <definedName name="_SD91">#REF!</definedName>
    <definedName name="_SD92" localSheetId="8">#REF!</definedName>
    <definedName name="_SD92" localSheetId="10">#REF!</definedName>
    <definedName name="_SD92" localSheetId="28">#REF!</definedName>
    <definedName name="_SD92">#REF!</definedName>
    <definedName name="_SD93" localSheetId="8">#REF!</definedName>
    <definedName name="_SD93" localSheetId="10">#REF!</definedName>
    <definedName name="_SD93" localSheetId="28">#REF!</definedName>
    <definedName name="_SD93">#REF!</definedName>
    <definedName name="_SD94" localSheetId="8">#REF!</definedName>
    <definedName name="_SD94" localSheetId="10">#REF!</definedName>
    <definedName name="_SD94" localSheetId="28">#REF!</definedName>
    <definedName name="_SD94">#REF!</definedName>
    <definedName name="_SD95" localSheetId="8">#REF!</definedName>
    <definedName name="_SD95" localSheetId="10">#REF!</definedName>
    <definedName name="_SD95" localSheetId="28">#REF!</definedName>
    <definedName name="_SD95">#REF!</definedName>
    <definedName name="_SD96" localSheetId="8">#REF!</definedName>
    <definedName name="_SD96" localSheetId="10">#REF!</definedName>
    <definedName name="_SD96" localSheetId="28">#REF!</definedName>
    <definedName name="_SD96">#REF!</definedName>
    <definedName name="_SD97" localSheetId="8">#REF!</definedName>
    <definedName name="_SD97" localSheetId="10">#REF!</definedName>
    <definedName name="_SD97" localSheetId="28">#REF!</definedName>
    <definedName name="_SD97">#REF!</definedName>
    <definedName name="_SD98" localSheetId="8">#REF!</definedName>
    <definedName name="_SD98" localSheetId="10">#REF!</definedName>
    <definedName name="_SD98" localSheetId="28">#REF!</definedName>
    <definedName name="_SD98">#REF!</definedName>
    <definedName name="_SD99" localSheetId="8">#REF!</definedName>
    <definedName name="_SD99" localSheetId="10">#REF!</definedName>
    <definedName name="_SD99" localSheetId="28">#REF!</definedName>
    <definedName name="_SD99">#REF!</definedName>
    <definedName name="_shahbad" localSheetId="8">#REF!</definedName>
    <definedName name="_shahbad" localSheetId="10">#REF!</definedName>
    <definedName name="_shahbad" localSheetId="11">#REF!</definedName>
    <definedName name="_shahbad" localSheetId="28">#REF!</definedName>
    <definedName name="_shahbad">#REF!</definedName>
    <definedName name="_skirting_grn" localSheetId="8">#REF!</definedName>
    <definedName name="_skirting_grn" localSheetId="10">#REF!</definedName>
    <definedName name="_skirting_grn" localSheetId="11">#REF!</definedName>
    <definedName name="_skirting_grn" localSheetId="28">#REF!</definedName>
    <definedName name="_skirting_grn">#REF!</definedName>
    <definedName name="_skirting_vit" localSheetId="8">#REF!</definedName>
    <definedName name="_skirting_vit" localSheetId="10">#REF!</definedName>
    <definedName name="_skirting_vit" localSheetId="11">#REF!</definedName>
    <definedName name="_skirting_vit" localSheetId="28">#REF!</definedName>
    <definedName name="_skirting_vit">#REF!</definedName>
    <definedName name="_SO016" localSheetId="8">#REF!</definedName>
    <definedName name="_SO016" localSheetId="10">#REF!</definedName>
    <definedName name="_SO016" localSheetId="11">#REF!</definedName>
    <definedName name="_SO016" localSheetId="28">#REF!</definedName>
    <definedName name="_SO016">#REF!</definedName>
    <definedName name="_Sort" localSheetId="28" hidden="1">#REF!</definedName>
    <definedName name="_SP001" localSheetId="8">#REF!</definedName>
    <definedName name="_SP001" localSheetId="10">#REF!</definedName>
    <definedName name="_SP001" localSheetId="11">#REF!</definedName>
    <definedName name="_SP001" localSheetId="28">#REF!</definedName>
    <definedName name="_SP001">#REF!</definedName>
    <definedName name="_SP002" localSheetId="8">#REF!</definedName>
    <definedName name="_SP002" localSheetId="10">#REF!</definedName>
    <definedName name="_SP002" localSheetId="11">#REF!</definedName>
    <definedName name="_SP002" localSheetId="28">#REF!</definedName>
    <definedName name="_SP002">#REF!</definedName>
    <definedName name="_SP003" localSheetId="8">#REF!</definedName>
    <definedName name="_SP003" localSheetId="10">#REF!</definedName>
    <definedName name="_SP003" localSheetId="11">#REF!</definedName>
    <definedName name="_SP003" localSheetId="28">#REF!</definedName>
    <definedName name="_SP003">#REF!</definedName>
    <definedName name="_SP004" localSheetId="8">#REF!</definedName>
    <definedName name="_SP004" localSheetId="10">#REF!</definedName>
    <definedName name="_SP004" localSheetId="11">#REF!</definedName>
    <definedName name="_SP004" localSheetId="28">#REF!</definedName>
    <definedName name="_SP004">#REF!</definedName>
    <definedName name="_SP005" localSheetId="8">#REF!</definedName>
    <definedName name="_SP005" localSheetId="10">#REF!</definedName>
    <definedName name="_SP005" localSheetId="11">#REF!</definedName>
    <definedName name="_SP005" localSheetId="28">#REF!</definedName>
    <definedName name="_SP005">#REF!</definedName>
    <definedName name="_SP006" localSheetId="8">#REF!</definedName>
    <definedName name="_SP006" localSheetId="10">#REF!</definedName>
    <definedName name="_SP006" localSheetId="11">#REF!</definedName>
    <definedName name="_SP006" localSheetId="28">#REF!</definedName>
    <definedName name="_SP006">#REF!</definedName>
    <definedName name="_SP007" localSheetId="8">#REF!</definedName>
    <definedName name="_SP007" localSheetId="10">#REF!</definedName>
    <definedName name="_SP007" localSheetId="11">#REF!</definedName>
    <definedName name="_SP007" localSheetId="28">#REF!</definedName>
    <definedName name="_SP007">#REF!</definedName>
    <definedName name="_SP008" localSheetId="8">#REF!</definedName>
    <definedName name="_SP008" localSheetId="10">#REF!</definedName>
    <definedName name="_SP008" localSheetId="11">#REF!</definedName>
    <definedName name="_SP008" localSheetId="28">#REF!</definedName>
    <definedName name="_SP008">#REF!</definedName>
    <definedName name="_SP009" localSheetId="8">#REF!</definedName>
    <definedName name="_SP009" localSheetId="10">#REF!</definedName>
    <definedName name="_SP009" localSheetId="11">#REF!</definedName>
    <definedName name="_SP009" localSheetId="28">#REF!</definedName>
    <definedName name="_SP009">#REF!</definedName>
    <definedName name="_SP010" localSheetId="8">#REF!</definedName>
    <definedName name="_SP010" localSheetId="10">#REF!</definedName>
    <definedName name="_SP010" localSheetId="11">#REF!</definedName>
    <definedName name="_SP010" localSheetId="28">#REF!</definedName>
    <definedName name="_SP010">#REF!</definedName>
    <definedName name="_SP011" localSheetId="8">#REF!</definedName>
    <definedName name="_SP011" localSheetId="10">#REF!</definedName>
    <definedName name="_SP011" localSheetId="11">#REF!</definedName>
    <definedName name="_SP011" localSheetId="28">#REF!</definedName>
    <definedName name="_SP011">#REF!</definedName>
    <definedName name="_SP012" localSheetId="8">#REF!</definedName>
    <definedName name="_SP012" localSheetId="10">#REF!</definedName>
    <definedName name="_SP012" localSheetId="11">#REF!</definedName>
    <definedName name="_SP012" localSheetId="28">#REF!</definedName>
    <definedName name="_SP012">#REF!</definedName>
    <definedName name="_SP013" localSheetId="8">#REF!</definedName>
    <definedName name="_SP013" localSheetId="10">#REF!</definedName>
    <definedName name="_SP013" localSheetId="11">#REF!</definedName>
    <definedName name="_SP013" localSheetId="28">#REF!</definedName>
    <definedName name="_SP013">#REF!</definedName>
    <definedName name="_SP014" localSheetId="8">#REF!</definedName>
    <definedName name="_SP014" localSheetId="10">#REF!</definedName>
    <definedName name="_SP014" localSheetId="11">#REF!</definedName>
    <definedName name="_SP014" localSheetId="28">#REF!</definedName>
    <definedName name="_SP014">#REF!</definedName>
    <definedName name="_SP015" localSheetId="8">#REF!</definedName>
    <definedName name="_SP015" localSheetId="10">#REF!</definedName>
    <definedName name="_SP015" localSheetId="11">#REF!</definedName>
    <definedName name="_SP015" localSheetId="28">#REF!</definedName>
    <definedName name="_SP015">#REF!</definedName>
    <definedName name="_SP016" localSheetId="8">#REF!</definedName>
    <definedName name="_SP016" localSheetId="10">#REF!</definedName>
    <definedName name="_SP016" localSheetId="11">#REF!</definedName>
    <definedName name="_SP016" localSheetId="28">#REF!</definedName>
    <definedName name="_SP016">#REF!</definedName>
    <definedName name="_SP017" localSheetId="8">#REF!</definedName>
    <definedName name="_SP017" localSheetId="10">#REF!</definedName>
    <definedName name="_SP017" localSheetId="11">#REF!</definedName>
    <definedName name="_SP017" localSheetId="28">#REF!</definedName>
    <definedName name="_SP017">#REF!</definedName>
    <definedName name="_SP018" localSheetId="8">#REF!</definedName>
    <definedName name="_SP018" localSheetId="10">#REF!</definedName>
    <definedName name="_SP018" localSheetId="11">#REF!</definedName>
    <definedName name="_SP018" localSheetId="28">#REF!</definedName>
    <definedName name="_SP018">#REF!</definedName>
    <definedName name="_SP019" localSheetId="8">#REF!</definedName>
    <definedName name="_SP019" localSheetId="10">#REF!</definedName>
    <definedName name="_SP019" localSheetId="11">#REF!</definedName>
    <definedName name="_SP019" localSheetId="28">#REF!</definedName>
    <definedName name="_SP019">#REF!</definedName>
    <definedName name="_SP020" localSheetId="8">#REF!</definedName>
    <definedName name="_SP020" localSheetId="10">#REF!</definedName>
    <definedName name="_SP020" localSheetId="11">#REF!</definedName>
    <definedName name="_SP020" localSheetId="28">#REF!</definedName>
    <definedName name="_SP020">#REF!</definedName>
    <definedName name="_SP021" localSheetId="8">#REF!</definedName>
    <definedName name="_SP021" localSheetId="10">#REF!</definedName>
    <definedName name="_SP021" localSheetId="11">#REF!</definedName>
    <definedName name="_SP021" localSheetId="28">#REF!</definedName>
    <definedName name="_SP021">#REF!</definedName>
    <definedName name="_SP022" localSheetId="8">#REF!</definedName>
    <definedName name="_SP022" localSheetId="10">#REF!</definedName>
    <definedName name="_SP022" localSheetId="11">#REF!</definedName>
    <definedName name="_SP022" localSheetId="28">#REF!</definedName>
    <definedName name="_SP022">#REF!</definedName>
    <definedName name="_SP023" localSheetId="8">#REF!</definedName>
    <definedName name="_SP023" localSheetId="10">#REF!</definedName>
    <definedName name="_SP023" localSheetId="11">#REF!</definedName>
    <definedName name="_SP023" localSheetId="28">#REF!</definedName>
    <definedName name="_SP023">#REF!</definedName>
    <definedName name="_SP024" localSheetId="8">#REF!</definedName>
    <definedName name="_SP024" localSheetId="10">#REF!</definedName>
    <definedName name="_SP024" localSheetId="11">#REF!</definedName>
    <definedName name="_SP024" localSheetId="28">#REF!</definedName>
    <definedName name="_SP024">#REF!</definedName>
    <definedName name="_SP025" localSheetId="8">#REF!</definedName>
    <definedName name="_SP025" localSheetId="10">#REF!</definedName>
    <definedName name="_SP025" localSheetId="11">#REF!</definedName>
    <definedName name="_SP025" localSheetId="28">#REF!</definedName>
    <definedName name="_SP025">#REF!</definedName>
    <definedName name="_SP026" localSheetId="8">#REF!</definedName>
    <definedName name="_SP026" localSheetId="10">#REF!</definedName>
    <definedName name="_SP026" localSheetId="11">#REF!</definedName>
    <definedName name="_SP026" localSheetId="28">#REF!</definedName>
    <definedName name="_SP026">#REF!</definedName>
    <definedName name="_SP027" localSheetId="8">#REF!</definedName>
    <definedName name="_SP027" localSheetId="10">#REF!</definedName>
    <definedName name="_SP027" localSheetId="11">#REF!</definedName>
    <definedName name="_SP027" localSheetId="28">#REF!</definedName>
    <definedName name="_SP027">#REF!</definedName>
    <definedName name="_SP028" localSheetId="8">#REF!</definedName>
    <definedName name="_SP028" localSheetId="10">#REF!</definedName>
    <definedName name="_SP028" localSheetId="11">#REF!</definedName>
    <definedName name="_SP028" localSheetId="28">#REF!</definedName>
    <definedName name="_SP028">#REF!</definedName>
    <definedName name="_SP029" localSheetId="8">#REF!</definedName>
    <definedName name="_SP029" localSheetId="10">#REF!</definedName>
    <definedName name="_SP029" localSheetId="11">#REF!</definedName>
    <definedName name="_SP029" localSheetId="28">#REF!</definedName>
    <definedName name="_SP029">#REF!</definedName>
    <definedName name="_SP030" localSheetId="8">#REF!</definedName>
    <definedName name="_SP030" localSheetId="10">#REF!</definedName>
    <definedName name="_SP030" localSheetId="11">#REF!</definedName>
    <definedName name="_SP030" localSheetId="28">#REF!</definedName>
    <definedName name="_SP030">#REF!</definedName>
    <definedName name="_SP031" localSheetId="8">#REF!</definedName>
    <definedName name="_SP031" localSheetId="10">#REF!</definedName>
    <definedName name="_SP031" localSheetId="11">#REF!</definedName>
    <definedName name="_SP031" localSheetId="28">#REF!</definedName>
    <definedName name="_SP031">#REF!</definedName>
    <definedName name="_SP032" localSheetId="8">#REF!</definedName>
    <definedName name="_SP032" localSheetId="10">#REF!</definedName>
    <definedName name="_SP032" localSheetId="11">#REF!</definedName>
    <definedName name="_SP032" localSheetId="28">#REF!</definedName>
    <definedName name="_SP032">#REF!</definedName>
    <definedName name="_SP033" localSheetId="8">#REF!</definedName>
    <definedName name="_SP033" localSheetId="10">#REF!</definedName>
    <definedName name="_SP033" localSheetId="11">#REF!</definedName>
    <definedName name="_SP033" localSheetId="28">#REF!</definedName>
    <definedName name="_SP033">#REF!</definedName>
    <definedName name="_SP034" localSheetId="8">#REF!</definedName>
    <definedName name="_SP034" localSheetId="10">#REF!</definedName>
    <definedName name="_SP034" localSheetId="11">#REF!</definedName>
    <definedName name="_SP034" localSheetId="28">#REF!</definedName>
    <definedName name="_SP034">#REF!</definedName>
    <definedName name="_SP035" localSheetId="8">#REF!</definedName>
    <definedName name="_SP035" localSheetId="10">#REF!</definedName>
    <definedName name="_SP035" localSheetId="11">#REF!</definedName>
    <definedName name="_SP035" localSheetId="28">#REF!</definedName>
    <definedName name="_SP035">#REF!</definedName>
    <definedName name="_SP036" localSheetId="8">#REF!</definedName>
    <definedName name="_SP036" localSheetId="10">#REF!</definedName>
    <definedName name="_SP036" localSheetId="11">#REF!</definedName>
    <definedName name="_SP036" localSheetId="28">#REF!</definedName>
    <definedName name="_SP036">#REF!</definedName>
    <definedName name="_SP037" localSheetId="8">#REF!</definedName>
    <definedName name="_SP037" localSheetId="10">#REF!</definedName>
    <definedName name="_SP037" localSheetId="11">#REF!</definedName>
    <definedName name="_SP037" localSheetId="28">#REF!</definedName>
    <definedName name="_SP037">#REF!</definedName>
    <definedName name="_SP038" localSheetId="8">#REF!</definedName>
    <definedName name="_SP038" localSheetId="10">#REF!</definedName>
    <definedName name="_SP038" localSheetId="11">#REF!</definedName>
    <definedName name="_SP038" localSheetId="28">#REF!</definedName>
    <definedName name="_SP038">#REF!</definedName>
    <definedName name="_SP039" localSheetId="8">#REF!</definedName>
    <definedName name="_SP039" localSheetId="10">#REF!</definedName>
    <definedName name="_SP039" localSheetId="11">#REF!</definedName>
    <definedName name="_SP039" localSheetId="28">#REF!</definedName>
    <definedName name="_SP039">#REF!</definedName>
    <definedName name="_SP040" localSheetId="8">#REF!</definedName>
    <definedName name="_SP040" localSheetId="10">#REF!</definedName>
    <definedName name="_SP040" localSheetId="11">#REF!</definedName>
    <definedName name="_SP040" localSheetId="28">#REF!</definedName>
    <definedName name="_SP040">#REF!</definedName>
    <definedName name="_SP041" localSheetId="8">#REF!</definedName>
    <definedName name="_SP041" localSheetId="10">#REF!</definedName>
    <definedName name="_SP041" localSheetId="11">#REF!</definedName>
    <definedName name="_SP041" localSheetId="28">#REF!</definedName>
    <definedName name="_SP041">#REF!</definedName>
    <definedName name="_SP042" localSheetId="8">#REF!</definedName>
    <definedName name="_SP042" localSheetId="10">#REF!</definedName>
    <definedName name="_SP042" localSheetId="11">#REF!</definedName>
    <definedName name="_SP042" localSheetId="28">#REF!</definedName>
    <definedName name="_SP042">#REF!</definedName>
    <definedName name="_SP043" localSheetId="8">#REF!</definedName>
    <definedName name="_SP043" localSheetId="10">#REF!</definedName>
    <definedName name="_SP043" localSheetId="11">#REF!</definedName>
    <definedName name="_SP043" localSheetId="28">#REF!</definedName>
    <definedName name="_SP043">#REF!</definedName>
    <definedName name="_SP044" localSheetId="8">#REF!</definedName>
    <definedName name="_SP044" localSheetId="10">#REF!</definedName>
    <definedName name="_SP044" localSheetId="11">#REF!</definedName>
    <definedName name="_SP044" localSheetId="28">#REF!</definedName>
    <definedName name="_SP044">#REF!</definedName>
    <definedName name="_SP045" localSheetId="8">#REF!</definedName>
    <definedName name="_SP045" localSheetId="10">#REF!</definedName>
    <definedName name="_SP045" localSheetId="11">#REF!</definedName>
    <definedName name="_SP045" localSheetId="28">#REF!</definedName>
    <definedName name="_SP045">#REF!</definedName>
    <definedName name="_SP046" localSheetId="8">#REF!</definedName>
    <definedName name="_SP046" localSheetId="10">#REF!</definedName>
    <definedName name="_SP046" localSheetId="11">#REF!</definedName>
    <definedName name="_SP046" localSheetId="28">#REF!</definedName>
    <definedName name="_SP046">#REF!</definedName>
    <definedName name="_SP047" localSheetId="8">#REF!</definedName>
    <definedName name="_SP047" localSheetId="10">#REF!</definedName>
    <definedName name="_SP047" localSheetId="11">#REF!</definedName>
    <definedName name="_SP047" localSheetId="28">#REF!</definedName>
    <definedName name="_SP047">#REF!</definedName>
    <definedName name="_SP048" localSheetId="8">#REF!</definedName>
    <definedName name="_SP048" localSheetId="10">#REF!</definedName>
    <definedName name="_SP048" localSheetId="11">#REF!</definedName>
    <definedName name="_SP048" localSheetId="28">#REF!</definedName>
    <definedName name="_SP048">#REF!</definedName>
    <definedName name="_SP049" localSheetId="8">#REF!</definedName>
    <definedName name="_SP049" localSheetId="10">#REF!</definedName>
    <definedName name="_SP049" localSheetId="11">#REF!</definedName>
    <definedName name="_SP049" localSheetId="28">#REF!</definedName>
    <definedName name="_SP049">#REF!</definedName>
    <definedName name="_SP050" localSheetId="8">#REF!</definedName>
    <definedName name="_SP050" localSheetId="10">#REF!</definedName>
    <definedName name="_SP050" localSheetId="11">#REF!</definedName>
    <definedName name="_SP050" localSheetId="28">#REF!</definedName>
    <definedName name="_SP050">#REF!</definedName>
    <definedName name="_SP051" localSheetId="8">#REF!</definedName>
    <definedName name="_SP051" localSheetId="10">#REF!</definedName>
    <definedName name="_SP051" localSheetId="11">#REF!</definedName>
    <definedName name="_SP051" localSheetId="28">#REF!</definedName>
    <definedName name="_SP051">#REF!</definedName>
    <definedName name="_SP052" localSheetId="8">#REF!</definedName>
    <definedName name="_SP052" localSheetId="10">#REF!</definedName>
    <definedName name="_SP052" localSheetId="11">#REF!</definedName>
    <definedName name="_SP052" localSheetId="28">#REF!</definedName>
    <definedName name="_SP052">#REF!</definedName>
    <definedName name="_SP053" localSheetId="8">#REF!</definedName>
    <definedName name="_SP053" localSheetId="10">#REF!</definedName>
    <definedName name="_SP053" localSheetId="11">#REF!</definedName>
    <definedName name="_SP053" localSheetId="28">#REF!</definedName>
    <definedName name="_SP053">#REF!</definedName>
    <definedName name="_SP054" localSheetId="8">#REF!</definedName>
    <definedName name="_SP054" localSheetId="10">#REF!</definedName>
    <definedName name="_SP054" localSheetId="11">#REF!</definedName>
    <definedName name="_SP054" localSheetId="28">#REF!</definedName>
    <definedName name="_SP054">#REF!</definedName>
    <definedName name="_SP055" localSheetId="8">#REF!</definedName>
    <definedName name="_SP055" localSheetId="10">#REF!</definedName>
    <definedName name="_SP055" localSheetId="11">#REF!</definedName>
    <definedName name="_SP055" localSheetId="28">#REF!</definedName>
    <definedName name="_SP055">#REF!</definedName>
    <definedName name="_SP056" localSheetId="8">#REF!</definedName>
    <definedName name="_SP056" localSheetId="10">#REF!</definedName>
    <definedName name="_SP056" localSheetId="11">#REF!</definedName>
    <definedName name="_SP056" localSheetId="28">#REF!</definedName>
    <definedName name="_SP056">#REF!</definedName>
    <definedName name="_SP057" localSheetId="8">#REF!</definedName>
    <definedName name="_SP057" localSheetId="10">#REF!</definedName>
    <definedName name="_SP057" localSheetId="11">#REF!</definedName>
    <definedName name="_SP057" localSheetId="28">#REF!</definedName>
    <definedName name="_SP057">#REF!</definedName>
    <definedName name="_SP058" localSheetId="8">#REF!</definedName>
    <definedName name="_SP058" localSheetId="10">#REF!</definedName>
    <definedName name="_SP058" localSheetId="11">#REF!</definedName>
    <definedName name="_SP058" localSheetId="28">#REF!</definedName>
    <definedName name="_SP058">#REF!</definedName>
    <definedName name="_SP059" localSheetId="8">#REF!</definedName>
    <definedName name="_SP059" localSheetId="10">#REF!</definedName>
    <definedName name="_SP059" localSheetId="11">#REF!</definedName>
    <definedName name="_SP059" localSheetId="28">#REF!</definedName>
    <definedName name="_SP059">#REF!</definedName>
    <definedName name="_SP060" localSheetId="8">#REF!</definedName>
    <definedName name="_SP060" localSheetId="10">#REF!</definedName>
    <definedName name="_SP060" localSheetId="11">#REF!</definedName>
    <definedName name="_SP060" localSheetId="28">#REF!</definedName>
    <definedName name="_SP060">#REF!</definedName>
    <definedName name="_SP061" localSheetId="8">#REF!</definedName>
    <definedName name="_SP061" localSheetId="10">#REF!</definedName>
    <definedName name="_SP061" localSheetId="11">#REF!</definedName>
    <definedName name="_SP061" localSheetId="28">#REF!</definedName>
    <definedName name="_SP061">#REF!</definedName>
    <definedName name="_SP062" localSheetId="8">#REF!</definedName>
    <definedName name="_SP062" localSheetId="10">#REF!</definedName>
    <definedName name="_SP062" localSheetId="11">#REF!</definedName>
    <definedName name="_SP062" localSheetId="28">#REF!</definedName>
    <definedName name="_SP062">#REF!</definedName>
    <definedName name="_SP063" localSheetId="8">#REF!</definedName>
    <definedName name="_SP063" localSheetId="10">#REF!</definedName>
    <definedName name="_SP063" localSheetId="11">#REF!</definedName>
    <definedName name="_SP063" localSheetId="28">#REF!</definedName>
    <definedName name="_SP063">#REF!</definedName>
    <definedName name="_SP064" localSheetId="8">#REF!</definedName>
    <definedName name="_SP064" localSheetId="10">#REF!</definedName>
    <definedName name="_SP064" localSheetId="11">#REF!</definedName>
    <definedName name="_SP064" localSheetId="28">#REF!</definedName>
    <definedName name="_SP064">#REF!</definedName>
    <definedName name="_SP065" localSheetId="8">#REF!</definedName>
    <definedName name="_SP065" localSheetId="10">#REF!</definedName>
    <definedName name="_SP065" localSheetId="11">#REF!</definedName>
    <definedName name="_SP065" localSheetId="28">#REF!</definedName>
    <definedName name="_SP065">#REF!</definedName>
    <definedName name="_SP066" localSheetId="8">#REF!</definedName>
    <definedName name="_SP066" localSheetId="10">#REF!</definedName>
    <definedName name="_SP066" localSheetId="11">#REF!</definedName>
    <definedName name="_SP066" localSheetId="28">#REF!</definedName>
    <definedName name="_SP066">#REF!</definedName>
    <definedName name="_SP067" localSheetId="8">#REF!</definedName>
    <definedName name="_SP067" localSheetId="10">#REF!</definedName>
    <definedName name="_SP067" localSheetId="11">#REF!</definedName>
    <definedName name="_SP067" localSheetId="28">#REF!</definedName>
    <definedName name="_SP067">#REF!</definedName>
    <definedName name="_SP068" localSheetId="8">#REF!</definedName>
    <definedName name="_SP068" localSheetId="10">#REF!</definedName>
    <definedName name="_SP068" localSheetId="11">#REF!</definedName>
    <definedName name="_SP068" localSheetId="28">#REF!</definedName>
    <definedName name="_SP068">#REF!</definedName>
    <definedName name="_SP069" localSheetId="8">#REF!</definedName>
    <definedName name="_SP069" localSheetId="10">#REF!</definedName>
    <definedName name="_SP069" localSheetId="11">#REF!</definedName>
    <definedName name="_SP069" localSheetId="28">#REF!</definedName>
    <definedName name="_SP069">#REF!</definedName>
    <definedName name="_SP070" localSheetId="8">#REF!</definedName>
    <definedName name="_SP070" localSheetId="10">#REF!</definedName>
    <definedName name="_SP070" localSheetId="11">#REF!</definedName>
    <definedName name="_SP070" localSheetId="28">#REF!</definedName>
    <definedName name="_SP070">#REF!</definedName>
    <definedName name="_sp071" localSheetId="8">#REF!</definedName>
    <definedName name="_sp071" localSheetId="10">#REF!</definedName>
    <definedName name="_sp071" localSheetId="11">#REF!</definedName>
    <definedName name="_sp071" localSheetId="28">#REF!</definedName>
    <definedName name="_sp071">#REF!</definedName>
    <definedName name="_SP072" localSheetId="8">#REF!</definedName>
    <definedName name="_SP072" localSheetId="10">#REF!</definedName>
    <definedName name="_SP072" localSheetId="11">#REF!</definedName>
    <definedName name="_SP072" localSheetId="28">#REF!</definedName>
    <definedName name="_SP072">#REF!</definedName>
    <definedName name="_SP073" localSheetId="8">#REF!</definedName>
    <definedName name="_SP073" localSheetId="10">#REF!</definedName>
    <definedName name="_SP073" localSheetId="11">#REF!</definedName>
    <definedName name="_SP073" localSheetId="28">#REF!</definedName>
    <definedName name="_SP073">#REF!</definedName>
    <definedName name="_SP074" localSheetId="8">#REF!</definedName>
    <definedName name="_SP074" localSheetId="10">#REF!</definedName>
    <definedName name="_SP074" localSheetId="11">#REF!</definedName>
    <definedName name="_SP074" localSheetId="28">#REF!</definedName>
    <definedName name="_SP074">#REF!</definedName>
    <definedName name="_SP075" localSheetId="8">#REF!</definedName>
    <definedName name="_SP075" localSheetId="10">#REF!</definedName>
    <definedName name="_SP075" localSheetId="11">#REF!</definedName>
    <definedName name="_SP075" localSheetId="28">#REF!</definedName>
    <definedName name="_SP075">#REF!</definedName>
    <definedName name="_SP076" localSheetId="8">#REF!</definedName>
    <definedName name="_SP076" localSheetId="10">#REF!</definedName>
    <definedName name="_SP076" localSheetId="11">#REF!</definedName>
    <definedName name="_SP076" localSheetId="28">#REF!</definedName>
    <definedName name="_SP076">#REF!</definedName>
    <definedName name="_SP077" localSheetId="8">#REF!</definedName>
    <definedName name="_SP077" localSheetId="10">#REF!</definedName>
    <definedName name="_SP077" localSheetId="11">#REF!</definedName>
    <definedName name="_SP077" localSheetId="28">#REF!</definedName>
    <definedName name="_SP077">#REF!</definedName>
    <definedName name="_sp078" localSheetId="8">#REF!</definedName>
    <definedName name="_sp078" localSheetId="10">#REF!</definedName>
    <definedName name="_sp078" localSheetId="11">#REF!</definedName>
    <definedName name="_sp078" localSheetId="28">#REF!</definedName>
    <definedName name="_sp078">#REF!</definedName>
    <definedName name="_SPO79" localSheetId="8">#REF!</definedName>
    <definedName name="_SPO79" localSheetId="10">#REF!</definedName>
    <definedName name="_SPO79" localSheetId="11">#REF!</definedName>
    <definedName name="_SPO79" localSheetId="28">#REF!</definedName>
    <definedName name="_SPO79">#REF!</definedName>
    <definedName name="_ss12" localSheetId="37">[66]rdamdata!$J$8</definedName>
    <definedName name="_ss12">[25]rdamdata!$J$8</definedName>
    <definedName name="_ss12_32">#REF!</definedName>
    <definedName name="_ss12_33">#REF!</definedName>
    <definedName name="_ss12_34">#REF!</definedName>
    <definedName name="_ss12_43">#REF!</definedName>
    <definedName name="_ss12_56">#REF!</definedName>
    <definedName name="_ss12_59">#REF!</definedName>
    <definedName name="_ss12_61">#REF!</definedName>
    <definedName name="_ss20" localSheetId="37">[66]rdamdata!$J$7</definedName>
    <definedName name="_ss20">[25]rdamdata!$J$7</definedName>
    <definedName name="_ss20_32">#REF!</definedName>
    <definedName name="_ss20_33">#REF!</definedName>
    <definedName name="_ss20_34">#REF!</definedName>
    <definedName name="_ss20_43">#REF!</definedName>
    <definedName name="_ss20_56">#REF!</definedName>
    <definedName name="_ss20_59">#REF!</definedName>
    <definedName name="_ss20_61">#REF!</definedName>
    <definedName name="_ss40" localSheetId="37">[66]rdamdata!$J$6</definedName>
    <definedName name="_ss40">[25]rdamdata!$J$6</definedName>
    <definedName name="_ss40_32">#REF!</definedName>
    <definedName name="_ss40_33">#REF!</definedName>
    <definedName name="_ss40_34">#REF!</definedName>
    <definedName name="_ss40_43">#REF!</definedName>
    <definedName name="_ss40_56">#REF!</definedName>
    <definedName name="_ss40_59">#REF!</definedName>
    <definedName name="_ss40_61">#REF!</definedName>
    <definedName name="_ST" localSheetId="33">#REF!</definedName>
    <definedName name="_ST" localSheetId="34">#REF!</definedName>
    <definedName name="_ST" localSheetId="5">#REF!</definedName>
    <definedName name="_ST" localSheetId="8">#REF!</definedName>
    <definedName name="_ST" localSheetId="10">#REF!</definedName>
    <definedName name="_ST" localSheetId="11">#REF!</definedName>
    <definedName name="_ST" localSheetId="37">#REF!</definedName>
    <definedName name="_ST" localSheetId="28">#REF!</definedName>
    <definedName name="_ST" localSheetId="42">#REF!</definedName>
    <definedName name="_ST">#REF!</definedName>
    <definedName name="_ST_33">"$#REF!.$#REF!$#REF!"</definedName>
    <definedName name="_sw1">#REF!</definedName>
    <definedName name="_t1" localSheetId="33">#REF!</definedName>
    <definedName name="_t1" localSheetId="34">#REF!</definedName>
    <definedName name="_t1" localSheetId="5">#REF!</definedName>
    <definedName name="_t1" localSheetId="8">#REF!</definedName>
    <definedName name="_t1" localSheetId="10">#REF!</definedName>
    <definedName name="_t1" localSheetId="37">#REF!</definedName>
    <definedName name="_t1" localSheetId="28">#REF!</definedName>
    <definedName name="_t1" localSheetId="42">#REF!</definedName>
    <definedName name="_t1">#REF!</definedName>
    <definedName name="_t2" localSheetId="33">#REF!</definedName>
    <definedName name="_t2" localSheetId="34">#REF!</definedName>
    <definedName name="_t2" localSheetId="5">#REF!</definedName>
    <definedName name="_t2" localSheetId="8">#REF!</definedName>
    <definedName name="_t2" localSheetId="10">#REF!</definedName>
    <definedName name="_t2" localSheetId="37">#REF!</definedName>
    <definedName name="_t2" localSheetId="28">#REF!</definedName>
    <definedName name="_t2" localSheetId="42">#REF!</definedName>
    <definedName name="_t2">#REF!</definedName>
    <definedName name="_tab1" localSheetId="33">#REF!</definedName>
    <definedName name="_tab1" localSheetId="34">#REF!</definedName>
    <definedName name="_tab1" localSheetId="5">#REF!</definedName>
    <definedName name="_tab1" localSheetId="8">#REF!</definedName>
    <definedName name="_tab1" localSheetId="10">#REF!</definedName>
    <definedName name="_tab1" localSheetId="37">#REF!</definedName>
    <definedName name="_tab1" localSheetId="28">#REF!</definedName>
    <definedName name="_tab1" localSheetId="42">#REF!</definedName>
    <definedName name="_tab1">#REF!</definedName>
    <definedName name="_th_week_water_transp_habs">#REF!</definedName>
    <definedName name="_tw2" localSheetId="8">#REF!</definedName>
    <definedName name="_tw2" localSheetId="10">#REF!</definedName>
    <definedName name="_tw2" localSheetId="11">#REF!</definedName>
    <definedName name="_tw2" localSheetId="28">#REF!</definedName>
    <definedName name="_tw2">#REF!</definedName>
    <definedName name="_us1">#REF!</definedName>
    <definedName name="_var04">#REF!</definedName>
    <definedName name="_var1" localSheetId="33">#REF!</definedName>
    <definedName name="_var1" localSheetId="34">#REF!</definedName>
    <definedName name="_var1" localSheetId="35">#REF!</definedName>
    <definedName name="_var1" localSheetId="5">#REF!</definedName>
    <definedName name="_var1" localSheetId="8">#REF!</definedName>
    <definedName name="_var1" localSheetId="10">#REF!</definedName>
    <definedName name="_var1" localSheetId="11">#REF!</definedName>
    <definedName name="_var1" localSheetId="37">#REF!</definedName>
    <definedName name="_var1" localSheetId="28">#REF!</definedName>
    <definedName name="_var1" localSheetId="42">#REF!</definedName>
    <definedName name="_var1" localSheetId="31">#REF!</definedName>
    <definedName name="_var1">#REF!</definedName>
    <definedName name="_var1_23">"$#REF!.$#REF!$#REF!"</definedName>
    <definedName name="_var1_32">"$#REF!.$#REF!$#REF!"</definedName>
    <definedName name="_var1_33">"$#REF!.$#REF!$#REF!"</definedName>
    <definedName name="_var1_34">"$#REF!.$#REF!$#REF!"</definedName>
    <definedName name="_var1_38">"$#REF!.$#REF!$#REF!"</definedName>
    <definedName name="_var1_41">"$#REF!.$#REF!$#REF!"</definedName>
    <definedName name="_var1_43">"$#REF!.$#REF!$#REF!"</definedName>
    <definedName name="_var1_48">"$#REF!.$#REF!$#REF!"</definedName>
    <definedName name="_var1_56">"$#REF!.$#REF!$#REF!"</definedName>
    <definedName name="_var1_57">"$#REF!.$#REF!$#REF!"</definedName>
    <definedName name="_var1_59">"$#REF!.$#REF!$#REF!"</definedName>
    <definedName name="_var1_60">"$#REF!.$#REF!$#REF!"</definedName>
    <definedName name="_var1_61">"$#REF!.$#REF!$#REF!"</definedName>
    <definedName name="_var1_62">"$#REF!.$#REF!$#REF!"</definedName>
    <definedName name="_var1_7">"$#REF!.$#REF!$#REF!"</definedName>
    <definedName name="_var1_72">"$#REF!.$#REF!$#REF!"</definedName>
    <definedName name="_var1_73">"$#REF!.$#REF!$#REF!"</definedName>
    <definedName name="_var1_8">"$#REF!.$#REF!$#REF!"</definedName>
    <definedName name="_var2" localSheetId="8">#REF!</definedName>
    <definedName name="_var2" localSheetId="10">#REF!</definedName>
    <definedName name="_var2" localSheetId="28">#REF!</definedName>
    <definedName name="_var2">#REF!</definedName>
    <definedName name="_var4" localSheetId="33">#REF!</definedName>
    <definedName name="_var4" localSheetId="34">#REF!</definedName>
    <definedName name="_var4" localSheetId="35">#REF!</definedName>
    <definedName name="_var4" localSheetId="5">#REF!</definedName>
    <definedName name="_var4" localSheetId="8">#REF!</definedName>
    <definedName name="_var4" localSheetId="10">#REF!</definedName>
    <definedName name="_var4" localSheetId="11">#REF!</definedName>
    <definedName name="_var4" localSheetId="37">#REF!</definedName>
    <definedName name="_var4" localSheetId="28">#REF!</definedName>
    <definedName name="_var4" localSheetId="42">#REF!</definedName>
    <definedName name="_var4" localSheetId="31">#REF!</definedName>
    <definedName name="_var4">#REF!</definedName>
    <definedName name="_var4_23">"$#REF!.$#REF!$#REF!"</definedName>
    <definedName name="_var4_32">"$#REF!.$#REF!$#REF!"</definedName>
    <definedName name="_var4_33">"$#REF!.$#REF!$#REF!"</definedName>
    <definedName name="_var4_34">"$#REF!.$#REF!$#REF!"</definedName>
    <definedName name="_var4_38">"$#REF!.$#REF!$#REF!"</definedName>
    <definedName name="_var4_41">"$#REF!.$#REF!$#REF!"</definedName>
    <definedName name="_var4_43">"$#REF!.$#REF!$#REF!"</definedName>
    <definedName name="_var4_48">"$#REF!.$#REF!$#REF!"</definedName>
    <definedName name="_var4_56">"$#REF!.$#REF!$#REF!"</definedName>
    <definedName name="_var4_57">"$#REF!.$#REF!$#REF!"</definedName>
    <definedName name="_var4_59">"$#REF!.$#REF!$#REF!"</definedName>
    <definedName name="_var4_60">"$#REF!.$#REF!$#REF!"</definedName>
    <definedName name="_var4_61">"$#REF!.$#REF!$#REF!"</definedName>
    <definedName name="_var4_62">"$#REF!.$#REF!$#REF!"</definedName>
    <definedName name="_var4_7">"$#REF!.$#REF!$#REF!"</definedName>
    <definedName name="_var4_72">"$#REF!.$#REF!$#REF!"</definedName>
    <definedName name="_var4_73">"$#REF!.$#REF!$#REF!"</definedName>
    <definedName name="_var4_8">"$#REF!.$#REF!$#REF!"</definedName>
    <definedName name="_vat" localSheetId="8">#REF!</definedName>
    <definedName name="_vat" localSheetId="10">#REF!</definedName>
    <definedName name="_vat" localSheetId="11">#REF!</definedName>
    <definedName name="_vat" localSheetId="28">#REF!</definedName>
    <definedName name="_vat">#REF!</definedName>
    <definedName name="_vat1" localSheetId="33">#REF!</definedName>
    <definedName name="_vat1" localSheetId="34">#REF!</definedName>
    <definedName name="_vat1" localSheetId="5">#REF!</definedName>
    <definedName name="_vat1" localSheetId="8">#REF!</definedName>
    <definedName name="_vat1" localSheetId="10">#REF!</definedName>
    <definedName name="_vat1" localSheetId="37">#REF!</definedName>
    <definedName name="_vat1" localSheetId="28">#REF!</definedName>
    <definedName name="_vat1" localSheetId="42">#REF!</definedName>
    <definedName name="_vat1">#REF!</definedName>
    <definedName name="_vat2" localSheetId="33">#REF!</definedName>
    <definedName name="_vat2" localSheetId="34">#REF!</definedName>
    <definedName name="_vat2" localSheetId="5">#REF!</definedName>
    <definedName name="_vat2" localSheetId="8">#REF!</definedName>
    <definedName name="_vat2" localSheetId="10">#REF!</definedName>
    <definedName name="_vat2" localSheetId="37">#REF!</definedName>
    <definedName name="_vat2" localSheetId="28">#REF!</definedName>
    <definedName name="_vat2" localSheetId="42">#REF!</definedName>
    <definedName name="_vat2">#REF!</definedName>
    <definedName name="_vzrzam" localSheetId="5">#REF!</definedName>
    <definedName name="_vzrzam" localSheetId="8">#REF!</definedName>
    <definedName name="_vzrzam" localSheetId="10">#REF!</definedName>
    <definedName name="_vzrzam" localSheetId="11">#REF!</definedName>
    <definedName name="_vzrzam" localSheetId="28">#REF!</definedName>
    <definedName name="_vzrzam" localSheetId="42">#REF!</definedName>
    <definedName name="_vzrzam">#REF!</definedName>
    <definedName name="_woodprimer" localSheetId="8">#REF!</definedName>
    <definedName name="_woodprimer" localSheetId="10">#REF!</definedName>
    <definedName name="_woodprimer" localSheetId="11">#REF!</definedName>
    <definedName name="_woodprimer" localSheetId="28">#REF!</definedName>
    <definedName name="_woodprimer">#REF!</definedName>
    <definedName name="_wp" localSheetId="8">#REF!</definedName>
    <definedName name="_wp" localSheetId="10">#REF!</definedName>
    <definedName name="_wp" localSheetId="11">#REF!</definedName>
    <definedName name="_wp" localSheetId="28">#REF!</definedName>
    <definedName name="_wp">#REF!</definedName>
    <definedName name="_xcc1153" localSheetId="8">#REF!</definedName>
    <definedName name="_xcc1153" localSheetId="10">#REF!</definedName>
    <definedName name="_xcc1153" localSheetId="28">#REF!</definedName>
    <definedName name="_xcc1153" localSheetId="42">#REF!</definedName>
    <definedName name="_xcc1153">#REF!</definedName>
    <definedName name="_xcc124" localSheetId="8">#REF!</definedName>
    <definedName name="_xcc124" localSheetId="10">#REF!</definedName>
    <definedName name="_xcc124" localSheetId="28">#REF!</definedName>
    <definedName name="_xcc124" localSheetId="42">#REF!</definedName>
    <definedName name="_xcc124">#REF!</definedName>
    <definedName name="_xcc136" localSheetId="8">#REF!</definedName>
    <definedName name="_xcc136" localSheetId="10">#REF!</definedName>
    <definedName name="_xcc136" localSheetId="28">#REF!</definedName>
    <definedName name="_xcc136" localSheetId="42">#REF!</definedName>
    <definedName name="_xcc136">#REF!</definedName>
    <definedName name="_xcc148" localSheetId="8">#REF!</definedName>
    <definedName name="_xcc148" localSheetId="10">#REF!</definedName>
    <definedName name="_xcc148" localSheetId="28">#REF!</definedName>
    <definedName name="_xcc148" localSheetId="42">#REF!</definedName>
    <definedName name="_xcc148">#REF!</definedName>
    <definedName name="_xcc1510" localSheetId="8">#REF!</definedName>
    <definedName name="_xcc1510" localSheetId="10">#REF!</definedName>
    <definedName name="_xcc1510" localSheetId="28">#REF!</definedName>
    <definedName name="_xcc1510" localSheetId="42">#REF!</definedName>
    <definedName name="_xcc1510">#REF!</definedName>
    <definedName name="_xcm16" localSheetId="8">#REF!</definedName>
    <definedName name="_xcm16" localSheetId="10">#REF!</definedName>
    <definedName name="_xcm16" localSheetId="28">#REF!</definedName>
    <definedName name="_xcm16" localSheetId="42">#REF!</definedName>
    <definedName name="_xcm16">#REF!</definedName>
    <definedName name="_xh11010" localSheetId="8">#REF!</definedName>
    <definedName name="_xh11010" localSheetId="10">#REF!</definedName>
    <definedName name="_xh11010" localSheetId="11">#REF!</definedName>
    <definedName name="_xh11010" localSheetId="28">#REF!</definedName>
    <definedName name="_xh11010">#REF!</definedName>
    <definedName name="_xh1104" localSheetId="8">#REF!</definedName>
    <definedName name="_xh1104" localSheetId="10">#REF!</definedName>
    <definedName name="_xh1104" localSheetId="11">#REF!</definedName>
    <definedName name="_xh1104" localSheetId="28">#REF!</definedName>
    <definedName name="_xh1104">#REF!</definedName>
    <definedName name="_xh1106" localSheetId="8">#REF!</definedName>
    <definedName name="_xh1106" localSheetId="10">#REF!</definedName>
    <definedName name="_xh1106" localSheetId="11">#REF!</definedName>
    <definedName name="_xh1106" localSheetId="28">#REF!</definedName>
    <definedName name="_xh1106">#REF!</definedName>
    <definedName name="_xh1108" localSheetId="8">#REF!</definedName>
    <definedName name="_xh1108" localSheetId="10">#REF!</definedName>
    <definedName name="_xh1108" localSheetId="11">#REF!</definedName>
    <definedName name="_xh1108" localSheetId="28">#REF!</definedName>
    <definedName name="_xh1108">#REF!</definedName>
    <definedName name="_xh12510" localSheetId="8">#REF!</definedName>
    <definedName name="_xh12510" localSheetId="10">#REF!</definedName>
    <definedName name="_xh12510" localSheetId="11">#REF!</definedName>
    <definedName name="_xh12510" localSheetId="28">#REF!</definedName>
    <definedName name="_xh12510">#REF!</definedName>
    <definedName name="_xh1254" localSheetId="8">#REF!</definedName>
    <definedName name="_xh1254" localSheetId="10">#REF!</definedName>
    <definedName name="_xh1254" localSheetId="11">#REF!</definedName>
    <definedName name="_xh1254" localSheetId="28">#REF!</definedName>
    <definedName name="_xh1254">#REF!</definedName>
    <definedName name="_xh1256" localSheetId="8">#REF!</definedName>
    <definedName name="_xh1256" localSheetId="10">#REF!</definedName>
    <definedName name="_xh1256" localSheetId="11">#REF!</definedName>
    <definedName name="_xh1256" localSheetId="28">#REF!</definedName>
    <definedName name="_xh1256">#REF!</definedName>
    <definedName name="_xh1258" localSheetId="8">#REF!</definedName>
    <definedName name="_xh1258" localSheetId="10">#REF!</definedName>
    <definedName name="_xh1258" localSheetId="11">#REF!</definedName>
    <definedName name="_xh1258" localSheetId="28">#REF!</definedName>
    <definedName name="_xh1258">#REF!</definedName>
    <definedName name="_xh14010" localSheetId="8">#REF!</definedName>
    <definedName name="_xh14010" localSheetId="10">#REF!</definedName>
    <definedName name="_xh14010" localSheetId="11">#REF!</definedName>
    <definedName name="_xh14010" localSheetId="28">#REF!</definedName>
    <definedName name="_xh14010">#REF!</definedName>
    <definedName name="_xh1404" localSheetId="8">#REF!</definedName>
    <definedName name="_xh1404" localSheetId="10">#REF!</definedName>
    <definedName name="_xh1404" localSheetId="11">#REF!</definedName>
    <definedName name="_xh1404" localSheetId="28">#REF!</definedName>
    <definedName name="_xh1404">#REF!</definedName>
    <definedName name="_xh1406" localSheetId="8">#REF!</definedName>
    <definedName name="_xh1406" localSheetId="10">#REF!</definedName>
    <definedName name="_xh1406" localSheetId="11">#REF!</definedName>
    <definedName name="_xh1406" localSheetId="28">#REF!</definedName>
    <definedName name="_xh1406">#REF!</definedName>
    <definedName name="_xh1408" localSheetId="8">#REF!</definedName>
    <definedName name="_xh1408" localSheetId="10">#REF!</definedName>
    <definedName name="_xh1408" localSheetId="11">#REF!</definedName>
    <definedName name="_xh1408" localSheetId="28">#REF!</definedName>
    <definedName name="_xh1408">#REF!</definedName>
    <definedName name="_xh16010" localSheetId="8">#REF!</definedName>
    <definedName name="_xh16010" localSheetId="10">#REF!</definedName>
    <definedName name="_xh16010" localSheetId="11">#REF!</definedName>
    <definedName name="_xh16010" localSheetId="28">#REF!</definedName>
    <definedName name="_xh16010">#REF!</definedName>
    <definedName name="_xh1604" localSheetId="8">#REF!</definedName>
    <definedName name="_xh1604" localSheetId="10">#REF!</definedName>
    <definedName name="_xh1604" localSheetId="11">#REF!</definedName>
    <definedName name="_xh1604" localSheetId="28">#REF!</definedName>
    <definedName name="_xh1604">#REF!</definedName>
    <definedName name="_xh1606" localSheetId="8">#REF!</definedName>
    <definedName name="_xh1606" localSheetId="10">#REF!</definedName>
    <definedName name="_xh1606" localSheetId="11">#REF!</definedName>
    <definedName name="_xh1606" localSheetId="28">#REF!</definedName>
    <definedName name="_xh1606">#REF!</definedName>
    <definedName name="_xh1608" localSheetId="8">#REF!</definedName>
    <definedName name="_xh1608" localSheetId="10">#REF!</definedName>
    <definedName name="_xh1608" localSheetId="11">#REF!</definedName>
    <definedName name="_xh1608" localSheetId="28">#REF!</definedName>
    <definedName name="_xh1608">#REF!</definedName>
    <definedName name="_xh18010" localSheetId="8">#REF!</definedName>
    <definedName name="_xh18010" localSheetId="10">#REF!</definedName>
    <definedName name="_xh18010" localSheetId="11">#REF!</definedName>
    <definedName name="_xh18010" localSheetId="28">#REF!</definedName>
    <definedName name="_xh18010">#REF!</definedName>
    <definedName name="_xh1804" localSheetId="8">#REF!</definedName>
    <definedName name="_xh1804" localSheetId="10">#REF!</definedName>
    <definedName name="_xh1804" localSheetId="11">#REF!</definedName>
    <definedName name="_xh1804" localSheetId="28">#REF!</definedName>
    <definedName name="_xh1804">#REF!</definedName>
    <definedName name="_xh1806" localSheetId="8">#REF!</definedName>
    <definedName name="_xh1806" localSheetId="10">#REF!</definedName>
    <definedName name="_xh1806" localSheetId="11">#REF!</definedName>
    <definedName name="_xh1806" localSheetId="28">#REF!</definedName>
    <definedName name="_xh1806">#REF!</definedName>
    <definedName name="_xh1808" localSheetId="8">#REF!</definedName>
    <definedName name="_xh1808" localSheetId="10">#REF!</definedName>
    <definedName name="_xh1808" localSheetId="11">#REF!</definedName>
    <definedName name="_xh1808" localSheetId="28">#REF!</definedName>
    <definedName name="_xh1808">#REF!</definedName>
    <definedName name="_xh20010" localSheetId="8">#REF!</definedName>
    <definedName name="_xh20010" localSheetId="10">#REF!</definedName>
    <definedName name="_xh20010" localSheetId="11">#REF!</definedName>
    <definedName name="_xh20010" localSheetId="28">#REF!</definedName>
    <definedName name="_xh20010">#REF!</definedName>
    <definedName name="_xh2004" localSheetId="8">#REF!</definedName>
    <definedName name="_xh2004" localSheetId="10">#REF!</definedName>
    <definedName name="_xh2004" localSheetId="11">#REF!</definedName>
    <definedName name="_xh2004" localSheetId="28">#REF!</definedName>
    <definedName name="_xh2004">#REF!</definedName>
    <definedName name="_xh2006" localSheetId="8">#REF!</definedName>
    <definedName name="_xh2006" localSheetId="10">#REF!</definedName>
    <definedName name="_xh2006" localSheetId="11">#REF!</definedName>
    <definedName name="_xh2006" localSheetId="28">#REF!</definedName>
    <definedName name="_xh2006">#REF!</definedName>
    <definedName name="_xh2008" localSheetId="8">#REF!</definedName>
    <definedName name="_xh2008" localSheetId="10">#REF!</definedName>
    <definedName name="_xh2008" localSheetId="11">#REF!</definedName>
    <definedName name="_xh2008" localSheetId="28">#REF!</definedName>
    <definedName name="_xh2008">#REF!</definedName>
    <definedName name="_xh22510" localSheetId="8">#REF!</definedName>
    <definedName name="_xh22510" localSheetId="10">#REF!</definedName>
    <definedName name="_xh22510" localSheetId="11">#REF!</definedName>
    <definedName name="_xh22510" localSheetId="28">#REF!</definedName>
    <definedName name="_xh22510">#REF!</definedName>
    <definedName name="_xh2254" localSheetId="8">#REF!</definedName>
    <definedName name="_xh2254" localSheetId="10">#REF!</definedName>
    <definedName name="_xh2254" localSheetId="11">#REF!</definedName>
    <definedName name="_xh2254" localSheetId="28">#REF!</definedName>
    <definedName name="_xh2254">#REF!</definedName>
    <definedName name="_xh2256" localSheetId="37">[68]HDPE!$L$30</definedName>
    <definedName name="_xh2256">[54]HDPE!$L$30</definedName>
    <definedName name="_xh2258" localSheetId="8">#REF!</definedName>
    <definedName name="_xh2258" localSheetId="10">#REF!</definedName>
    <definedName name="_xh2258" localSheetId="11">#REF!</definedName>
    <definedName name="_xh2258" localSheetId="28">#REF!</definedName>
    <definedName name="_xh2258">#REF!</definedName>
    <definedName name="_xh25010" localSheetId="8">#REF!</definedName>
    <definedName name="_xh25010" localSheetId="10">#REF!</definedName>
    <definedName name="_xh25010" localSheetId="11">#REF!</definedName>
    <definedName name="_xh25010" localSheetId="28">#REF!</definedName>
    <definedName name="_xh25010">#REF!</definedName>
    <definedName name="_xh2504" localSheetId="8">#REF!</definedName>
    <definedName name="_xh2504" localSheetId="10">#REF!</definedName>
    <definedName name="_xh2504" localSheetId="11">#REF!</definedName>
    <definedName name="_xh2504" localSheetId="28">#REF!</definedName>
    <definedName name="_xh2504">#REF!</definedName>
    <definedName name="_xh2506" localSheetId="37">[68]HDPE!$M$30</definedName>
    <definedName name="_xh2506">[54]HDPE!$M$30</definedName>
    <definedName name="_xh2508" localSheetId="8">#REF!</definedName>
    <definedName name="_xh2508" localSheetId="10">#REF!</definedName>
    <definedName name="_xh2508" localSheetId="11">#REF!</definedName>
    <definedName name="_xh2508" localSheetId="28">#REF!</definedName>
    <definedName name="_xh2508">#REF!</definedName>
    <definedName name="_xh28010" localSheetId="8">#REF!</definedName>
    <definedName name="_xh28010" localSheetId="10">#REF!</definedName>
    <definedName name="_xh28010" localSheetId="11">#REF!</definedName>
    <definedName name="_xh28010" localSheetId="28">#REF!</definedName>
    <definedName name="_xh28010">#REF!</definedName>
    <definedName name="_xh2804" localSheetId="8">#REF!</definedName>
    <definedName name="_xh2804" localSheetId="10">#REF!</definedName>
    <definedName name="_xh2804" localSheetId="11">#REF!</definedName>
    <definedName name="_xh2804" localSheetId="28">#REF!</definedName>
    <definedName name="_xh2804">#REF!</definedName>
    <definedName name="_xh2806" localSheetId="37">[68]HDPE!$N$30</definedName>
    <definedName name="_xh2806">[54]HDPE!$N$30</definedName>
    <definedName name="_xh2808" localSheetId="8">#REF!</definedName>
    <definedName name="_xh2808" localSheetId="10">#REF!</definedName>
    <definedName name="_xh2808" localSheetId="11">#REF!</definedName>
    <definedName name="_xh2808" localSheetId="28">#REF!</definedName>
    <definedName name="_xh2808">#REF!</definedName>
    <definedName name="_xh31510" localSheetId="8">#REF!</definedName>
    <definedName name="_xh31510" localSheetId="10">#REF!</definedName>
    <definedName name="_xh31510" localSheetId="11">#REF!</definedName>
    <definedName name="_xh31510" localSheetId="28">#REF!</definedName>
    <definedName name="_xh31510">#REF!</definedName>
    <definedName name="_xh3154" localSheetId="8">#REF!</definedName>
    <definedName name="_xh3154" localSheetId="10">#REF!</definedName>
    <definedName name="_xh3154" localSheetId="11">#REF!</definedName>
    <definedName name="_xh3154" localSheetId="28">#REF!</definedName>
    <definedName name="_xh3154">#REF!</definedName>
    <definedName name="_xh3156" localSheetId="37">[68]HDPE!$O$30</definedName>
    <definedName name="_xh3156">[54]HDPE!$O$30</definedName>
    <definedName name="_xh3158" localSheetId="8">#REF!</definedName>
    <definedName name="_xh3158" localSheetId="10">#REF!</definedName>
    <definedName name="_xh3158" localSheetId="11">#REF!</definedName>
    <definedName name="_xh3158" localSheetId="28">#REF!</definedName>
    <definedName name="_xh3158">#REF!</definedName>
    <definedName name="_xh3554" localSheetId="8">#REF!</definedName>
    <definedName name="_xh3554" localSheetId="10">#REF!</definedName>
    <definedName name="_xh3554" localSheetId="11">#REF!</definedName>
    <definedName name="_xh3554" localSheetId="28">#REF!</definedName>
    <definedName name="_xh3554">#REF!</definedName>
    <definedName name="_xh3556" localSheetId="8">#REF!</definedName>
    <definedName name="_xh3556" localSheetId="10">#REF!</definedName>
    <definedName name="_xh3556" localSheetId="11">#REF!</definedName>
    <definedName name="_xh3556" localSheetId="28">#REF!</definedName>
    <definedName name="_xh3556">#REF!</definedName>
    <definedName name="_xh6310" localSheetId="8">#REF!</definedName>
    <definedName name="_xh6310" localSheetId="10">#REF!</definedName>
    <definedName name="_xh6310" localSheetId="11">#REF!</definedName>
    <definedName name="_xh6310" localSheetId="28">#REF!</definedName>
    <definedName name="_xh6310">#REF!</definedName>
    <definedName name="_xh634" localSheetId="37">[68]HDPE!$C$16</definedName>
    <definedName name="_xh634">[54]HDPE!$C$16</definedName>
    <definedName name="_xh636" localSheetId="8">#REF!</definedName>
    <definedName name="_xh636" localSheetId="10">#REF!</definedName>
    <definedName name="_xh636" localSheetId="11">#REF!</definedName>
    <definedName name="_xh636" localSheetId="28">#REF!</definedName>
    <definedName name="_xh636">#REF!</definedName>
    <definedName name="_xh638" localSheetId="8">#REF!</definedName>
    <definedName name="_xh638" localSheetId="10">#REF!</definedName>
    <definedName name="_xh638" localSheetId="11">#REF!</definedName>
    <definedName name="_xh638" localSheetId="28">#REF!</definedName>
    <definedName name="_xh638">#REF!</definedName>
    <definedName name="_xh7510" localSheetId="8">#REF!</definedName>
    <definedName name="_xh7510" localSheetId="10">#REF!</definedName>
    <definedName name="_xh7510" localSheetId="11">#REF!</definedName>
    <definedName name="_xh7510" localSheetId="28">#REF!</definedName>
    <definedName name="_xh7510">#REF!</definedName>
    <definedName name="_xh754" localSheetId="8">#REF!</definedName>
    <definedName name="_xh754" localSheetId="10">#REF!</definedName>
    <definedName name="_xh754" localSheetId="11">#REF!</definedName>
    <definedName name="_xh754" localSheetId="28">#REF!</definedName>
    <definedName name="_xh754">#REF!</definedName>
    <definedName name="_xh756" localSheetId="8">#REF!</definedName>
    <definedName name="_xh756" localSheetId="10">#REF!</definedName>
    <definedName name="_xh756" localSheetId="11">#REF!</definedName>
    <definedName name="_xh756" localSheetId="28">#REF!</definedName>
    <definedName name="_xh756">#REF!</definedName>
    <definedName name="_xh758" localSheetId="8">#REF!</definedName>
    <definedName name="_xh758" localSheetId="10">#REF!</definedName>
    <definedName name="_xh758" localSheetId="11">#REF!</definedName>
    <definedName name="_xh758" localSheetId="28">#REF!</definedName>
    <definedName name="_xh758">#REF!</definedName>
    <definedName name="_xh9010" localSheetId="8">#REF!</definedName>
    <definedName name="_xh9010" localSheetId="10">#REF!</definedName>
    <definedName name="_xh9010" localSheetId="11">#REF!</definedName>
    <definedName name="_xh9010" localSheetId="28">#REF!</definedName>
    <definedName name="_xh9010">#REF!</definedName>
    <definedName name="_xh904" localSheetId="8">#REF!</definedName>
    <definedName name="_xh904" localSheetId="10">#REF!</definedName>
    <definedName name="_xh904" localSheetId="11">#REF!</definedName>
    <definedName name="_xh904" localSheetId="28">#REF!</definedName>
    <definedName name="_xh904">#REF!</definedName>
    <definedName name="_xh906" localSheetId="8">#REF!</definedName>
    <definedName name="_xh906" localSheetId="10">#REF!</definedName>
    <definedName name="_xh906" localSheetId="11">#REF!</definedName>
    <definedName name="_xh906" localSheetId="28">#REF!</definedName>
    <definedName name="_xh906">#REF!</definedName>
    <definedName name="_xh908" localSheetId="8">#REF!</definedName>
    <definedName name="_xh908" localSheetId="10">#REF!</definedName>
    <definedName name="_xh908" localSheetId="11">#REF!</definedName>
    <definedName name="_xh908" localSheetId="28">#REF!</definedName>
    <definedName name="_xh908">#REF!</definedName>
    <definedName name="_xk7100" localSheetId="37">[68]DI!$C$37</definedName>
    <definedName name="_xk7100">[54]DI!$C$37</definedName>
    <definedName name="_xk7150" localSheetId="37">[68]DI!$D$37</definedName>
    <definedName name="_xk7150">[54]DI!$D$37</definedName>
    <definedName name="_xk7200" localSheetId="8">#REF!</definedName>
    <definedName name="_xk7200" localSheetId="10">#REF!</definedName>
    <definedName name="_xk7200" localSheetId="11">#REF!</definedName>
    <definedName name="_xk7200" localSheetId="28">#REF!</definedName>
    <definedName name="_xk7200">#REF!</definedName>
    <definedName name="_xk7250" localSheetId="37">[68]DI!$F$37</definedName>
    <definedName name="_xk7250">[54]DI!$F$37</definedName>
    <definedName name="_xk7300" localSheetId="37">[68]DI!$G$37</definedName>
    <definedName name="_xk7300">[54]DI!$G$37</definedName>
    <definedName name="_xk7350" localSheetId="8">#REF!</definedName>
    <definedName name="_xk7350" localSheetId="10">#REF!</definedName>
    <definedName name="_xk7350" localSheetId="11">#REF!</definedName>
    <definedName name="_xk7350" localSheetId="28">#REF!</definedName>
    <definedName name="_xk7350">#REF!</definedName>
    <definedName name="_xk7400" localSheetId="8">#REF!</definedName>
    <definedName name="_xk7400" localSheetId="10">#REF!</definedName>
    <definedName name="_xk7400" localSheetId="11">#REF!</definedName>
    <definedName name="_xk7400" localSheetId="28">#REF!</definedName>
    <definedName name="_xk7400">#REF!</definedName>
    <definedName name="_xk7450" localSheetId="8">#REF!</definedName>
    <definedName name="_xk7450" localSheetId="10">#REF!</definedName>
    <definedName name="_xk7450" localSheetId="11">#REF!</definedName>
    <definedName name="_xk7450" localSheetId="28">#REF!</definedName>
    <definedName name="_xk7450">#REF!</definedName>
    <definedName name="_xk7500" localSheetId="8">#REF!</definedName>
    <definedName name="_xk7500" localSheetId="10">#REF!</definedName>
    <definedName name="_xk7500" localSheetId="11">#REF!</definedName>
    <definedName name="_xk7500" localSheetId="28">#REF!</definedName>
    <definedName name="_xk7500">#REF!</definedName>
    <definedName name="_xk7600" localSheetId="8">#REF!</definedName>
    <definedName name="_xk7600" localSheetId="10">#REF!</definedName>
    <definedName name="_xk7600" localSheetId="11">#REF!</definedName>
    <definedName name="_xk7600" localSheetId="28">#REF!</definedName>
    <definedName name="_xk7600">#REF!</definedName>
    <definedName name="_xk9100" localSheetId="8">#REF!</definedName>
    <definedName name="_xk9100" localSheetId="10">#REF!</definedName>
    <definedName name="_xk9100" localSheetId="11">#REF!</definedName>
    <definedName name="_xk9100" localSheetId="28">#REF!</definedName>
    <definedName name="_xk9100">#REF!</definedName>
    <definedName name="_xk91000" localSheetId="8">#REF!</definedName>
    <definedName name="_xk91000" localSheetId="10">#REF!</definedName>
    <definedName name="_xk91000" localSheetId="11">#REF!</definedName>
    <definedName name="_xk91000" localSheetId="28">#REF!</definedName>
    <definedName name="_xk91000">#REF!</definedName>
    <definedName name="_xk9150" localSheetId="8">#REF!</definedName>
    <definedName name="_xk9150" localSheetId="10">#REF!</definedName>
    <definedName name="_xk9150" localSheetId="11">#REF!</definedName>
    <definedName name="_xk9150" localSheetId="28">#REF!</definedName>
    <definedName name="_xk9150">#REF!</definedName>
    <definedName name="_xk9200" localSheetId="8">#REF!</definedName>
    <definedName name="_xk9200" localSheetId="10">#REF!</definedName>
    <definedName name="_xk9200" localSheetId="11">#REF!</definedName>
    <definedName name="_xk9200" localSheetId="28">#REF!</definedName>
    <definedName name="_xk9200">#REF!</definedName>
    <definedName name="_xk9250" localSheetId="8">#REF!</definedName>
    <definedName name="_xk9250" localSheetId="10">#REF!</definedName>
    <definedName name="_xk9250" localSheetId="11">#REF!</definedName>
    <definedName name="_xk9250" localSheetId="28">#REF!</definedName>
    <definedName name="_xk9250">#REF!</definedName>
    <definedName name="_xk9300" localSheetId="8">#REF!</definedName>
    <definedName name="_xk9300" localSheetId="10">#REF!</definedName>
    <definedName name="_xk9300" localSheetId="11">#REF!</definedName>
    <definedName name="_xk9300" localSheetId="28">#REF!</definedName>
    <definedName name="_xk9300">#REF!</definedName>
    <definedName name="_xk9350" localSheetId="8">#REF!</definedName>
    <definedName name="_xk9350" localSheetId="10">#REF!</definedName>
    <definedName name="_xk9350" localSheetId="11">#REF!</definedName>
    <definedName name="_xk9350" localSheetId="28">#REF!</definedName>
    <definedName name="_xk9350">#REF!</definedName>
    <definedName name="_xk9400" localSheetId="8">#REF!</definedName>
    <definedName name="_xk9400" localSheetId="10">#REF!</definedName>
    <definedName name="_xk9400" localSheetId="11">#REF!</definedName>
    <definedName name="_xk9400" localSheetId="28">#REF!</definedName>
    <definedName name="_xk9400">#REF!</definedName>
    <definedName name="_xk9450" localSheetId="8">#REF!</definedName>
    <definedName name="_xk9450" localSheetId="10">#REF!</definedName>
    <definedName name="_xk9450" localSheetId="11">#REF!</definedName>
    <definedName name="_xk9450" localSheetId="28">#REF!</definedName>
    <definedName name="_xk9450">#REF!</definedName>
    <definedName name="_xk9500" localSheetId="8">#REF!</definedName>
    <definedName name="_xk9500" localSheetId="10">#REF!</definedName>
    <definedName name="_xk9500" localSheetId="11">#REF!</definedName>
    <definedName name="_xk9500" localSheetId="28">#REF!</definedName>
    <definedName name="_xk9500">#REF!</definedName>
    <definedName name="_xk9600" localSheetId="8">#REF!</definedName>
    <definedName name="_xk9600" localSheetId="10">#REF!</definedName>
    <definedName name="_xk9600" localSheetId="11">#REF!</definedName>
    <definedName name="_xk9600" localSheetId="28">#REF!</definedName>
    <definedName name="_xk9600">#REF!</definedName>
    <definedName name="_xk9700" localSheetId="8">#REF!</definedName>
    <definedName name="_xk9700" localSheetId="10">#REF!</definedName>
    <definedName name="_xk9700" localSheetId="11">#REF!</definedName>
    <definedName name="_xk9700" localSheetId="28">#REF!</definedName>
    <definedName name="_xk9700">#REF!</definedName>
    <definedName name="_xk9750" localSheetId="8">#REF!</definedName>
    <definedName name="_xk9750" localSheetId="10">#REF!</definedName>
    <definedName name="_xk9750" localSheetId="11">#REF!</definedName>
    <definedName name="_xk9750" localSheetId="28">#REF!</definedName>
    <definedName name="_xk9750">#REF!</definedName>
    <definedName name="_xk9800" localSheetId="8">#REF!</definedName>
    <definedName name="_xk9800" localSheetId="10">#REF!</definedName>
    <definedName name="_xk9800" localSheetId="11">#REF!</definedName>
    <definedName name="_xk9800" localSheetId="28">#REF!</definedName>
    <definedName name="_xk9800">#REF!</definedName>
    <definedName name="_xk9900" localSheetId="8">#REF!</definedName>
    <definedName name="_xk9900" localSheetId="10">#REF!</definedName>
    <definedName name="_xk9900" localSheetId="11">#REF!</definedName>
    <definedName name="_xk9900" localSheetId="28">#REF!</definedName>
    <definedName name="_xk9900">#REF!</definedName>
    <definedName name="_xp11010" localSheetId="37">[68]pvc!$F$61</definedName>
    <definedName name="_xp11010">[54]pvc!$F$61</definedName>
    <definedName name="_xp1104" localSheetId="37">[68]pvc!$F$31</definedName>
    <definedName name="_xp1104">[54]pvc!$F$31</definedName>
    <definedName name="_xp1106" localSheetId="37">[68]pvc!$F$46</definedName>
    <definedName name="_xp1106">[54]pvc!$F$46</definedName>
    <definedName name="_xp12510" localSheetId="8">#REF!</definedName>
    <definedName name="_xp12510" localSheetId="10">#REF!</definedName>
    <definedName name="_xp12510" localSheetId="11">#REF!</definedName>
    <definedName name="_xp12510" localSheetId="28">#REF!</definedName>
    <definedName name="_xp12510">#REF!</definedName>
    <definedName name="_xp1254" localSheetId="37">[68]pvc!$G$31</definedName>
    <definedName name="_xp1254">[54]pvc!$G$31</definedName>
    <definedName name="_xp1256" localSheetId="37">[68]pvc!$G$46</definedName>
    <definedName name="_xp1256">[54]pvc!$G$46</definedName>
    <definedName name="_xp14010" localSheetId="37">[68]pvc!$H$61</definedName>
    <definedName name="_xp14010">[54]pvc!$H$61</definedName>
    <definedName name="_xp1404" localSheetId="37">[68]pvc!$H$31</definedName>
    <definedName name="_xp1404">[54]pvc!$H$31</definedName>
    <definedName name="_xp1406" localSheetId="37">[68]pvc!$H$46</definedName>
    <definedName name="_xp1406">[54]pvc!$H$46</definedName>
    <definedName name="_xp16010" localSheetId="8">#REF!</definedName>
    <definedName name="_xp16010" localSheetId="10">#REF!</definedName>
    <definedName name="_xp16010" localSheetId="11">#REF!</definedName>
    <definedName name="_xp16010" localSheetId="28">#REF!</definedName>
    <definedName name="_xp16010">#REF!</definedName>
    <definedName name="_xp1604" localSheetId="37">[68]pvc!$I$31</definedName>
    <definedName name="_xp1604">[54]pvc!$I$31</definedName>
    <definedName name="_xp1606" localSheetId="37">[68]pvc!$I$46</definedName>
    <definedName name="_xp1606">[54]pvc!$I$46</definedName>
    <definedName name="_xp18010" localSheetId="8">#REF!</definedName>
    <definedName name="_xp18010" localSheetId="10">#REF!</definedName>
    <definedName name="_xp18010" localSheetId="11">#REF!</definedName>
    <definedName name="_xp18010" localSheetId="28">#REF!</definedName>
    <definedName name="_xp18010">#REF!</definedName>
    <definedName name="_xp1804" localSheetId="37">[68]pvc!$J$31</definedName>
    <definedName name="_xp1804">[54]pvc!$J$31</definedName>
    <definedName name="_xp1806" localSheetId="37">[68]pvc!$J$46</definedName>
    <definedName name="_xp1806">[54]pvc!$J$46</definedName>
    <definedName name="_xp20010" localSheetId="8">#REF!</definedName>
    <definedName name="_xp20010" localSheetId="10">#REF!</definedName>
    <definedName name="_xp20010" localSheetId="11">#REF!</definedName>
    <definedName name="_xp20010" localSheetId="28">#REF!</definedName>
    <definedName name="_xp20010">#REF!</definedName>
    <definedName name="_xp2004" localSheetId="8">#REF!</definedName>
    <definedName name="_xp2004" localSheetId="10">#REF!</definedName>
    <definedName name="_xp2004" localSheetId="11">#REF!</definedName>
    <definedName name="_xp2004" localSheetId="28">#REF!</definedName>
    <definedName name="_xp2004">#REF!</definedName>
    <definedName name="_xp2006" localSheetId="37">[68]pvc!$K$46</definedName>
    <definedName name="_xp2006">[54]pvc!$K$46</definedName>
    <definedName name="_xp22510" localSheetId="8">#REF!</definedName>
    <definedName name="_xp22510" localSheetId="10">#REF!</definedName>
    <definedName name="_xp22510" localSheetId="11">#REF!</definedName>
    <definedName name="_xp22510" localSheetId="28">#REF!</definedName>
    <definedName name="_xp22510">#REF!</definedName>
    <definedName name="_xp2254" localSheetId="8">#REF!</definedName>
    <definedName name="_xp2254" localSheetId="10">#REF!</definedName>
    <definedName name="_xp2254" localSheetId="11">#REF!</definedName>
    <definedName name="_xp2254" localSheetId="28">#REF!</definedName>
    <definedName name="_xp2254">#REF!</definedName>
    <definedName name="_xp2256" localSheetId="8">#REF!</definedName>
    <definedName name="_xp2256" localSheetId="10">#REF!</definedName>
    <definedName name="_xp2256" localSheetId="11">#REF!</definedName>
    <definedName name="_xp2256" localSheetId="28">#REF!</definedName>
    <definedName name="_xp2256">#REF!</definedName>
    <definedName name="_xp25010" localSheetId="8">#REF!</definedName>
    <definedName name="_xp25010" localSheetId="10">#REF!</definedName>
    <definedName name="_xp25010" localSheetId="11">#REF!</definedName>
    <definedName name="_xp25010" localSheetId="28">#REF!</definedName>
    <definedName name="_xp25010">#REF!</definedName>
    <definedName name="_xp2504" localSheetId="8">#REF!</definedName>
    <definedName name="_xp2504" localSheetId="10">#REF!</definedName>
    <definedName name="_xp2504" localSheetId="11">#REF!</definedName>
    <definedName name="_xp2504" localSheetId="28">#REF!</definedName>
    <definedName name="_xp2504">#REF!</definedName>
    <definedName name="_xp2506" localSheetId="8">#REF!</definedName>
    <definedName name="_xp2506" localSheetId="10">#REF!</definedName>
    <definedName name="_xp2506" localSheetId="11">#REF!</definedName>
    <definedName name="_xp2506" localSheetId="28">#REF!</definedName>
    <definedName name="_xp2506">#REF!</definedName>
    <definedName name="_xp28010" localSheetId="8">#REF!</definedName>
    <definedName name="_xp28010" localSheetId="10">#REF!</definedName>
    <definedName name="_xp28010" localSheetId="11">#REF!</definedName>
    <definedName name="_xp28010" localSheetId="28">#REF!</definedName>
    <definedName name="_xp28010">#REF!</definedName>
    <definedName name="_xp2804" localSheetId="8">#REF!</definedName>
    <definedName name="_xp2804" localSheetId="10">#REF!</definedName>
    <definedName name="_xp2804" localSheetId="11">#REF!</definedName>
    <definedName name="_xp2804" localSheetId="28">#REF!</definedName>
    <definedName name="_xp2804">#REF!</definedName>
    <definedName name="_xp2806" localSheetId="8">#REF!</definedName>
    <definedName name="_xp2806" localSheetId="10">#REF!</definedName>
    <definedName name="_xp2806" localSheetId="11">#REF!</definedName>
    <definedName name="_xp2806" localSheetId="28">#REF!</definedName>
    <definedName name="_xp2806">#REF!</definedName>
    <definedName name="_xp31510" localSheetId="8">#REF!</definedName>
    <definedName name="_xp31510" localSheetId="10">#REF!</definedName>
    <definedName name="_xp31510" localSheetId="11">#REF!</definedName>
    <definedName name="_xp31510" localSheetId="28">#REF!</definedName>
    <definedName name="_xp31510">#REF!</definedName>
    <definedName name="_xp3154" localSheetId="8">#REF!</definedName>
    <definedName name="_xp3154" localSheetId="10">#REF!</definedName>
    <definedName name="_xp3154" localSheetId="11">#REF!</definedName>
    <definedName name="_xp3154" localSheetId="28">#REF!</definedName>
    <definedName name="_xp3154">#REF!</definedName>
    <definedName name="_xp3156" localSheetId="8">#REF!</definedName>
    <definedName name="_xp3156" localSheetId="10">#REF!</definedName>
    <definedName name="_xp3156" localSheetId="11">#REF!</definedName>
    <definedName name="_xp3156" localSheetId="28">#REF!</definedName>
    <definedName name="_xp3156">#REF!</definedName>
    <definedName name="_xp6310" localSheetId="37">[68]pvc!$C$61</definedName>
    <definedName name="_xp6310">[54]pvc!$C$61</definedName>
    <definedName name="_xp634" localSheetId="8">#REF!</definedName>
    <definedName name="_xp634" localSheetId="10">#REF!</definedName>
    <definedName name="_xp634" localSheetId="11">#REF!</definedName>
    <definedName name="_xp634" localSheetId="28">#REF!</definedName>
    <definedName name="_xp634">#REF!</definedName>
    <definedName name="_xp636" localSheetId="37">[68]pvc!$C$46</definedName>
    <definedName name="_xp636">[54]pvc!$C$46</definedName>
    <definedName name="_xp7510" localSheetId="37">[68]pvc!$D$61</definedName>
    <definedName name="_xp7510">[54]pvc!$D$61</definedName>
    <definedName name="_xp754" localSheetId="37">[68]pvc!$D$31</definedName>
    <definedName name="_xp754">[54]pvc!$D$31</definedName>
    <definedName name="_xp756" localSheetId="37">[68]pvc!$D$46</definedName>
    <definedName name="_xp756">[54]pvc!$D$46</definedName>
    <definedName name="_xp9010" localSheetId="37">[68]pvc!$E$61</definedName>
    <definedName name="_xp9010">[54]pvc!$E$61</definedName>
    <definedName name="_xp904" localSheetId="37">[68]pvc!$E$31</definedName>
    <definedName name="_xp904">[54]pvc!$E$31</definedName>
    <definedName name="_xp906" localSheetId="37">[68]pvc!$E$46</definedName>
    <definedName name="_xp906">[54]pvc!$E$46</definedName>
    <definedName name="a" localSheetId="33">#REF!</definedName>
    <definedName name="a" localSheetId="34">#REF!</definedName>
    <definedName name="a" localSheetId="35">#REF!</definedName>
    <definedName name="a" localSheetId="5">#REF!</definedName>
    <definedName name="a" localSheetId="8">#REF!</definedName>
    <definedName name="a" localSheetId="10">#REF!</definedName>
    <definedName name="a" localSheetId="11">#REF!</definedName>
    <definedName name="a" localSheetId="37">#REF!</definedName>
    <definedName name="a" localSheetId="28">#REF!</definedName>
    <definedName name="a" localSheetId="42">#REF!</definedName>
    <definedName name="a" localSheetId="31">#REF!</definedName>
    <definedName name="a">#REF!</definedName>
    <definedName name="a_33">"$#REF!.$#REF!$#REF!"</definedName>
    <definedName name="a_34">"$#REF!.$#REF!$#REF!"</definedName>
    <definedName name="aa" localSheetId="37">#REF!</definedName>
    <definedName name="AA">[69]m!$B$149</definedName>
    <definedName name="aaa" localSheetId="5">#REF!</definedName>
    <definedName name="aaa" localSheetId="8">#REF!</definedName>
    <definedName name="aaa" localSheetId="10">#REF!</definedName>
    <definedName name="aaa" localSheetId="11">#REF!</definedName>
    <definedName name="aaa" localSheetId="28">#REF!</definedName>
    <definedName name="aaa" localSheetId="42">#REF!</definedName>
    <definedName name="aaa">#REF!</definedName>
    <definedName name="aaaa" localSheetId="28" hidden="1">{"'ridftotal'!$A$4:$S$27"}</definedName>
    <definedName name="aaaaa" localSheetId="37">[70]data!#REF!</definedName>
    <definedName name="aaaaa">[70]data!#REF!</definedName>
    <definedName name="AAAAAA" localSheetId="37">[70]data!#REF!</definedName>
    <definedName name="AAAAAA">[70]data!#REF!</definedName>
    <definedName name="aaaaaaa" localSheetId="14" hidden="1">{"'ridftotal'!$A$4:$S$27"}</definedName>
    <definedName name="aaaaaaa" localSheetId="28" hidden="1">{"'ridftotal'!$A$4:$S$27"}</definedName>
    <definedName name="aaaaaaa" localSheetId="42" hidden="1">{"'ridftotal'!$A$4:$S$27"}</definedName>
    <definedName name="aaaaaaa" hidden="1">{"'ridftotal'!$A$4:$S$27"}</definedName>
    <definedName name="aaaaaaaaaaaaaa" localSheetId="14" hidden="1">{"'ridftotal'!$A$4:$S$27"}</definedName>
    <definedName name="aaaaaaaaaaaaaa" localSheetId="28" hidden="1">{"'ridftotal'!$A$4:$S$27"}</definedName>
    <definedName name="aaaaaaaaaaaaaa" localSheetId="42" hidden="1">{"'ridftotal'!$A$4:$S$27"}</definedName>
    <definedName name="aaaaaaaaaaaaaa" hidden="1">{"'ridftotal'!$A$4:$S$27"}</definedName>
    <definedName name="aaaaaaaaaaaaaaaaaaaaa">#REF!</definedName>
    <definedName name="AAF" localSheetId="8">#REF!</definedName>
    <definedName name="AAF" localSheetId="10">#REF!</definedName>
    <definedName name="AAF" localSheetId="28">#REF!</definedName>
    <definedName name="AAF">#REF!</definedName>
    <definedName name="aastrb" localSheetId="8">#REF!</definedName>
    <definedName name="aastrb" localSheetId="10">#REF!</definedName>
    <definedName name="aastrb" localSheetId="11">#REF!</definedName>
    <definedName name="aastrb" localSheetId="28">#REF!</definedName>
    <definedName name="aastrb">#REF!</definedName>
    <definedName name="aat" localSheetId="33">#REF!</definedName>
    <definedName name="aat" localSheetId="34">#REF!</definedName>
    <definedName name="aat" localSheetId="5">#REF!</definedName>
    <definedName name="aat" localSheetId="8">#REF!</definedName>
    <definedName name="aat" localSheetId="10">#REF!</definedName>
    <definedName name="aat" localSheetId="37">#REF!</definedName>
    <definedName name="aat" localSheetId="28">#REF!</definedName>
    <definedName name="aat" localSheetId="42">#REF!</definedName>
    <definedName name="aat">#REF!</definedName>
    <definedName name="aawa">#REF!</definedName>
    <definedName name="ab" localSheetId="28" hidden="1">{"'ridftotal'!$A$4:$S$27"}</definedName>
    <definedName name="Abbbbb" localSheetId="35">#REF!</definedName>
    <definedName name="Abbbbb" localSheetId="5">#REF!</definedName>
    <definedName name="Abbbbb" localSheetId="8">#REF!</definedName>
    <definedName name="Abbbbb" localSheetId="10">#REF!</definedName>
    <definedName name="Abbbbb" localSheetId="11">#REF!</definedName>
    <definedName name="Abbbbb" localSheetId="28">#REF!</definedName>
    <definedName name="Abbbbb" localSheetId="42">#REF!</definedName>
    <definedName name="Abbbbb" localSheetId="31">#REF!</definedName>
    <definedName name="Abbbbb">#REF!</definedName>
    <definedName name="ABC" localSheetId="33">#REF!</definedName>
    <definedName name="ABC" localSheetId="34">#REF!</definedName>
    <definedName name="ABC" localSheetId="5">#REF!</definedName>
    <definedName name="ABC" localSheetId="8">#REF!</definedName>
    <definedName name="ABC" localSheetId="10">#REF!</definedName>
    <definedName name="ABC" localSheetId="28">#REF!</definedName>
    <definedName name="ABC" localSheetId="42">#REF!</definedName>
    <definedName name="ABC">#REF!</definedName>
    <definedName name="abcd" localSheetId="8">#REF!</definedName>
    <definedName name="abcd" localSheetId="10">#REF!</definedName>
    <definedName name="abcd" localSheetId="28">#REF!</definedName>
    <definedName name="abcd">#REF!</definedName>
    <definedName name="abcdefgh">#REF!</definedName>
    <definedName name="abs">#REF!</definedName>
    <definedName name="AC" localSheetId="35">#REF!</definedName>
    <definedName name="AC" localSheetId="5">#REF!</definedName>
    <definedName name="AC" localSheetId="8">#REF!</definedName>
    <definedName name="AC" localSheetId="10">#REF!</definedName>
    <definedName name="AC" localSheetId="11">#REF!</definedName>
    <definedName name="AC" localSheetId="28">#REF!</definedName>
    <definedName name="AC" localSheetId="42">#REF!</definedName>
    <definedName name="AC" localSheetId="31">#REF!</definedName>
    <definedName name="AC">#REF!</definedName>
    <definedName name="ac_sheet" localSheetId="8">#REF!</definedName>
    <definedName name="ac_sheet" localSheetId="10">#REF!</definedName>
    <definedName name="ac_sheet" localSheetId="11">#REF!</definedName>
    <definedName name="ac_sheet" localSheetId="28">#REF!</definedName>
    <definedName name="ac_sheet">#REF!</definedName>
    <definedName name="AccessDatabase" hidden="1">"C:\RWS_Reports\ww\Spillww0203.mdb"</definedName>
    <definedName name="acl" localSheetId="28">#REF!</definedName>
    <definedName name="ACMFL" localSheetId="14">#REF!</definedName>
    <definedName name="ACMFL" localSheetId="8">#REF!</definedName>
    <definedName name="ACMFL" localSheetId="10">#REF!</definedName>
    <definedName name="ACMFL" localSheetId="28">#REF!</definedName>
    <definedName name="ACMFL">#REF!</definedName>
    <definedName name="acs">#REF!</definedName>
    <definedName name="acsheet">#REF!</definedName>
    <definedName name="actual" localSheetId="8">#REF!</definedName>
    <definedName name="actual" localSheetId="10">#REF!</definedName>
    <definedName name="actual" localSheetId="11">#REF!</definedName>
    <definedName name="actual" localSheetId="28">#REF!</definedName>
    <definedName name="actual">#REF!</definedName>
    <definedName name="AD" localSheetId="14">#REF!</definedName>
    <definedName name="AD" localSheetId="8">#REF!</definedName>
    <definedName name="AD" localSheetId="10">#REF!</definedName>
    <definedName name="AD" localSheetId="28">#REF!</definedName>
    <definedName name="AD">#REF!</definedName>
    <definedName name="Address" localSheetId="35">#REF!</definedName>
    <definedName name="Address" localSheetId="5">#REF!</definedName>
    <definedName name="Address" localSheetId="8">#REF!</definedName>
    <definedName name="Address" localSheetId="10">#REF!</definedName>
    <definedName name="ADDRESS" localSheetId="11">#REF!</definedName>
    <definedName name="Address" localSheetId="28">#REF!</definedName>
    <definedName name="Address" localSheetId="42">#REF!</definedName>
    <definedName name="Address" localSheetId="31">#REF!</definedName>
    <definedName name="Address">#REF!</definedName>
    <definedName name="ADFI" localSheetId="8">#REF!</definedName>
    <definedName name="ADFI" localSheetId="10">#REF!</definedName>
    <definedName name="ADFI" localSheetId="28">#REF!</definedName>
    <definedName name="ADFI">#REF!</definedName>
    <definedName name="ADFII" localSheetId="8">#REF!</definedName>
    <definedName name="ADFII" localSheetId="10">#REF!</definedName>
    <definedName name="ADFII" localSheetId="28">#REF!</definedName>
    <definedName name="ADFII">#REF!</definedName>
    <definedName name="ADFIII" localSheetId="8">#REF!</definedName>
    <definedName name="ADFIII" localSheetId="10">#REF!</definedName>
    <definedName name="ADFIII" localSheetId="28">#REF!</definedName>
    <definedName name="ADFIII">#REF!</definedName>
    <definedName name="Admin__Building" localSheetId="8">#REF!</definedName>
    <definedName name="Admin__Building" localSheetId="10">#REF!</definedName>
    <definedName name="Admin__Building" localSheetId="11">#REF!</definedName>
    <definedName name="Admin__Building" localSheetId="28">#REF!</definedName>
    <definedName name="Admin__Building">#REF!</definedName>
    <definedName name="adsa" localSheetId="8">#REF!</definedName>
    <definedName name="adsa" localSheetId="10">#REF!</definedName>
    <definedName name="adsa" localSheetId="28">#REF!</definedName>
    <definedName name="adsa" localSheetId="42">#REF!</definedName>
    <definedName name="adsa">#REF!</definedName>
    <definedName name="ADT_DATAl">'[71]Bitumen trunk'!$DB$2:$DI$196</definedName>
    <definedName name="ae" localSheetId="33">[72]Lead!#REF!</definedName>
    <definedName name="ae" localSheetId="34">[72]Lead!#REF!</definedName>
    <definedName name="ae" localSheetId="37">#REF!</definedName>
    <definedName name="ae">#REF!</definedName>
    <definedName name="ae_33">#N/A</definedName>
    <definedName name="ae_34">#N/A</definedName>
    <definedName name="AEE" localSheetId="37">[73]LEAD!$B$54</definedName>
    <definedName name="AEE">[74]LEAD!$B$53</definedName>
    <definedName name="AEF" localSheetId="14">#REF!</definedName>
    <definedName name="AEF" localSheetId="8">#REF!</definedName>
    <definedName name="AEF" localSheetId="10">#REF!</definedName>
    <definedName name="AEF" localSheetId="28">#REF!</definedName>
    <definedName name="AEF">#REF!</definedName>
    <definedName name="AF" localSheetId="14">#REF!</definedName>
    <definedName name="AF" localSheetId="8">#REF!</definedName>
    <definedName name="AF" localSheetId="10">#REF!</definedName>
    <definedName name="AF" localSheetId="28">#REF!</definedName>
    <definedName name="AF">#REF!</definedName>
    <definedName name="AGRA_SHOULDERS" localSheetId="35">#REF!</definedName>
    <definedName name="AGRA_SHOULDERS" localSheetId="5">#REF!</definedName>
    <definedName name="AGRA_SHOULDERS" localSheetId="8">#REF!</definedName>
    <definedName name="AGRA_SHOULDERS" localSheetId="10">#REF!</definedName>
    <definedName name="AGRA_SHOULDERS" localSheetId="11">#REF!</definedName>
    <definedName name="AGRA_SHOULDERS" localSheetId="28">#REF!</definedName>
    <definedName name="AGRA_SHOULDERS" localSheetId="42">#REF!</definedName>
    <definedName name="AGRA_SHOULDERS" localSheetId="31">#REF!</definedName>
    <definedName name="AGRA_SHOULDERS">#REF!</definedName>
    <definedName name="ai" localSheetId="8">#REF!</definedName>
    <definedName name="ai" localSheetId="10">#REF!</definedName>
    <definedName name="ai" localSheetId="11">#REF!</definedName>
    <definedName name="ai" localSheetId="28">#REF!</definedName>
    <definedName name="ai">#REF!</definedName>
    <definedName name="aii" localSheetId="8">#REF!</definedName>
    <definedName name="aii" localSheetId="10">#REF!</definedName>
    <definedName name="aii" localSheetId="11">#REF!</definedName>
    <definedName name="aii" localSheetId="28">#REF!</definedName>
    <definedName name="aii">#REF!</definedName>
    <definedName name="airvalve" localSheetId="33">#REF!</definedName>
    <definedName name="airvalve" localSheetId="34">#REF!</definedName>
    <definedName name="airvalve" localSheetId="5">#REF!</definedName>
    <definedName name="airvalve" localSheetId="8">#REF!</definedName>
    <definedName name="airvalve" localSheetId="10">#REF!</definedName>
    <definedName name="airvalve" localSheetId="37">#REF!</definedName>
    <definedName name="airvalve" localSheetId="28">#REF!</definedName>
    <definedName name="airvalve" localSheetId="42">#REF!</definedName>
    <definedName name="airvalve">#REF!</definedName>
    <definedName name="AIRVALVES" localSheetId="33">#REF!</definedName>
    <definedName name="AIRVALVES" localSheetId="34">#REF!</definedName>
    <definedName name="AIRVALVES" localSheetId="5">#REF!</definedName>
    <definedName name="AIRVALVES" localSheetId="8">#REF!</definedName>
    <definedName name="AIRVALVES" localSheetId="10">#REF!</definedName>
    <definedName name="AIRVALVES" localSheetId="28">#REF!</definedName>
    <definedName name="AIRVALVES" localSheetId="42">#REF!</definedName>
    <definedName name="AIRVALVES">#REF!</definedName>
    <definedName name="akash">#REF!</definedName>
    <definedName name="al" localSheetId="14" hidden="1">{"'ridftotal'!$A$4:$S$27"}</definedName>
    <definedName name="al" localSheetId="28" hidden="1">{"'ridftotal'!$A$4:$S$27"}</definedName>
    <definedName name="al" localSheetId="42" hidden="1">{"'ridftotal'!$A$4:$S$27"}</definedName>
    <definedName name="al" hidden="1">{"'ridftotal'!$A$4:$S$27"}</definedName>
    <definedName name="ald" localSheetId="8">#REF!</definedName>
    <definedName name="ald" localSheetId="10">#REF!</definedName>
    <definedName name="ald" localSheetId="11">#REF!</definedName>
    <definedName name="ald" localSheetId="28">#REF!</definedName>
    <definedName name="ald">#REF!</definedName>
    <definedName name="Ali">[75]r!$F$2</definedName>
    <definedName name="AMOUNT" localSheetId="33">#REF!</definedName>
    <definedName name="AMOUNT" localSheetId="34">#REF!</definedName>
    <definedName name="AMOUNT" localSheetId="8">#REF!</definedName>
    <definedName name="AMOUNT" localSheetId="10">#REF!</definedName>
    <definedName name="AMOUNT" localSheetId="11">#REF!</definedName>
    <definedName name="AMOUNT" localSheetId="37">#REF!</definedName>
    <definedName name="AMOUNT" localSheetId="28">#REF!</definedName>
    <definedName name="AMOUNT">#REF!</definedName>
    <definedName name="ANALYSIS_DATA">'[71]Bitumen trunk'!$BO$2:$DA$196</definedName>
    <definedName name="Aname" localSheetId="35">#REF!</definedName>
    <definedName name="Aname" localSheetId="5">#REF!</definedName>
    <definedName name="Aname" localSheetId="8">#REF!</definedName>
    <definedName name="Aname" localSheetId="10">#REF!</definedName>
    <definedName name="Aname" localSheetId="11">#REF!</definedName>
    <definedName name="Aname" localSheetId="28">#REF!</definedName>
    <definedName name="Aname" localSheetId="42">#REF!</definedName>
    <definedName name="Aname" localSheetId="31">#REF!</definedName>
    <definedName name="Aname">#REF!</definedName>
    <definedName name="angan">#REF!</definedName>
    <definedName name="anganwadi">#REF!</definedName>
    <definedName name="ANIL" localSheetId="28">#REF!</definedName>
    <definedName name="anscount" hidden="1">1</definedName>
    <definedName name="antitermite" localSheetId="8">#REF!</definedName>
    <definedName name="antitermite" localSheetId="10">#REF!</definedName>
    <definedName name="antitermite" localSheetId="11">#REF!</definedName>
    <definedName name="antitermite" localSheetId="28">#REF!</definedName>
    <definedName name="antitermite">#REF!</definedName>
    <definedName name="ap">#REF!</definedName>
    <definedName name="APJI" localSheetId="14">#REF!</definedName>
    <definedName name="APJI" localSheetId="8">#REF!</definedName>
    <definedName name="APJI" localSheetId="10">#REF!</definedName>
    <definedName name="APJI" localSheetId="28">#REF!</definedName>
    <definedName name="APJI">#REF!</definedName>
    <definedName name="APJII" localSheetId="14">#REF!</definedName>
    <definedName name="APJII" localSheetId="8">#REF!</definedName>
    <definedName name="APJII" localSheetId="10">#REF!</definedName>
    <definedName name="APJII" localSheetId="28">#REF!</definedName>
    <definedName name="APJII">#REF!</definedName>
    <definedName name="APJIII" localSheetId="8">#REF!</definedName>
    <definedName name="APJIII" localSheetId="10">#REF!</definedName>
    <definedName name="APJIII" localSheetId="28">#REF!</definedName>
    <definedName name="APJIII">#REF!</definedName>
    <definedName name="April">[76]m!$A$2</definedName>
    <definedName name="Arb" localSheetId="8">#REF!</definedName>
    <definedName name="Arb" localSheetId="10">#REF!</definedName>
    <definedName name="Arb" localSheetId="11">#REF!</definedName>
    <definedName name="Arb" localSheetId="28">#REF!</definedName>
    <definedName name="Arb">#REF!</definedName>
    <definedName name="arc">#REF!</definedName>
    <definedName name="as" localSheetId="11">#REF!</definedName>
    <definedName name="as" localSheetId="37">[77]Levels!$O$5</definedName>
    <definedName name="as">[78]Levels!$O$5</definedName>
    <definedName name="as10.1.12" localSheetId="28">#REF!</definedName>
    <definedName name="asc" localSheetId="8">#REF!</definedName>
    <definedName name="asc" localSheetId="10">#REF!</definedName>
    <definedName name="asc" localSheetId="11">#REF!</definedName>
    <definedName name="asc" localSheetId="28">#REF!</definedName>
    <definedName name="asc">#REF!</definedName>
    <definedName name="ASCSD" localSheetId="35">#REF!</definedName>
    <definedName name="ASCSD" localSheetId="5">#REF!</definedName>
    <definedName name="ASCSD" localSheetId="8">#REF!</definedName>
    <definedName name="ASCSD" localSheetId="10">#REF!</definedName>
    <definedName name="ASCSD" localSheetId="11">#REF!</definedName>
    <definedName name="ASCSD" localSheetId="28">#REF!</definedName>
    <definedName name="ASCSD" localSheetId="42">#REF!</definedName>
    <definedName name="ASCSD" localSheetId="31">#REF!</definedName>
    <definedName name="ASCSD">#REF!</definedName>
    <definedName name="asd" localSheetId="28">#REF!</definedName>
    <definedName name="asd" localSheetId="42" hidden="1">{"'ridftotal'!$A$4:$S$27"}</definedName>
    <definedName name="ASDF" localSheetId="14" hidden="1">{"'ridftotal'!$A$4:$S$27"}</definedName>
    <definedName name="ASDF" localSheetId="11" hidden="1">{"'ridftotal'!$A$4:$S$27"}</definedName>
    <definedName name="ASDF" localSheetId="37" hidden="1">{"'ridftotal'!$A$4:$S$27"}</definedName>
    <definedName name="ASDF" localSheetId="46" hidden="1">{"'ridftotal'!$A$4:$S$27"}</definedName>
    <definedName name="ASDF" localSheetId="28" hidden="1">{"'ridftotal'!$A$4:$S$27"}</definedName>
    <definedName name="ASDF" localSheetId="19" hidden="1">{"'ridftotal'!$A$4:$S$27"}</definedName>
    <definedName name="ASDF" localSheetId="42" hidden="1">{"'ridftotal'!$A$4:$S$27"}</definedName>
    <definedName name="ASDF" localSheetId="9" hidden="1">{"'ridftotal'!$A$4:$S$27"}</definedName>
    <definedName name="ASDF" localSheetId="3" hidden="1">{"'ridftotal'!$A$4:$S$27"}</definedName>
    <definedName name="ASDF" hidden="1">{"'ridftotal'!$A$4:$S$27"}</definedName>
    <definedName name="asds" localSheetId="8">#REF!</definedName>
    <definedName name="asds" localSheetId="10">#REF!</definedName>
    <definedName name="asds" localSheetId="11">#REF!</definedName>
    <definedName name="asds" localSheetId="28">#REF!</definedName>
    <definedName name="asds">#REF!</definedName>
    <definedName name="asf" localSheetId="33">#REF!</definedName>
    <definedName name="asf" localSheetId="34">#REF!</definedName>
    <definedName name="asf" localSheetId="35">#REF!</definedName>
    <definedName name="asf" localSheetId="5">#REF!</definedName>
    <definedName name="asf" localSheetId="8">#REF!</definedName>
    <definedName name="asf" localSheetId="10">#REF!</definedName>
    <definedName name="asf" localSheetId="11">#REF!</definedName>
    <definedName name="asf" localSheetId="37">#REF!</definedName>
    <definedName name="asf" localSheetId="28">#REF!</definedName>
    <definedName name="asf" localSheetId="42">#REF!</definedName>
    <definedName name="asf" localSheetId="31">#REF!</definedName>
    <definedName name="asf">#REF!</definedName>
    <definedName name="asf_33">"$#REF!.$#REF!$#REF!"</definedName>
    <definedName name="asf_34">"$#REF!.$#REF!$#REF!"</definedName>
    <definedName name="ASFDA" localSheetId="14" hidden="1">{"'ridftotal'!$A$4:$S$27"}</definedName>
    <definedName name="ASFDA" localSheetId="11" hidden="1">{"'ridftotal'!$A$4:$S$27"}</definedName>
    <definedName name="ASFDA" localSheetId="37" hidden="1">{"'ridftotal'!$A$4:$S$27"}</definedName>
    <definedName name="ASFDA" localSheetId="46" hidden="1">{"'ridftotal'!$A$4:$S$27"}</definedName>
    <definedName name="ASFDA" localSheetId="28" hidden="1">{"'ridftotal'!$A$4:$S$27"}</definedName>
    <definedName name="ASFDA" localSheetId="19" hidden="1">{"'ridftotal'!$A$4:$S$27"}</definedName>
    <definedName name="ASFDA" localSheetId="42" hidden="1">{"'ridftotal'!$A$4:$S$27"}</definedName>
    <definedName name="ASFDA" localSheetId="9" hidden="1">{"'ridftotal'!$A$4:$S$27"}</definedName>
    <definedName name="ASFDA" localSheetId="3" hidden="1">{"'ridftotal'!$A$4:$S$27"}</definedName>
    <definedName name="ASFDA" hidden="1">{"'ridftotal'!$A$4:$S$27"}</definedName>
    <definedName name="asfsdf" localSheetId="28">#REF!</definedName>
    <definedName name="ash" localSheetId="8">#REF!</definedName>
    <definedName name="ash" localSheetId="10">#REF!</definedName>
    <definedName name="ash" localSheetId="11">#REF!</definedName>
    <definedName name="ash" localSheetId="28">#REF!</definedName>
    <definedName name="ash">#REF!</definedName>
    <definedName name="asmin" localSheetId="8">#REF!</definedName>
    <definedName name="asmin" localSheetId="10">#REF!</definedName>
    <definedName name="asmin" localSheetId="11">#REF!</definedName>
    <definedName name="asmin" localSheetId="28">#REF!</definedName>
    <definedName name="asmin">#REF!</definedName>
    <definedName name="asr" localSheetId="8">#REF!</definedName>
    <definedName name="asr" localSheetId="10">#REF!</definedName>
    <definedName name="asr" localSheetId="28">#REF!</definedName>
    <definedName name="asr">#REF!</definedName>
    <definedName name="astas" localSheetId="8">#REF!</definedName>
    <definedName name="astas" localSheetId="10">#REF!</definedName>
    <definedName name="astas" localSheetId="11">#REF!</definedName>
    <definedName name="astas" localSheetId="28">#REF!</definedName>
    <definedName name="astas">#REF!</definedName>
    <definedName name="astb" localSheetId="8">#REF!</definedName>
    <definedName name="astb" localSheetId="10">#REF!</definedName>
    <definedName name="astb" localSheetId="11">#REF!</definedName>
    <definedName name="astb" localSheetId="28">#REF!</definedName>
    <definedName name="astb">#REF!</definedName>
    <definedName name="astdm" localSheetId="8">#REF!</definedName>
    <definedName name="astdm" localSheetId="10">#REF!</definedName>
    <definedName name="astdm" localSheetId="11">#REF!</definedName>
    <definedName name="astdm" localSheetId="28">#REF!</definedName>
    <definedName name="astdm">#REF!</definedName>
    <definedName name="Asth" localSheetId="8">#REF!</definedName>
    <definedName name="Asth" localSheetId="10">#REF!</definedName>
    <definedName name="Asth" localSheetId="11">#REF!</definedName>
    <definedName name="Asth" localSheetId="28">#REF!</definedName>
    <definedName name="Asth">#REF!</definedName>
    <definedName name="asti" localSheetId="8">#REF!</definedName>
    <definedName name="asti" localSheetId="10">#REF!</definedName>
    <definedName name="asti" localSheetId="11">#REF!</definedName>
    <definedName name="asti" localSheetId="28">#REF!</definedName>
    <definedName name="asti">#REF!</definedName>
    <definedName name="astm" localSheetId="8">#REF!</definedName>
    <definedName name="astm" localSheetId="10">#REF!</definedName>
    <definedName name="astm" localSheetId="11">#REF!</definedName>
    <definedName name="astm" localSheetId="28">#REF!</definedName>
    <definedName name="astm">#REF!</definedName>
    <definedName name="astmid" localSheetId="8">#REF!</definedName>
    <definedName name="astmid" localSheetId="10">#REF!</definedName>
    <definedName name="astmid" localSheetId="11">#REF!</definedName>
    <definedName name="astmid" localSheetId="28">#REF!</definedName>
    <definedName name="astmid">#REF!</definedName>
    <definedName name="astmin" localSheetId="8">#REF!</definedName>
    <definedName name="astmin" localSheetId="10">#REF!</definedName>
    <definedName name="astmin" localSheetId="11">#REF!</definedName>
    <definedName name="astmin" localSheetId="28">#REF!</definedName>
    <definedName name="astmin">#REF!</definedName>
    <definedName name="asto" localSheetId="8">#REF!</definedName>
    <definedName name="asto" localSheetId="10">#REF!</definedName>
    <definedName name="asto" localSheetId="11">#REF!</definedName>
    <definedName name="asto" localSheetId="28">#REF!</definedName>
    <definedName name="asto">#REF!</definedName>
    <definedName name="astr" localSheetId="8">#REF!</definedName>
    <definedName name="astr" localSheetId="10">#REF!</definedName>
    <definedName name="astr" localSheetId="11">#REF!</definedName>
    <definedName name="astr" localSheetId="28">#REF!</definedName>
    <definedName name="astr">#REF!</definedName>
    <definedName name="astsup" localSheetId="8">#REF!</definedName>
    <definedName name="astsup" localSheetId="10">#REF!</definedName>
    <definedName name="astsup" localSheetId="11">#REF!</definedName>
    <definedName name="astsup" localSheetId="28">#REF!</definedName>
    <definedName name="astsup">#REF!</definedName>
    <definedName name="asttp" localSheetId="8">#REF!</definedName>
    <definedName name="asttp" localSheetId="10">#REF!</definedName>
    <definedName name="asttp" localSheetId="11">#REF!</definedName>
    <definedName name="asttp" localSheetId="28">#REF!</definedName>
    <definedName name="asttp">#REF!</definedName>
    <definedName name="asttrb" localSheetId="8">#REF!</definedName>
    <definedName name="asttrb" localSheetId="10">#REF!</definedName>
    <definedName name="asttrb" localSheetId="11">#REF!</definedName>
    <definedName name="asttrb" localSheetId="28">#REF!</definedName>
    <definedName name="asttrb">#REF!</definedName>
    <definedName name="ASWE" localSheetId="8">#REF!</definedName>
    <definedName name="ASWE" localSheetId="10">#REF!</definedName>
    <definedName name="ASWE" localSheetId="28">#REF!</definedName>
    <definedName name="ASWE">#REF!</definedName>
    <definedName name="ASWR" localSheetId="8">#REF!</definedName>
    <definedName name="ASWR" localSheetId="10">#REF!</definedName>
    <definedName name="ASWR" localSheetId="28">#REF!</definedName>
    <definedName name="ASWR">#REF!</definedName>
    <definedName name="aswsws">#REF!</definedName>
    <definedName name="at">#REF!</definedName>
    <definedName name="ATACK" localSheetId="35">#REF!</definedName>
    <definedName name="ATACK" localSheetId="5">#REF!</definedName>
    <definedName name="ATACK" localSheetId="8">#REF!</definedName>
    <definedName name="ATACK" localSheetId="10">#REF!</definedName>
    <definedName name="ATACK" localSheetId="11">#REF!</definedName>
    <definedName name="ATACK" localSheetId="28">#REF!</definedName>
    <definedName name="ATACK" localSheetId="42">#REF!</definedName>
    <definedName name="ATACK" localSheetId="31">#REF!</definedName>
    <definedName name="ATACK">#REF!</definedName>
    <definedName name="att" localSheetId="8">#REF!</definedName>
    <definedName name="att" localSheetId="10">#REF!</definedName>
    <definedName name="att" localSheetId="11">#REF!</definedName>
    <definedName name="att" localSheetId="28">#REF!</definedName>
    <definedName name="att">#REF!</definedName>
    <definedName name="AU" localSheetId="8">#REF!</definedName>
    <definedName name="AU" localSheetId="10">#REF!</definedName>
    <definedName name="AU" localSheetId="28">#REF!</definedName>
    <definedName name="AU">#REF!</definedName>
    <definedName name="AUX">#REF!</definedName>
    <definedName name="AWBM2" localSheetId="35">#REF!</definedName>
    <definedName name="AWBM2" localSheetId="5">#REF!</definedName>
    <definedName name="AWBM2" localSheetId="8">#REF!</definedName>
    <definedName name="AWBM2" localSheetId="10">#REF!</definedName>
    <definedName name="AWBM2" localSheetId="11">#REF!</definedName>
    <definedName name="AWBM2" localSheetId="28">#REF!</definedName>
    <definedName name="AWBM2" localSheetId="42">#REF!</definedName>
    <definedName name="AWBM2" localSheetId="31">#REF!</definedName>
    <definedName name="AWBM2">#REF!</definedName>
    <definedName name="AWBM3" localSheetId="35">#REF!</definedName>
    <definedName name="AWBM3" localSheetId="5">#REF!</definedName>
    <definedName name="AWBM3" localSheetId="8">#REF!</definedName>
    <definedName name="AWBM3" localSheetId="10">#REF!</definedName>
    <definedName name="AWBM3" localSheetId="11">#REF!</definedName>
    <definedName name="AWBM3" localSheetId="28">#REF!</definedName>
    <definedName name="AWBM3" localSheetId="42">#REF!</definedName>
    <definedName name="AWBM3" localSheetId="31">#REF!</definedName>
    <definedName name="AWBM3">#REF!</definedName>
    <definedName name="b" localSheetId="33">#REF!</definedName>
    <definedName name="b" localSheetId="34">#REF!</definedName>
    <definedName name="b" localSheetId="35">#REF!</definedName>
    <definedName name="b" localSheetId="5">#REF!</definedName>
    <definedName name="b" localSheetId="8">#REF!</definedName>
    <definedName name="b" localSheetId="10">#REF!</definedName>
    <definedName name="b" localSheetId="11">#REF!</definedName>
    <definedName name="b" localSheetId="37">#REF!</definedName>
    <definedName name="b" localSheetId="28">#REF!</definedName>
    <definedName name="b" localSheetId="42">#REF!</definedName>
    <definedName name="b" localSheetId="31">#REF!</definedName>
    <definedName name="b">#REF!</definedName>
    <definedName name="b_43">"$#REF!.$H$3:$J$6"</definedName>
    <definedName name="b_59">"$#REF!.$H$3:$J$6"</definedName>
    <definedName name="b_61">"$#REF!.$H$3:$J$6"</definedName>
    <definedName name="BA" localSheetId="8">#REF!</definedName>
    <definedName name="BA" localSheetId="10">#REF!</definedName>
    <definedName name="BA" localSheetId="28">#REF!</definedName>
    <definedName name="BA">#REF!</definedName>
    <definedName name="BackFilling_Gravel">#REF!</definedName>
    <definedName name="bar_bender" localSheetId="8">#REF!</definedName>
    <definedName name="bar_bender" localSheetId="10">#REF!</definedName>
    <definedName name="bar_bender" localSheetId="11">#REF!</definedName>
    <definedName name="bar_bender" localSheetId="28">#REF!</definedName>
    <definedName name="bar_bender">#REF!</definedName>
    <definedName name="BB" localSheetId="37">[55]DATA!$H$105</definedName>
    <definedName name="BB">[56]DATA!$H$105</definedName>
    <definedName name="bbbbb" localSheetId="35">#REF!</definedName>
    <definedName name="bbbbb" localSheetId="5">#REF!</definedName>
    <definedName name="bbbbb" localSheetId="8">#REF!</definedName>
    <definedName name="bbbbb" localSheetId="10">#REF!</definedName>
    <definedName name="bbbbb" localSheetId="11">#REF!</definedName>
    <definedName name="bbbbb" localSheetId="28">#REF!</definedName>
    <definedName name="bbbbb" localSheetId="42">#REF!</definedName>
    <definedName name="bbbbb" localSheetId="31">#REF!</definedName>
    <definedName name="bbbbb">#REF!</definedName>
    <definedName name="BBD" localSheetId="8">#REF!</definedName>
    <definedName name="BBD" localSheetId="10">#REF!</definedName>
    <definedName name="BBD" localSheetId="28">#REF!</definedName>
    <definedName name="BBD">#REF!</definedName>
    <definedName name="BBdata" localSheetId="37">[79]lead!$L$18</definedName>
    <definedName name="BBdata">[80]lead!$L$18</definedName>
    <definedName name="BBW" localSheetId="8">#REF!</definedName>
    <definedName name="BBW" localSheetId="10">#REF!</definedName>
    <definedName name="BBW" localSheetId="28">#REF!</definedName>
    <definedName name="BBW">#REF!</definedName>
    <definedName name="Bdata" localSheetId="37">[81]lead!$L$18</definedName>
    <definedName name="Bdata">[82]lead!$L$18</definedName>
    <definedName name="bdfdh" localSheetId="28">#REF!</definedName>
    <definedName name="BDK" localSheetId="8">#REF!</definedName>
    <definedName name="BDK" localSheetId="10">#REF!</definedName>
    <definedName name="BDK" localSheetId="28">#REF!</definedName>
    <definedName name="BDK">#REF!</definedName>
    <definedName name="BE" localSheetId="8">#REF!</definedName>
    <definedName name="BE" localSheetId="10">#REF!</definedName>
    <definedName name="BE" localSheetId="28">#REF!</definedName>
    <definedName name="BE">#REF!</definedName>
    <definedName name="Beam_Length" localSheetId="8">#REF!</definedName>
    <definedName name="Beam_Length" localSheetId="10">#REF!</definedName>
    <definedName name="Beam_Length" localSheetId="11">#REF!</definedName>
    <definedName name="Beam_Length" localSheetId="28">#REF!</definedName>
    <definedName name="Beam_Length">#REF!</definedName>
    <definedName name="below_above_gl" localSheetId="37">'[83]data existing_do not delete'!$A$94:$A$95</definedName>
    <definedName name="below_above_gl">'[84]data existing_do not delete'!$A$94:$A$95</definedName>
    <definedName name="bfh" localSheetId="8">#REF!</definedName>
    <definedName name="bfh" localSheetId="10">#REF!</definedName>
    <definedName name="bfh" localSheetId="11">#REF!</definedName>
    <definedName name="bfh" localSheetId="28">#REF!</definedName>
    <definedName name="bfh">#REF!</definedName>
    <definedName name="bh" localSheetId="8">#REF!</definedName>
    <definedName name="bh" localSheetId="10">#REF!</definedName>
    <definedName name="bh" localSheetId="11">#REF!</definedName>
    <definedName name="bh" localSheetId="28">#REF!</definedName>
    <definedName name="bh">#REF!</definedName>
    <definedName name="Bi" localSheetId="28">#REF!</definedName>
    <definedName name="BINDING" localSheetId="33">#REF!</definedName>
    <definedName name="BINDING" localSheetId="34">#REF!</definedName>
    <definedName name="BINDING" localSheetId="5">#REF!</definedName>
    <definedName name="BINDING" localSheetId="8">#REF!</definedName>
    <definedName name="BINDING" localSheetId="10">#REF!</definedName>
    <definedName name="BINDING" localSheetId="11">#REF!</definedName>
    <definedName name="BINDING" localSheetId="37">#REF!</definedName>
    <definedName name="BINDING" localSheetId="28">#REF!</definedName>
    <definedName name="BINDING" localSheetId="42">#REF!</definedName>
    <definedName name="BINDING">#REF!</definedName>
    <definedName name="bindingwire" localSheetId="8">#REF!</definedName>
    <definedName name="bindingwire" localSheetId="10">#REF!</definedName>
    <definedName name="bindingwire" localSheetId="11">#REF!</definedName>
    <definedName name="bindingwire" localSheetId="28">#REF!</definedName>
    <definedName name="bindingwire">#REF!</definedName>
    <definedName name="BITUMEN_TRUNK_ROAD_SECTIONS">'[71]Bitumen trunk'!$A$1:$L$198</definedName>
    <definedName name="bl" localSheetId="5">#REF!</definedName>
    <definedName name="BL" localSheetId="8">#REF!</definedName>
    <definedName name="BL" localSheetId="10">#REF!</definedName>
    <definedName name="bl" localSheetId="11">#REF!</definedName>
    <definedName name="BL" localSheetId="28">#REF!</definedName>
    <definedName name="BL">#REF!</definedName>
    <definedName name="BLA">#REF!</definedName>
    <definedName name="bla1_33">#REF!</definedName>
    <definedName name="bla1_34">#REF!</definedName>
    <definedName name="blast" localSheetId="37">[85]r!$F$29</definedName>
    <definedName name="blast">[75]r!$F$29</definedName>
    <definedName name="blast_21" localSheetId="28">#REF!</definedName>
    <definedName name="blast_33">#REF!</definedName>
    <definedName name="blast_34">#REF!</definedName>
    <definedName name="blast1" localSheetId="37">[86]r!$F$29</definedName>
    <definedName name="blast1">[87]r!$F$29</definedName>
    <definedName name="blast2" localSheetId="37">[86]r!$F$29</definedName>
    <definedName name="blast2">[87]r!$F$29</definedName>
    <definedName name="blasting" localSheetId="28">#REF!</definedName>
    <definedName name="BLF" localSheetId="14">#REF!</definedName>
    <definedName name="BLF" localSheetId="8">#REF!</definedName>
    <definedName name="BLF" localSheetId="10">#REF!</definedName>
    <definedName name="BLF" localSheetId="28">#REF!</definedName>
    <definedName name="BLF">#REF!</definedName>
    <definedName name="bmas" localSheetId="8">#REF!</definedName>
    <definedName name="bmas" localSheetId="10">#REF!</definedName>
    <definedName name="bmas" localSheetId="11">#REF!</definedName>
    <definedName name="bmas" localSheetId="28">#REF!</definedName>
    <definedName name="bmas">#REF!</definedName>
    <definedName name="bmcf" localSheetId="8">#REF!</definedName>
    <definedName name="bmcf" localSheetId="10">#REF!</definedName>
    <definedName name="bmcf" localSheetId="11">#REF!</definedName>
    <definedName name="bmcf" localSheetId="28">#REF!</definedName>
    <definedName name="bmcf">#REF!</definedName>
    <definedName name="bmcfo" localSheetId="8">#REF!</definedName>
    <definedName name="bmcfo" localSheetId="10">#REF!</definedName>
    <definedName name="bmcfo" localSheetId="11">#REF!</definedName>
    <definedName name="bmcfo" localSheetId="28">#REF!</definedName>
    <definedName name="bmcfo">#REF!</definedName>
    <definedName name="bmm" localSheetId="8">#REF!</definedName>
    <definedName name="bmm" localSheetId="10">#REF!</definedName>
    <definedName name="bmm" localSheetId="11">#REF!</definedName>
    <definedName name="bmm" localSheetId="28">#REF!</definedName>
    <definedName name="bmm">#REF!</definedName>
    <definedName name="bmo" localSheetId="8">#REF!</definedName>
    <definedName name="bmo" localSheetId="10">#REF!</definedName>
    <definedName name="bmo" localSheetId="11">#REF!</definedName>
    <definedName name="bmo" localSheetId="28">#REF!</definedName>
    <definedName name="bmo">#REF!</definedName>
    <definedName name="bmpcf" localSheetId="8">#REF!</definedName>
    <definedName name="bmpcf" localSheetId="10">#REF!</definedName>
    <definedName name="bmpcf" localSheetId="11">#REF!</definedName>
    <definedName name="bmpcf" localSheetId="28">#REF!</definedName>
    <definedName name="bmpcf">#REF!</definedName>
    <definedName name="bmpcfo" localSheetId="8">#REF!</definedName>
    <definedName name="bmpcfo" localSheetId="10">#REF!</definedName>
    <definedName name="bmpcfo" localSheetId="11">#REF!</definedName>
    <definedName name="bmpcfo" localSheetId="28">#REF!</definedName>
    <definedName name="bmpcfo">#REF!</definedName>
    <definedName name="bo" localSheetId="33">#REF!</definedName>
    <definedName name="bo" localSheetId="34">#REF!</definedName>
    <definedName name="bo" localSheetId="35">#REF!</definedName>
    <definedName name="bo" localSheetId="5">#REF!</definedName>
    <definedName name="bo" localSheetId="8">#REF!</definedName>
    <definedName name="bo" localSheetId="10">#REF!</definedName>
    <definedName name="bo" localSheetId="11">#REF!</definedName>
    <definedName name="bo" localSheetId="37">#REF!</definedName>
    <definedName name="bo" localSheetId="28">#REF!</definedName>
    <definedName name="bo" localSheetId="42">#REF!</definedName>
    <definedName name="bo" localSheetId="31">#REF!</definedName>
    <definedName name="bo">#REF!</definedName>
    <definedName name="BoltsNuts" localSheetId="37">[88]maya!$B$376:$B$381</definedName>
    <definedName name="BoltsNuts">[89]maya!$B$376:$B$381</definedName>
    <definedName name="boo" localSheetId="33">#REF!</definedName>
    <definedName name="boo" localSheetId="34">#REF!</definedName>
    <definedName name="boo" localSheetId="35">#REF!</definedName>
    <definedName name="boo" localSheetId="5">#REF!</definedName>
    <definedName name="boo" localSheetId="8">#REF!</definedName>
    <definedName name="boo" localSheetId="10">#REF!</definedName>
    <definedName name="boo" localSheetId="11">#REF!</definedName>
    <definedName name="boo" localSheetId="37">#REF!</definedName>
    <definedName name="boo" localSheetId="28">#REF!</definedName>
    <definedName name="boo" localSheetId="42">#REF!</definedName>
    <definedName name="boo" localSheetId="31">#REF!</definedName>
    <definedName name="boo">#REF!</definedName>
    <definedName name="Bore_wells" localSheetId="35">#REF!</definedName>
    <definedName name="Bore_wells" localSheetId="5">#REF!</definedName>
    <definedName name="Bore_wells" localSheetId="8">#REF!</definedName>
    <definedName name="Bore_wells" localSheetId="10">#REF!</definedName>
    <definedName name="Bore_wells" localSheetId="11">#REF!</definedName>
    <definedName name="Bore_wells" localSheetId="28">#REF!</definedName>
    <definedName name="Bore_wells" localSheetId="42">#REF!</definedName>
    <definedName name="Bore_wells" localSheetId="31">#REF!</definedName>
    <definedName name="Bore_wells">#REF!</definedName>
    <definedName name="boreWell" localSheetId="33">#REF!</definedName>
    <definedName name="boreWell" localSheetId="34">#REF!</definedName>
    <definedName name="boreWell" localSheetId="5">#REF!</definedName>
    <definedName name="boreWell" localSheetId="8">#REF!</definedName>
    <definedName name="boreWell" localSheetId="10">#REF!</definedName>
    <definedName name="boreWell" localSheetId="37">#REF!</definedName>
    <definedName name="boreWell" localSheetId="28">#REF!</definedName>
    <definedName name="boreWell" localSheetId="42">#REF!</definedName>
    <definedName name="boreWell">#REF!</definedName>
    <definedName name="borewells" localSheetId="33">#REF!</definedName>
    <definedName name="borewells" localSheetId="34">#REF!</definedName>
    <definedName name="borewells" localSheetId="5">#REF!</definedName>
    <definedName name="borewells" localSheetId="8">#REF!</definedName>
    <definedName name="borewells" localSheetId="10">#REF!</definedName>
    <definedName name="borewells" localSheetId="28">#REF!</definedName>
    <definedName name="borewells" localSheetId="42">#REF!</definedName>
    <definedName name="borewells">#REF!</definedName>
    <definedName name="BOTTOMDOMEONETOSIX" localSheetId="33">#REF!</definedName>
    <definedName name="BOTTOMDOMEONETOSIX" localSheetId="34">#REF!</definedName>
    <definedName name="BOTTOMDOMEONETOSIX" localSheetId="5">#REF!</definedName>
    <definedName name="BOTTOMDOMEONETOSIX" localSheetId="8">#REF!</definedName>
    <definedName name="BOTTOMDOMEONETOSIX" localSheetId="10">#REF!</definedName>
    <definedName name="BOTTOMDOMEONETOSIX" localSheetId="28">#REF!</definedName>
    <definedName name="BOTTOMDOMEONETOSIX" localSheetId="42">#REF!</definedName>
    <definedName name="BOTTOMDOMEONETOSIX">#REF!</definedName>
    <definedName name="BOTTOMDOMESIXTOTHIRTEEN" localSheetId="33">#REF!</definedName>
    <definedName name="BOTTOMDOMESIXTOTHIRTEEN" localSheetId="34">#REF!</definedName>
    <definedName name="BOTTOMDOMESIXTOTHIRTEEN" localSheetId="5">#REF!</definedName>
    <definedName name="BOTTOMDOMESIXTOTHIRTEEN" localSheetId="8">#REF!</definedName>
    <definedName name="BOTTOMDOMESIXTOTHIRTEEN" localSheetId="10">#REF!</definedName>
    <definedName name="BOTTOMDOMESIXTOTHIRTEEN" localSheetId="28">#REF!</definedName>
    <definedName name="BOTTOMDOMESIXTOTHIRTEEN" localSheetId="42">#REF!</definedName>
    <definedName name="BOTTOMDOMESIXTOTHIRTEEN">#REF!</definedName>
    <definedName name="BOTTOMRINGGIRDERONETOSIX" localSheetId="33">#REF!</definedName>
    <definedName name="BOTTOMRINGGIRDERONETOSIX" localSheetId="34">#REF!</definedName>
    <definedName name="BOTTOMRINGGIRDERONETOSIX" localSheetId="5">#REF!</definedName>
    <definedName name="BOTTOMRINGGIRDERONETOSIX" localSheetId="8">#REF!</definedName>
    <definedName name="BOTTOMRINGGIRDERONETOSIX" localSheetId="10">#REF!</definedName>
    <definedName name="BOTTOMRINGGIRDERONETOSIX" localSheetId="28">#REF!</definedName>
    <definedName name="BOTTOMRINGGIRDERONETOSIX" localSheetId="42">#REF!</definedName>
    <definedName name="BOTTOMRINGGIRDERONETOSIX">#REF!</definedName>
    <definedName name="BOTTOMRINGGIRDERSEVENTOTHIRTEEN" localSheetId="33">#REF!</definedName>
    <definedName name="BOTTOMRINGGIRDERSEVENTOTHIRTEEN" localSheetId="34">#REF!</definedName>
    <definedName name="BOTTOMRINGGIRDERSEVENTOTHIRTEEN" localSheetId="5">#REF!</definedName>
    <definedName name="BOTTOMRINGGIRDERSEVENTOTHIRTEEN" localSheetId="8">#REF!</definedName>
    <definedName name="BOTTOMRINGGIRDERSEVENTOTHIRTEEN" localSheetId="10">#REF!</definedName>
    <definedName name="BOTTOMRINGGIRDERSEVENTOTHIRTEEN" localSheetId="28">#REF!</definedName>
    <definedName name="BOTTOMRINGGIRDERSEVENTOTHIRTEEN" localSheetId="42">#REF!</definedName>
    <definedName name="BOTTOMRINGGIRDERSEVENTOTHIRTEEN">#REF!</definedName>
    <definedName name="BoulderApron">#REF!</definedName>
    <definedName name="bp" localSheetId="8">#REF!</definedName>
    <definedName name="bp" localSheetId="10">#REF!</definedName>
    <definedName name="bp" localSheetId="11">#REF!</definedName>
    <definedName name="bp" localSheetId="28">#REF!</definedName>
    <definedName name="bp">#REF!</definedName>
    <definedName name="bpd" localSheetId="8">#REF!</definedName>
    <definedName name="bpd" localSheetId="10">#REF!</definedName>
    <definedName name="bpd" localSheetId="28">#REF!</definedName>
    <definedName name="bpd">#REF!</definedName>
    <definedName name="br" localSheetId="28" hidden="1">{"'ridftotal'!$A$4:$S$27"}</definedName>
    <definedName name="br_230" localSheetId="8">#REF!</definedName>
    <definedName name="br_230" localSheetId="10">#REF!</definedName>
    <definedName name="br_230" localSheetId="11">#REF!</definedName>
    <definedName name="br_230" localSheetId="28">#REF!</definedName>
    <definedName name="br_230">#REF!</definedName>
    <definedName name="brgf">#REF!</definedName>
    <definedName name="brglvl">[90]Intput!$L$127</definedName>
    <definedName name="brick" localSheetId="33">#REF!</definedName>
    <definedName name="brick" localSheetId="34">#REF!</definedName>
    <definedName name="brick" localSheetId="35">#REF!</definedName>
    <definedName name="brick" localSheetId="5">#REF!</definedName>
    <definedName name="brick" localSheetId="8">#REF!</definedName>
    <definedName name="brick" localSheetId="10">#REF!</definedName>
    <definedName name="brick" localSheetId="11">#REF!</definedName>
    <definedName name="brick" localSheetId="37">#REF!</definedName>
    <definedName name="brick" localSheetId="28">#REF!</definedName>
    <definedName name="brick" localSheetId="42">#REF!</definedName>
    <definedName name="brick" localSheetId="31">#REF!</definedName>
    <definedName name="brick">#REF!</definedName>
    <definedName name="brick_23">"$#REF!.$#REF!$#REF!"</definedName>
    <definedName name="brick_32">"$#REF!.$#REF!$#REF!"</definedName>
    <definedName name="brick_33">"$#REF!.$#REF!$#REF!"</definedName>
    <definedName name="brick_34">"$#REF!.$#REF!$#REF!"</definedName>
    <definedName name="brick_38">"$#REF!.$#REF!$#REF!"</definedName>
    <definedName name="brick_41">"$#REF!.$#REF!$#REF!"</definedName>
    <definedName name="brick_43">"$#REF!.$#REF!$#REF!"</definedName>
    <definedName name="brick_48">"$#REF!.$#REF!$#REF!"</definedName>
    <definedName name="brick_56">"$#REF!.$#REF!$#REF!"</definedName>
    <definedName name="brick_57">"$#REF!.$#REF!$#REF!"</definedName>
    <definedName name="brick_59">"$#REF!.$#REF!$#REF!"</definedName>
    <definedName name="brick_60">"$#REF!.$#REF!$#REF!"</definedName>
    <definedName name="brick_61">"$#REF!.$#REF!$#REF!"</definedName>
    <definedName name="brick_62">"$#REF!.$#REF!$#REF!"</definedName>
    <definedName name="brick_7">"$#REF!.$#REF!$#REF!"</definedName>
    <definedName name="brick_72">"$#REF!.$#REF!$#REF!"</definedName>
    <definedName name="brick_73">"$#REF!.$#REF!$#REF!"</definedName>
    <definedName name="brick_8">"$#REF!.$#REF!$#REF!"</definedName>
    <definedName name="brick_four" localSheetId="8">#REF!</definedName>
    <definedName name="brick_four" localSheetId="10">#REF!</definedName>
    <definedName name="brick_four" localSheetId="11">#REF!</definedName>
    <definedName name="brick_four" localSheetId="28">#REF!</definedName>
    <definedName name="brick_four">#REF!</definedName>
    <definedName name="brick_nine" localSheetId="8">#REF!</definedName>
    <definedName name="brick_nine" localSheetId="10">#REF!</definedName>
    <definedName name="brick_nine" localSheetId="11">#REF!</definedName>
    <definedName name="brick_nine" localSheetId="28">#REF!</definedName>
    <definedName name="brick_nine">#REF!</definedName>
    <definedName name="Bricks" localSheetId="33">#REF!</definedName>
    <definedName name="Bricks" localSheetId="34">#REF!</definedName>
    <definedName name="Bricks" localSheetId="35">#REF!</definedName>
    <definedName name="Bricks" localSheetId="5">#REF!</definedName>
    <definedName name="Bricks" localSheetId="8">#REF!</definedName>
    <definedName name="Bricks" localSheetId="10">#REF!</definedName>
    <definedName name="Bricks" localSheetId="11">#REF!</definedName>
    <definedName name="Bricks" localSheetId="37">#REF!</definedName>
    <definedName name="Bricks" localSheetId="28">#REF!</definedName>
    <definedName name="Bricks" localSheetId="42">#REF!</definedName>
    <definedName name="Bricks" localSheetId="31">#REF!</definedName>
    <definedName name="Bricks">#REF!</definedName>
    <definedName name="Bricks_23">"$#REF!.$#REF!$#REF!"</definedName>
    <definedName name="Bricks_32">"$#REF!.$#REF!$#REF!"</definedName>
    <definedName name="Bricks_33">"$#REF!.$#REF!$#REF!"</definedName>
    <definedName name="Bricks_34">"$#REF!.$#REF!$#REF!"</definedName>
    <definedName name="Bricks_38">"$#REF!.$#REF!$#REF!"</definedName>
    <definedName name="Bricks_41">"$#REF!.$#REF!$#REF!"</definedName>
    <definedName name="Bricks_43">"$#REF!.$#REF!$#REF!"</definedName>
    <definedName name="Bricks_48">"$#REF!.$#REF!$#REF!"</definedName>
    <definedName name="Bricks_56">"$#REF!.$#REF!$#REF!"</definedName>
    <definedName name="Bricks_57">"$#REF!.$#REF!$#REF!"</definedName>
    <definedName name="Bricks_59">"$#REF!.$#REF!$#REF!"</definedName>
    <definedName name="Bricks_60">"$#REF!.$#REF!$#REF!"</definedName>
    <definedName name="Bricks_61">"$#REF!.$#REF!$#REF!"</definedName>
    <definedName name="Bricks_62">"$#REF!.$#REF!$#REF!"</definedName>
    <definedName name="Bricks_7">"$#REF!.$#REF!$#REF!"</definedName>
    <definedName name="Bricks_72">"$#REF!.$#REF!$#REF!"</definedName>
    <definedName name="Bricks_73">"$#REF!.$#REF!$#REF!"</definedName>
    <definedName name="Bricks_8">"$#REF!.$#REF!$#REF!"</definedName>
    <definedName name="Bridge" localSheetId="33">#REF!</definedName>
    <definedName name="Bridge" localSheetId="34">#REF!</definedName>
    <definedName name="Bridge" localSheetId="5">#REF!</definedName>
    <definedName name="Bridge" localSheetId="8">#REF!</definedName>
    <definedName name="Bridge" localSheetId="10">#REF!</definedName>
    <definedName name="Bridge" localSheetId="11">#REF!</definedName>
    <definedName name="Bridge" localSheetId="28">#REF!</definedName>
    <definedName name="Bridge" localSheetId="42">#REF!</definedName>
    <definedName name="Bridge">#REF!</definedName>
    <definedName name="Bridge_33">"$#REF!.$#REF!$#REF!:$#REF!$#REF!"</definedName>
    <definedName name="Bridge_38">"$#REF!.$#REF!$#REF!:$#REF!$#REF!"</definedName>
    <definedName name="Bridge_41">"$#REF!.$#REF!$#REF!:$#REF!$#REF!"</definedName>
    <definedName name="Bridge_7">"$#REF!.$#REF!$#REF!:$#REF!$#REF!"</definedName>
    <definedName name="Bridge_8">"$#REF!.$#REF!$#REF!:$#REF!$#REF!"</definedName>
    <definedName name="brk" localSheetId="8">#REF!</definedName>
    <definedName name="brk" localSheetId="10">#REF!</definedName>
    <definedName name="brk" localSheetId="28">#REF!</definedName>
    <definedName name="brk" localSheetId="42">#REF!</definedName>
    <definedName name="brk">#REF!</definedName>
    <definedName name="BSG" localSheetId="33">#REF!</definedName>
    <definedName name="BSG" localSheetId="34">#REF!</definedName>
    <definedName name="BSG" localSheetId="5">#REF!</definedName>
    <definedName name="BSG" localSheetId="8">#REF!</definedName>
    <definedName name="BSG" localSheetId="10">#REF!</definedName>
    <definedName name="BSG" localSheetId="11">#REF!</definedName>
    <definedName name="BSG" localSheetId="37">#REF!</definedName>
    <definedName name="BSG" localSheetId="28">#REF!</definedName>
    <definedName name="BSG" localSheetId="42">#REF!</definedName>
    <definedName name="BSG">#REF!</definedName>
    <definedName name="bsth" localSheetId="8">#REF!</definedName>
    <definedName name="bsth" localSheetId="10">#REF!</definedName>
    <definedName name="bsth" localSheetId="11">#REF!</definedName>
    <definedName name="bsth" localSheetId="28">#REF!</definedName>
    <definedName name="bsth">#REF!</definedName>
    <definedName name="bsthi" localSheetId="8">#REF!</definedName>
    <definedName name="bsthi" localSheetId="10">#REF!</definedName>
    <definedName name="bsthi" localSheetId="11">#REF!</definedName>
    <definedName name="bsthi" localSheetId="28">#REF!</definedName>
    <definedName name="bsthi">#REF!</definedName>
    <definedName name="bt" localSheetId="33">#REF!</definedName>
    <definedName name="bt" localSheetId="34">#REF!</definedName>
    <definedName name="bt" localSheetId="5">#REF!</definedName>
    <definedName name="BT" localSheetId="8">#REF!</definedName>
    <definedName name="BT" localSheetId="10">#REF!</definedName>
    <definedName name="BT" localSheetId="11">#REF!</definedName>
    <definedName name="BT" localSheetId="37">#REF!</definedName>
    <definedName name="BT" localSheetId="28">#REF!</definedName>
    <definedName name="BT" localSheetId="42">#REF!</definedName>
    <definedName name="BT">#REF!</definedName>
    <definedName name="bt_boil">#REF!</definedName>
    <definedName name="bt_lead">#REF!</definedName>
    <definedName name="BT_MIX_SEAL" localSheetId="33">#REF!</definedName>
    <definedName name="BT_MIX_SEAL" localSheetId="34">#REF!</definedName>
    <definedName name="BT_MIX_SEAL" localSheetId="5">#REF!</definedName>
    <definedName name="BT_MIX_SEAL" localSheetId="8">#REF!</definedName>
    <definedName name="BT_MIX_SEAL" localSheetId="10">#REF!</definedName>
    <definedName name="BT_MIX_SEAL" localSheetId="11">#REF!</definedName>
    <definedName name="BT_MIX_SEAL" localSheetId="37">#REF!</definedName>
    <definedName name="BT_MIX_SEAL" localSheetId="28">#REF!</definedName>
    <definedName name="BT_MIX_SEAL" localSheetId="42">#REF!</definedName>
    <definedName name="BT_MIX_SEAL">#REF!</definedName>
    <definedName name="bt_rate">#REF!</definedName>
    <definedName name="BT_Rate_60_70" localSheetId="14">lead!$J$40</definedName>
    <definedName name="BT_Rate_60_70" localSheetId="28">[91]Lead!$J$41</definedName>
    <definedName name="BT_Rate_60_70">lead!$J$40</definedName>
    <definedName name="BT_SEAL_COAT" localSheetId="33">#REF!</definedName>
    <definedName name="BT_SEAL_COAT" localSheetId="34">#REF!</definedName>
    <definedName name="BT_SEAL_COAT" localSheetId="5">#REF!</definedName>
    <definedName name="BT_SEAL_COAT" localSheetId="8">#REF!</definedName>
    <definedName name="BT_SEAL_COAT" localSheetId="10">#REF!</definedName>
    <definedName name="BT_SEAL_COAT" localSheetId="11">#REF!</definedName>
    <definedName name="BT_SEAL_COAT" localSheetId="37">#REF!</definedName>
    <definedName name="BT_SEAL_COAT" localSheetId="28">#REF!</definedName>
    <definedName name="BT_SEAL_COAT" localSheetId="42">#REF!</definedName>
    <definedName name="BT_SEAL_COAT">#REF!</definedName>
    <definedName name="BT_SEAL_ON_BTSD" localSheetId="33">#REF!</definedName>
    <definedName name="BT_SEAL_ON_BTSD" localSheetId="34">#REF!</definedName>
    <definedName name="BT_SEAL_ON_BTSD" localSheetId="5">#REF!</definedName>
    <definedName name="BT_SEAL_ON_BTSD" localSheetId="8">#REF!</definedName>
    <definedName name="BT_SEAL_ON_BTSD" localSheetId="10">#REF!</definedName>
    <definedName name="BT_SEAL_ON_BTSD" localSheetId="11">#REF!</definedName>
    <definedName name="BT_SEAL_ON_BTSD" localSheetId="37">#REF!</definedName>
    <definedName name="BT_SEAL_ON_BTSD" localSheetId="28">#REF!</definedName>
    <definedName name="BT_SEAL_ON_BTSD" localSheetId="42">#REF!</definedName>
    <definedName name="BT_SEAL_ON_BTSD">#REF!</definedName>
    <definedName name="BT_SINGLE_30.45" localSheetId="33">#REF!</definedName>
    <definedName name="BT_SINGLE_30.45" localSheetId="34">#REF!</definedName>
    <definedName name="BT_SINGLE_30.45" localSheetId="5">#REF!</definedName>
    <definedName name="BT_SINGLE_30.45" localSheetId="8">#REF!</definedName>
    <definedName name="BT_SINGLE_30.45" localSheetId="10">#REF!</definedName>
    <definedName name="BT_SINGLE_30.45" localSheetId="11">#REF!</definedName>
    <definedName name="BT_SINGLE_30.45" localSheetId="37">#REF!</definedName>
    <definedName name="BT_SINGLE_30.45" localSheetId="28">#REF!</definedName>
    <definedName name="BT_SINGLE_30.45" localSheetId="42">#REF!</definedName>
    <definedName name="BT_SINGLE_30.45">#REF!</definedName>
    <definedName name="BT_TypeA_SealCoat">#REF!</definedName>
    <definedName name="BT_TypeA_SealCoat_HMP">#REF!</definedName>
    <definedName name="BT_TypeB_SealCoat">#REF!</definedName>
    <definedName name="BT_TypeB_SealCoat_HMP">#REF!</definedName>
    <definedName name="BT_TypeC_SealCoat">#REF!</definedName>
    <definedName name="BT_WEARING_COAT" localSheetId="33">#REF!</definedName>
    <definedName name="BT_WEARING_COAT" localSheetId="34">#REF!</definedName>
    <definedName name="BT_WEARING_COAT" localSheetId="5">#REF!</definedName>
    <definedName name="BT_WEARING_COAT" localSheetId="8">#REF!</definedName>
    <definedName name="BT_WEARING_COAT" localSheetId="10">#REF!</definedName>
    <definedName name="BT_WEARING_COAT" localSheetId="11">#REF!</definedName>
    <definedName name="BT_WEARING_COAT" localSheetId="37">#REF!</definedName>
    <definedName name="BT_WEARING_COAT" localSheetId="28">#REF!</definedName>
    <definedName name="BT_WEARING_COAT" localSheetId="42">#REF!</definedName>
    <definedName name="BT_WEARING_COAT">#REF!</definedName>
    <definedName name="BTC" localSheetId="8">#REF!</definedName>
    <definedName name="BTC" localSheetId="10">#REF!</definedName>
    <definedName name="BTC" localSheetId="28">#REF!</definedName>
    <definedName name="BTC">#REF!</definedName>
    <definedName name="BTEMULTIONSS1" localSheetId="33">#REF!</definedName>
    <definedName name="BTEMULTIONSS1" localSheetId="34">#REF!</definedName>
    <definedName name="BTEMULTIONSS1" localSheetId="5">#REF!</definedName>
    <definedName name="BTEMULTIONSS1" localSheetId="8">#REF!</definedName>
    <definedName name="BTEMULTIONSS1" localSheetId="10">#REF!</definedName>
    <definedName name="BTEMULTIONSS1" localSheetId="37">#REF!</definedName>
    <definedName name="BTEMULTIONSS1" localSheetId="28">#REF!</definedName>
    <definedName name="BTEMULTIONSS1" localSheetId="42">#REF!</definedName>
    <definedName name="BTEMULTIONSS1">#REF!</definedName>
    <definedName name="BTL" localSheetId="42">#REF!</definedName>
    <definedName name="BTL">#REF!</definedName>
    <definedName name="BTSD_23" localSheetId="33">#REF!</definedName>
    <definedName name="BTSD_23" localSheetId="34">#REF!</definedName>
    <definedName name="BTSD_23" localSheetId="5">#REF!</definedName>
    <definedName name="BTSD_23" localSheetId="8">#REF!</definedName>
    <definedName name="BTSD_23" localSheetId="10">#REF!</definedName>
    <definedName name="BTSD_23" localSheetId="11">#REF!</definedName>
    <definedName name="BTSD_23" localSheetId="37">#REF!</definedName>
    <definedName name="BTSD_23" localSheetId="28">#REF!</definedName>
    <definedName name="BTSD_23" localSheetId="42">#REF!</definedName>
    <definedName name="BTSD_23">#REF!</definedName>
    <definedName name="BTSD_DRY" localSheetId="33">#REF!</definedName>
    <definedName name="BTSD_DRY" localSheetId="34">#REF!</definedName>
    <definedName name="BTSD_DRY" localSheetId="5">#REF!</definedName>
    <definedName name="BTSD_DRY" localSheetId="8">#REF!</definedName>
    <definedName name="BTSD_DRY" localSheetId="10">#REF!</definedName>
    <definedName name="BTSD_DRY" localSheetId="11">#REF!</definedName>
    <definedName name="BTSD_DRY" localSheetId="37">#REF!</definedName>
    <definedName name="BTSD_DRY" localSheetId="28">#REF!</definedName>
    <definedName name="BTSD_DRY" localSheetId="42">#REF!</definedName>
    <definedName name="BTSD_DRY">#REF!</definedName>
    <definedName name="BTSD_SEAL" localSheetId="33">#REF!</definedName>
    <definedName name="BTSD_SEAL" localSheetId="34">#REF!</definedName>
    <definedName name="BTSD_SEAL" localSheetId="5">#REF!</definedName>
    <definedName name="BTSD_SEAL" localSheetId="8">#REF!</definedName>
    <definedName name="BTSD_SEAL" localSheetId="10">#REF!</definedName>
    <definedName name="BTSD_SEAL" localSheetId="11">#REF!</definedName>
    <definedName name="BTSD_SEAL" localSheetId="37">#REF!</definedName>
    <definedName name="BTSD_SEAL" localSheetId="28">#REF!</definedName>
    <definedName name="BTSD_SEAL" localSheetId="42">#REF!</definedName>
    <definedName name="BTSD_SEAL">#REF!</definedName>
    <definedName name="BTSD_SingleCoat">#REF!</definedName>
    <definedName name="buildings" localSheetId="8">#REF!</definedName>
    <definedName name="buildings" localSheetId="10">#REF!</definedName>
    <definedName name="buildings" localSheetId="11">#REF!</definedName>
    <definedName name="buildings" localSheetId="28">#REF!</definedName>
    <definedName name="buildings">#REF!</definedName>
    <definedName name="buoy">[90]Intput!$L$77</definedName>
    <definedName name="buran" localSheetId="37">[92]maya!$A$23:$A$27</definedName>
    <definedName name="buran">[93]maya!$A$23:$A$27</definedName>
    <definedName name="Button_1">"tlbww_details"</definedName>
    <definedName name="BV">#REF!</definedName>
    <definedName name="bvghght">#REF!</definedName>
    <definedName name="bw" localSheetId="33">#REF!</definedName>
    <definedName name="bw" localSheetId="34">#REF!</definedName>
    <definedName name="bw" localSheetId="5">#REF!</definedName>
    <definedName name="bw" localSheetId="8">#REF!</definedName>
    <definedName name="bw" localSheetId="10">#REF!</definedName>
    <definedName name="bw" localSheetId="37">#REF!</definedName>
    <definedName name="bw" localSheetId="28">#REF!</definedName>
    <definedName name="bw" localSheetId="42">#REF!</definedName>
    <definedName name="bw">#REF!</definedName>
    <definedName name="BWB" localSheetId="14">#REF!</definedName>
    <definedName name="BWB" localSheetId="8">#REF!</definedName>
    <definedName name="BWB" localSheetId="10">#REF!</definedName>
    <definedName name="BWB" localSheetId="28">#REF!</definedName>
    <definedName name="BWB">#REF!</definedName>
    <definedName name="BWP" localSheetId="14">#REF!</definedName>
    <definedName name="BWP" localSheetId="8">#REF!</definedName>
    <definedName name="BWP" localSheetId="10">#REF!</definedName>
    <definedName name="BWP" localSheetId="28">#REF!</definedName>
    <definedName name="BWP">#REF!</definedName>
    <definedName name="bx" localSheetId="35">#REF!</definedName>
    <definedName name="bx" localSheetId="5">#REF!</definedName>
    <definedName name="bx" localSheetId="8">#REF!</definedName>
    <definedName name="bx" localSheetId="10">#REF!</definedName>
    <definedName name="bx" localSheetId="11">#REF!</definedName>
    <definedName name="bx" localSheetId="28">#REF!</definedName>
    <definedName name="bx" localSheetId="42">#REF!</definedName>
    <definedName name="bx" localSheetId="31">#REF!</definedName>
    <definedName name="bx">#REF!</definedName>
    <definedName name="c.c136">[94]Sheet1!$A$19:$A$22</definedName>
    <definedName name="C.M_1isto5" localSheetId="28">#REF!</definedName>
    <definedName name="C_" localSheetId="14">#REF!</definedName>
    <definedName name="C_" localSheetId="8">#REF!</definedName>
    <definedName name="C_" localSheetId="10">#REF!</definedName>
    <definedName name="C_" localSheetId="28">#REF!</definedName>
    <definedName name="C_">#REF!</definedName>
    <definedName name="c_c136">#REF!</definedName>
    <definedName name="C824." localSheetId="8">#REF!</definedName>
    <definedName name="C824." localSheetId="10">#REF!</definedName>
    <definedName name="C824." localSheetId="28">#REF!</definedName>
    <definedName name="C824." localSheetId="42">#REF!</definedName>
    <definedName name="C824.">#REF!</definedName>
    <definedName name="calculations">#REF!</definedName>
    <definedName name="CANTILEVERONETOSIX" localSheetId="33">#REF!</definedName>
    <definedName name="CANTILEVERONETOSIX" localSheetId="34">#REF!</definedName>
    <definedName name="CANTILEVERONETOSIX" localSheetId="5">#REF!</definedName>
    <definedName name="CANTILEVERONETOSIX" localSheetId="8">#REF!</definedName>
    <definedName name="CANTILEVERONETOSIX" localSheetId="10">#REF!</definedName>
    <definedName name="CANTILEVERONETOSIX" localSheetId="37">#REF!</definedName>
    <definedName name="CANTILEVERONETOSIX" localSheetId="28">#REF!</definedName>
    <definedName name="CANTILEVERONETOSIX" localSheetId="42">#REF!</definedName>
    <definedName name="CANTILEVERONETOSIX">#REF!</definedName>
    <definedName name="CANTILEVERSEVENTOTHIRTEEN" localSheetId="33">#REF!</definedName>
    <definedName name="CANTILEVERSEVENTOTHIRTEEN" localSheetId="34">#REF!</definedName>
    <definedName name="CANTILEVERSEVENTOTHIRTEEN" localSheetId="5">#REF!</definedName>
    <definedName name="CANTILEVERSEVENTOTHIRTEEN" localSheetId="8">#REF!</definedName>
    <definedName name="CANTILEVERSEVENTOTHIRTEEN" localSheetId="10">#REF!</definedName>
    <definedName name="CANTILEVERSEVENTOTHIRTEEN" localSheetId="37">#REF!</definedName>
    <definedName name="CANTILEVERSEVENTOTHIRTEEN" localSheetId="28">#REF!</definedName>
    <definedName name="CANTILEVERSEVENTOTHIRTEEN" localSheetId="42">#REF!</definedName>
    <definedName name="CANTILEVERSEVENTOTHIRTEEN">#REF!</definedName>
    <definedName name="CAS">#REF!</definedName>
    <definedName name="CAUSEWAY" localSheetId="35">#REF!</definedName>
    <definedName name="CAUSEWAY" localSheetId="5">#REF!</definedName>
    <definedName name="CAUSEWAY" localSheetId="8">#REF!</definedName>
    <definedName name="CAUSEWAY" localSheetId="10">#REF!</definedName>
    <definedName name="CAUSEWAY" localSheetId="11">#REF!</definedName>
    <definedName name="CAUSEWAY" localSheetId="28">#REF!</definedName>
    <definedName name="CAUSEWAY" localSheetId="42">#REF!</definedName>
    <definedName name="CAUSEWAY" localSheetId="31">#REF!</definedName>
    <definedName name="CAUSEWAY">#REF!</definedName>
    <definedName name="cb" localSheetId="8">#REF!</definedName>
    <definedName name="cb" localSheetId="10">#REF!</definedName>
    <definedName name="cb" localSheetId="11">#REF!</definedName>
    <definedName name="cb" localSheetId="28">#REF!</definedName>
    <definedName name="cb">#REF!</definedName>
    <definedName name="cbeams" localSheetId="28">#REF!</definedName>
    <definedName name="cbr">#REF!</definedName>
    <definedName name="cc" localSheetId="5">#REF!</definedName>
    <definedName name="CC" localSheetId="8">#REF!</definedName>
    <definedName name="CC" localSheetId="10">#REF!</definedName>
    <definedName name="cc" localSheetId="11">#REF!</definedName>
    <definedName name="cc" localSheetId="37">#REF!</definedName>
    <definedName name="CC" localSheetId="28">#REF!</definedName>
    <definedName name="cc" localSheetId="42">#REF!</definedName>
    <definedName name="CC">#REF!</definedName>
    <definedName name="CC_1" localSheetId="37">[55]DATA!$I$59</definedName>
    <definedName name="CC_1">[56]DATA!$I$59</definedName>
    <definedName name="CC_M15_HWs_SCs" localSheetId="28">#REF!</definedName>
    <definedName name="cc_mix" localSheetId="37">'[83]data existing_do not delete'!$D$2:$D$7</definedName>
    <definedName name="cc_mix">'[84]data existing_do not delete'!$D$2:$D$7</definedName>
    <definedName name="CC1.2.4" localSheetId="28">#REF!</definedName>
    <definedName name="cc1.5.10">#REF!</definedName>
    <definedName name="cci" localSheetId="8">#REF!</definedName>
    <definedName name="cci" localSheetId="10">#REF!</definedName>
    <definedName name="cci" localSheetId="11">#REF!</definedName>
    <definedName name="cci" localSheetId="28">#REF!</definedName>
    <definedName name="cci">#REF!</definedName>
    <definedName name="ccir" localSheetId="35">#REF!</definedName>
    <definedName name="ccir" localSheetId="5">#REF!</definedName>
    <definedName name="ccir" localSheetId="8">#REF!</definedName>
    <definedName name="ccir" localSheetId="10">#REF!</definedName>
    <definedName name="ccir" localSheetId="11">#REF!</definedName>
    <definedName name="ccir" localSheetId="28">#REF!</definedName>
    <definedName name="ccir" localSheetId="42">#REF!</definedName>
    <definedName name="ccir" localSheetId="31">#REF!</definedName>
    <definedName name="ccir">#REF!</definedName>
    <definedName name="CCL" localSheetId="42">#REF!</definedName>
    <definedName name="CCL">#REF!</definedName>
    <definedName name="ccp" localSheetId="28">#REF!</definedName>
    <definedName name="CCP_M30">#REF!</definedName>
    <definedName name="ccwc1" localSheetId="28">#REF!</definedName>
    <definedName name="ccwc2">#REF!</definedName>
    <definedName name="cd" localSheetId="33">#REF!</definedName>
    <definedName name="cd" localSheetId="34">#REF!</definedName>
    <definedName name="cd" localSheetId="35">#REF!</definedName>
    <definedName name="cd" localSheetId="5">#REF!</definedName>
    <definedName name="cd" localSheetId="8">#REF!</definedName>
    <definedName name="cd" localSheetId="10">#REF!</definedName>
    <definedName name="cd" localSheetId="11">#REF!</definedName>
    <definedName name="cd" localSheetId="37">#REF!</definedName>
    <definedName name="cd" localSheetId="28">#REF!</definedName>
    <definedName name="cd" localSheetId="42">#REF!</definedName>
    <definedName name="cd" localSheetId="31">#REF!</definedName>
    <definedName name="cd">#REF!</definedName>
    <definedName name="cd_33">"$#REF!.$#REF!$#REF!"</definedName>
    <definedName name="cd_34">"$#REF!.$#REF!$#REF!"</definedName>
    <definedName name="cd10mm" localSheetId="28">#REF!</definedName>
    <definedName name="cd12mm">#REF!</definedName>
    <definedName name="cd20mm">#REF!</definedName>
    <definedName name="cd25mm">#REF!</definedName>
    <definedName name="cd2m" localSheetId="8">#REF!</definedName>
    <definedName name="cd2m" localSheetId="10">#REF!</definedName>
    <definedName name="cd2m" localSheetId="28">#REF!</definedName>
    <definedName name="cd2m">#REF!</definedName>
    <definedName name="cd40mm">#REF!</definedName>
    <definedName name="cd40mm08">#REF!</definedName>
    <definedName name="cd6mm">#REF!</definedName>
    <definedName name="CDABSTRACT">#REF!</definedName>
    <definedName name="cddata" localSheetId="33">#REF!</definedName>
    <definedName name="cddata" localSheetId="34">#REF!</definedName>
    <definedName name="cddata" localSheetId="35">#REF!</definedName>
    <definedName name="cddata" localSheetId="5">#REF!</definedName>
    <definedName name="cddata" localSheetId="8">#REF!</definedName>
    <definedName name="cddata" localSheetId="10">#REF!</definedName>
    <definedName name="cddata" localSheetId="11">#REF!</definedName>
    <definedName name="cddata" localSheetId="28">#REF!</definedName>
    <definedName name="cddata" localSheetId="42">#REF!</definedName>
    <definedName name="cddata" localSheetId="31">#REF!</definedName>
    <definedName name="cddata">#REF!</definedName>
    <definedName name="CDECV" localSheetId="35">#REF!</definedName>
    <definedName name="CDECV" localSheetId="5">#REF!</definedName>
    <definedName name="CDECV" localSheetId="8">#REF!</definedName>
    <definedName name="CDECV" localSheetId="10">#REF!</definedName>
    <definedName name="CDECV" localSheetId="11">#REF!</definedName>
    <definedName name="CDECV" localSheetId="28">#REF!</definedName>
    <definedName name="CDECV" localSheetId="42">#REF!</definedName>
    <definedName name="CDECV" localSheetId="31">#REF!</definedName>
    <definedName name="CDECV">#REF!</definedName>
    <definedName name="CDN" localSheetId="42">#REF!</definedName>
    <definedName name="CDN">#REF!</definedName>
    <definedName name="CDNO" localSheetId="35">#REF!</definedName>
    <definedName name="CDNO" localSheetId="5">#REF!</definedName>
    <definedName name="CDNO" localSheetId="8">#REF!</definedName>
    <definedName name="CDNO" localSheetId="10">#REF!</definedName>
    <definedName name="CDNO" localSheetId="11">#REF!</definedName>
    <definedName name="CDNO" localSheetId="28">#REF!</definedName>
    <definedName name="CDNO" localSheetId="42">#REF!</definedName>
    <definedName name="CDNO" localSheetId="31">#REF!</definedName>
    <definedName name="CDNO">#REF!</definedName>
    <definedName name="cdno_600" localSheetId="35">#REF!</definedName>
    <definedName name="cdno_600" localSheetId="5">#REF!</definedName>
    <definedName name="cdno_600" localSheetId="8">#REF!</definedName>
    <definedName name="cdno_600" localSheetId="10">#REF!</definedName>
    <definedName name="cdno_600" localSheetId="11">#REF!</definedName>
    <definedName name="cdno_600" localSheetId="28">#REF!</definedName>
    <definedName name="cdno_600" localSheetId="42">#REF!</definedName>
    <definedName name="cdno_600" localSheetId="31">#REF!</definedName>
    <definedName name="cdno_600">#REF!</definedName>
    <definedName name="CDSC" localSheetId="42">#REF!</definedName>
    <definedName name="CDSC">#REF!</definedName>
    <definedName name="ce" localSheetId="28">#REF!</definedName>
    <definedName name="CEMENT" localSheetId="33">[95]RMR!$F$29</definedName>
    <definedName name="CEMENT" localSheetId="34">[95]RMR!$F$29</definedName>
    <definedName name="CEMENT" localSheetId="5">#REF!</definedName>
    <definedName name="CEMENT" localSheetId="8">#REF!</definedName>
    <definedName name="CEMENT" localSheetId="10">#REF!</definedName>
    <definedName name="cement" localSheetId="11">#REF!</definedName>
    <definedName name="CEMENT" localSheetId="37">#REF!</definedName>
    <definedName name="CEMENT" localSheetId="28">#REF!</definedName>
    <definedName name="CEMENT" localSheetId="42">#REF!</definedName>
    <definedName name="CEMENT">#REF!</definedName>
    <definedName name="cementpaint" localSheetId="28">#REF!</definedName>
    <definedName name="cenchrcol" localSheetId="8">#REF!</definedName>
    <definedName name="cenchrcol" localSheetId="10">#REF!</definedName>
    <definedName name="cenchrcol" localSheetId="11">#REF!</definedName>
    <definedName name="cenchrcol" localSheetId="28">#REF!</definedName>
    <definedName name="cenchrcol">#REF!</definedName>
    <definedName name="cenchrfoot" localSheetId="8">#REF!</definedName>
    <definedName name="cenchrfoot" localSheetId="10">#REF!</definedName>
    <definedName name="cenchrfoot" localSheetId="11">#REF!</definedName>
    <definedName name="cenchrfoot" localSheetId="28">#REF!</definedName>
    <definedName name="cenchrfoot">#REF!</definedName>
    <definedName name="cenchrpb" localSheetId="8">#REF!</definedName>
    <definedName name="cenchrpb" localSheetId="10">#REF!</definedName>
    <definedName name="cenchrpb" localSheetId="11">#REF!</definedName>
    <definedName name="cenchrpb" localSheetId="28">#REF!</definedName>
    <definedName name="cenchrpb">#REF!</definedName>
    <definedName name="cenchrped" localSheetId="8">#REF!</definedName>
    <definedName name="cenchrped" localSheetId="10">#REF!</definedName>
    <definedName name="cenchrped" localSheetId="11">#REF!</definedName>
    <definedName name="cenchrped" localSheetId="28">#REF!</definedName>
    <definedName name="cenchrped">#REF!</definedName>
    <definedName name="ceramic" localSheetId="8">#REF!</definedName>
    <definedName name="ceramic" localSheetId="10">#REF!</definedName>
    <definedName name="ceramic" localSheetId="11">#REF!</definedName>
    <definedName name="ceramic" localSheetId="28">#REF!</definedName>
    <definedName name="ceramic">#REF!</definedName>
    <definedName name="CEW">#REF!</definedName>
    <definedName name="cfb">#REF!</definedName>
    <definedName name="cg" localSheetId="8">#REF!</definedName>
    <definedName name="cg" localSheetId="10">#REF!</definedName>
    <definedName name="cg" localSheetId="11">#REF!</definedName>
    <definedName name="cg" localSheetId="28">#REF!</definedName>
    <definedName name="cg">#REF!</definedName>
    <definedName name="cgdl" localSheetId="37">#REF!</definedName>
    <definedName name="cgdl">#REF!</definedName>
    <definedName name="CGEI" localSheetId="8">#REF!</definedName>
    <definedName name="CGEI" localSheetId="10">#REF!</definedName>
    <definedName name="CGEI" localSheetId="28">#REF!</definedName>
    <definedName name="CGEI">#REF!</definedName>
    <definedName name="CGEII" localSheetId="8">#REF!</definedName>
    <definedName name="CGEII" localSheetId="10">#REF!</definedName>
    <definedName name="CGEII" localSheetId="28">#REF!</definedName>
    <definedName name="CGEII">#REF!</definedName>
    <definedName name="CGEIII" localSheetId="8">#REF!</definedName>
    <definedName name="CGEIII" localSheetId="10">#REF!</definedName>
    <definedName name="CGEIII" localSheetId="28">#REF!</definedName>
    <definedName name="CGEIII">#REF!</definedName>
    <definedName name="CGEIV" localSheetId="8">#REF!</definedName>
    <definedName name="CGEIV" localSheetId="10">#REF!</definedName>
    <definedName name="CGEIV" localSheetId="28">#REF!</definedName>
    <definedName name="CGEIV">#REF!</definedName>
    <definedName name="CGI" localSheetId="8">#REF!</definedName>
    <definedName name="CGI" localSheetId="10">#REF!</definedName>
    <definedName name="CGI" localSheetId="28">#REF!</definedName>
    <definedName name="CGI">#REF!</definedName>
    <definedName name="CGII" localSheetId="8">#REF!</definedName>
    <definedName name="CGII" localSheetId="10">#REF!</definedName>
    <definedName name="CGII" localSheetId="28">#REF!</definedName>
    <definedName name="CGII">#REF!</definedName>
    <definedName name="CGIII" localSheetId="8">#REF!</definedName>
    <definedName name="CGIII" localSheetId="10">#REF!</definedName>
    <definedName name="CGIII" localSheetId="28">#REF!</definedName>
    <definedName name="CGIII">#REF!</definedName>
    <definedName name="CGIV" localSheetId="8">#REF!</definedName>
    <definedName name="CGIV" localSheetId="10">#REF!</definedName>
    <definedName name="CGIV" localSheetId="28">#REF!</definedName>
    <definedName name="CGIV">#REF!</definedName>
    <definedName name="cgsidl" localSheetId="37">#REF!</definedName>
    <definedName name="cgsidl">#REF!</definedName>
    <definedName name="ch">[90]Well!$F$31</definedName>
    <definedName name="chdyrrr" localSheetId="37">[96]Lead!#REF!</definedName>
    <definedName name="chdyrrr">[96]Lead!#REF!</definedName>
    <definedName name="chdyrrr_23">#N/A</definedName>
    <definedName name="chdyrrr_33">#N/A</definedName>
    <definedName name="chdyrrr_38">#N/A</definedName>
    <definedName name="chdyrrr_41">#N/A</definedName>
    <definedName name="chdyrrr_43">#N/A</definedName>
    <definedName name="chdyrrr_48">#N/A</definedName>
    <definedName name="chdyrrr_57">#N/A</definedName>
    <definedName name="chdyrrr_59">#N/A</definedName>
    <definedName name="chdyrrr_60">#N/A</definedName>
    <definedName name="chdyrrr_61">#N/A</definedName>
    <definedName name="chdyrrr_62">#N/A</definedName>
    <definedName name="chdyrrr_7">#N/A</definedName>
    <definedName name="chdyrrr_72">#N/A</definedName>
    <definedName name="chdyrrr_73">#N/A</definedName>
    <definedName name="chdyrrr_8">#N/A</definedName>
    <definedName name="chips_10" localSheetId="28">#REF!</definedName>
    <definedName name="chips_12">#REF!</definedName>
    <definedName name="chips_5">#REF!</definedName>
    <definedName name="chp">[97]Intro!$L$141</definedName>
    <definedName name="CI" localSheetId="5">#REF!</definedName>
    <definedName name="CI" localSheetId="8">#REF!</definedName>
    <definedName name="CI" localSheetId="10">#REF!</definedName>
    <definedName name="CI" localSheetId="11">#REF!</definedName>
    <definedName name="CI" localSheetId="28">#REF!</definedName>
    <definedName name="CI">#REF!</definedName>
    <definedName name="CIcheckValve" localSheetId="33">#REF!</definedName>
    <definedName name="CIcheckValve" localSheetId="34">#REF!</definedName>
    <definedName name="CIcheckValve" localSheetId="5">#REF!</definedName>
    <definedName name="CIcheckValve" localSheetId="8">#REF!</definedName>
    <definedName name="CIcheckValve" localSheetId="10">#REF!</definedName>
    <definedName name="CIcheckValve" localSheetId="37">#REF!</definedName>
    <definedName name="CIcheckValve" localSheetId="28">#REF!</definedName>
    <definedName name="CIcheckValve" localSheetId="42">#REF!</definedName>
    <definedName name="CIcheckValve">#REF!</definedName>
    <definedName name="cidjoint" localSheetId="5">#REF!</definedName>
    <definedName name="cidjoint" localSheetId="37">[98]data!#REF!</definedName>
    <definedName name="cidjoint" localSheetId="28">#REF!</definedName>
    <definedName name="cidjoint">[99]data!#REF!</definedName>
    <definedName name="CIDjoints" localSheetId="37">[67]maya!$B$370:$B$375</definedName>
    <definedName name="CIDjoints">[63]maya!$B$370:$B$375</definedName>
    <definedName name="CIdummy" localSheetId="33">#REF!</definedName>
    <definedName name="CIdummy" localSheetId="34">#REF!</definedName>
    <definedName name="CIdummy" localSheetId="5">#REF!</definedName>
    <definedName name="CIdummy" localSheetId="8">#REF!</definedName>
    <definedName name="CIdummy" localSheetId="10">#REF!</definedName>
    <definedName name="CIdummy" localSheetId="37">#REF!</definedName>
    <definedName name="CIdummy" localSheetId="28">#REF!</definedName>
    <definedName name="CIdummy" localSheetId="42">#REF!</definedName>
    <definedName name="CIdummy">#REF!</definedName>
    <definedName name="CIfootValve" localSheetId="33">#REF!</definedName>
    <definedName name="CIfootValve" localSheetId="34">#REF!</definedName>
    <definedName name="CIfootValve" localSheetId="5">#REF!</definedName>
    <definedName name="CIfootValve" localSheetId="8">#REF!</definedName>
    <definedName name="CIfootValve" localSheetId="10">#REF!</definedName>
    <definedName name="CIfootValve" localSheetId="37">#REF!</definedName>
    <definedName name="CIfootValve" localSheetId="28">#REF!</definedName>
    <definedName name="CIfootValve" localSheetId="42">#REF!</definedName>
    <definedName name="CIfootValve">#REF!</definedName>
    <definedName name="cii" localSheetId="5">#REF!</definedName>
    <definedName name="CII" localSheetId="8">#REF!</definedName>
    <definedName name="CII" localSheetId="10">#REF!</definedName>
    <definedName name="cii" localSheetId="11">#REF!</definedName>
    <definedName name="CII" localSheetId="28">#REF!</definedName>
    <definedName name="CII">#REF!</definedName>
    <definedName name="ciii" localSheetId="8">#REF!</definedName>
    <definedName name="ciii" localSheetId="10">#REF!</definedName>
    <definedName name="ciii" localSheetId="11">#REF!</definedName>
    <definedName name="ciii" localSheetId="28">#REF!</definedName>
    <definedName name="ciii">#REF!</definedName>
    <definedName name="cila100" localSheetId="8">#REF!</definedName>
    <definedName name="cila100" localSheetId="10">#REF!</definedName>
    <definedName name="cila100" localSheetId="11">#REF!</definedName>
    <definedName name="cila100" localSheetId="28">#REF!</definedName>
    <definedName name="cila100">#REF!</definedName>
    <definedName name="cila1000" localSheetId="8">#REF!</definedName>
    <definedName name="cila1000" localSheetId="10">#REF!</definedName>
    <definedName name="cila1000" localSheetId="11">#REF!</definedName>
    <definedName name="cila1000" localSheetId="28">#REF!</definedName>
    <definedName name="cila1000">#REF!</definedName>
    <definedName name="cila125" localSheetId="8">#REF!</definedName>
    <definedName name="cila125" localSheetId="10">#REF!</definedName>
    <definedName name="cila125" localSheetId="11">#REF!</definedName>
    <definedName name="cila125" localSheetId="28">#REF!</definedName>
    <definedName name="cila125">#REF!</definedName>
    <definedName name="cila150" localSheetId="8">#REF!</definedName>
    <definedName name="cila150" localSheetId="10">#REF!</definedName>
    <definedName name="cila150" localSheetId="11">#REF!</definedName>
    <definedName name="cila150" localSheetId="28">#REF!</definedName>
    <definedName name="cila150">#REF!</definedName>
    <definedName name="cila200" localSheetId="8">#REF!</definedName>
    <definedName name="cila200" localSheetId="10">#REF!</definedName>
    <definedName name="cila200" localSheetId="11">#REF!</definedName>
    <definedName name="cila200" localSheetId="28">#REF!</definedName>
    <definedName name="cila200">#REF!</definedName>
    <definedName name="cila250" localSheetId="8">#REF!</definedName>
    <definedName name="cila250" localSheetId="10">#REF!</definedName>
    <definedName name="cila250" localSheetId="11">#REF!</definedName>
    <definedName name="cila250" localSheetId="28">#REF!</definedName>
    <definedName name="cila250">#REF!</definedName>
    <definedName name="cila300" localSheetId="8">#REF!</definedName>
    <definedName name="cila300" localSheetId="10">#REF!</definedName>
    <definedName name="cila300" localSheetId="11">#REF!</definedName>
    <definedName name="cila300" localSheetId="28">#REF!</definedName>
    <definedName name="cila300">#REF!</definedName>
    <definedName name="cila350" localSheetId="8">#REF!</definedName>
    <definedName name="cila350" localSheetId="10">#REF!</definedName>
    <definedName name="cila350" localSheetId="11">#REF!</definedName>
    <definedName name="cila350" localSheetId="28">#REF!</definedName>
    <definedName name="cila350">#REF!</definedName>
    <definedName name="cila400" localSheetId="8">#REF!</definedName>
    <definedName name="cila400" localSheetId="10">#REF!</definedName>
    <definedName name="cila400" localSheetId="11">#REF!</definedName>
    <definedName name="cila400" localSheetId="28">#REF!</definedName>
    <definedName name="cila400">#REF!</definedName>
    <definedName name="cila450" localSheetId="8">#REF!</definedName>
    <definedName name="cila450" localSheetId="10">#REF!</definedName>
    <definedName name="cila450" localSheetId="11">#REF!</definedName>
    <definedName name="cila450" localSheetId="28">#REF!</definedName>
    <definedName name="cila450">#REF!</definedName>
    <definedName name="cila500" localSheetId="8">#REF!</definedName>
    <definedName name="cila500" localSheetId="10">#REF!</definedName>
    <definedName name="cila500" localSheetId="11">#REF!</definedName>
    <definedName name="cila500" localSheetId="28">#REF!</definedName>
    <definedName name="cila500">#REF!</definedName>
    <definedName name="cila600" localSheetId="8">#REF!</definedName>
    <definedName name="cila600" localSheetId="10">#REF!</definedName>
    <definedName name="cila600" localSheetId="11">#REF!</definedName>
    <definedName name="cila600" localSheetId="28">#REF!</definedName>
    <definedName name="cila600">#REF!</definedName>
    <definedName name="cila700" localSheetId="8">#REF!</definedName>
    <definedName name="cila700" localSheetId="10">#REF!</definedName>
    <definedName name="cila700" localSheetId="11">#REF!</definedName>
    <definedName name="cila700" localSheetId="28">#REF!</definedName>
    <definedName name="cila700">#REF!</definedName>
    <definedName name="cila750" localSheetId="8">#REF!</definedName>
    <definedName name="cila750" localSheetId="10">#REF!</definedName>
    <definedName name="cila750" localSheetId="11">#REF!</definedName>
    <definedName name="cila750" localSheetId="28">#REF!</definedName>
    <definedName name="cila750">#REF!</definedName>
    <definedName name="cila80" localSheetId="8">#REF!</definedName>
    <definedName name="cila80" localSheetId="10">#REF!</definedName>
    <definedName name="cila80" localSheetId="11">#REF!</definedName>
    <definedName name="cila80" localSheetId="28">#REF!</definedName>
    <definedName name="cila80">#REF!</definedName>
    <definedName name="cila800" localSheetId="8">#REF!</definedName>
    <definedName name="cila800" localSheetId="10">#REF!</definedName>
    <definedName name="cila800" localSheetId="11">#REF!</definedName>
    <definedName name="cila800" localSheetId="28">#REF!</definedName>
    <definedName name="cila800">#REF!</definedName>
    <definedName name="cila900" localSheetId="8">#REF!</definedName>
    <definedName name="cila900" localSheetId="10">#REF!</definedName>
    <definedName name="cila900" localSheetId="11">#REF!</definedName>
    <definedName name="cila900" localSheetId="28">#REF!</definedName>
    <definedName name="cila900">#REF!</definedName>
    <definedName name="CIR" localSheetId="37">[100]coverpage!$E$27</definedName>
    <definedName name="CIR">[101]coverpage!$E$27</definedName>
    <definedName name="City" localSheetId="35">#REF!</definedName>
    <definedName name="City" localSheetId="5">#REF!</definedName>
    <definedName name="City" localSheetId="8">#REF!</definedName>
    <definedName name="City" localSheetId="10">#REF!</definedName>
    <definedName name="City" localSheetId="11">#REF!</definedName>
    <definedName name="City" localSheetId="28">#REF!</definedName>
    <definedName name="City" localSheetId="42">#REF!</definedName>
    <definedName name="City" localSheetId="31">#REF!</definedName>
    <definedName name="City">#REF!</definedName>
    <definedName name="cjv" localSheetId="8">#REF!</definedName>
    <definedName name="cjv" localSheetId="10">#REF!</definedName>
    <definedName name="cjv" localSheetId="11">#REF!</definedName>
    <definedName name="cjv" localSheetId="28">#REF!</definedName>
    <definedName name="cjv">#REF!</definedName>
    <definedName name="CLASSS" localSheetId="8">#REF!</definedName>
    <definedName name="CLASSS" localSheetId="10">#REF!</definedName>
    <definedName name="CLASSS" localSheetId="11">#REF!</definedName>
    <definedName name="CLASSS" localSheetId="28">#REF!</definedName>
    <definedName name="CLASSS">#REF!</definedName>
    <definedName name="Clearing_and_grubbing_road_land_including_uprooting_wild_vegetation__grass">#REF!</definedName>
    <definedName name="clp">#REF!</definedName>
    <definedName name="cm" localSheetId="5">#REF!</definedName>
    <definedName name="cm" localSheetId="8">#REF!</definedName>
    <definedName name="cm" localSheetId="10">#REF!</definedName>
    <definedName name="cm" localSheetId="37">#REF!</definedName>
    <definedName name="cm" localSheetId="28">#REF!</definedName>
    <definedName name="cm" localSheetId="42">#REF!</definedName>
    <definedName name="cm">#REF!</definedName>
    <definedName name="cm_mix" localSheetId="37">'[83]data existing_do not delete'!$A$78:$A$84</definedName>
    <definedName name="cm_mix">'[84]data existing_do not delete'!$A$78:$A$84</definedName>
    <definedName name="cnvey">[102]Lead!#REF!</definedName>
    <definedName name="CO" localSheetId="8">#REF!</definedName>
    <definedName name="CO" localSheetId="10">#REF!</definedName>
    <definedName name="CO" localSheetId="28">#REF!</definedName>
    <definedName name="CO">#REF!</definedName>
    <definedName name="Code" localSheetId="35" hidden="1">#REF!</definedName>
    <definedName name="Code" localSheetId="5" hidden="1">#REF!</definedName>
    <definedName name="Code" localSheetId="29" hidden="1">#REF!</definedName>
    <definedName name="Code" localSheetId="8" hidden="1">#REF!</definedName>
    <definedName name="Code" localSheetId="10" hidden="1">#REF!</definedName>
    <definedName name="Code" localSheetId="43" hidden="1">#REF!</definedName>
    <definedName name="Code" localSheetId="27" hidden="1">#REF!</definedName>
    <definedName name="Code" localSheetId="46" hidden="1">#REF!</definedName>
    <definedName name="Code" localSheetId="28" hidden="1">#REF!</definedName>
    <definedName name="Code" localSheetId="19" hidden="1">#REF!</definedName>
    <definedName name="Code" localSheetId="42" hidden="1">#REF!</definedName>
    <definedName name="Code" localSheetId="32" hidden="1">#REF!</definedName>
    <definedName name="Code" localSheetId="31" hidden="1">#REF!</definedName>
    <definedName name="Code" localSheetId="9" hidden="1">#REF!</definedName>
    <definedName name="Code" localSheetId="3" hidden="1">#REF!</definedName>
    <definedName name="Code" hidden="1">#REF!</definedName>
    <definedName name="Com.kalvapally">[6]r!$F$30</definedName>
    <definedName name="comp" localSheetId="37">[103]Sheet1!$B$98:$B$102</definedName>
    <definedName name="comp">[104]Sheet1!$B$98:$B$102</definedName>
    <definedName name="Company" localSheetId="35">#REF!</definedName>
    <definedName name="Company" localSheetId="5">#REF!</definedName>
    <definedName name="Company" localSheetId="8">#REF!</definedName>
    <definedName name="Company" localSheetId="10">#REF!</definedName>
    <definedName name="Company" localSheetId="11">#REF!</definedName>
    <definedName name="Company" localSheetId="28">#REF!</definedName>
    <definedName name="Company" localSheetId="42">#REF!</definedName>
    <definedName name="Company" localSheetId="31">#REF!</definedName>
    <definedName name="Company">#REF!</definedName>
    <definedName name="con_mixer" localSheetId="8">#REF!</definedName>
    <definedName name="con_mixer" localSheetId="10">#REF!</definedName>
    <definedName name="con_mixer" localSheetId="11">#REF!</definedName>
    <definedName name="con_mixer" localSheetId="28">#REF!</definedName>
    <definedName name="con_mixer">#REF!</definedName>
    <definedName name="con_pro" localSheetId="8">#REF!</definedName>
    <definedName name="con_pro" localSheetId="10">#REF!</definedName>
    <definedName name="con_pro" localSheetId="11">#REF!</definedName>
    <definedName name="con_pro" localSheetId="28">#REF!</definedName>
    <definedName name="con_pro">#REF!</definedName>
    <definedName name="conns." localSheetId="28">#REF!</definedName>
    <definedName name="Construction">'[71]Bitumen trunk'!$W$1:$AN$196</definedName>
    <definedName name="CONVEYANCE" localSheetId="8">#REF!</definedName>
    <definedName name="CONVEYANCE" localSheetId="10">#REF!</definedName>
    <definedName name="CONVEYANCE" localSheetId="11">#REF!</definedName>
    <definedName name="CONVEYANCE" localSheetId="28">#REF!</definedName>
    <definedName name="CONVEYANCE">#REF!</definedName>
    <definedName name="convy" localSheetId="8">#REF!</definedName>
    <definedName name="convy" localSheetId="10">#REF!</definedName>
    <definedName name="convy" localSheetId="28">#REF!</definedName>
    <definedName name="convy">#REF!</definedName>
    <definedName name="copy3m">#REF!</definedName>
    <definedName name="cost">#REF!</definedName>
    <definedName name="Country" localSheetId="35">#REF!</definedName>
    <definedName name="Country" localSheetId="5">#REF!</definedName>
    <definedName name="Country" localSheetId="8">#REF!</definedName>
    <definedName name="Country" localSheetId="10">#REF!</definedName>
    <definedName name="Country" localSheetId="11">#REF!</definedName>
    <definedName name="Country" localSheetId="28">#REF!</definedName>
    <definedName name="Country" localSheetId="42">#REF!</definedName>
    <definedName name="Country" localSheetId="31">#REF!</definedName>
    <definedName name="Country">#REF!</definedName>
    <definedName name="cover2" localSheetId="33">#REF!</definedName>
    <definedName name="cover2" localSheetId="34">#REF!</definedName>
    <definedName name="cover2" localSheetId="8">#REF!</definedName>
    <definedName name="cover2" localSheetId="10">#REF!</definedName>
    <definedName name="cover2" localSheetId="37">#REF!</definedName>
    <definedName name="cover2" localSheetId="28">#REF!</definedName>
    <definedName name="cover2">#REF!</definedName>
    <definedName name="coverpage" localSheetId="37">[105]maya!$A$11:$A$18</definedName>
    <definedName name="coverpage">[106]maya!$A$11:$A$18</definedName>
    <definedName name="cp" localSheetId="37">'[107]Lead statement ss5'!$C$28</definedName>
    <definedName name="cp">'[108]Lead statement ss5'!$C$28</definedName>
    <definedName name="cp_33" localSheetId="28">#REF!</definedName>
    <definedName name="cp_34">#REF!</definedName>
    <definedName name="cpt">[90]Intput!$L$23</definedName>
    <definedName name="cr" localSheetId="37">[55]DATA!$H$17</definedName>
    <definedName name="cr">[56]DATA!$H$17</definedName>
    <definedName name="cr_mpl_divn_corenet_cn_mpl" localSheetId="33">#REF!</definedName>
    <definedName name="cr_mpl_divn_corenet_cn_mpl" localSheetId="34">#REF!</definedName>
    <definedName name="cr_mpl_divn_corenet_cn_mpl" localSheetId="35">#REF!</definedName>
    <definedName name="cr_mpl_divn_corenet_cn_mpl" localSheetId="5">#REF!</definedName>
    <definedName name="cr_mpl_divn_corenet_cn_mpl" localSheetId="8">#REF!</definedName>
    <definedName name="cr_mpl_divn_corenet_cn_mpl" localSheetId="10">#REF!</definedName>
    <definedName name="cr_mpl_divn_corenet_cn_mpl" localSheetId="11">#REF!</definedName>
    <definedName name="cr_mpl_divn_corenet_cn_mpl" localSheetId="37">#REF!</definedName>
    <definedName name="cr_mpl_divn_corenet_cn_mpl" localSheetId="28">#REF!</definedName>
    <definedName name="cr_mpl_divn_corenet_cn_mpl" localSheetId="42">#REF!</definedName>
    <definedName name="cr_mpl_divn_corenet_cn_mpl" localSheetId="31">#REF!</definedName>
    <definedName name="cr_mpl_divn_corenet_cn_mpl">#REF!</definedName>
    <definedName name="crccslab">#REF!</definedName>
    <definedName name="crccslab150">#REF!</definedName>
    <definedName name="crr" localSheetId="37">[109]maya!$B$343:$B$348</definedName>
    <definedName name="crr">[110]maya!$B$343:$B$348</definedName>
    <definedName name="CRS" localSheetId="11">#REF!</definedName>
    <definedName name="CRS" localSheetId="37">[55]DATA!$H$138</definedName>
    <definedName name="CRS">[56]DATA!$H$138</definedName>
    <definedName name="crsg" localSheetId="33">#REF!</definedName>
    <definedName name="crsg" localSheetId="34">#REF!</definedName>
    <definedName name="crsg" localSheetId="8">#REF!</definedName>
    <definedName name="crsg" localSheetId="10">#REF!</definedName>
    <definedName name="crsg" localSheetId="37">#REF!</definedName>
    <definedName name="crsg" localSheetId="28">#REF!</definedName>
    <definedName name="crsg" localSheetId="42">#REF!</definedName>
    <definedName name="crsg">#REF!</definedName>
    <definedName name="crsrate" localSheetId="37">'[53]lead-st'!$L$12</definedName>
    <definedName name="crsrate">'[25]lead-st'!$L$12</definedName>
    <definedName name="crss" localSheetId="37">[53]rdamdata!$J$10</definedName>
    <definedName name="crss">[25]rdamdata!$J$10</definedName>
    <definedName name="crtts" localSheetId="37">[111]maya!$A$23:$A$27</definedName>
    <definedName name="crtts">[112]maya!$A$23:$A$27</definedName>
    <definedName name="crush" localSheetId="37">[86]r!$F$30</definedName>
    <definedName name="crush">[87]r!$F$30</definedName>
    <definedName name="crust" localSheetId="37">[113]Data.F8.BTR!#REF!</definedName>
    <definedName name="crust">[113]Data.F8.BTR!#REF!</definedName>
    <definedName name="crust_23">#N/A</definedName>
    <definedName name="crust_33">#N/A</definedName>
    <definedName name="crust_34">#N/A</definedName>
    <definedName name="crust_38">#N/A</definedName>
    <definedName name="crust_41">#N/A</definedName>
    <definedName name="crust_43">#N/A</definedName>
    <definedName name="crust_48">#N/A</definedName>
    <definedName name="crust_57">#N/A</definedName>
    <definedName name="crust_59">#N/A</definedName>
    <definedName name="crust_60">#N/A</definedName>
    <definedName name="crust_61">#N/A</definedName>
    <definedName name="crust_62">#N/A</definedName>
    <definedName name="crust_7">#N/A</definedName>
    <definedName name="crust_72">#N/A</definedName>
    <definedName name="crust_73">#N/A</definedName>
    <definedName name="crust_8">#N/A</definedName>
    <definedName name="cshewcen" localSheetId="8">#REF!</definedName>
    <definedName name="cshewcen" localSheetId="10">#REF!</definedName>
    <definedName name="cshewcen" localSheetId="11">#REF!</definedName>
    <definedName name="cshewcen" localSheetId="28">#REF!</definedName>
    <definedName name="cshewcen">#REF!</definedName>
    <definedName name="cshewcenchrfoot" localSheetId="8">#REF!</definedName>
    <definedName name="cshewcenchrfoot" localSheetId="10">#REF!</definedName>
    <definedName name="cshewcenchrfoot" localSheetId="11">#REF!</definedName>
    <definedName name="cshewcenchrfoot" localSheetId="28">#REF!</definedName>
    <definedName name="cshewcenchrfoot">#REF!</definedName>
    <definedName name="cshewcenchrpb" localSheetId="8">#REF!</definedName>
    <definedName name="cshewcenchrpb" localSheetId="10">#REF!</definedName>
    <definedName name="cshewcenchrpb" localSheetId="11">#REF!</definedName>
    <definedName name="cshewcenchrpb" localSheetId="28">#REF!</definedName>
    <definedName name="cshewcenchrpb">#REF!</definedName>
    <definedName name="cshewcenchrped" localSheetId="8">#REF!</definedName>
    <definedName name="cshewcenchrped" localSheetId="10">#REF!</definedName>
    <definedName name="cshewcenchrped" localSheetId="11">#REF!</definedName>
    <definedName name="cshewcenchrped" localSheetId="28">#REF!</definedName>
    <definedName name="cshewcenchrped">#REF!</definedName>
    <definedName name="ctrhabstat" localSheetId="33">#REF!</definedName>
    <definedName name="ctrhabstat" localSheetId="34">#REF!</definedName>
    <definedName name="ctrhabstat" localSheetId="35">#REF!</definedName>
    <definedName name="ctrhabstat" localSheetId="5">#REF!</definedName>
    <definedName name="ctrhabstat" localSheetId="8">#REF!</definedName>
    <definedName name="ctrhabstat" localSheetId="10">#REF!</definedName>
    <definedName name="ctrhabstat" localSheetId="11">#REF!</definedName>
    <definedName name="ctrhabstat" localSheetId="37">#REF!</definedName>
    <definedName name="ctrhabstat" localSheetId="28">#REF!</definedName>
    <definedName name="ctrhabstat" localSheetId="42">#REF!</definedName>
    <definedName name="ctrhabstat" localSheetId="31">#REF!</definedName>
    <definedName name="ctrhabstat">#REF!</definedName>
    <definedName name="cu" localSheetId="8">#REF!</definedName>
    <definedName name="cu" localSheetId="10">#REF!</definedName>
    <definedName name="cu" localSheetId="28">#REF!</definedName>
    <definedName name="cu">#REF!</definedName>
    <definedName name="cul">#REF!</definedName>
    <definedName name="cum" localSheetId="37">[81]lead!$L$16</definedName>
    <definedName name="cum">[82]lead!$L$16</definedName>
    <definedName name="cut_holes_bw" localSheetId="8">#REF!</definedName>
    <definedName name="cut_holes_bw" localSheetId="10">#REF!</definedName>
    <definedName name="cut_holes_bw" localSheetId="11">#REF!</definedName>
    <definedName name="cut_holes_bw" localSheetId="28">#REF!</definedName>
    <definedName name="cut_holes_bw">#REF!</definedName>
    <definedName name="cut_holes_rcc" localSheetId="8">#REF!</definedName>
    <definedName name="cut_holes_rcc" localSheetId="10">#REF!</definedName>
    <definedName name="cut_holes_rcc" localSheetId="11">#REF!</definedName>
    <definedName name="cut_holes_rcc" localSheetId="28">#REF!</definedName>
    <definedName name="cut_holes_rcc">#REF!</definedName>
    <definedName name="CWL" localSheetId="42">#REF!</definedName>
    <definedName name="CWL">#REF!</definedName>
    <definedName name="CWSUMP">'[114]DATA-BASE'!$I$6:$T$22</definedName>
    <definedName name="czczxczc" localSheetId="28">#REF!</definedName>
    <definedName name="d" localSheetId="37">[115]Lead!#REF!</definedName>
    <definedName name="d">[116]Lead!#REF!</definedName>
    <definedName name="D.t" localSheetId="37">[70]data!#REF!</definedName>
    <definedName name="D.t">[70]data!#REF!</definedName>
    <definedName name="D.t_23">#N/A</definedName>
    <definedName name="D.t_33">#N/A</definedName>
    <definedName name="D.t_34">#N/A</definedName>
    <definedName name="D.t_38">#N/A</definedName>
    <definedName name="D.t_41">#N/A</definedName>
    <definedName name="D.t_43">#N/A</definedName>
    <definedName name="D.t_48">#N/A</definedName>
    <definedName name="D.t_57">#N/A</definedName>
    <definedName name="D.t_59">#N/A</definedName>
    <definedName name="D.t_60">#N/A</definedName>
    <definedName name="D.t_61">#N/A</definedName>
    <definedName name="D.t_62">#N/A</definedName>
    <definedName name="D.t_7">#N/A</definedName>
    <definedName name="D.t_72">#N/A</definedName>
    <definedName name="D.t_73">#N/A</definedName>
    <definedName name="D.t_8">#N/A</definedName>
    <definedName name="d_23">#N/A</definedName>
    <definedName name="d_32">#N/A</definedName>
    <definedName name="d_33">#N/A</definedName>
    <definedName name="d_34">#N/A</definedName>
    <definedName name="d_38">#N/A</definedName>
    <definedName name="d_41">#N/A</definedName>
    <definedName name="d_43">#N/A</definedName>
    <definedName name="d_48">#N/A</definedName>
    <definedName name="d_56">#N/A</definedName>
    <definedName name="d_57">#N/A</definedName>
    <definedName name="d_59">#N/A</definedName>
    <definedName name="d_60">#N/A</definedName>
    <definedName name="d_61">#N/A</definedName>
    <definedName name="d_62">#N/A</definedName>
    <definedName name="d_7">#N/A</definedName>
    <definedName name="d_72">#N/A</definedName>
    <definedName name="d_73">#N/A</definedName>
    <definedName name="d_8">#N/A</definedName>
    <definedName name="D_t">#REF!</definedName>
    <definedName name="da" localSheetId="33">#REF!</definedName>
    <definedName name="da" localSheetId="34">#REF!</definedName>
    <definedName name="da" localSheetId="35">#REF!</definedName>
    <definedName name="da" localSheetId="5">#REF!</definedName>
    <definedName name="da" localSheetId="8">#REF!</definedName>
    <definedName name="da" localSheetId="10">#REF!</definedName>
    <definedName name="da" localSheetId="11">#REF!</definedName>
    <definedName name="da" localSheetId="37">#REF!</definedName>
    <definedName name="da" localSheetId="28">#REF!</definedName>
    <definedName name="da" localSheetId="42">#REF!</definedName>
    <definedName name="da" localSheetId="31">#REF!</definedName>
    <definedName name="da">#REF!</definedName>
    <definedName name="da_23">"$#REF!.$#REF!$#REF!:$#REF!$#REF!"</definedName>
    <definedName name="da_33">"$#REF!.$#REF!$#REF!"</definedName>
    <definedName name="da_34">"$#REF!.$#REF!$#REF!"</definedName>
    <definedName name="da_38">"$#REF!.$#REF!$#REF!:$#REF!$#REF!"</definedName>
    <definedName name="da_41">"$#REF!.$#REF!$#REF!:$#REF!$#REF!"</definedName>
    <definedName name="da_43">"$#REF!.$#REF!$#REF!:$#REF!$#REF!"</definedName>
    <definedName name="da_48">"$#REF!.$#REF!$#REF!:$#REF!$#REF!"</definedName>
    <definedName name="da_57">"$#REF!.$#REF!$#REF!:$#REF!$#REF!"</definedName>
    <definedName name="da_59">"$#REF!.$#REF!$#REF!:$#REF!$#REF!"</definedName>
    <definedName name="da_60">"$#REF!.$#REF!$#REF!:$#REF!$#REF!"</definedName>
    <definedName name="da_61">"$#REF!.$#REF!$#REF!:$#REF!$#REF!"</definedName>
    <definedName name="da_62">"$#REF!.$#REF!$#REF!:$#REF!$#REF!"</definedName>
    <definedName name="da_7">"$#REF!.$#REF!$#REF!:$#REF!$#REF!"</definedName>
    <definedName name="da_72">"$#REF!.$#REF!$#REF!:$#REF!$#REF!"</definedName>
    <definedName name="da_73">"$#REF!.$#REF!$#REF!:$#REF!$#REF!"</definedName>
    <definedName name="da_8">"$#REF!.$#REF!$#REF!:$#REF!$#REF!"</definedName>
    <definedName name="dadoing" localSheetId="8">#REF!</definedName>
    <definedName name="dadoing" localSheetId="10">#REF!</definedName>
    <definedName name="dadoing" localSheetId="11">#REF!</definedName>
    <definedName name="dadoing" localSheetId="28">#REF!</definedName>
    <definedName name="dadoing">#REF!</definedName>
    <definedName name="Damerchela" localSheetId="37">[117]v!#REF!</definedName>
    <definedName name="Damerchela">[117]v!#REF!</definedName>
    <definedName name="dat" localSheetId="8">#REF!</definedName>
    <definedName name="dat" localSheetId="10">#REF!</definedName>
    <definedName name="dat" localSheetId="28">#REF!</definedName>
    <definedName name="dat">#REF!</definedName>
    <definedName name="data" localSheetId="37">[118]Data!#REF!</definedName>
    <definedName name="data">[118]Data!#REF!</definedName>
    <definedName name="Data...CD">[119]Labour!$D$5</definedName>
    <definedName name="data_23">#N/A</definedName>
    <definedName name="data_33">#N/A</definedName>
    <definedName name="data_34">#N/A</definedName>
    <definedName name="data_38">#N/A</definedName>
    <definedName name="data_41">#N/A</definedName>
    <definedName name="data_43">#N/A</definedName>
    <definedName name="data_48">#N/A</definedName>
    <definedName name="data_57">#N/A</definedName>
    <definedName name="data_59">#N/A</definedName>
    <definedName name="data_60">#N/A</definedName>
    <definedName name="data_61">#N/A</definedName>
    <definedName name="data_62">#N/A</definedName>
    <definedName name="data_7">#N/A</definedName>
    <definedName name="data_72">#N/A</definedName>
    <definedName name="data_73">#N/A</definedName>
    <definedName name="data_8">#N/A</definedName>
    <definedName name="Data012" localSheetId="37">#REF!</definedName>
    <definedName name="Data012" localSheetId="28">#REF!</definedName>
    <definedName name="Data012">#REF!</definedName>
    <definedName name="data1" localSheetId="33">#REF!</definedName>
    <definedName name="data1" localSheetId="34">#REF!</definedName>
    <definedName name="data1" localSheetId="35" hidden="1">#REF!</definedName>
    <definedName name="data1" localSheetId="5" hidden="1">#REF!</definedName>
    <definedName name="data1" localSheetId="29" hidden="1">#REF!</definedName>
    <definedName name="data1" localSheetId="8" hidden="1">#REF!</definedName>
    <definedName name="data1" localSheetId="10" hidden="1">#REF!</definedName>
    <definedName name="data1" localSheetId="43" hidden="1">#REF!</definedName>
    <definedName name="data1" localSheetId="37">#REF!</definedName>
    <definedName name="data1" localSheetId="27" hidden="1">#REF!</definedName>
    <definedName name="data1" localSheetId="46" hidden="1">#REF!</definedName>
    <definedName name="data1" localSheetId="28" hidden="1">#REF!</definedName>
    <definedName name="data1" localSheetId="19" hidden="1">#REF!</definedName>
    <definedName name="data1" localSheetId="42" hidden="1">#REF!</definedName>
    <definedName name="data1" localSheetId="32" hidden="1">#REF!</definedName>
    <definedName name="data1" localSheetId="31" hidden="1">#REF!</definedName>
    <definedName name="data1" localSheetId="9" hidden="1">#REF!</definedName>
    <definedName name="data1" localSheetId="3" hidden="1">#REF!</definedName>
    <definedName name="data1" hidden="1">#REF!</definedName>
    <definedName name="data10" localSheetId="33">#REF!</definedName>
    <definedName name="data10" localSheetId="34">#REF!</definedName>
    <definedName name="data10" localSheetId="37">#REF!</definedName>
    <definedName name="data10">#REF!</definedName>
    <definedName name="data11" localSheetId="33">#REF!</definedName>
    <definedName name="data11" localSheetId="34">#REF!</definedName>
    <definedName name="data11" localSheetId="37">#REF!</definedName>
    <definedName name="data11">#REF!</definedName>
    <definedName name="data12" localSheetId="33">#REF!</definedName>
    <definedName name="data12" localSheetId="34">#REF!</definedName>
    <definedName name="data12" localSheetId="37">#REF!</definedName>
    <definedName name="data12">#REF!</definedName>
    <definedName name="data13" localSheetId="33">#REF!</definedName>
    <definedName name="data13" localSheetId="34">#REF!</definedName>
    <definedName name="data13" localSheetId="37">#REF!</definedName>
    <definedName name="data13">#REF!</definedName>
    <definedName name="data14" localSheetId="33">#REF!</definedName>
    <definedName name="data14" localSheetId="34">#REF!</definedName>
    <definedName name="data14" localSheetId="37">#REF!</definedName>
    <definedName name="data14">#REF!</definedName>
    <definedName name="data15" localSheetId="33">#REF!</definedName>
    <definedName name="data15" localSheetId="34">#REF!</definedName>
    <definedName name="data15" localSheetId="37">#REF!</definedName>
    <definedName name="data15">#REF!</definedName>
    <definedName name="data16" localSheetId="33">#REF!</definedName>
    <definedName name="data16" localSheetId="34">#REF!</definedName>
    <definedName name="data16" localSheetId="37">#REF!</definedName>
    <definedName name="data16">#REF!</definedName>
    <definedName name="data17" localSheetId="33">#REF!</definedName>
    <definedName name="data17" localSheetId="34">#REF!</definedName>
    <definedName name="data17" localSheetId="37">#REF!</definedName>
    <definedName name="data17">#REF!</definedName>
    <definedName name="data18" localSheetId="33">#REF!</definedName>
    <definedName name="data18" localSheetId="34">#REF!</definedName>
    <definedName name="data18" localSheetId="37">#REF!</definedName>
    <definedName name="data18">#REF!</definedName>
    <definedName name="data19" localSheetId="33">#REF!</definedName>
    <definedName name="data19" localSheetId="34">#REF!</definedName>
    <definedName name="data19" localSheetId="37">#REF!</definedName>
    <definedName name="data19">#REF!</definedName>
    <definedName name="data2" localSheetId="33">#REF!</definedName>
    <definedName name="data2" localSheetId="34">#REF!</definedName>
    <definedName name="data2" localSheetId="35" hidden="1">#REF!</definedName>
    <definedName name="data2" localSheetId="5" hidden="1">#REF!</definedName>
    <definedName name="data2" localSheetId="29" hidden="1">#REF!</definedName>
    <definedName name="data2" localSheetId="8" hidden="1">#REF!</definedName>
    <definedName name="data2" localSheetId="10" hidden="1">#REF!</definedName>
    <definedName name="data2" localSheetId="11" hidden="1">#REF!</definedName>
    <definedName name="data2" localSheetId="43" hidden="1">#REF!</definedName>
    <definedName name="data2" localSheetId="37">#REF!</definedName>
    <definedName name="data2" localSheetId="27" hidden="1">#REF!</definedName>
    <definedName name="data2" localSheetId="46" hidden="1">#REF!</definedName>
    <definedName name="data2" localSheetId="28" hidden="1">#REF!</definedName>
    <definedName name="data2" localSheetId="19" hidden="1">#REF!</definedName>
    <definedName name="data2" localSheetId="42" hidden="1">#REF!</definedName>
    <definedName name="data2" localSheetId="32" hidden="1">#REF!</definedName>
    <definedName name="data2" localSheetId="31" hidden="1">#REF!</definedName>
    <definedName name="data2" localSheetId="9" hidden="1">#REF!</definedName>
    <definedName name="data2" localSheetId="3" hidden="1">#REF!</definedName>
    <definedName name="data2" hidden="1">#REF!</definedName>
    <definedName name="data20" localSheetId="33">#REF!</definedName>
    <definedName name="data20" localSheetId="34">#REF!</definedName>
    <definedName name="data20" localSheetId="37">#REF!</definedName>
    <definedName name="data20">#REF!</definedName>
    <definedName name="data21" localSheetId="33">#REF!</definedName>
    <definedName name="data21" localSheetId="34">#REF!</definedName>
    <definedName name="data21" localSheetId="37">#REF!</definedName>
    <definedName name="data21">#REF!</definedName>
    <definedName name="data22" localSheetId="33">#REF!</definedName>
    <definedName name="data22" localSheetId="34">#REF!</definedName>
    <definedName name="data22" localSheetId="37">#REF!</definedName>
    <definedName name="data22">#REF!</definedName>
    <definedName name="data23" localSheetId="33">#REF!</definedName>
    <definedName name="data23" localSheetId="34">#REF!</definedName>
    <definedName name="data23" localSheetId="37">#REF!</definedName>
    <definedName name="data23">#REF!</definedName>
    <definedName name="data23b" localSheetId="33">#REF!</definedName>
    <definedName name="data23b" localSheetId="34">#REF!</definedName>
    <definedName name="data23b" localSheetId="37">#REF!</definedName>
    <definedName name="data23b">#REF!</definedName>
    <definedName name="data23c" localSheetId="33">#REF!</definedName>
    <definedName name="data23c" localSheetId="34">#REF!</definedName>
    <definedName name="data23c" localSheetId="37">#REF!</definedName>
    <definedName name="data23c">#REF!</definedName>
    <definedName name="data24" localSheetId="33">#REF!</definedName>
    <definedName name="data24" localSheetId="34">#REF!</definedName>
    <definedName name="data24" localSheetId="37">#REF!</definedName>
    <definedName name="data24">#REF!</definedName>
    <definedName name="data25" localSheetId="33">#REF!</definedName>
    <definedName name="data25" localSheetId="34">#REF!</definedName>
    <definedName name="data25" localSheetId="37">#REF!</definedName>
    <definedName name="data25">#REF!</definedName>
    <definedName name="data26" localSheetId="33">#REF!</definedName>
    <definedName name="data26" localSheetId="34">#REF!</definedName>
    <definedName name="data26" localSheetId="37">#REF!</definedName>
    <definedName name="data26">#REF!</definedName>
    <definedName name="data27" localSheetId="33">#REF!</definedName>
    <definedName name="data27" localSheetId="34">#REF!</definedName>
    <definedName name="data27" localSheetId="37">#REF!</definedName>
    <definedName name="data27">#REF!</definedName>
    <definedName name="data28" localSheetId="33">#REF!</definedName>
    <definedName name="data28" localSheetId="34">#REF!</definedName>
    <definedName name="data28" localSheetId="37">#REF!</definedName>
    <definedName name="data28">#REF!</definedName>
    <definedName name="data29" localSheetId="33">#REF!</definedName>
    <definedName name="data29" localSheetId="34">#REF!</definedName>
    <definedName name="data29" localSheetId="37">#REF!</definedName>
    <definedName name="data29">#REF!</definedName>
    <definedName name="data3" localSheetId="33">#REF!</definedName>
    <definedName name="data3" localSheetId="34">#REF!</definedName>
    <definedName name="data3" localSheetId="35" hidden="1">#REF!</definedName>
    <definedName name="data3" localSheetId="5" hidden="1">#REF!</definedName>
    <definedName name="data3" localSheetId="29" hidden="1">#REF!</definedName>
    <definedName name="data3" localSheetId="8" hidden="1">#REF!</definedName>
    <definedName name="data3" localSheetId="10" hidden="1">#REF!</definedName>
    <definedName name="data3" localSheetId="11" hidden="1">#REF!</definedName>
    <definedName name="data3" localSheetId="43" hidden="1">#REF!</definedName>
    <definedName name="data3" localSheetId="37">#REF!</definedName>
    <definedName name="data3" localSheetId="27" hidden="1">#REF!</definedName>
    <definedName name="data3" localSheetId="46" hidden="1">#REF!</definedName>
    <definedName name="data3" localSheetId="28" hidden="1">#REF!</definedName>
    <definedName name="data3" localSheetId="19" hidden="1">#REF!</definedName>
    <definedName name="data3" localSheetId="42" hidden="1">#REF!</definedName>
    <definedName name="data3" localSheetId="32" hidden="1">#REF!</definedName>
    <definedName name="data3" localSheetId="31" hidden="1">#REF!</definedName>
    <definedName name="data3" localSheetId="9" hidden="1">#REF!</definedName>
    <definedName name="data3" localSheetId="3" hidden="1">#REF!</definedName>
    <definedName name="data3" hidden="1">#REF!</definedName>
    <definedName name="data30" localSheetId="33">#REF!</definedName>
    <definedName name="data30" localSheetId="34">#REF!</definedName>
    <definedName name="data30" localSheetId="37">#REF!</definedName>
    <definedName name="data30">#REF!</definedName>
    <definedName name="data31" localSheetId="33">#REF!</definedName>
    <definedName name="data31" localSheetId="34">#REF!</definedName>
    <definedName name="data31" localSheetId="37">#REF!</definedName>
    <definedName name="data31">#REF!</definedName>
    <definedName name="data32" localSheetId="33">#REF!</definedName>
    <definedName name="data32" localSheetId="34">#REF!</definedName>
    <definedName name="data32" localSheetId="37">#REF!</definedName>
    <definedName name="data32">#REF!</definedName>
    <definedName name="data33" localSheetId="33">#REF!</definedName>
    <definedName name="data33" localSheetId="34">#REF!</definedName>
    <definedName name="data33" localSheetId="37">#REF!</definedName>
    <definedName name="data33">#REF!</definedName>
    <definedName name="data4" localSheetId="33">#REF!</definedName>
    <definedName name="data4" localSheetId="34">#REF!</definedName>
    <definedName name="data4" localSheetId="37">#REF!</definedName>
    <definedName name="data4">#REF!</definedName>
    <definedName name="data452">#REF!</definedName>
    <definedName name="data5" localSheetId="33">#REF!</definedName>
    <definedName name="data5" localSheetId="34">#REF!</definedName>
    <definedName name="data5" localSheetId="37">#REF!</definedName>
    <definedName name="data5">#REF!</definedName>
    <definedName name="DATA6" localSheetId="33">#REF!</definedName>
    <definedName name="DATA6" localSheetId="34">#REF!</definedName>
    <definedName name="DATA6" localSheetId="35">#REF!</definedName>
    <definedName name="DATA6" localSheetId="5">#REF!</definedName>
    <definedName name="DATA6" localSheetId="8">#REF!</definedName>
    <definedName name="DATA6" localSheetId="10">#REF!</definedName>
    <definedName name="DATA6" localSheetId="11">#REF!</definedName>
    <definedName name="DATA6" localSheetId="37">#REF!</definedName>
    <definedName name="DATA6" localSheetId="28">#REF!</definedName>
    <definedName name="DATA6" localSheetId="42">#REF!</definedName>
    <definedName name="DATA6" localSheetId="31">#REF!</definedName>
    <definedName name="DATA6">#REF!</definedName>
    <definedName name="DATA6_33">"$#REF!.$#REF!$#REF!"</definedName>
    <definedName name="DATA6_34">"$#REF!.$#REF!$#REF!"</definedName>
    <definedName name="data7" localSheetId="33">#REF!</definedName>
    <definedName name="data7" localSheetId="34">#REF!</definedName>
    <definedName name="Data7" localSheetId="35">#REF!</definedName>
    <definedName name="Data7" localSheetId="5">#REF!</definedName>
    <definedName name="Data7" localSheetId="8">#REF!</definedName>
    <definedName name="Data7" localSheetId="10">#REF!</definedName>
    <definedName name="Data7" localSheetId="11">#REF!</definedName>
    <definedName name="data7" localSheetId="37">#REF!</definedName>
    <definedName name="Data7" localSheetId="28">#REF!</definedName>
    <definedName name="Data7" localSheetId="42">#REF!</definedName>
    <definedName name="Data7" localSheetId="31">#REF!</definedName>
    <definedName name="Data7">#REF!</definedName>
    <definedName name="Data7_33">"$#REF!.$#REF!$#REF!"</definedName>
    <definedName name="data8" localSheetId="33">#REF!</definedName>
    <definedName name="data8" localSheetId="34">#REF!</definedName>
    <definedName name="data8" localSheetId="37">#REF!</definedName>
    <definedName name="data8">#REF!</definedName>
    <definedName name="data9" localSheetId="33">#REF!</definedName>
    <definedName name="data9" localSheetId="34">#REF!</definedName>
    <definedName name="data9" localSheetId="37">#REF!</definedName>
    <definedName name="data9">#REF!</definedName>
    <definedName name="Dataa" localSheetId="35">#REF!</definedName>
    <definedName name="Dataa" localSheetId="5">#REF!</definedName>
    <definedName name="Dataa" localSheetId="8">#REF!</definedName>
    <definedName name="Dataa" localSheetId="10">#REF!</definedName>
    <definedName name="Dataa" localSheetId="11">#REF!</definedName>
    <definedName name="Dataa" localSheetId="28">#REF!</definedName>
    <definedName name="Dataa" localSheetId="42">#REF!</definedName>
    <definedName name="Dataa" localSheetId="31">#REF!</definedName>
    <definedName name="Dataa">#REF!</definedName>
    <definedName name="Dataa_33">"$#REF!.$#REF!$#REF!"</definedName>
    <definedName name="_xlnm.Database" localSheetId="33">#REF!</definedName>
    <definedName name="_xlnm.Database" localSheetId="34">#REF!</definedName>
    <definedName name="_xlnm.Database" localSheetId="35">#REF!</definedName>
    <definedName name="_xlnm.Database" localSheetId="5">#REF!</definedName>
    <definedName name="_xlnm.Database" localSheetId="8">#REF!</definedName>
    <definedName name="_xlnm.Database" localSheetId="10">#REF!</definedName>
    <definedName name="_xlnm.Database" localSheetId="11">#REF!</definedName>
    <definedName name="_xlnm.Database" localSheetId="37">#REF!</definedName>
    <definedName name="_xlnm.Database" localSheetId="28">#REF!</definedName>
    <definedName name="_xlnm.Database" localSheetId="42">#REF!</definedName>
    <definedName name="_xlnm.Database" localSheetId="31">#REF!</definedName>
    <definedName name="_xlnm.Database">#REF!</definedName>
    <definedName name="database1" localSheetId="33">#REF!</definedName>
    <definedName name="database1" localSheetId="34">#REF!</definedName>
    <definedName name="database1" localSheetId="5">#REF!</definedName>
    <definedName name="database1" localSheetId="8">#REF!</definedName>
    <definedName name="database1" localSheetId="10">#REF!</definedName>
    <definedName name="database1" localSheetId="37">#REF!</definedName>
    <definedName name="database1" localSheetId="28">#REF!</definedName>
    <definedName name="database1" localSheetId="42">#REF!</definedName>
    <definedName name="database1">#REF!</definedName>
    <definedName name="db" localSheetId="33">#REF!</definedName>
    <definedName name="db" localSheetId="34">#REF!</definedName>
    <definedName name="db" localSheetId="5">#REF!</definedName>
    <definedName name="db" localSheetId="8">#REF!</definedName>
    <definedName name="db" localSheetId="10">#REF!</definedName>
    <definedName name="db" localSheetId="11">#REF!</definedName>
    <definedName name="db" localSheetId="37">#REF!</definedName>
    <definedName name="db" localSheetId="28">#REF!</definedName>
    <definedName name="db" localSheetId="42">#REF!</definedName>
    <definedName name="db">#REF!</definedName>
    <definedName name="dbas" localSheetId="8">#REF!</definedName>
    <definedName name="dbas" localSheetId="10">#REF!</definedName>
    <definedName name="dbas" localSheetId="11">#REF!</definedName>
    <definedName name="dbas" localSheetId="28">#REF!</definedName>
    <definedName name="dbas">#REF!</definedName>
    <definedName name="dbbs" localSheetId="8">#REF!</definedName>
    <definedName name="dbbs" localSheetId="10">#REF!</definedName>
    <definedName name="dbbs" localSheetId="11">#REF!</definedName>
    <definedName name="dbbs" localSheetId="28">#REF!</definedName>
    <definedName name="dbbs">#REF!</definedName>
    <definedName name="dbbsb" localSheetId="8">#REF!</definedName>
    <definedName name="dbbsb" localSheetId="10">#REF!</definedName>
    <definedName name="dbbsb" localSheetId="11">#REF!</definedName>
    <definedName name="dbbsb" localSheetId="28">#REF!</definedName>
    <definedName name="dbbsb">#REF!</definedName>
    <definedName name="dbc" localSheetId="8">#REF!</definedName>
    <definedName name="dbc" localSheetId="10">#REF!</definedName>
    <definedName name="dbc" localSheetId="11">#REF!</definedName>
    <definedName name="dbc" localSheetId="28">#REF!</definedName>
    <definedName name="dbc">#REF!</definedName>
    <definedName name="dbd" localSheetId="8">#REF!</definedName>
    <definedName name="dbd" localSheetId="10">#REF!</definedName>
    <definedName name="dbd" localSheetId="11">#REF!</definedName>
    <definedName name="dbd" localSheetId="28">#REF!</definedName>
    <definedName name="dbd">#REF!</definedName>
    <definedName name="dbh" localSheetId="8">#REF!</definedName>
    <definedName name="dbh" localSheetId="10">#REF!</definedName>
    <definedName name="dbh" localSheetId="11">#REF!</definedName>
    <definedName name="dbh" localSheetId="28">#REF!</definedName>
    <definedName name="dbh">#REF!</definedName>
    <definedName name="dbi" localSheetId="8">#REF!</definedName>
    <definedName name="dbi" localSheetId="10">#REF!</definedName>
    <definedName name="dbi" localSheetId="11">#REF!</definedName>
    <definedName name="dbi" localSheetId="28">#REF!</definedName>
    <definedName name="dbi">#REF!</definedName>
    <definedName name="DBM" localSheetId="33">#REF!</definedName>
    <definedName name="DBM" localSheetId="34">#REF!</definedName>
    <definedName name="DBM" localSheetId="5">#REF!</definedName>
    <definedName name="DBM" localSheetId="8">#REF!</definedName>
    <definedName name="DBM" localSheetId="10">#REF!</definedName>
    <definedName name="DBM" localSheetId="11">#REF!</definedName>
    <definedName name="DBM" localSheetId="37">#REF!</definedName>
    <definedName name="DBM" localSheetId="28">#REF!</definedName>
    <definedName name="DBM" localSheetId="42">#REF!</definedName>
    <definedName name="DBM">#REF!</definedName>
    <definedName name="dbo" localSheetId="8">#REF!</definedName>
    <definedName name="dbo" localSheetId="10">#REF!</definedName>
    <definedName name="dbo" localSheetId="11">#REF!</definedName>
    <definedName name="dbo" localSheetId="28">#REF!</definedName>
    <definedName name="dbo">#REF!</definedName>
    <definedName name="dbrb" localSheetId="8">#REF!</definedName>
    <definedName name="dbrb" localSheetId="10">#REF!</definedName>
    <definedName name="dbrb" localSheetId="11">#REF!</definedName>
    <definedName name="dbrb" localSheetId="28">#REF!</definedName>
    <definedName name="dbrb">#REF!</definedName>
    <definedName name="dbs" localSheetId="8">#REF!</definedName>
    <definedName name="dbs" localSheetId="10">#REF!</definedName>
    <definedName name="dbs" localSheetId="11">#REF!</definedName>
    <definedName name="dbs" localSheetId="28">#REF!</definedName>
    <definedName name="dbs">#REF!</definedName>
    <definedName name="dbsi" localSheetId="8">#REF!</definedName>
    <definedName name="dbsi" localSheetId="10">#REF!</definedName>
    <definedName name="dbsi" localSheetId="11">#REF!</definedName>
    <definedName name="dbsi" localSheetId="28">#REF!</definedName>
    <definedName name="dbsi">#REF!</definedName>
    <definedName name="dbst" localSheetId="8">#REF!</definedName>
    <definedName name="dbst" localSheetId="10">#REF!</definedName>
    <definedName name="dbst" localSheetId="11">#REF!</definedName>
    <definedName name="dbst" localSheetId="28">#REF!</definedName>
    <definedName name="dbst">#REF!</definedName>
    <definedName name="dbt" localSheetId="8">#REF!</definedName>
    <definedName name="dbt" localSheetId="10">#REF!</definedName>
    <definedName name="dbt" localSheetId="11">#REF!</definedName>
    <definedName name="dbt" localSheetId="28">#REF!</definedName>
    <definedName name="dbt">#REF!</definedName>
    <definedName name="DC" localSheetId="35">#REF!</definedName>
    <definedName name="dc" localSheetId="5">#REF!</definedName>
    <definedName name="DC" localSheetId="8">#REF!</definedName>
    <definedName name="DC" localSheetId="10">#REF!</definedName>
    <definedName name="dc" localSheetId="11">#REF!</definedName>
    <definedName name="DC" localSheetId="28">#REF!</definedName>
    <definedName name="DC" localSheetId="42">#REF!</definedName>
    <definedName name="DC" localSheetId="31">#REF!</definedName>
    <definedName name="DC">#REF!</definedName>
    <definedName name="dcd" localSheetId="8">#REF!</definedName>
    <definedName name="dcd" localSheetId="10">#REF!</definedName>
    <definedName name="dcd" localSheetId="11">#REF!</definedName>
    <definedName name="dcd" localSheetId="28">#REF!</definedName>
    <definedName name="dcd">#REF!</definedName>
    <definedName name="DD" localSheetId="33">#REF!</definedName>
    <definedName name="DD" localSheetId="34">#REF!</definedName>
    <definedName name="DD" localSheetId="35">#REF!</definedName>
    <definedName name="DD" localSheetId="5">#REF!</definedName>
    <definedName name="DD" localSheetId="8">#REF!</definedName>
    <definedName name="DD" localSheetId="10">#REF!</definedName>
    <definedName name="DD" localSheetId="11">#REF!</definedName>
    <definedName name="DD" localSheetId="37">#REF!</definedName>
    <definedName name="DD" localSheetId="28">#REF!</definedName>
    <definedName name="DD" localSheetId="42">#REF!</definedName>
    <definedName name="DD" localSheetId="31">#REF!</definedName>
    <definedName name="DD">#REF!</definedName>
    <definedName name="DD_33">"$#REF!.$#REF!$#REF!"</definedName>
    <definedName name="DD_34">"$#REF!.$#REF!$#REF!"</definedName>
    <definedName name="DD20HB">[120]Leads!$Q$39</definedName>
    <definedName name="ddad" localSheetId="28">#REF!</definedName>
    <definedName name="ddd" localSheetId="33" hidden="1">{"'ridftotal'!$A$4:$S$27"}</definedName>
    <definedName name="ddd" localSheetId="34" hidden="1">{"'ridftotal'!$A$4:$S$27"}</definedName>
    <definedName name="ddd" localSheetId="5">#REF!</definedName>
    <definedName name="ddd" localSheetId="8">#REF!</definedName>
    <definedName name="ddd" localSheetId="10">#REF!</definedName>
    <definedName name="ddd" localSheetId="11">#REF!</definedName>
    <definedName name="ddd" localSheetId="37" hidden="1">{"'ridftotal'!$A$4:$S$27"}</definedName>
    <definedName name="ddd" localSheetId="28">#REF!</definedName>
    <definedName name="ddd" localSheetId="42">#REF!</definedName>
    <definedName name="ddd">#REF!</definedName>
    <definedName name="ddd_33">"$#REF!.$#REF!$#REF!"</definedName>
    <definedName name="dddd" localSheetId="37">[58]leads!$H$7</definedName>
    <definedName name="dddd">[121]leads!$H$7</definedName>
    <definedName name="ddddd" localSheetId="14" hidden="1">{"'ridftotal'!$A$4:$S$27"}</definedName>
    <definedName name="ddddd" localSheetId="28" hidden="1">{"'ridftotal'!$A$4:$S$27"}</definedName>
    <definedName name="ddddd" localSheetId="42" hidden="1">{"'ridftotal'!$A$4:$S$27"}</definedName>
    <definedName name="ddddd" hidden="1">{"'ridftotal'!$A$4:$S$27"}</definedName>
    <definedName name="dddddd" localSheetId="37">[122]leads!$H$7</definedName>
    <definedName name="dddddd">[19]leads!$H$7</definedName>
    <definedName name="DDSAND">[120]Leads!$Q$36</definedName>
    <definedName name="de" localSheetId="33">[72]Lead!#REF!</definedName>
    <definedName name="de" localSheetId="34">[72]Lead!#REF!</definedName>
    <definedName name="de" localSheetId="37">#REF!</definedName>
    <definedName name="de">#REF!</definedName>
    <definedName name="de_33">#N/A</definedName>
    <definedName name="de_34">#N/A</definedName>
    <definedName name="deaf" localSheetId="8">#REF!</definedName>
    <definedName name="deaf" localSheetId="10">#REF!</definedName>
    <definedName name="deaf" localSheetId="28">#REF!</definedName>
    <definedName name="deaf" localSheetId="42">#REF!</definedName>
    <definedName name="deaf">#REF!</definedName>
    <definedName name="DEE" localSheetId="37">[73]LEAD!$C$54</definedName>
    <definedName name="DEE">[74]LEAD!$D$53</definedName>
    <definedName name="defew">#REF!</definedName>
    <definedName name="deff" localSheetId="8">#REF!</definedName>
    <definedName name="deff" localSheetId="10">#REF!</definedName>
    <definedName name="deff" localSheetId="11">#REF!</definedName>
    <definedName name="deff" localSheetId="28">#REF!</definedName>
    <definedName name="deff">#REF!</definedName>
    <definedName name="del">[90]Intput!$L$81</definedName>
    <definedName name="delifting_depths" localSheetId="37">'[83]data existing_do not delete'!$A$27:$A$40</definedName>
    <definedName name="delifting_depths">'[84]data existing_do not delete'!$A$27:$A$40</definedName>
    <definedName name="derse" localSheetId="37">[123]Lead!#REF!</definedName>
    <definedName name="derse">[123]Lead!#REF!</definedName>
    <definedName name="derse_23">#N/A</definedName>
    <definedName name="derse_33">#N/A</definedName>
    <definedName name="derse_38">#N/A</definedName>
    <definedName name="derse_41">#N/A</definedName>
    <definedName name="derse_43">#N/A</definedName>
    <definedName name="derse_48">#N/A</definedName>
    <definedName name="derse_57">#N/A</definedName>
    <definedName name="derse_59">#N/A</definedName>
    <definedName name="derse_60">#N/A</definedName>
    <definedName name="derse_61">#N/A</definedName>
    <definedName name="derse_62">#N/A</definedName>
    <definedName name="derse_7">#N/A</definedName>
    <definedName name="derse_72">#N/A</definedName>
    <definedName name="derse_73">#N/A</definedName>
    <definedName name="derse_8">#N/A</definedName>
    <definedName name="description" localSheetId="37">[124]maya!$A$71:$A$98</definedName>
    <definedName name="description">[125]maya!$A$71:$A$98</definedName>
    <definedName name="df" localSheetId="11">#REF!</definedName>
    <definedName name="df" localSheetId="37">[126]Lead!#REF!</definedName>
    <definedName name="df">[116]Lead!#REF!</definedName>
    <definedName name="df_33">#N/A</definedName>
    <definedName name="df_38">#N/A</definedName>
    <definedName name="df_41">#N/A</definedName>
    <definedName name="df_7">#N/A</definedName>
    <definedName name="df_8">#N/A</definedName>
    <definedName name="dfd">[47]leads!$H$7</definedName>
    <definedName name="dfdddd" localSheetId="33">#REF!</definedName>
    <definedName name="dfdddd" localSheetId="34">#REF!</definedName>
    <definedName name="dfdddd" localSheetId="5">#REF!</definedName>
    <definedName name="dfdddd" localSheetId="8">#REF!</definedName>
    <definedName name="dfdddd" localSheetId="10">#REF!</definedName>
    <definedName name="dfdddd" localSheetId="11">#REF!</definedName>
    <definedName name="dfdddd" localSheetId="37">#REF!</definedName>
    <definedName name="dfdddd" localSheetId="28">#REF!</definedName>
    <definedName name="dfdddd" localSheetId="42">#REF!</definedName>
    <definedName name="dfdddd">#REF!</definedName>
    <definedName name="dfddfdr">#REF!</definedName>
    <definedName name="dfddyu">#REF!</definedName>
    <definedName name="DFDFDE">#REF!</definedName>
    <definedName name="dfdfdf" localSheetId="14" hidden="1">{"'ridftotal'!$A$4:$S$27"}</definedName>
    <definedName name="dfdfdf" localSheetId="28" hidden="1">{"'ridftotal'!$A$4:$S$27"}</definedName>
    <definedName name="dfdfdf" localSheetId="42" hidden="1">{"'ridftotal'!$A$4:$S$27"}</definedName>
    <definedName name="dfdfdf" hidden="1">{"'ridftotal'!$A$4:$S$27"}</definedName>
    <definedName name="dfds" localSheetId="8">#REF!</definedName>
    <definedName name="dfds" localSheetId="10">#REF!</definedName>
    <definedName name="dfds" localSheetId="11">#REF!</definedName>
    <definedName name="dfds" localSheetId="28">#REF!</definedName>
    <definedName name="dfds">#REF!</definedName>
    <definedName name="dfdsfd" localSheetId="37">'[127]Plant &amp;  Machinery'!$G$13</definedName>
    <definedName name="dfdsfd">'[128]Plant &amp;  Machinery'!$G$13</definedName>
    <definedName name="dffg" localSheetId="8">#REF!</definedName>
    <definedName name="dffg" localSheetId="10">#REF!</definedName>
    <definedName name="dffg" localSheetId="28">#REF!</definedName>
    <definedName name="dffg" localSheetId="42">#REF!</definedName>
    <definedName name="dffg">#REF!</definedName>
    <definedName name="dfg">[129]m!$B$149</definedName>
    <definedName name="dfgh" localSheetId="8">#REF!</definedName>
    <definedName name="dfgh" localSheetId="10">#REF!</definedName>
    <definedName name="dfgh" localSheetId="28">#REF!</definedName>
    <definedName name="dfgh">#REF!</definedName>
    <definedName name="DFI" localSheetId="14">#REF!</definedName>
    <definedName name="DFI" localSheetId="8">#REF!</definedName>
    <definedName name="DFI" localSheetId="10">#REF!</definedName>
    <definedName name="DFI" localSheetId="28">#REF!</definedName>
    <definedName name="DFI">#REF!</definedName>
    <definedName name="dfih">#REF!</definedName>
    <definedName name="DFII" localSheetId="14">#REF!</definedName>
    <definedName name="DFII" localSheetId="8">#REF!</definedName>
    <definedName name="DFII" localSheetId="10">#REF!</definedName>
    <definedName name="DFII" localSheetId="28">#REF!</definedName>
    <definedName name="DFII">#REF!</definedName>
    <definedName name="DFIII" localSheetId="8">#REF!</definedName>
    <definedName name="DFIII" localSheetId="10">#REF!</definedName>
    <definedName name="DFIII" localSheetId="28">#REF!</definedName>
    <definedName name="DFIII">#REF!</definedName>
    <definedName name="dftyg">#REF!</definedName>
    <definedName name="dg" localSheetId="8">#REF!</definedName>
    <definedName name="dg" localSheetId="10">#REF!</definedName>
    <definedName name="dg" localSheetId="28">#REF!</definedName>
    <definedName name="dg">#REF!</definedName>
    <definedName name="dgdfg" localSheetId="8">#REF!</definedName>
    <definedName name="dgdfg" localSheetId="10">#REF!</definedName>
    <definedName name="dgdfg" localSheetId="11">#REF!</definedName>
    <definedName name="dgdfg" localSheetId="28">#REF!</definedName>
    <definedName name="dgdfg">#REF!</definedName>
    <definedName name="dgl" localSheetId="8">#REF!</definedName>
    <definedName name="dgl" localSheetId="10">#REF!</definedName>
    <definedName name="dgl" localSheetId="11">#REF!</definedName>
    <definedName name="dgl" localSheetId="28">#REF!</definedName>
    <definedName name="dgl">#REF!</definedName>
    <definedName name="DI" localSheetId="5">#REF!</definedName>
    <definedName name="DI" localSheetId="8">#REF!</definedName>
    <definedName name="DI" localSheetId="10">#REF!</definedName>
    <definedName name="DI" localSheetId="11">#REF!</definedName>
    <definedName name="DI" localSheetId="28">#REF!</definedName>
    <definedName name="DI">#REF!</definedName>
    <definedName name="dia">[130]Sheet2!$A$1:$B$9</definedName>
    <definedName name="DIA.SSF" localSheetId="8">#REF!</definedName>
    <definedName name="DIA.SSF" localSheetId="10">#REF!</definedName>
    <definedName name="DIA.SSF" localSheetId="11">#REF!</definedName>
    <definedName name="DIA.SSF" localSheetId="28">#REF!</definedName>
    <definedName name="DIA.SSF">#REF!</definedName>
    <definedName name="DIAA" localSheetId="8">#REF!</definedName>
    <definedName name="DIAA" localSheetId="10">#REF!</definedName>
    <definedName name="DIAA" localSheetId="11">#REF!</definedName>
    <definedName name="DIAA" localSheetId="28">#REF!</definedName>
    <definedName name="DIAA">#REF!</definedName>
    <definedName name="diff_20ab">#REF!</definedName>
    <definedName name="DII" localSheetId="14">#REF!</definedName>
    <definedName name="DII" localSheetId="8">#REF!</definedName>
    <definedName name="DII" localSheetId="10">#REF!</definedName>
    <definedName name="DII" localSheetId="28">#REF!</definedName>
    <definedName name="DII">#REF!</definedName>
    <definedName name="dipu" localSheetId="33">#REF!</definedName>
    <definedName name="dipu" localSheetId="34">#REF!</definedName>
    <definedName name="dipu" localSheetId="5">#REF!</definedName>
    <definedName name="dipu" localSheetId="8">#REF!</definedName>
    <definedName name="dipu" localSheetId="10">#REF!</definedName>
    <definedName name="dipu" localSheetId="11">#REF!</definedName>
    <definedName name="dipu" localSheetId="28">#REF!</definedName>
    <definedName name="dipu" localSheetId="42">#REF!</definedName>
    <definedName name="dipu">#REF!</definedName>
    <definedName name="dipu_33">"$#REF!.$#REF!$#REF!:$#REF!$#REF!"</definedName>
    <definedName name="dipu_38">"$#REF!.$#REF!$#REF!:$#REF!$#REF!"</definedName>
    <definedName name="dipu_41">"$#REF!.$#REF!$#REF!:$#REF!$#REF!"</definedName>
    <definedName name="dipu_7">"$#REF!.$#REF!$#REF!:$#REF!$#REF!"</definedName>
    <definedName name="dipu_8">"$#REF!.$#REF!$#REF!:$#REF!$#REF!"</definedName>
    <definedName name="dis">0.5</definedName>
    <definedName name="discharge" localSheetId="33">#REF!</definedName>
    <definedName name="discharge" localSheetId="34">#REF!</definedName>
    <definedName name="discharge" localSheetId="37">#REF!</definedName>
    <definedName name="discharge">#REF!</definedName>
    <definedName name="Discount" localSheetId="35" hidden="1">#REF!</definedName>
    <definedName name="Discount" localSheetId="5" hidden="1">#REF!</definedName>
    <definedName name="Discount" localSheetId="29" hidden="1">#REF!</definedName>
    <definedName name="Discount" localSheetId="8" hidden="1">#REF!</definedName>
    <definedName name="Discount" localSheetId="10" hidden="1">#REF!</definedName>
    <definedName name="Discount" localSheetId="11" hidden="1">#REF!</definedName>
    <definedName name="Discount" localSheetId="43" hidden="1">#REF!</definedName>
    <definedName name="Discount" localSheetId="27" hidden="1">#REF!</definedName>
    <definedName name="Discount" localSheetId="28" hidden="1">#REF!</definedName>
    <definedName name="Discount" localSheetId="19" hidden="1">#REF!</definedName>
    <definedName name="Discount" localSheetId="42" hidden="1">#REF!</definedName>
    <definedName name="Discount" localSheetId="32" hidden="1">#REF!</definedName>
    <definedName name="Discount" localSheetId="31" hidden="1">#REF!</definedName>
    <definedName name="Discount" localSheetId="9" hidden="1">#REF!</definedName>
    <definedName name="Discount" localSheetId="3" hidden="1">#REF!</definedName>
    <definedName name="Discount" hidden="1">#REF!</definedName>
    <definedName name="display_area_2" localSheetId="35" hidden="1">#REF!</definedName>
    <definedName name="display_area_2" localSheetId="5" hidden="1">#REF!</definedName>
    <definedName name="display_area_2" localSheetId="29" hidden="1">#REF!</definedName>
    <definedName name="display_area_2" localSheetId="8" hidden="1">#REF!</definedName>
    <definedName name="display_area_2" localSheetId="10" hidden="1">#REF!</definedName>
    <definedName name="display_area_2" localSheetId="11" hidden="1">#REF!</definedName>
    <definedName name="display_area_2" localSheetId="43" hidden="1">#REF!</definedName>
    <definedName name="display_area_2" localSheetId="27" hidden="1">#REF!</definedName>
    <definedName name="display_area_2" localSheetId="28" hidden="1">#REF!</definedName>
    <definedName name="display_area_2" localSheetId="19" hidden="1">#REF!</definedName>
    <definedName name="display_area_2" localSheetId="42" hidden="1">#REF!</definedName>
    <definedName name="display_area_2" localSheetId="32" hidden="1">#REF!</definedName>
    <definedName name="display_area_2" localSheetId="31" hidden="1">#REF!</definedName>
    <definedName name="display_area_2" localSheetId="9" hidden="1">#REF!</definedName>
    <definedName name="display_area_2" localSheetId="3" hidden="1">#REF!</definedName>
    <definedName name="display_area_2" hidden="1">#REF!</definedName>
    <definedName name="dist">#REF!</definedName>
    <definedName name="Dist_Abstract">#REF!</definedName>
    <definedName name="Distbut">#REF!</definedName>
    <definedName name="div" localSheetId="5">#REF!</definedName>
    <definedName name="div" localSheetId="37">[131]ABS!$F$21</definedName>
    <definedName name="div">[132]ABS!$F$21</definedName>
    <definedName name="DJD" localSheetId="33">#REF!</definedName>
    <definedName name="DJD" localSheetId="34">#REF!</definedName>
    <definedName name="DJD" localSheetId="35">#REF!</definedName>
    <definedName name="DJD" localSheetId="5">#REF!</definedName>
    <definedName name="DJD" localSheetId="8">#REF!</definedName>
    <definedName name="DJD" localSheetId="10">#REF!</definedName>
    <definedName name="DJD" localSheetId="11">#REF!</definedName>
    <definedName name="DJD" localSheetId="37">#REF!</definedName>
    <definedName name="DJD" localSheetId="28">#REF!</definedName>
    <definedName name="DJD" localSheetId="42">#REF!</definedName>
    <definedName name="DJD" localSheetId="31">#REF!</definedName>
    <definedName name="DJD">#REF!</definedName>
    <definedName name="DJD_23">"$#REF!.$#REF!$#REF!:$#REF!$#REF!"</definedName>
    <definedName name="DJD_33">"$#REF!.$#REF!$#REF!"</definedName>
    <definedName name="DJD_34">"$#REF!.$#REF!$#REF!"</definedName>
    <definedName name="DJD_38">"$#REF!.$#REF!$#REF!:$#REF!$#REF!"</definedName>
    <definedName name="DJD_41">"$#REF!.$#REF!$#REF!:$#REF!$#REF!"</definedName>
    <definedName name="DJD_43">"$#REF!.$#REF!$#REF!:$#REF!$#REF!"</definedName>
    <definedName name="DJD_48">"$#REF!.$#REF!$#REF!:$#REF!$#REF!"</definedName>
    <definedName name="DJD_57">"$#REF!.$#REF!$#REF!:$#REF!$#REF!"</definedName>
    <definedName name="DJD_59">"$#REF!.$#REF!$#REF!:$#REF!$#REF!"</definedName>
    <definedName name="DJD_60">"$#REF!.$#REF!$#REF!:$#REF!$#REF!"</definedName>
    <definedName name="DJD_61">"$#REF!.$#REF!$#REF!:$#REF!$#REF!"</definedName>
    <definedName name="DJD_62">"$#REF!.$#REF!$#REF!:$#REF!$#REF!"</definedName>
    <definedName name="DJD_7">"$#REF!.$#REF!$#REF!:$#REF!$#REF!"</definedName>
    <definedName name="DJD_72">"$#REF!.$#REF!$#REF!:$#REF!$#REF!"</definedName>
    <definedName name="DJD_73">"$#REF!.$#REF!$#REF!:$#REF!$#REF!"</definedName>
    <definedName name="DJD_8">"$#REF!.$#REF!$#REF!:$#REF!$#REF!"</definedName>
    <definedName name="DKDK" localSheetId="37">[133]Labour!$D$5</definedName>
    <definedName name="DKDK">[134]Labour!$D$5</definedName>
    <definedName name="DL">#REF!</definedName>
    <definedName name="DLBL" localSheetId="14">#REF!</definedName>
    <definedName name="DLBL" localSheetId="8">#REF!</definedName>
    <definedName name="DLBL" localSheetId="10">#REF!</definedName>
    <definedName name="DLBL" localSheetId="28">#REF!</definedName>
    <definedName name="DLBL">#REF!</definedName>
    <definedName name="dlr">[90]Load!$F$35</definedName>
    <definedName name="dlwh">[90]Well!$J$72</definedName>
    <definedName name="DMAX" localSheetId="14">#REF!</definedName>
    <definedName name="DMAX" localSheetId="8">#REF!</definedName>
    <definedName name="DMAX" localSheetId="10">#REF!</definedName>
    <definedName name="DMAX" localSheetId="28">#REF!</definedName>
    <definedName name="DMAX">#REF!</definedName>
    <definedName name="Dname" localSheetId="35">#REF!</definedName>
    <definedName name="Dname" localSheetId="5">#REF!</definedName>
    <definedName name="Dname" localSheetId="8">#REF!</definedName>
    <definedName name="Dname" localSheetId="10">#REF!</definedName>
    <definedName name="Dname" localSheetId="11">#REF!</definedName>
    <definedName name="Dname" localSheetId="28">#REF!</definedName>
    <definedName name="Dname" localSheetId="42">#REF!</definedName>
    <definedName name="Dname" localSheetId="31">#REF!</definedName>
    <definedName name="Dname">#REF!</definedName>
    <definedName name="don" localSheetId="8">#REF!</definedName>
    <definedName name="don" localSheetId="10">#REF!</definedName>
    <definedName name="don" localSheetId="28">#REF!</definedName>
    <definedName name="don">#REF!</definedName>
    <definedName name="done" localSheetId="8">#REF!</definedName>
    <definedName name="done" localSheetId="10">#REF!</definedName>
    <definedName name="done" localSheetId="28">#REF!</definedName>
    <definedName name="done">#REF!</definedName>
    <definedName name="door_one_m" localSheetId="8">#REF!</definedName>
    <definedName name="door_one_m" localSheetId="10">#REF!</definedName>
    <definedName name="door_one_m" localSheetId="11">#REF!</definedName>
    <definedName name="door_one_m" localSheetId="28">#REF!</definedName>
    <definedName name="door_one_m">#REF!</definedName>
    <definedName name="door_sizes" localSheetId="37">'[83]data existing_do not delete'!$E$33:$E$50</definedName>
    <definedName name="door_sizes">'[84]data existing_do not delete'!$E$33:$E$50</definedName>
    <definedName name="door_toilet" localSheetId="8">#REF!</definedName>
    <definedName name="door_toilet" localSheetId="10">#REF!</definedName>
    <definedName name="door_toilet" localSheetId="11">#REF!</definedName>
    <definedName name="door_toilet" localSheetId="28">#REF!</definedName>
    <definedName name="door_toilet">#REF!</definedName>
    <definedName name="DPP" localSheetId="33">#REF!</definedName>
    <definedName name="DPP" localSheetId="34">#REF!</definedName>
    <definedName name="DPP" localSheetId="5">#REF!</definedName>
    <definedName name="DPP" localSheetId="8">#REF!</definedName>
    <definedName name="DPP" localSheetId="10">#REF!</definedName>
    <definedName name="DPP" localSheetId="37">#REF!</definedName>
    <definedName name="DPP" localSheetId="28">#REF!</definedName>
    <definedName name="DPP" localSheetId="42">#REF!</definedName>
    <definedName name="DPP">#REF!</definedName>
    <definedName name="DR" localSheetId="14">#REF!</definedName>
    <definedName name="DR" localSheetId="8">#REF!</definedName>
    <definedName name="DR" localSheetId="10">#REF!</definedName>
    <definedName name="DR" localSheetId="28">#REF!</definedName>
    <definedName name="DR">#REF!</definedName>
    <definedName name="drain" localSheetId="35">#REF!</definedName>
    <definedName name="drain" localSheetId="5">#REF!</definedName>
    <definedName name="drain" localSheetId="8">#REF!</definedName>
    <definedName name="drain" localSheetId="10">#REF!</definedName>
    <definedName name="drain" localSheetId="11">#REF!</definedName>
    <definedName name="drain" localSheetId="28">#REF!</definedName>
    <definedName name="drain" localSheetId="42">#REF!</definedName>
    <definedName name="drain" localSheetId="31">#REF!</definedName>
    <definedName name="drain">#REF!</definedName>
    <definedName name="dreq" localSheetId="8">#REF!</definedName>
    <definedName name="dreq" localSheetId="10">#REF!</definedName>
    <definedName name="dreq" localSheetId="11">#REF!</definedName>
    <definedName name="dreq" localSheetId="28">#REF!</definedName>
    <definedName name="dreq">#REF!</definedName>
    <definedName name="drgfuj" localSheetId="8">#REF!</definedName>
    <definedName name="drgfuj" localSheetId="10">#REF!</definedName>
    <definedName name="drgfuj" localSheetId="28">#REF!</definedName>
    <definedName name="drgfuj" localSheetId="42">#REF!</definedName>
    <definedName name="drgfuj">#REF!</definedName>
    <definedName name="DRL" localSheetId="8">#REF!</definedName>
    <definedName name="DRL" localSheetId="10">#REF!</definedName>
    <definedName name="DRL" localSheetId="28">#REF!</definedName>
    <definedName name="DRL">#REF!</definedName>
    <definedName name="DRR" localSheetId="8">#REF!</definedName>
    <definedName name="DRR" localSheetId="10">#REF!</definedName>
    <definedName name="DRR" localSheetId="28">#REF!</definedName>
    <definedName name="DRR">#REF!</definedName>
    <definedName name="drr_hire">#REF!</definedName>
    <definedName name="DRY_ROLLING" localSheetId="33">#REF!</definedName>
    <definedName name="DRY_ROLLING" localSheetId="34">#REF!</definedName>
    <definedName name="DRY_ROLLING" localSheetId="5">#REF!</definedName>
    <definedName name="DRY_ROLLING" localSheetId="8">#REF!</definedName>
    <definedName name="DRY_ROLLING" localSheetId="10">#REF!</definedName>
    <definedName name="DRY_ROLLING" localSheetId="11">#REF!</definedName>
    <definedName name="DRY_ROLLING" localSheetId="37">#REF!</definedName>
    <definedName name="DRY_ROLLING" localSheetId="28">#REF!</definedName>
    <definedName name="DRY_ROLLING" localSheetId="42">#REF!</definedName>
    <definedName name="DRY_ROLLING">#REF!</definedName>
    <definedName name="dryrolling">#REF!</definedName>
    <definedName name="ds" localSheetId="33">#REF!</definedName>
    <definedName name="ds" localSheetId="34">#REF!</definedName>
    <definedName name="ds" localSheetId="5">#REF!</definedName>
    <definedName name="ds" localSheetId="8">#REF!</definedName>
    <definedName name="ds" localSheetId="10">#REF!</definedName>
    <definedName name="ds" localSheetId="11">#REF!</definedName>
    <definedName name="ds" localSheetId="37">#REF!</definedName>
    <definedName name="ds" localSheetId="28">#REF!</definedName>
    <definedName name="ds" localSheetId="42">#REF!</definedName>
    <definedName name="ds">#REF!</definedName>
    <definedName name="dsd" localSheetId="8">#REF!</definedName>
    <definedName name="dsd" localSheetId="10">#REF!</definedName>
    <definedName name="dsd" localSheetId="11">#REF!</definedName>
    <definedName name="dsd" localSheetId="28">#REF!</definedName>
    <definedName name="dsd">#REF!</definedName>
    <definedName name="dsdsww">#REF!</definedName>
    <definedName name="dsg" localSheetId="28">#REF!</definedName>
    <definedName name="DSM" localSheetId="14">#REF!</definedName>
    <definedName name="DSM" localSheetId="8">#REF!</definedName>
    <definedName name="DSM" localSheetId="10">#REF!</definedName>
    <definedName name="DSM" localSheetId="28">#REF!</definedName>
    <definedName name="DSM">#REF!</definedName>
    <definedName name="dt" localSheetId="33">#REF!</definedName>
    <definedName name="dt" localSheetId="34">#REF!</definedName>
    <definedName name="dt" localSheetId="35">#REF!</definedName>
    <definedName name="dt" localSheetId="5">#REF!</definedName>
    <definedName name="dt" localSheetId="8">#REF!</definedName>
    <definedName name="dt" localSheetId="10">#REF!</definedName>
    <definedName name="dt" localSheetId="11">#REF!</definedName>
    <definedName name="dt" localSheetId="37">#REF!</definedName>
    <definedName name="dt" localSheetId="28">#REF!</definedName>
    <definedName name="dt" localSheetId="42">#REF!</definedName>
    <definedName name="dt" localSheetId="31">#REF!</definedName>
    <definedName name="dt">#REF!</definedName>
    <definedName name="dt." localSheetId="37">[135]Data!#REF!</definedName>
    <definedName name="dt.">[135]Data!#REF!</definedName>
    <definedName name="dt_23">"$#REF!.$#REF!$#REF!:$#REF!$#REF!"</definedName>
    <definedName name="dt_33">"$#REF!.$#REF!$#REF!"</definedName>
    <definedName name="dt_34">"$#REF!.$#REF!$#REF!"</definedName>
    <definedName name="dt_38">"$#REF!.$#REF!$#REF!:$#REF!$#REF!"</definedName>
    <definedName name="dt_41">"$#REF!.$#REF!$#REF!:$#REF!$#REF!"</definedName>
    <definedName name="dt_43">"$#REF!.$#REF!$#REF!:$#REF!$#REF!"</definedName>
    <definedName name="dt_48">"$#REF!.$#REF!$#REF!:$#REF!$#REF!"</definedName>
    <definedName name="dt_55">"$#REF!.$#REF!$#REF!:$#REF!$#REF!"</definedName>
    <definedName name="dt_57">"$#REF!.$#REF!$#REF!:$#REF!$#REF!"</definedName>
    <definedName name="dt_59">"$#REF!.$#REF!$#REF!:$#REF!$#REF!"</definedName>
    <definedName name="dt_60">"$#REF!.$#REF!$#REF!:$#REF!$#REF!"</definedName>
    <definedName name="dt_61">"$#REF!.$#REF!$#REF!:$#REF!$#REF!"</definedName>
    <definedName name="dt_62">"$#REF!.$#REF!$#REF!:$#REF!$#REF!"</definedName>
    <definedName name="dt_7">"$#REF!.$#REF!$#REF!:$#REF!$#REF!"</definedName>
    <definedName name="dt_72">"$#REF!.$#REF!$#REF!:$#REF!$#REF!"</definedName>
    <definedName name="dt_73">"$#REF!.$#REF!$#REF!:$#REF!$#REF!"</definedName>
    <definedName name="dt_8">"$#REF!.$#REF!$#REF!:$#REF!$#REF!"</definedName>
    <definedName name="dtn" localSheetId="37">[136]Data!#REF!</definedName>
    <definedName name="dtn">[137]Data!#REF!</definedName>
    <definedName name="dtrb" localSheetId="8">#REF!</definedName>
    <definedName name="dtrb" localSheetId="10">#REF!</definedName>
    <definedName name="dtrb" localSheetId="11">#REF!</definedName>
    <definedName name="dtrb" localSheetId="28">#REF!</definedName>
    <definedName name="dtrb">#REF!</definedName>
    <definedName name="dtt" localSheetId="33">#REF!</definedName>
    <definedName name="dtt" localSheetId="34">#REF!</definedName>
    <definedName name="dtt" localSheetId="37">#REF!</definedName>
    <definedName name="dtt">#REF!</definedName>
    <definedName name="dust" localSheetId="33">#REF!</definedName>
    <definedName name="dust" localSheetId="34">#REF!</definedName>
    <definedName name="dust" localSheetId="5">#REF!</definedName>
    <definedName name="dust" localSheetId="8">#REF!</definedName>
    <definedName name="dust" localSheetId="10">#REF!</definedName>
    <definedName name="dust" localSheetId="11">#REF!</definedName>
    <definedName name="dust" localSheetId="37">#REF!</definedName>
    <definedName name="dust" localSheetId="28">#REF!</definedName>
    <definedName name="dust" localSheetId="42">#REF!</definedName>
    <definedName name="dust">#REF!</definedName>
    <definedName name="dust_33">"$#REF!.$#REF!$#REF!"</definedName>
    <definedName name="dw" localSheetId="8">#REF!</definedName>
    <definedName name="dw" localSheetId="10">#REF!</definedName>
    <definedName name="dw" localSheetId="11">#REF!</definedName>
    <definedName name="dw" localSheetId="28">#REF!</definedName>
    <definedName name="dw">#REF!</definedName>
    <definedName name="dx" localSheetId="8">#REF!</definedName>
    <definedName name="dx" localSheetId="10">#REF!</definedName>
    <definedName name="dx" localSheetId="11">#REF!</definedName>
    <definedName name="dx" localSheetId="28">#REF!</definedName>
    <definedName name="dx">#REF!</definedName>
    <definedName name="dxc">#REF!</definedName>
    <definedName name="e" localSheetId="33">[138]Labour!$D$17</definedName>
    <definedName name="e" localSheetId="34">[138]Labour!$D$17</definedName>
    <definedName name="E" localSheetId="14" hidden="1">{"'ridftotal'!$A$4:$S$27"}</definedName>
    <definedName name="E" localSheetId="11" hidden="1">{"'ridftotal'!$A$4:$S$27"}</definedName>
    <definedName name="e" localSheetId="37">[138]Labour!$D$17</definedName>
    <definedName name="E" localSheetId="46" hidden="1">{"'ridftotal'!$A$4:$S$27"}</definedName>
    <definedName name="E" localSheetId="28" hidden="1">{"'ridftotal'!$A$4:$S$27"}</definedName>
    <definedName name="E" localSheetId="19" hidden="1">{"'ridftotal'!$A$4:$S$27"}</definedName>
    <definedName name="E" localSheetId="42" hidden="1">{"'ridftotal'!$A$4:$S$27"}</definedName>
    <definedName name="E" localSheetId="9" hidden="1">{"'ridftotal'!$A$4:$S$27"}</definedName>
    <definedName name="E" localSheetId="3" hidden="1">{"'ridftotal'!$A$4:$S$27"}</definedName>
    <definedName name="E" hidden="1">{"'ridftotal'!$A$4:$S$27"}</definedName>
    <definedName name="E_W_CARTED_FMC" localSheetId="33">#REF!</definedName>
    <definedName name="E_W_CARTED_FMC" localSheetId="34">#REF!</definedName>
    <definedName name="E_W_CARTED_FMC" localSheetId="5">#REF!</definedName>
    <definedName name="E_W_CARTED_FMC" localSheetId="8">#REF!</definedName>
    <definedName name="E_W_CARTED_FMC" localSheetId="10">#REF!</definedName>
    <definedName name="E_W_CARTED_FMC" localSheetId="11">#REF!</definedName>
    <definedName name="E_W_CARTED_FMC" localSheetId="37">#REF!</definedName>
    <definedName name="E_W_CARTED_FMC" localSheetId="28">#REF!</definedName>
    <definedName name="E_W_CARTED_FMC" localSheetId="42">#REF!</definedName>
    <definedName name="E_W_CARTED_FMC">#REF!</definedName>
    <definedName name="E_W_SIDE" localSheetId="33">#REF!</definedName>
    <definedName name="E_W_SIDE" localSheetId="34">#REF!</definedName>
    <definedName name="E_W_SIDE">#N/A</definedName>
    <definedName name="E_W_SIDE_FMC_NO" localSheetId="33">#REF!</definedName>
    <definedName name="E_W_SIDE_FMC_NO" localSheetId="34">#REF!</definedName>
    <definedName name="E_W_SIDE_FMC_NO" localSheetId="5">#REF!</definedName>
    <definedName name="E_W_SIDE_FMC_NO" localSheetId="8">#REF!</definedName>
    <definedName name="E_W_SIDE_FMC_NO" localSheetId="10">#REF!</definedName>
    <definedName name="E_W_SIDE_FMC_NO" localSheetId="11">#REF!</definedName>
    <definedName name="E_W_SIDE_FMC_NO" localSheetId="37">#REF!</definedName>
    <definedName name="E_W_SIDE_FMC_NO" localSheetId="28">#REF!</definedName>
    <definedName name="E_W_SIDE_FMC_NO" localSheetId="42">#REF!</definedName>
    <definedName name="E_W_SIDE_FMC_NO">#REF!</definedName>
    <definedName name="E_W_SIDE_FMC_PR" localSheetId="33">#REF!</definedName>
    <definedName name="E_W_SIDE_FMC_PR" localSheetId="34">#REF!</definedName>
    <definedName name="E_W_SIDE_FMC_PR" localSheetId="5">#REF!</definedName>
    <definedName name="E_W_SIDE_FMC_PR" localSheetId="8">#REF!</definedName>
    <definedName name="E_W_SIDE_FMC_PR" localSheetId="10">#REF!</definedName>
    <definedName name="E_W_SIDE_FMC_PR" localSheetId="11">#REF!</definedName>
    <definedName name="E_W_SIDE_FMC_PR" localSheetId="37">#REF!</definedName>
    <definedName name="E_W_SIDE_FMC_PR" localSheetId="28">#REF!</definedName>
    <definedName name="E_W_SIDE_FMC_PR" localSheetId="42">#REF!</definedName>
    <definedName name="E_W_SIDE_FMC_PR">#REF!</definedName>
    <definedName name="E_W_SIDE_OMC" localSheetId="33">#REF!</definedName>
    <definedName name="E_W_SIDE_OMC" localSheetId="34">#REF!</definedName>
    <definedName name="E_W_SIDE_OMC" localSheetId="5">#REF!</definedName>
    <definedName name="E_W_SIDE_OMC" localSheetId="8">#REF!</definedName>
    <definedName name="E_W_SIDE_OMC" localSheetId="10">#REF!</definedName>
    <definedName name="E_W_SIDE_OMC" localSheetId="11">#REF!</definedName>
    <definedName name="E_W_SIDE_OMC" localSheetId="37">#REF!</definedName>
    <definedName name="E_W_SIDE_OMC" localSheetId="28">#REF!</definedName>
    <definedName name="E_W_SIDE_OMC" localSheetId="42">#REF!</definedName>
    <definedName name="E_W_SIDE_OMC">#REF!</definedName>
    <definedName name="EAI" localSheetId="8">#REF!</definedName>
    <definedName name="EAI" localSheetId="10">#REF!</definedName>
    <definedName name="EAI" localSheetId="28">#REF!</definedName>
    <definedName name="EAI">#REF!</definedName>
    <definedName name="Earth_Lead" localSheetId="37">'[83]data existing_do not delete'!$F$75:$F$230</definedName>
    <definedName name="earth_lead" localSheetId="28">#REF!</definedName>
    <definedName name="Earth_Lead">'[84]data existing_do not delete'!$F$75:$F$230</definedName>
    <definedName name="earth_omc" localSheetId="28">#REF!</definedName>
    <definedName name="earth_rate">#REF!</definedName>
    <definedName name="earthld" localSheetId="37">[139]leads!#REF!</definedName>
    <definedName name="earthld">[140]leads!#REF!</definedName>
    <definedName name="EarthShoulders" localSheetId="28">#REF!</definedName>
    <definedName name="ec" localSheetId="37">[129]m!$M$3</definedName>
    <definedName name="ec">[69]m!$M$3</definedName>
    <definedName name="ecn" localSheetId="37">[61]m!$M$3</definedName>
    <definedName name="ecn">[62]m!$M$3</definedName>
    <definedName name="ed" localSheetId="8">#REF!</definedName>
    <definedName name="ed" localSheetId="10">#REF!</definedName>
    <definedName name="ed" localSheetId="11">#REF!</definedName>
    <definedName name="ed" localSheetId="37">#REF!</definedName>
    <definedName name="ed" localSheetId="28">#REF!</definedName>
    <definedName name="ed">#REF!</definedName>
    <definedName name="edswi" localSheetId="8">#REF!</definedName>
    <definedName name="edswi" localSheetId="10">#REF!</definedName>
    <definedName name="edswi" localSheetId="11">#REF!</definedName>
    <definedName name="edswi" localSheetId="28">#REF!</definedName>
    <definedName name="edswi">#REF!</definedName>
    <definedName name="ee" localSheetId="37">#REF!</definedName>
    <definedName name="ee">[69]m!$D$149</definedName>
    <definedName name="ee_33">#N/A</definedName>
    <definedName name="ee_34">#N/A</definedName>
    <definedName name="eee" localSheetId="33">#REF!</definedName>
    <definedName name="eee" localSheetId="34">#REF!</definedName>
    <definedName name="eee" localSheetId="5">#REF!</definedName>
    <definedName name="eee" localSheetId="8">#REF!</definedName>
    <definedName name="eee" localSheetId="10">#REF!</definedName>
    <definedName name="eee" localSheetId="11">#REF!</definedName>
    <definedName name="eee" localSheetId="37">#REF!</definedName>
    <definedName name="eee" localSheetId="28">#REF!</definedName>
    <definedName name="eee" localSheetId="42">#REF!</definedName>
    <definedName name="eee">#REF!</definedName>
    <definedName name="eee_33">"$#REF!.$#REF!$#REF!:$#REF!$#REF!"</definedName>
    <definedName name="eeee" localSheetId="8">#REF!</definedName>
    <definedName name="eeee" localSheetId="10">#REF!</definedName>
    <definedName name="eeee" localSheetId="28">#REF!</definedName>
    <definedName name="eeee">#REF!</definedName>
    <definedName name="eerws" localSheetId="35">#REF!</definedName>
    <definedName name="eerws" localSheetId="5">#REF!</definedName>
    <definedName name="eerws" localSheetId="8">#REF!</definedName>
    <definedName name="eerws" localSheetId="10">#REF!</definedName>
    <definedName name="eerws" localSheetId="11">#REF!</definedName>
    <definedName name="eerws" localSheetId="28">#REF!</definedName>
    <definedName name="eerws" localSheetId="42">#REF!</definedName>
    <definedName name="eerws" localSheetId="31">#REF!</definedName>
    <definedName name="eerws">#REF!</definedName>
    <definedName name="egar" localSheetId="37">[141]Material!$D$117</definedName>
    <definedName name="egar">[142]Material!$D$117</definedName>
    <definedName name="ei" localSheetId="28">#REF!</definedName>
    <definedName name="EII" localSheetId="14">#REF!</definedName>
    <definedName name="EII" localSheetId="8">#REF!</definedName>
    <definedName name="EII" localSheetId="10">#REF!</definedName>
    <definedName name="EII" localSheetId="28">#REF!</definedName>
    <definedName name="EII">#REF!</definedName>
    <definedName name="EIII" localSheetId="14">#REF!</definedName>
    <definedName name="EIII" localSheetId="8">#REF!</definedName>
    <definedName name="EIII" localSheetId="10">#REF!</definedName>
    <definedName name="EIII" localSheetId="28">#REF!</definedName>
    <definedName name="EIII">#REF!</definedName>
    <definedName name="EIV" localSheetId="14">#REF!</definedName>
    <definedName name="EIV" localSheetId="8">#REF!</definedName>
    <definedName name="EIV" localSheetId="10">#REF!</definedName>
    <definedName name="EIV" localSheetId="28">#REF!</definedName>
    <definedName name="EIV">#REF!</definedName>
    <definedName name="elg" localSheetId="28">#REF!</definedName>
    <definedName name="Email" localSheetId="35">#REF!</definedName>
    <definedName name="Email" localSheetId="5">#REF!</definedName>
    <definedName name="Email" localSheetId="8">#REF!</definedName>
    <definedName name="Email" localSheetId="10">#REF!</definedName>
    <definedName name="Email" localSheetId="11">#REF!</definedName>
    <definedName name="Email" localSheetId="28">#REF!</definedName>
    <definedName name="Email" localSheetId="42">#REF!</definedName>
    <definedName name="Email" localSheetId="31">#REF!</definedName>
    <definedName name="Email">#REF!</definedName>
    <definedName name="Emulsion_RS1" localSheetId="28">#REF!</definedName>
    <definedName name="Emulsion_SS1">#REF!</definedName>
    <definedName name="Emultion_SS" localSheetId="14">lead!$J$41</definedName>
    <definedName name="Emultion_SS" localSheetId="28">[91]Lead!$J$42</definedName>
    <definedName name="Emultion_SS">lead!$J$41</definedName>
    <definedName name="Emution_RS" localSheetId="14">lead!$J$42</definedName>
    <definedName name="Emution_RS" localSheetId="28">[91]Lead!$J$43</definedName>
    <definedName name="Emution_RS">lead!$J$42</definedName>
    <definedName name="enamel_door_paint" localSheetId="8">#REF!</definedName>
    <definedName name="enamel_door_paint" localSheetId="10">#REF!</definedName>
    <definedName name="enamel_door_paint" localSheetId="11">#REF!</definedName>
    <definedName name="enamel_door_paint" localSheetId="28">#REF!</definedName>
    <definedName name="enamel_door_paint">#REF!</definedName>
    <definedName name="enamel_grill_paint" localSheetId="8">#REF!</definedName>
    <definedName name="enamel_grill_paint" localSheetId="10">#REF!</definedName>
    <definedName name="enamel_grill_paint" localSheetId="11">#REF!</definedName>
    <definedName name="enamel_grill_paint" localSheetId="28">#REF!</definedName>
    <definedName name="enamel_grill_paint">#REF!</definedName>
    <definedName name="er" localSheetId="28">#REF!</definedName>
    <definedName name="ERERE">#REF!</definedName>
    <definedName name="EREREJJJ">#REF!</definedName>
    <definedName name="ertsret">#REF!</definedName>
    <definedName name="ERYUI" localSheetId="37">'[143]Plant &amp;  Machinery'!$G$13</definedName>
    <definedName name="ERYUI">'[144]Plant &amp;  Machinery'!$G$13</definedName>
    <definedName name="es" localSheetId="28">#REF!</definedName>
    <definedName name="ESP" localSheetId="14">#REF!</definedName>
    <definedName name="ESP" localSheetId="8">#REF!</definedName>
    <definedName name="ESP" localSheetId="10">#REF!</definedName>
    <definedName name="ESP" localSheetId="28">#REF!</definedName>
    <definedName name="ESP">#REF!</definedName>
    <definedName name="est" localSheetId="33">#REF!</definedName>
    <definedName name="est" localSheetId="34">#REF!</definedName>
    <definedName name="est" localSheetId="37">#REF!</definedName>
    <definedName name="EST">#REF!</definedName>
    <definedName name="ESTT" localSheetId="8">#REF!</definedName>
    <definedName name="ESTT" localSheetId="10">#REF!</definedName>
    <definedName name="ESTT" localSheetId="28">#REF!</definedName>
    <definedName name="ESTT">#REF!</definedName>
    <definedName name="EW" localSheetId="37">[67]maya!$A$1:$A$2</definedName>
    <definedName name="EW">[63]maya!$A$1:$A$2</definedName>
    <definedName name="EW_A" localSheetId="37">[55]DATA!$H$32</definedName>
    <definedName name="EW_A">[56]DATA!$H$32</definedName>
    <definedName name="EW_B" localSheetId="37">[55]DATA!$H$37</definedName>
    <definedName name="EW_B">[56]DATA!$H$37</definedName>
    <definedName name="EW_Carting1Km." localSheetId="28">#REF!</definedName>
    <definedName name="EW_SideEarth" localSheetId="28">#REF!</definedName>
    <definedName name="EW_SP">#REF!</definedName>
    <definedName name="EWC" localSheetId="8">#REF!</definedName>
    <definedName name="EWC" localSheetId="10">#REF!</definedName>
    <definedName name="EWC" localSheetId="28">#REF!</definedName>
    <definedName name="EWC">#REF!</definedName>
    <definedName name="EWCONVEYANCE" localSheetId="8">#REF!</definedName>
    <definedName name="EWCONVEYANCE" localSheetId="10">#REF!</definedName>
    <definedName name="EWCONVEYANCE" localSheetId="11">#REF!</definedName>
    <definedName name="EWCONVEYANCE" localSheetId="28">#REF!</definedName>
    <definedName name="EWCONVEYANCE">#REF!</definedName>
    <definedName name="ewe" localSheetId="33">#REF!</definedName>
    <definedName name="ewe" localSheetId="34">#REF!</definedName>
    <definedName name="ewe" localSheetId="5">#REF!</definedName>
    <definedName name="ewe" localSheetId="8">#REF!</definedName>
    <definedName name="ewe" localSheetId="10">#REF!</definedName>
    <definedName name="ewe" localSheetId="11">#REF!</definedName>
    <definedName name="ewe" localSheetId="37">#REF!</definedName>
    <definedName name="ewe" localSheetId="28">#REF!</definedName>
    <definedName name="ewe" localSheetId="42">#REF!</definedName>
    <definedName name="ewe">#REF!</definedName>
    <definedName name="EWSTM">[145]ewst!$E$13:$R$172</definedName>
    <definedName name="ewstmt">[146]bundqty!$E$60:$R$220</definedName>
    <definedName name="EWW" localSheetId="8">#REF!</definedName>
    <definedName name="EWW" localSheetId="10">#REF!</definedName>
    <definedName name="EWW" localSheetId="28">#REF!</definedName>
    <definedName name="EWW">#REF!</definedName>
    <definedName name="excavation" localSheetId="8">#REF!</definedName>
    <definedName name="excavation" localSheetId="10">#REF!</definedName>
    <definedName name="excavation" localSheetId="11">#REF!</definedName>
    <definedName name="excavation" localSheetId="28">#REF!</definedName>
    <definedName name="excavation">#REF!</definedName>
    <definedName name="excavationrate" localSheetId="37">'[147]data existing_do not delete'!$J$2:$J$9</definedName>
    <definedName name="excavationrate">'[148]data existing_do not delete'!$J$2:$J$9</definedName>
    <definedName name="Excel_BuiltIn__FilterDatabase_5" localSheetId="35">#REF!</definedName>
    <definedName name="Excel_BuiltIn__FilterDatabase_5" localSheetId="5">#REF!</definedName>
    <definedName name="Excel_BuiltIn__FilterDatabase_5" localSheetId="8">#REF!</definedName>
    <definedName name="Excel_BuiltIn__FilterDatabase_5" localSheetId="10">#REF!</definedName>
    <definedName name="Excel_BuiltIn__FilterDatabase_5" localSheetId="11">#REF!</definedName>
    <definedName name="Excel_BuiltIn__FilterDatabase_5" localSheetId="28">#REF!</definedName>
    <definedName name="Excel_BuiltIn__FilterDatabase_5" localSheetId="42">#REF!</definedName>
    <definedName name="Excel_BuiltIn__FilterDatabase_5" localSheetId="31">#REF!</definedName>
    <definedName name="Excel_BuiltIn__FilterDatabase_5">#REF!</definedName>
    <definedName name="Excel_BuiltIn__FilterDatabase_6" localSheetId="35">#REF!</definedName>
    <definedName name="Excel_BuiltIn__FilterDatabase_6" localSheetId="5">#REF!</definedName>
    <definedName name="Excel_BuiltIn__FilterDatabase_6" localSheetId="8">#REF!</definedName>
    <definedName name="Excel_BuiltIn__FilterDatabase_6" localSheetId="10">#REF!</definedName>
    <definedName name="Excel_BuiltIn__FilterDatabase_6" localSheetId="11">#REF!</definedName>
    <definedName name="Excel_BuiltIn__FilterDatabase_6" localSheetId="28">#REF!</definedName>
    <definedName name="Excel_BuiltIn__FilterDatabase_6" localSheetId="42">#REF!</definedName>
    <definedName name="Excel_BuiltIn__FilterDatabase_6" localSheetId="31">#REF!</definedName>
    <definedName name="Excel_BuiltIn__FilterDatabase_6">#REF!</definedName>
    <definedName name="Excel_BuiltIn_Database">#N/A</definedName>
    <definedName name="Excel_BuiltIn_Database_23">"$#REF!.$#REF!$#REF!"</definedName>
    <definedName name="Excel_BuiltIn_Database_32">"$#REF!.$#REF!$#REF!"</definedName>
    <definedName name="Excel_BuiltIn_Database_33">"$#REF!.$#REF!$#REF!"</definedName>
    <definedName name="Excel_BuiltIn_Database_34">"$#REF!.$#REF!$#REF!"</definedName>
    <definedName name="Excel_BuiltIn_Database_38">"$#REF!.$#REF!$#REF!"</definedName>
    <definedName name="Excel_BuiltIn_Database_41">"$#REF!.$#REF!$#REF!"</definedName>
    <definedName name="Excel_BuiltIn_Database_43">"$#REF!.$#REF!$#REF!"</definedName>
    <definedName name="Excel_BuiltIn_Database_48">"$#REF!.$#REF!$#REF!"</definedName>
    <definedName name="Excel_BuiltIn_Database_56">"$#REF!.$#REF!$#REF!"</definedName>
    <definedName name="Excel_BuiltIn_Database_57">"$#REF!.$#REF!$#REF!"</definedName>
    <definedName name="Excel_BuiltIn_Database_59">"$#REF!.$#REF!$#REF!"</definedName>
    <definedName name="Excel_BuiltIn_Database_60">"$#REF!.$#REF!$#REF!"</definedName>
    <definedName name="Excel_BuiltIn_Database_61">"$#REF!.$#REF!$#REF!"</definedName>
    <definedName name="Excel_BuiltIn_Database_62">"$#REF!.$#REF!$#REF!"</definedName>
    <definedName name="Excel_BuiltIn_Database_7">"$#REF!.$#REF!$#REF!"</definedName>
    <definedName name="Excel_BuiltIn_Database_72">"$#REF!.$#REF!$#REF!"</definedName>
    <definedName name="Excel_BuiltIn_Database_73">"$#REF!.$#REF!$#REF!"</definedName>
    <definedName name="Excel_BuiltIn_Database_8">"$#REF!.$#REF!$#REF!"</definedName>
    <definedName name="Excel_BuiltIn_Print_Area">#REF!</definedName>
    <definedName name="Excel_BuiltIn_Print_Area_33">"$#REF!.$#REF!$#REF!"</definedName>
    <definedName name="Excel_BuiltIn_Print_Titles">NA()</definedName>
    <definedName name="Excel_BuiltIn_Print_Titles_35">#REF!</definedName>
    <definedName name="Excel_BuiltIn_Print_Titles_40">#REF!</definedName>
    <definedName name="Excel_BuiltIn_Print_Titles_58">#REF!</definedName>
    <definedName name="Excel_BuiltIn_Print_Titles_59">#REF!</definedName>
    <definedName name="f" localSheetId="33">#REF!</definedName>
    <definedName name="f" localSheetId="34">#REF!</definedName>
    <definedName name="f" localSheetId="35">#REF!</definedName>
    <definedName name="f" localSheetId="5">#REF!</definedName>
    <definedName name="f" localSheetId="8">#REF!</definedName>
    <definedName name="f" localSheetId="10">#REF!</definedName>
    <definedName name="f" localSheetId="11">#REF!</definedName>
    <definedName name="f" localSheetId="37">#REF!</definedName>
    <definedName name="f" localSheetId="28">#REF!</definedName>
    <definedName name="f" localSheetId="42">#REF!</definedName>
    <definedName name="f" localSheetId="31">#REF!</definedName>
    <definedName name="f">#REF!</definedName>
    <definedName name="f_33">"$#REF!.$#REF!$#REF!"</definedName>
    <definedName name="f_34">"$#REF!.$#REF!$#REF!"</definedName>
    <definedName name="f_55">"$#REF!.$D$545"</definedName>
    <definedName name="F2a" localSheetId="8">#REF!</definedName>
    <definedName name="F2a" localSheetId="10">#REF!</definedName>
    <definedName name="F2a" localSheetId="28">#REF!</definedName>
    <definedName name="F2a">#REF!</definedName>
    <definedName name="FAB" localSheetId="37">[55]DATA!$H$199</definedName>
    <definedName name="FAB">[56]DATA!$H$199</definedName>
    <definedName name="fabchr" localSheetId="8">#REF!</definedName>
    <definedName name="fabchr" localSheetId="10">#REF!</definedName>
    <definedName name="fabchr" localSheetId="11">#REF!</definedName>
    <definedName name="fabchr" localSheetId="28">#REF!</definedName>
    <definedName name="fabchr">#REF!</definedName>
    <definedName name="fabrication">#REF!</definedName>
    <definedName name="Fax" localSheetId="35">#REF!</definedName>
    <definedName name="Fax" localSheetId="5">#REF!</definedName>
    <definedName name="Fax" localSheetId="8">#REF!</definedName>
    <definedName name="Fax" localSheetId="10">#REF!</definedName>
    <definedName name="Fax" localSheetId="11">#REF!</definedName>
    <definedName name="Fax" localSheetId="28">#REF!</definedName>
    <definedName name="Fax" localSheetId="42">#REF!</definedName>
    <definedName name="Fax" localSheetId="31">#REF!</definedName>
    <definedName name="Fax">#REF!</definedName>
    <definedName name="fb" localSheetId="8">#REF!</definedName>
    <definedName name="fb" localSheetId="10">#REF!</definedName>
    <definedName name="fb" localSheetId="11">#REF!</definedName>
    <definedName name="fb" localSheetId="28">#REF!</definedName>
    <definedName name="fb">#REF!</definedName>
    <definedName name="fbl">#REF!</definedName>
    <definedName name="FC" localSheetId="8">#REF!</definedName>
    <definedName name="FC" localSheetId="10">#REF!</definedName>
    <definedName name="FC" localSheetId="28">#REF!</definedName>
    <definedName name="FC">#REF!</definedName>
    <definedName name="fck">#REF!</definedName>
    <definedName name="FCode" localSheetId="35" hidden="1">#REF!</definedName>
    <definedName name="FCode" localSheetId="5" hidden="1">#REF!</definedName>
    <definedName name="FCode" localSheetId="29" hidden="1">#REF!</definedName>
    <definedName name="FCode" localSheetId="8" hidden="1">#REF!</definedName>
    <definedName name="FCode" localSheetId="10" hidden="1">#REF!</definedName>
    <definedName name="FCode" localSheetId="11" hidden="1">#REF!</definedName>
    <definedName name="FCode" localSheetId="43" hidden="1">#REF!</definedName>
    <definedName name="FCode" localSheetId="27" hidden="1">#REF!</definedName>
    <definedName name="FCode" localSheetId="28" hidden="1">#REF!</definedName>
    <definedName name="FCode" localSheetId="19" hidden="1">#REF!</definedName>
    <definedName name="FCode" localSheetId="42" hidden="1">#REF!</definedName>
    <definedName name="FCode" localSheetId="32" hidden="1">#REF!</definedName>
    <definedName name="FCode" localSheetId="31" hidden="1">#REF!</definedName>
    <definedName name="FCode" localSheetId="9" hidden="1">#REF!</definedName>
    <definedName name="FCode" localSheetId="3" hidden="1">#REF!</definedName>
    <definedName name="FCode" hidden="1">#REF!</definedName>
    <definedName name="fdh" localSheetId="28">#REF!</definedName>
    <definedName name="FDJDSJFDJFLDJF" localSheetId="37">[133]Labour!$D$19</definedName>
    <definedName name="FDJDSJFDJFLDJF">[134]Labour!$D$19</definedName>
    <definedName name="Feeder_Road_Sections">[71]Feeder!$A$1:$L$386</definedName>
    <definedName name="ff" localSheetId="8">#REF!</definedName>
    <definedName name="ff" localSheetId="10">#REF!</definedName>
    <definedName name="ff" localSheetId="28">#REF!</definedName>
    <definedName name="ff">#REF!</definedName>
    <definedName name="fff" localSheetId="8">#REF!</definedName>
    <definedName name="fff" localSheetId="10">#REF!</definedName>
    <definedName name="fff" localSheetId="28">#REF!</definedName>
    <definedName name="fff">#REF!</definedName>
    <definedName name="ffff" localSheetId="8">#REF!</definedName>
    <definedName name="ffff" localSheetId="10">#REF!</definedName>
    <definedName name="ffff" localSheetId="28">#REF!</definedName>
    <definedName name="ffff">#REF!</definedName>
    <definedName name="fffff" localSheetId="28">#REF!</definedName>
    <definedName name="ffffffff" localSheetId="8">#REF!</definedName>
    <definedName name="ffffffff" localSheetId="10">#REF!</definedName>
    <definedName name="ffffffff" localSheetId="28">#REF!</definedName>
    <definedName name="ffffffff">#REF!</definedName>
    <definedName name="ffffffffffffffffffffff" localSheetId="8">#REF!</definedName>
    <definedName name="ffffffffffffffffffffff" localSheetId="10">#REF!</definedName>
    <definedName name="ffffffffffffffffffffff" localSheetId="28">#REF!</definedName>
    <definedName name="ffffffffffffffffffffff">#REF!</definedName>
    <definedName name="fffffffffffffffffffffff" localSheetId="14" hidden="1">{"'ridftotal'!$A$4:$S$27"}</definedName>
    <definedName name="fffffffffffffffffffffff" localSheetId="28" hidden="1">{"'ridftotal'!$A$4:$S$27"}</definedName>
    <definedName name="fffffffffffffffffffffff" hidden="1">{"'ridftotal'!$A$4:$S$27"}</definedName>
    <definedName name="fffffffffffffffffffffffffffffffff" localSheetId="8" hidden="1">#REF!</definedName>
    <definedName name="fffffffffffffffffffffffffffffffff" localSheetId="10" hidden="1">#REF!</definedName>
    <definedName name="fffffffffffffffffffffffffffffffff" localSheetId="28" hidden="1">#REF!</definedName>
    <definedName name="fffffffffffffffffffffffffffffffff" hidden="1">#REF!</definedName>
    <definedName name="ffffsafsafsf">#REF!</definedName>
    <definedName name="ffghf">#REF!</definedName>
    <definedName name="fg">[119]Material!$D$110</definedName>
    <definedName name="FGD" localSheetId="14" hidden="1">{"'ridftotal'!$A$4:$S$27"}</definedName>
    <definedName name="FGD" localSheetId="11" hidden="1">{"'ridftotal'!$A$4:$S$27"}</definedName>
    <definedName name="FGD" localSheetId="37" hidden="1">{"'ridftotal'!$A$4:$S$27"}</definedName>
    <definedName name="FGD" localSheetId="46" hidden="1">{"'ridftotal'!$A$4:$S$27"}</definedName>
    <definedName name="FGD" localSheetId="28" hidden="1">{"'ridftotal'!$A$4:$S$27"}</definedName>
    <definedName name="FGD" localSheetId="19" hidden="1">{"'ridftotal'!$A$4:$S$27"}</definedName>
    <definedName name="FGD" localSheetId="42" hidden="1">{"'ridftotal'!$A$4:$S$27"}</definedName>
    <definedName name="FGD" localSheetId="9" hidden="1">{"'ridftotal'!$A$4:$S$27"}</definedName>
    <definedName name="FGD" localSheetId="3" hidden="1">{"'ridftotal'!$A$4:$S$27"}</definedName>
    <definedName name="FGD" hidden="1">{"'ridftotal'!$A$4:$S$27"}</definedName>
    <definedName name="fgdfgdfgdf">[38]v!$A$2:$E$51</definedName>
    <definedName name="FGHH" localSheetId="14" hidden="1">{"'ridftotal'!$A$4:$S$27"}</definedName>
    <definedName name="FGHH" localSheetId="11" hidden="1">{"'ridftotal'!$A$4:$S$27"}</definedName>
    <definedName name="FGHH" localSheetId="37" hidden="1">{"'ridftotal'!$A$4:$S$27"}</definedName>
    <definedName name="FGHH" localSheetId="46" hidden="1">{"'ridftotal'!$A$4:$S$27"}</definedName>
    <definedName name="FGHH" localSheetId="28" hidden="1">{"'ridftotal'!$A$4:$S$27"}</definedName>
    <definedName name="FGHH" localSheetId="19" hidden="1">{"'ridftotal'!$A$4:$S$27"}</definedName>
    <definedName name="FGHH" localSheetId="42" hidden="1">{"'ridftotal'!$A$4:$S$27"}</definedName>
    <definedName name="FGHH" localSheetId="9" hidden="1">{"'ridftotal'!$A$4:$S$27"}</definedName>
    <definedName name="FGHH" localSheetId="3" hidden="1">{"'ridftotal'!$A$4:$S$27"}</definedName>
    <definedName name="FGHH" hidden="1">{"'ridftotal'!$A$4:$S$27"}</definedName>
    <definedName name="fgkhj">#REF!</definedName>
    <definedName name="fglhkohpiyohpy">#REF!</definedName>
    <definedName name="fgsdgh">[149]Labour!$D$15</definedName>
    <definedName name="FGTY" localSheetId="37">[143]Material!$D$79</definedName>
    <definedName name="FGTY">[144]Material!$D$79</definedName>
    <definedName name="FGTYU" localSheetId="37">[143]Labour!$D$19</definedName>
    <definedName name="FGTYU">[144]Labour!$D$19</definedName>
    <definedName name="FI" localSheetId="14">#REF!</definedName>
    <definedName name="FI" localSheetId="8">#REF!</definedName>
    <definedName name="FI" localSheetId="10">#REF!</definedName>
    <definedName name="FI" localSheetId="28">#REF!</definedName>
    <definedName name="FI">#REF!</definedName>
    <definedName name="FII" localSheetId="14">#REF!</definedName>
    <definedName name="FII" localSheetId="8">#REF!</definedName>
    <definedName name="FII" localSheetId="10">#REF!</definedName>
    <definedName name="FII" localSheetId="28">#REF!</definedName>
    <definedName name="FII">#REF!</definedName>
    <definedName name="FIII" localSheetId="14">#REF!</definedName>
    <definedName name="FIII" localSheetId="8">#REF!</definedName>
    <definedName name="FIII" localSheetId="10">#REF!</definedName>
    <definedName name="FIII" localSheetId="28">#REF!</definedName>
    <definedName name="FIII">#REF!</definedName>
    <definedName name="filling_earth" localSheetId="8">#REF!</definedName>
    <definedName name="filling_earth" localSheetId="10">#REF!</definedName>
    <definedName name="filling_earth" localSheetId="11">#REF!</definedName>
    <definedName name="filling_earth" localSheetId="28">#REF!</definedName>
    <definedName name="filling_earth">#REF!</definedName>
    <definedName name="filling_gravel" localSheetId="8">#REF!</definedName>
    <definedName name="filling_gravel" localSheetId="10">#REF!</definedName>
    <definedName name="filling_gravel" localSheetId="11">#REF!</definedName>
    <definedName name="filling_gravel" localSheetId="28">#REF!</definedName>
    <definedName name="filling_gravel">#REF!</definedName>
    <definedName name="fillingsand">#REF!</definedName>
    <definedName name="FilterMedia" localSheetId="28">#REF!</definedName>
    <definedName name="fineaggregate" localSheetId="8">#REF!</definedName>
    <definedName name="fineaggregate" localSheetId="10">#REF!</definedName>
    <definedName name="fineaggregate" localSheetId="11">#REF!</definedName>
    <definedName name="fineaggregate" localSheetId="28">#REF!</definedName>
    <definedName name="fineaggregate">#REF!</definedName>
    <definedName name="finished" localSheetId="33">#REF!</definedName>
    <definedName name="finished" localSheetId="34">#REF!</definedName>
    <definedName name="finished" localSheetId="35">#REF!</definedName>
    <definedName name="finished" localSheetId="5">#REF!</definedName>
    <definedName name="finished" localSheetId="8">#REF!</definedName>
    <definedName name="finished" localSheetId="10">#REF!</definedName>
    <definedName name="finished" localSheetId="11">#REF!</definedName>
    <definedName name="finished" localSheetId="37">#REF!</definedName>
    <definedName name="finished" localSheetId="28">#REF!</definedName>
    <definedName name="finished" localSheetId="42">#REF!</definedName>
    <definedName name="finished" localSheetId="31">#REF!</definedName>
    <definedName name="finished">#REF!</definedName>
    <definedName name="finished_33">"$#REF!.$#REF!$#REF!"</definedName>
    <definedName name="finished_34">"$#REF!.$#REF!$#REF!"</definedName>
    <definedName name="FIV" localSheetId="8">#REF!</definedName>
    <definedName name="FIV" localSheetId="10">#REF!</definedName>
    <definedName name="FIV" localSheetId="28">#REF!</definedName>
    <definedName name="FIV">#REF!</definedName>
    <definedName name="fiw" localSheetId="35">#REF!</definedName>
    <definedName name="fiw" localSheetId="5">#REF!</definedName>
    <definedName name="fiw" localSheetId="8">#REF!</definedName>
    <definedName name="fiw" localSheetId="10">#REF!</definedName>
    <definedName name="fiw" localSheetId="11">#REF!</definedName>
    <definedName name="fiw" localSheetId="28">#REF!</definedName>
    <definedName name="fiw" localSheetId="42">#REF!</definedName>
    <definedName name="fiw" localSheetId="31">#REF!</definedName>
    <definedName name="fiw">#REF!</definedName>
    <definedName name="FL">[90]Intput!$L$9</definedName>
    <definedName name="floor_ceramic" localSheetId="8">#REF!</definedName>
    <definedName name="floor_ceramic" localSheetId="10">#REF!</definedName>
    <definedName name="floor_ceramic" localSheetId="11">#REF!</definedName>
    <definedName name="floor_ceramic" localSheetId="28">#REF!</definedName>
    <definedName name="floor_ceramic">#REF!</definedName>
    <definedName name="floor_chequered" localSheetId="8">#REF!</definedName>
    <definedName name="floor_chequered" localSheetId="10">#REF!</definedName>
    <definedName name="floor_chequered" localSheetId="11">#REF!</definedName>
    <definedName name="floor_chequered" localSheetId="28">#REF!</definedName>
    <definedName name="floor_chequered">#REF!</definedName>
    <definedName name="floor_kadapa" localSheetId="8">#REF!</definedName>
    <definedName name="floor_kadapa" localSheetId="10">#REF!</definedName>
    <definedName name="floor_kadapa" localSheetId="11">#REF!</definedName>
    <definedName name="floor_kadapa" localSheetId="28">#REF!</definedName>
    <definedName name="floor_kadapa">#REF!</definedName>
    <definedName name="floor_shahbad" localSheetId="8">#REF!</definedName>
    <definedName name="floor_shahbad" localSheetId="10">#REF!</definedName>
    <definedName name="floor_shahbad" localSheetId="11">#REF!</definedName>
    <definedName name="floor_shahbad" localSheetId="28">#REF!</definedName>
    <definedName name="floor_shahbad">#REF!</definedName>
    <definedName name="flushpointing" localSheetId="28">#REF!</definedName>
    <definedName name="fma" localSheetId="28">#REF!</definedName>
    <definedName name="FoundConc" localSheetId="37">[67]maya!$A$3:$A$6</definedName>
    <definedName name="FoundConc">[63]maya!$A$3:$A$6</definedName>
    <definedName name="fp">#REF!</definedName>
    <definedName name="fpaint" localSheetId="28">#REF!</definedName>
    <definedName name="fred" localSheetId="37">[111]maya!$A$11:$A$18</definedName>
    <definedName name="fred">[112]maya!$A$11:$A$18</definedName>
    <definedName name="fresh" localSheetId="37">[150]r!$F$30</definedName>
    <definedName name="fresh">[151]r!$F$30</definedName>
    <definedName name="fresh_33" localSheetId="28">#REF!</definedName>
    <definedName name="fresh_34">#REF!</definedName>
    <definedName name="frlvl">[90]Intput!$L$6</definedName>
    <definedName name="FRTG" localSheetId="37">[143]Labour!$D$5</definedName>
    <definedName name="FRTG">[144]Labour!$D$5</definedName>
    <definedName name="frty" localSheetId="37">'[143]Plant &amp;  Machinery'!$G$4</definedName>
    <definedName name="frty">'[144]Plant &amp;  Machinery'!$G$4</definedName>
    <definedName name="fryasa">#REF!</definedName>
    <definedName name="fsc" localSheetId="28">#REF!</definedName>
    <definedName name="fsfff">#REF!</definedName>
    <definedName name="fsfsf">#REF!</definedName>
    <definedName name="fsgh" localSheetId="28">#REF!</definedName>
    <definedName name="FV" localSheetId="14">#REF!</definedName>
    <definedName name="FV" localSheetId="8">#REF!</definedName>
    <definedName name="FV" localSheetId="10">#REF!</definedName>
    <definedName name="FV" localSheetId="28">#REF!</definedName>
    <definedName name="FV">#REF!</definedName>
    <definedName name="FW" localSheetId="35">#REF!</definedName>
    <definedName name="FW" localSheetId="5">#REF!</definedName>
    <definedName name="FW" localSheetId="8">#REF!</definedName>
    <definedName name="FW" localSheetId="10">#REF!</definedName>
    <definedName name="FW" localSheetId="11">#REF!</definedName>
    <definedName name="FW" localSheetId="28">#REF!</definedName>
    <definedName name="FW" localSheetId="42">#REF!</definedName>
    <definedName name="FW" localSheetId="31">#REF!</definedName>
    <definedName name="FW">#REF!</definedName>
    <definedName name="fytfdss">#REF!</definedName>
    <definedName name="g" localSheetId="33">#REF!</definedName>
    <definedName name="g" localSheetId="34">#REF!</definedName>
    <definedName name="g" localSheetId="35">#REF!</definedName>
    <definedName name="g" localSheetId="5">#REF!</definedName>
    <definedName name="g" localSheetId="8">#REF!</definedName>
    <definedName name="g" localSheetId="10">#REF!</definedName>
    <definedName name="g" localSheetId="11">#REF!</definedName>
    <definedName name="g" localSheetId="37">#REF!</definedName>
    <definedName name="g" localSheetId="28">#REF!</definedName>
    <definedName name="g" localSheetId="42">#REF!</definedName>
    <definedName name="g" localSheetId="31">#REF!</definedName>
    <definedName name="g">#REF!</definedName>
    <definedName name="g_33">"$#REF!.$#REF!$#REF!"</definedName>
    <definedName name="g_34">"$#REF!.$#REF!$#REF!"</definedName>
    <definedName name="g_56">"$#REF!.$D$545"</definedName>
    <definedName name="g_lead" localSheetId="33">#REF!</definedName>
    <definedName name="g_lead" localSheetId="34">#REF!</definedName>
    <definedName name="g_lead" localSheetId="5">#REF!</definedName>
    <definedName name="g_lead" localSheetId="8">#REF!</definedName>
    <definedName name="g_lead" localSheetId="10">#REF!</definedName>
    <definedName name="g_lead" localSheetId="37">#REF!</definedName>
    <definedName name="g_lead" localSheetId="28">#REF!</definedName>
    <definedName name="g_lead" localSheetId="42">#REF!</definedName>
    <definedName name="g_lead">#REF!</definedName>
    <definedName name="gagan" localSheetId="37">[141]Material!$D$113</definedName>
    <definedName name="gagan">[142]Material!$D$113</definedName>
    <definedName name="gcv" localSheetId="37">[152]maya!$A$71:$A$98</definedName>
    <definedName name="gcv">[153]maya!$A$71:$A$98</definedName>
    <definedName name="gdgdhdhdfhdhdhdh" localSheetId="8">#REF!</definedName>
    <definedName name="gdgdhdhdfhdhdhdh" localSheetId="10">#REF!</definedName>
    <definedName name="gdgdhdhdfhdhdhdh" localSheetId="28">#REF!</definedName>
    <definedName name="gdgdhdhdfhdhdhdh">#REF!</definedName>
    <definedName name="gf" localSheetId="37">[103]Sheet1!$B$120:$B$243</definedName>
    <definedName name="gf">[104]Sheet1!$B$120:$B$243</definedName>
    <definedName name="gg">'[154]Plant &amp;  Machinery'!$G$53</definedName>
    <definedName name="ggg">[155]sectorwise!$A$1:$R$23</definedName>
    <definedName name="gggg" localSheetId="8">#REF!</definedName>
    <definedName name="gggg" localSheetId="10">#REF!</definedName>
    <definedName name="gggg" localSheetId="28">#REF!</definedName>
    <definedName name="gggg">#REF!</definedName>
    <definedName name="gh" localSheetId="37">[156]Material!$D$146</definedName>
    <definedName name="gh">[142]Material!$D$146</definedName>
    <definedName name="ghggh">#REF!</definedName>
    <definedName name="GHGHF" localSheetId="37">[143]Material!$D$51</definedName>
    <definedName name="GHGHF">[144]Material!$D$51</definedName>
    <definedName name="ghghghgrt">#REF!</definedName>
    <definedName name="GHHH" localSheetId="37">[143]Material!$D$129</definedName>
    <definedName name="GHHH">[144]Material!$D$129</definedName>
    <definedName name="GHJK" localSheetId="14" hidden="1">{"'ridftotal'!$A$4:$S$27"}</definedName>
    <definedName name="GHJK" localSheetId="11" hidden="1">{"'ridftotal'!$A$4:$S$27"}</definedName>
    <definedName name="GHJK" localSheetId="37" hidden="1">{"'ridftotal'!$A$4:$S$27"}</definedName>
    <definedName name="GHJK" localSheetId="46" hidden="1">{"'ridftotal'!$A$4:$S$27"}</definedName>
    <definedName name="GHJK" localSheetId="28" hidden="1">{"'ridftotal'!$A$4:$S$27"}</definedName>
    <definedName name="GHJK" localSheetId="19" hidden="1">{"'ridftotal'!$A$4:$S$27"}</definedName>
    <definedName name="GHJK" localSheetId="42" hidden="1">{"'ridftotal'!$A$4:$S$27"}</definedName>
    <definedName name="GHJK" localSheetId="9" hidden="1">{"'ridftotal'!$A$4:$S$27"}</definedName>
    <definedName name="GHJK" localSheetId="3" hidden="1">{"'ridftotal'!$A$4:$S$27"}</definedName>
    <definedName name="GHJK" hidden="1">{"'ridftotal'!$A$4:$S$27"}</definedName>
    <definedName name="GHJKJK" localSheetId="14" hidden="1">{"'ridftotal'!$A$4:$S$27"}</definedName>
    <definedName name="GHJKJK" localSheetId="11" hidden="1">{"'ridftotal'!$A$4:$S$27"}</definedName>
    <definedName name="GHJKJK" localSheetId="37" hidden="1">{"'ridftotal'!$A$4:$S$27"}</definedName>
    <definedName name="GHJKJK" localSheetId="46" hidden="1">{"'ridftotal'!$A$4:$S$27"}</definedName>
    <definedName name="GHJKJK" localSheetId="28" hidden="1">{"'ridftotal'!$A$4:$S$27"}</definedName>
    <definedName name="GHJKJK" localSheetId="19" hidden="1">{"'ridftotal'!$A$4:$S$27"}</definedName>
    <definedName name="GHJKJK" localSheetId="42" hidden="1">{"'ridftotal'!$A$4:$S$27"}</definedName>
    <definedName name="GHJKJK" localSheetId="9" hidden="1">{"'ridftotal'!$A$4:$S$27"}</definedName>
    <definedName name="GHJKJK" localSheetId="3" hidden="1">{"'ridftotal'!$A$4:$S$27"}</definedName>
    <definedName name="GHJKJK" hidden="1">{"'ridftotal'!$A$4:$S$27"}</definedName>
    <definedName name="ghsh">[149]Labour!$D$18</definedName>
    <definedName name="GI" localSheetId="8">#REF!</definedName>
    <definedName name="GI" localSheetId="10">#REF!</definedName>
    <definedName name="GI" localSheetId="11">#REF!</definedName>
    <definedName name="GI" localSheetId="28">#REF!</definedName>
    <definedName name="GI">#REF!</definedName>
    <definedName name="giall">[94]Sheet1!$B$120:$B$243</definedName>
    <definedName name="gib" localSheetId="8">#REF!</definedName>
    <definedName name="gib" localSheetId="10">#REF!</definedName>
    <definedName name="gib" localSheetId="11">#REF!</definedName>
    <definedName name="gib" localSheetId="28">#REF!</definedName>
    <definedName name="gib">#REF!</definedName>
    <definedName name="GIbend" localSheetId="33">#REF!</definedName>
    <definedName name="GIbend" localSheetId="34">#REF!</definedName>
    <definedName name="GIbend" localSheetId="5">#REF!</definedName>
    <definedName name="GIbend" localSheetId="8">#REF!</definedName>
    <definedName name="GIbend" localSheetId="10">#REF!</definedName>
    <definedName name="GIbend" localSheetId="37">#REF!</definedName>
    <definedName name="GIbend" localSheetId="28">#REF!</definedName>
    <definedName name="GIbend" localSheetId="42">#REF!</definedName>
    <definedName name="GIbend">#REF!</definedName>
    <definedName name="GIcoupling" localSheetId="33">#REF!</definedName>
    <definedName name="GIcoupling" localSheetId="34">#REF!</definedName>
    <definedName name="GIcoupling" localSheetId="5">#REF!</definedName>
    <definedName name="GIcoupling" localSheetId="8">#REF!</definedName>
    <definedName name="GIcoupling" localSheetId="10">#REF!</definedName>
    <definedName name="GIcoupling" localSheetId="37">#REF!</definedName>
    <definedName name="GIcoupling" localSheetId="28">#REF!</definedName>
    <definedName name="GIcoupling" localSheetId="42">#REF!</definedName>
    <definedName name="GIcoupling">#REF!</definedName>
    <definedName name="GIelbow" localSheetId="33">#REF!</definedName>
    <definedName name="GIelbow" localSheetId="34">#REF!</definedName>
    <definedName name="GIelbow" localSheetId="5">#REF!</definedName>
    <definedName name="GIelbow" localSheetId="8">#REF!</definedName>
    <definedName name="GIelbow" localSheetId="10">#REF!</definedName>
    <definedName name="GIelbow" localSheetId="28">#REF!</definedName>
    <definedName name="GIelbow" localSheetId="42">#REF!</definedName>
    <definedName name="GIelbow">#REF!</definedName>
    <definedName name="GInipple" localSheetId="33">#REF!</definedName>
    <definedName name="GInipple" localSheetId="34">#REF!</definedName>
    <definedName name="GInipple" localSheetId="5">#REF!</definedName>
    <definedName name="GInipple" localSheetId="8">#REF!</definedName>
    <definedName name="GInipple" localSheetId="10">#REF!</definedName>
    <definedName name="GInipple" localSheetId="28">#REF!</definedName>
    <definedName name="GInipple" localSheetId="42">#REF!</definedName>
    <definedName name="GInipple">#REF!</definedName>
    <definedName name="GIreducedTee" localSheetId="33">#REF!</definedName>
    <definedName name="GIreducedTee" localSheetId="34">#REF!</definedName>
    <definedName name="GIreducedTee" localSheetId="5">#REF!</definedName>
    <definedName name="GIreducedTee" localSheetId="8">#REF!</definedName>
    <definedName name="GIreducedTee" localSheetId="10">#REF!</definedName>
    <definedName name="GIreducedTee" localSheetId="28">#REF!</definedName>
    <definedName name="GIreducedTee" localSheetId="42">#REF!</definedName>
    <definedName name="GIreducedTee">#REF!</definedName>
    <definedName name="GIreducer" localSheetId="33">#REF!</definedName>
    <definedName name="GIreducer" localSheetId="34">#REF!</definedName>
    <definedName name="GIreducer" localSheetId="5">#REF!</definedName>
    <definedName name="GIreducer" localSheetId="8">#REF!</definedName>
    <definedName name="GIreducer" localSheetId="10">#REF!</definedName>
    <definedName name="GIreducer" localSheetId="28">#REF!</definedName>
    <definedName name="GIreducer" localSheetId="42">#REF!</definedName>
    <definedName name="GIreducer">#REF!</definedName>
    <definedName name="GIspecial" localSheetId="33">#REF!</definedName>
    <definedName name="GIspecial" localSheetId="34">#REF!</definedName>
    <definedName name="GIspecial" localSheetId="5">#REF!</definedName>
    <definedName name="GIspecial" localSheetId="8">#REF!</definedName>
    <definedName name="GIspecial" localSheetId="10">#REF!</definedName>
    <definedName name="GIspecial" localSheetId="28">#REF!</definedName>
    <definedName name="GIspecial" localSheetId="42">#REF!</definedName>
    <definedName name="GIspecial">#REF!</definedName>
    <definedName name="gispecials">[94]Sheet1!$B$120:$B$234</definedName>
    <definedName name="GIunion" localSheetId="33">#REF!</definedName>
    <definedName name="GIunion" localSheetId="34">#REF!</definedName>
    <definedName name="GIunion" localSheetId="5">#REF!</definedName>
    <definedName name="GIunion" localSheetId="8">#REF!</definedName>
    <definedName name="GIunion" localSheetId="10">#REF!</definedName>
    <definedName name="GIunion" localSheetId="37">#REF!</definedName>
    <definedName name="GIunion" localSheetId="28">#REF!</definedName>
    <definedName name="GIunion" localSheetId="42">#REF!</definedName>
    <definedName name="GIunion">#REF!</definedName>
    <definedName name="gj" localSheetId="8">#REF!</definedName>
    <definedName name="gj" localSheetId="10">#REF!</definedName>
    <definedName name="gj" localSheetId="28">#REF!</definedName>
    <definedName name="gj">#REF!</definedName>
    <definedName name="GL" localSheetId="8">#REF!</definedName>
    <definedName name="GL" localSheetId="10">#REF!</definedName>
    <definedName name="GL" localSheetId="28">#REF!</definedName>
    <definedName name="GL">#REF!</definedName>
    <definedName name="Glazed_coloured_tiles_for_Dadooing" localSheetId="8">#REF!</definedName>
    <definedName name="Glazed_coloured_tiles_for_Dadooing" localSheetId="10">#REF!</definedName>
    <definedName name="Glazed_coloured_tiles_for_Dadooing" localSheetId="11">#REF!</definedName>
    <definedName name="Glazed_coloured_tiles_for_Dadooing" localSheetId="28">#REF!</definedName>
    <definedName name="Glazed_coloured_tiles_for_Dadooing">#REF!</definedName>
    <definedName name="GLOADING" localSheetId="33">#REF!</definedName>
    <definedName name="GLOADING" localSheetId="34">#REF!</definedName>
    <definedName name="GLOADING" localSheetId="5">#REF!</definedName>
    <definedName name="GLOADING" localSheetId="8">#REF!</definedName>
    <definedName name="GLOADING" localSheetId="10">#REF!</definedName>
    <definedName name="GLOADING" localSheetId="37">#REF!</definedName>
    <definedName name="GLOADING" localSheetId="28">#REF!</definedName>
    <definedName name="GLOADING" localSheetId="42">#REF!</definedName>
    <definedName name="GLOADING">#REF!</definedName>
    <definedName name="GMgateValve" localSheetId="33">#REF!</definedName>
    <definedName name="GMgateValve" localSheetId="34">#REF!</definedName>
    <definedName name="GMgateValve" localSheetId="5">#REF!</definedName>
    <definedName name="GMgateValve" localSheetId="8">#REF!</definedName>
    <definedName name="GMgateValve" localSheetId="10">#REF!</definedName>
    <definedName name="GMgateValve" localSheetId="28">#REF!</definedName>
    <definedName name="GMgateValve" localSheetId="42">#REF!</definedName>
    <definedName name="GMgateValve">#REF!</definedName>
    <definedName name="GN" localSheetId="14" hidden="1">{"'ridftotal'!$A$4:$S$27"}</definedName>
    <definedName name="GN" localSheetId="11" hidden="1">{"'ridftotal'!$A$4:$S$27"}</definedName>
    <definedName name="GN" localSheetId="37" hidden="1">{"'ridftotal'!$A$4:$S$27"}</definedName>
    <definedName name="GN" localSheetId="46" hidden="1">{"'ridftotal'!$A$4:$S$27"}</definedName>
    <definedName name="GN" localSheetId="28" hidden="1">{"'ridftotal'!$A$4:$S$27"}</definedName>
    <definedName name="GN" localSheetId="19" hidden="1">{"'ridftotal'!$A$4:$S$27"}</definedName>
    <definedName name="GN" localSheetId="42" hidden="1">{"'ridftotal'!$A$4:$S$27"}</definedName>
    <definedName name="GN" localSheetId="9" hidden="1">{"'ridftotal'!$A$4:$S$27"}</definedName>
    <definedName name="GN" localSheetId="3" hidden="1">{"'ridftotal'!$A$4:$S$27"}</definedName>
    <definedName name="GN" hidden="1">{"'ridftotal'!$A$4:$S$27"}</definedName>
    <definedName name="goo" localSheetId="33">#REF!</definedName>
    <definedName name="goo" localSheetId="34">#REF!</definedName>
    <definedName name="goo" localSheetId="35">#REF!</definedName>
    <definedName name="goo" localSheetId="5">#REF!</definedName>
    <definedName name="goo" localSheetId="8">#REF!</definedName>
    <definedName name="goo" localSheetId="10">#REF!</definedName>
    <definedName name="goo" localSheetId="11">#REF!</definedName>
    <definedName name="goo" localSheetId="28">#REF!</definedName>
    <definedName name="goo" localSheetId="42">#REF!</definedName>
    <definedName name="goo" localSheetId="31">#REF!</definedName>
    <definedName name="goo">#REF!</definedName>
    <definedName name="GOPA">#REF!</definedName>
    <definedName name="GOTLS" localSheetId="37">[157]Sheet1!$B$120:$B$234</definedName>
    <definedName name="GOTLS">[158]Sheet1!$B$120:$B$234</definedName>
    <definedName name="gp">#REF!</definedName>
    <definedName name="GPC" localSheetId="35">#REF!</definedName>
    <definedName name="GPC" localSheetId="5">#REF!</definedName>
    <definedName name="GPC" localSheetId="8">#REF!</definedName>
    <definedName name="GPC" localSheetId="10">#REF!</definedName>
    <definedName name="GPC" localSheetId="11">#REF!</definedName>
    <definedName name="GPC" localSheetId="28">#REF!</definedName>
    <definedName name="GPC" localSheetId="42">#REF!</definedName>
    <definedName name="GPC" localSheetId="31">#REF!</definedName>
    <definedName name="GPC">#REF!</definedName>
    <definedName name="GPname" localSheetId="35">#REF!</definedName>
    <definedName name="GPname" localSheetId="5">#REF!</definedName>
    <definedName name="GPname" localSheetId="8">#REF!</definedName>
    <definedName name="GPname" localSheetId="10">#REF!</definedName>
    <definedName name="GPname" localSheetId="11">#REF!</definedName>
    <definedName name="GPname" localSheetId="28">#REF!</definedName>
    <definedName name="GPname" localSheetId="42">#REF!</definedName>
    <definedName name="GPname" localSheetId="31">#REF!</definedName>
    <definedName name="GPname">#REF!</definedName>
    <definedName name="grade1" localSheetId="33">#REF!</definedName>
    <definedName name="grade1" localSheetId="34">#REF!</definedName>
    <definedName name="grade1" localSheetId="5">#REF!</definedName>
    <definedName name="grade1" localSheetId="8">#REF!</definedName>
    <definedName name="grade1" localSheetId="10">#REF!</definedName>
    <definedName name="grade1" localSheetId="37">#REF!</definedName>
    <definedName name="grade1" localSheetId="28">#REF!</definedName>
    <definedName name="grade1" localSheetId="42">#REF!</definedName>
    <definedName name="grade1">#REF!</definedName>
    <definedName name="grade2" localSheetId="33">#REF!</definedName>
    <definedName name="grade2" localSheetId="34">#REF!</definedName>
    <definedName name="grade2" localSheetId="5">#REF!</definedName>
    <definedName name="grade2" localSheetId="8">#REF!</definedName>
    <definedName name="grade2" localSheetId="10">#REF!</definedName>
    <definedName name="grade2" localSheetId="37">#REF!</definedName>
    <definedName name="grade2" localSheetId="28">#REF!</definedName>
    <definedName name="grade2" localSheetId="42">#REF!</definedName>
    <definedName name="grade2">#REF!</definedName>
    <definedName name="grade3" localSheetId="33">#REF!</definedName>
    <definedName name="grade3" localSheetId="34">#REF!</definedName>
    <definedName name="grade3" localSheetId="5">#REF!</definedName>
    <definedName name="grade3" localSheetId="8">#REF!</definedName>
    <definedName name="grade3" localSheetId="10">#REF!</definedName>
    <definedName name="grade3" localSheetId="37">#REF!</definedName>
    <definedName name="grade3" localSheetId="28">#REF!</definedName>
    <definedName name="grade3" localSheetId="42">#REF!</definedName>
    <definedName name="grade3">#REF!</definedName>
    <definedName name="granolithic_floor" localSheetId="8">#REF!</definedName>
    <definedName name="granolithic_floor" localSheetId="10">#REF!</definedName>
    <definedName name="granolithic_floor" localSheetId="11">#REF!</definedName>
    <definedName name="granolithic_floor" localSheetId="28">#REF!</definedName>
    <definedName name="granolithic_floor">#REF!</definedName>
    <definedName name="grant" localSheetId="35">#REF!</definedName>
    <definedName name="grant" localSheetId="8">#REF!</definedName>
    <definedName name="grant" localSheetId="10">#REF!</definedName>
    <definedName name="grant" localSheetId="11">#REF!</definedName>
    <definedName name="grant" localSheetId="28">#REF!</definedName>
    <definedName name="grant" localSheetId="31">#REF!</definedName>
    <definedName name="grant">#REF!</definedName>
    <definedName name="GRAVEL" localSheetId="33">#REF!</definedName>
    <definedName name="GRAVEL" localSheetId="34">#REF!</definedName>
    <definedName name="gravel" localSheetId="11">#REF!</definedName>
    <definedName name="GRAVEL" localSheetId="37">#REF!</definedName>
    <definedName name="GRAVEL">#REF!</definedName>
    <definedName name="gravel_hc100">#REF!</definedName>
    <definedName name="gravel_hc150">#REF!</definedName>
    <definedName name="gravel_pick">#REF!</definedName>
    <definedName name="gravel_spr100">#REF!</definedName>
    <definedName name="gravel_spr150">#REF!</definedName>
    <definedName name="gravel_stack">#REF!</definedName>
    <definedName name="GravelBacking">#REF!</definedName>
    <definedName name="Grstone" localSheetId="8">#REF!</definedName>
    <definedName name="Grstone" localSheetId="10">#REF!</definedName>
    <definedName name="Grstone" localSheetId="11">#REF!</definedName>
    <definedName name="Grstone" localSheetId="28">#REF!</definedName>
    <definedName name="Grstone">#REF!</definedName>
    <definedName name="gs" localSheetId="8">#REF!</definedName>
    <definedName name="gs" localSheetId="10">#REF!</definedName>
    <definedName name="gs" localSheetId="11">#REF!</definedName>
    <definedName name="gs" localSheetId="28">#REF!</definedName>
    <definedName name="gs">#REF!</definedName>
    <definedName name="gsand">[90]Intput!$L$87</definedName>
    <definedName name="gsb" localSheetId="33">#REF!</definedName>
    <definedName name="gsb" localSheetId="34">#REF!</definedName>
    <definedName name="gsb" localSheetId="35">#REF!</definedName>
    <definedName name="gsb" localSheetId="5">#REF!</definedName>
    <definedName name="gsb" localSheetId="8">#REF!</definedName>
    <definedName name="gsb" localSheetId="10">#REF!</definedName>
    <definedName name="gsb" localSheetId="11">#REF!</definedName>
    <definedName name="gsb" localSheetId="37">#REF!</definedName>
    <definedName name="gsb" localSheetId="28">#REF!</definedName>
    <definedName name="gsb" localSheetId="42">#REF!</definedName>
    <definedName name="gsb" localSheetId="31">#REF!</definedName>
    <definedName name="gsb">#REF!</definedName>
    <definedName name="gsb_23">"$#REF!.$#REF!$#REF!"</definedName>
    <definedName name="gsb_33">"$#REF!.$#REF!$#REF!"</definedName>
    <definedName name="gsb_34">"$#REF!.$#REF!$#REF!"</definedName>
    <definedName name="gsb_38">"$#REF!.$#REF!$#REF!"</definedName>
    <definedName name="gsb_41">"$#REF!.$#REF!$#REF!"</definedName>
    <definedName name="gsb_43">"$#REF!.$#REF!$#REF!"</definedName>
    <definedName name="gsb_48">"$#REF!.$#REF!$#REF!"</definedName>
    <definedName name="gsb_57">"$#REF!.$#REF!$#REF!"</definedName>
    <definedName name="gsb_59">"$#REF!.$#REF!$#REF!"</definedName>
    <definedName name="gsb_60">"$#REF!.$#REF!$#REF!"</definedName>
    <definedName name="gsb_61">"$#REF!.$#REF!$#REF!"</definedName>
    <definedName name="gsb_62">"$#REF!.$#REF!$#REF!"</definedName>
    <definedName name="gsb_7">"$#REF!.$#REF!$#REF!"</definedName>
    <definedName name="gsb_72">"$#REF!.$#REF!$#REF!"</definedName>
    <definedName name="gsb_73">"$#REF!.$#REF!$#REF!"</definedName>
    <definedName name="gsb_8">"$#REF!.$#REF!$#REF!"</definedName>
    <definedName name="GSB_Grading3">#REF!</definedName>
    <definedName name="GSB_Grading3_1">#REF!</definedName>
    <definedName name="GSB_GRAVELnSAND">#REF!</definedName>
    <definedName name="GSB_GRAVELnSTONEDUST">#REF!</definedName>
    <definedName name="GSN" localSheetId="42">#REF!</definedName>
    <definedName name="GSN">#REF!</definedName>
    <definedName name="GSP" localSheetId="37">[55]DATA!$H$233</definedName>
    <definedName name="GSP">[56]DATA!$H$233</definedName>
    <definedName name="gsub">[90]Intput!$L$75</definedName>
    <definedName name="gtrothpfinal" localSheetId="28">#REF!</definedName>
    <definedName name="gtyio" localSheetId="37">[143]Material!$D$70</definedName>
    <definedName name="gtyio">[144]Material!$D$70</definedName>
    <definedName name="GULOADING" localSheetId="33">#REF!</definedName>
    <definedName name="GULOADING" localSheetId="34">#REF!</definedName>
    <definedName name="GULOADING" localSheetId="5">#REF!</definedName>
    <definedName name="GULOADING" localSheetId="8">#REF!</definedName>
    <definedName name="GULOADING" localSheetId="10">#REF!</definedName>
    <definedName name="GULOADING" localSheetId="11">#REF!</definedName>
    <definedName name="GULOADING" localSheetId="37">#REF!</definedName>
    <definedName name="GULOADING" localSheetId="28">#REF!</definedName>
    <definedName name="GULOADING" localSheetId="42">#REF!</definedName>
    <definedName name="GULOADING">#REF!</definedName>
    <definedName name="Gunduvarigudem" localSheetId="33">#REF!</definedName>
    <definedName name="Gunduvarigudem" localSheetId="34">#REF!</definedName>
    <definedName name="Gunduvarigudem" localSheetId="5">#REF!</definedName>
    <definedName name="Gunduvarigudem" localSheetId="8">#REF!</definedName>
    <definedName name="Gunduvarigudem" localSheetId="10">#REF!</definedName>
    <definedName name="Gunduvarigudem" localSheetId="28">#REF!</definedName>
    <definedName name="Gunduvarigudem" localSheetId="42">#REF!</definedName>
    <definedName name="Gunduvarigudem">#REF!</definedName>
    <definedName name="Gunduvarigudem_33">"$#REF!.$#REF!$#REF!"</definedName>
    <definedName name="Gunduvarigudem_38">"$#REF!.$#REF!$#REF!"</definedName>
    <definedName name="Gunduvarigudem_41">"$#REF!.$#REF!$#REF!"</definedName>
    <definedName name="Gunduvarigudem_7">"$#REF!.$#REF!$#REF!"</definedName>
    <definedName name="Gunduvarigudem_8">"$#REF!.$#REF!$#REF!"</definedName>
    <definedName name="GUS">#REF!</definedName>
    <definedName name="GUSUSD" localSheetId="28">#REF!</definedName>
    <definedName name="gyfc" localSheetId="8">#REF!</definedName>
    <definedName name="gyfc" localSheetId="10">#REF!</definedName>
    <definedName name="gyfc" localSheetId="11">#REF!</definedName>
    <definedName name="gyfc" localSheetId="28">#REF!</definedName>
    <definedName name="gyfc">#REF!</definedName>
    <definedName name="gyohj">#REF!</definedName>
    <definedName name="H" localSheetId="14" hidden="1">{"'ridftotal'!$A$4:$S$27"}</definedName>
    <definedName name="h" localSheetId="11">#REF!</definedName>
    <definedName name="H" localSheetId="37" hidden="1">{"'ridftotal'!$A$4:$S$27"}</definedName>
    <definedName name="H" localSheetId="46" hidden="1">{"'ridftotal'!$A$4:$S$27"}</definedName>
    <definedName name="H" localSheetId="28" hidden="1">{"'ridftotal'!$A$4:$S$27"}</definedName>
    <definedName name="H" localSheetId="19" hidden="1">{"'ridftotal'!$A$4:$S$27"}</definedName>
    <definedName name="H" localSheetId="42" hidden="1">{"'ridftotal'!$A$4:$S$27"}</definedName>
    <definedName name="H" localSheetId="9" hidden="1">{"'ridftotal'!$A$4:$S$27"}</definedName>
    <definedName name="H" localSheetId="3" hidden="1">{"'ridftotal'!$A$4:$S$27"}</definedName>
    <definedName name="H" hidden="1">{"'ridftotal'!$A$4:$S$27"}</definedName>
    <definedName name="hab_information" localSheetId="35">#REF!</definedName>
    <definedName name="hab_information" localSheetId="5">#REF!</definedName>
    <definedName name="hab_information" localSheetId="8">#REF!</definedName>
    <definedName name="hab_information" localSheetId="10">#REF!</definedName>
    <definedName name="hab_information" localSheetId="11">#REF!</definedName>
    <definedName name="hab_information" localSheetId="28">#REF!</definedName>
    <definedName name="hab_information" localSheetId="42">#REF!</definedName>
    <definedName name="hab_information" localSheetId="31">#REF!</definedName>
    <definedName name="hab_information">#REF!</definedName>
    <definedName name="Hab_Survey_All_Sources" localSheetId="35">#REF!</definedName>
    <definedName name="Hab_Survey_All_Sources" localSheetId="5">#REF!</definedName>
    <definedName name="Hab_Survey_All_Sources" localSheetId="8">#REF!</definedName>
    <definedName name="Hab_Survey_All_Sources" localSheetId="10">#REF!</definedName>
    <definedName name="Hab_Survey_All_Sources" localSheetId="11">#REF!</definedName>
    <definedName name="Hab_Survey_All_Sources" localSheetId="28">#REF!</definedName>
    <definedName name="Hab_Survey_All_Sources" localSheetId="42">#REF!</definedName>
    <definedName name="Hab_Survey_All_Sources" localSheetId="31">#REF!</definedName>
    <definedName name="Hab_Survey_All_Sources">#REF!</definedName>
    <definedName name="Habitaions_Final" localSheetId="35">#REF!</definedName>
    <definedName name="Habitaions_Final" localSheetId="5">#REF!</definedName>
    <definedName name="Habitaions_Final" localSheetId="8">#REF!</definedName>
    <definedName name="Habitaions_Final" localSheetId="10">#REF!</definedName>
    <definedName name="Habitaions_Final" localSheetId="11">#REF!</definedName>
    <definedName name="Habitaions_Final" localSheetId="28">#REF!</definedName>
    <definedName name="Habitaions_Final" localSheetId="42">#REF!</definedName>
    <definedName name="Habitaions_Final" localSheetId="31">#REF!</definedName>
    <definedName name="Habitaions_Final">#REF!</definedName>
    <definedName name="habs" localSheetId="35">#REF!</definedName>
    <definedName name="habs" localSheetId="5">#REF!</definedName>
    <definedName name="habs" localSheetId="8">#REF!</definedName>
    <definedName name="habs" localSheetId="10">#REF!</definedName>
    <definedName name="habs" localSheetId="28">#REF!</definedName>
    <definedName name="habs" localSheetId="42">#REF!</definedName>
    <definedName name="habs" localSheetId="31">#REF!</definedName>
    <definedName name="habs">#REF!</definedName>
    <definedName name="hai" localSheetId="33">#REF!</definedName>
    <definedName name="hai" localSheetId="34">#REF!</definedName>
    <definedName name="hai" localSheetId="8">#REF!</definedName>
    <definedName name="hai" localSheetId="10">#REF!</definedName>
    <definedName name="hai" localSheetId="11">#REF!</definedName>
    <definedName name="hai" localSheetId="28">#REF!</definedName>
    <definedName name="hai">#REF!</definedName>
    <definedName name="hallo" localSheetId="37">[159]m!$A$2</definedName>
    <definedName name="hallo">[160]m!$A$2</definedName>
    <definedName name="hbgl" localSheetId="8">#REF!</definedName>
    <definedName name="hbgl" localSheetId="10">#REF!</definedName>
    <definedName name="hbgl" localSheetId="11">#REF!</definedName>
    <definedName name="hbgl" localSheetId="28">#REF!</definedName>
    <definedName name="hbgl">#REF!</definedName>
    <definedName name="HC" localSheetId="35">#REF!</definedName>
    <definedName name="HC" localSheetId="5">#REF!</definedName>
    <definedName name="HC" localSheetId="8">#REF!</definedName>
    <definedName name="HC" localSheetId="10">#REF!</definedName>
    <definedName name="HC" localSheetId="11">#REF!</definedName>
    <definedName name="HC" localSheetId="28">#REF!</definedName>
    <definedName name="HC" localSheetId="42">#REF!</definedName>
    <definedName name="HC" localSheetId="31">#REF!</definedName>
    <definedName name="HC">#REF!</definedName>
    <definedName name="hd" localSheetId="8">#REF!</definedName>
    <definedName name="hd" localSheetId="10">#REF!</definedName>
    <definedName name="hd" localSheetId="11">#REF!</definedName>
    <definedName name="hd" localSheetId="28">#REF!</definedName>
    <definedName name="hd">#REF!</definedName>
    <definedName name="HDFGF" localSheetId="33">#REF!</definedName>
    <definedName name="HDFGF" localSheetId="34">#REF!</definedName>
    <definedName name="HDFGF" localSheetId="5">#REF!</definedName>
    <definedName name="HDFGF" localSheetId="8">#REF!</definedName>
    <definedName name="HDFGF" localSheetId="10">#REF!</definedName>
    <definedName name="HDFGF" localSheetId="28">#REF!</definedName>
    <definedName name="HDFGF" localSheetId="42">#REF!</definedName>
    <definedName name="HDFGF">#REF!</definedName>
    <definedName name="HDM_III_INPUT_DATA">'[71]Bitumen trunk'!$BO$1:$DI$196</definedName>
    <definedName name="HDPE">[161]detls!$A$3:$O$18</definedName>
    <definedName name="hdpewts">'[162]hdpe weights'!$B$1:$F$53</definedName>
    <definedName name="hf" localSheetId="8">#REF!</definedName>
    <definedName name="hf" localSheetId="10">#REF!</definedName>
    <definedName name="hf" localSheetId="11">#REF!</definedName>
    <definedName name="hf" localSheetId="28">#REF!</definedName>
    <definedName name="hf">#REF!</definedName>
    <definedName name="hfhf">#REF!</definedName>
    <definedName name="hfl">[90]Intput!$L$8</definedName>
    <definedName name="hggg">[163]Material!$D$17</definedName>
    <definedName name="hgle" localSheetId="8">#REF!</definedName>
    <definedName name="hgle" localSheetId="10">#REF!</definedName>
    <definedName name="hgle" localSheetId="11">#REF!</definedName>
    <definedName name="hgle" localSheetId="37">#REF!</definedName>
    <definedName name="hgle" localSheetId="28">#REF!</definedName>
    <definedName name="hgle">#REF!</definedName>
    <definedName name="hgle1" localSheetId="8">#REF!</definedName>
    <definedName name="hgle1" localSheetId="10">#REF!</definedName>
    <definedName name="hgle1" localSheetId="11">#REF!</definedName>
    <definedName name="hgle1" localSheetId="28">#REF!</definedName>
    <definedName name="hgle1">#REF!</definedName>
    <definedName name="hgtjhcxt">#REF!</definedName>
    <definedName name="HH" localSheetId="8">#REF!</definedName>
    <definedName name="HH" localSheetId="10">#REF!</definedName>
    <definedName name="hh" localSheetId="11">#REF!</definedName>
    <definedName name="HH" localSheetId="28">#REF!</definedName>
    <definedName name="HH">#REF!</definedName>
    <definedName name="hhh" localSheetId="28">#REF!</definedName>
    <definedName name="hhhhhh">#REF!</definedName>
    <definedName name="HI" localSheetId="8">#REF!</definedName>
    <definedName name="HI" localSheetId="10">#REF!</definedName>
    <definedName name="HI" localSheetId="28">#REF!</definedName>
    <definedName name="HI" localSheetId="42">#REF!</definedName>
    <definedName name="HI">#REF!</definedName>
    <definedName name="HiddenRows" localSheetId="35" hidden="1">#REF!</definedName>
    <definedName name="HiddenRows" localSheetId="5" hidden="1">#REF!</definedName>
    <definedName name="HiddenRows" localSheetId="29" hidden="1">#REF!</definedName>
    <definedName name="HiddenRows" localSheetId="8" hidden="1">#REF!</definedName>
    <definedName name="HiddenRows" localSheetId="10" hidden="1">#REF!</definedName>
    <definedName name="HiddenRows" localSheetId="11" hidden="1">#REF!</definedName>
    <definedName name="HiddenRows" localSheetId="43" hidden="1">#REF!</definedName>
    <definedName name="HiddenRows" localSheetId="27" hidden="1">#REF!</definedName>
    <definedName name="HiddenRows" localSheetId="46" hidden="1">#REF!</definedName>
    <definedName name="HiddenRows" localSheetId="28" hidden="1">#REF!</definedName>
    <definedName name="HiddenRows" localSheetId="19" hidden="1">#REF!</definedName>
    <definedName name="HiddenRows" localSheetId="42" hidden="1">#REF!</definedName>
    <definedName name="HiddenRows" localSheetId="32" hidden="1">#REF!</definedName>
    <definedName name="HiddenRows" localSheetId="31" hidden="1">#REF!</definedName>
    <definedName name="HiddenRows" localSheetId="9" hidden="1">#REF!</definedName>
    <definedName name="HiddenRows" localSheetId="3" hidden="1">#REF!</definedName>
    <definedName name="HiddenRows" hidden="1">#REF!</definedName>
    <definedName name="HIFINI" localSheetId="8">#REF!</definedName>
    <definedName name="HIFINI" localSheetId="10">#REF!</definedName>
    <definedName name="HIFINI" localSheetId="28">#REF!</definedName>
    <definedName name="HIFINI" localSheetId="42">#REF!</definedName>
    <definedName name="HIFINI">#REF!</definedName>
    <definedName name="HII" localSheetId="8">#REF!</definedName>
    <definedName name="HII" localSheetId="10">#REF!</definedName>
    <definedName name="HII" localSheetId="28">#REF!</definedName>
    <definedName name="HII">#REF!</definedName>
    <definedName name="HIII" localSheetId="8">#REF!</definedName>
    <definedName name="HIII" localSheetId="10">#REF!</definedName>
    <definedName name="HIII" localSheetId="28">#REF!</definedName>
    <definedName name="HIII">#REF!</definedName>
    <definedName name="his" localSheetId="8">#REF!</definedName>
    <definedName name="his" localSheetId="10">#REF!</definedName>
    <definedName name="his" localSheetId="11">#REF!</definedName>
    <definedName name="his" localSheetId="28">#REF!</definedName>
    <definedName name="his">#REF!</definedName>
    <definedName name="HJ" localSheetId="14" hidden="1">{"'ridftotal'!$A$4:$S$27"}</definedName>
    <definedName name="HJ" localSheetId="11" hidden="1">{"'ridftotal'!$A$4:$S$27"}</definedName>
    <definedName name="HJ" localSheetId="37" hidden="1">{"'ridftotal'!$A$4:$S$27"}</definedName>
    <definedName name="HJ" localSheetId="46" hidden="1">{"'ridftotal'!$A$4:$S$27"}</definedName>
    <definedName name="HJ" localSheetId="28" hidden="1">{"'ridftotal'!$A$4:$S$27"}</definedName>
    <definedName name="HJ" localSheetId="19" hidden="1">{"'ridftotal'!$A$4:$S$27"}</definedName>
    <definedName name="HJ" localSheetId="42" hidden="1">{"'ridftotal'!$A$4:$S$27"}</definedName>
    <definedName name="HJ" localSheetId="9" hidden="1">{"'ridftotal'!$A$4:$S$27"}</definedName>
    <definedName name="HJ" localSheetId="3" hidden="1">{"'ridftotal'!$A$4:$S$27"}</definedName>
    <definedName name="HJ" hidden="1">{"'ridftotal'!$A$4:$S$27"}</definedName>
    <definedName name="hjht">#REF!</definedName>
    <definedName name="HL" localSheetId="8">#REF!</definedName>
    <definedName name="HL" localSheetId="10">#REF!</definedName>
    <definedName name="HL" localSheetId="28">#REF!</definedName>
    <definedName name="HL">#REF!</definedName>
    <definedName name="hmc">#REF!</definedName>
    <definedName name="Hname" localSheetId="35">#REF!</definedName>
    <definedName name="Hname" localSheetId="5">#REF!</definedName>
    <definedName name="Hname" localSheetId="8">#REF!</definedName>
    <definedName name="Hname" localSheetId="10">#REF!</definedName>
    <definedName name="Hname" localSheetId="11">#REF!</definedName>
    <definedName name="Hname" localSheetId="28">#REF!</definedName>
    <definedName name="Hname" localSheetId="42">#REF!</definedName>
    <definedName name="Hname" localSheetId="31">#REF!</definedName>
    <definedName name="Hname">#REF!</definedName>
    <definedName name="hot_maz">#REF!</definedName>
    <definedName name="HP" localSheetId="14">#REF!</definedName>
    <definedName name="HP" localSheetId="8">#REF!</definedName>
    <definedName name="HP" localSheetId="10">#REF!</definedName>
    <definedName name="HP" localSheetId="28">#REF!</definedName>
    <definedName name="HP">#REF!</definedName>
    <definedName name="HPC" localSheetId="37">#REF!</definedName>
    <definedName name="HPC" localSheetId="28">#REF!</definedName>
    <definedName name="HPC">#REF!</definedName>
    <definedName name="HPC1V1000mm" localSheetId="14">#REF!</definedName>
    <definedName name="HPC1V1000mm" localSheetId="8">#REF!</definedName>
    <definedName name="HPC1V1000mm" localSheetId="10">#REF!</definedName>
    <definedName name="HPC1V1000mm" localSheetId="28">#REF!</definedName>
    <definedName name="HPC1V1000mm">#REF!</definedName>
    <definedName name="Hs" localSheetId="8">#REF!</definedName>
    <definedName name="Hs" localSheetId="10">#REF!</definedName>
    <definedName name="Hs" localSheetId="11">#REF!</definedName>
    <definedName name="Hs" localSheetId="28">#REF!</definedName>
    <definedName name="Hs">#REF!</definedName>
    <definedName name="hso" localSheetId="8">#REF!</definedName>
    <definedName name="hso" localSheetId="10">#REF!</definedName>
    <definedName name="hso" localSheetId="11">#REF!</definedName>
    <definedName name="hso" localSheetId="28">#REF!</definedName>
    <definedName name="hso">#REF!</definedName>
    <definedName name="hsp" localSheetId="8">#REF!</definedName>
    <definedName name="hsp" localSheetId="10">#REF!</definedName>
    <definedName name="hsp" localSheetId="11">#REF!</definedName>
    <definedName name="hsp" localSheetId="28">#REF!</definedName>
    <definedName name="hsp">#REF!</definedName>
    <definedName name="Ht" localSheetId="8">#REF!</definedName>
    <definedName name="Ht" localSheetId="10">#REF!</definedName>
    <definedName name="Ht" localSheetId="11">#REF!</definedName>
    <definedName name="Ht" localSheetId="28">#REF!</definedName>
    <definedName name="Ht">#REF!</definedName>
    <definedName name="HTHRI">#REF!</definedName>
    <definedName name="HTML_CodePage" hidden="1">1252</definedName>
    <definedName name="HTML_Control" localSheetId="33" hidden="1">{"'ridftotal'!$A$4:$S$27"}</definedName>
    <definedName name="HTML_Control" localSheetId="34" hidden="1">{"'ridftotal'!$A$4:$S$27"}</definedName>
    <definedName name="HTML_Control" localSheetId="14" hidden="1">{"'ridftotal'!$A$4:$S$27"}</definedName>
    <definedName name="HTML_Control" localSheetId="11" hidden="1">{"'ridftotal'!$A$4:$S$27"}</definedName>
    <definedName name="HTML_Control" localSheetId="37" hidden="1">{"'ridftotal'!$A$4:$S$27"}</definedName>
    <definedName name="HTML_Control" localSheetId="46" hidden="1">{"'ridftotal'!$A$4:$S$27"}</definedName>
    <definedName name="HTML_Control" localSheetId="28" hidden="1">{"'ridftotal'!$A$4:$S$27"}</definedName>
    <definedName name="HTML_Control" localSheetId="19" hidden="1">{"'ridftotal'!$A$4:$S$27"}</definedName>
    <definedName name="HTML_Control" localSheetId="42" hidden="1">{"'ridftotal'!$A$4:$S$27"}</definedName>
    <definedName name="HTML_Control" localSheetId="9" hidden="1">{"'ridftotal'!$A$4:$S$27"}</definedName>
    <definedName name="HTML_Control" localSheetId="3"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udco">#REF!</definedName>
    <definedName name="Hudco.">#REF!</definedName>
    <definedName name="Hudco..">#REF!</definedName>
    <definedName name="HVA" localSheetId="14">#REF!</definedName>
    <definedName name="HVA" localSheetId="8">#REF!</definedName>
    <definedName name="HVA" localSheetId="10">#REF!</definedName>
    <definedName name="HVA" localSheetId="28">#REF!</definedName>
    <definedName name="HVA">#REF!</definedName>
    <definedName name="hy" localSheetId="37">[164]maya!$B$343:$B$348</definedName>
    <definedName name="hy">[165]maya!$B$343:$B$348</definedName>
    <definedName name="HYD_EXCAVATOR" localSheetId="8">#REF!</definedName>
    <definedName name="HYD_EXCAVATOR" localSheetId="10">#REF!</definedName>
    <definedName name="HYD_EXCAVATOR" localSheetId="11">#REF!</definedName>
    <definedName name="HYD_EXCAVATOR" localSheetId="28">#REF!</definedName>
    <definedName name="HYD_EXCAVATOR">#REF!</definedName>
    <definedName name="hyhygytg">#REF!</definedName>
    <definedName name="HYSD" localSheetId="8">#REF!</definedName>
    <definedName name="HYSD" localSheetId="10">#REF!</definedName>
    <definedName name="HYSD" localSheetId="11">#REF!</definedName>
    <definedName name="HYSD" localSheetId="28">#REF!</definedName>
    <definedName name="HYSD">#REF!</definedName>
    <definedName name="HYSD_Foundations" localSheetId="28">#REF!</definedName>
    <definedName name="HYSD_SubStructure">#REF!</definedName>
    <definedName name="HYSD_SuperStructure">#REF!</definedName>
    <definedName name="HYT" localSheetId="37">'[143]Plant &amp;  Machinery'!$G$4</definedName>
    <definedName name="HYT">'[144]Plant &amp;  Machinery'!$G$4</definedName>
    <definedName name="i" localSheetId="37">[166]Lead!#REF!</definedName>
    <definedName name="i">[166]Lead!#REF!</definedName>
    <definedName name="i_23">#N/A</definedName>
    <definedName name="i_33">#N/A</definedName>
    <definedName name="i_34">#N/A</definedName>
    <definedName name="i_38">#N/A</definedName>
    <definedName name="i_41">#N/A</definedName>
    <definedName name="i_43">#N/A</definedName>
    <definedName name="i_48">#N/A</definedName>
    <definedName name="i_57">#N/A</definedName>
    <definedName name="i_59">#N/A</definedName>
    <definedName name="i_60" localSheetId="28">#N/A</definedName>
    <definedName name="i_61">#N/A</definedName>
    <definedName name="i_62">#N/A</definedName>
    <definedName name="i_7">#N/A</definedName>
    <definedName name="i_72">#N/A</definedName>
    <definedName name="i_73">#N/A</definedName>
    <definedName name="i_8">#N/A</definedName>
    <definedName name="iaw">[90]Well!$F$37</definedName>
    <definedName name="id" localSheetId="37">#REF!</definedName>
    <definedName name="id" localSheetId="28">#REF!</definedName>
    <definedName name="id">#REF!</definedName>
    <definedName name="id10.0" localSheetId="37">#REF!</definedName>
    <definedName name="id10.0" localSheetId="28">#REF!</definedName>
    <definedName name="id10.0">#REF!</definedName>
    <definedName name="id2.5" localSheetId="37">#REF!</definedName>
    <definedName name="id2.5" localSheetId="28">#REF!</definedName>
    <definedName name="id2.5">#REF!</definedName>
    <definedName name="id4.0" localSheetId="37">#REF!</definedName>
    <definedName name="id4.0" localSheetId="28">#REF!</definedName>
    <definedName name="id4.0">#REF!</definedName>
    <definedName name="id6.0" localSheetId="37">#REF!</definedName>
    <definedName name="id6.0" localSheetId="28">#REF!</definedName>
    <definedName name="id6.0">#REF!</definedName>
    <definedName name="ii" localSheetId="28">#REF!</definedName>
    <definedName name="iiii" localSheetId="37">[127]Labour!$D$5</definedName>
    <definedName name="iiii">[128]Labour!$D$5</definedName>
    <definedName name="IK" localSheetId="14" hidden="1">{"'ridftotal'!$A$4:$S$27"}</definedName>
    <definedName name="IK" localSheetId="11" hidden="1">{"'ridftotal'!$A$4:$S$27"}</definedName>
    <definedName name="IK" localSheetId="37" hidden="1">{"'ridftotal'!$A$4:$S$27"}</definedName>
    <definedName name="IK" localSheetId="46" hidden="1">{"'ridftotal'!$A$4:$S$27"}</definedName>
    <definedName name="IK" localSheetId="28" hidden="1">{"'ridftotal'!$A$4:$S$27"}</definedName>
    <definedName name="IK" localSheetId="19" hidden="1">{"'ridftotal'!$A$4:$S$27"}</definedName>
    <definedName name="IK" localSheetId="42" hidden="1">{"'ridftotal'!$A$4:$S$27"}</definedName>
    <definedName name="IK" localSheetId="9" hidden="1">{"'ridftotal'!$A$4:$S$27"}</definedName>
    <definedName name="IK" localSheetId="3" hidden="1">{"'ridftotal'!$A$4:$S$27"}</definedName>
    <definedName name="IK" hidden="1">{"'ridftotal'!$A$4:$S$27"}</definedName>
    <definedName name="impervious_coat" localSheetId="8">#REF!</definedName>
    <definedName name="impervious_coat" localSheetId="10">#REF!</definedName>
    <definedName name="impervious_coat" localSheetId="11">#REF!</definedName>
    <definedName name="impervious_coat" localSheetId="28">#REF!</definedName>
    <definedName name="impervious_coat">#REF!</definedName>
    <definedName name="Index" localSheetId="33" hidden="1">{"'ridftotal'!$A$4:$S$27"}</definedName>
    <definedName name="Index" localSheetId="34" hidden="1">{"'ridftotal'!$A$4:$S$27"}</definedName>
    <definedName name="Index" localSheetId="14" hidden="1">{"'ridftotal'!$A$4:$S$27"}</definedName>
    <definedName name="Index" localSheetId="11" hidden="1">{"'ridftotal'!$A$4:$S$27"}</definedName>
    <definedName name="Index" localSheetId="37" hidden="1">{"'ridftotal'!$A$4:$S$27"}</definedName>
    <definedName name="Index" localSheetId="46" hidden="1">{"'ridftotal'!$A$4:$S$27"}</definedName>
    <definedName name="Index" localSheetId="28" hidden="1">{"'ridftotal'!$A$4:$S$27"}</definedName>
    <definedName name="Index" localSheetId="19" hidden="1">{"'ridftotal'!$A$4:$S$27"}</definedName>
    <definedName name="Index" localSheetId="42" hidden="1">{"'ridftotal'!$A$4:$S$27"}</definedName>
    <definedName name="Index" localSheetId="9" hidden="1">{"'ridftotal'!$A$4:$S$27"}</definedName>
    <definedName name="Index" localSheetId="3" hidden="1">{"'ridftotal'!$A$4:$S$27"}</definedName>
    <definedName name="Index" hidden="1">{"'ridftotal'!$A$4:$S$27"}</definedName>
    <definedName name="interlocking" localSheetId="8">#REF!</definedName>
    <definedName name="interlocking" localSheetId="10">#REF!</definedName>
    <definedName name="interlocking" localSheetId="11">#REF!</definedName>
    <definedName name="interlocking" localSheetId="28">#REF!</definedName>
    <definedName name="interlocking">#REF!</definedName>
    <definedName name="Ipartb">#REF!</definedName>
    <definedName name="isolatedworks" localSheetId="33">#REF!</definedName>
    <definedName name="isolatedworks" localSheetId="34">#REF!</definedName>
    <definedName name="isolatedworks" localSheetId="5">#REF!</definedName>
    <definedName name="isolatedworks" localSheetId="8">#REF!</definedName>
    <definedName name="isolatedworks" localSheetId="10">#REF!</definedName>
    <definedName name="isolatedworks" localSheetId="28">#REF!</definedName>
    <definedName name="isolatedworks" localSheetId="42">#REF!</definedName>
    <definedName name="isolatedworks">#REF!</definedName>
    <definedName name="item" localSheetId="37">[124]maya!$A$69:$A$107</definedName>
    <definedName name="item">[125]maya!$A$69:$A$107</definedName>
    <definedName name="j" localSheetId="37">[90]Intput!$L$109</definedName>
    <definedName name="j">[167]leads!$A$3:$E$108</definedName>
    <definedName name="j_43" localSheetId="28">#REF!</definedName>
    <definedName name="j_59">#REF!</definedName>
    <definedName name="j_61">#REF!</definedName>
    <definedName name="Javeed" localSheetId="35">#REF!</definedName>
    <definedName name="Javeed" localSheetId="5">#REF!</definedName>
    <definedName name="Javeed" localSheetId="8">#REF!</definedName>
    <definedName name="Javeed" localSheetId="10">#REF!</definedName>
    <definedName name="Javeed" localSheetId="11">#REF!</definedName>
    <definedName name="Javeed" localSheetId="28">#REF!</definedName>
    <definedName name="Javeed" localSheetId="42">#REF!</definedName>
    <definedName name="Javeed" localSheetId="31">#REF!</definedName>
    <definedName name="Javeed">#REF!</definedName>
    <definedName name="JBcode_14dig" localSheetId="35">#REF!</definedName>
    <definedName name="JBcode_14dig" localSheetId="5">#REF!</definedName>
    <definedName name="JBcode_14dig" localSheetId="8">#REF!</definedName>
    <definedName name="JBcode_14dig" localSheetId="10">#REF!</definedName>
    <definedName name="JBcode_14dig" localSheetId="11">#REF!</definedName>
    <definedName name="JBcode_14dig" localSheetId="28">#REF!</definedName>
    <definedName name="JBcode_14dig" localSheetId="42">#REF!</definedName>
    <definedName name="JBcode_14dig" localSheetId="31">#REF!</definedName>
    <definedName name="JBcode_14dig">#REF!</definedName>
    <definedName name="jd" localSheetId="8">#REF!</definedName>
    <definedName name="jd" localSheetId="10">#REF!</definedName>
    <definedName name="jd" localSheetId="28">#REF!</definedName>
    <definedName name="jd" localSheetId="42">#REF!</definedName>
    <definedName name="jd">#REF!</definedName>
    <definedName name="JeddyStone_DryPacking">#REF!</definedName>
    <definedName name="JI" localSheetId="14">#REF!</definedName>
    <definedName name="JI" localSheetId="8">#REF!</definedName>
    <definedName name="JI" localSheetId="10">#REF!</definedName>
    <definedName name="JI" localSheetId="28">#REF!</definedName>
    <definedName name="JI">#REF!</definedName>
    <definedName name="jk" localSheetId="14" hidden="1">{"'ridftotal'!$A$4:$S$27"}</definedName>
    <definedName name="jk" localSheetId="11" hidden="1">{"'ridftotal'!$A$4:$S$27"}</definedName>
    <definedName name="jk" localSheetId="37" hidden="1">{"'ridftotal'!$A$4:$S$27"}</definedName>
    <definedName name="jk" localSheetId="46" hidden="1">{"'ridftotal'!$A$4:$S$27"}</definedName>
    <definedName name="jk" localSheetId="28" hidden="1">{"'ridftotal'!$A$4:$S$27"}</definedName>
    <definedName name="jk" localSheetId="19" hidden="1">{"'ridftotal'!$A$4:$S$27"}</definedName>
    <definedName name="jk" localSheetId="42" hidden="1">{"'ridftotal'!$A$4:$S$27"}</definedName>
    <definedName name="jk" localSheetId="9" hidden="1">{"'ridftotal'!$A$4:$S$27"}</definedName>
    <definedName name="jk" localSheetId="3" hidden="1">{"'ridftotal'!$A$4:$S$27"}</definedName>
    <definedName name="jk" hidden="1">{"'ridftotal'!$A$4:$S$27"}</definedName>
    <definedName name="jlkjlklklk" localSheetId="28">#REF!</definedName>
    <definedName name="Juliflora">#REF!</definedName>
    <definedName name="JUNGLE" localSheetId="33">#REF!</definedName>
    <definedName name="JUNGLE" localSheetId="34">#REF!</definedName>
    <definedName name="JUNGLE" localSheetId="5">#REF!</definedName>
    <definedName name="JUNGLE" localSheetId="8">#REF!</definedName>
    <definedName name="JUNGLE" localSheetId="10">#REF!</definedName>
    <definedName name="JUNGLE" localSheetId="11">#REF!</definedName>
    <definedName name="JUNGLE" localSheetId="37">#REF!</definedName>
    <definedName name="JUNGLE" localSheetId="28">#REF!</definedName>
    <definedName name="JUNGLE" localSheetId="42">#REF!</definedName>
    <definedName name="JUNGLE">#REF!</definedName>
    <definedName name="JUngleClearance">#REF!</definedName>
    <definedName name="JVSTONE">[120]Leads!$Q$9</definedName>
    <definedName name="k" localSheetId="37">[59]leads!$A$3:$E$108</definedName>
    <definedName name="k">#REF!</definedName>
    <definedName name="k_21" localSheetId="28">#REF!</definedName>
    <definedName name="k_33">#REF!</definedName>
    <definedName name="k_34">#REF!</definedName>
    <definedName name="ka" localSheetId="8">#REF!</definedName>
    <definedName name="ka" localSheetId="10">#REF!</definedName>
    <definedName name="ka" localSheetId="11">#REF!</definedName>
    <definedName name="ka" localSheetId="37">[90]Intput!$L$83</definedName>
    <definedName name="ka" localSheetId="28">#REF!</definedName>
    <definedName name="ka">#REF!</definedName>
    <definedName name="KADA" localSheetId="33" hidden="1">{"'ridftotal'!$A$4:$S$27"}</definedName>
    <definedName name="KADA" localSheetId="34" hidden="1">{"'ridftotal'!$A$4:$S$27"}</definedName>
    <definedName name="KADA" localSheetId="14" hidden="1">{"'ridftotal'!$A$4:$S$27"}</definedName>
    <definedName name="KADA" localSheetId="37" hidden="1">{"'ridftotal'!$A$4:$S$27"}</definedName>
    <definedName name="KADA" localSheetId="28" hidden="1">{"'ridftotal'!$A$4:$S$27"}</definedName>
    <definedName name="KADA" localSheetId="42" hidden="1">{"'ridftotal'!$A$4:$S$27"}</definedName>
    <definedName name="KADA" hidden="1">{"'ridftotal'!$A$4:$S$27"}</definedName>
    <definedName name="kADAPA" localSheetId="33" hidden="1">{"'ridftotal'!$A$4:$S$27"}</definedName>
    <definedName name="kADAPA" localSheetId="34" hidden="1">{"'ridftotal'!$A$4:$S$27"}</definedName>
    <definedName name="kADAPA" localSheetId="14" hidden="1">{"'ridftotal'!$A$4:$S$27"}</definedName>
    <definedName name="kADAPA" localSheetId="37" hidden="1">{"'ridftotal'!$A$4:$S$27"}</definedName>
    <definedName name="kADAPA" localSheetId="28" hidden="1">{"'ridftotal'!$A$4:$S$27"}</definedName>
    <definedName name="kADAPA" localSheetId="42" hidden="1">{"'ridftotal'!$A$4:$S$27"}</definedName>
    <definedName name="kADAPA" hidden="1">{"'ridftotal'!$A$4:$S$27"}</definedName>
    <definedName name="Key" localSheetId="8">#REF!</definedName>
    <definedName name="Key" localSheetId="10">#REF!</definedName>
    <definedName name="Key" localSheetId="28">#REF!</definedName>
    <definedName name="Key">#REF!</definedName>
    <definedName name="kfsdkagsdkfaksdlf" localSheetId="5">#REF!</definedName>
    <definedName name="kfsdkagsdkfaksdlf" localSheetId="8">#REF!</definedName>
    <definedName name="kfsdkagsdkfaksdlf" localSheetId="10">#REF!</definedName>
    <definedName name="kfsdkagsdkfaksdlf" localSheetId="28">#REF!</definedName>
    <definedName name="kfsdkagsdkfaksdlf">#REF!</definedName>
    <definedName name="khhgf">#REF!</definedName>
    <definedName name="KIOP" localSheetId="37">[143]Material!$D$47</definedName>
    <definedName name="KIOP">[144]Material!$D$47</definedName>
    <definedName name="kj" localSheetId="33">'[168]Plant &amp;  Machinery'!$G$48</definedName>
    <definedName name="kj" localSheetId="34">'[168]Plant &amp;  Machinery'!$G$48</definedName>
    <definedName name="KJ" localSheetId="14" hidden="1">{"'ridftotal'!$A$4:$S$27"}</definedName>
    <definedName name="KJ" localSheetId="11" hidden="1">{"'ridftotal'!$A$4:$S$27"}</definedName>
    <definedName name="kj" localSheetId="37">'[168]Plant &amp;  Machinery'!$G$48</definedName>
    <definedName name="KJ" localSheetId="28" hidden="1">{"'ridftotal'!$A$4:$S$27"}</definedName>
    <definedName name="KJ" localSheetId="19" hidden="1">{"'ridftotal'!$A$4:$S$27"}</definedName>
    <definedName name="KJ" localSheetId="42" hidden="1">{"'ridftotal'!$A$4:$S$27"}</definedName>
    <definedName name="KJ" localSheetId="9" hidden="1">{"'ridftotal'!$A$4:$S$27"}</definedName>
    <definedName name="KJ" localSheetId="3" hidden="1">{"'ridftotal'!$A$4:$S$27"}</definedName>
    <definedName name="KJ" hidden="1">{"'ridftotal'!$A$4:$S$27"}</definedName>
    <definedName name="kj_32">#REF!</definedName>
    <definedName name="kj_33">#REF!</definedName>
    <definedName name="kj_34">#REF!</definedName>
    <definedName name="kj_43">#REF!</definedName>
    <definedName name="kj_58">#REF!</definedName>
    <definedName name="kj_59">#REF!</definedName>
    <definedName name="kj_61">#REF!</definedName>
    <definedName name="kju">#REF!</definedName>
    <definedName name="kk" localSheetId="33">#REF!</definedName>
    <definedName name="kk" localSheetId="34">#REF!</definedName>
    <definedName name="kk" localSheetId="35">#REF!</definedName>
    <definedName name="kk" localSheetId="5">#REF!</definedName>
    <definedName name="kk" localSheetId="8">#REF!</definedName>
    <definedName name="kk" localSheetId="10">#REF!</definedName>
    <definedName name="kk" localSheetId="11">#REF!</definedName>
    <definedName name="kk" localSheetId="37">#REF!</definedName>
    <definedName name="kk" localSheetId="28">#REF!</definedName>
    <definedName name="kk" localSheetId="42">#REF!</definedName>
    <definedName name="kk" localSheetId="31">#REF!</definedName>
    <definedName name="kk">#REF!</definedName>
    <definedName name="kkkk" localSheetId="37">[169]Labour!$D$17</definedName>
    <definedName name="kkkk">[170]Labour!$D$17</definedName>
    <definedName name="kkkkkk">[119]Material!$D$117</definedName>
    <definedName name="kl">[171]Labour!$D$3</definedName>
    <definedName name="klklk">#REF!</definedName>
    <definedName name="Km" localSheetId="8">#REF!</definedName>
    <definedName name="Km" localSheetId="10">#REF!</definedName>
    <definedName name="Km" localSheetId="28">#REF!</definedName>
    <definedName name="km" localSheetId="42">#REF!</definedName>
    <definedName name="Km">#REF!</definedName>
    <definedName name="km10th" localSheetId="33">#REF!</definedName>
    <definedName name="km10th" localSheetId="34">#REF!</definedName>
    <definedName name="km10th" localSheetId="35">#REF!</definedName>
    <definedName name="km10th" localSheetId="5">#REF!</definedName>
    <definedName name="km10th" localSheetId="8">#REF!</definedName>
    <definedName name="km10th" localSheetId="10">#REF!</definedName>
    <definedName name="km10th" localSheetId="11">#REF!</definedName>
    <definedName name="km10th" localSheetId="37">#REF!</definedName>
    <definedName name="km10th" localSheetId="28">#REF!</definedName>
    <definedName name="km10th" localSheetId="42">#REF!</definedName>
    <definedName name="km10th" localSheetId="31">#REF!</definedName>
    <definedName name="km10th">#REF!</definedName>
    <definedName name="km10th_23">"$#REF!.$#REF!$#REF!"</definedName>
    <definedName name="km10th_32">"$#REF!.$#REF!$#REF!"</definedName>
    <definedName name="km10th_33">"$#REF!.$#REF!$#REF!"</definedName>
    <definedName name="km10th_34">"$#REF!.$#REF!$#REF!"</definedName>
    <definedName name="km10th_38">"$#REF!.$#REF!$#REF!"</definedName>
    <definedName name="km10th_41">"$#REF!.$#REF!$#REF!"</definedName>
    <definedName name="km10th_43">"$#REF!.$#REF!$#REF!"</definedName>
    <definedName name="km10th_48">"$#REF!.$#REF!$#REF!"</definedName>
    <definedName name="km10th_56">"$#REF!.$#REF!$#REF!"</definedName>
    <definedName name="km10th_57">"$#REF!.$#REF!$#REF!"</definedName>
    <definedName name="km10th_59">"$#REF!.$#REF!$#REF!"</definedName>
    <definedName name="km10th_60">"$#REF!.$#REF!$#REF!"</definedName>
    <definedName name="km10th_61">"$#REF!.$#REF!$#REF!"</definedName>
    <definedName name="km10th_62">"$#REF!.$#REF!$#REF!"</definedName>
    <definedName name="km10th_7">"$#REF!.$#REF!$#REF!"</definedName>
    <definedName name="km10th_72">"$#REF!.$#REF!$#REF!"</definedName>
    <definedName name="km10th_73">"$#REF!.$#REF!$#REF!"</definedName>
    <definedName name="km10th_8">"$#REF!.$#REF!$#REF!"</definedName>
    <definedName name="km11th" localSheetId="33">#REF!</definedName>
    <definedName name="km11th" localSheetId="34">#REF!</definedName>
    <definedName name="km11th" localSheetId="35">#REF!</definedName>
    <definedName name="km11th" localSheetId="5">#REF!</definedName>
    <definedName name="km11th" localSheetId="8">#REF!</definedName>
    <definedName name="km11th" localSheetId="10">#REF!</definedName>
    <definedName name="km11th" localSheetId="11">#REF!</definedName>
    <definedName name="km11th" localSheetId="37">#REF!</definedName>
    <definedName name="km11th" localSheetId="28">#REF!</definedName>
    <definedName name="km11th" localSheetId="42">#REF!</definedName>
    <definedName name="km11th" localSheetId="31">#REF!</definedName>
    <definedName name="km11th">#REF!</definedName>
    <definedName name="km11th_23">"$#REF!.$#REF!$#REF!"</definedName>
    <definedName name="km11th_32">"$#REF!.$#REF!$#REF!"</definedName>
    <definedName name="km11th_33">"$#REF!.$#REF!$#REF!"</definedName>
    <definedName name="km11th_34">"$#REF!.$#REF!$#REF!"</definedName>
    <definedName name="km11th_38">"$#REF!.$#REF!$#REF!"</definedName>
    <definedName name="km11th_41">"$#REF!.$#REF!$#REF!"</definedName>
    <definedName name="km11th_43">"$#REF!.$#REF!$#REF!"</definedName>
    <definedName name="km11th_48">"$#REF!.$#REF!$#REF!"</definedName>
    <definedName name="km11th_56">"$#REF!.$#REF!$#REF!"</definedName>
    <definedName name="km11th_57">"$#REF!.$#REF!$#REF!"</definedName>
    <definedName name="km11th_59">"$#REF!.$#REF!$#REF!"</definedName>
    <definedName name="km11th_60">"$#REF!.$#REF!$#REF!"</definedName>
    <definedName name="km11th_61">"$#REF!.$#REF!$#REF!"</definedName>
    <definedName name="km11th_62">"$#REF!.$#REF!$#REF!"</definedName>
    <definedName name="km11th_7">"$#REF!.$#REF!$#REF!"</definedName>
    <definedName name="km11th_72">"$#REF!.$#REF!$#REF!"</definedName>
    <definedName name="km11th_73">"$#REF!.$#REF!$#REF!"</definedName>
    <definedName name="km11th_8">"$#REF!.$#REF!$#REF!"</definedName>
    <definedName name="km12th" localSheetId="33">#REF!</definedName>
    <definedName name="km12th" localSheetId="34">#REF!</definedName>
    <definedName name="km12th" localSheetId="35">#REF!</definedName>
    <definedName name="km12th" localSheetId="5">#REF!</definedName>
    <definedName name="km12th" localSheetId="8">#REF!</definedName>
    <definedName name="km12th" localSheetId="10">#REF!</definedName>
    <definedName name="km12th" localSheetId="11">#REF!</definedName>
    <definedName name="km12th" localSheetId="37">#REF!</definedName>
    <definedName name="km12th" localSheetId="28">#REF!</definedName>
    <definedName name="km12th" localSheetId="42">#REF!</definedName>
    <definedName name="km12th" localSheetId="31">#REF!</definedName>
    <definedName name="km12th">#REF!</definedName>
    <definedName name="km12th_23">"$#REF!.$#REF!$#REF!"</definedName>
    <definedName name="km12th_32">"$#REF!.$#REF!$#REF!"</definedName>
    <definedName name="km12th_33">"$#REF!.$#REF!$#REF!"</definedName>
    <definedName name="km12th_34">"$#REF!.$#REF!$#REF!"</definedName>
    <definedName name="km12th_38">"$#REF!.$#REF!$#REF!"</definedName>
    <definedName name="km12th_41">"$#REF!.$#REF!$#REF!"</definedName>
    <definedName name="km12th_43">"$#REF!.$#REF!$#REF!"</definedName>
    <definedName name="km12th_48">"$#REF!.$#REF!$#REF!"</definedName>
    <definedName name="km12th_56">"$#REF!.$#REF!$#REF!"</definedName>
    <definedName name="km12th_57">"$#REF!.$#REF!$#REF!"</definedName>
    <definedName name="km12th_59">"$#REF!.$#REF!$#REF!"</definedName>
    <definedName name="km12th_60">"$#REF!.$#REF!$#REF!"</definedName>
    <definedName name="km12th_61">"$#REF!.$#REF!$#REF!"</definedName>
    <definedName name="km12th_62">"$#REF!.$#REF!$#REF!"</definedName>
    <definedName name="km12th_7">"$#REF!.$#REF!$#REF!"</definedName>
    <definedName name="km12th_72">"$#REF!.$#REF!$#REF!"</definedName>
    <definedName name="km12th_73">"$#REF!.$#REF!$#REF!"</definedName>
    <definedName name="km12th_8">"$#REF!.$#REF!$#REF!"</definedName>
    <definedName name="km13th" localSheetId="33">#REF!</definedName>
    <definedName name="km13th" localSheetId="34">#REF!</definedName>
    <definedName name="km13th" localSheetId="35">#REF!</definedName>
    <definedName name="km13th" localSheetId="5">#REF!</definedName>
    <definedName name="km13th" localSheetId="8">#REF!</definedName>
    <definedName name="km13th" localSheetId="10">#REF!</definedName>
    <definedName name="km13th" localSheetId="11">#REF!</definedName>
    <definedName name="km13th" localSheetId="37">#REF!</definedName>
    <definedName name="km13th" localSheetId="28">#REF!</definedName>
    <definedName name="km13th" localSheetId="42">#REF!</definedName>
    <definedName name="km13th" localSheetId="31">#REF!</definedName>
    <definedName name="km13th">#REF!</definedName>
    <definedName name="km13th_23">"$#REF!.$#REF!$#REF!"</definedName>
    <definedName name="km13th_32">"$#REF!.$#REF!$#REF!"</definedName>
    <definedName name="km13th_33">"$#REF!.$#REF!$#REF!"</definedName>
    <definedName name="km13th_34">"$#REF!.$#REF!$#REF!"</definedName>
    <definedName name="km13th_38">"$#REF!.$#REF!$#REF!"</definedName>
    <definedName name="km13th_41">"$#REF!.$#REF!$#REF!"</definedName>
    <definedName name="km13th_43">"$#REF!.$#REF!$#REF!"</definedName>
    <definedName name="km13th_48">"$#REF!.$#REF!$#REF!"</definedName>
    <definedName name="km13th_56">"$#REF!.$#REF!$#REF!"</definedName>
    <definedName name="km13th_57">"$#REF!.$#REF!$#REF!"</definedName>
    <definedName name="km13th_59">"$#REF!.$#REF!$#REF!"</definedName>
    <definedName name="km13th_60">"$#REF!.$#REF!$#REF!"</definedName>
    <definedName name="km13th_61">"$#REF!.$#REF!$#REF!"</definedName>
    <definedName name="km13th_62">"$#REF!.$#REF!$#REF!"</definedName>
    <definedName name="km13th_7">"$#REF!.$#REF!$#REF!"</definedName>
    <definedName name="km13th_72">"$#REF!.$#REF!$#REF!"</definedName>
    <definedName name="km13th_73">"$#REF!.$#REF!$#REF!"</definedName>
    <definedName name="km13th_8">"$#REF!.$#REF!$#REF!"</definedName>
    <definedName name="km14th" localSheetId="33">#REF!</definedName>
    <definedName name="km14th" localSheetId="34">#REF!</definedName>
    <definedName name="km14th" localSheetId="35">#REF!</definedName>
    <definedName name="km14th" localSheetId="5">#REF!</definedName>
    <definedName name="km14th" localSheetId="8">#REF!</definedName>
    <definedName name="km14th" localSheetId="10">#REF!</definedName>
    <definedName name="km14th" localSheetId="11">#REF!</definedName>
    <definedName name="km14th" localSheetId="37">#REF!</definedName>
    <definedName name="km14th" localSheetId="28">#REF!</definedName>
    <definedName name="km14th" localSheetId="42">#REF!</definedName>
    <definedName name="km14th" localSheetId="31">#REF!</definedName>
    <definedName name="km14th">#REF!</definedName>
    <definedName name="km14th_23">"$#REF!.$#REF!$#REF!"</definedName>
    <definedName name="km14th_32">"$#REF!.$#REF!$#REF!"</definedName>
    <definedName name="km14th_33">"$#REF!.$#REF!$#REF!"</definedName>
    <definedName name="km14th_34">"$#REF!.$#REF!$#REF!"</definedName>
    <definedName name="km14th_38">"$#REF!.$#REF!$#REF!"</definedName>
    <definedName name="km14th_41">"$#REF!.$#REF!$#REF!"</definedName>
    <definedName name="km14th_43">"$#REF!.$#REF!$#REF!"</definedName>
    <definedName name="km14th_48">"$#REF!.$#REF!$#REF!"</definedName>
    <definedName name="km14th_56">"$#REF!.$#REF!$#REF!"</definedName>
    <definedName name="km14th_57">"$#REF!.$#REF!$#REF!"</definedName>
    <definedName name="km14th_59">"$#REF!.$#REF!$#REF!"</definedName>
    <definedName name="km14th_60">"$#REF!.$#REF!$#REF!"</definedName>
    <definedName name="km14th_61">"$#REF!.$#REF!$#REF!"</definedName>
    <definedName name="km14th_62">"$#REF!.$#REF!$#REF!"</definedName>
    <definedName name="km14th_7">"$#REF!.$#REF!$#REF!"</definedName>
    <definedName name="km14th_72">"$#REF!.$#REF!$#REF!"</definedName>
    <definedName name="km14th_73">"$#REF!.$#REF!$#REF!"</definedName>
    <definedName name="km14th_8">"$#REF!.$#REF!$#REF!"</definedName>
    <definedName name="km16th" localSheetId="33">#REF!</definedName>
    <definedName name="km16th" localSheetId="34">#REF!</definedName>
    <definedName name="km16th" localSheetId="35">#REF!</definedName>
    <definedName name="km16th" localSheetId="5">#REF!</definedName>
    <definedName name="km16th" localSheetId="8">#REF!</definedName>
    <definedName name="km16th" localSheetId="10">#REF!</definedName>
    <definedName name="km16th" localSheetId="11">#REF!</definedName>
    <definedName name="km16th" localSheetId="37">#REF!</definedName>
    <definedName name="km16th" localSheetId="28">#REF!</definedName>
    <definedName name="km16th" localSheetId="42">#REF!</definedName>
    <definedName name="km16th" localSheetId="31">#REF!</definedName>
    <definedName name="km16th">#REF!</definedName>
    <definedName name="km16th_23">"$#REF!.$#REF!$#REF!"</definedName>
    <definedName name="km16th_32">"$#REF!.$#REF!$#REF!"</definedName>
    <definedName name="km16th_33">"$#REF!.$#REF!$#REF!"</definedName>
    <definedName name="km16th_34">"$#REF!.$#REF!$#REF!"</definedName>
    <definedName name="km16th_38">"$#REF!.$#REF!$#REF!"</definedName>
    <definedName name="km16th_41">"$#REF!.$#REF!$#REF!"</definedName>
    <definedName name="km16th_43">"$#REF!.$#REF!$#REF!"</definedName>
    <definedName name="km16th_48">"$#REF!.$#REF!$#REF!"</definedName>
    <definedName name="km16th_56">"$#REF!.$#REF!$#REF!"</definedName>
    <definedName name="km16th_57">"$#REF!.$#REF!$#REF!"</definedName>
    <definedName name="km16th_59">"$#REF!.$#REF!$#REF!"</definedName>
    <definedName name="km16th_60">"$#REF!.$#REF!$#REF!"</definedName>
    <definedName name="km16th_61">"$#REF!.$#REF!$#REF!"</definedName>
    <definedName name="km16th_62">"$#REF!.$#REF!$#REF!"</definedName>
    <definedName name="km16th_7">"$#REF!.$#REF!$#REF!"</definedName>
    <definedName name="km16th_72">"$#REF!.$#REF!$#REF!"</definedName>
    <definedName name="km16th_73">"$#REF!.$#REF!$#REF!"</definedName>
    <definedName name="km16th_8">"$#REF!.$#REF!$#REF!"</definedName>
    <definedName name="km17th" localSheetId="33">#REF!</definedName>
    <definedName name="km17th" localSheetId="34">#REF!</definedName>
    <definedName name="km17th" localSheetId="35">#REF!</definedName>
    <definedName name="km17th" localSheetId="5">#REF!</definedName>
    <definedName name="km17th" localSheetId="8">#REF!</definedName>
    <definedName name="km17th" localSheetId="10">#REF!</definedName>
    <definedName name="km17th" localSheetId="11">#REF!</definedName>
    <definedName name="km17th" localSheetId="37">#REF!</definedName>
    <definedName name="km17th" localSheetId="28">#REF!</definedName>
    <definedName name="km17th" localSheetId="42">#REF!</definedName>
    <definedName name="km17th" localSheetId="31">#REF!</definedName>
    <definedName name="km17th">#REF!</definedName>
    <definedName name="km17th_23">"$#REF!.$#REF!$#REF!"</definedName>
    <definedName name="km17th_32">"$#REF!.$#REF!$#REF!"</definedName>
    <definedName name="km17th_33">"$#REF!.$#REF!$#REF!"</definedName>
    <definedName name="km17th_34">"$#REF!.$#REF!$#REF!"</definedName>
    <definedName name="km17th_38">"$#REF!.$#REF!$#REF!"</definedName>
    <definedName name="km17th_41">"$#REF!.$#REF!$#REF!"</definedName>
    <definedName name="km17th_43">"$#REF!.$#REF!$#REF!"</definedName>
    <definedName name="km17th_48">"$#REF!.$#REF!$#REF!"</definedName>
    <definedName name="km17th_56">"$#REF!.$#REF!$#REF!"</definedName>
    <definedName name="km17th_57">"$#REF!.$#REF!$#REF!"</definedName>
    <definedName name="km17th_59">"$#REF!.$#REF!$#REF!"</definedName>
    <definedName name="km17th_60">"$#REF!.$#REF!$#REF!"</definedName>
    <definedName name="km17th_61">"$#REF!.$#REF!$#REF!"</definedName>
    <definedName name="km17th_62">"$#REF!.$#REF!$#REF!"</definedName>
    <definedName name="km17th_7">"$#REF!.$#REF!$#REF!"</definedName>
    <definedName name="km17th_72">"$#REF!.$#REF!$#REF!"</definedName>
    <definedName name="km17th_73">"$#REF!.$#REF!$#REF!"</definedName>
    <definedName name="km17th_8">"$#REF!.$#REF!$#REF!"</definedName>
    <definedName name="km18th" localSheetId="33">#REF!</definedName>
    <definedName name="km18th" localSheetId="34">#REF!</definedName>
    <definedName name="km18th" localSheetId="35">#REF!</definedName>
    <definedName name="km18th" localSheetId="5">#REF!</definedName>
    <definedName name="km18th" localSheetId="8">#REF!</definedName>
    <definedName name="km18th" localSheetId="10">#REF!</definedName>
    <definedName name="km18th" localSheetId="11">#REF!</definedName>
    <definedName name="km18th" localSheetId="37">#REF!</definedName>
    <definedName name="km18th" localSheetId="28">#REF!</definedName>
    <definedName name="km18th" localSheetId="42">#REF!</definedName>
    <definedName name="km18th" localSheetId="31">#REF!</definedName>
    <definedName name="km18th">#REF!</definedName>
    <definedName name="km18th_23">"$#REF!.$#REF!$#REF!"</definedName>
    <definedName name="km18th_32">"$#REF!.$#REF!$#REF!"</definedName>
    <definedName name="km18th_33">"$#REF!.$#REF!$#REF!"</definedName>
    <definedName name="km18th_34">"$#REF!.$#REF!$#REF!"</definedName>
    <definedName name="km18th_38">"$#REF!.$#REF!$#REF!"</definedName>
    <definedName name="km18th_41">"$#REF!.$#REF!$#REF!"</definedName>
    <definedName name="km18th_43">"$#REF!.$#REF!$#REF!"</definedName>
    <definedName name="km18th_48">"$#REF!.$#REF!$#REF!"</definedName>
    <definedName name="km18th_56">"$#REF!.$#REF!$#REF!"</definedName>
    <definedName name="km18th_57">"$#REF!.$#REF!$#REF!"</definedName>
    <definedName name="km18th_59">"$#REF!.$#REF!$#REF!"</definedName>
    <definedName name="km18th_60">"$#REF!.$#REF!$#REF!"</definedName>
    <definedName name="km18th_61">"$#REF!.$#REF!$#REF!"</definedName>
    <definedName name="km18th_62">"$#REF!.$#REF!$#REF!"</definedName>
    <definedName name="km18th_7">"$#REF!.$#REF!$#REF!"</definedName>
    <definedName name="km18th_72">"$#REF!.$#REF!$#REF!"</definedName>
    <definedName name="km18th_73">"$#REF!.$#REF!$#REF!"</definedName>
    <definedName name="km18th_8">"$#REF!.$#REF!$#REF!"</definedName>
    <definedName name="km19th" localSheetId="33">#REF!</definedName>
    <definedName name="km19th" localSheetId="34">#REF!</definedName>
    <definedName name="km19th" localSheetId="35">#REF!</definedName>
    <definedName name="km19th" localSheetId="5">#REF!</definedName>
    <definedName name="km19th" localSheetId="8">#REF!</definedName>
    <definedName name="km19th" localSheetId="10">#REF!</definedName>
    <definedName name="km19th" localSheetId="11">#REF!</definedName>
    <definedName name="km19th" localSheetId="37">#REF!</definedName>
    <definedName name="km19th" localSheetId="28">#REF!</definedName>
    <definedName name="km19th" localSheetId="42">#REF!</definedName>
    <definedName name="km19th" localSheetId="31">#REF!</definedName>
    <definedName name="km19th">#REF!</definedName>
    <definedName name="km19th_23">"$#REF!.$#REF!$#REF!"</definedName>
    <definedName name="km19th_32">"$#REF!.$#REF!$#REF!"</definedName>
    <definedName name="km19th_33">"$#REF!.$#REF!$#REF!"</definedName>
    <definedName name="km19th_34">"$#REF!.$#REF!$#REF!"</definedName>
    <definedName name="km19th_38">"$#REF!.$#REF!$#REF!"</definedName>
    <definedName name="km19th_41">"$#REF!.$#REF!$#REF!"</definedName>
    <definedName name="km19th_43">"$#REF!.$#REF!$#REF!"</definedName>
    <definedName name="km19th_48">"$#REF!.$#REF!$#REF!"</definedName>
    <definedName name="km19th_56">"$#REF!.$#REF!$#REF!"</definedName>
    <definedName name="km19th_57">"$#REF!.$#REF!$#REF!"</definedName>
    <definedName name="km19th_59">"$#REF!.$#REF!$#REF!"</definedName>
    <definedName name="km19th_60">"$#REF!.$#REF!$#REF!"</definedName>
    <definedName name="km19th_61">"$#REF!.$#REF!$#REF!"</definedName>
    <definedName name="km19th_62">"$#REF!.$#REF!$#REF!"</definedName>
    <definedName name="km19th_7">"$#REF!.$#REF!$#REF!"</definedName>
    <definedName name="km19th_72">"$#REF!.$#REF!$#REF!"</definedName>
    <definedName name="km19th_73">"$#REF!.$#REF!$#REF!"</definedName>
    <definedName name="km19th_8">"$#REF!.$#REF!$#REF!"</definedName>
    <definedName name="km20th" localSheetId="33">#REF!</definedName>
    <definedName name="km20th" localSheetId="34">#REF!</definedName>
    <definedName name="km20th" localSheetId="35">#REF!</definedName>
    <definedName name="km20th" localSheetId="5">#REF!</definedName>
    <definedName name="km20th" localSheetId="8">#REF!</definedName>
    <definedName name="km20th" localSheetId="10">#REF!</definedName>
    <definedName name="km20th" localSheetId="11">#REF!</definedName>
    <definedName name="km20th" localSheetId="37">#REF!</definedName>
    <definedName name="km20th" localSheetId="28">#REF!</definedName>
    <definedName name="km20th" localSheetId="42">#REF!</definedName>
    <definedName name="km20th" localSheetId="31">#REF!</definedName>
    <definedName name="km20th">#REF!</definedName>
    <definedName name="km20th_23">"$#REF!.$#REF!$#REF!"</definedName>
    <definedName name="km20th_32">"$#REF!.$#REF!$#REF!"</definedName>
    <definedName name="km20th_33">"$#REF!.$#REF!$#REF!"</definedName>
    <definedName name="km20th_34">"$#REF!.$#REF!$#REF!"</definedName>
    <definedName name="km20th_38">"$#REF!.$#REF!$#REF!"</definedName>
    <definedName name="km20th_41">"$#REF!.$#REF!$#REF!"</definedName>
    <definedName name="km20th_43">"$#REF!.$#REF!$#REF!"</definedName>
    <definedName name="km20th_48">"$#REF!.$#REF!$#REF!"</definedName>
    <definedName name="km20th_56">"$#REF!.$#REF!$#REF!"</definedName>
    <definedName name="km20th_57">"$#REF!.$#REF!$#REF!"</definedName>
    <definedName name="km20th_59">"$#REF!.$#REF!$#REF!"</definedName>
    <definedName name="km20th_60">"$#REF!.$#REF!$#REF!"</definedName>
    <definedName name="km20th_61">"$#REF!.$#REF!$#REF!"</definedName>
    <definedName name="km20th_62">"$#REF!.$#REF!$#REF!"</definedName>
    <definedName name="km20th_7">"$#REF!.$#REF!$#REF!"</definedName>
    <definedName name="km20th_72">"$#REF!.$#REF!$#REF!"</definedName>
    <definedName name="km20th_73">"$#REF!.$#REF!$#REF!"</definedName>
    <definedName name="km20th_8">"$#REF!.$#REF!$#REF!"</definedName>
    <definedName name="km2nd" localSheetId="33">#REF!</definedName>
    <definedName name="km2nd" localSheetId="34">#REF!</definedName>
    <definedName name="km2nd" localSheetId="35">#REF!</definedName>
    <definedName name="km2nd" localSheetId="5">#REF!</definedName>
    <definedName name="km2nd" localSheetId="8">#REF!</definedName>
    <definedName name="km2nd" localSheetId="10">#REF!</definedName>
    <definedName name="km2nd" localSheetId="11">#REF!</definedName>
    <definedName name="km2nd" localSheetId="37">#REF!</definedName>
    <definedName name="km2nd" localSheetId="28">#REF!</definedName>
    <definedName name="km2nd" localSheetId="42">#REF!</definedName>
    <definedName name="km2nd" localSheetId="31">#REF!</definedName>
    <definedName name="km2nd">#REF!</definedName>
    <definedName name="km2nd_23">"$#REF!.$#REF!$#REF!"</definedName>
    <definedName name="km2nd_32">"$#REF!.$#REF!$#REF!"</definedName>
    <definedName name="km2nd_33">"$#REF!.$#REF!$#REF!"</definedName>
    <definedName name="km2nd_34">"$#REF!.$#REF!$#REF!"</definedName>
    <definedName name="km2nd_38">"$#REF!.$#REF!$#REF!"</definedName>
    <definedName name="km2nd_41">"$#REF!.$#REF!$#REF!"</definedName>
    <definedName name="km2nd_43">"$#REF!.$#REF!$#REF!"</definedName>
    <definedName name="km2nd_48">"$#REF!.$#REF!$#REF!"</definedName>
    <definedName name="km2nd_56">"$#REF!.$#REF!$#REF!"</definedName>
    <definedName name="km2nd_57">"$#REF!.$#REF!$#REF!"</definedName>
    <definedName name="km2nd_59">"$#REF!.$#REF!$#REF!"</definedName>
    <definedName name="km2nd_60">"$#REF!.$#REF!$#REF!"</definedName>
    <definedName name="km2nd_61">"$#REF!.$#REF!$#REF!"</definedName>
    <definedName name="km2nd_62">"$#REF!.$#REF!$#REF!"</definedName>
    <definedName name="km2nd_7">"$#REF!.$#REF!$#REF!"</definedName>
    <definedName name="km2nd_72">"$#REF!.$#REF!$#REF!"</definedName>
    <definedName name="km2nd_73">"$#REF!.$#REF!$#REF!"</definedName>
    <definedName name="km2nd_8">"$#REF!.$#REF!$#REF!"</definedName>
    <definedName name="km3rd" localSheetId="33">#REF!</definedName>
    <definedName name="km3rd" localSheetId="34">#REF!</definedName>
    <definedName name="km3rd" localSheetId="35">#REF!</definedName>
    <definedName name="km3rd" localSheetId="5">#REF!</definedName>
    <definedName name="km3rd" localSheetId="8">#REF!</definedName>
    <definedName name="km3rd" localSheetId="10">#REF!</definedName>
    <definedName name="km3rd" localSheetId="11">#REF!</definedName>
    <definedName name="km3rd" localSheetId="37">#REF!</definedName>
    <definedName name="km3rd" localSheetId="28">#REF!</definedName>
    <definedName name="km3rd" localSheetId="42">#REF!</definedName>
    <definedName name="km3rd" localSheetId="31">#REF!</definedName>
    <definedName name="km3rd">#REF!</definedName>
    <definedName name="km3rd_23">"$#REF!.$#REF!$#REF!"</definedName>
    <definedName name="km3rd_32">"$#REF!.$#REF!$#REF!"</definedName>
    <definedName name="km3rd_33">"$#REF!.$#REF!$#REF!"</definedName>
    <definedName name="km3rd_34">"$#REF!.$#REF!$#REF!"</definedName>
    <definedName name="km3rd_38">"$#REF!.$#REF!$#REF!"</definedName>
    <definedName name="km3rd_41">"$#REF!.$#REF!$#REF!"</definedName>
    <definedName name="km3rd_43">"$#REF!.$#REF!$#REF!"</definedName>
    <definedName name="km3rd_48">"$#REF!.$#REF!$#REF!"</definedName>
    <definedName name="km3rd_56">"$#REF!.$#REF!$#REF!"</definedName>
    <definedName name="km3rd_57">"$#REF!.$#REF!$#REF!"</definedName>
    <definedName name="km3rd_59">"$#REF!.$#REF!$#REF!"</definedName>
    <definedName name="km3rd_60">"$#REF!.$#REF!$#REF!"</definedName>
    <definedName name="km3rd_61">"$#REF!.$#REF!$#REF!"</definedName>
    <definedName name="km3rd_62">"$#REF!.$#REF!$#REF!"</definedName>
    <definedName name="km3rd_7">"$#REF!.$#REF!$#REF!"</definedName>
    <definedName name="km3rd_72">"$#REF!.$#REF!$#REF!"</definedName>
    <definedName name="km3rd_73">"$#REF!.$#REF!$#REF!"</definedName>
    <definedName name="km3rd_8">"$#REF!.$#REF!$#REF!"</definedName>
    <definedName name="km4th" localSheetId="33">#REF!</definedName>
    <definedName name="km4th" localSheetId="34">#REF!</definedName>
    <definedName name="km4th" localSheetId="35">#REF!</definedName>
    <definedName name="km4th" localSheetId="5">#REF!</definedName>
    <definedName name="km4th" localSheetId="8">#REF!</definedName>
    <definedName name="km4th" localSheetId="10">#REF!</definedName>
    <definedName name="km4th" localSheetId="11">#REF!</definedName>
    <definedName name="km4th" localSheetId="37">#REF!</definedName>
    <definedName name="km4th" localSheetId="28">#REF!</definedName>
    <definedName name="km4th" localSheetId="42">#REF!</definedName>
    <definedName name="km4th" localSheetId="31">#REF!</definedName>
    <definedName name="km4th">#REF!</definedName>
    <definedName name="km4th_23">"$#REF!.$#REF!$#REF!"</definedName>
    <definedName name="km4th_32">"$#REF!.$#REF!$#REF!"</definedName>
    <definedName name="km4th_33">"$#REF!.$#REF!$#REF!"</definedName>
    <definedName name="km4th_34">"$#REF!.$#REF!$#REF!"</definedName>
    <definedName name="km4th_38">"$#REF!.$#REF!$#REF!"</definedName>
    <definedName name="km4th_41">"$#REF!.$#REF!$#REF!"</definedName>
    <definedName name="km4th_43">"$#REF!.$#REF!$#REF!"</definedName>
    <definedName name="km4th_48">"$#REF!.$#REF!$#REF!"</definedName>
    <definedName name="km4th_56">"$#REF!.$#REF!$#REF!"</definedName>
    <definedName name="km4th_57">"$#REF!.$#REF!$#REF!"</definedName>
    <definedName name="km4th_59">"$#REF!.$#REF!$#REF!"</definedName>
    <definedName name="km4th_60">"$#REF!.$#REF!$#REF!"</definedName>
    <definedName name="km4th_61">"$#REF!.$#REF!$#REF!"</definedName>
    <definedName name="km4th_62">"$#REF!.$#REF!$#REF!"</definedName>
    <definedName name="km4th_7">"$#REF!.$#REF!$#REF!"</definedName>
    <definedName name="km4th_72">"$#REF!.$#REF!$#REF!"</definedName>
    <definedName name="km4th_73">"$#REF!.$#REF!$#REF!"</definedName>
    <definedName name="km4th_8">"$#REF!.$#REF!$#REF!"</definedName>
    <definedName name="km5th" localSheetId="33">#REF!</definedName>
    <definedName name="km5th" localSheetId="34">#REF!</definedName>
    <definedName name="km5th" localSheetId="35">#REF!</definedName>
    <definedName name="km5th" localSheetId="5">#REF!</definedName>
    <definedName name="km5th" localSheetId="8">#REF!</definedName>
    <definedName name="km5th" localSheetId="10">#REF!</definedName>
    <definedName name="km5th" localSheetId="11">#REF!</definedName>
    <definedName name="km5th" localSheetId="37">#REF!</definedName>
    <definedName name="km5th" localSheetId="28">#REF!</definedName>
    <definedName name="km5th" localSheetId="42">#REF!</definedName>
    <definedName name="km5th" localSheetId="31">#REF!</definedName>
    <definedName name="km5th">#REF!</definedName>
    <definedName name="km5th_23">"$#REF!.$#REF!$#REF!"</definedName>
    <definedName name="km5th_32">"$#REF!.$#REF!$#REF!"</definedName>
    <definedName name="km5th_33">"$#REF!.$#REF!$#REF!"</definedName>
    <definedName name="km5th_34">"$#REF!.$#REF!$#REF!"</definedName>
    <definedName name="km5th_38">"$#REF!.$#REF!$#REF!"</definedName>
    <definedName name="km5th_41">"$#REF!.$#REF!$#REF!"</definedName>
    <definedName name="km5th_43">"$#REF!.$#REF!$#REF!"</definedName>
    <definedName name="km5th_48">"$#REF!.$#REF!$#REF!"</definedName>
    <definedName name="km5th_56">"$#REF!.$#REF!$#REF!"</definedName>
    <definedName name="km5th_57">"$#REF!.$#REF!$#REF!"</definedName>
    <definedName name="km5th_59">"$#REF!.$#REF!$#REF!"</definedName>
    <definedName name="km5th_60">"$#REF!.$#REF!$#REF!"</definedName>
    <definedName name="km5th_61">"$#REF!.$#REF!$#REF!"</definedName>
    <definedName name="km5th_62">"$#REF!.$#REF!$#REF!"</definedName>
    <definedName name="km5th_7">"$#REF!.$#REF!$#REF!"</definedName>
    <definedName name="km5th_72">"$#REF!.$#REF!$#REF!"</definedName>
    <definedName name="km5th_73">"$#REF!.$#REF!$#REF!"</definedName>
    <definedName name="km5th_8">"$#REF!.$#REF!$#REF!"</definedName>
    <definedName name="km6th" localSheetId="33">#REF!</definedName>
    <definedName name="km6th" localSheetId="34">#REF!</definedName>
    <definedName name="km6th" localSheetId="35">#REF!</definedName>
    <definedName name="km6th" localSheetId="5">#REF!</definedName>
    <definedName name="km6th" localSheetId="8">#REF!</definedName>
    <definedName name="km6th" localSheetId="10">#REF!</definedName>
    <definedName name="km6th" localSheetId="11">#REF!</definedName>
    <definedName name="km6th" localSheetId="37">#REF!</definedName>
    <definedName name="km6th" localSheetId="28">#REF!</definedName>
    <definedName name="km6th" localSheetId="42">#REF!</definedName>
    <definedName name="km6th" localSheetId="31">#REF!</definedName>
    <definedName name="km6th">#REF!</definedName>
    <definedName name="km6th_23">"$#REF!.$#REF!$#REF!"</definedName>
    <definedName name="km6th_32">"$#REF!.$#REF!$#REF!"</definedName>
    <definedName name="km6th_33">"$#REF!.$#REF!$#REF!"</definedName>
    <definedName name="km6th_34">"$#REF!.$#REF!$#REF!"</definedName>
    <definedName name="km6th_38">"$#REF!.$#REF!$#REF!"</definedName>
    <definedName name="km6th_41">"$#REF!.$#REF!$#REF!"</definedName>
    <definedName name="km6th_43">"$#REF!.$#REF!$#REF!"</definedName>
    <definedName name="km6th_48">"$#REF!.$#REF!$#REF!"</definedName>
    <definedName name="km6th_56">"$#REF!.$#REF!$#REF!"</definedName>
    <definedName name="km6th_57">"$#REF!.$#REF!$#REF!"</definedName>
    <definedName name="km6th_59">"$#REF!.$#REF!$#REF!"</definedName>
    <definedName name="km6th_60">"$#REF!.$#REF!$#REF!"</definedName>
    <definedName name="km6th_61">"$#REF!.$#REF!$#REF!"</definedName>
    <definedName name="km6th_62">"$#REF!.$#REF!$#REF!"</definedName>
    <definedName name="km6th_7">"$#REF!.$#REF!$#REF!"</definedName>
    <definedName name="km6th_72">"$#REF!.$#REF!$#REF!"</definedName>
    <definedName name="km6th_73">"$#REF!.$#REF!$#REF!"</definedName>
    <definedName name="km6th_8">"$#REF!.$#REF!$#REF!"</definedName>
    <definedName name="km7th" localSheetId="33">#REF!</definedName>
    <definedName name="km7th" localSheetId="34">#REF!</definedName>
    <definedName name="km7th" localSheetId="35">#REF!</definedName>
    <definedName name="km7th" localSheetId="5">#REF!</definedName>
    <definedName name="km7th" localSheetId="8">#REF!</definedName>
    <definedName name="km7th" localSheetId="10">#REF!</definedName>
    <definedName name="km7th" localSheetId="11">#REF!</definedName>
    <definedName name="km7th" localSheetId="37">#REF!</definedName>
    <definedName name="km7th" localSheetId="28">#REF!</definedName>
    <definedName name="km7th" localSheetId="42">#REF!</definedName>
    <definedName name="km7th" localSheetId="31">#REF!</definedName>
    <definedName name="km7th">#REF!</definedName>
    <definedName name="km7th_23">"$#REF!.$#REF!$#REF!"</definedName>
    <definedName name="km7th_32">"$#REF!.$#REF!$#REF!"</definedName>
    <definedName name="km7th_33">"$#REF!.$#REF!$#REF!"</definedName>
    <definedName name="km7th_34">"$#REF!.$#REF!$#REF!"</definedName>
    <definedName name="km7th_38">"$#REF!.$#REF!$#REF!"</definedName>
    <definedName name="km7th_41">"$#REF!.$#REF!$#REF!"</definedName>
    <definedName name="km7th_43">"$#REF!.$#REF!$#REF!"</definedName>
    <definedName name="km7th_48">"$#REF!.$#REF!$#REF!"</definedName>
    <definedName name="km7th_56">"$#REF!.$#REF!$#REF!"</definedName>
    <definedName name="km7th_57">"$#REF!.$#REF!$#REF!"</definedName>
    <definedName name="km7th_59">"$#REF!.$#REF!$#REF!"</definedName>
    <definedName name="km7th_60">"$#REF!.$#REF!$#REF!"</definedName>
    <definedName name="km7th_61">"$#REF!.$#REF!$#REF!"</definedName>
    <definedName name="km7th_62">"$#REF!.$#REF!$#REF!"</definedName>
    <definedName name="km7th_7">"$#REF!.$#REF!$#REF!"</definedName>
    <definedName name="km7th_72">"$#REF!.$#REF!$#REF!"</definedName>
    <definedName name="km7th_73">"$#REF!.$#REF!$#REF!"</definedName>
    <definedName name="km7th_8">"$#REF!.$#REF!$#REF!"</definedName>
    <definedName name="km8th" localSheetId="33">#REF!</definedName>
    <definedName name="km8th" localSheetId="34">#REF!</definedName>
    <definedName name="km8th" localSheetId="35">#REF!</definedName>
    <definedName name="km8th" localSheetId="5">#REF!</definedName>
    <definedName name="km8th" localSheetId="8">#REF!</definedName>
    <definedName name="km8th" localSheetId="10">#REF!</definedName>
    <definedName name="km8th" localSheetId="11">#REF!</definedName>
    <definedName name="km8th" localSheetId="37">#REF!</definedName>
    <definedName name="km8th" localSheetId="28">#REF!</definedName>
    <definedName name="km8th" localSheetId="42">#REF!</definedName>
    <definedName name="km8th" localSheetId="31">#REF!</definedName>
    <definedName name="km8th">#REF!</definedName>
    <definedName name="km8th_23">"$#REF!.$#REF!$#REF!"</definedName>
    <definedName name="km8th_32">"$#REF!.$#REF!$#REF!"</definedName>
    <definedName name="km8th_33">"$#REF!.$#REF!$#REF!"</definedName>
    <definedName name="km8th_34">"$#REF!.$#REF!$#REF!"</definedName>
    <definedName name="km8th_38">"$#REF!.$#REF!$#REF!"</definedName>
    <definedName name="km8th_41">"$#REF!.$#REF!$#REF!"</definedName>
    <definedName name="km8th_43">"$#REF!.$#REF!$#REF!"</definedName>
    <definedName name="km8th_48">"$#REF!.$#REF!$#REF!"</definedName>
    <definedName name="km8th_56">"$#REF!.$#REF!$#REF!"</definedName>
    <definedName name="km8th_57">"$#REF!.$#REF!$#REF!"</definedName>
    <definedName name="km8th_59">"$#REF!.$#REF!$#REF!"</definedName>
    <definedName name="km8th_60">"$#REF!.$#REF!$#REF!"</definedName>
    <definedName name="km8th_61">"$#REF!.$#REF!$#REF!"</definedName>
    <definedName name="km8th_62">"$#REF!.$#REF!$#REF!"</definedName>
    <definedName name="km8th_7">"$#REF!.$#REF!$#REF!"</definedName>
    <definedName name="km8th_72">"$#REF!.$#REF!$#REF!"</definedName>
    <definedName name="km8th_73">"$#REF!.$#REF!$#REF!"</definedName>
    <definedName name="km8th_8">"$#REF!.$#REF!$#REF!"</definedName>
    <definedName name="km9th" localSheetId="33">#REF!</definedName>
    <definedName name="km9th" localSheetId="34">#REF!</definedName>
    <definedName name="km9th" localSheetId="35">#REF!</definedName>
    <definedName name="km9th" localSheetId="5">#REF!</definedName>
    <definedName name="km9th" localSheetId="8">#REF!</definedName>
    <definedName name="km9th" localSheetId="10">#REF!</definedName>
    <definedName name="km9th" localSheetId="11">#REF!</definedName>
    <definedName name="km9th" localSheetId="37">#REF!</definedName>
    <definedName name="km9th" localSheetId="28">#REF!</definedName>
    <definedName name="km9th" localSheetId="42">#REF!</definedName>
    <definedName name="km9th" localSheetId="31">#REF!</definedName>
    <definedName name="km9th">#REF!</definedName>
    <definedName name="km9th_23">"$#REF!.$#REF!$#REF!"</definedName>
    <definedName name="km9th_32">"$#REF!.$#REF!$#REF!"</definedName>
    <definedName name="km9th_33">"$#REF!.$#REF!$#REF!"</definedName>
    <definedName name="km9th_34">"$#REF!.$#REF!$#REF!"</definedName>
    <definedName name="km9th_38">"$#REF!.$#REF!$#REF!"</definedName>
    <definedName name="km9th_41">"$#REF!.$#REF!$#REF!"</definedName>
    <definedName name="km9th_43">"$#REF!.$#REF!$#REF!"</definedName>
    <definedName name="km9th_48">"$#REF!.$#REF!$#REF!"</definedName>
    <definedName name="km9th_56">"$#REF!.$#REF!$#REF!"</definedName>
    <definedName name="km9th_57">"$#REF!.$#REF!$#REF!"</definedName>
    <definedName name="km9th_59">"$#REF!.$#REF!$#REF!"</definedName>
    <definedName name="km9th_60">"$#REF!.$#REF!$#REF!"</definedName>
    <definedName name="km9th_61">"$#REF!.$#REF!$#REF!"</definedName>
    <definedName name="km9th_62">"$#REF!.$#REF!$#REF!"</definedName>
    <definedName name="km9th_7">"$#REF!.$#REF!$#REF!"</definedName>
    <definedName name="km9th_72">"$#REF!.$#REF!$#REF!"</definedName>
    <definedName name="km9th_73">"$#REF!.$#REF!$#REF!"</definedName>
    <definedName name="km9th_8">"$#REF!.$#REF!$#REF!"</definedName>
    <definedName name="Knr" localSheetId="33">#REF!</definedName>
    <definedName name="Knr" localSheetId="34">#REF!</definedName>
    <definedName name="Knr" localSheetId="5">#REF!</definedName>
    <definedName name="Knr" localSheetId="8">#REF!</definedName>
    <definedName name="Knr" localSheetId="10">#REF!</definedName>
    <definedName name="Knr" localSheetId="11">#REF!</definedName>
    <definedName name="Knr" localSheetId="28">#REF!</definedName>
    <definedName name="Knr" localSheetId="42">#REF!</definedName>
    <definedName name="Knr">#REF!</definedName>
    <definedName name="ko" localSheetId="8">#REF!</definedName>
    <definedName name="ko" localSheetId="10">#REF!</definedName>
    <definedName name="ko" localSheetId="28">#REF!</definedName>
    <definedName name="ko">#REF!</definedName>
    <definedName name="kp">[90]Intput!$L$85</definedName>
    <definedName name="KSF" localSheetId="8">#REF!</definedName>
    <definedName name="KSF" localSheetId="10">#REF!</definedName>
    <definedName name="KSF" localSheetId="28">#REF!</definedName>
    <definedName name="KSF">#REF!</definedName>
    <definedName name="l">[172]Labour!$D$8</definedName>
    <definedName name="L_Bhisti" localSheetId="37">[156]Labour!$D$3</definedName>
    <definedName name="L_Bhisti">[173]Labour!$D$3</definedName>
    <definedName name="L_Bhisti_32" localSheetId="28">#REF!</definedName>
    <definedName name="L_Bhisti_33">#REF!</definedName>
    <definedName name="L_Bhisti_34">#REF!</definedName>
    <definedName name="L_Bhisti_43">#REF!</definedName>
    <definedName name="L_Bhisti_55">#REF!</definedName>
    <definedName name="L_Bhisti_56">#REF!</definedName>
    <definedName name="L_Bhisti_59">#REF!</definedName>
    <definedName name="L_Bhisti_61">#REF!</definedName>
    <definedName name="L_BISTI" localSheetId="33">#REF!</definedName>
    <definedName name="L_BISTI" localSheetId="34">#REF!</definedName>
    <definedName name="L_BISTI" localSheetId="5">#REF!</definedName>
    <definedName name="L_BISTI" localSheetId="8">#REF!</definedName>
    <definedName name="L_BISTI" localSheetId="10">#REF!</definedName>
    <definedName name="L_BISTI" localSheetId="11">#REF!</definedName>
    <definedName name="L_BISTI" localSheetId="37">#REF!</definedName>
    <definedName name="L_BISTI" localSheetId="28">#REF!</definedName>
    <definedName name="L_BISTI" localSheetId="42">#REF!</definedName>
    <definedName name="L_BISTI">#REF!</definedName>
    <definedName name="L_BitumenSprayer" localSheetId="37">[172]Labour!$D$4</definedName>
    <definedName name="L_BitumenSprayer">[173]Labour!$D$4</definedName>
    <definedName name="L_BitumenSprayer_55" localSheetId="28">#REF!</definedName>
    <definedName name="L_Blacksmith" localSheetId="37">[156]Labour!$D$5</definedName>
    <definedName name="L_Blacksmith">[173]Labour!$D$5</definedName>
    <definedName name="L_Blacksmith_32" localSheetId="28">#REF!</definedName>
    <definedName name="L_Blacksmith_33">#REF!</definedName>
    <definedName name="L_Blacksmith_34">#REF!</definedName>
    <definedName name="L_Blacksmith_43">#REF!</definedName>
    <definedName name="L_Blacksmith_55">#REF!</definedName>
    <definedName name="L_Blacksmith_56">#REF!</definedName>
    <definedName name="L_Blacksmith_59">#REF!</definedName>
    <definedName name="L_Blacksmith_61">#REF!</definedName>
    <definedName name="L_Blaster" localSheetId="37">[174]Labour!$D$6</definedName>
    <definedName name="L_Blaster">[173]Labour!$D$6</definedName>
    <definedName name="L_BSMIT" localSheetId="33">#REF!</definedName>
    <definedName name="L_BSMIT" localSheetId="34">#REF!</definedName>
    <definedName name="L_BSMIT" localSheetId="5">#REF!</definedName>
    <definedName name="L_BSMIT" localSheetId="8">#REF!</definedName>
    <definedName name="L_BSMIT" localSheetId="10">#REF!</definedName>
    <definedName name="L_BSMIT" localSheetId="11">#REF!</definedName>
    <definedName name="L_BSMIT" localSheetId="37">#REF!</definedName>
    <definedName name="L_BSMIT" localSheetId="28">#REF!</definedName>
    <definedName name="L_BSMIT" localSheetId="42">#REF!</definedName>
    <definedName name="L_BSMIT">#REF!</definedName>
    <definedName name="L_Carpenter_1stClass" localSheetId="37">[175]Labour!$D$7</definedName>
    <definedName name="L_Carpenter_1stClass">[173]Labour!$D$7</definedName>
    <definedName name="L_Carpenter_1stClass_32" localSheetId="28">#REF!</definedName>
    <definedName name="L_Carpenter_1stClass_33">#REF!</definedName>
    <definedName name="L_Carpenter_1stClass_34">#REF!</definedName>
    <definedName name="L_Carpenter_1stClass_43">#REF!</definedName>
    <definedName name="L_Carpenter_1stClass_56">#REF!</definedName>
    <definedName name="L_Carpenter_1stClass_59">#REF!</definedName>
    <definedName name="L_Carpenter_1stClass_61">#REF!</definedName>
    <definedName name="L_ChipsSpreader" localSheetId="37">[172]Labour!$D$8</definedName>
    <definedName name="L_ChipsSpreader">[173]Labour!$D$8</definedName>
    <definedName name="L_ChipsSpreader_55" localSheetId="28">#REF!</definedName>
    <definedName name="L_Chiseller" localSheetId="37">[175]Labour!$D$9</definedName>
    <definedName name="L_Chiseller">[173]Labour!$D$9</definedName>
    <definedName name="L_Chiseller_32" localSheetId="28">#REF!</definedName>
    <definedName name="L_Chiseller_33">#REF!</definedName>
    <definedName name="L_Chiseller_34">#REF!</definedName>
    <definedName name="L_Chiseller_43">#REF!</definedName>
    <definedName name="L_Chiseller_56">#REF!</definedName>
    <definedName name="L_Chiseller_59">#REF!</definedName>
    <definedName name="L_Chiseller_61">#REF!</definedName>
    <definedName name="L_CPENTER" localSheetId="33">#REF!</definedName>
    <definedName name="L_CPENTER" localSheetId="34">#REF!</definedName>
    <definedName name="L_CPENTER" localSheetId="5">#REF!</definedName>
    <definedName name="L_CPENTER" localSheetId="8">#REF!</definedName>
    <definedName name="L_CPENTER" localSheetId="10">#REF!</definedName>
    <definedName name="L_CPENTER" localSheetId="11">#REF!</definedName>
    <definedName name="L_CPENTER" localSheetId="37">#REF!</definedName>
    <definedName name="L_CPENTER" localSheetId="28">#REF!</definedName>
    <definedName name="L_CPENTER" localSheetId="42">#REF!</definedName>
    <definedName name="L_CPENTER">#REF!</definedName>
    <definedName name="L_Dresser_Skilled" localSheetId="37">[175]Labour!$D$10</definedName>
    <definedName name="L_Dresser_Skilled">[173]Labour!$D$10</definedName>
    <definedName name="L_Dresser_Skilled_32" localSheetId="28">#REF!</definedName>
    <definedName name="L_Dresser_Skilled_33">#REF!</definedName>
    <definedName name="L_Dresser_Skilled_34">#REF!</definedName>
    <definedName name="L_Dresser_Skilled_43">#REF!</definedName>
    <definedName name="L_Dresser_Skilled_56">#REF!</definedName>
    <definedName name="L_Dresser_Skilled_59">#REF!</definedName>
    <definedName name="L_Dresser_Skilled_61">#REF!</definedName>
    <definedName name="L_Driller" localSheetId="37">[174]Labour!$D$11</definedName>
    <definedName name="L_Driller">[173]Labour!$D$11</definedName>
    <definedName name="L_ELECRICIAN" localSheetId="33">#REF!</definedName>
    <definedName name="L_ELECRICIAN" localSheetId="34">#REF!</definedName>
    <definedName name="L_ELECRICIAN" localSheetId="5">#REF!</definedName>
    <definedName name="L_ELECRICIAN" localSheetId="8">#REF!</definedName>
    <definedName name="L_ELECRICIAN" localSheetId="10">#REF!</definedName>
    <definedName name="L_ELECRICIAN" localSheetId="11">#REF!</definedName>
    <definedName name="L_ELECRICIAN" localSheetId="37">#REF!</definedName>
    <definedName name="L_ELECRICIAN" localSheetId="28">#REF!</definedName>
    <definedName name="L_ELECRICIAN" localSheetId="42">#REF!</definedName>
    <definedName name="L_ELECRICIAN">#REF!</definedName>
    <definedName name="L_Fitter" localSheetId="37">[176]Labour!$D$13</definedName>
    <definedName name="L_Fitter">[177]Labour!$D$13</definedName>
    <definedName name="L_Fitter_32" localSheetId="28">#REF!</definedName>
    <definedName name="L_Fitter_33">#REF!</definedName>
    <definedName name="L_Fitter_34">#REF!</definedName>
    <definedName name="L_Fitter_43">#REF!</definedName>
    <definedName name="L_Fitter_56">#REF!</definedName>
    <definedName name="L_Fitter_59">#REF!</definedName>
    <definedName name="L_Fitter_61">#REF!</definedName>
    <definedName name="L_Mason_1stClass" localSheetId="37">[156]Labour!$D$14</definedName>
    <definedName name="L_Mason_1stClass">[173]Labour!$D$14</definedName>
    <definedName name="L_Mason_1stClass_32" localSheetId="28">#REF!</definedName>
    <definedName name="L_Mason_1stClass_33">#REF!</definedName>
    <definedName name="L_Mason_1stClass_34">#REF!</definedName>
    <definedName name="L_Mason_1stClass_43">#REF!</definedName>
    <definedName name="L_Mason_1stClass_55">#REF!</definedName>
    <definedName name="L_Mason_1stClass_56">#REF!</definedName>
    <definedName name="L_Mason_1stClass_59">#REF!</definedName>
    <definedName name="L_Mason_1stClass_61">#REF!</definedName>
    <definedName name="L_Mason_2ndClass" localSheetId="37">[156]Labour!$D$15</definedName>
    <definedName name="L_Mason_2ndClass">[173]Labour!$D$15</definedName>
    <definedName name="L_Mason_2ndClass_32" localSheetId="28">#REF!</definedName>
    <definedName name="L_Mason_2ndClass_33">#REF!</definedName>
    <definedName name="L_Mason_2ndClass_34">#REF!</definedName>
    <definedName name="L_Mason_2ndClass_43">#REF!</definedName>
    <definedName name="L_Mason_2ndClass_55">#REF!</definedName>
    <definedName name="L_Mason_2ndClass_56">#REF!</definedName>
    <definedName name="L_Mason_2ndClass_59">#REF!</definedName>
    <definedName name="L_Mason_2ndClass_61">#REF!</definedName>
    <definedName name="L_MASON1" localSheetId="33">#REF!</definedName>
    <definedName name="L_MASON1" localSheetId="34">#REF!</definedName>
    <definedName name="L_MASON1" localSheetId="5">#REF!</definedName>
    <definedName name="L_MASON1" localSheetId="8">#REF!</definedName>
    <definedName name="L_MASON1" localSheetId="10">#REF!</definedName>
    <definedName name="L_MASON1" localSheetId="11">#REF!</definedName>
    <definedName name="L_MASON1" localSheetId="37">#REF!</definedName>
    <definedName name="L_MASON1" localSheetId="28">#REF!</definedName>
    <definedName name="L_MASON1" localSheetId="42">#REF!</definedName>
    <definedName name="L_MASON1">#REF!</definedName>
    <definedName name="L_MASON2" localSheetId="33">#REF!</definedName>
    <definedName name="L_MASON2" localSheetId="34">#REF!</definedName>
    <definedName name="L_MASON2" localSheetId="5">#REF!</definedName>
    <definedName name="L_MASON2" localSheetId="8">#REF!</definedName>
    <definedName name="L_MASON2" localSheetId="10">#REF!</definedName>
    <definedName name="L_MASON2" localSheetId="11">#REF!</definedName>
    <definedName name="L_MASON2" localSheetId="37">#REF!</definedName>
    <definedName name="L_MASON2" localSheetId="28">#REF!</definedName>
    <definedName name="L_MASON2" localSheetId="42">#REF!</definedName>
    <definedName name="L_MASON2">#REF!</definedName>
    <definedName name="L_Mate" localSheetId="37">[156]Labour!$D$16</definedName>
    <definedName name="L_Mate">[173]Labour!$D$16</definedName>
    <definedName name="L_Mate_32" localSheetId="28">#REF!</definedName>
    <definedName name="L_Mate_33">#REF!</definedName>
    <definedName name="L_Mate_34">#REF!</definedName>
    <definedName name="L_Mate_43">#REF!</definedName>
    <definedName name="L_Mate_55">#REF!</definedName>
    <definedName name="L_Mate_56">#REF!</definedName>
    <definedName name="L_Mate_59">#REF!</definedName>
    <definedName name="L_Mate_61">#REF!</definedName>
    <definedName name="L_MAZDOOES" localSheetId="33">#REF!</definedName>
    <definedName name="L_MAZDOOES" localSheetId="34">#REF!</definedName>
    <definedName name="L_MAZDOOES" localSheetId="5">#REF!</definedName>
    <definedName name="L_MAZDOOES" localSheetId="8">#REF!</definedName>
    <definedName name="L_MAZDOOES" localSheetId="10">#REF!</definedName>
    <definedName name="L_MAZDOOES" localSheetId="11">#REF!</definedName>
    <definedName name="L_MAZDOOES" localSheetId="37">#REF!</definedName>
    <definedName name="L_MAZDOOES" localSheetId="28">#REF!</definedName>
    <definedName name="L_MAZDOOES" localSheetId="42">#REF!</definedName>
    <definedName name="L_MAZDOOES">#REF!</definedName>
    <definedName name="L_Mazdoor" localSheetId="37">[156]Labour!$D$17</definedName>
    <definedName name="L_Mazdoor">[173]Labour!$D$17</definedName>
    <definedName name="L_Mazdoor_32" localSheetId="28">#REF!</definedName>
    <definedName name="L_Mazdoor_33">#REF!</definedName>
    <definedName name="L_Mazdoor_34">#REF!</definedName>
    <definedName name="L_Mazdoor_43">#REF!</definedName>
    <definedName name="L_Mazdoor_55">#REF!</definedName>
    <definedName name="L_Mazdoor_56">#REF!</definedName>
    <definedName name="L_Mazdoor_59">#REF!</definedName>
    <definedName name="L_Mazdoor_61">#REF!</definedName>
    <definedName name="L_Mazdoor_Semi" localSheetId="37">[156]Labour!$D$18</definedName>
    <definedName name="L_Mazdoor_Semi">[173]Labour!$D$18</definedName>
    <definedName name="L_Mazdoor_Semi_32" localSheetId="28">#REF!</definedName>
    <definedName name="L_Mazdoor_Semi_33">#REF!</definedName>
    <definedName name="L_Mazdoor_Semi_34">#REF!</definedName>
    <definedName name="L_Mazdoor_Semi_43">#REF!</definedName>
    <definedName name="L_Mazdoor_Semi_55">#REF!</definedName>
    <definedName name="L_Mazdoor_Semi_56">#REF!</definedName>
    <definedName name="L_Mazdoor_Semi_59">#REF!</definedName>
    <definedName name="L_Mazdoor_Semi_61">#REF!</definedName>
    <definedName name="L_Mazdoor_Skilled" localSheetId="37">[156]Labour!$D$19</definedName>
    <definedName name="L_Mazdoor_Skilled">[173]Labour!$D$19</definedName>
    <definedName name="L_Mazdoor_Skilled_32" localSheetId="28">#REF!</definedName>
    <definedName name="L_Mazdoor_Skilled_33">#REF!</definedName>
    <definedName name="L_Mazdoor_Skilled_34">#REF!</definedName>
    <definedName name="L_Mazdoor_Skilled_43">#REF!</definedName>
    <definedName name="L_Mazdoor_Skilled_55">#REF!</definedName>
    <definedName name="L_Mazdoor_Skilled_56">#REF!</definedName>
    <definedName name="L_Mazdoor_Skilled_59">#REF!</definedName>
    <definedName name="L_Mazdoor_Skilled_61">#REF!</definedName>
    <definedName name="L_MAZDOORSK" localSheetId="33">#REF!</definedName>
    <definedName name="L_MAZDOORSK" localSheetId="34">#REF!</definedName>
    <definedName name="L_MAZDOORSK" localSheetId="5">#REF!</definedName>
    <definedName name="L_MAZDOORSK" localSheetId="8">#REF!</definedName>
    <definedName name="L_MAZDOORSK" localSheetId="10">#REF!</definedName>
    <definedName name="L_MAZDOORSK" localSheetId="11">#REF!</definedName>
    <definedName name="L_MAZDOORSK" localSheetId="37">#REF!</definedName>
    <definedName name="L_MAZDOORSK" localSheetId="28">#REF!</definedName>
    <definedName name="L_MAZDOORSK" localSheetId="42">#REF!</definedName>
    <definedName name="L_MAZDOORSK">#REF!</definedName>
    <definedName name="L_MAZDOORUS" localSheetId="33">#REF!</definedName>
    <definedName name="L_MAZDOORUS" localSheetId="34">#REF!</definedName>
    <definedName name="L_MAZDOORUS" localSheetId="5">#REF!</definedName>
    <definedName name="L_MAZDOORUS" localSheetId="8">#REF!</definedName>
    <definedName name="L_MAZDOORUS" localSheetId="10">#REF!</definedName>
    <definedName name="L_MAZDOORUS" localSheetId="11">#REF!</definedName>
    <definedName name="L_MAZDOORUS" localSheetId="37">#REF!</definedName>
    <definedName name="L_MAZDOORUS" localSheetId="28">#REF!</definedName>
    <definedName name="L_MAZDOORUS" localSheetId="42">#REF!</definedName>
    <definedName name="L_MAZDOORUS">#REF!</definedName>
    <definedName name="L_Painter_1stClass" localSheetId="37">[175]Labour!$D$20</definedName>
    <definedName name="L_Painter_1stClass">[173]Labour!$D$20</definedName>
    <definedName name="L_Painter_1stClass_32" localSheetId="28">#REF!</definedName>
    <definedName name="L_Painter_1stClass_33">#REF!</definedName>
    <definedName name="L_Painter_1stClass_34">#REF!</definedName>
    <definedName name="L_Painter_1stClass_43">#REF!</definedName>
    <definedName name="L_Painter_1stClass_56">#REF!</definedName>
    <definedName name="L_Painter_1stClass_59">#REF!</definedName>
    <definedName name="L_Painter_1stClass_61">#REF!</definedName>
    <definedName name="L_Plumber" localSheetId="37">[175]Labour!$D$21</definedName>
    <definedName name="L_Plumber">[173]Labour!$D$21</definedName>
    <definedName name="L_Plumber_32" localSheetId="28">#REF!</definedName>
    <definedName name="L_Plumber_33">#REF!</definedName>
    <definedName name="L_Plumber_34">#REF!</definedName>
    <definedName name="L_Plumber_43">#REF!</definedName>
    <definedName name="L_Plumber_56">#REF!</definedName>
    <definedName name="L_Plumber_59">#REF!</definedName>
    <definedName name="L_Plumber_61">#REF!</definedName>
    <definedName name="L_SURVEYER" localSheetId="33">#REF!</definedName>
    <definedName name="L_SURVEYER" localSheetId="34">#REF!</definedName>
    <definedName name="L_SURVEYER" localSheetId="5">#REF!</definedName>
    <definedName name="L_SURVEYER" localSheetId="8">#REF!</definedName>
    <definedName name="L_SURVEYER" localSheetId="10">#REF!</definedName>
    <definedName name="L_SURVEYER" localSheetId="11">#REF!</definedName>
    <definedName name="L_SURVEYER" localSheetId="37">#REF!</definedName>
    <definedName name="L_SURVEYER" localSheetId="28">#REF!</definedName>
    <definedName name="L_SURVEYER" localSheetId="42">#REF!</definedName>
    <definedName name="L_SURVEYER">#REF!</definedName>
    <definedName name="L_Surveyor" localSheetId="37">[156]Labour!$D$22</definedName>
    <definedName name="L_Surveyor">[173]Labour!$D$22</definedName>
    <definedName name="L_Surveyor_32" localSheetId="28">#REF!</definedName>
    <definedName name="L_Surveyor_33">#REF!</definedName>
    <definedName name="L_Surveyor_34">#REF!</definedName>
    <definedName name="L_Surveyor_43">#REF!</definedName>
    <definedName name="L_Surveyor_55">#REF!</definedName>
    <definedName name="L_Surveyor_56">#REF!</definedName>
    <definedName name="L_Surveyor_59">#REF!</definedName>
    <definedName name="L_Surveyor_61">#REF!</definedName>
    <definedName name="L_WhiteWasher" localSheetId="37">[175]Labour!$D$23</definedName>
    <definedName name="L_WhiteWasher">[173]Labour!$D$23</definedName>
    <definedName name="L_WhiteWasher_32" localSheetId="28">#REF!</definedName>
    <definedName name="L_WhiteWasher_33">#REF!</definedName>
    <definedName name="L_WhiteWasher_34">#REF!</definedName>
    <definedName name="L_WhiteWasher_43">#REF!</definedName>
    <definedName name="L_WhiteWasher_56">#REF!</definedName>
    <definedName name="L_WhiteWasher_59">#REF!</definedName>
    <definedName name="L_WhiteWasher_61">#REF!</definedName>
    <definedName name="l1_33">#REF!</definedName>
    <definedName name="l1_34">#REF!</definedName>
    <definedName name="l12_33">"$#REF!.$A$3:$E$108"</definedName>
    <definedName name="l12_34">"$#REF!.$A$3:$E$108"</definedName>
    <definedName name="l3_33">"$#REF!.$A$2:$L$14"</definedName>
    <definedName name="l3_34">"$#REF!.$A$2:$L$14"</definedName>
    <definedName name="l4_33">#REF!</definedName>
    <definedName name="l4_34">#REF!</definedName>
    <definedName name="l5_33">"$#REF!.$D$5"</definedName>
    <definedName name="l5_34">"$#REF!.$D$5"</definedName>
    <definedName name="La" localSheetId="28">#REF!</definedName>
    <definedName name="laborvcc" localSheetId="33">#REF!</definedName>
    <definedName name="laborvcc" localSheetId="34">#REF!</definedName>
    <definedName name="laborvcc" localSheetId="37">#REF!</definedName>
    <definedName name="laborvcc">#REF!</definedName>
    <definedName name="laborvrcc" localSheetId="33">#REF!</definedName>
    <definedName name="laborvrcc" localSheetId="34">#REF!</definedName>
    <definedName name="laborvrcc" localSheetId="37">#REF!</definedName>
    <definedName name="laborvrcc">#REF!</definedName>
    <definedName name="lac">#REF!</definedName>
    <definedName name="LAF" localSheetId="14">#REF!</definedName>
    <definedName name="LAF" localSheetId="8">#REF!</definedName>
    <definedName name="LAF" localSheetId="10">#REF!</definedName>
    <definedName name="LAF" localSheetId="28">#REF!</definedName>
    <definedName name="LAF">#REF!</definedName>
    <definedName name="lakshmi">[178]Material!$D$113</definedName>
    <definedName name="lakshmi_43" localSheetId="28">#REF!</definedName>
    <definedName name="lakshmi_59">#REF!</definedName>
    <definedName name="lakshmi_61">#REF!</definedName>
    <definedName name="lali" localSheetId="8">#REF!</definedName>
    <definedName name="lali" localSheetId="10">#REF!</definedName>
    <definedName name="lali" localSheetId="11">#REF!</definedName>
    <definedName name="lali" localSheetId="28">#REF!</definedName>
    <definedName name="lali">#REF!</definedName>
    <definedName name="LBCW" localSheetId="14">#REF!</definedName>
    <definedName name="LBCW" localSheetId="8">#REF!</definedName>
    <definedName name="LBCW" localSheetId="10">#REF!</definedName>
    <definedName name="LBCW" localSheetId="28">#REF!</definedName>
    <definedName name="LBCW">#REF!</definedName>
    <definedName name="LBM" localSheetId="33">#REF!</definedName>
    <definedName name="LBM" localSheetId="34">#REF!</definedName>
    <definedName name="LBM" localSheetId="5">#REF!</definedName>
    <definedName name="LBM" localSheetId="8">#REF!</definedName>
    <definedName name="LBM" localSheetId="10">#REF!</definedName>
    <definedName name="LBM" localSheetId="11">#REF!</definedName>
    <definedName name="LBM" localSheetId="37">#REF!</definedName>
    <definedName name="LBM" localSheetId="28">#REF!</definedName>
    <definedName name="LBM" localSheetId="42">#REF!</definedName>
    <definedName name="LBM">#REF!</definedName>
    <definedName name="lbrick" localSheetId="8">#REF!</definedName>
    <definedName name="lbrick" localSheetId="10">#REF!</definedName>
    <definedName name="lbrick" localSheetId="28">#REF!</definedName>
    <definedName name="lbrick" localSheetId="42">#REF!</definedName>
    <definedName name="lbrick">#REF!</definedName>
    <definedName name="LBTC" localSheetId="8">#REF!</definedName>
    <definedName name="LBTC" localSheetId="10">#REF!</definedName>
    <definedName name="LBTC" localSheetId="28">#REF!</definedName>
    <definedName name="LBTC">#REF!</definedName>
    <definedName name="LBTS" localSheetId="8">#REF!</definedName>
    <definedName name="LBTS" localSheetId="10">#REF!</definedName>
    <definedName name="LBTS" localSheetId="28">#REF!</definedName>
    <definedName name="LBTS">#REF!</definedName>
    <definedName name="LC" localSheetId="8">#REF!</definedName>
    <definedName name="LC" localSheetId="10">#REF!</definedName>
    <definedName name="LC" localSheetId="28">#REF!</definedName>
    <definedName name="LC">#REF!</definedName>
    <definedName name="LCN" localSheetId="28">#REF!</definedName>
    <definedName name="LCS" localSheetId="28">#REF!</definedName>
    <definedName name="le" localSheetId="8">#REF!</definedName>
    <definedName name="le" localSheetId="10">#REF!</definedName>
    <definedName name="le" localSheetId="11">#REF!</definedName>
    <definedName name="le" localSheetId="28">#REF!</definedName>
    <definedName name="le">#REF!</definedName>
    <definedName name="lead" localSheetId="33">#REF!</definedName>
    <definedName name="lead" localSheetId="34">#REF!</definedName>
    <definedName name="lead" localSheetId="35">#REF!</definedName>
    <definedName name="lead" localSheetId="5">#REF!</definedName>
    <definedName name="lead" localSheetId="8">#REF!</definedName>
    <definedName name="lead" localSheetId="10">#REF!</definedName>
    <definedName name="lead" localSheetId="11">#REF!</definedName>
    <definedName name="lead" localSheetId="37">#REF!</definedName>
    <definedName name="lead" localSheetId="28">#REF!</definedName>
    <definedName name="lead" localSheetId="42">#REF!</definedName>
    <definedName name="lead" localSheetId="31">#REF!</definedName>
    <definedName name="lead">#REF!</definedName>
    <definedName name="lead_33">"$#REF!.$#REF!$#REF!"</definedName>
    <definedName name="lead_34">"$#REF!.$#REF!$#REF!"</definedName>
    <definedName name="Lead_gravel" localSheetId="33">[179]Lead!$E$6</definedName>
    <definedName name="Lead_gravel" localSheetId="34">[179]Lead!$E$6</definedName>
    <definedName name="Lead_gravel" localSheetId="37">#REF!</definedName>
    <definedName name="Lead_gravel">#REF!</definedName>
    <definedName name="Lead_in_Kms">'[180]INPUT-SHEET'!$F$16:$F$17</definedName>
    <definedName name="Lead_metal_mc" localSheetId="33">[179]Lead!$E$13</definedName>
    <definedName name="Lead_metal_mc" localSheetId="34">[179]Lead!$E$13</definedName>
    <definedName name="Lead_metal_mc" localSheetId="37">#REF!</definedName>
    <definedName name="Lead_metal_mc">#REF!</definedName>
    <definedName name="Lead_Metal_ss" localSheetId="33">[179]Lead!$E$21</definedName>
    <definedName name="Lead_Metal_ss" localSheetId="34">[179]Lead!$E$21</definedName>
    <definedName name="Lead_Metal_ss" localSheetId="37">#REF!</definedName>
    <definedName name="Lead_Metal_ss">#REF!</definedName>
    <definedName name="lead_prin" localSheetId="33">#REF!</definedName>
    <definedName name="lead_prin" localSheetId="34">#REF!</definedName>
    <definedName name="lead_prin" localSheetId="35">#REF!</definedName>
    <definedName name="lead_prin" localSheetId="5">#REF!</definedName>
    <definedName name="lead_prin" localSheetId="8">#REF!</definedName>
    <definedName name="lead_prin" localSheetId="10">#REF!</definedName>
    <definedName name="lead_prin" localSheetId="11">#REF!</definedName>
    <definedName name="lead_prin" localSheetId="37">#REF!</definedName>
    <definedName name="lead_prin" localSheetId="28">#REF!</definedName>
    <definedName name="lead_prin" localSheetId="42">#REF!</definedName>
    <definedName name="lead_prin" localSheetId="31">#REF!</definedName>
    <definedName name="lead_prin">#REF!</definedName>
    <definedName name="lead_prin_33">"$#REF!.$#REF!$#REF!"</definedName>
    <definedName name="lead_prin_34">"$#REF!.$#REF!$#REF!"</definedName>
    <definedName name="Lead_sand_filling" localSheetId="33">[179]Lead!$E$7</definedName>
    <definedName name="Lead_sand_filling" localSheetId="34">[179]Lead!$E$7</definedName>
    <definedName name="Lead_sand_filling" localSheetId="37">#REF!</definedName>
    <definedName name="Lead_sand_filling">#REF!</definedName>
    <definedName name="Lead_sand_mortor" localSheetId="33">[179]Lead!$E$20</definedName>
    <definedName name="Lead_sand_mortor" localSheetId="34">[179]Lead!$E$20</definedName>
    <definedName name="Lead_sand_mortor" localSheetId="37">#REF!</definedName>
    <definedName name="Lead_sand_mortor">#REF!</definedName>
    <definedName name="Lead_stone" localSheetId="33">[179]Lead!$E$8</definedName>
    <definedName name="Lead_stone" localSheetId="34">[179]Lead!$E$8</definedName>
    <definedName name="Lead_stone" localSheetId="37">#REF!</definedName>
    <definedName name="Lead_stone">#REF!</definedName>
    <definedName name="lead3" localSheetId="33">#REF!</definedName>
    <definedName name="lead3" localSheetId="34">#REF!</definedName>
    <definedName name="lead3" localSheetId="35">#REF!</definedName>
    <definedName name="lead3" localSheetId="5">#REF!</definedName>
    <definedName name="lead3" localSheetId="8">#REF!</definedName>
    <definedName name="lead3" localSheetId="10">#REF!</definedName>
    <definedName name="lead3" localSheetId="11">#REF!</definedName>
    <definedName name="lead3" localSheetId="37">#REF!</definedName>
    <definedName name="lead3" localSheetId="28">#REF!</definedName>
    <definedName name="lead3" localSheetId="42">#REF!</definedName>
    <definedName name="lead3" localSheetId="31">#REF!</definedName>
    <definedName name="lead3">#REF!</definedName>
    <definedName name="lead3_33">"$#REF!.$#REF!$#REF!"</definedName>
    <definedName name="lead3_34">"$#REF!.$#REF!$#REF!"</definedName>
    <definedName name="leada" localSheetId="8">#REF!</definedName>
    <definedName name="leada" localSheetId="10">#REF!</definedName>
    <definedName name="leada" localSheetId="28">#REF!</definedName>
    <definedName name="leada" localSheetId="42">#REF!</definedName>
    <definedName name="leada">#REF!</definedName>
    <definedName name="leadprin" localSheetId="33">#REF!</definedName>
    <definedName name="leadprin" localSheetId="34">#REF!</definedName>
    <definedName name="leadprin" localSheetId="35">#REF!</definedName>
    <definedName name="leadprin" localSheetId="5">#REF!</definedName>
    <definedName name="leadprin" localSheetId="8">#REF!</definedName>
    <definedName name="leadprin" localSheetId="10">#REF!</definedName>
    <definedName name="leadprin" localSheetId="11">#REF!</definedName>
    <definedName name="leadprin" localSheetId="37">#REF!</definedName>
    <definedName name="leadprin" localSheetId="28">#REF!</definedName>
    <definedName name="leadprin" localSheetId="42">#REF!</definedName>
    <definedName name="leadprin" localSheetId="31">#REF!</definedName>
    <definedName name="leadprin">#REF!</definedName>
    <definedName name="leadprin_33">"$#REF!.$#REF!$#REF!"</definedName>
    <definedName name="leadprin_34">"$#REF!.$#REF!$#REF!"</definedName>
    <definedName name="leads" localSheetId="33">#REF!</definedName>
    <definedName name="leads" localSheetId="34">#REF!</definedName>
    <definedName name="leads" localSheetId="35">#REF!</definedName>
    <definedName name="leads" localSheetId="5">#REF!</definedName>
    <definedName name="leads" localSheetId="8">#REF!</definedName>
    <definedName name="leads" localSheetId="10">#REF!</definedName>
    <definedName name="leads" localSheetId="11">#REF!</definedName>
    <definedName name="leads" localSheetId="37">#REF!</definedName>
    <definedName name="leads" localSheetId="28">#REF!</definedName>
    <definedName name="leads" localSheetId="42">#REF!</definedName>
    <definedName name="leads" localSheetId="31">#REF!</definedName>
    <definedName name="leads">#REF!</definedName>
    <definedName name="leads_23">"$#REF!.$#REF!$#REF!"</definedName>
    <definedName name="leads_33">"$#REF!.$#REF!$#REF!"</definedName>
    <definedName name="leads_34">"$#REF!.$#REF!$#REF!"</definedName>
    <definedName name="leads_38">"$#REF!.$#REF!$#REF!"</definedName>
    <definedName name="leads_41">"$#REF!.$#REF!$#REF!"</definedName>
    <definedName name="leads_43">"$#REF!.$#REF!$#REF!"</definedName>
    <definedName name="leads_48">"$#REF!.$#REF!$#REF!"</definedName>
    <definedName name="leads_57">"$#REF!.$#REF!$#REF!"</definedName>
    <definedName name="leads_59">"$#REF!.$#REF!$#REF!"</definedName>
    <definedName name="leads_60">"$#REF!.$#REF!$#REF!"</definedName>
    <definedName name="leads_61">"$#REF!.$#REF!$#REF!"</definedName>
    <definedName name="leads_62">"$#REF!.$#REF!$#REF!"</definedName>
    <definedName name="leads_7">"$#REF!.$#REF!$#REF!"</definedName>
    <definedName name="leads_72">"$#REF!.$#REF!$#REF!"</definedName>
    <definedName name="leads_73">"$#REF!.$#REF!$#REF!"</definedName>
    <definedName name="leads_8">"$#REF!.$#REF!$#REF!"</definedName>
    <definedName name="leads1" localSheetId="37">[181]leads!$A$3:$F$53</definedName>
    <definedName name="leads1">[182]leads!$A$3:$F$53</definedName>
    <definedName name="leads11" localSheetId="37">[47]leads!$A$3:$E$107</definedName>
    <definedName name="leads11">[19]leads!$A$3:$E$107</definedName>
    <definedName name="leads2" localSheetId="37">[183]leads!$A$3:$E$307</definedName>
    <definedName name="leads2">[184]leads!$A$3:$E$307</definedName>
    <definedName name="leela" localSheetId="33">#REF!</definedName>
    <definedName name="leela" localSheetId="34">#REF!</definedName>
    <definedName name="leela" localSheetId="5">#REF!</definedName>
    <definedName name="leela" localSheetId="8">#REF!</definedName>
    <definedName name="leela" localSheetId="10">#REF!</definedName>
    <definedName name="leela" localSheetId="37">#REF!</definedName>
    <definedName name="leela" localSheetId="28">#REF!</definedName>
    <definedName name="leela" localSheetId="42">#REF!</definedName>
    <definedName name="leela">#REF!</definedName>
    <definedName name="legend" localSheetId="8">#REF!</definedName>
    <definedName name="legend" localSheetId="10">#REF!</definedName>
    <definedName name="legend" localSheetId="11">#REF!</definedName>
    <definedName name="legend" localSheetId="28">#REF!</definedName>
    <definedName name="legend">#REF!</definedName>
    <definedName name="LEN" localSheetId="33">#REF!</definedName>
    <definedName name="LEN" localSheetId="34">#REF!</definedName>
    <definedName name="LEN" localSheetId="5">#REF!</definedName>
    <definedName name="LEN" localSheetId="8">#REF!</definedName>
    <definedName name="LEN" localSheetId="10">#REF!</definedName>
    <definedName name="LEN" localSheetId="37">#REF!</definedName>
    <definedName name="LEN" localSheetId="28">#REF!</definedName>
    <definedName name="LEN" localSheetId="42">#REF!</definedName>
    <definedName name="LEN">#REF!</definedName>
    <definedName name="lgravel" localSheetId="8">#REF!</definedName>
    <definedName name="lgravel" localSheetId="10">#REF!</definedName>
    <definedName name="lgravel" localSheetId="28">#REF!</definedName>
    <definedName name="lgravel" localSheetId="42">#REF!</definedName>
    <definedName name="lgravel">#REF!</definedName>
    <definedName name="LHL" localSheetId="14">#REF!</definedName>
    <definedName name="LHL" localSheetId="8">#REF!</definedName>
    <definedName name="LHL" localSheetId="10">#REF!</definedName>
    <definedName name="LHL" localSheetId="28">#REF!</definedName>
    <definedName name="LHL">#REF!</definedName>
    <definedName name="li">[146]Data!$G$7</definedName>
    <definedName name="lift_charges" localSheetId="37">'[83]data existing_do not delete'!$E$20:$E$22</definedName>
    <definedName name="lift_charges">'[84]data existing_do not delete'!$E$20:$E$22</definedName>
    <definedName name="lift_range" localSheetId="37">'[83]data existing_do not delete'!$A$57:$A$70</definedName>
    <definedName name="lift_range">'[84]data existing_do not delete'!$A$57:$A$70</definedName>
    <definedName name="lifting_heights" localSheetId="37">'[83]data existing_do not delete'!$A$43:$A$54</definedName>
    <definedName name="lifting_heights">'[84]data existing_do not delete'!$A$43:$A$54</definedName>
    <definedName name="lime" localSheetId="8">#REF!</definedName>
    <definedName name="lime" localSheetId="10">#REF!</definedName>
    <definedName name="lime" localSheetId="28">#REF!</definedName>
    <definedName name="lime">#REF!</definedName>
    <definedName name="LKJH" localSheetId="37">[185]Labour!$D$5</definedName>
    <definedName name="LKJH">[173]Labour!$D$5</definedName>
    <definedName name="lkk" localSheetId="28">#REF!</definedName>
    <definedName name="ll" localSheetId="37">[156]Labour!$D$17</definedName>
    <definedName name="ll">[142]Labour!$D$17</definedName>
    <definedName name="ll1r">[90]Load!$F$74</definedName>
    <definedName name="ll2r">[90]Load!$F$101</definedName>
    <definedName name="LLL" localSheetId="8">#REF!</definedName>
    <definedName name="LLL" localSheetId="10">#REF!</definedName>
    <definedName name="LLL" localSheetId="11">#REF!</definedName>
    <definedName name="LLL" localSheetId="28">#REF!</definedName>
    <definedName name="LLL">#REF!</definedName>
    <definedName name="LM" localSheetId="14">#REF!</definedName>
    <definedName name="LM" localSheetId="8">#REF!</definedName>
    <definedName name="LM" localSheetId="10">#REF!</definedName>
    <definedName name="LM" localSheetId="28">#REF!</definedName>
    <definedName name="LM">#REF!</definedName>
    <definedName name="lmc" localSheetId="8">#REF!</definedName>
    <definedName name="lmc" localSheetId="10">#REF!</definedName>
    <definedName name="lmc" localSheetId="28">#REF!</definedName>
    <definedName name="lmc" localSheetId="42">#REF!</definedName>
    <definedName name="lmc">#REF!</definedName>
    <definedName name="LMFL" localSheetId="8">#REF!</definedName>
    <definedName name="LMFL" localSheetId="10">#REF!</definedName>
    <definedName name="LMFL" localSheetId="28">#REF!</definedName>
    <definedName name="LMFL">#REF!</definedName>
    <definedName name="loading">#REF!</definedName>
    <definedName name="lp">[119]Material!$D$114</definedName>
    <definedName name="LR" localSheetId="14">#REF!</definedName>
    <definedName name="LR" localSheetId="8">#REF!</definedName>
    <definedName name="LR" localSheetId="10">#REF!</definedName>
    <definedName name="LR" localSheetId="28">#REF!</definedName>
    <definedName name="LR">#REF!</definedName>
    <definedName name="lrstone" localSheetId="8">#REF!</definedName>
    <definedName name="lrstone" localSheetId="10">#REF!</definedName>
    <definedName name="lrstone" localSheetId="28">#REF!</definedName>
    <definedName name="lrstone" localSheetId="42">#REF!</definedName>
    <definedName name="lrstone">#REF!</definedName>
    <definedName name="ls">#REF!</definedName>
    <definedName name="lsand" localSheetId="8">#REF!</definedName>
    <definedName name="lsand" localSheetId="10">#REF!</definedName>
    <definedName name="lsand" localSheetId="28">#REF!</definedName>
    <definedName name="lsand" localSheetId="42">#REF!</definedName>
    <definedName name="lsand">#REF!</definedName>
    <definedName name="LSNO1">[186]Lead!$N$7</definedName>
    <definedName name="LSNO24">[186]Lead!$N$26</definedName>
    <definedName name="LSNO26">[186]Lead!$N$28</definedName>
    <definedName name="LSNO3">[186]Lead!$N$9</definedName>
    <definedName name="lss" localSheetId="8">#REF!</definedName>
    <definedName name="lss" localSheetId="10">#REF!</definedName>
    <definedName name="lss" localSheetId="28">#REF!</definedName>
    <definedName name="lss" localSheetId="42">#REF!</definedName>
    <definedName name="lss">#REF!</definedName>
    <definedName name="lstone" localSheetId="8">#REF!</definedName>
    <definedName name="lstone" localSheetId="10">#REF!</definedName>
    <definedName name="lstone" localSheetId="28">#REF!</definedName>
    <definedName name="lstone" localSheetId="42">#REF!</definedName>
    <definedName name="lstone">#REF!</definedName>
    <definedName name="LV" localSheetId="14">#REF!</definedName>
    <definedName name="LV" localSheetId="8">#REF!</definedName>
    <definedName name="LV" localSheetId="10">#REF!</definedName>
    <definedName name="LV" localSheetId="28">#REF!</definedName>
    <definedName name="LV">#REF!</definedName>
    <definedName name="lw" localSheetId="5">#REF!</definedName>
    <definedName name="lw" localSheetId="8">#REF!</definedName>
    <definedName name="lw" localSheetId="10">#REF!</definedName>
    <definedName name="lw" localSheetId="28">#REF!</definedName>
    <definedName name="lw" localSheetId="42">#REF!</definedName>
    <definedName name="lw">#REF!</definedName>
    <definedName name="lwb">#REF!</definedName>
    <definedName name="LWW" localSheetId="8">#REF!</definedName>
    <definedName name="LWW" localSheetId="10">#REF!</definedName>
    <definedName name="LWW" localSheetId="28">#REF!</definedName>
    <definedName name="LWW">#REF!</definedName>
    <definedName name="lxg" localSheetId="33">#REF!</definedName>
    <definedName name="lxg" localSheetId="34">#REF!</definedName>
    <definedName name="lxg" localSheetId="35">#REF!</definedName>
    <definedName name="lxg" localSheetId="5">#REF!</definedName>
    <definedName name="lxg" localSheetId="8">#REF!</definedName>
    <definedName name="lxg" localSheetId="10">#REF!</definedName>
    <definedName name="lxg" localSheetId="11">#REF!</definedName>
    <definedName name="lxg" localSheetId="37">#REF!</definedName>
    <definedName name="lxg" localSheetId="28">#REF!</definedName>
    <definedName name="lxg" localSheetId="42">#REF!</definedName>
    <definedName name="lxg" localSheetId="31">#REF!</definedName>
    <definedName name="lxg">#REF!</definedName>
    <definedName name="lxg_33">"$#REF!.$#REF!$#REF!"</definedName>
    <definedName name="lxg_34">"$#REF!.$#REF!$#REF!"</definedName>
    <definedName name="m" localSheetId="33">#REF!</definedName>
    <definedName name="m" localSheetId="34">#REF!</definedName>
    <definedName name="m" localSheetId="5">#REF!</definedName>
    <definedName name="m" localSheetId="8">#REF!</definedName>
    <definedName name="m" localSheetId="10">#REF!</definedName>
    <definedName name="m" localSheetId="37">#REF!</definedName>
    <definedName name="m" localSheetId="28">#REF!</definedName>
    <definedName name="m" localSheetId="42">#REF!</definedName>
    <definedName name="m">#REF!</definedName>
    <definedName name="M_ACPipe_100" localSheetId="37">[174]Material!$D$3</definedName>
    <definedName name="M_ACPipe_100">[173]Material!$D$3</definedName>
    <definedName name="M_Aggregate_10" localSheetId="37">[156]Material!$D$17</definedName>
    <definedName name="M_Aggregate_10">[173]Material!$D$17</definedName>
    <definedName name="M_Aggregate_10_32" localSheetId="28">#REF!</definedName>
    <definedName name="M_Aggregate_10_33">#REF!</definedName>
    <definedName name="M_Aggregate_10_34">#REF!</definedName>
    <definedName name="M_Aggregate_10_43">#REF!</definedName>
    <definedName name="M_Aggregate_10_56">#REF!</definedName>
    <definedName name="M_Aggregate_10_59">#REF!</definedName>
    <definedName name="M_Aggregate_10_61">#REF!</definedName>
    <definedName name="M_Aggregate_20" localSheetId="37">[156]Material!$D$18</definedName>
    <definedName name="M_Aggregate_20">[173]Material!$D$18</definedName>
    <definedName name="M_Aggregate_20_32" localSheetId="28">#REF!</definedName>
    <definedName name="M_Aggregate_20_33">#REF!</definedName>
    <definedName name="M_Aggregate_20_34">#REF!</definedName>
    <definedName name="M_Aggregate_20_43">#REF!</definedName>
    <definedName name="M_Aggregate_20_55">#REF!</definedName>
    <definedName name="M_Aggregate_20_56">#REF!</definedName>
    <definedName name="M_Aggregate_20_59">#REF!</definedName>
    <definedName name="M_Aggregate_20_61">#REF!</definedName>
    <definedName name="M_Aggregate_224_236m_WMM" localSheetId="37">[175]Sheet1!$D$26</definedName>
    <definedName name="M_Aggregate_224_236m_WMM">[173]Material!$D$26</definedName>
    <definedName name="M_Aggregate_224_236m_WMM_32" localSheetId="28">#REF!</definedName>
    <definedName name="M_Aggregate_224_236m_WMM_33">#REF!</definedName>
    <definedName name="M_Aggregate_224_236m_WMM_34">#REF!</definedName>
    <definedName name="M_Aggregate_224_236m_WMM_43">#REF!</definedName>
    <definedName name="M_Aggregate_224_236m_WMM_56">#REF!</definedName>
    <definedName name="M_Aggregate_224_236m_WMM_59">#REF!</definedName>
    <definedName name="M_Aggregate_224_236m_WMM_61">#REF!</definedName>
    <definedName name="M_Aggregate_375mmMaximum_224_56mm" localSheetId="37">[156]Material!$D$4</definedName>
    <definedName name="M_Aggregate_375mmMaximum_224_56mm">[173]Material!$D$4</definedName>
    <definedName name="M_Aggregate_375mmMaximum_224_56mm_32" localSheetId="28">#REF!</definedName>
    <definedName name="M_Aggregate_375mmMaximum_224_56mm_33">#REF!</definedName>
    <definedName name="M_Aggregate_375mmMaximum_224_56mm_34">#REF!</definedName>
    <definedName name="M_Aggregate_375mmMaximum_224_56mm_43">#REF!</definedName>
    <definedName name="M_Aggregate_375mmMaximum_224_56mm_55">#REF!</definedName>
    <definedName name="M_Aggregate_375mmMaximum_224_56mm_56">#REF!</definedName>
    <definedName name="M_Aggregate_375mmMaximum_224_56mm_59">#REF!</definedName>
    <definedName name="M_Aggregate_375mmMaximum_224_56mm_61">#REF!</definedName>
    <definedName name="M_Aggregate_375mmMaximum_45_225mm" localSheetId="37">[175]Sheet1!$D$5</definedName>
    <definedName name="M_Aggregate_375mmMaximum_45_225mm">[173]Material!$D$5</definedName>
    <definedName name="M_Aggregate_375mmMaximum_45_225mm_32" localSheetId="28">#REF!</definedName>
    <definedName name="M_Aggregate_375mmMaximum_45_225mm_33">#REF!</definedName>
    <definedName name="M_Aggregate_375mmMaximum_45_225mm_34">#REF!</definedName>
    <definedName name="M_Aggregate_375mmMaximum_45_225mm_43">#REF!</definedName>
    <definedName name="M_Aggregate_375mmMaximum_45_225mm_56">#REF!</definedName>
    <definedName name="M_Aggregate_375mmMaximum_45_225mm_59">#REF!</definedName>
    <definedName name="M_Aggregate_375mmMaximum_45_225mm_61">#REF!</definedName>
    <definedName name="M_Aggregate_375mmMaximum_Below_56mm" localSheetId="37">[175]Sheet1!$D$6</definedName>
    <definedName name="M_Aggregate_375mmMaximum_Below_56mm">[173]Material!$D$6</definedName>
    <definedName name="M_Aggregate_375mmMaximum_Below_56mm_32" localSheetId="28">#REF!</definedName>
    <definedName name="M_Aggregate_375mmMaximum_Below_56mm_33">#REF!</definedName>
    <definedName name="M_Aggregate_375mmMaximum_Below_56mm_34">#REF!</definedName>
    <definedName name="M_Aggregate_375mmMaximum_Below_56mm_43">#REF!</definedName>
    <definedName name="M_Aggregate_375mmMaximum_Below_56mm_56">#REF!</definedName>
    <definedName name="M_Aggregate_375mmMaximum_Below_56mm_59">#REF!</definedName>
    <definedName name="M_Aggregate_375mmMaximum_Below_56mm_61">#REF!</definedName>
    <definedName name="M_Aggregate_40" localSheetId="37">[156]Material!$D$19</definedName>
    <definedName name="M_Aggregate_40">[173]Material!$D$19</definedName>
    <definedName name="M_Aggregate_40_32" localSheetId="28">#REF!</definedName>
    <definedName name="M_Aggregate_40_33">#REF!</definedName>
    <definedName name="M_Aggregate_40_34">#REF!</definedName>
    <definedName name="M_Aggregate_40_43">#REF!</definedName>
    <definedName name="M_Aggregate_40_56">#REF!</definedName>
    <definedName name="M_Aggregate_40_59">#REF!</definedName>
    <definedName name="M_Aggregate_40_61">#REF!</definedName>
    <definedName name="M_Aggregate_45_224m_WMM" localSheetId="37">[175]Sheet1!$D$27</definedName>
    <definedName name="M_Aggregate_45_224m_WMM">[173]Material!$D$27</definedName>
    <definedName name="M_Aggregate_45_224m_WMM_32" localSheetId="28">#REF!</definedName>
    <definedName name="M_Aggregate_45_224m_WMM_33">#REF!</definedName>
    <definedName name="M_Aggregate_45_224m_WMM_34">#REF!</definedName>
    <definedName name="M_Aggregate_45_224m_WMM_43">#REF!</definedName>
    <definedName name="M_Aggregate_45_224m_WMM_56">#REF!</definedName>
    <definedName name="M_Aggregate_45_224m_WMM_59">#REF!</definedName>
    <definedName name="M_Aggregate_45_224m_WMM_61">#REF!</definedName>
    <definedName name="M_Aggregate_53mmMaximum_225_56mm" localSheetId="37">[175]Sheet1!$D$7</definedName>
    <definedName name="M_Aggregate_53mmMaximum_225_56mm">[173]Material!$D$7</definedName>
    <definedName name="M_Aggregate_53mmMaximum_225_56mm_32" localSheetId="28">#REF!</definedName>
    <definedName name="M_Aggregate_53mmMaximum_225_56mm_33">#REF!</definedName>
    <definedName name="M_Aggregate_53mmMaximum_225_56mm_34">#REF!</definedName>
    <definedName name="M_Aggregate_53mmMaximum_225_56mm_43">#REF!</definedName>
    <definedName name="M_Aggregate_53mmMaximum_225_56mm_56">#REF!</definedName>
    <definedName name="M_Aggregate_53mmMaximum_225_56mm_59">#REF!</definedName>
    <definedName name="M_Aggregate_53mmMaximum_225_56mm_61">#REF!</definedName>
    <definedName name="M_Aggregate_53mmMaximum_63_45mm" localSheetId="37">[175]Sheet1!$D$8</definedName>
    <definedName name="M_Aggregate_53mmMaximum_63_45mm">[173]Material!$D$8</definedName>
    <definedName name="M_Aggregate_53mmMaximum_63_45mm_32" localSheetId="28">#REF!</definedName>
    <definedName name="M_Aggregate_53mmMaximum_63_45mm_33">#REF!</definedName>
    <definedName name="M_Aggregate_53mmMaximum_63_45mm_34">#REF!</definedName>
    <definedName name="M_Aggregate_53mmMaximum_63_45mm_43">#REF!</definedName>
    <definedName name="M_Aggregate_53mmMaximum_63_45mm_56">#REF!</definedName>
    <definedName name="M_Aggregate_53mmMaximum_63_45mm_59">#REF!</definedName>
    <definedName name="M_Aggregate_53mmMaximum_63_45mm_61">#REF!</definedName>
    <definedName name="M_Aggregate_53mmMaximum_below_56mm" localSheetId="37">[175]Sheet1!$D$9</definedName>
    <definedName name="M_Aggregate_53mmMaximum_below_56mm">[173]Material!$D$9</definedName>
    <definedName name="M_Aggregate_53mmMaximum_below_56mm_32" localSheetId="28">#REF!</definedName>
    <definedName name="M_Aggregate_53mmMaximum_below_56mm_33">#REF!</definedName>
    <definedName name="M_Aggregate_53mmMaximum_below_56mm_34">#REF!</definedName>
    <definedName name="M_Aggregate_53mmMaximum_below_56mm_43">#REF!</definedName>
    <definedName name="M_Aggregate_53mmMaximum_below_56mm_56">#REF!</definedName>
    <definedName name="M_Aggregate_53mmMaximum_below_56mm_59">#REF!</definedName>
    <definedName name="M_Aggregate_53mmMaximum_below_56mm_61">#REF!</definedName>
    <definedName name="M_Aggregate_Crushable_GradeI" localSheetId="37">[175]Sheet1!$D$20</definedName>
    <definedName name="M_Aggregate_Crushable_GradeI">[173]Material!$D$20</definedName>
    <definedName name="M_Aggregate_Crushable_GradeI_32" localSheetId="28">#REF!</definedName>
    <definedName name="M_Aggregate_Crushable_GradeI_33">#REF!</definedName>
    <definedName name="M_Aggregate_Crushable_GradeI_34">#REF!</definedName>
    <definedName name="M_Aggregate_Crushable_GradeI_43">#REF!</definedName>
    <definedName name="M_Aggregate_Crushable_GradeI_56">#REF!</definedName>
    <definedName name="M_Aggregate_Crushable_GradeI_59">#REF!</definedName>
    <definedName name="M_Aggregate_Crushable_GradeI_61">#REF!</definedName>
    <definedName name="M_Aggregate_Crushable_GradeII" localSheetId="37">[175]Sheet1!$D$21</definedName>
    <definedName name="M_Aggregate_Crushable_GradeII">[173]Material!$D$21</definedName>
    <definedName name="M_Aggregate_Crushable_GradeII_32" localSheetId="28">#REF!</definedName>
    <definedName name="M_Aggregate_Crushable_GradeII_33">#REF!</definedName>
    <definedName name="M_Aggregate_Crushable_GradeII_34">#REF!</definedName>
    <definedName name="M_Aggregate_Crushable_GradeII_43">#REF!</definedName>
    <definedName name="M_Aggregate_Crushable_GradeII_56">#REF!</definedName>
    <definedName name="M_Aggregate_Crushable_GradeII_59">#REF!</definedName>
    <definedName name="M_Aggregate_Crushable_GradeII_61">#REF!</definedName>
    <definedName name="M_Aggregate_Crushable_GradeIII" localSheetId="37">[175]Sheet1!$D$22</definedName>
    <definedName name="M_Aggregate_Crushable_GradeIII">[173]Material!$D$22</definedName>
    <definedName name="M_Aggregate_Crushable_GradeIII_32" localSheetId="28">#REF!</definedName>
    <definedName name="M_Aggregate_Crushable_GradeIII_33">#REF!</definedName>
    <definedName name="M_Aggregate_Crushable_GradeIII_34">#REF!</definedName>
    <definedName name="M_Aggregate_Crushable_GradeIII_43">#REF!</definedName>
    <definedName name="M_Aggregate_Crushable_GradeIII_56">#REF!</definedName>
    <definedName name="M_Aggregate_Crushable_GradeIII_59">#REF!</definedName>
    <definedName name="M_Aggregate_Crushable_GradeIII_61">#REF!</definedName>
    <definedName name="M_Aggregate_GradeI_40mmNominal_10_5mm" localSheetId="37">[175]Sheet1!$D$10</definedName>
    <definedName name="M_Aggregate_GradeI_40mmNominal_10_5mm">[173]Material!$D$10</definedName>
    <definedName name="M_Aggregate_GradeI_40mmNominal_10_5mm_32" localSheetId="28">#REF!</definedName>
    <definedName name="M_Aggregate_GradeI_40mmNominal_10_5mm_33">#REF!</definedName>
    <definedName name="M_Aggregate_GradeI_40mmNominal_10_5mm_34">#REF!</definedName>
    <definedName name="M_Aggregate_GradeI_40mmNominal_10_5mm_43">#REF!</definedName>
    <definedName name="M_Aggregate_GradeI_40mmNominal_10_5mm_56">#REF!</definedName>
    <definedName name="M_Aggregate_GradeI_40mmNominal_10_5mm_59">#REF!</definedName>
    <definedName name="M_Aggregate_GradeI_40mmNominal_10_5mm_61">#REF!</definedName>
    <definedName name="M_Aggregate_GradeI_40mmNominal_25_10mm" localSheetId="37">[175]Sheet1!$D$11</definedName>
    <definedName name="M_Aggregate_GradeI_40mmNominal_25_10mm">[173]Material!$D$11</definedName>
    <definedName name="M_Aggregate_GradeI_40mmNominal_25_10mm_32" localSheetId="28">#REF!</definedName>
    <definedName name="M_Aggregate_GradeI_40mmNominal_25_10mm_33">#REF!</definedName>
    <definedName name="M_Aggregate_GradeI_40mmNominal_25_10mm_34">#REF!</definedName>
    <definedName name="M_Aggregate_GradeI_40mmNominal_25_10mm_43">#REF!</definedName>
    <definedName name="M_Aggregate_GradeI_40mmNominal_25_10mm_56">#REF!</definedName>
    <definedName name="M_Aggregate_GradeI_40mmNominal_25_10mm_59">#REF!</definedName>
    <definedName name="M_Aggregate_GradeI_40mmNominal_25_10mm_61">#REF!</definedName>
    <definedName name="M_Aggregate_GradeI_40mmNominal_3725_25mm" localSheetId="37">[175]Sheet1!$D$12</definedName>
    <definedName name="M_Aggregate_GradeI_40mmNominal_3725_25mm">[173]Material!$D$12</definedName>
    <definedName name="M_Aggregate_GradeI_40mmNominal_3725_25mm_32" localSheetId="28">#REF!</definedName>
    <definedName name="M_Aggregate_GradeI_40mmNominal_3725_25mm_33">#REF!</definedName>
    <definedName name="M_Aggregate_GradeI_40mmNominal_3725_25mm_34">#REF!</definedName>
    <definedName name="M_Aggregate_GradeI_40mmNominal_3725_25mm_43">#REF!</definedName>
    <definedName name="M_Aggregate_GradeI_40mmNominal_3725_25mm_56">#REF!</definedName>
    <definedName name="M_Aggregate_GradeI_40mmNominal_3725_25mm_59">#REF!</definedName>
    <definedName name="M_Aggregate_GradeI_40mmNominal_3725_25mm_61">#REF!</definedName>
    <definedName name="M_Aggregate_GradeI_40mmNominal_5mm" localSheetId="37">[175]Sheet1!$D$13</definedName>
    <definedName name="M_Aggregate_GradeI_40mmNominal_5mm">[173]Material!$D$13</definedName>
    <definedName name="M_Aggregate_GradeI_40mmNominal_5mm_32" localSheetId="28">#REF!</definedName>
    <definedName name="M_Aggregate_GradeI_40mmNominal_5mm_33">#REF!</definedName>
    <definedName name="M_Aggregate_GradeI_40mmNominal_5mm_34">#REF!</definedName>
    <definedName name="M_Aggregate_GradeI_40mmNominal_5mm_43">#REF!</definedName>
    <definedName name="M_Aggregate_GradeI_40mmNominal_5mm_56">#REF!</definedName>
    <definedName name="M_Aggregate_GradeI_40mmNominal_5mm_59">#REF!</definedName>
    <definedName name="M_Aggregate_GradeI_40mmNominal_5mm_61">#REF!</definedName>
    <definedName name="M_Aggregate_GradeI_90_45mm" localSheetId="37">[175]Sheet1!$D$23</definedName>
    <definedName name="M_Aggregate_GradeI_90_45mm">[173]Material!$D$23</definedName>
    <definedName name="M_Aggregate_GradeI_90_45mm_32" localSheetId="28">#REF!</definedName>
    <definedName name="M_Aggregate_GradeI_90_45mm_33">#REF!</definedName>
    <definedName name="M_Aggregate_GradeI_90_45mm_34">#REF!</definedName>
    <definedName name="M_Aggregate_GradeI_90_45mm_43">#REF!</definedName>
    <definedName name="M_Aggregate_GradeI_90_45mm_56">#REF!</definedName>
    <definedName name="M_Aggregate_GradeI_90_45mm_59">#REF!</definedName>
    <definedName name="M_Aggregate_GradeI_90_45mm_61">#REF!</definedName>
    <definedName name="M_Aggregate_GradeII_19mmNominal_10_5mm" localSheetId="37">[187]Material!$D$14</definedName>
    <definedName name="M_Aggregate_GradeII_19mmNominal_10_5mm">[173]Material!$D$14</definedName>
    <definedName name="M_Aggregate_GradeII_19mmNominal_10_5mm_32" localSheetId="28">#REF!</definedName>
    <definedName name="M_Aggregate_GradeII_19mmNominal_10_5mm_33">#REF!</definedName>
    <definedName name="M_Aggregate_GradeII_19mmNominal_10_5mm_34">#REF!</definedName>
    <definedName name="M_Aggregate_GradeII_19mmNominal_10_5mm_43">#REF!</definedName>
    <definedName name="M_Aggregate_GradeII_19mmNominal_10_5mm_55">#REF!</definedName>
    <definedName name="M_Aggregate_GradeII_19mmNominal_10_5mm_56">#REF!</definedName>
    <definedName name="M_Aggregate_GradeII_19mmNominal_10_5mm_59">#REF!</definedName>
    <definedName name="M_Aggregate_GradeII_19mmNominal_10_5mm_61">#REF!</definedName>
    <definedName name="M_Aggregate_GradeII_19mmNominal_25_10mm" localSheetId="37">[187]Material!$D$15</definedName>
    <definedName name="M_Aggregate_GradeII_19mmNominal_25_10mm">[173]Material!$D$15</definedName>
    <definedName name="M_Aggregate_GradeII_19mmNominal_25_10mm_32" localSheetId="28">#REF!</definedName>
    <definedName name="M_Aggregate_GradeII_19mmNominal_25_10mm_33">#REF!</definedName>
    <definedName name="M_Aggregate_GradeII_19mmNominal_25_10mm_34">#REF!</definedName>
    <definedName name="M_Aggregate_GradeII_19mmNominal_25_10mm_43">#REF!</definedName>
    <definedName name="M_Aggregate_GradeII_19mmNominal_25_10mm_55">#REF!</definedName>
    <definedName name="M_Aggregate_GradeII_19mmNominal_25_10mm_56">#REF!</definedName>
    <definedName name="M_Aggregate_GradeII_19mmNominal_25_10mm_59">#REF!</definedName>
    <definedName name="M_Aggregate_GradeII_19mmNominal_25_10mm_61">#REF!</definedName>
    <definedName name="M_Aggregate_GradeII_19mmNominal_5mm_below" localSheetId="37">[187]Material!$D$16</definedName>
    <definedName name="M_Aggregate_GradeII_19mmNominal_5mm_below">[173]Material!$D$16</definedName>
    <definedName name="M_Aggregate_GradeII_19mmNominal_5mm_below_32" localSheetId="28">#REF!</definedName>
    <definedName name="M_Aggregate_GradeII_19mmNominal_5mm_below_33">#REF!</definedName>
    <definedName name="M_Aggregate_GradeII_19mmNominal_5mm_below_34">#REF!</definedName>
    <definedName name="M_Aggregate_GradeII_19mmNominal_5mm_below_43">#REF!</definedName>
    <definedName name="M_Aggregate_GradeII_19mmNominal_5mm_below_55">#REF!</definedName>
    <definedName name="M_Aggregate_GradeII_19mmNominal_5mm_below_56">#REF!</definedName>
    <definedName name="M_Aggregate_GradeII_19mmNominal_5mm_below_59">#REF!</definedName>
    <definedName name="M_Aggregate_GradeII_19mmNominal_5mm_below_61">#REF!</definedName>
    <definedName name="M_Aggregate_GradeII_63_45mm" localSheetId="37">[175]Sheet1!$D$24</definedName>
    <definedName name="M_Aggregate_GradeII_63_45mm">[173]Material!$D$24</definedName>
    <definedName name="M_Aggregate_GradeII_63_45mm_32" localSheetId="28">#REF!</definedName>
    <definedName name="M_Aggregate_GradeII_63_45mm_33">#REF!</definedName>
    <definedName name="M_Aggregate_GradeII_63_45mm_34">#REF!</definedName>
    <definedName name="M_Aggregate_GradeII_63_45mm_43">#REF!</definedName>
    <definedName name="M_Aggregate_GradeII_63_45mm_56">#REF!</definedName>
    <definedName name="M_Aggregate_GradeII_63_45mm_59">#REF!</definedName>
    <definedName name="M_Aggregate_GradeII_63_45mm_61">#REF!</definedName>
    <definedName name="M_Aggregate_GradeIII_53_224mm" localSheetId="37">[175]Sheet1!$D$25</definedName>
    <definedName name="M_Aggregate_GradeIII_53_224mm">[173]Material!$D$25</definedName>
    <definedName name="M_Aggregate_GradeIII_53_224mm_32" localSheetId="28">#REF!</definedName>
    <definedName name="M_Aggregate_GradeIII_53_224mm_33">#REF!</definedName>
    <definedName name="M_Aggregate_GradeIII_53_224mm_34">#REF!</definedName>
    <definedName name="M_Aggregate_GradeIII_53_224mm_43">#REF!</definedName>
    <definedName name="M_Aggregate_GradeIII_53_224mm_56">#REF!</definedName>
    <definedName name="M_Aggregate_GradeIII_53_224mm_59">#REF!</definedName>
    <definedName name="M_Aggregate_GradeIII_53_224mm_61">#REF!</definedName>
    <definedName name="M_AIRCOMP170" localSheetId="33">#REF!</definedName>
    <definedName name="M_AIRCOMP170" localSheetId="34">#REF!</definedName>
    <definedName name="M_AIRCOMP170" localSheetId="5">#REF!</definedName>
    <definedName name="M_AIRCOMP170" localSheetId="8">#REF!</definedName>
    <definedName name="M_AIRCOMP170" localSheetId="10">#REF!</definedName>
    <definedName name="M_AIRCOMP170" localSheetId="11">#REF!</definedName>
    <definedName name="M_AIRCOMP170" localSheetId="37">#REF!</definedName>
    <definedName name="M_AIRCOMP170" localSheetId="28">#REF!</definedName>
    <definedName name="M_AIRCOMP170" localSheetId="42">#REF!</definedName>
    <definedName name="M_AIRCOMP170">#REF!</definedName>
    <definedName name="M_AIRCOMP210" localSheetId="33">#REF!</definedName>
    <definedName name="M_AIRCOMP210" localSheetId="34">#REF!</definedName>
    <definedName name="M_AIRCOMP210" localSheetId="5">#REF!</definedName>
    <definedName name="M_AIRCOMP210" localSheetId="8">#REF!</definedName>
    <definedName name="M_AIRCOMP210" localSheetId="10">#REF!</definedName>
    <definedName name="M_AIRCOMP210" localSheetId="11">#REF!</definedName>
    <definedName name="M_AIRCOMP210" localSheetId="37">#REF!</definedName>
    <definedName name="M_AIRCOMP210" localSheetId="28">#REF!</definedName>
    <definedName name="M_AIRCOMP210" localSheetId="42">#REF!</definedName>
    <definedName name="M_AIRCOMP210">#REF!</definedName>
    <definedName name="M_AluminiumSheeting_15mm" localSheetId="37">[175]Sheet1!$D$28</definedName>
    <definedName name="M_AluminiumSheeting_15mm">[173]Material!$D$28</definedName>
    <definedName name="M_AluminiumSheeting_15mm_32" localSheetId="28">#REF!</definedName>
    <definedName name="M_AluminiumSheeting_15mm_33">#REF!</definedName>
    <definedName name="M_AluminiumSheeting_15mm_34">#REF!</definedName>
    <definedName name="M_AluminiumSheeting_15mm_43">#REF!</definedName>
    <definedName name="M_AluminiumSheeting_15mm_56">#REF!</definedName>
    <definedName name="M_AluminiumSheeting_15mm_59">#REF!</definedName>
    <definedName name="M_AluminiumSheeting_15mm_61">#REF!</definedName>
    <definedName name="M_AluminiumStuds_100_100_Lense" localSheetId="37">[175]Sheet1!$D$29</definedName>
    <definedName name="M_AluminiumStuds_100_100_Lense">[173]Material!$D$29</definedName>
    <definedName name="M_AluminiumStuds_100_100_Lense_32" localSheetId="28">#REF!</definedName>
    <definedName name="M_AluminiumStuds_100_100_Lense_33">#REF!</definedName>
    <definedName name="M_AluminiumStuds_100_100_Lense_34">#REF!</definedName>
    <definedName name="M_AluminiumStuds_100_100_Lense_43">#REF!</definedName>
    <definedName name="M_AluminiumStuds_100_100_Lense_56">#REF!</definedName>
    <definedName name="M_AluminiumStuds_100_100_Lense_59">#REF!</definedName>
    <definedName name="M_AluminiumStuds_100_100_Lense_61">#REF!</definedName>
    <definedName name="M_Bamboo_1stClass_85_100mm_25m_long" localSheetId="37">[175]Sheet1!$D$31</definedName>
    <definedName name="M_Bamboo_1stClass_85_100mm_25m_long">[173]Material!$D$31</definedName>
    <definedName name="M_Bamboo_1stClass_85_100mm_25m_long_32" localSheetId="28">#REF!</definedName>
    <definedName name="M_Bamboo_1stClass_85_100mm_25m_long_33">#REF!</definedName>
    <definedName name="M_Bamboo_1stClass_85_100mm_25m_long_34">#REF!</definedName>
    <definedName name="M_Bamboo_1stClass_85_100mm_25m_long_43">#REF!</definedName>
    <definedName name="M_Bamboo_1stClass_85_100mm_25m_long_56">#REF!</definedName>
    <definedName name="M_Bamboo_1stClass_85_100mm_25m_long_59">#REF!</definedName>
    <definedName name="M_Bamboo_1stClass_85_100mm_25m_long_61">#REF!</definedName>
    <definedName name="M_Bamboo_1stClass_85_100mm_2m_long" localSheetId="37">[175]Sheet1!$D$30</definedName>
    <definedName name="M_Bamboo_1stClass_85_100mm_2m_long">[173]Material!$D$30</definedName>
    <definedName name="M_Bamboo_1stClass_85_100mm_2m_long_32" localSheetId="28">#REF!</definedName>
    <definedName name="M_Bamboo_1stClass_85_100mm_2m_long_33">#REF!</definedName>
    <definedName name="M_Bamboo_1stClass_85_100mm_2m_long_34">#REF!</definedName>
    <definedName name="M_Bamboo_1stClass_85_100mm_2m_long_43">#REF!</definedName>
    <definedName name="M_Bamboo_1stClass_85_100mm_2m_long_56">#REF!</definedName>
    <definedName name="M_Bamboo_1stClass_85_100mm_2m_long_59">#REF!</definedName>
    <definedName name="M_Bamboo_1stClass_85_100mm_2m_long_61">#REF!</definedName>
    <definedName name="M_Bamboo_1stClass_85_100mm_3m_long" localSheetId="37">[175]Sheet1!$D$32</definedName>
    <definedName name="M_Bamboo_1stClass_85_100mm_3m_long">[173]Material!$D$32</definedName>
    <definedName name="M_Bamboo_1stClass_85_100mm_3m_long_32" localSheetId="28">#REF!</definedName>
    <definedName name="M_Bamboo_1stClass_85_100mm_3m_long_33">#REF!</definedName>
    <definedName name="M_Bamboo_1stClass_85_100mm_3m_long_34">#REF!</definedName>
    <definedName name="M_Bamboo_1stClass_85_100mm_3m_long_43">#REF!</definedName>
    <definedName name="M_Bamboo_1stClass_85_100mm_3m_long_56">#REF!</definedName>
    <definedName name="M_Bamboo_1stClass_85_100mm_3m_long_59">#REF!</definedName>
    <definedName name="M_Bamboo_1stClass_85_100mm_3m_long_61">#REF!</definedName>
    <definedName name="M_Bamboo_1stClass_85_100mm_45_55m_long" localSheetId="37">[175]Sheet1!$D$33</definedName>
    <definedName name="M_Bamboo_1stClass_85_100mm_45_55m_long">[173]Material!$D$33</definedName>
    <definedName name="M_Bamboo_1stClass_85_100mm_45_55m_long_32" localSheetId="28">#REF!</definedName>
    <definedName name="M_Bamboo_1stClass_85_100mm_45_55m_long_33">#REF!</definedName>
    <definedName name="M_Bamboo_1stClass_85_100mm_45_55m_long_34">#REF!</definedName>
    <definedName name="M_Bamboo_1stClass_85_100mm_45_55m_long_43">#REF!</definedName>
    <definedName name="M_Bamboo_1stClass_85_100mm_45_55m_long_56">#REF!</definedName>
    <definedName name="M_Bamboo_1stClass_85_100mm_45_55m_long_59">#REF!</definedName>
    <definedName name="M_Bamboo_1stClass_85_100mm_45_55m_long_61">#REF!</definedName>
    <definedName name="M_Bamboo_2ndClass_75mm_18_25m_long" localSheetId="37">[175]Sheet1!$D$34</definedName>
    <definedName name="M_Bamboo_2ndClass_75mm_18_25m_long">[173]Material!$D$34</definedName>
    <definedName name="M_Bamboo_2ndClass_75mm_18_25m_long_32" localSheetId="28">#REF!</definedName>
    <definedName name="M_Bamboo_2ndClass_75mm_18_25m_long_33">#REF!</definedName>
    <definedName name="M_Bamboo_2ndClass_75mm_18_25m_long_34">#REF!</definedName>
    <definedName name="M_Bamboo_2ndClass_75mm_18_25m_long_43">#REF!</definedName>
    <definedName name="M_Bamboo_2ndClass_75mm_18_25m_long_56">#REF!</definedName>
    <definedName name="M_Bamboo_2ndClass_75mm_18_25m_long_59">#REF!</definedName>
    <definedName name="M_Bamboo_2ndClass_75mm_18_25m_long_61">#REF!</definedName>
    <definedName name="M_Bamboo_2ndClass_75mm_21_30m_long" localSheetId="37">[175]Sheet1!$D$35</definedName>
    <definedName name="M_Bamboo_2ndClass_75mm_21_30m_long">[173]Material!$D$35</definedName>
    <definedName name="M_Bamboo_2ndClass_75mm_21_30m_long_32" localSheetId="28">#REF!</definedName>
    <definedName name="M_Bamboo_2ndClass_75mm_21_30m_long_33">#REF!</definedName>
    <definedName name="M_Bamboo_2ndClass_75mm_21_30m_long_34">#REF!</definedName>
    <definedName name="M_Bamboo_2ndClass_75mm_21_30m_long_43">#REF!</definedName>
    <definedName name="M_Bamboo_2ndClass_75mm_21_30m_long_56">#REF!</definedName>
    <definedName name="M_Bamboo_2ndClass_75mm_21_30m_long_59">#REF!</definedName>
    <definedName name="M_Bamboo_2ndClass_75mm_21_30m_long_61">#REF!</definedName>
    <definedName name="M_BarbedWire" localSheetId="37">[175]Sheet1!$D$36</definedName>
    <definedName name="M_BarbedWire">[173]Material!$D$36</definedName>
    <definedName name="M_BarbedWire_32" localSheetId="28">#REF!</definedName>
    <definedName name="M_BarbedWire_33">#REF!</definedName>
    <definedName name="M_BarbedWire_34">#REF!</definedName>
    <definedName name="M_BarbedWire_43">#REF!</definedName>
    <definedName name="M_BarbedWire_56">#REF!</definedName>
    <definedName name="M_BarbedWire_59">#REF!</definedName>
    <definedName name="M_BarbedWire_61">#REF!</definedName>
    <definedName name="M_BindingMaterial" localSheetId="37">[175]Sheet1!$D$37</definedName>
    <definedName name="M_BindingMaterial">[173]Material!$D$37</definedName>
    <definedName name="M_BindingMaterial_32" localSheetId="28">#REF!</definedName>
    <definedName name="M_BindingMaterial_33">#REF!</definedName>
    <definedName name="M_BindingMaterial_34">#REF!</definedName>
    <definedName name="M_BindingMaterial_43">#REF!</definedName>
    <definedName name="M_BindingMaterial_56">#REF!</definedName>
    <definedName name="M_BindingMaterial_59">#REF!</definedName>
    <definedName name="M_BindingMaterial_61">#REF!</definedName>
    <definedName name="M_BindingWire" localSheetId="37">[174]Material!$D$38</definedName>
    <definedName name="M_BindingWire">[173]Material!$D$38</definedName>
    <definedName name="M_Bitumen_CRM" localSheetId="37">[187]Material!$D$39</definedName>
    <definedName name="M_Bitumen_CRM">[173]Material!$D$39</definedName>
    <definedName name="M_Bitumen_CRM_32" localSheetId="28">#REF!</definedName>
    <definedName name="M_Bitumen_CRM_33">#REF!</definedName>
    <definedName name="M_Bitumen_CRM_34">#REF!</definedName>
    <definedName name="M_Bitumen_CRM_43">#REF!</definedName>
    <definedName name="M_Bitumen_CRM_55">#REF!</definedName>
    <definedName name="M_Bitumen_CRM_56">#REF!</definedName>
    <definedName name="M_Bitumen_CRM_59">#REF!</definedName>
    <definedName name="M_Bitumen_CRM_61">#REF!</definedName>
    <definedName name="M_Bitumen_NRM" localSheetId="37">[187]Material!$D$40</definedName>
    <definedName name="M_Bitumen_NRM">[173]Material!$D$40</definedName>
    <definedName name="M_Bitumen_NRM_32" localSheetId="28">#REF!</definedName>
    <definedName name="M_Bitumen_NRM_33">#REF!</definedName>
    <definedName name="M_Bitumen_NRM_34">#REF!</definedName>
    <definedName name="M_Bitumen_NRM_43">#REF!</definedName>
    <definedName name="M_Bitumen_NRM_55">#REF!</definedName>
    <definedName name="M_Bitumen_NRM_56">#REF!</definedName>
    <definedName name="M_Bitumen_NRM_59">#REF!</definedName>
    <definedName name="M_Bitumen_NRM_61">#REF!</definedName>
    <definedName name="M_Bitumen_PM" localSheetId="37">[187]Material!$D$41</definedName>
    <definedName name="M_Bitumen_PM">[173]Material!$D$41</definedName>
    <definedName name="M_Bitumen_PM_32" localSheetId="28">#REF!</definedName>
    <definedName name="M_Bitumen_PM_33">#REF!</definedName>
    <definedName name="M_Bitumen_PM_34">#REF!</definedName>
    <definedName name="M_Bitumen_PM_43">#REF!</definedName>
    <definedName name="M_Bitumen_PM_55">#REF!</definedName>
    <definedName name="M_Bitumen_PM_56">#REF!</definedName>
    <definedName name="M_Bitumen_PM_59">#REF!</definedName>
    <definedName name="M_Bitumen_PM_61">#REF!</definedName>
    <definedName name="M_Bitumen_S65" localSheetId="37">[172]Material!$D$42</definedName>
    <definedName name="M_Bitumen_S65">[173]Material!$D$42</definedName>
    <definedName name="M_Bitumen_S65_55" localSheetId="28">#REF!</definedName>
    <definedName name="M_Bitumen_S90" localSheetId="37">[172]Material!$D$43</definedName>
    <definedName name="M_Bitumen_S90">[173]Material!$D$43</definedName>
    <definedName name="M_Bitumen_S90_55" localSheetId="28">#REF!</definedName>
    <definedName name="M_BitumenEmulsion_RS1" localSheetId="37">[187]Material!$D$44</definedName>
    <definedName name="M_BitumenEmulsion_RS1">[173]Material!$D$44</definedName>
    <definedName name="M_BitumenEmulsion_RS1_32" localSheetId="28">#REF!</definedName>
    <definedName name="M_BitumenEmulsion_RS1_33">#REF!</definedName>
    <definedName name="M_BitumenEmulsion_RS1_34">#REF!</definedName>
    <definedName name="M_BitumenEmulsion_RS1_43">#REF!</definedName>
    <definedName name="M_BitumenEmulsion_RS1_55">#REF!</definedName>
    <definedName name="M_BitumenEmulsion_RS1_56">#REF!</definedName>
    <definedName name="M_BitumenEmulsion_RS1_59">#REF!</definedName>
    <definedName name="M_BitumenEmulsion_RS1_61">#REF!</definedName>
    <definedName name="M_BitumenEmulsion_SS1" localSheetId="37">[156]Material!$D$45</definedName>
    <definedName name="M_BitumenEmulsion_SS1">[173]Material!$D$45</definedName>
    <definedName name="M_BitumenEmulsion_SS1_32" localSheetId="28">#REF!</definedName>
    <definedName name="M_BitumenEmulsion_SS1_33">#REF!</definedName>
    <definedName name="M_BitumenEmulsion_SS1_34">#REF!</definedName>
    <definedName name="M_BitumenEmulsion_SS1_43">#REF!</definedName>
    <definedName name="M_BitumenEmulsion_SS1_55">#REF!</definedName>
    <definedName name="M_BitumenEmulsion_SS1_56">#REF!</definedName>
    <definedName name="M_BitumenEmulsion_SS1_59">#REF!</definedName>
    <definedName name="M_BitumenEmulsion_SS1_61">#REF!</definedName>
    <definedName name="M_BitumenSealant" localSheetId="37">[156]Material!$D$46</definedName>
    <definedName name="M_BitumenSealant">[173]Material!$D$46</definedName>
    <definedName name="M_BitumenSealant_32" localSheetId="28">#REF!</definedName>
    <definedName name="M_BitumenSealant_33">#REF!</definedName>
    <definedName name="M_BitumenSealant_34">#REF!</definedName>
    <definedName name="M_BitumenSealant_43">#REF!</definedName>
    <definedName name="M_BitumenSealant_55">#REF!</definedName>
    <definedName name="M_BitumenSealant_56">#REF!</definedName>
    <definedName name="M_BitumenSealant_59">#REF!</definedName>
    <definedName name="M_BitumenSealant_61">#REF!</definedName>
    <definedName name="M_Blasted_Rubble" localSheetId="37">[174]Material!$D$47</definedName>
    <definedName name="M_Blasted_Rubble">[173]Material!$D$47</definedName>
    <definedName name="M_BlastingMaterial" localSheetId="37">[174]Material!$D$48</definedName>
    <definedName name="M_BlastingMaterial">[173]Material!$D$48</definedName>
    <definedName name="M_BondStone_400_150_150mm" localSheetId="37">[174]Material!$D$49</definedName>
    <definedName name="M_BondStone_400_150_150mm">[173]Material!$D$49</definedName>
    <definedName name="M_Brick_1stClass" localSheetId="37">[174]Material!$D$50</definedName>
    <definedName name="M_Brick_1stClass">[173]Material!$D$50</definedName>
    <definedName name="M_BROOMER" localSheetId="33">#REF!</definedName>
    <definedName name="M_BROOMER" localSheetId="34">#REF!</definedName>
    <definedName name="M_BROOMER" localSheetId="5">#REF!</definedName>
    <definedName name="M_BROOMER" localSheetId="8">#REF!</definedName>
    <definedName name="M_BROOMER" localSheetId="10">#REF!</definedName>
    <definedName name="M_BROOMER" localSheetId="11">#REF!</definedName>
    <definedName name="M_BROOMER" localSheetId="37">#REF!</definedName>
    <definedName name="M_BROOMER" localSheetId="28">#REF!</definedName>
    <definedName name="M_BROOMER" localSheetId="42">#REF!</definedName>
    <definedName name="M_BROOMER">#REF!</definedName>
    <definedName name="M_CC_CUTTER" localSheetId="33">#REF!</definedName>
    <definedName name="M_CC_CUTTER" localSheetId="34">#REF!</definedName>
    <definedName name="M_CC_CUTTER" localSheetId="5">#REF!</definedName>
    <definedName name="M_CC_CUTTER" localSheetId="8">#REF!</definedName>
    <definedName name="M_CC_CUTTER" localSheetId="10">#REF!</definedName>
    <definedName name="M_CC_CUTTER" localSheetId="11">#REF!</definedName>
    <definedName name="M_CC_CUTTER" localSheetId="37">#REF!</definedName>
    <definedName name="M_CC_CUTTER" localSheetId="28">#REF!</definedName>
    <definedName name="M_CC_CUTTER" localSheetId="42">#REF!</definedName>
    <definedName name="M_CC_CUTTER">#REF!</definedName>
    <definedName name="M_CCMIXER" localSheetId="33">#REF!</definedName>
    <definedName name="M_CCMIXER" localSheetId="34">#REF!</definedName>
    <definedName name="M_CCMIXER" localSheetId="5">#REF!</definedName>
    <definedName name="M_CCMIXER" localSheetId="8">#REF!</definedName>
    <definedName name="M_CCMIXER" localSheetId="10">#REF!</definedName>
    <definedName name="M_CCMIXER" localSheetId="11">#REF!</definedName>
    <definedName name="M_CCMIXER" localSheetId="37">#REF!</definedName>
    <definedName name="M_CCMIXER" localSheetId="28">#REF!</definedName>
    <definedName name="M_CCMIXER" localSheetId="42">#REF!</definedName>
    <definedName name="M_CCMIXER">#REF!</definedName>
    <definedName name="M_Cement" localSheetId="37">[156]Material!$D$51</definedName>
    <definedName name="M_Cement">[173]Material!$D$51</definedName>
    <definedName name="M_Cement_32" localSheetId="28">#REF!</definedName>
    <definedName name="M_Cement_33">#REF!</definedName>
    <definedName name="M_Cement_34">#REF!</definedName>
    <definedName name="M_Cement_43">#REF!</definedName>
    <definedName name="M_Cement_55">#REF!</definedName>
    <definedName name="M_Cement_56">#REF!</definedName>
    <definedName name="M_Cement_59">#REF!</definedName>
    <definedName name="M_Cement_61">#REF!</definedName>
    <definedName name="M_CementPrimer" localSheetId="37">[175]Sheet1!$D$52</definedName>
    <definedName name="M_CementPrimer">[173]Material!$D$52</definedName>
    <definedName name="M_CementPrimer_32" localSheetId="28">#REF!</definedName>
    <definedName name="M_CementPrimer_33">#REF!</definedName>
    <definedName name="M_CementPrimer_34">#REF!</definedName>
    <definedName name="M_CementPrimer_43">#REF!</definedName>
    <definedName name="M_CementPrimer_56">#REF!</definedName>
    <definedName name="M_CementPrimer_59">#REF!</definedName>
    <definedName name="M_CementPrimer_61">#REF!</definedName>
    <definedName name="M_CHIPSPREDER" localSheetId="33">#REF!</definedName>
    <definedName name="M_CHIPSPREDER" localSheetId="34">#REF!</definedName>
    <definedName name="M_CHIPSPREDER" localSheetId="5">#REF!</definedName>
    <definedName name="M_CHIPSPREDER" localSheetId="8">#REF!</definedName>
    <definedName name="M_CHIPSPREDER" localSheetId="10">#REF!</definedName>
    <definedName name="M_CHIPSPREDER" localSheetId="11">#REF!</definedName>
    <definedName name="M_CHIPSPREDER" localSheetId="37">#REF!</definedName>
    <definedName name="M_CHIPSPREDER" localSheetId="28">#REF!</definedName>
    <definedName name="M_CHIPSPREDER" localSheetId="42">#REF!</definedName>
    <definedName name="M_CHIPSPREDER">#REF!</definedName>
    <definedName name="M_ChlorpreneElastomer_OR_ClosedCellFoamSealingElement" localSheetId="37">[176]Material!$D$53</definedName>
    <definedName name="M_ChlorpreneElastomer_OR_ClosedCellFoamSealingElement">[177]Material!$D$53</definedName>
    <definedName name="M_ChlorpreneElastomer_OR_ClosedCellFoamSealingElement_32" localSheetId="28">#REF!</definedName>
    <definedName name="M_ChlorpreneElastomer_OR_ClosedCellFoamSealingElement_33">#REF!</definedName>
    <definedName name="M_ChlorpreneElastomer_OR_ClosedCellFoamSealingElement_34">#REF!</definedName>
    <definedName name="M_ChlorpreneElastomer_OR_ClosedCellFoamSealingElement_43">#REF!</definedName>
    <definedName name="M_ChlorpreneElastomer_OR_ClosedCellFoamSealingElement_56">#REF!</definedName>
    <definedName name="M_ChlorpreneElastomer_OR_ClosedCellFoamSealingElement_59">#REF!</definedName>
    <definedName name="M_ChlorpreneElastomer_OR_ClosedCellFoamSealingElement_61">#REF!</definedName>
    <definedName name="M_CompensationForEarthTakenFromPrivateLand" localSheetId="37">[172]Material!$D$54</definedName>
    <definedName name="M_CompensationForEarthTakenFromPrivateLand">[173]Material!$D$54</definedName>
    <definedName name="M_CompressibleFibreBoard" localSheetId="37">[176]Material!$D$55</definedName>
    <definedName name="M_CompressibleFibreBoard">[177]Material!$D$55</definedName>
    <definedName name="M_CompressibleFibreBoard_32" localSheetId="28">#REF!</definedName>
    <definedName name="M_CompressibleFibreBoard_33">#REF!</definedName>
    <definedName name="M_CompressibleFibreBoard_34">#REF!</definedName>
    <definedName name="M_CompressibleFibreBoard_43">#REF!</definedName>
    <definedName name="M_CompressibleFibreBoard_56">#REF!</definedName>
    <definedName name="M_CompressibleFibreBoard_59">#REF!</definedName>
    <definedName name="M_CompressibleFibreBoard_61">#REF!</definedName>
    <definedName name="M_CopperPlate" localSheetId="37">[176]Material!$D$56</definedName>
    <definedName name="M_CopperPlate">[177]Material!$D$56</definedName>
    <definedName name="M_CopperPlate_32" localSheetId="28">#REF!</definedName>
    <definedName name="M_CopperPlate_33">#REF!</definedName>
    <definedName name="M_CopperPlate_34">#REF!</definedName>
    <definedName name="M_CopperPlate_43">#REF!</definedName>
    <definedName name="M_CopperPlate_56">#REF!</definedName>
    <definedName name="M_CopperPlate_59">#REF!</definedName>
    <definedName name="M_CopperPlate_61">#REF!</definedName>
    <definedName name="M_CorrosionResistantStructuralSteelGrating" localSheetId="37">[188]Material!$D$58</definedName>
    <definedName name="M_CorrosionResistantStructuralSteelGrating">[177]Material!$D$58</definedName>
    <definedName name="M_CorrosionResistantStructuralSteelGrating_32" localSheetId="28">#REF!</definedName>
    <definedName name="M_CorrosionResistantStructuralSteelGrating_33">#REF!</definedName>
    <definedName name="M_CorrosionResistantStructuralSteelGrating_34">#REF!</definedName>
    <definedName name="M_CorrosionResistantStructuralSteelGrating_43">#REF!</definedName>
    <definedName name="M_CorrosionResistantStructuralSteelGrating_56">#REF!</definedName>
    <definedName name="M_CorrosionResistantStructuralSteelGrating_59">#REF!</definedName>
    <definedName name="M_CorrosionResistantStructuralSteelGrating_61">#REF!</definedName>
    <definedName name="M_CRANE8T" localSheetId="33">#REF!</definedName>
    <definedName name="M_CRANE8T" localSheetId="34">#REF!</definedName>
    <definedName name="M_CRANE8T" localSheetId="5">#REF!</definedName>
    <definedName name="M_CRANE8T" localSheetId="8">#REF!</definedName>
    <definedName name="M_CRANE8T" localSheetId="10">#REF!</definedName>
    <definedName name="M_CRANE8T" localSheetId="11">#REF!</definedName>
    <definedName name="M_CRANE8T" localSheetId="37">#REF!</definedName>
    <definedName name="M_CRANE8T" localSheetId="28">#REF!</definedName>
    <definedName name="M_CRANE8T" localSheetId="42">#REF!</definedName>
    <definedName name="M_CRANE8T">#REF!</definedName>
    <definedName name="M_CreditForExcavatedRock" localSheetId="37">[175]Sheet1!$D$59</definedName>
    <definedName name="M_CreditForExcavatedRock">[173]Material!$D$59</definedName>
    <definedName name="M_CreditForExcavatedRock_32" localSheetId="28">#REF!</definedName>
    <definedName name="M_CreditForExcavatedRock_33">#REF!</definedName>
    <definedName name="M_CreditForExcavatedRock_34">#REF!</definedName>
    <definedName name="M_CreditForExcavatedRock_43">#REF!</definedName>
    <definedName name="M_CreditForExcavatedRock_56">#REF!</definedName>
    <definedName name="M_CreditForExcavatedRock_59">#REF!</definedName>
    <definedName name="M_CreditForExcavatedRock_61">#REF!</definedName>
    <definedName name="M_CrushedSand_OR_Grit" localSheetId="37">[187]Material!$D$61</definedName>
    <definedName name="M_CrushedSand_OR_Grit">[173]Material!$D$61</definedName>
    <definedName name="M_CrushedSand_OR_Grit_32" localSheetId="28">#REF!</definedName>
    <definedName name="M_CrushedSand_OR_Grit_33">#REF!</definedName>
    <definedName name="M_CrushedSand_OR_Grit_34">#REF!</definedName>
    <definedName name="M_CrushedSand_OR_Grit_43">#REF!</definedName>
    <definedName name="M_CrushedSand_OR_Grit_55">#REF!</definedName>
    <definedName name="M_CrushedSand_OR_Grit_56">#REF!</definedName>
    <definedName name="M_CrushedSand_OR_Grit_59">#REF!</definedName>
    <definedName name="M_CrushedSand_OR_Grit_61">#REF!</definedName>
    <definedName name="M_CrushedSlag" localSheetId="37">[175]Sheet1!$D$62</definedName>
    <definedName name="M_CrushedSlag">[173]Material!$D$62</definedName>
    <definedName name="M_CrushedSlag_32" localSheetId="28">#REF!</definedName>
    <definedName name="M_CrushedSlag_33">#REF!</definedName>
    <definedName name="M_CrushedSlag_34">#REF!</definedName>
    <definedName name="M_CrushedSlag_43">#REF!</definedName>
    <definedName name="M_CrushedSlag_56">#REF!</definedName>
    <definedName name="M_CrushedSlag_59">#REF!</definedName>
    <definedName name="M_CrushedSlag_61">#REF!</definedName>
    <definedName name="M_CrushedStoneAggregate_265_75" localSheetId="37">[175]Sheet1!$D$63</definedName>
    <definedName name="M_CrushedStoneAggregate_265_75">[173]Material!$D$63</definedName>
    <definedName name="M_CrushedStoneAggregate_265_75_32" localSheetId="28">#REF!</definedName>
    <definedName name="M_CrushedStoneAggregate_265_75_33">#REF!</definedName>
    <definedName name="M_CrushedStoneAggregate_265_75_34">#REF!</definedName>
    <definedName name="M_CrushedStoneAggregate_265_75_43">#REF!</definedName>
    <definedName name="M_CrushedStoneAggregate_265_75_56">#REF!</definedName>
    <definedName name="M_CrushedStoneAggregate_265_75_59">#REF!</definedName>
    <definedName name="M_CrushedStoneAggregate_265_75_61">#REF!</definedName>
    <definedName name="M_CrushedStoneChipping_132" localSheetId="37">[187]Material!$D$64</definedName>
    <definedName name="M_CrushedStoneChipping_132">[173]Material!$D$64</definedName>
    <definedName name="M_CrushedStoneChipping_132_32" localSheetId="28">#REF!</definedName>
    <definedName name="M_CrushedStoneChipping_132_33">#REF!</definedName>
    <definedName name="M_CrushedStoneChipping_132_34">#REF!</definedName>
    <definedName name="M_CrushedStoneChipping_132_43">#REF!</definedName>
    <definedName name="M_CrushedStoneChipping_132_55">#REF!</definedName>
    <definedName name="M_CrushedStoneChipping_132_56">#REF!</definedName>
    <definedName name="M_CrushedStoneChipping_132_59">#REF!</definedName>
    <definedName name="M_CrushedStoneChipping_132_61">#REF!</definedName>
    <definedName name="M_CrushedStoneChipping_67mm_100Passing_112mm" localSheetId="37">[187]Material!$D$65</definedName>
    <definedName name="M_CrushedStoneChipping_67mm_100Passing_112mm">[173]Material!$D$65</definedName>
    <definedName name="M_CrushedStoneChipping_67mm_100Passing_112mm_32" localSheetId="28">#REF!</definedName>
    <definedName name="M_CrushedStoneChipping_67mm_100Passing_112mm_33">#REF!</definedName>
    <definedName name="M_CrushedStoneChipping_67mm_100Passing_112mm_34">#REF!</definedName>
    <definedName name="M_CrushedStoneChipping_67mm_100Passing_112mm_43">#REF!</definedName>
    <definedName name="M_CrushedStoneChipping_67mm_100Passing_112mm_55">#REF!</definedName>
    <definedName name="M_CrushedStoneChipping_67mm_100Passing_112mm_56">#REF!</definedName>
    <definedName name="M_CrushedStoneChipping_67mm_100Passing_112mm_59">#REF!</definedName>
    <definedName name="M_CrushedStoneChipping_67mm_100Passing_112mm_61">#REF!</definedName>
    <definedName name="M_CrushedStoneChipping_67mm_100Passing_95mm" localSheetId="37">[187]Material!$D$66</definedName>
    <definedName name="M_CrushedStoneChipping_67mm_100Passing_95mm">[173]Material!$D$66</definedName>
    <definedName name="M_CrushedStoneChipping_67mm_100Passing_95mm_32" localSheetId="28">#REF!</definedName>
    <definedName name="M_CrushedStoneChipping_67mm_100Passing_95mm_33">#REF!</definedName>
    <definedName name="M_CrushedStoneChipping_67mm_100Passing_95mm_34">#REF!</definedName>
    <definedName name="M_CrushedStoneChipping_67mm_100Passing_95mm_43">#REF!</definedName>
    <definedName name="M_CrushedStoneChipping_67mm_100Passing_95mm_55">#REF!</definedName>
    <definedName name="M_CrushedStoneChipping_67mm_100Passing_95mm_56">#REF!</definedName>
    <definedName name="M_CrushedStoneChipping_67mm_100Passing_95mm_59">#REF!</definedName>
    <definedName name="M_CrushedStoneChipping_67mm_100Passing_95mm_61">#REF!</definedName>
    <definedName name="M_CrushedStoneChipping_95" localSheetId="37">[187]Material!$D$67</definedName>
    <definedName name="M_CrushedStoneChipping_95">[173]Material!$D$67</definedName>
    <definedName name="M_CrushedStoneChipping_95_32" localSheetId="28">#REF!</definedName>
    <definedName name="M_CrushedStoneChipping_95_33">#REF!</definedName>
    <definedName name="M_CrushedStoneChipping_95_34">#REF!</definedName>
    <definedName name="M_CrushedStoneChipping_95_43">#REF!</definedName>
    <definedName name="M_CrushedStoneChipping_95_55">#REF!</definedName>
    <definedName name="M_CrushedStoneChipping_95_56">#REF!</definedName>
    <definedName name="M_CrushedStoneChipping_95_59">#REF!</definedName>
    <definedName name="M_CrushedStoneChipping_95_61">#REF!</definedName>
    <definedName name="M_CrushedStoneCoarseAggregatePassing_53mm" localSheetId="37">[172]Material!$D$68</definedName>
    <definedName name="M_CrushedStoneCoarseAggregatePassing_53mm">[173]Material!$D$68</definedName>
    <definedName name="M_CrushedStoneCoarseAggregatePassing_53mm_55" localSheetId="28">#REF!</definedName>
    <definedName name="M_CuringCompound" localSheetId="37">[156]Material!$D$69</definedName>
    <definedName name="M_CuringCompound">[173]Material!$D$69</definedName>
    <definedName name="M_CuringCompound_32" localSheetId="28">#REF!</definedName>
    <definedName name="M_CuringCompound_33">#REF!</definedName>
    <definedName name="M_CuringCompound_34">#REF!</definedName>
    <definedName name="M_CuringCompound_43">#REF!</definedName>
    <definedName name="M_CuringCompound_55">#REF!</definedName>
    <definedName name="M_CuringCompound_56">#REF!</definedName>
    <definedName name="M_CuringCompound_59">#REF!</definedName>
    <definedName name="M_CuringCompound_61">#REF!</definedName>
    <definedName name="M_DebondingStrips" localSheetId="37">[156]Material!$D$70</definedName>
    <definedName name="M_DebondingStrips">[173]Material!$D$70</definedName>
    <definedName name="M_DebondingStrips_32" localSheetId="28">#REF!</definedName>
    <definedName name="M_DebondingStrips_33">#REF!</definedName>
    <definedName name="M_DebondingStrips_34">#REF!</definedName>
    <definedName name="M_DebondingStrips_43">#REF!</definedName>
    <definedName name="M_DebondingStrips_55">#REF!</definedName>
    <definedName name="M_DebondingStrips_56">#REF!</definedName>
    <definedName name="M_DebondingStrips_59">#REF!</definedName>
    <definedName name="M_DebondingStrips_61">#REF!</definedName>
    <definedName name="M_DOZERD50" localSheetId="33">#REF!</definedName>
    <definedName name="M_DOZERD50" localSheetId="34">#REF!</definedName>
    <definedName name="M_DOZERD50" localSheetId="5">#REF!</definedName>
    <definedName name="M_DOZERD50" localSheetId="8">#REF!</definedName>
    <definedName name="M_DOZERD50" localSheetId="10">#REF!</definedName>
    <definedName name="M_DOZERD50" localSheetId="11">#REF!</definedName>
    <definedName name="M_DOZERD50" localSheetId="37">#REF!</definedName>
    <definedName name="M_DOZERD50" localSheetId="28">#REF!</definedName>
    <definedName name="M_DOZERD50" localSheetId="42">#REF!</definedName>
    <definedName name="M_DOZERD50">#REF!</definedName>
    <definedName name="M_EdgeStone_450_350_200mm" localSheetId="37">[175]Sheet1!$D$72</definedName>
    <definedName name="M_EdgeStone_450_350_200mm">[173]Material!$D$72</definedName>
    <definedName name="M_EdgeStone_450_350_200mm_32" localSheetId="28">#REF!</definedName>
    <definedName name="M_EdgeStone_450_350_200mm_33">#REF!</definedName>
    <definedName name="M_EdgeStone_450_350_200mm_34">#REF!</definedName>
    <definedName name="M_EdgeStone_450_350_200mm_43">#REF!</definedName>
    <definedName name="M_EdgeStone_450_350_200mm_56">#REF!</definedName>
    <definedName name="M_EdgeStone_450_350_200mm_59">#REF!</definedName>
    <definedName name="M_EdgeStone_450_350_200mm_61">#REF!</definedName>
    <definedName name="M_ElastomericBearingAssembly" localSheetId="37">[174]Material!$D$73</definedName>
    <definedName name="M_ElastomericBearingAssembly">[173]Material!$D$73</definedName>
    <definedName name="M_ElectricDetonator" localSheetId="37">[174]Material!$D$74</definedName>
    <definedName name="M_ElectricDetonator">[173]Material!$D$74</definedName>
    <definedName name="M_ELEGEN" localSheetId="33">#REF!</definedName>
    <definedName name="M_ELEGEN" localSheetId="34">#REF!</definedName>
    <definedName name="M_ELEGEN" localSheetId="5">#REF!</definedName>
    <definedName name="M_ELEGEN" localSheetId="8">#REF!</definedName>
    <definedName name="M_ELEGEN" localSheetId="10">#REF!</definedName>
    <definedName name="M_ELEGEN" localSheetId="11">#REF!</definedName>
    <definedName name="M_ELEGEN" localSheetId="37">#REF!</definedName>
    <definedName name="M_ELEGEN" localSheetId="28">#REF!</definedName>
    <definedName name="M_ELEGEN" localSheetId="42">#REF!</definedName>
    <definedName name="M_ELEGEN">#REF!</definedName>
    <definedName name="M_EpoxyPaint" localSheetId="37">[175]Sheet1!$D$75</definedName>
    <definedName name="M_EpoxyPaint">[173]Material!$D$75</definedName>
    <definedName name="M_EpoxyPaint_32" localSheetId="28">#REF!</definedName>
    <definedName name="M_EpoxyPaint_33">#REF!</definedName>
    <definedName name="M_EpoxyPaint_34">#REF!</definedName>
    <definedName name="M_EpoxyPaint_43">#REF!</definedName>
    <definedName name="M_EpoxyPaint_56">#REF!</definedName>
    <definedName name="M_EpoxyPaint_59">#REF!</definedName>
    <definedName name="M_EpoxyPaint_61">#REF!</definedName>
    <definedName name="M_EXCAVATOR9" localSheetId="33">#REF!</definedName>
    <definedName name="M_EXCAVATOR9" localSheetId="34">#REF!</definedName>
    <definedName name="M_EXCAVATOR9" localSheetId="5">#REF!</definedName>
    <definedName name="M_EXCAVATOR9" localSheetId="8">#REF!</definedName>
    <definedName name="M_EXCAVATOR9" localSheetId="10">#REF!</definedName>
    <definedName name="M_EXCAVATOR9" localSheetId="11">#REF!</definedName>
    <definedName name="M_EXCAVATOR9" localSheetId="37">#REF!</definedName>
    <definedName name="M_EXCAVATOR9" localSheetId="28">#REF!</definedName>
    <definedName name="M_EXCAVATOR9" localSheetId="42">#REF!</definedName>
    <definedName name="M_EXCAVATOR9">#REF!</definedName>
    <definedName name="M_FarmyardManure" localSheetId="37">[175]Sheet1!$D$77</definedName>
    <definedName name="M_FarmyardManure">[173]Material!$D$77</definedName>
    <definedName name="M_FarmyardManure_32" localSheetId="28">#REF!</definedName>
    <definedName name="M_FarmyardManure_33">#REF!</definedName>
    <definedName name="M_FarmyardManure_34">#REF!</definedName>
    <definedName name="M_FarmyardManure_43">#REF!</definedName>
    <definedName name="M_FarmyardManure_56">#REF!</definedName>
    <definedName name="M_FarmyardManure_59">#REF!</definedName>
    <definedName name="M_FarmyardManure_61">#REF!</definedName>
    <definedName name="M_FevicolAdhesive" localSheetId="37">[175]Sheet1!$D$78</definedName>
    <definedName name="M_FevicolAdhesive">[173]Material!$D$78</definedName>
    <definedName name="M_FevicolAdhesive_32" localSheetId="28">#REF!</definedName>
    <definedName name="M_FevicolAdhesive_33">#REF!</definedName>
    <definedName name="M_FevicolAdhesive_34">#REF!</definedName>
    <definedName name="M_FevicolAdhesive_43">#REF!</definedName>
    <definedName name="M_FevicolAdhesive_56">#REF!</definedName>
    <definedName name="M_FevicolAdhesive_59">#REF!</definedName>
    <definedName name="M_FevicolAdhesive_61">#REF!</definedName>
    <definedName name="M_FilterMedia" localSheetId="37">[174]Material!$D$79</definedName>
    <definedName name="M_FilterMedia">[173]Material!$D$79</definedName>
    <definedName name="M_filterMediam" localSheetId="37">[133]Material!$D$79</definedName>
    <definedName name="M_filterMediam">[134]Material!$D$79</definedName>
    <definedName name="M_FineAggregate_CrushedSand" localSheetId="37">[175]Sheet1!$D$80</definedName>
    <definedName name="M_FineAggregate_CrushedSand">[173]Material!$D$80</definedName>
    <definedName name="M_FineAggregate_CrushedSand_32" localSheetId="28">#REF!</definedName>
    <definedName name="M_FineAggregate_CrushedSand_33">#REF!</definedName>
    <definedName name="M_FineAggregate_CrushedSand_34">#REF!</definedName>
    <definedName name="M_FineAggregate_CrushedSand_43">#REF!</definedName>
    <definedName name="M_FineAggregate_CrushedSand_56">#REF!</definedName>
    <definedName name="M_FineAggregate_CrushedSand_59">#REF!</definedName>
    <definedName name="M_FineAggregate_CrushedSand_61">#REF!</definedName>
    <definedName name="M_FRONTLOADER" localSheetId="33">#REF!</definedName>
    <definedName name="M_FRONTLOADER" localSheetId="34">#REF!</definedName>
    <definedName name="M_FRONTLOADER" localSheetId="5">#REF!</definedName>
    <definedName name="M_FRONTLOADER" localSheetId="8">#REF!</definedName>
    <definedName name="M_FRONTLOADER" localSheetId="10">#REF!</definedName>
    <definedName name="M_FRONTLOADER" localSheetId="11">#REF!</definedName>
    <definedName name="M_FRONTLOADER" localSheetId="37">#REF!</definedName>
    <definedName name="M_FRONTLOADER" localSheetId="28">#REF!</definedName>
    <definedName name="M_FRONTLOADER" localSheetId="42">#REF!</definedName>
    <definedName name="M_FRONTLOADER">#REF!</definedName>
    <definedName name="M_GalvanisedAngle" localSheetId="37">[176]Material!$D$81</definedName>
    <definedName name="M_GalvanisedAngle">[177]Material!$D$81</definedName>
    <definedName name="M_GalvanisedAngle_32" localSheetId="28">#REF!</definedName>
    <definedName name="M_GalvanisedAngle_33">#REF!</definedName>
    <definedName name="M_GalvanisedAngle_34">#REF!</definedName>
    <definedName name="M_GalvanisedAngle_43">#REF!</definedName>
    <definedName name="M_GalvanisedAngle_56">#REF!</definedName>
    <definedName name="M_GalvanisedAngle_59">#REF!</definedName>
    <definedName name="M_GalvanisedAngle_61">#REF!</definedName>
    <definedName name="M_Gelatine_80" localSheetId="37">[175]Sheet1!$D$83</definedName>
    <definedName name="M_Gelatine_80">[173]Material!$D$83</definedName>
    <definedName name="M_Gelatine_80_32" localSheetId="28">#REF!</definedName>
    <definedName name="M_Gelatine_80_33">#REF!</definedName>
    <definedName name="M_Gelatine_80_34">#REF!</definedName>
    <definedName name="M_Gelatine_80_43">#REF!</definedName>
    <definedName name="M_Gelatine_80_56">#REF!</definedName>
    <definedName name="M_Gelatine_80_59">#REF!</definedName>
    <definedName name="M_Gelatine_80_61">#REF!</definedName>
    <definedName name="M_GIPipe_100mm" localSheetId="37">[188]Material!$D$84</definedName>
    <definedName name="M_GIPipe_100mm">[177]Material!$D$84</definedName>
    <definedName name="M_GIPipe_100mm_32" localSheetId="28">#REF!</definedName>
    <definedName name="M_GIPipe_100mm_33">#REF!</definedName>
    <definedName name="M_GIPipe_100mm_34">#REF!</definedName>
    <definedName name="M_GIPipe_100mm_43">#REF!</definedName>
    <definedName name="M_GIPipe_100mm_56">#REF!</definedName>
    <definedName name="M_GIPipe_100mm_59">#REF!</definedName>
    <definedName name="M_GIPipe_100mm_61">#REF!</definedName>
    <definedName name="M_GIPipe_50mm" localSheetId="37">[175]Sheet1!$D$85</definedName>
    <definedName name="M_GIPipe_50mm">[173]Material!$D$85</definedName>
    <definedName name="M_GIPipe_50mm_32" localSheetId="28">#REF!</definedName>
    <definedName name="M_GIPipe_50mm_33">#REF!</definedName>
    <definedName name="M_GIPipe_50mm_34">#REF!</definedName>
    <definedName name="M_GIPipe_50mm_43">#REF!</definedName>
    <definedName name="M_GIPipe_50mm_56">#REF!</definedName>
    <definedName name="M_GIPipe_50mm_59">#REF!</definedName>
    <definedName name="M_GIPipe_50mm_61">#REF!</definedName>
    <definedName name="M_GIWires" localSheetId="37">[175]Sheet1!$D$86</definedName>
    <definedName name="M_GIWires">[173]Material!$D$86</definedName>
    <definedName name="M_GIWires_32" localSheetId="28">#REF!</definedName>
    <definedName name="M_GIWires_33">#REF!</definedName>
    <definedName name="M_GIWires_34">#REF!</definedName>
    <definedName name="M_GIWires_43">#REF!</definedName>
    <definedName name="M_GIWires_56">#REF!</definedName>
    <definedName name="M_GIWires_59">#REF!</definedName>
    <definedName name="M_GIWires_61">#REF!</definedName>
    <definedName name="M_GradedStoneAggregate" localSheetId="37">[175]Sheet1!$D$87</definedName>
    <definedName name="M_GradedStoneAggregate">[173]Material!$D$87</definedName>
    <definedName name="M_GradedStoneAggregate_32" localSheetId="28">#REF!</definedName>
    <definedName name="M_GradedStoneAggregate_33">#REF!</definedName>
    <definedName name="M_GradedStoneAggregate_34">#REF!</definedName>
    <definedName name="M_GradedStoneAggregate_43">#REF!</definedName>
    <definedName name="M_GradedStoneAggregate_56">#REF!</definedName>
    <definedName name="M_GradedStoneAggregate_59">#REF!</definedName>
    <definedName name="M_GradedStoneAggregate_61">#REF!</definedName>
    <definedName name="M_GranularMaterial" localSheetId="37">[174]Material!$D$88</definedName>
    <definedName name="M_GranularMaterial">[173]Material!$D$88</definedName>
    <definedName name="M_HandBrokenMetal_40mm" localSheetId="37">[187]Material!$D$89</definedName>
    <definedName name="M_HandBrokenMetal_40mm">[173]Material!$D$89</definedName>
    <definedName name="M_HandBrokenMetal_40mm_32" localSheetId="28">#REF!</definedName>
    <definedName name="M_HandBrokenMetal_40mm_33">#REF!</definedName>
    <definedName name="M_HandBrokenMetal_40mm_34">#REF!</definedName>
    <definedName name="M_HandBrokenMetal_40mm_43">#REF!</definedName>
    <definedName name="M_HandBrokenMetal_40mm_55">#REF!</definedName>
    <definedName name="M_HandBrokenMetal_40mm_56">#REF!</definedName>
    <definedName name="M_HandBrokenMetal_40mm_59">#REF!</definedName>
    <definedName name="M_HandBrokenMetal_40mm_61">#REF!</definedName>
    <definedName name="M_HMP40" localSheetId="33">#REF!</definedName>
    <definedName name="M_HMP40" localSheetId="34">#REF!</definedName>
    <definedName name="M_HMP40" localSheetId="5">#REF!</definedName>
    <definedName name="M_HMP40" localSheetId="8">#REF!</definedName>
    <definedName name="M_HMP40" localSheetId="10">#REF!</definedName>
    <definedName name="M_HMP40" localSheetId="11">#REF!</definedName>
    <definedName name="M_HMP40" localSheetId="37">#REF!</definedName>
    <definedName name="M_HMP40" localSheetId="28">#REF!</definedName>
    <definedName name="M_HMP40" localSheetId="42">#REF!</definedName>
    <definedName name="M_HMP40">#REF!</definedName>
    <definedName name="M_ICRUSHER" localSheetId="33">#REF!</definedName>
    <definedName name="M_ICRUSHER" localSheetId="34">#REF!</definedName>
    <definedName name="M_ICRUSHER" localSheetId="5">#REF!</definedName>
    <definedName name="M_ICRUSHER" localSheetId="8">#REF!</definedName>
    <definedName name="M_ICRUSHER" localSheetId="10">#REF!</definedName>
    <definedName name="M_ICRUSHER" localSheetId="11">#REF!</definedName>
    <definedName name="M_ICRUSHER" localSheetId="37">#REF!</definedName>
    <definedName name="M_ICRUSHER" localSheetId="28">#REF!</definedName>
    <definedName name="M_ICRUSHER" localSheetId="42">#REF!</definedName>
    <definedName name="M_ICRUSHER">#REF!</definedName>
    <definedName name="M_Indigo" localSheetId="37">[175]Sheet1!$D$90</definedName>
    <definedName name="M_Indigo">[173]Material!$D$90</definedName>
    <definedName name="M_Indigo_32" localSheetId="28">#REF!</definedName>
    <definedName name="M_Indigo_33">#REF!</definedName>
    <definedName name="M_Indigo_34">#REF!</definedName>
    <definedName name="M_Indigo_43">#REF!</definedName>
    <definedName name="M_Indigo_56">#REF!</definedName>
    <definedName name="M_Indigo_59">#REF!</definedName>
    <definedName name="M_Indigo_61">#REF!</definedName>
    <definedName name="M_InterlockingBlocks_60mm" localSheetId="37">[187]Material!$D$91</definedName>
    <definedName name="M_InterlockingBlocks_60mm">[173]Material!$D$91</definedName>
    <definedName name="M_InterlockingBlocks_60mm_32" localSheetId="28">#REF!</definedName>
    <definedName name="M_InterlockingBlocks_60mm_33">#REF!</definedName>
    <definedName name="M_InterlockingBlocks_60mm_34">#REF!</definedName>
    <definedName name="M_InterlockingBlocks_60mm_43">#REF!</definedName>
    <definedName name="M_InterlockingBlocks_60mm_55">#REF!</definedName>
    <definedName name="M_InterlockingBlocks_60mm_56">#REF!</definedName>
    <definedName name="M_InterlockingBlocks_60mm_59">#REF!</definedName>
    <definedName name="M_InterlockingBlocks_60mm_61">#REF!</definedName>
    <definedName name="M_InterlockingBlocks_80mm" localSheetId="37">[187]Material!$D$92</definedName>
    <definedName name="M_InterlockingBlocks_80mm">[173]Material!$D$92</definedName>
    <definedName name="M_InterlockingBlocks_80mm_32" localSheetId="28">#REF!</definedName>
    <definedName name="M_InterlockingBlocks_80mm_33">#REF!</definedName>
    <definedName name="M_InterlockingBlocks_80mm_34">#REF!</definedName>
    <definedName name="M_InterlockingBlocks_80mm_43">#REF!</definedName>
    <definedName name="M_InterlockingBlocks_80mm_55">#REF!</definedName>
    <definedName name="M_InterlockingBlocks_80mm_56">#REF!</definedName>
    <definedName name="M_InterlockingBlocks_80mm_59">#REF!</definedName>
    <definedName name="M_InterlockingBlocks_80mm_61">#REF!</definedName>
    <definedName name="M_JointFillerBoard" localSheetId="37">[156]Material!$D$93</definedName>
    <definedName name="M_JointFillerBoard">[173]Material!$D$93</definedName>
    <definedName name="M_JointFillerBoard_32" localSheetId="28">#REF!</definedName>
    <definedName name="M_JointFillerBoard_33">#REF!</definedName>
    <definedName name="M_JointFillerBoard_34">#REF!</definedName>
    <definedName name="M_JointFillerBoard_43">#REF!</definedName>
    <definedName name="M_JointFillerBoard_55">#REF!</definedName>
    <definedName name="M_JointFillerBoard_56">#REF!</definedName>
    <definedName name="M_JointFillerBoard_59">#REF!</definedName>
    <definedName name="M_JointFillerBoard_61">#REF!</definedName>
    <definedName name="M_JuteNetting_OpenWeave_25mm" localSheetId="37">[175]Sheet1!$D$94</definedName>
    <definedName name="M_JuteNetting_OpenWeave_25mm">[173]Material!$D$94</definedName>
    <definedName name="M_JuteNetting_OpenWeave_25mm_32" localSheetId="28">#REF!</definedName>
    <definedName name="M_JuteNetting_OpenWeave_25mm_33">#REF!</definedName>
    <definedName name="M_JuteNetting_OpenWeave_25mm_34">#REF!</definedName>
    <definedName name="M_JuteNetting_OpenWeave_25mm_43">#REF!</definedName>
    <definedName name="M_JuteNetting_OpenWeave_25mm_56">#REF!</definedName>
    <definedName name="M_JuteNetting_OpenWeave_25mm_59">#REF!</definedName>
    <definedName name="M_JuteNetting_OpenWeave_25mm_61">#REF!</definedName>
    <definedName name="M_JuteRope_12mm" localSheetId="37">[156]Material!$D$95</definedName>
    <definedName name="M_JuteRope_12mm">[173]Material!$D$95</definedName>
    <definedName name="M_JuteRope_12mm_32" localSheetId="28">#REF!</definedName>
    <definedName name="M_JuteRope_12mm_33">#REF!</definedName>
    <definedName name="M_JuteRope_12mm_34">#REF!</definedName>
    <definedName name="M_JuteRope_12mm_43">#REF!</definedName>
    <definedName name="M_JuteRope_12mm_55">#REF!</definedName>
    <definedName name="M_JuteRope_12mm_56">#REF!</definedName>
    <definedName name="M_JuteRope_12mm_59">#REF!</definedName>
    <definedName name="M_JuteRope_12mm_61">#REF!</definedName>
    <definedName name="M_KeyAggregatesPassing_224mm" localSheetId="37">[172]Material!$D$96</definedName>
    <definedName name="M_KeyAggregatesPassing_224mm">[173]Material!$D$96</definedName>
    <definedName name="M_KeyAggregatesPassing_224mm_55" localSheetId="28">#REF!</definedName>
    <definedName name="m_lead" localSheetId="33">#REF!</definedName>
    <definedName name="m_lead" localSheetId="34">#REF!</definedName>
    <definedName name="m_lead" localSheetId="5">#REF!</definedName>
    <definedName name="m_lead" localSheetId="8">#REF!</definedName>
    <definedName name="m_lead" localSheetId="10">#REF!</definedName>
    <definedName name="m_lead" localSheetId="11">#REF!</definedName>
    <definedName name="m_lead" localSheetId="37">#REF!</definedName>
    <definedName name="m_lead" localSheetId="28">#REF!</definedName>
    <definedName name="m_lead" localSheetId="42">#REF!</definedName>
    <definedName name="m_lead">#REF!</definedName>
    <definedName name="M_Lime" localSheetId="37">[174]Material!$D$97</definedName>
    <definedName name="M_Lime">[173]Material!$D$97</definedName>
    <definedName name="M_LocalWoodPiles_1stClass" localSheetId="37">[175]Sheet1!$D$99</definedName>
    <definedName name="M_LocalWoodPiles_1stClass">[173]Material!$D$99</definedName>
    <definedName name="M_LocalWoodPiles_1stClass_100_75mm" localSheetId="37">[175]Sheet1!$D$100</definedName>
    <definedName name="M_LocalWoodPiles_1stClass_100_75mm">[173]Material!$D$100</definedName>
    <definedName name="M_LocalWoodPiles_1stClass_100_75mm_32" localSheetId="28">#REF!</definedName>
    <definedName name="M_LocalWoodPiles_1stClass_100_75mm_33">#REF!</definedName>
    <definedName name="M_LocalWoodPiles_1stClass_100_75mm_34">#REF!</definedName>
    <definedName name="M_LocalWoodPiles_1stClass_100_75mm_43">#REF!</definedName>
    <definedName name="M_LocalWoodPiles_1stClass_100_75mm_56">#REF!</definedName>
    <definedName name="M_LocalWoodPiles_1stClass_100_75mm_59">#REF!</definedName>
    <definedName name="M_LocalWoodPiles_1stClass_100_75mm_61">#REF!</definedName>
    <definedName name="M_LocalWoodPiles_1stClass_32">#REF!</definedName>
    <definedName name="M_LocalWoodPiles_1stClass_33">#REF!</definedName>
    <definedName name="M_LocalWoodPiles_1stClass_34">#REF!</definedName>
    <definedName name="M_LocalWoodPiles_1stClass_43">#REF!</definedName>
    <definedName name="M_LocalWoodPiles_1stClass_56">#REF!</definedName>
    <definedName name="M_LocalWoodPiles_1stClass_59">#REF!</definedName>
    <definedName name="M_LocalWoodPiles_1stClass_61">#REF!</definedName>
    <definedName name="M_MOTORGRADER200" localSheetId="33">#REF!</definedName>
    <definedName name="M_MOTORGRADER200" localSheetId="34">#REF!</definedName>
    <definedName name="M_MOTORGRADER200" localSheetId="5">#REF!</definedName>
    <definedName name="M_MOTORGRADER200" localSheetId="8">#REF!</definedName>
    <definedName name="M_MOTORGRADER200" localSheetId="10">#REF!</definedName>
    <definedName name="M_MOTORGRADER200" localSheetId="11">#REF!</definedName>
    <definedName name="M_MOTORGRADER200" localSheetId="37">#REF!</definedName>
    <definedName name="M_MOTORGRADER200" localSheetId="28">#REF!</definedName>
    <definedName name="M_MOTORGRADER200" localSheetId="42">#REF!</definedName>
    <definedName name="M_MOTORGRADER200">#REF!</definedName>
    <definedName name="M_MOTORGRADER50" localSheetId="33">#REF!</definedName>
    <definedName name="M_MOTORGRADER50" localSheetId="34">#REF!</definedName>
    <definedName name="M_MOTORGRADER50" localSheetId="5">#REF!</definedName>
    <definedName name="M_MOTORGRADER50" localSheetId="8">#REF!</definedName>
    <definedName name="M_MOTORGRADER50" localSheetId="10">#REF!</definedName>
    <definedName name="M_MOTORGRADER50" localSheetId="11">#REF!</definedName>
    <definedName name="M_MOTORGRADER50" localSheetId="37">#REF!</definedName>
    <definedName name="M_MOTORGRADER50" localSheetId="28">#REF!</definedName>
    <definedName name="M_MOTORGRADER50" localSheetId="42">#REF!</definedName>
    <definedName name="M_MOTORGRADER50">#REF!</definedName>
    <definedName name="M_MS_Sheet_15mm" localSheetId="37">[175]Sheet1!$D$105</definedName>
    <definedName name="M_MS_Sheet_15mm">[173]Material!$D$105</definedName>
    <definedName name="M_MS_Sheet_15mm_32" localSheetId="28">#REF!</definedName>
    <definedName name="M_MS_Sheet_15mm_33">#REF!</definedName>
    <definedName name="M_MS_Sheet_15mm_34">#REF!</definedName>
    <definedName name="M_MS_Sheet_15mm_43">#REF!</definedName>
    <definedName name="M_MS_Sheet_15mm_56">#REF!</definedName>
    <definedName name="M_MS_Sheet_15mm_59">#REF!</definedName>
    <definedName name="M_MS_Sheet_15mm_61">#REF!</definedName>
    <definedName name="M_MS_Sheet_2mm" localSheetId="37">[175]Sheet1!$D$106</definedName>
    <definedName name="M_MS_Sheet_2mm">[173]Material!$D$106</definedName>
    <definedName name="M_MS_Sheet_2mm_32" localSheetId="28">#REF!</definedName>
    <definedName name="M_MS_Sheet_2mm_33">#REF!</definedName>
    <definedName name="M_MS_Sheet_2mm_34">#REF!</definedName>
    <definedName name="M_MS_Sheet_2mm_43">#REF!</definedName>
    <definedName name="M_MS_Sheet_2mm_56">#REF!</definedName>
    <definedName name="M_MS_Sheet_2mm_59">#REF!</definedName>
    <definedName name="M_MS_Sheet_2mm_61">#REF!</definedName>
    <definedName name="M_MSClamps" localSheetId="37">[174]Material!$D$102</definedName>
    <definedName name="M_MSClamps">[173]Material!$D$102</definedName>
    <definedName name="M_MSFlat_StructuralSteel" localSheetId="37">[175]Sheet1!$D$103</definedName>
    <definedName name="M_MSFlat_StructuralSteel">[173]Material!$D$103</definedName>
    <definedName name="M_MSFlat_StructuralSteel_32" localSheetId="28">#REF!</definedName>
    <definedName name="M_MSFlat_StructuralSteel_33">#REF!</definedName>
    <definedName name="M_MSFlat_StructuralSteel_34">#REF!</definedName>
    <definedName name="M_MSFlat_StructuralSteel_43">#REF!</definedName>
    <definedName name="M_MSFlat_StructuralSteel_56">#REF!</definedName>
    <definedName name="M_MSFlat_StructuralSteel_59">#REF!</definedName>
    <definedName name="M_MSFlat_StructuralSteel_61">#REF!</definedName>
    <definedName name="M_MSSheetTube_47_47mm_12_SWG" localSheetId="37">[175]Sheet1!$D$104</definedName>
    <definedName name="M_MSSheetTube_47_47mm_12_SWG">[173]Material!$D$104</definedName>
    <definedName name="M_MSSheetTube_47_47mm_12_SWG_32" localSheetId="28">#REF!</definedName>
    <definedName name="M_MSSheetTube_47_47mm_12_SWG_33">#REF!</definedName>
    <definedName name="M_MSSheetTube_47_47mm_12_SWG_34">#REF!</definedName>
    <definedName name="M_MSSheetTube_47_47mm_12_SWG_43">#REF!</definedName>
    <definedName name="M_MSSheetTube_47_47mm_12_SWG_56">#REF!</definedName>
    <definedName name="M_MSSheetTube_47_47mm_12_SWG_59">#REF!</definedName>
    <definedName name="M_MSSheetTube_47_47mm_12_SWG_61">#REF!</definedName>
    <definedName name="M_Nuts_Bolts_Rivets" localSheetId="37">[175]Sheet1!$D$107</definedName>
    <definedName name="M_Nuts_Bolts_Rivets">[173]Material!$D$107</definedName>
    <definedName name="M_Nuts_Bolts_Rivets_32" localSheetId="28">#REF!</definedName>
    <definedName name="M_Nuts_Bolts_Rivets_33">#REF!</definedName>
    <definedName name="M_Nuts_Bolts_Rivets_34">#REF!</definedName>
    <definedName name="M_Nuts_Bolts_Rivets_43">#REF!</definedName>
    <definedName name="M_Nuts_Bolts_Rivets_56">#REF!</definedName>
    <definedName name="M_Nuts_Bolts_Rivets_59">#REF!</definedName>
    <definedName name="M_Nuts_Bolts_Rivets_61">#REF!</definedName>
    <definedName name="M_Paint_SyntheticEnamel" localSheetId="37">[175]Sheet1!$D$108</definedName>
    <definedName name="M_Paint_SyntheticEnamel">[173]Material!$D$108</definedName>
    <definedName name="M_Paint_SyntheticEnamel_32" localSheetId="28">#REF!</definedName>
    <definedName name="M_Paint_SyntheticEnamel_33">#REF!</definedName>
    <definedName name="M_Paint_SyntheticEnamel_34">#REF!</definedName>
    <definedName name="M_Paint_SyntheticEnamel_43">#REF!</definedName>
    <definedName name="M_Paint_SyntheticEnamel_56">#REF!</definedName>
    <definedName name="M_Paint_SyntheticEnamel_59">#REF!</definedName>
    <definedName name="M_Paint_SyntheticEnamel_61">#REF!</definedName>
    <definedName name="M_PAVER100" localSheetId="33">#REF!</definedName>
    <definedName name="M_PAVER100" localSheetId="34">#REF!</definedName>
    <definedName name="M_PAVER100" localSheetId="5">#REF!</definedName>
    <definedName name="M_PAVER100" localSheetId="8">#REF!</definedName>
    <definedName name="M_PAVER100" localSheetId="10">#REF!</definedName>
    <definedName name="M_PAVER100" localSheetId="11">#REF!</definedName>
    <definedName name="M_PAVER100" localSheetId="37">#REF!</definedName>
    <definedName name="M_PAVER100" localSheetId="28">#REF!</definedName>
    <definedName name="M_PAVER100" localSheetId="42">#REF!</definedName>
    <definedName name="M_PAVER100">#REF!</definedName>
    <definedName name="M_PAVER75" localSheetId="33">#REF!</definedName>
    <definedName name="M_PAVER75" localSheetId="34">#REF!</definedName>
    <definedName name="M_PAVER75" localSheetId="5">#REF!</definedName>
    <definedName name="M_PAVER75" localSheetId="8">#REF!</definedName>
    <definedName name="M_PAVER75" localSheetId="10">#REF!</definedName>
    <definedName name="M_PAVER75" localSheetId="11">#REF!</definedName>
    <definedName name="M_PAVER75" localSheetId="37">#REF!</definedName>
    <definedName name="M_PAVER75" localSheetId="28">#REF!</definedName>
    <definedName name="M_PAVER75" localSheetId="42">#REF!</definedName>
    <definedName name="M_PAVER75">#REF!</definedName>
    <definedName name="M_PD_BT" localSheetId="33">#REF!</definedName>
    <definedName name="M_PD_BT" localSheetId="34">#REF!</definedName>
    <definedName name="M_PD_BT" localSheetId="5">#REF!</definedName>
    <definedName name="M_PD_BT" localSheetId="8">#REF!</definedName>
    <definedName name="M_PD_BT" localSheetId="10">#REF!</definedName>
    <definedName name="M_PD_BT" localSheetId="11">#REF!</definedName>
    <definedName name="M_PD_BT" localSheetId="37">#REF!</definedName>
    <definedName name="M_PD_BT" localSheetId="28">#REF!</definedName>
    <definedName name="M_PD_BT" localSheetId="42">#REF!</definedName>
    <definedName name="M_PD_BT">#REF!</definedName>
    <definedName name="M_PD_BTEM" localSheetId="33">#REF!</definedName>
    <definedName name="M_PD_BTEM" localSheetId="34">#REF!</definedName>
    <definedName name="M_PD_BTEM" localSheetId="5">#REF!</definedName>
    <definedName name="M_PD_BTEM" localSheetId="8">#REF!</definedName>
    <definedName name="M_PD_BTEM" localSheetId="10">#REF!</definedName>
    <definedName name="M_PD_BTEM" localSheetId="37">#REF!</definedName>
    <definedName name="M_PD_BTEM" localSheetId="28">#REF!</definedName>
    <definedName name="M_PD_BTEM" localSheetId="42">#REF!</definedName>
    <definedName name="M_PD_BTEM">#REF!</definedName>
    <definedName name="M_Plasticizer" localSheetId="37">[156]Material!$D$109</definedName>
    <definedName name="M_Plasticizer">[173]Material!$D$109</definedName>
    <definedName name="M_Plasticizer_32" localSheetId="28">#REF!</definedName>
    <definedName name="M_Plasticizer_33">#REF!</definedName>
    <definedName name="M_Plasticizer_34">#REF!</definedName>
    <definedName name="M_Plasticizer_43">#REF!</definedName>
    <definedName name="M_Plasticizer_55">#REF!</definedName>
    <definedName name="M_Plasticizer_56">#REF!</definedName>
    <definedName name="M_Plasticizer_59">#REF!</definedName>
    <definedName name="M_Plasticizer_61">#REF!</definedName>
    <definedName name="M_PolytheneSheet_125" localSheetId="37">[156]Material!$D$110</definedName>
    <definedName name="M_PolytheneSheet_125">[173]Material!$D$110</definedName>
    <definedName name="M_PolytheneSheet_125_32" localSheetId="28">#REF!</definedName>
    <definedName name="M_PolytheneSheet_125_33">#REF!</definedName>
    <definedName name="M_PolytheneSheet_125_34">#REF!</definedName>
    <definedName name="M_PolytheneSheet_125_43">#REF!</definedName>
    <definedName name="M_PolytheneSheet_125_55">#REF!</definedName>
    <definedName name="M_PolytheneSheet_125_56">#REF!</definedName>
    <definedName name="M_PolytheneSheet_125_59">#REF!</definedName>
    <definedName name="M_PolytheneSheet_125_61">#REF!</definedName>
    <definedName name="M_PolytheneSheething" localSheetId="37">[156]Material!$D$111</definedName>
    <definedName name="M_PolytheneSheething">[173]Material!$D$111</definedName>
    <definedName name="M_PolytheneSheething_32" localSheetId="28">#REF!</definedName>
    <definedName name="M_PolytheneSheething_33">#REF!</definedName>
    <definedName name="M_PolytheneSheething_34">#REF!</definedName>
    <definedName name="M_PolytheneSheething_43">#REF!</definedName>
    <definedName name="M_PolytheneSheething_55">#REF!</definedName>
    <definedName name="M_PolytheneSheething_56">#REF!</definedName>
    <definedName name="M_PolytheneSheething_59">#REF!</definedName>
    <definedName name="M_PolytheneSheething_61">#REF!</definedName>
    <definedName name="M_RCCPipeNP3_1000mm" localSheetId="37">[156]Material!$D$114</definedName>
    <definedName name="M_RCCPipeNP3_1000mm">[173]Material!$D$114</definedName>
    <definedName name="M_RCCPipeNP3_1000mm_32" localSheetId="28">#REF!</definedName>
    <definedName name="M_RCCPipeNP3_1000mm_33">#REF!</definedName>
    <definedName name="M_RCCPipeNP3_1000mm_34">#REF!</definedName>
    <definedName name="M_RCCPipeNP3_1000mm_43">#REF!</definedName>
    <definedName name="M_RCCPipeNP3_1000mm_56">#REF!</definedName>
    <definedName name="M_RCCPipeNP3_1000mm_59">#REF!</definedName>
    <definedName name="M_RCCPipeNP3_1000mm_61">#REF!</definedName>
    <definedName name="M_RCCPipeNP3_1200mm" localSheetId="37">[156]Material!$D$113</definedName>
    <definedName name="M_RCCPipeNP3_1200mm">[173]Material!$D$113</definedName>
    <definedName name="M_RCCPipeNP3_1200mm_32" localSheetId="28">#REF!</definedName>
    <definedName name="M_RCCPipeNP3_1200mm_33">#REF!</definedName>
    <definedName name="M_RCCPipeNP3_1200mm_34">#REF!</definedName>
    <definedName name="M_RCCPipeNP3_1200mm_43">#REF!</definedName>
    <definedName name="M_RCCPipeNP3_1200mm_56">#REF!</definedName>
    <definedName name="M_RCCPipeNP3_1200mm_59">#REF!</definedName>
    <definedName name="M_RCCPipeNP3_1200mm_61">#REF!</definedName>
    <definedName name="M_RCCPipeNP3_500mm" localSheetId="37">[156]Material!$D$117</definedName>
    <definedName name="M_RCCPipeNP3_500mm">[173]Material!$D$117</definedName>
    <definedName name="M_RCCPipeNP3_500mm_32" localSheetId="28">#REF!</definedName>
    <definedName name="M_RCCPipeNP3_500mm_33">#REF!</definedName>
    <definedName name="M_RCCPipeNP3_500mm_34">#REF!</definedName>
    <definedName name="M_RCCPipeNP3_500mm_43">#REF!</definedName>
    <definedName name="M_RCCPipeNP3_500mm_56">#REF!</definedName>
    <definedName name="M_RCCPipeNP3_500mm_59">#REF!</definedName>
    <definedName name="M_RCCPipeNP3_500mm_61">#REF!</definedName>
    <definedName name="M_RCCPipeNP3_750mm" localSheetId="37">[156]Material!$D$115</definedName>
    <definedName name="M_RCCPipeNP3_750mm">[173]Material!$D$115</definedName>
    <definedName name="M_RCCPipeNP3_750mm_32" localSheetId="28">#REF!</definedName>
    <definedName name="M_RCCPipeNP3_750mm_33">#REF!</definedName>
    <definedName name="M_RCCPipeNP3_750mm_34">#REF!</definedName>
    <definedName name="M_RCCPipeNP3_750mm_43">#REF!</definedName>
    <definedName name="M_RCCPipeNP3_750mm_56">#REF!</definedName>
    <definedName name="M_RCCPipeNP3_750mm_59">#REF!</definedName>
    <definedName name="M_RCCPipeNP3_750mm_61">#REF!</definedName>
    <definedName name="M_RCCPipeNP4" localSheetId="37">[169]Material!$D$118</definedName>
    <definedName name="M_RCCPipeNP4">[170]Material!$D$118</definedName>
    <definedName name="M_RCCPipeNP4_1000mm" localSheetId="37">[156]Material!$D$119</definedName>
    <definedName name="M_RCCPipeNP4_1000mm">[173]Material!$D$119</definedName>
    <definedName name="M_RCCPipeNP4_1000mm_32" localSheetId="28">#REF!</definedName>
    <definedName name="M_RCCPipeNP4_1000mm_33">#REF!</definedName>
    <definedName name="M_RCCPipeNP4_1000mm_34">#REF!</definedName>
    <definedName name="M_RCCPipeNP4_1000mm_43">#REF!</definedName>
    <definedName name="M_RCCPipeNP4_1000mm_56">#REF!</definedName>
    <definedName name="M_RCCPipeNP4_1000mm_59">#REF!</definedName>
    <definedName name="M_RCCPipeNP4_1000mm_61">#REF!</definedName>
    <definedName name="M_RCCPipeNP4_1200mm" localSheetId="37">[156]Material!$D$118</definedName>
    <definedName name="M_RCCPipeNP4_1200mm">[173]Material!$D$118</definedName>
    <definedName name="M_RCCPipeNP4_1200mm_32" localSheetId="28">#REF!</definedName>
    <definedName name="M_RCCPipeNP4_1200mm_33">#REF!</definedName>
    <definedName name="M_RCCPipeNP4_1200mm_34">#REF!</definedName>
    <definedName name="M_RCCPipeNP4_1200mm_43">#REF!</definedName>
    <definedName name="M_RCCPipeNP4_1200mm_56">#REF!</definedName>
    <definedName name="M_RCCPipeNP4_1200mm_59">#REF!</definedName>
    <definedName name="M_RCCPipeNP4_1200mm_61">#REF!</definedName>
    <definedName name="M_RCCPipeNP4_500mm" localSheetId="37">[156]Material!$D$122</definedName>
    <definedName name="M_RCCPipeNP4_500mm">[173]Material!$D$122</definedName>
    <definedName name="M_RCCPipeNP4_500mm_32" localSheetId="28">#REF!</definedName>
    <definedName name="M_RCCPipeNP4_500mm_33">#REF!</definedName>
    <definedName name="M_RCCPipeNP4_500mm_34">#REF!</definedName>
    <definedName name="M_RCCPipeNP4_500mm_43">#REF!</definedName>
    <definedName name="M_RCCPipeNP4_500mm_56">#REF!</definedName>
    <definedName name="M_RCCPipeNP4_500mm_59">#REF!</definedName>
    <definedName name="M_RCCPipeNP4_500mm_61">#REF!</definedName>
    <definedName name="M_RCCPipeNP4_750mm" localSheetId="37">[156]Material!$D$120</definedName>
    <definedName name="M_RCCPipeNP4_750mm">[173]Material!$D$120</definedName>
    <definedName name="M_RCCPipeNP4_750mm_32" localSheetId="28">#REF!</definedName>
    <definedName name="M_RCCPipeNP4_750mm_33">#REF!</definedName>
    <definedName name="M_RCCPipeNP4_750mm_34">#REF!</definedName>
    <definedName name="M_RCCPipeNP4_750mm_43">#REF!</definedName>
    <definedName name="M_RCCPipeNP4_750mm_56">#REF!</definedName>
    <definedName name="M_RCCPipeNP4_750mm_59">#REF!</definedName>
    <definedName name="M_RCCPipeNP4_750mm_61">#REF!</definedName>
    <definedName name="M_RedOxidePrimer" localSheetId="37">[175]Sheet1!$D$123</definedName>
    <definedName name="M_RedOxidePrimer">[173]Material!$D$123</definedName>
    <definedName name="M_RedOxidePrimer_32" localSheetId="28">#REF!</definedName>
    <definedName name="M_RedOxidePrimer_33">#REF!</definedName>
    <definedName name="M_RedOxidePrimer_34">#REF!</definedName>
    <definedName name="M_RedOxidePrimer_43">#REF!</definedName>
    <definedName name="M_RedOxidePrimer_56">#REF!</definedName>
    <definedName name="M_RedOxidePrimer_59">#REF!</definedName>
    <definedName name="M_RedOxidePrimer_61">#REF!</definedName>
    <definedName name="M_RoadMarkingPaint" localSheetId="37">[175]Sheet1!$D$124</definedName>
    <definedName name="M_RoadMarkingPaint">[173]Material!$D$124</definedName>
    <definedName name="M_RoadMarkingPaint_32" localSheetId="28">#REF!</definedName>
    <definedName name="M_RoadMarkingPaint_33">#REF!</definedName>
    <definedName name="M_RoadMarkingPaint_34">#REF!</definedName>
    <definedName name="M_RoadMarkingPaint_43">#REF!</definedName>
    <definedName name="M_RoadMarkingPaint_56">#REF!</definedName>
    <definedName name="M_RoadMarkingPaint_59">#REF!</definedName>
    <definedName name="M_RoadMarkingPaint_61">#REF!</definedName>
    <definedName name="M_ROLLER" localSheetId="33">#REF!</definedName>
    <definedName name="M_ROLLER" localSheetId="34">#REF!</definedName>
    <definedName name="M_ROLLER" localSheetId="5">#REF!</definedName>
    <definedName name="M_ROLLER" localSheetId="8">#REF!</definedName>
    <definedName name="M_ROLLER" localSheetId="10">#REF!</definedName>
    <definedName name="M_ROLLER" localSheetId="11">#REF!</definedName>
    <definedName name="M_ROLLER" localSheetId="37">#REF!</definedName>
    <definedName name="M_ROLLER" localSheetId="28">#REF!</definedName>
    <definedName name="M_ROLLER" localSheetId="42">#REF!</definedName>
    <definedName name="M_ROLLER">#REF!</definedName>
    <definedName name="M_Sand_Coarse" localSheetId="37">[156]Material!$D$125</definedName>
    <definedName name="M_Sand_Coarse">[173]Material!$D$125</definedName>
    <definedName name="M_Sand_Coarse_32" localSheetId="28">#REF!</definedName>
    <definedName name="M_Sand_Coarse_33">#REF!</definedName>
    <definedName name="M_Sand_Coarse_34">#REF!</definedName>
    <definedName name="M_Sand_Coarse_43">#REF!</definedName>
    <definedName name="M_Sand_Coarse_55">#REF!</definedName>
    <definedName name="M_Sand_Coarse_56">#REF!</definedName>
    <definedName name="M_Sand_Coarse_59">#REF!</definedName>
    <definedName name="M_Sand_Coarse_61">#REF!</definedName>
    <definedName name="M_Sand_Fine" localSheetId="37">[156]Material!$D$126</definedName>
    <definedName name="M_Sand_Fine">[173]Material!$D$126</definedName>
    <definedName name="M_Sand_Fine_32" localSheetId="28">#REF!</definedName>
    <definedName name="M_Sand_Fine_33">#REF!</definedName>
    <definedName name="M_Sand_Fine_34">#REF!</definedName>
    <definedName name="M_Sand_Fine_43">#REF!</definedName>
    <definedName name="M_Sand_Fine_56">#REF!</definedName>
    <definedName name="M_Sand_Fine_59">#REF!</definedName>
    <definedName name="M_Sand_Fine_61">#REF!</definedName>
    <definedName name="M_Seeds" localSheetId="37">[175]Sheet1!$D$127</definedName>
    <definedName name="M_Seeds">[173]Material!$D$127</definedName>
    <definedName name="M_Seeds_32" localSheetId="28">#REF!</definedName>
    <definedName name="M_Seeds_33">#REF!</definedName>
    <definedName name="M_Seeds_34">#REF!</definedName>
    <definedName name="M_Seeds_43">#REF!</definedName>
    <definedName name="M_Seeds_56">#REF!</definedName>
    <definedName name="M_Seeds_59">#REF!</definedName>
    <definedName name="M_Seeds_61">#REF!</definedName>
    <definedName name="M_SteelPipe_500mm" localSheetId="37">[176]Material!$D$128</definedName>
    <definedName name="M_SteelPipe_500mm">[177]Material!$D$128</definedName>
    <definedName name="M_SteelPipe_500mm_32" localSheetId="28">#REF!</definedName>
    <definedName name="M_SteelPipe_500mm_33">#REF!</definedName>
    <definedName name="M_SteelPipe_500mm_34">#REF!</definedName>
    <definedName name="M_SteelPipe_500mm_43">#REF!</definedName>
    <definedName name="M_SteelPipe_500mm_56">#REF!</definedName>
    <definedName name="M_SteelPipe_500mm_59">#REF!</definedName>
    <definedName name="M_SteelPipe_500mm_61">#REF!</definedName>
    <definedName name="M_SteelReinforcement_HYSDBars" localSheetId="37">[174]Material!$D$129</definedName>
    <definedName name="M_SteelReinforcement_HYSDBars">[189]Material!$D$129</definedName>
    <definedName name="M_SteelReinforcement_MSRoundBars" localSheetId="37">[156]Material!$D$130</definedName>
    <definedName name="M_SteelReinforcement_MSRoundBars">[173]Material!$D$130</definedName>
    <definedName name="M_SteelReinforcement_MSRoundBars_32" localSheetId="28">#REF!</definedName>
    <definedName name="M_SteelReinforcement_MSRoundBars_33">#REF!</definedName>
    <definedName name="M_SteelReinforcement_MSRoundBars_34">#REF!</definedName>
    <definedName name="M_SteelReinforcement_MSRoundBars_43">#REF!</definedName>
    <definedName name="M_SteelReinforcement_MSRoundBars_55">#REF!</definedName>
    <definedName name="M_SteelReinforcement_MSRoundBars_56">#REF!</definedName>
    <definedName name="M_SteelReinforcement_MSRoundBars_59">#REF!</definedName>
    <definedName name="M_SteelReinforcement_MSRoundBars_61">#REF!</definedName>
    <definedName name="M_SteelReinforcement_TMTBars" localSheetId="37">[174]Material!$D$131</definedName>
    <definedName name="M_SteelReinforcement_TMTBars">[173]Material!$D$131</definedName>
    <definedName name="M_StoneBoulder_150mm_below" localSheetId="37">[172]Material!$D$132</definedName>
    <definedName name="M_StoneBoulder_150mm_below">[173]Material!$D$132</definedName>
    <definedName name="M_StoneChips_12mm" localSheetId="37">[187]Material!$D$133</definedName>
    <definedName name="M_StoneChips_12mm">[173]Material!$D$133</definedName>
    <definedName name="M_StoneChips_12mm_32" localSheetId="28">#REF!</definedName>
    <definedName name="M_StoneChips_12mm_33">#REF!</definedName>
    <definedName name="M_StoneChips_12mm_34">#REF!</definedName>
    <definedName name="M_StoneChips_12mm_43">#REF!</definedName>
    <definedName name="M_StoneChips_12mm_55">#REF!</definedName>
    <definedName name="M_StoneChips_12mm_56">#REF!</definedName>
    <definedName name="M_StoneChips_12mm_59">#REF!</definedName>
    <definedName name="M_StoneChips_12mm_61">#REF!</definedName>
    <definedName name="M_StoneCrushedAggregate_112_009mm" localSheetId="37">[187]Material!$D$135</definedName>
    <definedName name="M_StoneCrushedAggregate_112_009mm">[173]Material!$D$135</definedName>
    <definedName name="M_StoneCrushedAggregate_112_009mm_32" localSheetId="28">#REF!</definedName>
    <definedName name="M_StoneCrushedAggregate_112_009mm_33">#REF!</definedName>
    <definedName name="M_StoneCrushedAggregate_112_009mm_34">#REF!</definedName>
    <definedName name="M_StoneCrushedAggregate_112_009mm_43">#REF!</definedName>
    <definedName name="M_StoneCrushedAggregate_112_009mm_55">#REF!</definedName>
    <definedName name="M_StoneCrushedAggregate_112_009mm_56">#REF!</definedName>
    <definedName name="M_StoneCrushedAggregate_112_009mm_59">#REF!</definedName>
    <definedName name="M_StoneCrushedAggregate_112_009mm_61">#REF!</definedName>
    <definedName name="M_StoneForCoarseRubbleMasonry_1stSort" localSheetId="37">[174]Material!$D$136</definedName>
    <definedName name="M_StoneForCoarseRubbleMasonry_1stSort">[173]Material!$D$136</definedName>
    <definedName name="M_StoneForCoarseRubbleMasonry_2ndSort" localSheetId="37">[174]Material!$D$137</definedName>
    <definedName name="M_StoneForCoarseRubbleMasonry_2ndSort">[173]Material!$D$137</definedName>
    <definedName name="M_StoneForRandomRubbleMasonry" localSheetId="37">[174]Material!$D$138</definedName>
    <definedName name="M_StoneForRandomRubbleMasonry">[173]Material!$D$138</definedName>
    <definedName name="M_StoneForStoneSetPavement" localSheetId="37">[175]Sheet1!$D$139</definedName>
    <definedName name="M_StoneForStoneSetPavement">[173]Material!$D$139</definedName>
    <definedName name="M_StoneForStoneSetPavement_32" localSheetId="28">#REF!</definedName>
    <definedName name="M_StoneForStoneSetPavement_33">#REF!</definedName>
    <definedName name="M_StoneForStoneSetPavement_34">#REF!</definedName>
    <definedName name="M_StoneForStoneSetPavement_43">#REF!</definedName>
    <definedName name="M_StoneForStoneSetPavement_56">#REF!</definedName>
    <definedName name="M_StoneForStoneSetPavement_59">#REF!</definedName>
    <definedName name="M_StoneForStoneSetPavement_61">#REF!</definedName>
    <definedName name="M_StoneScreening_TypeA_132mm_Grade1" localSheetId="37">[175]Sheet1!$D$140</definedName>
    <definedName name="M_StoneScreening_TypeA_132mm_Grade1">[173]Material!$D$140</definedName>
    <definedName name="M_StoneScreening_TypeA_132mm_Grade1_32" localSheetId="28">#REF!</definedName>
    <definedName name="M_StoneScreening_TypeA_132mm_Grade1_33">#REF!</definedName>
    <definedName name="M_StoneScreening_TypeA_132mm_Grade1_34">#REF!</definedName>
    <definedName name="M_StoneScreening_TypeA_132mm_Grade1_43">#REF!</definedName>
    <definedName name="M_StoneScreening_TypeA_132mm_Grade1_56">#REF!</definedName>
    <definedName name="M_StoneScreening_TypeA_132mm_Grade1_59">#REF!</definedName>
    <definedName name="M_StoneScreening_TypeA_132mm_Grade1_61">#REF!</definedName>
    <definedName name="M_StoneScreening_TypeB_112mm_Grade2" localSheetId="37">[175]Sheet1!$D$142</definedName>
    <definedName name="M_StoneScreening_TypeB_112mm_Grade2">[173]Material!$D$142</definedName>
    <definedName name="M_StoneScreening_TypeB_112mm_Grade2_32" localSheetId="28">#REF!</definedName>
    <definedName name="M_StoneScreening_TypeB_112mm_Grade2_33">#REF!</definedName>
    <definedName name="M_StoneScreening_TypeB_112mm_Grade2_34">#REF!</definedName>
    <definedName name="M_StoneScreening_TypeB_112mm_Grade2_43">#REF!</definedName>
    <definedName name="M_StoneScreening_TypeB_112mm_Grade2_56">#REF!</definedName>
    <definedName name="M_StoneScreening_TypeB_112mm_Grade2_59">#REF!</definedName>
    <definedName name="M_StoneScreening_TypeB_112mm_Grade2_61">#REF!</definedName>
    <definedName name="M_StoneScreening_TypeB_112mm_Grade3" localSheetId="37">[175]Sheet1!$D$143</definedName>
    <definedName name="M_StoneScreening_TypeB_112mm_Grade3">[173]Material!$D$143</definedName>
    <definedName name="M_StoneScreening_TypeB_112mm_Grade3_32" localSheetId="28">#REF!</definedName>
    <definedName name="M_StoneScreening_TypeB_112mm_Grade3_33">#REF!</definedName>
    <definedName name="M_StoneScreening_TypeB_112mm_Grade3_34">#REF!</definedName>
    <definedName name="M_StoneScreening_TypeB_112mm_Grade3_43">#REF!</definedName>
    <definedName name="M_StoneScreening_TypeB_112mm_Grade3_56">#REF!</definedName>
    <definedName name="M_StoneScreening_TypeB_112mm_Grade3_59">#REF!</definedName>
    <definedName name="M_StoneScreening_TypeB_112mm_Grade3_61">#REF!</definedName>
    <definedName name="M_StoneSpalls" localSheetId="37">[172]Material!$D$144</definedName>
    <definedName name="M_StoneSpalls">[173]Material!$D$144</definedName>
    <definedName name="M_TANKER6K" localSheetId="33">#REF!</definedName>
    <definedName name="M_TANKER6K" localSheetId="34">#REF!</definedName>
    <definedName name="M_TANKER6K" localSheetId="5">#REF!</definedName>
    <definedName name="M_TANKER6K" localSheetId="8">#REF!</definedName>
    <definedName name="M_TANKER6K" localSheetId="10">#REF!</definedName>
    <definedName name="M_TANKER6K" localSheetId="11">#REF!</definedName>
    <definedName name="M_TANKER6K" localSheetId="37">#REF!</definedName>
    <definedName name="M_TANKER6K" localSheetId="28">#REF!</definedName>
    <definedName name="M_TANKER6K" localSheetId="42">#REF!</definedName>
    <definedName name="M_TANKER6K">#REF!</definedName>
    <definedName name="M_TIPPER" localSheetId="33">#REF!</definedName>
    <definedName name="M_TIPPER" localSheetId="34">#REF!</definedName>
    <definedName name="M_TIPPER" localSheetId="5">#REF!</definedName>
    <definedName name="M_TIPPER" localSheetId="8">#REF!</definedName>
    <definedName name="M_TIPPER" localSheetId="10">#REF!</definedName>
    <definedName name="M_TIPPER" localSheetId="11">#REF!</definedName>
    <definedName name="M_TIPPER" localSheetId="37">#REF!</definedName>
    <definedName name="M_TIPPER" localSheetId="28">#REF!</definedName>
    <definedName name="M_TIPPER" localSheetId="42">#REF!</definedName>
    <definedName name="M_TIPPER">#REF!</definedName>
    <definedName name="M_TRACTORRIPPER" localSheetId="33">#REF!</definedName>
    <definedName name="M_TRACTORRIPPER" localSheetId="34">#REF!</definedName>
    <definedName name="M_TRACTORRIPPER" localSheetId="5">#REF!</definedName>
    <definedName name="M_TRACTORRIPPER" localSheetId="8">#REF!</definedName>
    <definedName name="M_TRACTORRIPPER" localSheetId="10">#REF!</definedName>
    <definedName name="M_TRACTORRIPPER" localSheetId="11">#REF!</definedName>
    <definedName name="M_TRACTORRIPPER" localSheetId="37">#REF!</definedName>
    <definedName name="M_TRACTORRIPPER" localSheetId="28">#REF!</definedName>
    <definedName name="M_TRACTORRIPPER" localSheetId="42">#REF!</definedName>
    <definedName name="M_TRACTORRIPPER">#REF!</definedName>
    <definedName name="M_TRACTORROTAVATOR" localSheetId="33">#REF!</definedName>
    <definedName name="M_TRACTORROTAVATOR" localSheetId="34">#REF!</definedName>
    <definedName name="M_TRACTORROTAVATOR" localSheetId="5">#REF!</definedName>
    <definedName name="M_TRACTORROTAVATOR" localSheetId="8">#REF!</definedName>
    <definedName name="M_TRACTORROTAVATOR" localSheetId="10">#REF!</definedName>
    <definedName name="M_TRACTORROTAVATOR" localSheetId="37">#REF!</definedName>
    <definedName name="M_TRACTORROTAVATOR" localSheetId="28">#REF!</definedName>
    <definedName name="M_TRACTORROTAVATOR" localSheetId="42">#REF!</definedName>
    <definedName name="M_TRACTORROTAVATOR">#REF!</definedName>
    <definedName name="M_TrafficCones" localSheetId="37">[175]Sheet1!$D$145</definedName>
    <definedName name="M_TrafficCones">[173]Material!$D$145</definedName>
    <definedName name="M_TrafficCones_32" localSheetId="28">#REF!</definedName>
    <definedName name="M_TrafficCones_33">#REF!</definedName>
    <definedName name="M_TrafficCones_34">#REF!</definedName>
    <definedName name="M_TrafficCones_43">#REF!</definedName>
    <definedName name="M_TrafficCones_56">#REF!</definedName>
    <definedName name="M_TrafficCones_59">#REF!</definedName>
    <definedName name="M_TrafficCones_61">#REF!</definedName>
    <definedName name="M_VIBRATOR_N" localSheetId="33">#REF!</definedName>
    <definedName name="M_VIBRATOR_N" localSheetId="34">#REF!</definedName>
    <definedName name="M_VIBRATOR_N" localSheetId="5">#REF!</definedName>
    <definedName name="M_VIBRATOR_N" localSheetId="8">#REF!</definedName>
    <definedName name="M_VIBRATOR_N" localSheetId="10">#REF!</definedName>
    <definedName name="M_VIBRATOR_N" localSheetId="11">#REF!</definedName>
    <definedName name="M_VIBRATOR_N" localSheetId="37">#REF!</definedName>
    <definedName name="M_VIBRATOR_N" localSheetId="28">#REF!</definedName>
    <definedName name="M_VIBRATOR_N" localSheetId="42">#REF!</definedName>
    <definedName name="M_VIBRATOR_N">#REF!</definedName>
    <definedName name="M_VIBRATOR_P" localSheetId="33">#REF!</definedName>
    <definedName name="M_VIBRATOR_P" localSheetId="34">#REF!</definedName>
    <definedName name="M_VIBRATOR_P" localSheetId="5">#REF!</definedName>
    <definedName name="M_VIBRATOR_P" localSheetId="8">#REF!</definedName>
    <definedName name="M_VIBRATOR_P" localSheetId="10">#REF!</definedName>
    <definedName name="M_VIBRATOR_P" localSheetId="11">#REF!</definedName>
    <definedName name="M_VIBRATOR_P" localSheetId="37">#REF!</definedName>
    <definedName name="M_VIBRATOR_P" localSheetId="28">#REF!</definedName>
    <definedName name="M_VIBRATOR_P" localSheetId="42">#REF!</definedName>
    <definedName name="M_VIBRATOR_P">#REF!</definedName>
    <definedName name="M_VIBRATOR_S" localSheetId="33">#REF!</definedName>
    <definedName name="M_VIBRATOR_S" localSheetId="34">#REF!</definedName>
    <definedName name="M_VIBRATOR_S" localSheetId="5">#REF!</definedName>
    <definedName name="M_VIBRATOR_S" localSheetId="8">#REF!</definedName>
    <definedName name="M_VIBRATOR_S" localSheetId="10">#REF!</definedName>
    <definedName name="M_VIBRATOR_S" localSheetId="11">#REF!</definedName>
    <definedName name="M_VIBRATOR_S" localSheetId="37">#REF!</definedName>
    <definedName name="M_VIBRATOR_S" localSheetId="28">#REF!</definedName>
    <definedName name="M_VIBRATOR_S" localSheetId="42">#REF!</definedName>
    <definedName name="M_VIBRATOR_S">#REF!</definedName>
    <definedName name="M_Water" localSheetId="37">[156]Material!$D$146</definedName>
    <definedName name="M_Water">[173]Material!$D$146</definedName>
    <definedName name="M_Water_32" localSheetId="28">#REF!</definedName>
    <definedName name="M_Water_33">#REF!</definedName>
    <definedName name="M_Water_34">#REF!</definedName>
    <definedName name="M_Water_43">#REF!</definedName>
    <definedName name="M_Water_55">#REF!</definedName>
    <definedName name="M_Water_56">#REF!</definedName>
    <definedName name="M_Water_59">#REF!</definedName>
    <definedName name="M_Water_61">#REF!</definedName>
    <definedName name="M_WellGradedGranularBaseMaterial_GradeA_236mm" localSheetId="37">[175]Sheet1!$D$147</definedName>
    <definedName name="M_WellGradedGranularBaseMaterial_GradeA_236mm">[173]Material!$D$147</definedName>
    <definedName name="M_WellGradedGranularBaseMaterial_GradeA_236mm_32" localSheetId="28">#REF!</definedName>
    <definedName name="M_WellGradedGranularBaseMaterial_GradeA_236mm_33">#REF!</definedName>
    <definedName name="M_WellGradedGranularBaseMaterial_GradeA_236mm_34">#REF!</definedName>
    <definedName name="M_WellGradedGranularBaseMaterial_GradeA_236mm_43">#REF!</definedName>
    <definedName name="M_WellGradedGranularBaseMaterial_GradeA_236mm_56">#REF!</definedName>
    <definedName name="M_WellGradedGranularBaseMaterial_GradeA_236mm_59">#REF!</definedName>
    <definedName name="M_WellGradedGranularBaseMaterial_GradeA_236mm_61">#REF!</definedName>
    <definedName name="M_WellGradedGranularBaseMaterial_GradeA_265_475mm" localSheetId="37">[175]Sheet1!$D$148</definedName>
    <definedName name="M_WellGradedGranularBaseMaterial_GradeA_265_475mm">[173]Material!$D$148</definedName>
    <definedName name="M_WellGradedGranularBaseMaterial_GradeA_265_475mm_32" localSheetId="28">#REF!</definedName>
    <definedName name="M_WellGradedGranularBaseMaterial_GradeA_265_475mm_33">#REF!</definedName>
    <definedName name="M_WellGradedGranularBaseMaterial_GradeA_265_475mm_34">#REF!</definedName>
    <definedName name="M_WellGradedGranularBaseMaterial_GradeA_265_475mm_43">#REF!</definedName>
    <definedName name="M_WellGradedGranularBaseMaterial_GradeA_265_475mm_56">#REF!</definedName>
    <definedName name="M_WellGradedGranularBaseMaterial_GradeA_265_475mm_59">#REF!</definedName>
    <definedName name="M_WellGradedGranularBaseMaterial_GradeA_265_475mm_61">#REF!</definedName>
    <definedName name="M_WellGradedGranularBaseMaterial_GradeA_53_265mm" localSheetId="37">[175]Sheet1!$D$149</definedName>
    <definedName name="M_WellGradedGranularBaseMaterial_GradeA_53_265mm">[173]Material!$D$149</definedName>
    <definedName name="M_WellGradedGranularBaseMaterial_GradeA_53_265mm_32" localSheetId="28">#REF!</definedName>
    <definedName name="M_WellGradedGranularBaseMaterial_GradeA_53_265mm_33">#REF!</definedName>
    <definedName name="M_WellGradedGranularBaseMaterial_GradeA_53_265mm_34">#REF!</definedName>
    <definedName name="M_WellGradedGranularBaseMaterial_GradeA_53_265mm_43">#REF!</definedName>
    <definedName name="M_WellGradedGranularBaseMaterial_GradeA_53_265mm_56">#REF!</definedName>
    <definedName name="M_WellGradedGranularBaseMaterial_GradeA_53_265mm_59">#REF!</definedName>
    <definedName name="M_WellGradedGranularBaseMaterial_GradeA_53_265mm_61">#REF!</definedName>
    <definedName name="M_WellGradedGranularBaseMaterial_GradeB_236mm_below" localSheetId="37">[175]Sheet1!$D$150</definedName>
    <definedName name="M_WellGradedGranularBaseMaterial_GradeB_236mm_below">[173]Material!$D$150</definedName>
    <definedName name="M_WellGradedGranularBaseMaterial_GradeB_236mm_below_32" localSheetId="28">#REF!</definedName>
    <definedName name="M_WellGradedGranularBaseMaterial_GradeB_236mm_below_33">#REF!</definedName>
    <definedName name="M_WellGradedGranularBaseMaterial_GradeB_236mm_below_34">#REF!</definedName>
    <definedName name="M_WellGradedGranularBaseMaterial_GradeB_236mm_below_43">#REF!</definedName>
    <definedName name="M_WellGradedGranularBaseMaterial_GradeB_236mm_below_56">#REF!</definedName>
    <definedName name="M_WellGradedGranularBaseMaterial_GradeB_236mm_below_59">#REF!</definedName>
    <definedName name="M_WellGradedGranularBaseMaterial_GradeB_236mm_below_61">#REF!</definedName>
    <definedName name="M_WellGradedGranularBaseMaterial_GradeB_265_475mm" localSheetId="37">[175]Sheet1!$D$151</definedName>
    <definedName name="M_WellGradedGranularBaseMaterial_GradeB_265_475mm">[173]Material!$D$151</definedName>
    <definedName name="M_WellGradedGranularBaseMaterial_GradeB_265_475mm_32" localSheetId="28">#REF!</definedName>
    <definedName name="M_WellGradedGranularBaseMaterial_GradeB_265_475mm_33">#REF!</definedName>
    <definedName name="M_WellGradedGranularBaseMaterial_GradeB_265_475mm_34">#REF!</definedName>
    <definedName name="M_WellGradedGranularBaseMaterial_GradeB_265_475mm_43">#REF!</definedName>
    <definedName name="M_WellGradedGranularBaseMaterial_GradeB_265_475mm_56">#REF!</definedName>
    <definedName name="M_WellGradedGranularBaseMaterial_GradeB_265_475mm_59">#REF!</definedName>
    <definedName name="M_WellGradedGranularBaseMaterial_GradeB_265_475mm_61">#REF!</definedName>
    <definedName name="M_WellGradedGranularBaseMaterial_GradeC_236mm_below" localSheetId="37">[175]Sheet1!$D$152</definedName>
    <definedName name="M_WellGradedGranularBaseMaterial_GradeC_236mm_below">[173]Material!$D$152</definedName>
    <definedName name="M_WellGradedGranularBaseMaterial_GradeC_236mm_below_32" localSheetId="28">#REF!</definedName>
    <definedName name="M_WellGradedGranularBaseMaterial_GradeC_236mm_below_33">#REF!</definedName>
    <definedName name="M_WellGradedGranularBaseMaterial_GradeC_236mm_below_34">#REF!</definedName>
    <definedName name="M_WellGradedGranularBaseMaterial_GradeC_236mm_below_43">#REF!</definedName>
    <definedName name="M_WellGradedGranularBaseMaterial_GradeC_236mm_below_56">#REF!</definedName>
    <definedName name="M_WellGradedGranularBaseMaterial_GradeC_236mm_below_59">#REF!</definedName>
    <definedName name="M_WellGradedGranularBaseMaterial_GradeC_236mm_below_61">#REF!</definedName>
    <definedName name="M_WellGradedGranularBaseMaterial_GradeC_95_475mm" localSheetId="37">[175]Sheet1!$D$153</definedName>
    <definedName name="M_WellGradedGranularBaseMaterial_GradeC_95_475mm">[173]Material!$D$153</definedName>
    <definedName name="M_WellGradedGranularBaseMaterial_GradeC_95_475mm_32" localSheetId="28">#REF!</definedName>
    <definedName name="M_WellGradedGranularBaseMaterial_GradeC_95_475mm_33">#REF!</definedName>
    <definedName name="M_WellGradedGranularBaseMaterial_GradeC_95_475mm_34">#REF!</definedName>
    <definedName name="M_WellGradedGranularBaseMaterial_GradeC_95_475mm_43">#REF!</definedName>
    <definedName name="M_WellGradedGranularBaseMaterial_GradeC_95_475mm_56">#REF!</definedName>
    <definedName name="M_WellGradedGranularBaseMaterial_GradeC_95_475mm_59">#REF!</definedName>
    <definedName name="M_WellGradedGranularBaseMaterial_GradeC_95_475mm_61">#REF!</definedName>
    <definedName name="M_WellGradedMateralForSubbase_GradeI_236mm_below" localSheetId="37">[175]Sheet1!$D$154</definedName>
    <definedName name="M_WellGradedMateralForSubbase_GradeI_236mm_below">[173]Material!$D$154</definedName>
    <definedName name="M_WellGradedMateralForSubbase_GradeI_236mm_below_32" localSheetId="28">#REF!</definedName>
    <definedName name="M_WellGradedMateralForSubbase_GradeI_236mm_below_33">#REF!</definedName>
    <definedName name="M_WellGradedMateralForSubbase_GradeI_236mm_below_34">#REF!</definedName>
    <definedName name="M_WellGradedMateralForSubbase_GradeI_236mm_below_43">#REF!</definedName>
    <definedName name="M_WellGradedMateralForSubbase_GradeI_236mm_below_56">#REF!</definedName>
    <definedName name="M_WellGradedMateralForSubbase_GradeI_236mm_below_59">#REF!</definedName>
    <definedName name="M_WellGradedMateralForSubbase_GradeI_236mm_below_61">#REF!</definedName>
    <definedName name="M_WellGradedMateralForSubbase_GradeI_53_95mm" localSheetId="37">[175]Sheet1!$D$155</definedName>
    <definedName name="M_WellGradedMateralForSubbase_GradeI_53_95mm">[173]Material!$D$155</definedName>
    <definedName name="M_WellGradedMateralForSubbase_GradeI_53_95mm_32" localSheetId="28">#REF!</definedName>
    <definedName name="M_WellGradedMateralForSubbase_GradeI_53_95mm_33">#REF!</definedName>
    <definedName name="M_WellGradedMateralForSubbase_GradeI_53_95mm_34">#REF!</definedName>
    <definedName name="M_WellGradedMateralForSubbase_GradeI_53_95mm_43">#REF!</definedName>
    <definedName name="M_WellGradedMateralForSubbase_GradeI_53_95mm_56">#REF!</definedName>
    <definedName name="M_WellGradedMateralForSubbase_GradeI_53_95mm_59">#REF!</definedName>
    <definedName name="M_WellGradedMateralForSubbase_GradeI_53_95mm_61">#REF!</definedName>
    <definedName name="M_WellGradedMateralForSubbase_GradeI_95_236mm" localSheetId="37">[175]Sheet1!$D$156</definedName>
    <definedName name="M_WellGradedMateralForSubbase_GradeI_95_236mm">[173]Material!$D$156</definedName>
    <definedName name="M_WellGradedMateralForSubbase_GradeI_95_236mm_32" localSheetId="28">#REF!</definedName>
    <definedName name="M_WellGradedMateralForSubbase_GradeI_95_236mm_33">#REF!</definedName>
    <definedName name="M_WellGradedMateralForSubbase_GradeI_95_236mm_34">#REF!</definedName>
    <definedName name="M_WellGradedMateralForSubbase_GradeI_95_236mm_43">#REF!</definedName>
    <definedName name="M_WellGradedMateralForSubbase_GradeI_95_236mm_56">#REF!</definedName>
    <definedName name="M_WellGradedMateralForSubbase_GradeI_95_236mm_59">#REF!</definedName>
    <definedName name="M_WellGradedMateralForSubbase_GradeI_95_236mm_61">#REF!</definedName>
    <definedName name="M_WellGradedMateralForSubbase_GradeII_236mm_below" localSheetId="37">[175]Sheet1!$D$157</definedName>
    <definedName name="M_WellGradedMateralForSubbase_GradeII_236mm_below">[173]Material!$D$157</definedName>
    <definedName name="M_WellGradedMateralForSubbase_GradeII_236mm_below_32" localSheetId="28">#REF!</definedName>
    <definedName name="M_WellGradedMateralForSubbase_GradeII_236mm_below_33">#REF!</definedName>
    <definedName name="M_WellGradedMateralForSubbase_GradeII_236mm_below_34">#REF!</definedName>
    <definedName name="M_WellGradedMateralForSubbase_GradeII_236mm_below_43">#REF!</definedName>
    <definedName name="M_WellGradedMateralForSubbase_GradeII_236mm_below_56">#REF!</definedName>
    <definedName name="M_WellGradedMateralForSubbase_GradeII_236mm_below_59">#REF!</definedName>
    <definedName name="M_WellGradedMateralForSubbase_GradeII_236mm_below_61">#REF!</definedName>
    <definedName name="M_WellGradedMateralForSubbase_GradeII_265_95mm" localSheetId="37">[175]Sheet1!$D$158</definedName>
    <definedName name="M_WellGradedMateralForSubbase_GradeII_265_95mm">[173]Material!$D$158</definedName>
    <definedName name="M_WellGradedMateralForSubbase_GradeII_265_95mm_32" localSheetId="28">#REF!</definedName>
    <definedName name="M_WellGradedMateralForSubbase_GradeII_265_95mm_33">#REF!</definedName>
    <definedName name="M_WellGradedMateralForSubbase_GradeII_265_95mm_34">#REF!</definedName>
    <definedName name="M_WellGradedMateralForSubbase_GradeII_265_95mm_43">#REF!</definedName>
    <definedName name="M_WellGradedMateralForSubbase_GradeII_265_95mm_56">#REF!</definedName>
    <definedName name="M_WellGradedMateralForSubbase_GradeII_265_95mm_59">#REF!</definedName>
    <definedName name="M_WellGradedMateralForSubbase_GradeII_265_95mm_61">#REF!</definedName>
    <definedName name="M_WellGradedMateralForSubbase_GradeII_95_236mm" localSheetId="37">[175]Sheet1!$D$159</definedName>
    <definedName name="M_WellGradedMateralForSubbase_GradeII_95_236mm">[173]Material!$D$159</definedName>
    <definedName name="M_WellGradedMateralForSubbase_GradeII_95_236mm_32" localSheetId="28">#REF!</definedName>
    <definedName name="M_WellGradedMateralForSubbase_GradeII_95_236mm_33">#REF!</definedName>
    <definedName name="M_WellGradedMateralForSubbase_GradeII_95_236mm_34">#REF!</definedName>
    <definedName name="M_WellGradedMateralForSubbase_GradeII_95_236mm_43">#REF!</definedName>
    <definedName name="M_WellGradedMateralForSubbase_GradeII_95_236mm_56">#REF!</definedName>
    <definedName name="M_WellGradedMateralForSubbase_GradeII_95_236mm_59">#REF!</definedName>
    <definedName name="M_WellGradedMateralForSubbase_GradeII_95_236mm_61">#REF!</definedName>
    <definedName name="M_WellGradedMateralForSubbase_GradeIII_236mm_below" localSheetId="37">[175]Sheet1!$D$160</definedName>
    <definedName name="M_WellGradedMateralForSubbase_GradeIII_236mm_below">[173]Material!$D$160</definedName>
    <definedName name="M_WellGradedMateralForSubbase_GradeIII_236mm_below_32" localSheetId="28">#REF!</definedName>
    <definedName name="M_WellGradedMateralForSubbase_GradeIII_236mm_below_33">#REF!</definedName>
    <definedName name="M_WellGradedMateralForSubbase_GradeIII_236mm_below_34">#REF!</definedName>
    <definedName name="M_WellGradedMateralForSubbase_GradeIII_236mm_below_43">#REF!</definedName>
    <definedName name="M_WellGradedMateralForSubbase_GradeIII_236mm_below_56">#REF!</definedName>
    <definedName name="M_WellGradedMateralForSubbase_GradeIII_236mm_below_59">#REF!</definedName>
    <definedName name="M_WellGradedMateralForSubbase_GradeIII_236mm_below_61">#REF!</definedName>
    <definedName name="M_WellGradedMateralForSubbase_GradeIII_475_236mm" localSheetId="37">[175]Sheet1!$D$161</definedName>
    <definedName name="M_WellGradedMateralForSubbase_GradeIII_475_236mm">[173]Material!$D$161</definedName>
    <definedName name="M_WellGradedMateralForSubbase_GradeIII_475_236mm_32" localSheetId="28">#REF!</definedName>
    <definedName name="M_WellGradedMateralForSubbase_GradeIII_475_236mm_33">#REF!</definedName>
    <definedName name="M_WellGradedMateralForSubbase_GradeIII_475_236mm_34">#REF!</definedName>
    <definedName name="M_WellGradedMateralForSubbase_GradeIII_475_236mm_43">#REF!</definedName>
    <definedName name="M_WellGradedMateralForSubbase_GradeIII_475_236mm_56">#REF!</definedName>
    <definedName name="M_WellGradedMateralForSubbase_GradeIII_475_236mm_59">#REF!</definedName>
    <definedName name="M_WellGradedMateralForSubbase_GradeIII_475_236mm_61">#REF!</definedName>
    <definedName name="M_WellGradedMateralForSubbase_GradeIII_95_475mm" localSheetId="37">[175]Sheet1!$D$162</definedName>
    <definedName name="M_WellGradedMateralForSubbase_GradeIII_95_475mm">[173]Material!$D$162</definedName>
    <definedName name="M_WellGradedMateralForSubbase_GradeIII_95_475mm_32" localSheetId="28">#REF!</definedName>
    <definedName name="M_WellGradedMateralForSubbase_GradeIII_95_475mm_33">#REF!</definedName>
    <definedName name="M_WellGradedMateralForSubbase_GradeIII_95_475mm_34">#REF!</definedName>
    <definedName name="M_WellGradedMateralForSubbase_GradeIII_95_475mm_43">#REF!</definedName>
    <definedName name="M_WellGradedMateralForSubbase_GradeIII_95_475mm_56">#REF!</definedName>
    <definedName name="M_WellGradedMateralForSubbase_GradeIII_95_475mm_59">#REF!</definedName>
    <definedName name="M_WellGradedMateralForSubbase_GradeIII_95_475mm_61">#REF!</definedName>
    <definedName name="M20_Foundations" localSheetId="28">#REF!</definedName>
    <definedName name="M20_GuidePosts">#REF!</definedName>
    <definedName name="M20_SuperStructure_Upto5m">#REF!</definedName>
    <definedName name="M25_ApproachSlab">#REF!</definedName>
    <definedName name="M25_BBs_Piers_SideWalls">#REF!</definedName>
    <definedName name="M25_DeckSlab">#REF!</definedName>
    <definedName name="M25_SubStructure_Above5m." localSheetId="28">#REF!</definedName>
    <definedName name="M25_SuperStructure_Above5m.">#REF!</definedName>
    <definedName name="M30_SuperStructure_Upto5m.">#REF!</definedName>
    <definedName name="M30_WC">#REF!</definedName>
    <definedName name="ma" localSheetId="8">#REF!</definedName>
    <definedName name="ma" localSheetId="10">#REF!</definedName>
    <definedName name="ma" localSheetId="11">#REF!</definedName>
    <definedName name="ma" localSheetId="28">#REF!</definedName>
    <definedName name="ma">#REF!</definedName>
    <definedName name="maa">#REF!</definedName>
    <definedName name="madhu" localSheetId="8">#REF!</definedName>
    <definedName name="madhu" localSheetId="10">#REF!</definedName>
    <definedName name="madhu" localSheetId="28">#REF!</definedName>
    <definedName name="madhu">#REF!</definedName>
    <definedName name="mal" localSheetId="37">[190]DATA!$H$67</definedName>
    <definedName name="mal">[191]DATA!$H$67</definedName>
    <definedName name="male_sp" localSheetId="28">#REF!</definedName>
    <definedName name="man" localSheetId="37">[131]ABS!$B$21</definedName>
    <definedName name="MAN">[69]m!$B$149</definedName>
    <definedName name="Man_Mazdoor" localSheetId="8">#REF!</definedName>
    <definedName name="Man_Mazdoor" localSheetId="10">#REF!</definedName>
    <definedName name="Man_Mazdoor" localSheetId="28">#REF!</definedName>
    <definedName name="Man_Mazdoor">#REF!</definedName>
    <definedName name="mandal">#REF!</definedName>
    <definedName name="mangalore" localSheetId="8">#REF!</definedName>
    <definedName name="mangalore" localSheetId="10">#REF!</definedName>
    <definedName name="mangalore" localSheetId="11">#REF!</definedName>
    <definedName name="mangalore" localSheetId="28">#REF!</definedName>
    <definedName name="mangalore">#REF!</definedName>
    <definedName name="mani" localSheetId="37">[192]leads!$H$7</definedName>
    <definedName name="mani">[193]leads!$H$7</definedName>
    <definedName name="maniku" localSheetId="28">#REF!</definedName>
    <definedName name="manm" localSheetId="28">#REF!</definedName>
    <definedName name="manmazdoor" localSheetId="8">#REF!</definedName>
    <definedName name="manmazdoor" localSheetId="10">#REF!</definedName>
    <definedName name="manmazdoor" localSheetId="11">#REF!</definedName>
    <definedName name="manmazdoor" localSheetId="28">#REF!</definedName>
    <definedName name="manmazdoor">#REF!</definedName>
    <definedName name="mason1" localSheetId="11">#REF!</definedName>
    <definedName name="mason1" localSheetId="37">[194]leads!$H$4</definedName>
    <definedName name="mason1">[195]leads!$H$4</definedName>
    <definedName name="mason2" localSheetId="11">#REF!</definedName>
    <definedName name="mason2" localSheetId="37">[194]leads!$H$5</definedName>
    <definedName name="mason2">[195]leads!$H$5</definedName>
    <definedName name="mass" localSheetId="8">#REF!</definedName>
    <definedName name="mass" localSheetId="10">#REF!</definedName>
    <definedName name="mass" localSheetId="28">#REF!</definedName>
    <definedName name="mass">#REF!</definedName>
    <definedName name="MASTICK" localSheetId="33">#REF!</definedName>
    <definedName name="MASTICK" localSheetId="34">#REF!</definedName>
    <definedName name="MASTICK" localSheetId="5">#REF!</definedName>
    <definedName name="MASTICK" localSheetId="8">#REF!</definedName>
    <definedName name="MASTICK" localSheetId="10">#REF!</definedName>
    <definedName name="MASTICK" localSheetId="11">#REF!</definedName>
    <definedName name="MASTICK" localSheetId="37">#REF!</definedName>
    <definedName name="MASTICK" localSheetId="28">#REF!</definedName>
    <definedName name="MASTICK" localSheetId="42">#REF!</definedName>
    <definedName name="MASTICK">#REF!</definedName>
    <definedName name="MasticPads_12.70mm" localSheetId="28">#REF!</definedName>
    <definedName name="MasticPads_25.40mm">#REF!</definedName>
    <definedName name="Mate" localSheetId="8">#REF!</definedName>
    <definedName name="Mate" localSheetId="10">#REF!</definedName>
    <definedName name="Mate" localSheetId="11">#REF!</definedName>
    <definedName name="Mate" localSheetId="28">#REF!</definedName>
    <definedName name="Mate">#REF!</definedName>
    <definedName name="mazdoor" localSheetId="37">[194]leads!$H$6</definedName>
    <definedName name="mazdoor">[195]leads!$H$6</definedName>
    <definedName name="mbm" localSheetId="8">#REF!</definedName>
    <definedName name="mbm" localSheetId="10">#REF!</definedName>
    <definedName name="mbm" localSheetId="11">#REF!</definedName>
    <definedName name="mbm" localSheetId="28">#REF!</definedName>
    <definedName name="mbm">#REF!</definedName>
    <definedName name="mbmi" localSheetId="8">#REF!</definedName>
    <definedName name="mbmi" localSheetId="10">#REF!</definedName>
    <definedName name="mbmi" localSheetId="11">#REF!</definedName>
    <definedName name="mbmi" localSheetId="28">#REF!</definedName>
    <definedName name="mbmi">#REF!</definedName>
    <definedName name="MC" localSheetId="35">#REF!</definedName>
    <definedName name="MC" localSheetId="5">#REF!</definedName>
    <definedName name="MC" localSheetId="8">#REF!</definedName>
    <definedName name="MC" localSheetId="10">#REF!</definedName>
    <definedName name="MC" localSheetId="11">#REF!</definedName>
    <definedName name="MC" localSheetId="28">#REF!</definedName>
    <definedName name="MC" localSheetId="42">#REF!</definedName>
    <definedName name="MC" localSheetId="31">#REF!</definedName>
    <definedName name="MC">#REF!</definedName>
    <definedName name="mcode" localSheetId="8">#REF!</definedName>
    <definedName name="mcode" localSheetId="10">#REF!</definedName>
    <definedName name="mcode" localSheetId="11">#REF!</definedName>
    <definedName name="mcode" localSheetId="28">#REF!</definedName>
    <definedName name="mcode">#REF!</definedName>
    <definedName name="mcpl" localSheetId="8">#REF!</definedName>
    <definedName name="mcpl" localSheetId="10">#REF!</definedName>
    <definedName name="mcpl" localSheetId="28">#REF!</definedName>
    <definedName name="mcpl" localSheetId="42">#REF!</definedName>
    <definedName name="mcpl">#REF!</definedName>
    <definedName name="me" localSheetId="8">#REF!</definedName>
    <definedName name="me" localSheetId="10">#REF!</definedName>
    <definedName name="me" localSheetId="11">#REF!</definedName>
    <definedName name="me" localSheetId="28">#REF!</definedName>
    <definedName name="me">#REF!</definedName>
    <definedName name="Melamine" localSheetId="8">#REF!</definedName>
    <definedName name="Melamine" localSheetId="10">#REF!</definedName>
    <definedName name="Melamine" localSheetId="11">#REF!</definedName>
    <definedName name="Melamine" localSheetId="28">#REF!</definedName>
    <definedName name="Melamine">#REF!</definedName>
    <definedName name="Met14Crush">#REF!</definedName>
    <definedName name="Met22crush">#REF!</definedName>
    <definedName name="Met22HBG">#REF!</definedName>
    <definedName name="Met22MC">#REF!</definedName>
    <definedName name="Met236.5">#REF!</definedName>
    <definedName name="Met236below">#REF!</definedName>
    <definedName name="Met27crush">#REF!</definedName>
    <definedName name="Met5.7">#REF!</definedName>
    <definedName name="Met9.511.2">#REF!</definedName>
    <definedName name="metal" localSheetId="33">#REF!</definedName>
    <definedName name="metal" localSheetId="34">#REF!</definedName>
    <definedName name="metal" localSheetId="35">#REF!</definedName>
    <definedName name="metal" localSheetId="5">#REF!</definedName>
    <definedName name="metal" localSheetId="8">#REF!</definedName>
    <definedName name="metal" localSheetId="10">#REF!</definedName>
    <definedName name="metal" localSheetId="11">#REF!</definedName>
    <definedName name="metal" localSheetId="37">#REF!</definedName>
    <definedName name="metal" localSheetId="28">#REF!</definedName>
    <definedName name="metal" localSheetId="42">#REF!</definedName>
    <definedName name="metal" localSheetId="31">#REF!</definedName>
    <definedName name="metal">#REF!</definedName>
    <definedName name="metal_33">"$#REF!.$#REF!$#REF!"</definedName>
    <definedName name="metal_34">"$#REF!.$#REF!$#REF!"</definedName>
    <definedName name="metal_40">#REF!</definedName>
    <definedName name="metal_65">#REF!</definedName>
    <definedName name="metal_75">#REF!</definedName>
    <definedName name="metal_blast">#REF!</definedName>
    <definedName name="metal_hc75">#REF!</definedName>
    <definedName name="metal_pick">#REF!</definedName>
    <definedName name="metal_size" localSheetId="37">'[83]data existing_do not delete'!$B$73:$B$75</definedName>
    <definedName name="metal_size">'[84]data existing_do not delete'!$B$73:$B$75</definedName>
    <definedName name="metal_spr75" localSheetId="28">#REF!</definedName>
    <definedName name="metal_stack">#REF!</definedName>
    <definedName name="metal1" localSheetId="33">#REF!</definedName>
    <definedName name="metal1" localSheetId="34">#REF!</definedName>
    <definedName name="metal1" localSheetId="35">#REF!</definedName>
    <definedName name="metal1" localSheetId="5">#REF!</definedName>
    <definedName name="metal1" localSheetId="8">#REF!</definedName>
    <definedName name="metal1" localSheetId="10">#REF!</definedName>
    <definedName name="metal1" localSheetId="11">#REF!</definedName>
    <definedName name="metal1" localSheetId="37">#REF!</definedName>
    <definedName name="metal1" localSheetId="28">#REF!</definedName>
    <definedName name="metal1" localSheetId="42">#REF!</definedName>
    <definedName name="metal1" localSheetId="31">#REF!</definedName>
    <definedName name="metal1">#REF!</definedName>
    <definedName name="metal1_33">"$#REF!.$#REF!$#REF!"</definedName>
    <definedName name="metal1_34">"$#REF!.$#REF!$#REF!"</definedName>
    <definedName name="metal10" localSheetId="5">#REF!</definedName>
    <definedName name="metal10" localSheetId="8">#REF!</definedName>
    <definedName name="metal10" localSheetId="10">#REF!</definedName>
    <definedName name="metal10" localSheetId="11">#REF!</definedName>
    <definedName name="metal10" localSheetId="28">#REF!</definedName>
    <definedName name="metal10" localSheetId="42">#REF!</definedName>
    <definedName name="metal10">#REF!</definedName>
    <definedName name="metal11" localSheetId="33">#REF!</definedName>
    <definedName name="metal11" localSheetId="34">#REF!</definedName>
    <definedName name="metal11" localSheetId="35">#REF!</definedName>
    <definedName name="metal11" localSheetId="5">#REF!</definedName>
    <definedName name="metal11" localSheetId="8">#REF!</definedName>
    <definedName name="metal11" localSheetId="10">#REF!</definedName>
    <definedName name="metal11" localSheetId="11">#REF!</definedName>
    <definedName name="metal11" localSheetId="37">#REF!</definedName>
    <definedName name="metal11" localSheetId="28">#REF!</definedName>
    <definedName name="metal11" localSheetId="42">#REF!</definedName>
    <definedName name="metal11" localSheetId="31">#REF!</definedName>
    <definedName name="metal11">#REF!</definedName>
    <definedName name="metal11_33">"$#REF!.$#REF!$#REF!"</definedName>
    <definedName name="metal11_34">"$#REF!.$#REF!$#REF!"</definedName>
    <definedName name="metal12" localSheetId="5">#REF!</definedName>
    <definedName name="metal12" localSheetId="8">#REF!</definedName>
    <definedName name="metal12" localSheetId="10">#REF!</definedName>
    <definedName name="metal12" localSheetId="11">#REF!</definedName>
    <definedName name="metal12" localSheetId="28">#REF!</definedName>
    <definedName name="metal12" localSheetId="42">#REF!</definedName>
    <definedName name="metal12">#REF!</definedName>
    <definedName name="metal12ss" localSheetId="8">#REF!</definedName>
    <definedName name="metal12ss" localSheetId="10">#REF!</definedName>
    <definedName name="metal12ss" localSheetId="28">#REF!</definedName>
    <definedName name="metal12ss" localSheetId="42">#REF!</definedName>
    <definedName name="metal12ss">#REF!</definedName>
    <definedName name="metal2">#REF!</definedName>
    <definedName name="metal20" localSheetId="8">#REF!</definedName>
    <definedName name="metal20" localSheetId="10">#REF!</definedName>
    <definedName name="metal20" localSheetId="11">#REF!</definedName>
    <definedName name="metal20" localSheetId="28">#REF!</definedName>
    <definedName name="metal20">#REF!</definedName>
    <definedName name="metal20ss" localSheetId="8">#REF!</definedName>
    <definedName name="metal20ss" localSheetId="10">#REF!</definedName>
    <definedName name="metal20ss" localSheetId="28">#REF!</definedName>
    <definedName name="metal20ss" localSheetId="42">#REF!</definedName>
    <definedName name="metal20ss">#REF!</definedName>
    <definedName name="metal3" localSheetId="33">#REF!</definedName>
    <definedName name="metal3" localSheetId="34">#REF!</definedName>
    <definedName name="metal3" localSheetId="35">#REF!</definedName>
    <definedName name="metal3" localSheetId="5">#REF!</definedName>
    <definedName name="metal3" localSheetId="8">#REF!</definedName>
    <definedName name="metal3" localSheetId="10">#REF!</definedName>
    <definedName name="metal3" localSheetId="11">#REF!</definedName>
    <definedName name="metal3" localSheetId="37">#REF!</definedName>
    <definedName name="metal3" localSheetId="28">#REF!</definedName>
    <definedName name="metal3" localSheetId="42">#REF!</definedName>
    <definedName name="metal3" localSheetId="31">#REF!</definedName>
    <definedName name="metal3">#REF!</definedName>
    <definedName name="metal3_33">"$#REF!.$#REF!$#REF!"</definedName>
    <definedName name="metal3_34">"$#REF!.$#REF!$#REF!"</definedName>
    <definedName name="metal40" localSheetId="8">#REF!</definedName>
    <definedName name="metal40" localSheetId="10">#REF!</definedName>
    <definedName name="metal40" localSheetId="11">#REF!</definedName>
    <definedName name="metal40" localSheetId="28">#REF!</definedName>
    <definedName name="metal40">#REF!</definedName>
    <definedName name="metal40ss" localSheetId="8">#REF!</definedName>
    <definedName name="metal40ss" localSheetId="10">#REF!</definedName>
    <definedName name="metal40ss" localSheetId="28">#REF!</definedName>
    <definedName name="metal40ss" localSheetId="42">#REF!</definedName>
    <definedName name="metal40ss">#REF!</definedName>
    <definedName name="metal45" localSheetId="8">#REF!</definedName>
    <definedName name="metal45" localSheetId="10">#REF!</definedName>
    <definedName name="metal45" localSheetId="28">#REF!</definedName>
    <definedName name="metal45" localSheetId="42">#REF!</definedName>
    <definedName name="metal45">#REF!</definedName>
    <definedName name="metal6" localSheetId="5">#REF!</definedName>
    <definedName name="metal6" localSheetId="8">#REF!</definedName>
    <definedName name="metal6" localSheetId="10">#REF!</definedName>
    <definedName name="metal6" localSheetId="11">#REF!</definedName>
    <definedName name="metal6" localSheetId="28">#REF!</definedName>
    <definedName name="metal6" localSheetId="42">#REF!</definedName>
    <definedName name="metal6">#REF!</definedName>
    <definedName name="metal65" localSheetId="8">#REF!</definedName>
    <definedName name="metal65" localSheetId="10">#REF!</definedName>
    <definedName name="metal65" localSheetId="28">#REF!</definedName>
    <definedName name="metal65" localSheetId="42">#REF!</definedName>
    <definedName name="metal65">#REF!</definedName>
    <definedName name="metal75" localSheetId="8">#REF!</definedName>
    <definedName name="metal75" localSheetId="10">#REF!</definedName>
    <definedName name="metal75" localSheetId="28">#REF!</definedName>
    <definedName name="metal75" localSheetId="42">#REF!</definedName>
    <definedName name="metal75">#REF!</definedName>
    <definedName name="MFL" localSheetId="8">#REF!</definedName>
    <definedName name="MFL" localSheetId="10">#REF!</definedName>
    <definedName name="MFL" localSheetId="28">#REF!</definedName>
    <definedName name="MFL">#REF!</definedName>
    <definedName name="MFLI" localSheetId="8">#REF!</definedName>
    <definedName name="MFLI" localSheetId="10">#REF!</definedName>
    <definedName name="MFLI" localSheetId="28">#REF!</definedName>
    <definedName name="MFLI">#REF!</definedName>
    <definedName name="MFLII" localSheetId="8">#REF!</definedName>
    <definedName name="MFLII" localSheetId="10">#REF!</definedName>
    <definedName name="MFLII" localSheetId="28">#REF!</definedName>
    <definedName name="MFLII">#REF!</definedName>
    <definedName name="mhc" localSheetId="8">#REF!</definedName>
    <definedName name="mhc" localSheetId="10">#REF!</definedName>
    <definedName name="mhc" localSheetId="11">#REF!</definedName>
    <definedName name="mhc" localSheetId="28">#REF!</definedName>
    <definedName name="mhc">#REF!</definedName>
    <definedName name="mini_hmp" localSheetId="28">#REF!</definedName>
    <definedName name="mini_spec" localSheetId="37">[196]Sheet3!$B$3:$B$108</definedName>
    <definedName name="mini_spec">[197]Sheet3!$B$3:$B$108</definedName>
    <definedName name="minpc" localSheetId="8">#REF!</definedName>
    <definedName name="minpc" localSheetId="10">#REF!</definedName>
    <definedName name="minpc" localSheetId="11">#REF!</definedName>
    <definedName name="minpc" localSheetId="28">#REF!</definedName>
    <definedName name="minpc">#REF!</definedName>
    <definedName name="mix" localSheetId="37">[198]r!$I$46</definedName>
    <definedName name="mix">[199]r!$I$46</definedName>
    <definedName name="MIX_SEAL_WBM" localSheetId="33">#REF!</definedName>
    <definedName name="MIX_SEAL_WBM" localSheetId="34">#REF!</definedName>
    <definedName name="MIX_SEAL_WBM" localSheetId="5">#REF!</definedName>
    <definedName name="MIX_SEAL_WBM" localSheetId="8">#REF!</definedName>
    <definedName name="MIX_SEAL_WBM" localSheetId="10">#REF!</definedName>
    <definedName name="MIX_SEAL_WBM" localSheetId="11">#REF!</definedName>
    <definedName name="MIX_SEAL_WBM" localSheetId="37">#REF!</definedName>
    <definedName name="MIX_SEAL_WBM" localSheetId="28">#REF!</definedName>
    <definedName name="MIX_SEAL_WBM" localSheetId="42">#REF!</definedName>
    <definedName name="MIX_SEAL_WBM">#REF!</definedName>
    <definedName name="mixrate">[200]leads!$H$14</definedName>
    <definedName name="MJKIUO" localSheetId="37">[143]Material!$D$70</definedName>
    <definedName name="MJKIUO">[144]Material!$D$70</definedName>
    <definedName name="MK" localSheetId="14" hidden="1">{"'ridftotal'!$A$4:$S$27"}</definedName>
    <definedName name="MK" localSheetId="11" hidden="1">{"'ridftotal'!$A$4:$S$27"}</definedName>
    <definedName name="MK" localSheetId="37" hidden="1">{"'ridftotal'!$A$4:$S$27"}</definedName>
    <definedName name="MK" localSheetId="46" hidden="1">{"'ridftotal'!$A$4:$S$27"}</definedName>
    <definedName name="MK" localSheetId="28" hidden="1">{"'ridftotal'!$A$4:$S$27"}</definedName>
    <definedName name="MK" localSheetId="19" hidden="1">{"'ridftotal'!$A$4:$S$27"}</definedName>
    <definedName name="MK" localSheetId="42" hidden="1">{"'ridftotal'!$A$4:$S$27"}</definedName>
    <definedName name="MK" localSheetId="9" hidden="1">{"'ridftotal'!$A$4:$S$27"}</definedName>
    <definedName name="MK" localSheetId="3" hidden="1">{"'ridftotal'!$A$4:$S$27"}</definedName>
    <definedName name="MK" hidden="1">{"'ridftotal'!$A$4:$S$27"}</definedName>
    <definedName name="ml" localSheetId="8">#REF!</definedName>
    <definedName name="ml" localSheetId="10">#REF!</definedName>
    <definedName name="ml" localSheetId="11">#REF!</definedName>
    <definedName name="ml" localSheetId="28">#REF!</definedName>
    <definedName name="ml">#REF!</definedName>
    <definedName name="MLA" localSheetId="8">#REF!</definedName>
    <definedName name="MLA" localSheetId="10">#REF!</definedName>
    <definedName name="MLA" localSheetId="28">#REF!</definedName>
    <definedName name="MLA">#REF!</definedName>
    <definedName name="MLOADING" localSheetId="33">#REF!</definedName>
    <definedName name="MLOADING" localSheetId="34">#REF!</definedName>
    <definedName name="MLOADING" localSheetId="5">#REF!</definedName>
    <definedName name="MLOADING" localSheetId="8">#REF!</definedName>
    <definedName name="MLOADING" localSheetId="10">#REF!</definedName>
    <definedName name="MLOADING" localSheetId="11">#REF!</definedName>
    <definedName name="MLOADING" localSheetId="37">#REF!</definedName>
    <definedName name="MLOADING" localSheetId="28">#REF!</definedName>
    <definedName name="MLOADING" localSheetId="42">#REF!</definedName>
    <definedName name="MLOADING">#REF!</definedName>
    <definedName name="mm" localSheetId="37">[86]r!$F$4</definedName>
    <definedName name="mm">[87]r!$F$4</definedName>
    <definedName name="mm1_33" localSheetId="28">#REF!</definedName>
    <definedName name="mm1_34">#REF!</definedName>
    <definedName name="mmcc" localSheetId="28">#REF!</definedName>
    <definedName name="mmixing">#REF!</definedName>
    <definedName name="mn" localSheetId="8">#REF!</definedName>
    <definedName name="mn" localSheetId="10">#REF!</definedName>
    <definedName name="mn" localSheetId="28">#REF!</definedName>
    <definedName name="mn">#REF!</definedName>
    <definedName name="Mname" localSheetId="35">#REF!</definedName>
    <definedName name="Mname" localSheetId="5">#REF!</definedName>
    <definedName name="Mname" localSheetId="8">#REF!</definedName>
    <definedName name="Mname" localSheetId="10">#REF!</definedName>
    <definedName name="Mname" localSheetId="11">#REF!</definedName>
    <definedName name="Mname" localSheetId="28">#REF!</definedName>
    <definedName name="Mname" localSheetId="42">#REF!</definedName>
    <definedName name="Mname" localSheetId="31">#REF!</definedName>
    <definedName name="Mname">#REF!</definedName>
    <definedName name="mnmsector">[201]sectorwise!$A$1:$R$23</definedName>
    <definedName name="mnr" localSheetId="8">#REF!</definedName>
    <definedName name="mnr" localSheetId="10">#REF!</definedName>
    <definedName name="mnr" localSheetId="28">#REF!</definedName>
    <definedName name="mnr">#REF!</definedName>
    <definedName name="mone" localSheetId="37">[86]r!$F$2</definedName>
    <definedName name="mone">[87]r!$F$2</definedName>
    <definedName name="mone1">[6]r!$F$2</definedName>
    <definedName name="mpbm" localSheetId="8">#REF!</definedName>
    <definedName name="mpbm" localSheetId="10">#REF!</definedName>
    <definedName name="mpbm" localSheetId="11">#REF!</definedName>
    <definedName name="mpbm" localSheetId="28">#REF!</definedName>
    <definedName name="mpbm">#REF!</definedName>
    <definedName name="mpbmi" localSheetId="8">#REF!</definedName>
    <definedName name="mpbmi" localSheetId="10">#REF!</definedName>
    <definedName name="mpbmi" localSheetId="11">#REF!</definedName>
    <definedName name="mpbmi" localSheetId="28">#REF!</definedName>
    <definedName name="mpbmi">#REF!</definedName>
    <definedName name="MPLOT_PGR_CHP" localSheetId="33">#REF!</definedName>
    <definedName name="MPLOT_PGR_CHP" localSheetId="34">#REF!</definedName>
    <definedName name="MPLOT_PGR_CHP" localSheetId="35">#REF!</definedName>
    <definedName name="MPLOT_PGR_CHP" localSheetId="5">#REF!</definedName>
    <definedName name="MPLOT_PGR_CHP" localSheetId="8">#REF!</definedName>
    <definedName name="MPLOT_PGR_CHP" localSheetId="10">#REF!</definedName>
    <definedName name="MPLOT_PGR_CHP" localSheetId="11">#REF!</definedName>
    <definedName name="MPLOT_PGR_CHP" localSheetId="37">#REF!</definedName>
    <definedName name="MPLOT_PGR_CHP" localSheetId="28">#REF!</definedName>
    <definedName name="MPLOT_PGR_CHP" localSheetId="42">#REF!</definedName>
    <definedName name="MPLOT_PGR_CHP" localSheetId="31">#REF!</definedName>
    <definedName name="MPLOT_PGR_CHP">#REF!</definedName>
    <definedName name="mq" localSheetId="8">#REF!</definedName>
    <definedName name="mq" localSheetId="10">#REF!</definedName>
    <definedName name="mq" localSheetId="28">#REF!</definedName>
    <definedName name="mq">#REF!</definedName>
    <definedName name="mr" localSheetId="5">#REF!</definedName>
    <definedName name="MR" localSheetId="8">#REF!</definedName>
    <definedName name="MR" localSheetId="10">#REF!</definedName>
    <definedName name="mr" localSheetId="11">#REF!</definedName>
    <definedName name="MR" localSheetId="28">#REF!</definedName>
    <definedName name="MR">#REF!</definedName>
    <definedName name="MR_13MM" localSheetId="33">#REF!</definedName>
    <definedName name="MR_13MM" localSheetId="34">#REF!</definedName>
    <definedName name="MR_13MM" localSheetId="5">#REF!</definedName>
    <definedName name="MR_13MM" localSheetId="8">#REF!</definedName>
    <definedName name="MR_13MM" localSheetId="10">#REF!</definedName>
    <definedName name="MR_13MM" localSheetId="37">#REF!</definedName>
    <definedName name="MR_13MM" localSheetId="28">#REF!</definedName>
    <definedName name="MR_13MM" localSheetId="42">#REF!</definedName>
    <definedName name="MR_13MM">#REF!</definedName>
    <definedName name="MR_22MM" localSheetId="33">#REF!</definedName>
    <definedName name="MR_22MM" localSheetId="34">#REF!</definedName>
    <definedName name="MR_22MM" localSheetId="37">'[202]Lead  RATES'!$M$9</definedName>
    <definedName name="MR_22MM">#REF!</definedName>
    <definedName name="MR_40MM" localSheetId="33">#REF!</definedName>
    <definedName name="MR_40MM" localSheetId="34">#REF!</definedName>
    <definedName name="MR_40MM" localSheetId="37">'[202]Lead  RATES'!$M$8</definedName>
    <definedName name="MR_40MM">#REF!</definedName>
    <definedName name="MR_55MM" localSheetId="37">'[202]Lead  RATES'!#REF!</definedName>
    <definedName name="MR_55MM" localSheetId="28">#REF!</definedName>
    <definedName name="MR_55MM">[203]Lead!#REF!</definedName>
    <definedName name="MR_63MM" localSheetId="33">#REF!</definedName>
    <definedName name="MR_63MM" localSheetId="34">#REF!</definedName>
    <definedName name="MR_63MM" localSheetId="5">#REF!</definedName>
    <definedName name="MR_63MM" localSheetId="8">#REF!</definedName>
    <definedName name="MR_63MM" localSheetId="10">#REF!</definedName>
    <definedName name="MR_63MM" localSheetId="11">#REF!</definedName>
    <definedName name="MR_63MM" localSheetId="37">#REF!</definedName>
    <definedName name="MR_63MM" localSheetId="28">#REF!</definedName>
    <definedName name="MR_63MM" localSheetId="42">#REF!</definedName>
    <definedName name="MR_63MM">#REF!</definedName>
    <definedName name="MR_7MM" localSheetId="33">#REF!</definedName>
    <definedName name="MR_7MM" localSheetId="34">#REF!</definedName>
    <definedName name="MR_7MM" localSheetId="37">'[202]Lead  RATES'!$M$12</definedName>
    <definedName name="MR_7MM">#REF!</definedName>
    <definedName name="MR_BT" localSheetId="33">#REF!</definedName>
    <definedName name="MR_BT" localSheetId="34">#REF!</definedName>
    <definedName name="MR_BT" localSheetId="37">'[202]Lead  RATES'!$M$15</definedName>
    <definedName name="MR_BT">#REF!</definedName>
    <definedName name="MR_BTE" localSheetId="33">#REF!</definedName>
    <definedName name="MR_BTE" localSheetId="34">#REF!</definedName>
    <definedName name="MR_BTE" localSheetId="37">'[202]Lead  RATES'!$M$16</definedName>
    <definedName name="MR_BTE">#REF!</definedName>
    <definedName name="MR_GRADE2" localSheetId="37">'[202]Lead  RATES'!#REF!</definedName>
    <definedName name="MR_GRADE2" localSheetId="28">#REF!</definedName>
    <definedName name="MR_GRADE2">[203]Lead!#REF!</definedName>
    <definedName name="MR_GRADE3" localSheetId="37">'[202]Lead  RATES'!#REF!</definedName>
    <definedName name="MR_GRADE3" localSheetId="28">#REF!</definedName>
    <definedName name="MR_GRADE3">[203]Lead!#REF!</definedName>
    <definedName name="MR_GRAVEL" localSheetId="33">#REF!</definedName>
    <definedName name="MR_GRAVEL" localSheetId="34">#REF!</definedName>
    <definedName name="MR_GRAVEL" localSheetId="5">#REF!</definedName>
    <definedName name="MR_GRAVEL" localSheetId="8">#REF!</definedName>
    <definedName name="MR_GRAVEL" localSheetId="10">#REF!</definedName>
    <definedName name="MR_GRAVEL" localSheetId="11">#REF!</definedName>
    <definedName name="MR_GRAVEL" localSheetId="37">#REF!</definedName>
    <definedName name="MR_GRAVEL" localSheetId="28">#REF!</definedName>
    <definedName name="MR_GRAVEL" localSheetId="42">#REF!</definedName>
    <definedName name="MR_GRAVEL">#REF!</definedName>
    <definedName name="MR_METAL11MM" localSheetId="33">#REF!</definedName>
    <definedName name="MR_METAL11MM" localSheetId="34">#REF!</definedName>
    <definedName name="MR_METAL11MM" localSheetId="37">'[202]Lead  RATES'!$M$11</definedName>
    <definedName name="MR_METAL11MM">#REF!</definedName>
    <definedName name="MR_SAND" localSheetId="37">'[202]Lead  RATES'!#REF!</definedName>
    <definedName name="MR_SAND" localSheetId="28">#REF!</definedName>
    <definedName name="MR_SAND">[203]Lead!#REF!</definedName>
    <definedName name="MR_SANDF" localSheetId="37">'[202]Lead  RATES'!#REF!</definedName>
    <definedName name="MR_SANDF" localSheetId="28">#REF!</definedName>
    <definedName name="MR_SANDF">[203]Lead!#REF!</definedName>
    <definedName name="MR_STONEDUST" localSheetId="33">#REF!</definedName>
    <definedName name="MR_STONEDUST" localSheetId="34">#REF!</definedName>
    <definedName name="MR_STONEDUST" localSheetId="5">#REF!</definedName>
    <definedName name="MR_STONEDUST" localSheetId="8">#REF!</definedName>
    <definedName name="MR_STONEDUST" localSheetId="10">#REF!</definedName>
    <definedName name="MR_STONEDUST" localSheetId="11">#REF!</definedName>
    <definedName name="MR_STONEDUST" localSheetId="37">#REF!</definedName>
    <definedName name="MR_STONEDUST" localSheetId="28">#REF!</definedName>
    <definedName name="MR_STONEDUST" localSheetId="42">#REF!</definedName>
    <definedName name="MR_STONEDUST">#REF!</definedName>
    <definedName name="mrt" localSheetId="8">#REF!</definedName>
    <definedName name="mrt" localSheetId="10">#REF!</definedName>
    <definedName name="mrt" localSheetId="11">#REF!</definedName>
    <definedName name="mrt" localSheetId="28">#REF!</definedName>
    <definedName name="mrt">#REF!</definedName>
    <definedName name="mrti" localSheetId="8">#REF!</definedName>
    <definedName name="mrti" localSheetId="10">#REF!</definedName>
    <definedName name="mrti" localSheetId="11">#REF!</definedName>
    <definedName name="mrti" localSheetId="28">#REF!</definedName>
    <definedName name="mrti">#REF!</definedName>
    <definedName name="ms_channels" localSheetId="8">#REF!</definedName>
    <definedName name="ms_channels" localSheetId="10">#REF!</definedName>
    <definedName name="ms_channels" localSheetId="11">#REF!</definedName>
    <definedName name="ms_channels" localSheetId="28">#REF!</definedName>
    <definedName name="ms_channels">#REF!</definedName>
    <definedName name="ms_flat_25mm" localSheetId="8">#REF!</definedName>
    <definedName name="ms_flat_25mm" localSheetId="10">#REF!</definedName>
    <definedName name="ms_flat_25mm" localSheetId="11">#REF!</definedName>
    <definedName name="ms_flat_25mm" localSheetId="28">#REF!</definedName>
    <definedName name="ms_flat_25mm">#REF!</definedName>
    <definedName name="ms_pipes" localSheetId="8">#REF!</definedName>
    <definedName name="ms_pipes" localSheetId="10">#REF!</definedName>
    <definedName name="ms_pipes" localSheetId="11">#REF!</definedName>
    <definedName name="ms_pipes" localSheetId="28">#REF!</definedName>
    <definedName name="ms_pipes">#REF!</definedName>
    <definedName name="ms_plates" localSheetId="8">#REF!</definedName>
    <definedName name="ms_plates" localSheetId="10">#REF!</definedName>
    <definedName name="ms_plates" localSheetId="11">#REF!</definedName>
    <definedName name="ms_plates" localSheetId="28">#REF!</definedName>
    <definedName name="ms_plates">#REF!</definedName>
    <definedName name="MS_square_bar_10mm" localSheetId="8">#REF!</definedName>
    <definedName name="MS_square_bar_10mm" localSheetId="10">#REF!</definedName>
    <definedName name="MS_square_bar_10mm" localSheetId="11">#REF!</definedName>
    <definedName name="MS_square_bar_10mm" localSheetId="28">#REF!</definedName>
    <definedName name="MS_square_bar_10mm">#REF!</definedName>
    <definedName name="ms_truss" localSheetId="8">#REF!</definedName>
    <definedName name="ms_truss" localSheetId="10">#REF!</definedName>
    <definedName name="ms_truss" localSheetId="11">#REF!</definedName>
    <definedName name="ms_truss" localSheetId="28">#REF!</definedName>
    <definedName name="ms_truss">#REF!</definedName>
    <definedName name="msgrill" localSheetId="8">#REF!</definedName>
    <definedName name="msgrill" localSheetId="10">#REF!</definedName>
    <definedName name="msgrill" localSheetId="11">#REF!</definedName>
    <definedName name="msgrill" localSheetId="28">#REF!</definedName>
    <definedName name="msgrill">#REF!</definedName>
    <definedName name="msl">[90]Intput!$L$41</definedName>
    <definedName name="mslseis">[90]Intput!$L$42</definedName>
    <definedName name="MSS20mm_TypeA_HMP" localSheetId="28">#REF!</definedName>
    <definedName name="MSS20mm_TypeB_HMP">#REF!</definedName>
    <definedName name="MSS20mm_TypeB_Manual">#REF!</definedName>
    <definedName name="MSS25mm_TypeB_HMP">#REF!</definedName>
    <definedName name="mt" localSheetId="8">#REF!</definedName>
    <definedName name="mt" localSheetId="10">#REF!</definedName>
    <definedName name="mt" localSheetId="11">#REF!</definedName>
    <definedName name="mt" localSheetId="28">#REF!</definedName>
    <definedName name="mt">#REF!</definedName>
    <definedName name="mtor" localSheetId="8">#REF!</definedName>
    <definedName name="mtor" localSheetId="10">#REF!</definedName>
    <definedName name="mtor" localSheetId="11">#REF!</definedName>
    <definedName name="mtor" localSheetId="28">#REF!</definedName>
    <definedName name="mtor">#REF!</definedName>
    <definedName name="mtwo" localSheetId="37">[86]r!$F$3</definedName>
    <definedName name="mtwo">[87]r!$F$3</definedName>
    <definedName name="mtwo1">[6]r!$F$3</definedName>
    <definedName name="mukkidipalemm">#REF!</definedName>
    <definedName name="MULOADING" localSheetId="33">#REF!</definedName>
    <definedName name="MULOADING" localSheetId="34">#REF!</definedName>
    <definedName name="MULOADING" localSheetId="5">#REF!</definedName>
    <definedName name="MULOADING" localSheetId="8">#REF!</definedName>
    <definedName name="MULOADING" localSheetId="10">#REF!</definedName>
    <definedName name="MULOADING" localSheetId="11">#REF!</definedName>
    <definedName name="MULOADING" localSheetId="37">#REF!</definedName>
    <definedName name="MULOADING" localSheetId="28">#REF!</definedName>
    <definedName name="MULOADING" localSheetId="42">#REF!</definedName>
    <definedName name="MULOADING">#REF!</definedName>
    <definedName name="mun" localSheetId="8">#REF!</definedName>
    <definedName name="mun" localSheetId="10">#REF!</definedName>
    <definedName name="mun" localSheetId="11">#REF!</definedName>
    <definedName name="mun" localSheetId="28">#REF!</definedName>
    <definedName name="mun">#REF!</definedName>
    <definedName name="murty" localSheetId="33">#REF!</definedName>
    <definedName name="murty" localSheetId="34">#REF!</definedName>
    <definedName name="murty" localSheetId="35">#REF!</definedName>
    <definedName name="murty" localSheetId="5">#REF!</definedName>
    <definedName name="murty" localSheetId="8">#REF!</definedName>
    <definedName name="murty" localSheetId="10">#REF!</definedName>
    <definedName name="murty" localSheetId="11">#REF!</definedName>
    <definedName name="murty" localSheetId="37">#REF!</definedName>
    <definedName name="murty" localSheetId="28">#REF!</definedName>
    <definedName name="murty" localSheetId="42">#REF!</definedName>
    <definedName name="murty" localSheetId="31">#REF!</definedName>
    <definedName name="murty">#REF!</definedName>
    <definedName name="murty_23">"$#REF!.$#REF!$#REF!"</definedName>
    <definedName name="murty_32">"$#REF!.$#REF!$#REF!"</definedName>
    <definedName name="murty_33">"$#REF!.$#REF!$#REF!"</definedName>
    <definedName name="murty_34">"$#REF!.$#REF!$#REF!"</definedName>
    <definedName name="murty_38">"$#REF!.$#REF!$#REF!"</definedName>
    <definedName name="murty_41">"$#REF!.$#REF!$#REF!"</definedName>
    <definedName name="murty_43">"$#REF!.$#REF!$#REF!"</definedName>
    <definedName name="murty_48">"$#REF!.$#REF!$#REF!"</definedName>
    <definedName name="murty_56">"$#REF!.$#REF!$#REF!"</definedName>
    <definedName name="murty_57">"$#REF!.$#REF!$#REF!"</definedName>
    <definedName name="murty_59">"$#REF!.$#REF!$#REF!"</definedName>
    <definedName name="murty_60">"$#REF!.$#REF!$#REF!"</definedName>
    <definedName name="murty_61">"$#REF!.$#REF!$#REF!"</definedName>
    <definedName name="murty_62">"$#REF!.$#REF!$#REF!"</definedName>
    <definedName name="murty_7">"$#REF!.$#REF!$#REF!"</definedName>
    <definedName name="murty_72">"$#REF!.$#REF!$#REF!"</definedName>
    <definedName name="murty_73">"$#REF!.$#REF!$#REF!"</definedName>
    <definedName name="murty_8">"$#REF!.$#REF!$#REF!"</definedName>
    <definedName name="mymax" localSheetId="37">[204]Levels!$P$5</definedName>
    <definedName name="mymax">[205]Levels!$P$5</definedName>
    <definedName name="mymin" localSheetId="37">[204]Levels!$O$5</definedName>
    <definedName name="mymin">[205]Levels!$O$5</definedName>
    <definedName name="n" localSheetId="33">#REF!</definedName>
    <definedName name="n" localSheetId="34">#REF!</definedName>
    <definedName name="n" localSheetId="35">#REF!</definedName>
    <definedName name="n" localSheetId="5">#REF!</definedName>
    <definedName name="n" localSheetId="8">#REF!</definedName>
    <definedName name="n" localSheetId="10">#REF!</definedName>
    <definedName name="n" localSheetId="11">#REF!</definedName>
    <definedName name="n" localSheetId="37">#REF!</definedName>
    <definedName name="n" localSheetId="28">#REF!</definedName>
    <definedName name="n" localSheetId="42">#REF!</definedName>
    <definedName name="n" localSheetId="31">#REF!</definedName>
    <definedName name="n">#REF!</definedName>
    <definedName name="n_33">"$#REF!.$#REF!$#REF!"</definedName>
    <definedName name="n_34">"$#REF!.$#REF!$#REF!"</definedName>
    <definedName name="naga" localSheetId="37">[141]Labour!$D$22</definedName>
    <definedName name="naga">[142]Labour!$D$22</definedName>
    <definedName name="nagara">[69]m!$M$3</definedName>
    <definedName name="nagaraj">[69]m!$M$3</definedName>
    <definedName name="NAIDUPALEM" localSheetId="33">#REF!</definedName>
    <definedName name="NAIDUPALEM" localSheetId="34">#REF!</definedName>
    <definedName name="NAIDUPALEM" localSheetId="5">#REF!</definedName>
    <definedName name="NAIDUPALEM" localSheetId="8">#REF!</definedName>
    <definedName name="NAIDUPALEM" localSheetId="10">#REF!</definedName>
    <definedName name="NAIDUPALEM" localSheetId="37">#REF!</definedName>
    <definedName name="NAIDUPALEM" localSheetId="28">#REF!</definedName>
    <definedName name="NAIDUPALEM" localSheetId="42">#REF!</definedName>
    <definedName name="NAIDUPALEM">#REF!</definedName>
    <definedName name="name" localSheetId="37">[131]ABS!$A$2</definedName>
    <definedName name="name" localSheetId="28">#REF!</definedName>
    <definedName name="name">[132]ABS!$A$2</definedName>
    <definedName name="nb" localSheetId="8">#REF!</definedName>
    <definedName name="nb" localSheetId="10">#REF!</definedName>
    <definedName name="nb" localSheetId="11">#REF!</definedName>
    <definedName name="nb" localSheetId="28">#REF!</definedName>
    <definedName name="nb">#REF!</definedName>
    <definedName name="nbc" localSheetId="8">#REF!</definedName>
    <definedName name="nbc" localSheetId="10">#REF!</definedName>
    <definedName name="nbc" localSheetId="11">#REF!</definedName>
    <definedName name="nbc" localSheetId="28">#REF!</definedName>
    <definedName name="nbc">#REF!</definedName>
    <definedName name="nbm" localSheetId="8">#REF!</definedName>
    <definedName name="nbm" localSheetId="10">#REF!</definedName>
    <definedName name="nbm" localSheetId="11">#REF!</definedName>
    <definedName name="nbm" localSheetId="28">#REF!</definedName>
    <definedName name="nbm">#REF!</definedName>
    <definedName name="NEw" localSheetId="8">#REF!</definedName>
    <definedName name="NEw" localSheetId="10">#REF!</definedName>
    <definedName name="NEw" localSheetId="28">#REF!</definedName>
    <definedName name="NEw">#REF!</definedName>
    <definedName name="newdata" localSheetId="33">#REF!</definedName>
    <definedName name="newdata" localSheetId="34">#REF!</definedName>
    <definedName name="newdata" localSheetId="35">#REF!</definedName>
    <definedName name="newdata" localSheetId="5">#REF!</definedName>
    <definedName name="newdata" localSheetId="8">#REF!</definedName>
    <definedName name="newdata" localSheetId="10">#REF!</definedName>
    <definedName name="newdata" localSheetId="11">#REF!</definedName>
    <definedName name="newdata" localSheetId="37">#REF!</definedName>
    <definedName name="newdata" localSheetId="28">#REF!</definedName>
    <definedName name="newdata" localSheetId="42">#REF!</definedName>
    <definedName name="newdata" localSheetId="31">#REF!</definedName>
    <definedName name="newdata">#REF!</definedName>
    <definedName name="newdata_23">"$#REF!.$#REF!$#REF!:$#REF!$#REF!"</definedName>
    <definedName name="newdata_33">"$#REF!.$#REF!$#REF!"</definedName>
    <definedName name="newdata_34">"$#REF!.$#REF!$#REF!"</definedName>
    <definedName name="newdata_38">"$#REF!.$#REF!$#REF!:$#REF!$#REF!"</definedName>
    <definedName name="newdata_41">"$#REF!.$#REF!$#REF!:$#REF!$#REF!"</definedName>
    <definedName name="newdata_43">"$#REF!.$#REF!$#REF!:$#REF!$#REF!"</definedName>
    <definedName name="newdata_48">"$#REF!.$#REF!$#REF!:$#REF!$#REF!"</definedName>
    <definedName name="newdata_56">"$#REF!.$#REF!$#REF!:$#REF!$#REF!"</definedName>
    <definedName name="newdata_57">"$#REF!.$#REF!$#REF!:$#REF!$#REF!"</definedName>
    <definedName name="newdata_59">"$#REF!.$#REF!$#REF!:$#REF!$#REF!"</definedName>
    <definedName name="newdata_60">"$#REF!.$#REF!$#REF!:$#REF!$#REF!"</definedName>
    <definedName name="newdata_61">"$#REF!.$#REF!$#REF!:$#REF!$#REF!"</definedName>
    <definedName name="newdata_62">"$#REF!.$#REF!$#REF!:$#REF!$#REF!"</definedName>
    <definedName name="newdata_7">"$#REF!.$#REF!$#REF!:$#REF!$#REF!"</definedName>
    <definedName name="newdata_72">"$#REF!.$#REF!$#REF!:$#REF!$#REF!"</definedName>
    <definedName name="newdata_73">"$#REF!.$#REF!$#REF!:$#REF!$#REF!"</definedName>
    <definedName name="newdata_8">"$#REF!.$#REF!$#REF!:$#REF!$#REF!"</definedName>
    <definedName name="ni" localSheetId="28">#REF!</definedName>
    <definedName name="nl" localSheetId="37">[206]DATA!$B$22</definedName>
    <definedName name="nl">[207]DATA!$B$22</definedName>
    <definedName name="NM" localSheetId="14" hidden="1">{"'ridftotal'!$A$4:$S$27"}</definedName>
    <definedName name="NM" localSheetId="11" hidden="1">{"'ridftotal'!$A$4:$S$27"}</definedName>
    <definedName name="NM" localSheetId="37" hidden="1">{"'ridftotal'!$A$4:$S$27"}</definedName>
    <definedName name="NM" localSheetId="46" hidden="1">{"'ridftotal'!$A$4:$S$27"}</definedName>
    <definedName name="NM" localSheetId="28" hidden="1">{"'ridftotal'!$A$4:$S$27"}</definedName>
    <definedName name="NM" localSheetId="19" hidden="1">{"'ridftotal'!$A$4:$S$27"}</definedName>
    <definedName name="NM" localSheetId="42" hidden="1">{"'ridftotal'!$A$4:$S$27"}</definedName>
    <definedName name="NM" localSheetId="9" hidden="1">{"'ridftotal'!$A$4:$S$27"}</definedName>
    <definedName name="NM" localSheetId="3" hidden="1">{"'ridftotal'!$A$4:$S$27"}</definedName>
    <definedName name="NM" hidden="1">{"'ridftotal'!$A$4:$S$27"}</definedName>
    <definedName name="nn" localSheetId="14" hidden="1">{"'ridftotal'!$A$4:$S$27"}</definedName>
    <definedName name="nn" localSheetId="11" hidden="1">{"'ridftotal'!$A$4:$S$27"}</definedName>
    <definedName name="nn" localSheetId="37" hidden="1">{"'ridftotal'!$A$4:$S$27"}</definedName>
    <definedName name="nn" localSheetId="46" hidden="1">{"'ridftotal'!$A$4:$S$27"}</definedName>
    <definedName name="nn" localSheetId="28" hidden="1">{"'ridftotal'!$A$4:$S$27"}</definedName>
    <definedName name="nn" localSheetId="19" hidden="1">{"'ridftotal'!$A$4:$S$27"}</definedName>
    <definedName name="nn" localSheetId="42" hidden="1">{"'ridftotal'!$A$4:$S$27"}</definedName>
    <definedName name="nn" localSheetId="9" hidden="1">{"'ridftotal'!$A$4:$S$27"}</definedName>
    <definedName name="nn" localSheetId="3" hidden="1">{"'ridftotal'!$A$4:$S$27"}</definedName>
    <definedName name="nn" hidden="1">{"'ridftotal'!$A$4:$S$27"}</definedName>
    <definedName name="NO_1000" localSheetId="35">#REF!</definedName>
    <definedName name="NO_1000" localSheetId="5">#REF!</definedName>
    <definedName name="NO_1000" localSheetId="8">#REF!</definedName>
    <definedName name="NO_1000" localSheetId="10">#REF!</definedName>
    <definedName name="NO_1000" localSheetId="11">#REF!</definedName>
    <definedName name="NO_1000" localSheetId="28">#REF!</definedName>
    <definedName name="NO_1000" localSheetId="42">#REF!</definedName>
    <definedName name="NO_1000" localSheetId="31">#REF!</definedName>
    <definedName name="NO_1000">#REF!</definedName>
    <definedName name="NO_800" localSheetId="35">#REF!</definedName>
    <definedName name="NO_800" localSheetId="5">#REF!</definedName>
    <definedName name="NO_800" localSheetId="8">#REF!</definedName>
    <definedName name="NO_800" localSheetId="10">#REF!</definedName>
    <definedName name="NO_800" localSheetId="11">#REF!</definedName>
    <definedName name="NO_800" localSheetId="28">#REF!</definedName>
    <definedName name="NO_800" localSheetId="42">#REF!</definedName>
    <definedName name="NO_800" localSheetId="31">#REF!</definedName>
    <definedName name="NO_800">#REF!</definedName>
    <definedName name="nonreturnvalve" localSheetId="33">#REF!</definedName>
    <definedName name="nonreturnvalve" localSheetId="34">#REF!</definedName>
    <definedName name="nonreturnvalve" localSheetId="5">#REF!</definedName>
    <definedName name="nonreturnvalve" localSheetId="8">#REF!</definedName>
    <definedName name="nonreturnvalve" localSheetId="10">#REF!</definedName>
    <definedName name="nonreturnvalve" localSheetId="37">#REF!</definedName>
    <definedName name="nonreturnvalve" localSheetId="28">#REF!</definedName>
    <definedName name="nonreturnvalve" localSheetId="42">#REF!</definedName>
    <definedName name="nonreturnvalve">#REF!</definedName>
    <definedName name="NONRETURNVALVES" localSheetId="33">#REF!</definedName>
    <definedName name="NONRETURNVALVES" localSheetId="34">#REF!</definedName>
    <definedName name="NONRETURNVALVES" localSheetId="5">#REF!</definedName>
    <definedName name="NONRETURNVALVES" localSheetId="8">#REF!</definedName>
    <definedName name="NONRETURNVALVES" localSheetId="10">#REF!</definedName>
    <definedName name="NONRETURNVALVES" localSheetId="37">#REF!</definedName>
    <definedName name="NONRETURNVALVES" localSheetId="28">#REF!</definedName>
    <definedName name="NONRETURNVALVES" localSheetId="42">#REF!</definedName>
    <definedName name="NONRETURNVALVES">#REF!</definedName>
    <definedName name="nOS" localSheetId="33">#REF!</definedName>
    <definedName name="nOS" localSheetId="34">#REF!</definedName>
    <definedName name="nOS" localSheetId="5">#REF!</definedName>
    <definedName name="nOS" localSheetId="8">#REF!</definedName>
    <definedName name="nOS" localSheetId="10">#REF!</definedName>
    <definedName name="nOS" localSheetId="28">#REF!</definedName>
    <definedName name="nOS" localSheetId="42">#REF!</definedName>
    <definedName name="nOS">#REF!</definedName>
    <definedName name="note" localSheetId="37">[208]Labour!$D$15</definedName>
    <definedName name="note">[209]Labour!$D$15</definedName>
    <definedName name="notelg" localSheetId="28">#REF!</definedName>
    <definedName name="NOTUSED">'[71]R99 etc'!$A$1:$L$142</definedName>
    <definedName name="NP" localSheetId="14">#REF!</definedName>
    <definedName name="NP" localSheetId="8">#REF!</definedName>
    <definedName name="NP" localSheetId="10">#REF!</definedName>
    <definedName name="NP" localSheetId="28">#REF!</definedName>
    <definedName name="NP">#REF!</definedName>
    <definedName name="nr" localSheetId="37">[55]DATA!$B$3</definedName>
    <definedName name="nr">[56]DATA!$B$3</definedName>
    <definedName name="NV" localSheetId="14">#REF!</definedName>
    <definedName name="NV" localSheetId="8">#REF!</definedName>
    <definedName name="NV" localSheetId="10">#REF!</definedName>
    <definedName name="NV" localSheetId="28">#REF!</definedName>
    <definedName name="NV">#REF!</definedName>
    <definedName name="NVN" localSheetId="37">[143]Material!$D$126</definedName>
    <definedName name="NVN">[144]Material!$D$126</definedName>
    <definedName name="nvr">[13]rdamdata!$J$8</definedName>
    <definedName name="nw" localSheetId="33">[160]m!$A$2</definedName>
    <definedName name="nw" localSheetId="34">[160]m!$A$2</definedName>
    <definedName name="nw" localSheetId="35">#REF!</definedName>
    <definedName name="nw" localSheetId="5">#REF!</definedName>
    <definedName name="nw" localSheetId="8">#REF!</definedName>
    <definedName name="nw" localSheetId="10">#REF!</definedName>
    <definedName name="nw" localSheetId="11">#REF!</definedName>
    <definedName name="nw" localSheetId="37">#REF!</definedName>
    <definedName name="nw" localSheetId="28">#REF!</definedName>
    <definedName name="nw" localSheetId="42">#REF!</definedName>
    <definedName name="nw" localSheetId="31">#REF!</definedName>
    <definedName name="nw">#REF!</definedName>
    <definedName name="nw_33">"$#REF!.$#REF!$#REF!"</definedName>
    <definedName name="nw_34">"$#REF!.$#REF!$#REF!"</definedName>
    <definedName name="nw_55">"$#REF!.$A$2"</definedName>
    <definedName name="O">[171]Material!$D$110</definedName>
    <definedName name="obd_paint" localSheetId="8">#REF!</definedName>
    <definedName name="obd_paint" localSheetId="10">#REF!</definedName>
    <definedName name="obd_paint" localSheetId="11">#REF!</definedName>
    <definedName name="obd_paint" localSheetId="28">#REF!</definedName>
    <definedName name="obd_paint">#REF!</definedName>
    <definedName name="oct" localSheetId="28">#REF!</definedName>
    <definedName name="od" localSheetId="37">#REF!</definedName>
    <definedName name="od" localSheetId="28">#REF!</definedName>
    <definedName name="od">#REF!</definedName>
    <definedName name="OFL" localSheetId="14">#REF!</definedName>
    <definedName name="OFL" localSheetId="8">#REF!</definedName>
    <definedName name="OFL" localSheetId="10">#REF!</definedName>
    <definedName name="OFL" localSheetId="28">#REF!</definedName>
    <definedName name="OFL">#REF!</definedName>
    <definedName name="OGPC_HMP" localSheetId="28">#REF!</definedName>
    <definedName name="oh" localSheetId="37">'[107]Lead statement ss5'!$C$26</definedName>
    <definedName name="oh">'[108]Lead statement ss5'!$C$26</definedName>
    <definedName name="oh_33" localSheetId="28">#REF!</definedName>
    <definedName name="oh_34">#REF!</definedName>
    <definedName name="OHBRBRACEONETOSIX" localSheetId="33">#REF!</definedName>
    <definedName name="OHBRBRACEONETOSIX" localSheetId="34">#REF!</definedName>
    <definedName name="OHBRBRACEONETOSIX" localSheetId="5">#REF!</definedName>
    <definedName name="OHBRBRACEONETOSIX" localSheetId="8">#REF!</definedName>
    <definedName name="OHBRBRACEONETOSIX" localSheetId="10">#REF!</definedName>
    <definedName name="OHBRBRACEONETOSIX" localSheetId="37">#REF!</definedName>
    <definedName name="OHBRBRACEONETOSIX" localSheetId="28">#REF!</definedName>
    <definedName name="OHBRBRACEONETOSIX" localSheetId="42">#REF!</definedName>
    <definedName name="OHBRBRACEONETOSIX">#REF!</definedName>
    <definedName name="OHBRBRACESEVENTOTHIRTEEN" localSheetId="33">#REF!</definedName>
    <definedName name="OHBRBRACESEVENTOTHIRTEEN" localSheetId="34">#REF!</definedName>
    <definedName name="OHBRBRACESEVENTOTHIRTEEN" localSheetId="5">#REF!</definedName>
    <definedName name="OHBRBRACESEVENTOTHIRTEEN" localSheetId="8">#REF!</definedName>
    <definedName name="OHBRBRACESEVENTOTHIRTEEN" localSheetId="10">#REF!</definedName>
    <definedName name="OHBRBRACESEVENTOTHIRTEEN" localSheetId="37">#REF!</definedName>
    <definedName name="OHBRBRACESEVENTOTHIRTEEN" localSheetId="28">#REF!</definedName>
    <definedName name="OHBRBRACESEVENTOTHIRTEEN" localSheetId="42">#REF!</definedName>
    <definedName name="OHBRBRACESEVENTOTHIRTEEN">#REF!</definedName>
    <definedName name="OHBRCOLUMNONETOSIX" localSheetId="33">#REF!</definedName>
    <definedName name="OHBRCOLUMNONETOSIX" localSheetId="34">#REF!</definedName>
    <definedName name="OHBRCOLUMNONETOSIX" localSheetId="5">#REF!</definedName>
    <definedName name="OHBRCOLUMNONETOSIX" localSheetId="8">#REF!</definedName>
    <definedName name="OHBRCOLUMNONETOSIX" localSheetId="10">#REF!</definedName>
    <definedName name="OHBRCOLUMNONETOSIX" localSheetId="28">#REF!</definedName>
    <definedName name="OHBRCOLUMNONETOSIX" localSheetId="42">#REF!</definedName>
    <definedName name="OHBRCOLUMNONETOSIX">#REF!</definedName>
    <definedName name="OHBRCOLUMNSEVENTOTHIRTEEN" localSheetId="33">#REF!</definedName>
    <definedName name="OHBRCOLUMNSEVENTOTHIRTEEN" localSheetId="34">#REF!</definedName>
    <definedName name="OHBRCOLUMNSEVENTOTHIRTEEN" localSheetId="5">#REF!</definedName>
    <definedName name="OHBRCOLUMNSEVENTOTHIRTEEN" localSheetId="8">#REF!</definedName>
    <definedName name="OHBRCOLUMNSEVENTOTHIRTEEN" localSheetId="10">#REF!</definedName>
    <definedName name="OHBRCOLUMNSEVENTOTHIRTEEN" localSheetId="28">#REF!</definedName>
    <definedName name="OHBRCOLUMNSEVENTOTHIRTEEN" localSheetId="42">#REF!</definedName>
    <definedName name="OHBRCOLUMNSEVENTOTHIRTEEN">#REF!</definedName>
    <definedName name="OHCP" localSheetId="37">[210]LEAD!$K$46</definedName>
    <definedName name="OHCP">[211]LEAD!$K$46</definedName>
    <definedName name="OHCPBRIDGES">[180]LEAD!$K$48</definedName>
    <definedName name="ohsrcap" localSheetId="8">#REF!</definedName>
    <definedName name="ohsrcap" localSheetId="10">#REF!</definedName>
    <definedName name="ohsrcap" localSheetId="11">#REF!</definedName>
    <definedName name="ohsrcap" localSheetId="28">#REF!</definedName>
    <definedName name="ohsrcap">#REF!</definedName>
    <definedName name="oi" localSheetId="8">#REF!</definedName>
    <definedName name="oi" localSheetId="10">#REF!</definedName>
    <definedName name="oi" localSheetId="11">#REF!</definedName>
    <definedName name="oi" localSheetId="28">#REF!</definedName>
    <definedName name="oi">#REF!</definedName>
    <definedName name="oii" localSheetId="8">#REF!</definedName>
    <definedName name="oii" localSheetId="10">#REF!</definedName>
    <definedName name="oii" localSheetId="11">#REF!</definedName>
    <definedName name="oii" localSheetId="28">#REF!</definedName>
    <definedName name="oii">#REF!</definedName>
    <definedName name="ojjlkj" localSheetId="37">[127]Material!$D$130</definedName>
    <definedName name="ojjlkj">[128]Material!$D$130</definedName>
    <definedName name="ok" localSheetId="28">#REF!</definedName>
    <definedName name="ok_33">"$#REF!.$#REF!$#REF!"</definedName>
    <definedName name="one" localSheetId="8">#REF!</definedName>
    <definedName name="one" localSheetId="10">#REF!</definedName>
    <definedName name="one" localSheetId="11">#REF!</definedName>
    <definedName name="one" localSheetId="28">#REF!</definedName>
    <definedName name="one">#REF!</definedName>
    <definedName name="ONETOSEVEN" localSheetId="33">#REF!</definedName>
    <definedName name="ONETOSEVEN" localSheetId="34">#REF!</definedName>
    <definedName name="ONETOSEVEN" localSheetId="5">#REF!</definedName>
    <definedName name="ONETOSEVEN" localSheetId="8">#REF!</definedName>
    <definedName name="ONETOSEVEN" localSheetId="10">#REF!</definedName>
    <definedName name="ONETOSEVEN" localSheetId="37">#REF!</definedName>
    <definedName name="ONETOSEVEN" localSheetId="28">#REF!</definedName>
    <definedName name="ONETOSEVEN" localSheetId="42">#REF!</definedName>
    <definedName name="ONETOSEVEN">#REF!</definedName>
    <definedName name="oo">#REF!</definedName>
    <definedName name="OP">#REF!</definedName>
    <definedName name="opened">#REF!</definedName>
    <definedName name="OrderTable" localSheetId="35" hidden="1">#REF!</definedName>
    <definedName name="OrderTable" localSheetId="5" hidden="1">#REF!</definedName>
    <definedName name="OrderTable" localSheetId="29" hidden="1">#REF!</definedName>
    <definedName name="OrderTable" localSheetId="8" hidden="1">#REF!</definedName>
    <definedName name="OrderTable" localSheetId="10" hidden="1">#REF!</definedName>
    <definedName name="OrderTable" localSheetId="11" hidden="1">#REF!</definedName>
    <definedName name="OrderTable" localSheetId="43" hidden="1">#REF!</definedName>
    <definedName name="OrderTable" localSheetId="27" hidden="1">#REF!</definedName>
    <definedName name="OrderTable" localSheetId="46" hidden="1">#REF!</definedName>
    <definedName name="OrderTable" localSheetId="28" hidden="1">#REF!</definedName>
    <definedName name="OrderTable" localSheetId="19" hidden="1">#REF!</definedName>
    <definedName name="OrderTable" localSheetId="42" hidden="1">#REF!</definedName>
    <definedName name="OrderTable" localSheetId="32" hidden="1">#REF!</definedName>
    <definedName name="OrderTable" localSheetId="31" hidden="1">#REF!</definedName>
    <definedName name="OrderTable" localSheetId="9" hidden="1">#REF!</definedName>
    <definedName name="OrderTable" localSheetId="3" hidden="1">#REF!</definedName>
    <definedName name="OrderTable" hidden="1">#REF!</definedName>
    <definedName name="others" localSheetId="33">#REF!</definedName>
    <definedName name="others" localSheetId="34">#REF!</definedName>
    <definedName name="others" localSheetId="5">#REF!</definedName>
    <definedName name="others" localSheetId="8">#REF!</definedName>
    <definedName name="others" localSheetId="10">#REF!</definedName>
    <definedName name="others" localSheetId="37">#REF!</definedName>
    <definedName name="others" localSheetId="28">#REF!</definedName>
    <definedName name="others" localSheetId="42">#REF!</definedName>
    <definedName name="others">#REF!</definedName>
    <definedName name="OW">#REF!</definedName>
    <definedName name="p" localSheetId="33">#REF!</definedName>
    <definedName name="p" localSheetId="34">#REF!</definedName>
    <definedName name="p" localSheetId="35">#REF!</definedName>
    <definedName name="p" localSheetId="5">#REF!</definedName>
    <definedName name="p" localSheetId="8">#REF!</definedName>
    <definedName name="p" localSheetId="10">#REF!</definedName>
    <definedName name="p" localSheetId="11">#REF!</definedName>
    <definedName name="p" localSheetId="37">#REF!</definedName>
    <definedName name="p" localSheetId="28">#REF!</definedName>
    <definedName name="p" localSheetId="42">#REF!</definedName>
    <definedName name="p" localSheetId="31">#REF!</definedName>
    <definedName name="p">#REF!</definedName>
    <definedName name="Pa" localSheetId="8">#REF!</definedName>
    <definedName name="Pa" localSheetId="10">#REF!</definedName>
    <definedName name="Pa" localSheetId="11">#REF!</definedName>
    <definedName name="Pa" localSheetId="28">#REF!</definedName>
    <definedName name="Pa">#REF!</definedName>
    <definedName name="painting" localSheetId="28">#REF!</definedName>
    <definedName name="PartB" localSheetId="28">#REF!</definedName>
    <definedName name="PARTC">#REF!</definedName>
    <definedName name="Pasu" localSheetId="8">#REF!</definedName>
    <definedName name="Pasu" localSheetId="10">#REF!</definedName>
    <definedName name="Pasu" localSheetId="11">#REF!</definedName>
    <definedName name="Pasu" localSheetId="28">#REF!</definedName>
    <definedName name="Pasu">#REF!</definedName>
    <definedName name="pbm" localSheetId="8">#REF!</definedName>
    <definedName name="pbm" localSheetId="10">#REF!</definedName>
    <definedName name="pbm" localSheetId="11">#REF!</definedName>
    <definedName name="pbm" localSheetId="28">#REF!</definedName>
    <definedName name="pbm">#REF!</definedName>
    <definedName name="pc" localSheetId="33">#REF!</definedName>
    <definedName name="pc" localSheetId="34">#REF!</definedName>
    <definedName name="pc" localSheetId="35">#REF!</definedName>
    <definedName name="pc" localSheetId="5">#REF!</definedName>
    <definedName name="pc" localSheetId="8">#REF!</definedName>
    <definedName name="pc" localSheetId="10">#REF!</definedName>
    <definedName name="pc" localSheetId="11">#REF!</definedName>
    <definedName name="pc" localSheetId="37">#REF!</definedName>
    <definedName name="pc" localSheetId="28">#REF!</definedName>
    <definedName name="pc" localSheetId="42">#REF!</definedName>
    <definedName name="pc" localSheetId="31">#REF!</definedName>
    <definedName name="pc">#REF!</definedName>
    <definedName name="pc_33">"$#REF!.$#REF!$#REF!"</definedName>
    <definedName name="pc_34">"$#REF!.$#REF!$#REF!"</definedName>
    <definedName name="pcbw">[97]Intro!$L$31</definedName>
    <definedName name="pcc" localSheetId="8">#REF!</definedName>
    <definedName name="pcc" localSheetId="10">#REF!</definedName>
    <definedName name="pcc" localSheetId="11">#REF!</definedName>
    <definedName name="pcc" localSheetId="37">[90]Intput!$L$92</definedName>
    <definedName name="pcc" localSheetId="28">#REF!</definedName>
    <definedName name="pcc">#REF!</definedName>
    <definedName name="pcc_bedblock" localSheetId="8">#REF!</definedName>
    <definedName name="pcc_bedblock" localSheetId="10">#REF!</definedName>
    <definedName name="pcc_bedblock" localSheetId="11">#REF!</definedName>
    <definedName name="pcc_bedblock" localSheetId="28">#REF!</definedName>
    <definedName name="pcc_bedblock">#REF!</definedName>
    <definedName name="PCC_M15" localSheetId="28">#REF!</definedName>
    <definedName name="PCC_M15_App.Slab">#REF!</definedName>
    <definedName name="PCdesign0.005" localSheetId="5">#REF!</definedName>
    <definedName name="PCdesign0.005" localSheetId="8">#REF!</definedName>
    <definedName name="PCdesign0.005" localSheetId="10">#REF!</definedName>
    <definedName name="PCdesign0.005" localSheetId="28">#REF!</definedName>
    <definedName name="PCdesign0.005">#REF!</definedName>
    <definedName name="pclb">[97]Intro!$L$33</definedName>
    <definedName name="pclt">[97]Intro!$L$32</definedName>
    <definedName name="pctl">[90]Intput!$L$133</definedName>
    <definedName name="pctt">[97]Intro!$L$29</definedName>
    <definedName name="pctw">[97]Intro!$L$30</definedName>
    <definedName name="PGS" localSheetId="8">#REF!</definedName>
    <definedName name="PGS" localSheetId="10">#REF!</definedName>
    <definedName name="PGS" localSheetId="28">#REF!</definedName>
    <definedName name="PGS">#REF!</definedName>
    <definedName name="PHANI">[69]m!$B$149</definedName>
    <definedName name="phase" localSheetId="8">#REF!</definedName>
    <definedName name="phase" localSheetId="10">#REF!</definedName>
    <definedName name="phase" localSheetId="11">#REF!</definedName>
    <definedName name="phase" localSheetId="28">#REF!</definedName>
    <definedName name="phase">#REF!</definedName>
    <definedName name="phi" localSheetId="8">#REF!</definedName>
    <definedName name="phi" localSheetId="10">#REF!</definedName>
    <definedName name="phi" localSheetId="11">#REF!</definedName>
    <definedName name="phi" localSheetId="37">[90]Intput!$L$79</definedName>
    <definedName name="phi" localSheetId="28">#REF!</definedName>
    <definedName name="phi">#REF!</definedName>
    <definedName name="Phone" localSheetId="35">#REF!</definedName>
    <definedName name="Phone" localSheetId="5">#REF!</definedName>
    <definedName name="Phone" localSheetId="8">#REF!</definedName>
    <definedName name="Phone" localSheetId="10">#REF!</definedName>
    <definedName name="Phone" localSheetId="11">#REF!</definedName>
    <definedName name="Phone" localSheetId="28">#REF!</definedName>
    <definedName name="Phone" localSheetId="42">#REF!</definedName>
    <definedName name="Phone" localSheetId="31">#REF!</definedName>
    <definedName name="Phone">#REF!</definedName>
    <definedName name="Photos" localSheetId="8">#REF!</definedName>
    <definedName name="Photos" localSheetId="10">#REF!</definedName>
    <definedName name="Photos" localSheetId="28">#REF!</definedName>
    <definedName name="Photos">#REF!</definedName>
    <definedName name="pi">3.1415</definedName>
    <definedName name="pIIII" localSheetId="33">#REF!</definedName>
    <definedName name="pIIII" localSheetId="34">#REF!</definedName>
    <definedName name="pIIII" localSheetId="5">#REF!</definedName>
    <definedName name="pIIII" localSheetId="8">#REF!</definedName>
    <definedName name="pIIII" localSheetId="10">#REF!</definedName>
    <definedName name="pIIII" localSheetId="37">#REF!</definedName>
    <definedName name="pIIII" localSheetId="28">#REF!</definedName>
    <definedName name="pIIII" localSheetId="42">#REF!</definedName>
    <definedName name="pIIII">#REF!</definedName>
    <definedName name="PIPE" localSheetId="8">#REF!</definedName>
    <definedName name="PIPE" localSheetId="10">#REF!</definedName>
    <definedName name="PIPE" localSheetId="11">#REF!</definedName>
    <definedName name="PIPE" localSheetId="28">#REF!</definedName>
    <definedName name="PIPE">#REF!</definedName>
    <definedName name="pipewts" localSheetId="37">#REF!</definedName>
    <definedName name="pipewts">#REF!</definedName>
    <definedName name="piu">#REF!</definedName>
    <definedName name="PJI" localSheetId="14">#REF!</definedName>
    <definedName name="PJI" localSheetId="8">#REF!</definedName>
    <definedName name="PJI" localSheetId="10">#REF!</definedName>
    <definedName name="PJI" localSheetId="28">#REF!</definedName>
    <definedName name="PJI">#REF!</definedName>
    <definedName name="PJII" localSheetId="8">#REF!</definedName>
    <definedName name="PJII" localSheetId="10">#REF!</definedName>
    <definedName name="PJII" localSheetId="28">#REF!</definedName>
    <definedName name="PJII">#REF!</definedName>
    <definedName name="PJIII" localSheetId="8">#REF!</definedName>
    <definedName name="PJIII" localSheetId="10">#REF!</definedName>
    <definedName name="PJIII" localSheetId="28">#REF!</definedName>
    <definedName name="PJIII">#REF!</definedName>
    <definedName name="PK">#REF!</definedName>
    <definedName name="pkgno" localSheetId="33">#REF!</definedName>
    <definedName name="pkgno" localSheetId="34">#REF!</definedName>
    <definedName name="pkgno" localSheetId="5">#REF!</definedName>
    <definedName name="pkgno" localSheetId="8">#REF!</definedName>
    <definedName name="pkgno" localSheetId="10">#REF!</definedName>
    <definedName name="pkgno" localSheetId="37">#REF!</definedName>
    <definedName name="pkgno" localSheetId="28">#REF!</definedName>
    <definedName name="pkgno" localSheetId="42">#REF!</definedName>
    <definedName name="pkgno">#REF!</definedName>
    <definedName name="Pl.12mm1_3">#REF!</definedName>
    <definedName name="plaster_ornamental" localSheetId="8">#REF!</definedName>
    <definedName name="plaster_ornamental" localSheetId="10">#REF!</definedName>
    <definedName name="plaster_ornamental" localSheetId="11">#REF!</definedName>
    <definedName name="plaster_ornamental" localSheetId="28">#REF!</definedName>
    <definedName name="plaster_ornamental">#REF!</definedName>
    <definedName name="plaster_stage" localSheetId="37">'[83]data existing_do not delete'!$A$88:$A$91</definedName>
    <definedName name="plaster_stage">'[84]data existing_do not delete'!$A$88:$A$91</definedName>
    <definedName name="plaster_thick" localSheetId="37">'[83]data existing_do not delete'!$D$14:$D$16</definedName>
    <definedName name="plaster_thick">'[84]data existing_do not delete'!$D$14:$D$16</definedName>
    <definedName name="plaster_twelve" localSheetId="8">#REF!</definedName>
    <definedName name="plaster_twelve" localSheetId="10">#REF!</definedName>
    <definedName name="plaster_twelve" localSheetId="11">#REF!</definedName>
    <definedName name="plaster_twelve" localSheetId="28">#REF!</definedName>
    <definedName name="plaster_twelve">#REF!</definedName>
    <definedName name="plaster_twenty" localSheetId="8">#REF!</definedName>
    <definedName name="plaster_twenty" localSheetId="10">#REF!</definedName>
    <definedName name="plaster_twenty" localSheetId="11">#REF!</definedName>
    <definedName name="plaster_twenty" localSheetId="28">#REF!</definedName>
    <definedName name="plaster_twenty">#REF!</definedName>
    <definedName name="PLASTERING" localSheetId="37">[67]maya!$A$23:$A$27</definedName>
    <definedName name="PLASTERING">[63]maya!$A$23:$A$27</definedName>
    <definedName name="plastering12" localSheetId="28">#REF!</definedName>
    <definedName name="plasticemulsion_paint" localSheetId="8">#REF!</definedName>
    <definedName name="plasticemulsion_paint" localSheetId="10">#REF!</definedName>
    <definedName name="plasticemulsion_paint" localSheetId="11">#REF!</definedName>
    <definedName name="plasticemulsion_paint" localSheetId="28">#REF!</definedName>
    <definedName name="plasticemulsion_paint">#REF!</definedName>
    <definedName name="plb">[97]Intro!$L$68</definedName>
    <definedName name="plt">[97]Intro!$L$64</definedName>
    <definedName name="pm" localSheetId="33">#REF!</definedName>
    <definedName name="pm" localSheetId="34">#REF!</definedName>
    <definedName name="pm" localSheetId="8">#REF!</definedName>
    <definedName name="pm" localSheetId="10">#REF!</definedName>
    <definedName name="pm" localSheetId="37">#REF!</definedName>
    <definedName name="pm" localSheetId="28">#REF!</definedName>
    <definedName name="pm">#REF!</definedName>
    <definedName name="PM_AirCompressor_210cfm" localSheetId="37">'[156]Plant &amp;  Machinery'!$G$4</definedName>
    <definedName name="PM_AirCompressor_210cfm">'[173]Plant &amp;  Machinery'!$G$4</definedName>
    <definedName name="PM_AirCompressor_210cfm_32" localSheetId="28">#REF!</definedName>
    <definedName name="PM_AirCompressor_210cfm_33">#REF!</definedName>
    <definedName name="PM_AirCompressor_210cfm_34">#REF!</definedName>
    <definedName name="PM_AirCompressor_210cfm_43">#REF!</definedName>
    <definedName name="PM_AirCompressor_210cfm_55">#REF!</definedName>
    <definedName name="PM_AirCompressor_210cfm_56">#REF!</definedName>
    <definedName name="PM_AirCompressor_210cfm_59">#REF!</definedName>
    <definedName name="PM_AirCompressor_210cfm_61">#REF!</definedName>
    <definedName name="PM_BatchMixHMP_46_60THP" localSheetId="37">'[187]Plant &amp;  Machinery'!$G$5</definedName>
    <definedName name="PM_BatchMixHMP_46_60THP">'[173]Plant &amp;  Machinery'!$G$5</definedName>
    <definedName name="PM_BatchMixHMP_46_60THP_32" localSheetId="28">#REF!</definedName>
    <definedName name="PM_BatchMixHMP_46_60THP_33">#REF!</definedName>
    <definedName name="PM_BatchMixHMP_46_60THP_34">#REF!</definedName>
    <definedName name="PM_BatchMixHMP_46_60THP_43">#REF!</definedName>
    <definedName name="PM_BatchMixHMP_46_60THP_55">#REF!</definedName>
    <definedName name="PM_BatchMixHMP_46_60THP_56">#REF!</definedName>
    <definedName name="PM_BatchMixHMP_46_60THP_59">#REF!</definedName>
    <definedName name="PM_BatchMixHMP_46_60THP_61">#REF!</definedName>
    <definedName name="PM_BatchTypeHMP_30_40" localSheetId="37">'[172]Plant &amp;  Machinery'!$G$6</definedName>
    <definedName name="PM_BatchTypeHMP_30_40">'[173]Plant &amp;  Machinery'!$G$6</definedName>
    <definedName name="PM_BatchTypeHMP_30_40_55" localSheetId="28">#REF!</definedName>
    <definedName name="PM_BitumenBoilerOilFired_1000" localSheetId="37">'[172]Plant &amp;  Machinery'!$G$9</definedName>
    <definedName name="PM_BitumenBoilerOilFired_1000">'[173]Plant &amp;  Machinery'!$G$9</definedName>
    <definedName name="PM_BitumenBoilerOilFired_1000_55" localSheetId="28">#REF!</definedName>
    <definedName name="PM_BitumenBoilerOilFired_200" localSheetId="37">'[187]Plant &amp;  Machinery'!$G$8</definedName>
    <definedName name="PM_BitumenBoilerOilFired_200">'[173]Plant &amp;  Machinery'!$G$8</definedName>
    <definedName name="PM_BitumenBoilerOilFired_200_32" localSheetId="28">#REF!</definedName>
    <definedName name="PM_BitumenBoilerOilFired_200_33">#REF!</definedName>
    <definedName name="PM_BitumenBoilerOilFired_200_34">#REF!</definedName>
    <definedName name="PM_BitumenBoilerOilFired_200_43">#REF!</definedName>
    <definedName name="PM_BitumenBoilerOilFired_200_55">#REF!</definedName>
    <definedName name="PM_BitumenBoilerOilFired_200_56">#REF!</definedName>
    <definedName name="PM_BitumenBoilerOilFired_200_59">#REF!</definedName>
    <definedName name="PM_BitumenBoilerOilFired_200_61">#REF!</definedName>
    <definedName name="PM_BitumenEmulsionPressureDistributor" localSheetId="37">'[187]Plant &amp;  Machinery'!$G$10</definedName>
    <definedName name="PM_BitumenEmulsionPressureDistributor">'[173]Plant &amp;  Machinery'!$G$10</definedName>
    <definedName name="PM_BitumenEmulsionPressureDistributor_32" localSheetId="28">#REF!</definedName>
    <definedName name="PM_BitumenEmulsionPressureDistributor_33">#REF!</definedName>
    <definedName name="PM_BitumenEmulsionPressureDistributor_34">#REF!</definedName>
    <definedName name="PM_BitumenEmulsionPressureDistributor_43">#REF!</definedName>
    <definedName name="PM_BitumenEmulsionPressureDistributor_55">#REF!</definedName>
    <definedName name="PM_BitumenEmulsionPressureDistributor_56">#REF!</definedName>
    <definedName name="PM_BitumenEmulsionPressureDistributor_59">#REF!</definedName>
    <definedName name="PM_BitumenEmulsionPressureDistributor_61">#REF!</definedName>
    <definedName name="PM_ConcreteMixer" localSheetId="37">'[156]Plant &amp;  Machinery'!$G$11</definedName>
    <definedName name="PM_ConcreteMixer">'[173]Plant &amp;  Machinery'!$G$11</definedName>
    <definedName name="PM_ConcreteMixer_32" localSheetId="28">#REF!</definedName>
    <definedName name="PM_ConcreteMixer_33">#REF!</definedName>
    <definedName name="PM_ConcreteMixer_34">#REF!</definedName>
    <definedName name="PM_ConcreteMixer_43">#REF!</definedName>
    <definedName name="PM_ConcreteMixer_55">#REF!</definedName>
    <definedName name="PM_ConcreteMixer_56">#REF!</definedName>
    <definedName name="PM_ConcreteMixer_59">#REF!</definedName>
    <definedName name="PM_ConcreteMixer_61">#REF!</definedName>
    <definedName name="PM_Dozer_D50" localSheetId="37">'[156]Plant &amp;  Machinery'!$G$13</definedName>
    <definedName name="PM_Dozer_D50">'[173]Plant &amp;  Machinery'!$G$13</definedName>
    <definedName name="PM_Dozer_D50_32" localSheetId="28">#REF!</definedName>
    <definedName name="PM_Dozer_D50_33">#REF!</definedName>
    <definedName name="PM_Dozer_D50_34">#REF!</definedName>
    <definedName name="PM_Dozer_D50_43">#REF!</definedName>
    <definedName name="PM_Dozer_D50_56">#REF!</definedName>
    <definedName name="PM_Dozer_D50_59">#REF!</definedName>
    <definedName name="PM_Dozer_D50_61">#REF!</definedName>
    <definedName name="PM_ElectricGeneratorSet_125" localSheetId="37">'[172]Plant &amp;  Machinery'!$G$15</definedName>
    <definedName name="PM_ElectricGeneratorSet_125">'[173]Plant &amp;  Machinery'!$G$15</definedName>
    <definedName name="PM_ElectricGeneratorSet_125_55" localSheetId="28">#REF!</definedName>
    <definedName name="PM_FrontEndLoader_1cum" localSheetId="37">'[172]Plant &amp;  Machinery'!$G$17</definedName>
    <definedName name="PM_FrontEndLoader_1cum">'[173]Plant &amp;  Machinery'!$G$17</definedName>
    <definedName name="PM_FrontEndLoader_1cum_55" localSheetId="28">#REF!</definedName>
    <definedName name="PM_HydraulicBroom" localSheetId="37">'[187]Plant &amp;  Machinery'!$G$19</definedName>
    <definedName name="PM_HydraulicBroom">'[173]Plant &amp;  Machinery'!$G$19</definedName>
    <definedName name="PM_HydraulicBroom_32" localSheetId="28">#REF!</definedName>
    <definedName name="PM_HydraulicBroom_33">#REF!</definedName>
    <definedName name="PM_HydraulicBroom_34">#REF!</definedName>
    <definedName name="PM_HydraulicBroom_43">#REF!</definedName>
    <definedName name="PM_HydraulicBroom_55">#REF!</definedName>
    <definedName name="PM_HydraulicBroom_56">#REF!</definedName>
    <definedName name="PM_HydraulicBroom_59">#REF!</definedName>
    <definedName name="PM_HydraulicBroom_61">#REF!</definedName>
    <definedName name="PM_HydraulicExcavator_09cum" localSheetId="37">'[172]Plant &amp;  Machinery'!$G$20</definedName>
    <definedName name="PM_HydraulicExcavator_09cum">'[173]Plant &amp;  Machinery'!$G$20</definedName>
    <definedName name="PM_HydraulicSelfPropelledChipSpreader" localSheetId="37">'[187]Plant &amp;  Machinery'!$G$21</definedName>
    <definedName name="PM_HydraulicSelfPropelledChipSpreader">'[173]Plant &amp;  Machinery'!$G$21</definedName>
    <definedName name="PM_HydraulicSelfPropelledChipSpreader_32" localSheetId="28">#REF!</definedName>
    <definedName name="PM_HydraulicSelfPropelledChipSpreader_33">#REF!</definedName>
    <definedName name="PM_HydraulicSelfPropelledChipSpreader_34">#REF!</definedName>
    <definedName name="PM_HydraulicSelfPropelledChipSpreader_43">#REF!</definedName>
    <definedName name="PM_HydraulicSelfPropelledChipSpreader_55">#REF!</definedName>
    <definedName name="PM_HydraulicSelfPropelledChipSpreader_56">#REF!</definedName>
    <definedName name="PM_HydraulicSelfPropelledChipSpreader_59">#REF!</definedName>
    <definedName name="PM_HydraulicSelfPropelledChipSpreader_61">#REF!</definedName>
    <definedName name="PM_JackHammer" localSheetId="37">[175]Sheet3!$G$22</definedName>
    <definedName name="PM_JackHammer">'[173]Plant &amp;  Machinery'!$G$22</definedName>
    <definedName name="PM_JackHammer_32" localSheetId="28">#REF!</definedName>
    <definedName name="PM_JackHammer_33">#REF!</definedName>
    <definedName name="PM_JackHammer_34">#REF!</definedName>
    <definedName name="PM_JackHammer_43">#REF!</definedName>
    <definedName name="PM_JackHammer_56">#REF!</definedName>
    <definedName name="PM_JackHammer_59">#REF!</definedName>
    <definedName name="PM_JackHammer_61">#REF!</definedName>
    <definedName name="PM_JointCuttingMachine" localSheetId="37">'[156]Plant &amp;  Machinery'!$G$23</definedName>
    <definedName name="PM_JointCuttingMachine">'[173]Plant &amp;  Machinery'!$G$23</definedName>
    <definedName name="PM_JointCuttingMachine_32" localSheetId="28">#REF!</definedName>
    <definedName name="PM_JointCuttingMachine_33">#REF!</definedName>
    <definedName name="PM_JointCuttingMachine_34">#REF!</definedName>
    <definedName name="PM_JointCuttingMachine_43">#REF!</definedName>
    <definedName name="PM_JointCuttingMachine_55">#REF!</definedName>
    <definedName name="PM_JointCuttingMachine_56">#REF!</definedName>
    <definedName name="PM_JointCuttingMachine_59">#REF!</definedName>
    <definedName name="PM_JointCuttingMachine_61">#REF!</definedName>
    <definedName name="PM_Mixall_6_10t" localSheetId="37">'[187]Plant &amp;  Machinery'!$G$24</definedName>
    <definedName name="PM_Mixall_6_10t">'[173]Plant &amp;  Machinery'!$G$24</definedName>
    <definedName name="PM_Mixall_6_10t_32" localSheetId="28">#REF!</definedName>
    <definedName name="PM_Mixall_6_10t_33">#REF!</definedName>
    <definedName name="PM_Mixall_6_10t_34">#REF!</definedName>
    <definedName name="PM_Mixall_6_10t_43">#REF!</definedName>
    <definedName name="PM_Mixall_6_10t_55">#REF!</definedName>
    <definedName name="PM_Mixall_6_10t_56">#REF!</definedName>
    <definedName name="PM_Mixall_6_10t_59">#REF!</definedName>
    <definedName name="PM_Mixall_6_10t_61">#REF!</definedName>
    <definedName name="PM_MotorGrader" localSheetId="37">'[172]Plant &amp;  Machinery'!$G$25</definedName>
    <definedName name="PM_MotorGrader">'[173]Plant &amp;  Machinery'!$G$25</definedName>
    <definedName name="PM_NeedleVibrator" localSheetId="37">'[156]Plant &amp;  Machinery'!$G$27</definedName>
    <definedName name="PM_NeedleVibrator">'[173]Plant &amp;  Machinery'!$G$27</definedName>
    <definedName name="PM_NeedleVibrator_32" localSheetId="28">#REF!</definedName>
    <definedName name="PM_NeedleVibrator_33">#REF!</definedName>
    <definedName name="PM_NeedleVibrator_34">#REF!</definedName>
    <definedName name="PM_NeedleVibrator_43">#REF!</definedName>
    <definedName name="PM_NeedleVibrator_55">#REF!</definedName>
    <definedName name="PM_NeedleVibrator_56">#REF!</definedName>
    <definedName name="PM_NeedleVibrator_59">#REF!</definedName>
    <definedName name="PM_NeedleVibrator_61">#REF!</definedName>
    <definedName name="PM_PaverFinisher" localSheetId="37">'[172]Plant &amp;  Machinery'!$G$28</definedName>
    <definedName name="PM_PaverFinisher">'[173]Plant &amp;  Machinery'!$G$28</definedName>
    <definedName name="PM_PaverFinisher_55" localSheetId="28">#REF!</definedName>
    <definedName name="PM_PlateCompactor" localSheetId="37">[175]Sheet3!$G$29</definedName>
    <definedName name="PM_PlateCompactor">'[173]Plant &amp;  Machinery'!$G$29</definedName>
    <definedName name="PM_PlateCompactor_32" localSheetId="28">#REF!</definedName>
    <definedName name="PM_PlateCompactor_33">#REF!</definedName>
    <definedName name="PM_PlateCompactor_34">#REF!</definedName>
    <definedName name="PM_PlateCompactor_43">#REF!</definedName>
    <definedName name="PM_PlateCompactor_56">#REF!</definedName>
    <definedName name="PM_PlateCompactor_59">#REF!</definedName>
    <definedName name="PM_PlateCompactor_61">#REF!</definedName>
    <definedName name="PM_PlateVibrator" localSheetId="37">'[156]Plant &amp;  Machinery'!$G$30</definedName>
    <definedName name="PM_PlateVibrator">'[173]Plant &amp;  Machinery'!$G$30</definedName>
    <definedName name="PM_PlateVibrator_32" localSheetId="28">#REF!</definedName>
    <definedName name="PM_PlateVibrator_33">#REF!</definedName>
    <definedName name="PM_PlateVibrator_34">#REF!</definedName>
    <definedName name="PM_PlateVibrator_43">#REF!</definedName>
    <definedName name="PM_PlateVibrator_55">#REF!</definedName>
    <definedName name="PM_PlateVibrator_56">#REF!</definedName>
    <definedName name="PM_PlateVibrator_59">#REF!</definedName>
    <definedName name="PM_PlateVibrator_61">#REF!</definedName>
    <definedName name="PM_ScreedVibrator" localSheetId="37">'[156]Plant &amp;  Machinery'!$G$31</definedName>
    <definedName name="PM_ScreedVibrator">'[173]Plant &amp;  Machinery'!$G$31</definedName>
    <definedName name="PM_ScreedVibrator_32" localSheetId="28">#REF!</definedName>
    <definedName name="PM_ScreedVibrator_33">#REF!</definedName>
    <definedName name="PM_ScreedVibrator_34">#REF!</definedName>
    <definedName name="PM_ScreedVibrator_43">#REF!</definedName>
    <definedName name="PM_ScreedVibrator_55">#REF!</definedName>
    <definedName name="PM_ScreedVibrator_56">#REF!</definedName>
    <definedName name="PM_ScreedVibrator_59">#REF!</definedName>
    <definedName name="PM_ScreedVibrator_61">#REF!</definedName>
    <definedName name="PM_ThreeWheeled_80_100kN_StaticRoller" localSheetId="37">'[172]Plant &amp;  Machinery'!$G$34</definedName>
    <definedName name="PM_ThreeWheeled_80_100kN_StaticRoller">'[173]Plant &amp;  Machinery'!$G$34</definedName>
    <definedName name="PM_ThreeWheeled_80_100kN_StaticRoller_55" localSheetId="28">#REF!</definedName>
    <definedName name="PM_Tipper_55" localSheetId="37">'[172]Plant &amp;  Machinery'!$G$45</definedName>
    <definedName name="PM_Tipper_55">'[173]Plant &amp;  Machinery'!$G$45</definedName>
    <definedName name="PM_Tipper_55_55" localSheetId="28">#REF!</definedName>
    <definedName name="PM_Tractor_DiscHarrows" localSheetId="37">[175]Sheet3!$G$46</definedName>
    <definedName name="PM_Tractor_DiscHarrows">'[173]Plant &amp;  Machinery'!$G$46</definedName>
    <definedName name="PM_Tractor_DiscHarrows_32" localSheetId="28">#REF!</definedName>
    <definedName name="PM_Tractor_DiscHarrows_33">#REF!</definedName>
    <definedName name="PM_Tractor_DiscHarrows_34">#REF!</definedName>
    <definedName name="PM_Tractor_DiscHarrows_43">#REF!</definedName>
    <definedName name="PM_Tractor_DiscHarrows_56">#REF!</definedName>
    <definedName name="PM_Tractor_DiscHarrows_59">#REF!</definedName>
    <definedName name="PM_Tractor_DiscHarrows_61">#REF!</definedName>
    <definedName name="PM_Tractor_Ripper" localSheetId="37">[175]Sheet3!$G$47</definedName>
    <definedName name="PM_Tractor_Ripper">'[173]Plant &amp;  Machinery'!$G$47</definedName>
    <definedName name="PM_Tractor_Ripper_32" localSheetId="28">#REF!</definedName>
    <definedName name="PM_Tractor_Ripper_33">#REF!</definedName>
    <definedName name="PM_Tractor_Ripper_34">#REF!</definedName>
    <definedName name="PM_Tractor_Ripper_43">#REF!</definedName>
    <definedName name="PM_Tractor_Ripper_56">#REF!</definedName>
    <definedName name="PM_Tractor_Ripper_59">#REF!</definedName>
    <definedName name="PM_Tractor_Ripper_61">#REF!</definedName>
    <definedName name="PM_Tractor_Rotavator" localSheetId="37">[175]Sheet3!$G$49</definedName>
    <definedName name="PM_Tractor_Rotavator">'[173]Plant &amp;  Machinery'!$G$49</definedName>
    <definedName name="PM_Tractor_Rotavator_32" localSheetId="28">#REF!</definedName>
    <definedName name="PM_Tractor_Rotavator_33">#REF!</definedName>
    <definedName name="PM_Tractor_Rotavator_34">#REF!</definedName>
    <definedName name="PM_Tractor_Rotavator_43">#REF!</definedName>
    <definedName name="PM_Tractor_Rotavator_56">#REF!</definedName>
    <definedName name="PM_Tractor_Rotavator_59">#REF!</definedName>
    <definedName name="PM_Tractor_Rotavator_61">#REF!</definedName>
    <definedName name="PM_Tractor_Trolley" localSheetId="37">'[156]Plant &amp;  Machinery'!$G$48</definedName>
    <definedName name="PM_Tractor_Trolley">'[173]Plant &amp;  Machinery'!$G$48</definedName>
    <definedName name="PM_Tractor_Trolley_32" localSheetId="28">#REF!</definedName>
    <definedName name="PM_Tractor_Trolley_33">#REF!</definedName>
    <definedName name="PM_Tractor_Trolley_34">#REF!</definedName>
    <definedName name="PM_Tractor_Trolley_43">#REF!</definedName>
    <definedName name="PM_Tractor_Trolley_56">#REF!</definedName>
    <definedName name="PM_Tractor_Trolley_59">#REF!</definedName>
    <definedName name="PM_Tractor_Trolley_61">#REF!</definedName>
    <definedName name="PM_Truck" localSheetId="37">'[176]Plant &amp;  Machinery'!$G$50</definedName>
    <definedName name="PM_Truck">'[177]Plant &amp;  Machinery'!$G$50</definedName>
    <definedName name="PM_Truck_32" localSheetId="28">#REF!</definedName>
    <definedName name="PM_Truck_33">#REF!</definedName>
    <definedName name="PM_Truck_34">#REF!</definedName>
    <definedName name="PM_Truck_43">#REF!</definedName>
    <definedName name="PM_Truck_56">#REF!</definedName>
    <definedName name="PM_Truck_59">#REF!</definedName>
    <definedName name="PM_Truck_61">#REF!</definedName>
    <definedName name="PM_VibratoryRoller_80_100kN" localSheetId="37">'[187]Plant &amp;  Machinery'!$G$51</definedName>
    <definedName name="PM_VibratoryRoller_80_100kN">'[173]Plant &amp;  Machinery'!$G$51</definedName>
    <definedName name="PM_VibratoryRoller_80_100kN_32" localSheetId="28">#REF!</definedName>
    <definedName name="PM_VibratoryRoller_80_100kN_33">#REF!</definedName>
    <definedName name="PM_VibratoryRoller_80_100kN_34">#REF!</definedName>
    <definedName name="PM_VibratoryRoller_80_100kN_43">#REF!</definedName>
    <definedName name="PM_VibratoryRoller_80_100kN_55">#REF!</definedName>
    <definedName name="PM_VibratoryRoller_80_100kN_56">#REF!</definedName>
    <definedName name="PM_VibratoryRoller_80_100kN_59">#REF!</definedName>
    <definedName name="PM_VibratoryRoller_80_100kN_61">#REF!</definedName>
    <definedName name="PM_WaterTanker_6kl" localSheetId="37">'[156]Plant &amp;  Machinery'!$G$53</definedName>
    <definedName name="PM_WaterTanker_6kl">'[173]Plant &amp;  Machinery'!$G$53</definedName>
    <definedName name="PM_WaterTanker_6kl_32" localSheetId="28">#REF!</definedName>
    <definedName name="PM_WaterTanker_6kl_33">#REF!</definedName>
    <definedName name="PM_WaterTanker_6kl_34">#REF!</definedName>
    <definedName name="PM_WaterTanker_6kl_43">#REF!</definedName>
    <definedName name="PM_WaterTanker_6kl_55">#REF!</definedName>
    <definedName name="PM_WaterTanker_6kl_56">#REF!</definedName>
    <definedName name="PM_WaterTanker_6kl_59">#REF!</definedName>
    <definedName name="PM_WaterTanker_6kl_61">#REF!</definedName>
    <definedName name="PM_WetMixPlant_or_PugMill" localSheetId="37">[175]Sheet3!$G$54</definedName>
    <definedName name="PM_WetMixPlant_or_PugMill">'[173]Plant &amp;  Machinery'!$G$54</definedName>
    <definedName name="PM_WetMixPlant_or_PugMill_32" localSheetId="28">#REF!</definedName>
    <definedName name="PM_WetMixPlant_or_PugMill_33">#REF!</definedName>
    <definedName name="PM_WetMixPlant_or_PugMill_34">#REF!</definedName>
    <definedName name="PM_WetMixPlant_or_PugMill_43">#REF!</definedName>
    <definedName name="PM_WetMixPlant_or_PugMill_56">#REF!</definedName>
    <definedName name="PM_WetMixPlant_or_PugMill_59">#REF!</definedName>
    <definedName name="PM_WetMixPlant_or_PugMill_61">#REF!</definedName>
    <definedName name="PMS" localSheetId="8">#REF!</definedName>
    <definedName name="PMS" localSheetId="10">#REF!</definedName>
    <definedName name="PMS" localSheetId="28">#REF!</definedName>
    <definedName name="PMS">#REF!</definedName>
    <definedName name="po">[119]Material!$D$111</definedName>
    <definedName name="poi">[119]Material!$D$113</definedName>
    <definedName name="POIN" localSheetId="37">[55]DATA!$H$182</definedName>
    <definedName name="POIN">[56]DATA!$H$182</definedName>
    <definedName name="pop" localSheetId="8">#REF!</definedName>
    <definedName name="pop" localSheetId="10">#REF!</definedName>
    <definedName name="pop" localSheetId="11">#REF!</definedName>
    <definedName name="pop" localSheetId="28">#REF!</definedName>
    <definedName name="pop">#REF!</definedName>
    <definedName name="portico__bottom__steps" localSheetId="8">#REF!,#REF!,#REF!,#REF!,#REF!,#REF!,#REF!,#REF!,#REF!,#REF!,#REF!,#REF!,#REF!,#REF!,#REF!,#REF!,#REF!,#REF!,#REF!,#REF!,#REF!</definedName>
    <definedName name="portico__bottom__steps" localSheetId="10">#REF!,#REF!,#REF!,#REF!,#REF!,#REF!,#REF!,#REF!,#REF!,#REF!,#REF!,#REF!,#REF!,#REF!,#REF!,#REF!,#REF!,#REF!,#REF!,#REF!,#REF!</definedName>
    <definedName name="portico__bottom__steps" localSheetId="28">#REF!,#REF!,#REF!,#REF!,#REF!,#REF!,#REF!,#REF!,#REF!,#REF!,#REF!,#REF!,#REF!,#REF!,#REF!,#REF!,#REF!,#REF!,#REF!,#REF!,#REF!</definedName>
    <definedName name="portico__bottom__steps">#REF!,#REF!,#REF!,#REF!,#REF!,#REF!,#REF!,#REF!,#REF!,#REF!,#REF!,#REF!,#REF!,#REF!,#REF!,#REF!,#REF!,#REF!,#REF!,#REF!,#REF!</definedName>
    <definedName name="pp" localSheetId="14" hidden="1">{"'ridftotal'!$A$4:$S$27"}</definedName>
    <definedName name="pp" localSheetId="11">#REF!</definedName>
    <definedName name="pp" localSheetId="28" hidden="1">{"'ridftotal'!$A$4:$S$27"}</definedName>
    <definedName name="pp" localSheetId="42" hidden="1">{"'ridftotal'!$A$4:$S$27"}</definedName>
    <definedName name="pp" hidden="1">{"'ridftotal'!$A$4:$S$27"}</definedName>
    <definedName name="pppp" localSheetId="28">#REF!</definedName>
    <definedName name="PR_Habcode_16_Dig" localSheetId="35">#REF!</definedName>
    <definedName name="PR_Habcode_16_Dig" localSheetId="5">#REF!</definedName>
    <definedName name="PR_Habcode_16_Dig" localSheetId="8">#REF!</definedName>
    <definedName name="PR_Habcode_16_Dig" localSheetId="10">#REF!</definedName>
    <definedName name="PR_Habcode_16_Dig" localSheetId="11">#REF!</definedName>
    <definedName name="PR_Habcode_16_Dig" localSheetId="28">#REF!</definedName>
    <definedName name="PR_Habcode_16_Dig" localSheetId="42">#REF!</definedName>
    <definedName name="PR_Habcode_16_Dig" localSheetId="31">#REF!</definedName>
    <definedName name="PR_Habcode_16_Dig">#REF!</definedName>
    <definedName name="prakashrao">#REF!</definedName>
    <definedName name="prasad" localSheetId="37">[118]Data!#REF!</definedName>
    <definedName name="prasad">[118]Data!#REF!</definedName>
    <definedName name="prb" localSheetId="8">#REF!</definedName>
    <definedName name="prb" localSheetId="10">#REF!</definedName>
    <definedName name="prb" localSheetId="11">#REF!</definedName>
    <definedName name="prb" localSheetId="28">#REF!</definedName>
    <definedName name="prb">#REF!</definedName>
    <definedName name="PRC" localSheetId="35">#REF!</definedName>
    <definedName name="PRC" localSheetId="5">#REF!</definedName>
    <definedName name="PRC" localSheetId="8">#REF!</definedName>
    <definedName name="PRC" localSheetId="10">#REF!</definedName>
    <definedName name="PRC" localSheetId="11">#REF!</definedName>
    <definedName name="PRC" localSheetId="28">#REF!</definedName>
    <definedName name="PRC" localSheetId="42">#REF!</definedName>
    <definedName name="PRC" localSheetId="31">#REF!</definedName>
    <definedName name="PRC">#REF!</definedName>
    <definedName name="_xlnm.Print_Area" localSheetId="26">'2V 1m dia Pipe Culverts'!$A$1:$L$48</definedName>
    <definedName name="_xlnm.Print_Area" localSheetId="33">#REF!</definedName>
    <definedName name="_xlnm.Print_Area" localSheetId="34">'Bri estim'!$A$1:$J$154</definedName>
    <definedName name="_xlnm.Print_Area" localSheetId="35">'Bri estimate Final'!$A$1:$L$113</definedName>
    <definedName name="_xlnm.Print_Area" localSheetId="36">'Bridge Data'!$A$1:$J$682</definedName>
    <definedName name="_xlnm.Print_Area" localSheetId="16">Cover!$A$1:$T$32</definedName>
    <definedName name="_xlnm.Print_Area" localSheetId="5">#REF!</definedName>
    <definedName name="_xlnm.Print_Area" localSheetId="14">#REF!</definedName>
    <definedName name="_xlnm.Print_Area" localSheetId="13">'ESAL-result'!$A$1:$L$36</definedName>
    <definedName name="_xlnm.Print_Area" localSheetId="30">'Extension Pipe Culvert'!$A$1:$K$55</definedName>
    <definedName name="_xlnm.Print_Area" localSheetId="7">GA!$A$1:$E$37</definedName>
    <definedName name="_xlnm.Print_Area" localSheetId="4">'Input Data'!$A$1:$N$27</definedName>
    <definedName name="_xlnm.Print_Area" localSheetId="8">#REF!</definedName>
    <definedName name="_xlnm.Print_Area" localSheetId="10">'Key Map'!$A$1:$K$44</definedName>
    <definedName name="_xlnm.Print_Area" localSheetId="40">lead!$A$1:$J$67</definedName>
    <definedName name="_xlnm.Print_Area" localSheetId="11">LS_2LS!$A$1:$AD$37</definedName>
    <definedName name="_xlnm.Print_Area" localSheetId="22">'MTS Esti'!$A$1:$S$80</definedName>
    <definedName name="_xlnm.Print_Area" localSheetId="6">'Note File'!$A$1:$J$198</definedName>
    <definedName name="_xlnm.Print_Area" localSheetId="48">'NP4 pipes'!$A$1:$M$34</definedName>
    <definedName name="_xlnm.Print_Area" localSheetId="37">'Road Approaches Estimate'!$A$1:$L$151</definedName>
    <definedName name="_xlnm.Print_Area" localSheetId="39">'Road data'!$A$1:$G$990</definedName>
    <definedName name="_xlnm.Print_Area" localSheetId="20">'Road Estimate'!$A$1:$L$99</definedName>
    <definedName name="_xlnm.Print_Area" localSheetId="46">'Road Furniture-Data'!$A$1:$H$361</definedName>
    <definedName name="_xlnm.Print_Area" localSheetId="38">'Road-furniture '!$A$1:$G$30</definedName>
    <definedName name="_xlnm.Print_Area" localSheetId="44">'Road-Marks'!$A$1:$G$32</definedName>
    <definedName name="_xlnm.Print_Area" localSheetId="28">'RSI-Estt'!$A$1:$L$37</definedName>
    <definedName name="_xlnm.Print_Area" localSheetId="18">'Schedule-A'!$A$1:$H$59</definedName>
    <definedName name="_xlnm.Print_Area" localSheetId="19">'Schedule-A (Part-B)'!$A$1:$G$18</definedName>
    <definedName name="_xlnm.Print_Area" localSheetId="9">SPR!$A$1:$W$56</definedName>
    <definedName name="_xlnm.Print_Area" localSheetId="47">'SSR-rates'!$A$1:$Q$121</definedName>
    <definedName name="_xlnm.Print_Area" localSheetId="45">'TENDER-NF'!$A$13:$J$144</definedName>
    <definedName name="_xlnm.Print_Area" localSheetId="12">'TRAFF-Count-ESAL-Cal'!$A$1:$M$35</definedName>
    <definedName name="_xlnm.Print_Area" localSheetId="2">'VUP Data'!$A$1:$J$839</definedName>
    <definedName name="_xlnm.Print_Area">#REF!</definedName>
    <definedName name="Print_Area_MI" localSheetId="33">#REF!</definedName>
    <definedName name="Print_Area_MI" localSheetId="34">#REF!</definedName>
    <definedName name="Print_Area_MI" localSheetId="5">#REF!</definedName>
    <definedName name="Print_Area_MI" localSheetId="8">#REF!</definedName>
    <definedName name="Print_Area_MI" localSheetId="10">#REF!</definedName>
    <definedName name="Print_Area_MI" localSheetId="37">#REF!</definedName>
    <definedName name="Print_Area_MI" localSheetId="28">#REF!</definedName>
    <definedName name="Print_Area_MI" localSheetId="42">#REF!</definedName>
    <definedName name="Print_Area_MI">#REF!</definedName>
    <definedName name="Print_Area_MI_10" localSheetId="33">#REF!</definedName>
    <definedName name="Print_Area_MI_10" localSheetId="34">#REF!</definedName>
    <definedName name="Print_Area_MI_10" localSheetId="5">#REF!</definedName>
    <definedName name="Print_Area_MI_10" localSheetId="8">#REF!</definedName>
    <definedName name="Print_Area_MI_10" localSheetId="10">#REF!</definedName>
    <definedName name="Print_Area_MI_10" localSheetId="28">#REF!</definedName>
    <definedName name="Print_Area_MI_10" localSheetId="42">#REF!</definedName>
    <definedName name="Print_Area_MI_10">#REF!</definedName>
    <definedName name="Print_Area_MI_12" localSheetId="33">#REF!</definedName>
    <definedName name="Print_Area_MI_12" localSheetId="34">#REF!</definedName>
    <definedName name="Print_Area_MI_12" localSheetId="5">#REF!</definedName>
    <definedName name="Print_Area_MI_12" localSheetId="8">#REF!</definedName>
    <definedName name="Print_Area_MI_12" localSheetId="10">#REF!</definedName>
    <definedName name="Print_Area_MI_12" localSheetId="28">#REF!</definedName>
    <definedName name="Print_Area_MI_12" localSheetId="42">#REF!</definedName>
    <definedName name="Print_Area_MI_12">#REF!</definedName>
    <definedName name="Print_Area_MI_3" localSheetId="33">#REF!</definedName>
    <definedName name="Print_Area_MI_3" localSheetId="34">#REF!</definedName>
    <definedName name="Print_Area_MI_3" localSheetId="5">#REF!</definedName>
    <definedName name="Print_Area_MI_3" localSheetId="8">#REF!</definedName>
    <definedName name="Print_Area_MI_3" localSheetId="10">#REF!</definedName>
    <definedName name="Print_Area_MI_3" localSheetId="28">#REF!</definedName>
    <definedName name="Print_Area_MI_3" localSheetId="42">#REF!</definedName>
    <definedName name="Print_Area_MI_3">#REF!</definedName>
    <definedName name="Print_Area_MI_6" localSheetId="33">#REF!</definedName>
    <definedName name="Print_Area_MI_6" localSheetId="34">#REF!</definedName>
    <definedName name="Print_Area_MI_6" localSheetId="5">#REF!</definedName>
    <definedName name="Print_Area_MI_6" localSheetId="8">#REF!</definedName>
    <definedName name="Print_Area_MI_6" localSheetId="10">#REF!</definedName>
    <definedName name="Print_Area_MI_6" localSheetId="28">#REF!</definedName>
    <definedName name="Print_Area_MI_6" localSheetId="42">#REF!</definedName>
    <definedName name="Print_Area_MI_6">#REF!</definedName>
    <definedName name="Print_Area_MI_7" localSheetId="33">#REF!</definedName>
    <definedName name="Print_Area_MI_7" localSheetId="34">#REF!</definedName>
    <definedName name="Print_Area_MI_7" localSheetId="5">#REF!</definedName>
    <definedName name="Print_Area_MI_7" localSheetId="8">#REF!</definedName>
    <definedName name="Print_Area_MI_7" localSheetId="10">#REF!</definedName>
    <definedName name="Print_Area_MI_7" localSheetId="28">#REF!</definedName>
    <definedName name="Print_Area_MI_7" localSheetId="42">#REF!</definedName>
    <definedName name="Print_Area_MI_7">#REF!</definedName>
    <definedName name="Print_Area_MI_9" localSheetId="33">#REF!</definedName>
    <definedName name="Print_Area_MI_9" localSheetId="34">#REF!</definedName>
    <definedName name="Print_Area_MI_9" localSheetId="5">#REF!</definedName>
    <definedName name="Print_Area_MI_9" localSheetId="8">#REF!</definedName>
    <definedName name="Print_Area_MI_9" localSheetId="10">#REF!</definedName>
    <definedName name="Print_Area_MI_9" localSheetId="28">#REF!</definedName>
    <definedName name="Print_Area_MI_9" localSheetId="42">#REF!</definedName>
    <definedName name="Print_Area_MI_9">#REF!</definedName>
    <definedName name="_xlnm.Print_Titles" localSheetId="25">'1V 1m dia Pipe Culverts'!$4:$5</definedName>
    <definedName name="_xlnm.Print_Titles" localSheetId="26">'2V 1m dia Pipe Culverts'!$4:$5</definedName>
    <definedName name="_xlnm.Print_Titles" localSheetId="33">'Bri Abst'!$3:$4</definedName>
    <definedName name="_xlnm.Print_Titles" localSheetId="34">'Bri estim'!$3:$4</definedName>
    <definedName name="_xlnm.Print_Titles" localSheetId="35">'Bri estimate Final'!$4:$5</definedName>
    <definedName name="_xlnm.Print_Titles" localSheetId="36">'Bridge Data'!$3:$3</definedName>
    <definedName name="_xlnm.Print_Titles" localSheetId="29">'Drain '!$4:$5</definedName>
    <definedName name="_xlnm.Print_Titles" localSheetId="11">#REF!</definedName>
    <definedName name="_xlnm.Print_Titles" localSheetId="24">'Mtc-data'!$3:$4</definedName>
    <definedName name="_xlnm.Print_Titles" localSheetId="41">'Pipe data'!$3:$3</definedName>
    <definedName name="_xlnm.Print_Titles" localSheetId="43">'Ret wall'!$4:$5</definedName>
    <definedName name="_xlnm.Print_Titles" localSheetId="37">#N/A</definedName>
    <definedName name="_xlnm.Print_Titles" localSheetId="27">'Road dam 30m'!$4:$5</definedName>
    <definedName name="_xlnm.Print_Titles" localSheetId="39">'Road data'!$4:$4</definedName>
    <definedName name="_xlnm.Print_Titles" localSheetId="20">'Road Estimate'!$3:$4</definedName>
    <definedName name="_xlnm.Print_Titles" localSheetId="46">'Road Furniture-Data'!$3:$4</definedName>
    <definedName name="_xlnm.Print_Titles" localSheetId="18">'Schedule-A'!$10:$10</definedName>
    <definedName name="_xlnm.Print_Titles" localSheetId="32">'Slab Culvert 1V 5m x 2m span'!$4:$5</definedName>
    <definedName name="_xlnm.Print_Titles" localSheetId="31">'Slab Culvert 1V 6m x 2m spa'!$4:$5</definedName>
    <definedName name="_xlnm.Print_Titles" localSheetId="2">'VUP Data'!$4:$4</definedName>
    <definedName name="_xlnm.Print_Titles">#N/A</definedName>
    <definedName name="proBS" localSheetId="8">#REF!</definedName>
    <definedName name="proBS" localSheetId="10">#REF!</definedName>
    <definedName name="proBS" localSheetId="11">#REF!</definedName>
    <definedName name="proBS" localSheetId="28">#REF!</definedName>
    <definedName name="proBS">#REF!</definedName>
    <definedName name="ProdForm" localSheetId="35" hidden="1">#REF!</definedName>
    <definedName name="ProdForm" localSheetId="5" hidden="1">#REF!</definedName>
    <definedName name="ProdForm" localSheetId="29" hidden="1">#REF!</definedName>
    <definedName name="ProdForm" localSheetId="8" hidden="1">#REF!</definedName>
    <definedName name="ProdForm" localSheetId="10" hidden="1">#REF!</definedName>
    <definedName name="ProdForm" localSheetId="11" hidden="1">#REF!</definedName>
    <definedName name="ProdForm" localSheetId="43" hidden="1">#REF!</definedName>
    <definedName name="ProdForm" localSheetId="27" hidden="1">#REF!</definedName>
    <definedName name="ProdForm" localSheetId="46" hidden="1">#REF!</definedName>
    <definedName name="ProdForm" localSheetId="28" hidden="1">#REF!</definedName>
    <definedName name="ProdForm" localSheetId="19" hidden="1">#REF!</definedName>
    <definedName name="ProdForm" localSheetId="42" hidden="1">#REF!</definedName>
    <definedName name="ProdForm" localSheetId="32" hidden="1">#REF!</definedName>
    <definedName name="ProdForm" localSheetId="31" hidden="1">#REF!</definedName>
    <definedName name="ProdForm" localSheetId="9" hidden="1">#REF!</definedName>
    <definedName name="ProdForm" localSheetId="3" hidden="1">#REF!</definedName>
    <definedName name="ProdForm" hidden="1">#REF!</definedName>
    <definedName name="product" localSheetId="35">#REF!</definedName>
    <definedName name="product" localSheetId="5">#REF!</definedName>
    <definedName name="product" localSheetId="8">#REF!</definedName>
    <definedName name="product" localSheetId="10">#REF!</definedName>
    <definedName name="product" localSheetId="11">#REF!</definedName>
    <definedName name="product" localSheetId="28">#REF!</definedName>
    <definedName name="product" localSheetId="42">#REF!</definedName>
    <definedName name="product" localSheetId="31">#REF!</definedName>
    <definedName name="product">#REF!</definedName>
    <definedName name="prsrhds">[212]t_prsr!$A$3:$H$60</definedName>
    <definedName name="ps" localSheetId="8">#REF!</definedName>
    <definedName name="ps" localSheetId="10">#REF!</definedName>
    <definedName name="ps" localSheetId="11">#REF!</definedName>
    <definedName name="ps" localSheetId="28">#REF!</definedName>
    <definedName name="ps">#REF!</definedName>
    <definedName name="pss" localSheetId="8">#REF!</definedName>
    <definedName name="pss" localSheetId="10">#REF!</definedName>
    <definedName name="pss" localSheetId="28">#REF!</definedName>
    <definedName name="pss" localSheetId="42">#REF!</definedName>
    <definedName name="pss">#REF!</definedName>
    <definedName name="psw" localSheetId="8">#REF!</definedName>
    <definedName name="psw" localSheetId="10">#REF!</definedName>
    <definedName name="psw" localSheetId="11">#REF!</definedName>
    <definedName name="psw" localSheetId="28">#REF!</definedName>
    <definedName name="psw">#REF!</definedName>
    <definedName name="pui" localSheetId="8">#REF!</definedName>
    <definedName name="pui" localSheetId="10">#REF!</definedName>
    <definedName name="pui" localSheetId="11">#REF!</definedName>
    <definedName name="pui" localSheetId="28">#REF!</definedName>
    <definedName name="pui">#REF!</definedName>
    <definedName name="Pump">#REF!</definedName>
    <definedName name="pumpset" localSheetId="33">#REF!</definedName>
    <definedName name="pumpset" localSheetId="34">#REF!</definedName>
    <definedName name="pumpset" localSheetId="5">#REF!</definedName>
    <definedName name="pumpset" localSheetId="8">#REF!</definedName>
    <definedName name="pumpset" localSheetId="10">#REF!</definedName>
    <definedName name="pumpset" localSheetId="37">#REF!</definedName>
    <definedName name="pumpset" localSheetId="28">#REF!</definedName>
    <definedName name="pumpset" localSheetId="42">#REF!</definedName>
    <definedName name="pumpset">#REF!</definedName>
    <definedName name="pvc">[213]detls!$A$26:$O$38</definedName>
    <definedName name="pvc_bends" localSheetId="8">#REF!</definedName>
    <definedName name="pvc_bends" localSheetId="10">#REF!</definedName>
    <definedName name="pvc_bends" localSheetId="11">#REF!</definedName>
    <definedName name="pvc_bends" localSheetId="28">#REF!</definedName>
    <definedName name="pvc_bends">#REF!</definedName>
    <definedName name="pvc_clamps" localSheetId="8">#REF!</definedName>
    <definedName name="pvc_clamps" localSheetId="10">#REF!</definedName>
    <definedName name="pvc_clamps" localSheetId="11">#REF!</definedName>
    <definedName name="pvc_clamps" localSheetId="28">#REF!</definedName>
    <definedName name="pvc_clamps">#REF!</definedName>
    <definedName name="pvc_collar" localSheetId="8">#REF!</definedName>
    <definedName name="pvc_collar" localSheetId="10">#REF!</definedName>
    <definedName name="pvc_collar" localSheetId="11">#REF!</definedName>
    <definedName name="pvc_collar" localSheetId="28">#REF!</definedName>
    <definedName name="pvc_collar">#REF!</definedName>
    <definedName name="pvc_pipes_110" localSheetId="8">#REF!</definedName>
    <definedName name="pvc_pipes_110" localSheetId="10">#REF!</definedName>
    <definedName name="pvc_pipes_110" localSheetId="11">#REF!</definedName>
    <definedName name="pvc_pipes_110" localSheetId="28">#REF!</definedName>
    <definedName name="pvc_pipes_110">#REF!</definedName>
    <definedName name="pvc_specials" localSheetId="33">#REF!</definedName>
    <definedName name="pvc_specials" localSheetId="34">#REF!</definedName>
    <definedName name="pvc_specials" localSheetId="5">#REF!</definedName>
    <definedName name="pvc_specials" localSheetId="8">#REF!</definedName>
    <definedName name="pvc_specials" localSheetId="10">#REF!</definedName>
    <definedName name="pvc_specials" localSheetId="37">#REF!</definedName>
    <definedName name="pvc_specials" localSheetId="28">#REF!</definedName>
    <definedName name="pvc_specials" localSheetId="42">#REF!</definedName>
    <definedName name="pvc_specials">#REF!</definedName>
    <definedName name="pvcALL" localSheetId="33">#REF!</definedName>
    <definedName name="pvcALL" localSheetId="34">#REF!</definedName>
    <definedName name="pvcALL" localSheetId="5">#REF!</definedName>
    <definedName name="pvcALL" localSheetId="8">#REF!</definedName>
    <definedName name="pvcALL" localSheetId="10">#REF!</definedName>
    <definedName name="pvcALL" localSheetId="37">#REF!</definedName>
    <definedName name="pvcALL" localSheetId="28">#REF!</definedName>
    <definedName name="pvcALL" localSheetId="42">#REF!</definedName>
    <definedName name="pvcALL">#REF!</definedName>
    <definedName name="pvcBend" localSheetId="33">#REF!</definedName>
    <definedName name="pvcBend" localSheetId="34">#REF!</definedName>
    <definedName name="pvcBend" localSheetId="5">#REF!</definedName>
    <definedName name="pvcBend" localSheetId="8">#REF!</definedName>
    <definedName name="pvcBend" localSheetId="10">#REF!</definedName>
    <definedName name="pvcBend" localSheetId="28">#REF!</definedName>
    <definedName name="pvcBend" localSheetId="42">#REF!</definedName>
    <definedName name="pvcBend">#REF!</definedName>
    <definedName name="pvcCoupling" localSheetId="33">#REF!</definedName>
    <definedName name="pvcCoupling" localSheetId="34">#REF!</definedName>
    <definedName name="pvcCoupling" localSheetId="5">#REF!</definedName>
    <definedName name="pvcCoupling" localSheetId="8">#REF!</definedName>
    <definedName name="pvcCoupling" localSheetId="10">#REF!</definedName>
    <definedName name="pvcCoupling" localSheetId="28">#REF!</definedName>
    <definedName name="pvcCoupling" localSheetId="42">#REF!</definedName>
    <definedName name="pvcCoupling">#REF!</definedName>
    <definedName name="pvcDummy" localSheetId="33">#REF!</definedName>
    <definedName name="pvcDummy" localSheetId="34">#REF!</definedName>
    <definedName name="pvcDummy" localSheetId="5">#REF!</definedName>
    <definedName name="pvcDummy" localSheetId="8">#REF!</definedName>
    <definedName name="pvcDummy" localSheetId="10">#REF!</definedName>
    <definedName name="pvcDummy" localSheetId="28">#REF!</definedName>
    <definedName name="pvcDummy" localSheetId="42">#REF!</definedName>
    <definedName name="pvcDummy">#REF!</definedName>
    <definedName name="pvcElbow" localSheetId="33">#REF!</definedName>
    <definedName name="pvcElbow" localSheetId="34">#REF!</definedName>
    <definedName name="pvcElbow" localSheetId="5">#REF!</definedName>
    <definedName name="pvcElbow" localSheetId="8">#REF!</definedName>
    <definedName name="pvcElbow" localSheetId="10">#REF!</definedName>
    <definedName name="pvcElbow" localSheetId="28">#REF!</definedName>
    <definedName name="pvcElbow" localSheetId="42">#REF!</definedName>
    <definedName name="pvcElbow">#REF!</definedName>
    <definedName name="pvcFTA" localSheetId="33">#REF!</definedName>
    <definedName name="pvcFTA" localSheetId="34">#REF!</definedName>
    <definedName name="pvcFTA" localSheetId="5">#REF!</definedName>
    <definedName name="pvcFTA" localSheetId="8">#REF!</definedName>
    <definedName name="pvcFTA" localSheetId="10">#REF!</definedName>
    <definedName name="pvcFTA" localSheetId="28">#REF!</definedName>
    <definedName name="pvcFTA" localSheetId="42">#REF!</definedName>
    <definedName name="pvcFTA">#REF!</definedName>
    <definedName name="pvcMTA" localSheetId="33">#REF!</definedName>
    <definedName name="pvcMTA" localSheetId="34">#REF!</definedName>
    <definedName name="pvcMTA" localSheetId="5">#REF!</definedName>
    <definedName name="pvcMTA" localSheetId="8">#REF!</definedName>
    <definedName name="pvcMTA" localSheetId="10">#REF!</definedName>
    <definedName name="pvcMTA" localSheetId="28">#REF!</definedName>
    <definedName name="pvcMTA" localSheetId="42">#REF!</definedName>
    <definedName name="pvcMTA">#REF!</definedName>
    <definedName name="PVCreducedTee" localSheetId="33">#REF!</definedName>
    <definedName name="PVCreducedTee" localSheetId="34">#REF!</definedName>
    <definedName name="PVCreducedTee" localSheetId="5">#REF!</definedName>
    <definedName name="PVCreducedTee" localSheetId="8">#REF!</definedName>
    <definedName name="PVCreducedTee" localSheetId="10">#REF!</definedName>
    <definedName name="PVCreducedTee" localSheetId="28">#REF!</definedName>
    <definedName name="PVCreducedTee" localSheetId="42">#REF!</definedName>
    <definedName name="PVCreducedTee">#REF!</definedName>
    <definedName name="pvcsaddle">[94]Sheet1!$B$98:$B$102</definedName>
    <definedName name="pvcSpecials" localSheetId="33">#REF!</definedName>
    <definedName name="pvcSpecials" localSheetId="34">#REF!</definedName>
    <definedName name="pvcSpecials" localSheetId="5">#REF!</definedName>
    <definedName name="pvcSpecials" localSheetId="8">#REF!</definedName>
    <definedName name="pvcSpecials" localSheetId="10">#REF!</definedName>
    <definedName name="pvcSpecials" localSheetId="37">#REF!</definedName>
    <definedName name="pvcSpecials" localSheetId="28">#REF!</definedName>
    <definedName name="pvcSpecials" localSheetId="42">#REF!</definedName>
    <definedName name="pvcSpecials">#REF!</definedName>
    <definedName name="pvcTee" localSheetId="33">#REF!</definedName>
    <definedName name="pvcTee" localSheetId="34">#REF!</definedName>
    <definedName name="pvcTee" localSheetId="5">#REF!</definedName>
    <definedName name="pvcTee" localSheetId="8">#REF!</definedName>
    <definedName name="pvcTee" localSheetId="10">#REF!</definedName>
    <definedName name="pvcTee" localSheetId="37">#REF!</definedName>
    <definedName name="pvcTee" localSheetId="28">#REF!</definedName>
    <definedName name="pvcTee" localSheetId="42">#REF!</definedName>
    <definedName name="pvcTee">#REF!</definedName>
    <definedName name="pvcwts">'[162]PVC weights'!$B$1:$F$40</definedName>
    <definedName name="pvijay" localSheetId="28">#REF!</definedName>
    <definedName name="pwb">[97]Intro!$L$66</definedName>
    <definedName name="pwt">[97]Intro!$L$62</definedName>
    <definedName name="Q" localSheetId="14" hidden="1">{"'ridftotal'!$A$4:$S$27"}</definedName>
    <definedName name="q" localSheetId="11">#REF!</definedName>
    <definedName name="q" localSheetId="37">[90]Intput!$L$110</definedName>
    <definedName name="Q" localSheetId="46" hidden="1">{"'ridftotal'!$A$4:$S$27"}</definedName>
    <definedName name="Q" localSheetId="28" hidden="1">{"'ridftotal'!$A$4:$S$27"}</definedName>
    <definedName name="Q" localSheetId="19" hidden="1">{"'ridftotal'!$A$4:$S$27"}</definedName>
    <definedName name="Q" localSheetId="42" hidden="1">{"'ridftotal'!$A$4:$S$27"}</definedName>
    <definedName name="Q" localSheetId="9" hidden="1">{"'ridftotal'!$A$4:$S$27"}</definedName>
    <definedName name="Q" localSheetId="3" hidden="1">{"'ridftotal'!$A$4:$S$27"}</definedName>
    <definedName name="Q" hidden="1">{"'ridftotal'!$A$4:$S$27"}</definedName>
    <definedName name="Q_CD_EW" localSheetId="35">#REF!</definedName>
    <definedName name="Q_CD_EW" localSheetId="5">#REF!</definedName>
    <definedName name="Q_CD_EW" localSheetId="8">#REF!</definedName>
    <definedName name="Q_CD_EW" localSheetId="10">#REF!</definedName>
    <definedName name="Q_CD_EW" localSheetId="11">#REF!</definedName>
    <definedName name="Q_CD_EW" localSheetId="28">#REF!</definedName>
    <definedName name="Q_CD_EW" localSheetId="42">#REF!</definedName>
    <definedName name="Q_CD_EW" localSheetId="31">#REF!</definedName>
    <definedName name="Q_CD_EW">#REF!</definedName>
    <definedName name="Q_CD_M10_BODY" localSheetId="35">#REF!</definedName>
    <definedName name="Q_CD_M10_BODY" localSheetId="5">#REF!</definedName>
    <definedName name="Q_CD_M10_BODY" localSheetId="8">#REF!</definedName>
    <definedName name="Q_CD_M10_BODY" localSheetId="10">#REF!</definedName>
    <definedName name="Q_CD_M10_BODY" localSheetId="11">#REF!</definedName>
    <definedName name="Q_CD_M10_BODY" localSheetId="28">#REF!</definedName>
    <definedName name="Q_CD_M10_BODY" localSheetId="42">#REF!</definedName>
    <definedName name="Q_CD_M10_BODY" localSheetId="31">#REF!</definedName>
    <definedName name="Q_CD_M10_BODY">#REF!</definedName>
    <definedName name="Q_CD_M10_FOUN" localSheetId="35">#REF!</definedName>
    <definedName name="Q_CD_M10_FOUN" localSheetId="5">#REF!</definedName>
    <definedName name="Q_CD_M10_FOUN" localSheetId="8">#REF!</definedName>
    <definedName name="Q_CD_M10_FOUN" localSheetId="10">#REF!</definedName>
    <definedName name="Q_CD_M10_FOUN" localSheetId="11">#REF!</definedName>
    <definedName name="Q_CD_M10_FOUN" localSheetId="28">#REF!</definedName>
    <definedName name="Q_CD_M10_FOUN" localSheetId="42">#REF!</definedName>
    <definedName name="Q_CD_M10_FOUN" localSheetId="31">#REF!</definedName>
    <definedName name="Q_CD_M10_FOUN">#REF!</definedName>
    <definedName name="Q_GRAVEL_SHOLDERS" localSheetId="35">#REF!</definedName>
    <definedName name="Q_GRAVEL_SHOLDERS" localSheetId="5">#REF!</definedName>
    <definedName name="Q_GRAVEL_SHOLDERS" localSheetId="8">#REF!</definedName>
    <definedName name="Q_GRAVEL_SHOLDERS" localSheetId="10">#REF!</definedName>
    <definedName name="Q_GRAVEL_SHOLDERS" localSheetId="11">#REF!</definedName>
    <definedName name="Q_GRAVEL_SHOLDERS" localSheetId="28">#REF!</definedName>
    <definedName name="Q_GRAVEL_SHOLDERS" localSheetId="42">#REF!</definedName>
    <definedName name="Q_GRAVEL_SHOLDERS" localSheetId="31">#REF!</definedName>
    <definedName name="Q_GRAVEL_SHOLDERS">#REF!</definedName>
    <definedName name="Q_WBM2" localSheetId="35">#REF!</definedName>
    <definedName name="Q_WBM2" localSheetId="5">#REF!</definedName>
    <definedName name="Q_WBM2" localSheetId="8">#REF!</definedName>
    <definedName name="Q_WBM2" localSheetId="10">#REF!</definedName>
    <definedName name="Q_WBM2" localSheetId="11">#REF!</definedName>
    <definedName name="Q_WBM2" localSheetId="28">#REF!</definedName>
    <definedName name="Q_WBM2" localSheetId="42">#REF!</definedName>
    <definedName name="Q_WBM2" localSheetId="31">#REF!</definedName>
    <definedName name="Q_WBM2">#REF!</definedName>
    <definedName name="Q_WBM3" localSheetId="35">#REF!</definedName>
    <definedName name="Q_WBM3" localSheetId="5">#REF!</definedName>
    <definedName name="Q_WBM3" localSheetId="8">#REF!</definedName>
    <definedName name="Q_WBM3" localSheetId="10">#REF!</definedName>
    <definedName name="Q_WBM3" localSheetId="11">#REF!</definedName>
    <definedName name="Q_WBM3" localSheetId="28">#REF!</definedName>
    <definedName name="Q_WBM3" localSheetId="42">#REF!</definedName>
    <definedName name="Q_WBM3" localSheetId="31">#REF!</definedName>
    <definedName name="Q_WBM3">#REF!</definedName>
    <definedName name="QAF" localSheetId="8">#REF!</definedName>
    <definedName name="QAF" localSheetId="10">#REF!</definedName>
    <definedName name="QAF" localSheetId="28">#REF!</definedName>
    <definedName name="QAF">#REF!</definedName>
    <definedName name="QCMFL" localSheetId="8">#REF!</definedName>
    <definedName name="QCMFL" localSheetId="10">#REF!</definedName>
    <definedName name="QCMFL" localSheetId="28">#REF!</definedName>
    <definedName name="QCMFL">#REF!</definedName>
    <definedName name="QD" localSheetId="8">#REF!</definedName>
    <definedName name="QD" localSheetId="10">#REF!</definedName>
    <definedName name="QD" localSheetId="28">#REF!</definedName>
    <definedName name="QD">#REF!</definedName>
    <definedName name="QDI" localSheetId="8">#REF!</definedName>
    <definedName name="QDI" localSheetId="10">#REF!</definedName>
    <definedName name="QDI" localSheetId="28">#REF!</definedName>
    <definedName name="QDI">#REF!</definedName>
    <definedName name="QDII" localSheetId="8">#REF!</definedName>
    <definedName name="QDII" localSheetId="10">#REF!</definedName>
    <definedName name="QDII" localSheetId="28">#REF!</definedName>
    <definedName name="QDII">#REF!</definedName>
    <definedName name="QDIII" localSheetId="8">#REF!</definedName>
    <definedName name="QDIII" localSheetId="10">#REF!</definedName>
    <definedName name="QDIII" localSheetId="28">#REF!</definedName>
    <definedName name="QDIII">#REF!</definedName>
    <definedName name="QDMW" localSheetId="8">#REF!</definedName>
    <definedName name="QDMW" localSheetId="10">#REF!</definedName>
    <definedName name="QDMW" localSheetId="28">#REF!</definedName>
    <definedName name="QDMW">#REF!</definedName>
    <definedName name="qdsdd">#REF!</definedName>
    <definedName name="QI" localSheetId="8">#REF!</definedName>
    <definedName name="QI" localSheetId="10">#REF!</definedName>
    <definedName name="QI" localSheetId="28">#REF!</definedName>
    <definedName name="QI">#REF!</definedName>
    <definedName name="QII" localSheetId="8">#REF!</definedName>
    <definedName name="QII" localSheetId="10">#REF!</definedName>
    <definedName name="QII" localSheetId="28">#REF!</definedName>
    <definedName name="QII">#REF!</definedName>
    <definedName name="QIII" localSheetId="8">#REF!</definedName>
    <definedName name="QIII" localSheetId="10">#REF!</definedName>
    <definedName name="QIII" localSheetId="28">#REF!</definedName>
    <definedName name="QIII">#REF!</definedName>
    <definedName name="QIV" localSheetId="14">#REF!</definedName>
    <definedName name="QIV" localSheetId="8">#REF!</definedName>
    <definedName name="QIV" localSheetId="10">#REF!</definedName>
    <definedName name="QIV" localSheetId="28">#REF!</definedName>
    <definedName name="QIV">#REF!</definedName>
    <definedName name="QMD" localSheetId="14">#REF!</definedName>
    <definedName name="QMD" localSheetId="8">#REF!</definedName>
    <definedName name="QMD" localSheetId="10">#REF!</definedName>
    <definedName name="QMD" localSheetId="28">#REF!</definedName>
    <definedName name="QMD">#REF!</definedName>
    <definedName name="QO" localSheetId="8">#REF!</definedName>
    <definedName name="QO" localSheetId="10">#REF!</definedName>
    <definedName name="QO" localSheetId="28">#REF!</definedName>
    <definedName name="QO">#REF!</definedName>
    <definedName name="qq" localSheetId="33">#REF!</definedName>
    <definedName name="qq" localSheetId="34">#REF!</definedName>
    <definedName name="qq" localSheetId="35">#REF!</definedName>
    <definedName name="qq" localSheetId="5">#REF!</definedName>
    <definedName name="qq" localSheetId="8">#REF!</definedName>
    <definedName name="qq" localSheetId="10">#REF!</definedName>
    <definedName name="qq" localSheetId="37">'[214]Plant &amp;  Machinery'!$G$27</definedName>
    <definedName name="qq" localSheetId="28">#REF!</definedName>
    <definedName name="qq" localSheetId="42">#REF!</definedName>
    <definedName name="qq" localSheetId="31">#REF!</definedName>
    <definedName name="qq">#REF!</definedName>
    <definedName name="qqq" localSheetId="14" hidden="1">{"'ridftotal'!$A$4:$S$27"}</definedName>
    <definedName name="qqq" localSheetId="28" hidden="1">{"'ridftotal'!$A$4:$S$27"}</definedName>
    <definedName name="qqq" localSheetId="42" hidden="1">{"'ridftotal'!$A$4:$S$27"}</definedName>
    <definedName name="qqq" hidden="1">{"'ridftotal'!$A$4:$S$27"}</definedName>
    <definedName name="qqqqq">#REF!</definedName>
    <definedName name="QQQQQQ" localSheetId="37">[215]Lead!#REF!</definedName>
    <definedName name="QQQQQQ">[215]Lead!#REF!</definedName>
    <definedName name="qqqqqqqqq" localSheetId="37">[70]data!#REF!</definedName>
    <definedName name="qqqqqqqqq">[70]data!#REF!</definedName>
    <definedName name="qqqqqqqqqqqqqqqqqqqq" localSheetId="8">#REF!</definedName>
    <definedName name="qqqqqqqqqqqqqqqqqqqq" localSheetId="10">#REF!</definedName>
    <definedName name="qqqqqqqqqqqqqqqqqqqq" localSheetId="28">#REF!</definedName>
    <definedName name="qqqqqqqqqqqqqqqqqqqq">#REF!</definedName>
    <definedName name="qqww" localSheetId="28">#REF!</definedName>
    <definedName name="QTV" localSheetId="14">#REF!</definedName>
    <definedName name="QTV" localSheetId="8">#REF!</definedName>
    <definedName name="QTV" localSheetId="10">#REF!</definedName>
    <definedName name="QTV" localSheetId="28">#REF!</definedName>
    <definedName name="QTV">#REF!</definedName>
    <definedName name="Qty">#REF!</definedName>
    <definedName name="Qu" localSheetId="33">#REF!</definedName>
    <definedName name="Qu" localSheetId="34">#REF!</definedName>
    <definedName name="Qu" localSheetId="35">#REF!</definedName>
    <definedName name="Qu" localSheetId="5">#REF!</definedName>
    <definedName name="Qu" localSheetId="8">#REF!</definedName>
    <definedName name="Qu" localSheetId="10">#REF!</definedName>
    <definedName name="Qu" localSheetId="11">#REF!</definedName>
    <definedName name="Qu" localSheetId="37">#REF!</definedName>
    <definedName name="Qu" localSheetId="28">#REF!</definedName>
    <definedName name="Qu" localSheetId="42">#REF!</definedName>
    <definedName name="Qu" localSheetId="31">#REF!</definedName>
    <definedName name="Qu">#REF!</definedName>
    <definedName name="Qu_23">"$#REF!.$#REF!$#REF!"</definedName>
    <definedName name="Qu_32">"$#REF!.$#REF!$#REF!"</definedName>
    <definedName name="Qu_33">"$#REF!.$#REF!$#REF!"</definedName>
    <definedName name="Qu_34">"$#REF!.$#REF!$#REF!"</definedName>
    <definedName name="Qu_38">"$#REF!.$#REF!$#REF!"</definedName>
    <definedName name="Qu_41">"$#REF!.$#REF!$#REF!"</definedName>
    <definedName name="Qu_43">"$#REF!.$#REF!$#REF!"</definedName>
    <definedName name="Qu_48">"$#REF!.$#REF!$#REF!"</definedName>
    <definedName name="Qu_56">"$#REF!.$#REF!$#REF!"</definedName>
    <definedName name="Qu_57">"$#REF!.$#REF!$#REF!"</definedName>
    <definedName name="Qu_59">"$#REF!.$#REF!$#REF!"</definedName>
    <definedName name="Qu_60">"$#REF!.$#REF!$#REF!"</definedName>
    <definedName name="Qu_61">"$#REF!.$#REF!$#REF!"</definedName>
    <definedName name="Qu_62">"$#REF!.$#REF!$#REF!"</definedName>
    <definedName name="Qu_7">"$#REF!.$#REF!$#REF!"</definedName>
    <definedName name="Qu_72">"$#REF!.$#REF!$#REF!"</definedName>
    <definedName name="Qu_73">"$#REF!.$#REF!$#REF!"</definedName>
    <definedName name="Qu_8">"$#REF!.$#REF!$#REF!"</definedName>
    <definedName name="Quarry_Rubbish">#REF!</definedName>
    <definedName name="Quaspall">#REF!</definedName>
    <definedName name="quer10" localSheetId="28">#REF!</definedName>
    <definedName name="Query2" localSheetId="33">#REF!</definedName>
    <definedName name="Query2" localSheetId="34">#REF!</definedName>
    <definedName name="Query2" localSheetId="35">#REF!</definedName>
    <definedName name="Query2" localSheetId="5">#REF!</definedName>
    <definedName name="Query2" localSheetId="8">#REF!</definedName>
    <definedName name="Query2" localSheetId="10">#REF!</definedName>
    <definedName name="Query2" localSheetId="11">#REF!</definedName>
    <definedName name="Query2" localSheetId="37">#REF!</definedName>
    <definedName name="Query2" localSheetId="28">#REF!</definedName>
    <definedName name="Query2" localSheetId="42">#REF!</definedName>
    <definedName name="Query2" localSheetId="31">#REF!</definedName>
    <definedName name="Query2">#REF!</definedName>
    <definedName name="Query2_23">"$#REF!.$#REF!$#REF!"</definedName>
    <definedName name="Query2_32">"$#REF!.$#REF!$#REF!"</definedName>
    <definedName name="Query2_33">"$#REF!.$#REF!$#REF!"</definedName>
    <definedName name="Query2_34">"$#REF!.$#REF!$#REF!"</definedName>
    <definedName name="Query2_38">"$#REF!.$#REF!$#REF!"</definedName>
    <definedName name="Query2_41">"$#REF!.$#REF!$#REF!"</definedName>
    <definedName name="Query2_43">"$#REF!.$#REF!$#REF!"</definedName>
    <definedName name="Query2_48">"$#REF!.$#REF!$#REF!"</definedName>
    <definedName name="Query2_56">"$#REF!.$#REF!$#REF!"</definedName>
    <definedName name="Query2_57">"$#REF!.$#REF!$#REF!"</definedName>
    <definedName name="Query2_59">"$#REF!.$#REF!$#REF!"</definedName>
    <definedName name="Query2_60">"$#REF!.$#REF!$#REF!"</definedName>
    <definedName name="Query2_61">"$#REF!.$#REF!$#REF!"</definedName>
    <definedName name="Query2_62">"$#REF!.$#REF!$#REF!"</definedName>
    <definedName name="Query2_7">"$#REF!.$#REF!$#REF!"</definedName>
    <definedName name="Query2_72">"$#REF!.$#REF!$#REF!"</definedName>
    <definedName name="Query2_73">"$#REF!.$#REF!$#REF!"</definedName>
    <definedName name="Query2_8">"$#REF!.$#REF!$#REF!"</definedName>
    <definedName name="QV" localSheetId="8">#REF!</definedName>
    <definedName name="QV" localSheetId="10">#REF!</definedName>
    <definedName name="QV" localSheetId="28">#REF!</definedName>
    <definedName name="QV">#REF!</definedName>
    <definedName name="QVI" localSheetId="8">#REF!</definedName>
    <definedName name="QVI" localSheetId="10">#REF!</definedName>
    <definedName name="QVI" localSheetId="28">#REF!</definedName>
    <definedName name="QVI">#REF!</definedName>
    <definedName name="qw" localSheetId="5">#REF!</definedName>
    <definedName name="qw" localSheetId="14" hidden="1">{"'ridftotal'!$A$4:$S$27"}</definedName>
    <definedName name="qw" localSheetId="28" hidden="1">{"'ridftotal'!$A$4:$S$27"}</definedName>
    <definedName name="qw" localSheetId="42" hidden="1">{"'ridftotal'!$A$4:$S$27"}</definedName>
    <definedName name="qw" hidden="1">{"'ridftotal'!$A$4:$S$27"}</definedName>
    <definedName name="r.ohsr.40.12.7" localSheetId="8">#REF!</definedName>
    <definedName name="r.ohsr.40.12.7" localSheetId="10">#REF!</definedName>
    <definedName name="r.ohsr.40.12.7" localSheetId="11">#REF!</definedName>
    <definedName name="r.ohsr.40.12.7" localSheetId="28">#REF!</definedName>
    <definedName name="r.ohsr.40.12.7">#REF!</definedName>
    <definedName name="r.ohsr.40.9.55" localSheetId="8">#REF!</definedName>
    <definedName name="r.ohsr.40.9.55" localSheetId="10">#REF!</definedName>
    <definedName name="r.ohsr.40.9.55" localSheetId="11">#REF!</definedName>
    <definedName name="r.ohsr.40.9.55" localSheetId="28">#REF!</definedName>
    <definedName name="r.ohsr.40.9.55">#REF!</definedName>
    <definedName name="r.ohsr.60.12.9" localSheetId="8">#REF!</definedName>
    <definedName name="r.ohsr.60.12.9" localSheetId="10">#REF!</definedName>
    <definedName name="r.ohsr.60.12.9" localSheetId="11">#REF!</definedName>
    <definedName name="r.ohsr.60.12.9" localSheetId="28">#REF!</definedName>
    <definedName name="r.ohsr.60.12.9">#REF!</definedName>
    <definedName name="r.ohsr.60.9.75" localSheetId="8">#REF!</definedName>
    <definedName name="r.ohsr.60.9.75" localSheetId="10">#REF!</definedName>
    <definedName name="r.ohsr.60.9.75" localSheetId="11">#REF!</definedName>
    <definedName name="r.ohsr.60.9.75" localSheetId="28">#REF!</definedName>
    <definedName name="r.ohsr.60.9.75">#REF!</definedName>
    <definedName name="R_EW_Man" localSheetId="37">'[100]Road data'!$J$251</definedName>
    <definedName name="R_EW_Man">'[101]Road data'!$J$251</definedName>
    <definedName name="R_EW_OMC_Car" localSheetId="37">'[100]Road data'!$J$42</definedName>
    <definedName name="R_EW_OMC_Car">'[101]Road data'!$J$42</definedName>
    <definedName name="R_Gravel_Quardrent" localSheetId="37">'[100]Road data'!$J$376</definedName>
    <definedName name="R_Gravel_Quardrent">'[101]Road data'!$J$376</definedName>
    <definedName name="R_GravelShoulders" localSheetId="37">'[100]Road data'!$J$240</definedName>
    <definedName name="R_GravelShoulders">'[101]Road data'!$J$240</definedName>
    <definedName name="R_GSB" localSheetId="37">'[100]Road data'!$J$71</definedName>
    <definedName name="R_GSB">'[101]Road data'!$J$71</definedName>
    <definedName name="R_HYSD_Super" localSheetId="37">'[100]Road data'!$J$700</definedName>
    <definedName name="R_HYSD_Super">'[101]Road data'!$J$700</definedName>
    <definedName name="R_M10_bodywalls" localSheetId="37">'[100]Road data'!$J$311</definedName>
    <definedName name="R_M10_bodywalls">'[101]Road data'!$J$311</definedName>
    <definedName name="R_M10_found" localSheetId="37">'[100]Road data'!$J$301</definedName>
    <definedName name="R_M10_found">'[101]Road data'!$J$301</definedName>
    <definedName name="R_M15_footing" localSheetId="37">'[100]Road data'!$J$408</definedName>
    <definedName name="R_M15_footing">'[101]Road data'!$J$408</definedName>
    <definedName name="R_M15_SUB" localSheetId="37">'[100]Road data'!$J$440</definedName>
    <definedName name="R_M15_SUB">'[101]Road data'!$J$440</definedName>
    <definedName name="R_M20_BedBack" localSheetId="37">'[100]Road data'!$J$594</definedName>
    <definedName name="R_M20_BedBack">'[101]Road data'!$J$594</definedName>
    <definedName name="R_M20_DECKSLAB" localSheetId="37">'[100]Road data'!$J$624</definedName>
    <definedName name="R_M20_DECKSLAB">'[101]Road data'!$J$624</definedName>
    <definedName name="R_M30_WC" localSheetId="37">'[100]Road data'!$J$653</definedName>
    <definedName name="R_M30_WC">'[101]Road data'!$J$653</definedName>
    <definedName name="R_SCSD_6070" localSheetId="37">'[100]Road data'!$J$158</definedName>
    <definedName name="R_SCSD_6070">'[101]Road data'!$J$158</definedName>
    <definedName name="R_SCSD_80100" localSheetId="37">'[100]Road data'!#REF!</definedName>
    <definedName name="R_SCSD_80100">'[101]Road data'!#REF!</definedName>
    <definedName name="R_SCSD_80100_33">#N/A</definedName>
    <definedName name="R_SDBC" localSheetId="37">'[100]Road data'!$J$222</definedName>
    <definedName name="R_SDBC">'[101]Road data'!$J$222</definedName>
    <definedName name="R_Tack" localSheetId="37">'[100]Road data'!$J$183</definedName>
    <definedName name="R_Tack">'[101]Road data'!$J$183</definedName>
    <definedName name="R_WBM2_HS" localSheetId="37">'[100]Road data'!$J$99</definedName>
    <definedName name="R_WBM2_HS">'[101]Road data'!$J$99</definedName>
    <definedName name="R_WBM3_HS" localSheetId="37">'[100]Road data'!$J$126</definedName>
    <definedName name="R_WBM3_HS">'[101]Road data'!$J$126</definedName>
    <definedName name="R_Weepholes" localSheetId="37">'[100]Road data'!$J$733</definedName>
    <definedName name="R_Weepholes">'[101]Road data'!$J$733</definedName>
    <definedName name="ra" localSheetId="37">'[143]Plant &amp;  Machinery'!$G$4</definedName>
    <definedName name="ra">'[144]Plant &amp;  Machinery'!$G$4</definedName>
    <definedName name="ra_33">"$#REF!.$#REF!$#REF!"</definedName>
    <definedName name="Rabbit" localSheetId="8">#REF!</definedName>
    <definedName name="Rabbit" localSheetId="10">#REF!</definedName>
    <definedName name="Rabbit" localSheetId="11">#REF!</definedName>
    <definedName name="Rabbit" localSheetId="28">#REF!</definedName>
    <definedName name="Rabbit">#REF!</definedName>
    <definedName name="raf" localSheetId="37">[133]Material!$D$130</definedName>
    <definedName name="raf">[134]Material!$D$130</definedName>
    <definedName name="raffs" localSheetId="37">'[133]Plant &amp;  Machinery'!$G$13</definedName>
    <definedName name="raffs">'[134]Plant &amp;  Machinery'!$G$13</definedName>
    <definedName name="rafi" localSheetId="37">'[133]Plant &amp;  Machinery'!$G$4</definedName>
    <definedName name="rafi">'[134]Plant &amp;  Machinery'!$G$4</definedName>
    <definedName name="raised_pointing" localSheetId="8">#REF!</definedName>
    <definedName name="raised_pointing" localSheetId="10">#REF!</definedName>
    <definedName name="raised_pointing" localSheetId="11">#REF!</definedName>
    <definedName name="raised_pointing" localSheetId="28">#REF!</definedName>
    <definedName name="raised_pointing">#REF!</definedName>
    <definedName name="raja" localSheetId="37">#REF!</definedName>
    <definedName name="raja" localSheetId="28">#REF!</definedName>
    <definedName name="raja">#REF!</definedName>
    <definedName name="raju" localSheetId="37">[133]Material!$D$126</definedName>
    <definedName name="raju">[134]Material!$D$126</definedName>
    <definedName name="ram" localSheetId="37">[133]Material!$D$129</definedName>
    <definedName name="ram">[134]Material!$D$129</definedName>
    <definedName name="raMA" localSheetId="37">[216]Data!#REF!</definedName>
    <definedName name="raMA">[216]Data!#REF!</definedName>
    <definedName name="raMA_23">#N/A</definedName>
    <definedName name="raMA_33">#N/A</definedName>
    <definedName name="raMA_34">#N/A</definedName>
    <definedName name="raMA_38">#N/A</definedName>
    <definedName name="raMA_41">#N/A</definedName>
    <definedName name="raMA_43">#N/A</definedName>
    <definedName name="raMA_48">#N/A</definedName>
    <definedName name="raMA_56">#N/A</definedName>
    <definedName name="raMA_57">#N/A</definedName>
    <definedName name="raMA_59">#N/A</definedName>
    <definedName name="raMA_60">#N/A</definedName>
    <definedName name="raMA_61">#N/A</definedName>
    <definedName name="raMA_62">#N/A</definedName>
    <definedName name="raMA_7">#N/A</definedName>
    <definedName name="raMA_72">#N/A</definedName>
    <definedName name="raMA_73">#N/A</definedName>
    <definedName name="raMA_8">#N/A</definedName>
    <definedName name="ramki" localSheetId="8">#REF!</definedName>
    <definedName name="ramki" localSheetId="10">#REF!</definedName>
    <definedName name="ramki" localSheetId="28">#REF!</definedName>
    <definedName name="ramki">#REF!</definedName>
    <definedName name="rangaraor" localSheetId="35">#REF!</definedName>
    <definedName name="rangaraor" localSheetId="5">#REF!</definedName>
    <definedName name="rangaraor" localSheetId="8">#REF!</definedName>
    <definedName name="rangaraor" localSheetId="10">#REF!</definedName>
    <definedName name="rangaraor" localSheetId="11">#REF!</definedName>
    <definedName name="rangaraor" localSheetId="28">#REF!</definedName>
    <definedName name="rangaraor" localSheetId="42">#REF!</definedName>
    <definedName name="rangaraor" localSheetId="31">#REF!</definedName>
    <definedName name="rangaraor">#REF!</definedName>
    <definedName name="range" localSheetId="33">#REF!</definedName>
    <definedName name="range" localSheetId="34">#REF!</definedName>
    <definedName name="range" localSheetId="37">#REF!</definedName>
    <definedName name="range">#REF!</definedName>
    <definedName name="rao">#REF!</definedName>
    <definedName name="ras" localSheetId="8">#REF!</definedName>
    <definedName name="ras" localSheetId="10">#REF!</definedName>
    <definedName name="ras" localSheetId="11">#REF!</definedName>
    <definedName name="ras" localSheetId="28">#REF!</definedName>
    <definedName name="ras">#REF!</definedName>
    <definedName name="rat" localSheetId="37">[133]Material!$D$51</definedName>
    <definedName name="rat">[134]Material!$D$51</definedName>
    <definedName name="rate" localSheetId="37">'[217]lead-st'!$L$12</definedName>
    <definedName name="rate">'[218]lead-st'!$L$12</definedName>
    <definedName name="rate_33">#REF!</definedName>
    <definedName name="rate_34">#REF!</definedName>
    <definedName name="rate10mm" localSheetId="33">#REF!</definedName>
    <definedName name="rate10mm" localSheetId="34">#REF!</definedName>
    <definedName name="rate10mm" localSheetId="37">#REF!</definedName>
    <definedName name="rate10mm">#REF!</definedName>
    <definedName name="rate12" localSheetId="37">'[53]lead-st'!$L$9</definedName>
    <definedName name="rate12">'[25]lead-st'!$L$9</definedName>
    <definedName name="rate12mm" localSheetId="33">#REF!</definedName>
    <definedName name="rate12mm" localSheetId="34">#REF!</definedName>
    <definedName name="rate12mm" localSheetId="37">#REF!</definedName>
    <definedName name="rate12mm">#REF!</definedName>
    <definedName name="rate20" localSheetId="37">'[53]lead-st'!$L$8</definedName>
    <definedName name="rate20">'[25]lead-st'!$L$8</definedName>
    <definedName name="rate20mmirc" localSheetId="33">#REF!</definedName>
    <definedName name="rate20mmirc" localSheetId="34">#REF!</definedName>
    <definedName name="rate20mmirc" localSheetId="37">#REF!</definedName>
    <definedName name="rate20mmirc">#REF!</definedName>
    <definedName name="rate20ss" localSheetId="33">#REF!</definedName>
    <definedName name="rate20ss" localSheetId="34">#REF!</definedName>
    <definedName name="rate20ss" localSheetId="37">#REF!</definedName>
    <definedName name="rate20ss">#REF!</definedName>
    <definedName name="rate40" localSheetId="37">'[53]lead-st'!$L$7</definedName>
    <definedName name="rate40">'[25]lead-st'!$L$7</definedName>
    <definedName name="rate40mmirc" localSheetId="33">#REF!</definedName>
    <definedName name="rate40mmirc" localSheetId="34">#REF!</definedName>
    <definedName name="rate40mmirc" localSheetId="37">#REF!</definedName>
    <definedName name="rate40mmirc">#REF!</definedName>
    <definedName name="rate40ss" localSheetId="33">#REF!</definedName>
    <definedName name="rate40ss" localSheetId="34">#REF!</definedName>
    <definedName name="rate40ss" localSheetId="37">#REF!</definedName>
    <definedName name="rate40ss">#REF!</definedName>
    <definedName name="rate50mm" localSheetId="33">#REF!</definedName>
    <definedName name="rate50mm" localSheetId="34">#REF!</definedName>
    <definedName name="rate50mm" localSheetId="37">#REF!</definedName>
    <definedName name="rate50mm">#REF!</definedName>
    <definedName name="rate63mm" localSheetId="33">#REF!</definedName>
    <definedName name="rate63mm" localSheetId="34">#REF!</definedName>
    <definedName name="rate63mm" localSheetId="37">#REF!</definedName>
    <definedName name="rate63mm">#REF!</definedName>
    <definedName name="rate6mm" localSheetId="33">#REF!</definedName>
    <definedName name="rate6mm" localSheetId="34">#REF!</definedName>
    <definedName name="rate6mm" localSheetId="37">#REF!</definedName>
    <definedName name="rate6mm">#REF!</definedName>
    <definedName name="ratecrs" localSheetId="37">'[53]lead-st'!$L$12</definedName>
    <definedName name="ratecrs">'[25]lead-st'!$L$12</definedName>
    <definedName name="rategrl" localSheetId="33">#REF!</definedName>
    <definedName name="rategrl" localSheetId="34">#REF!</definedName>
    <definedName name="rategrl" localSheetId="37">#REF!</definedName>
    <definedName name="rategrl">#REF!</definedName>
    <definedName name="ratemix">[200]leads!$H$14</definedName>
    <definedName name="raterough" localSheetId="37">'[53]lead-st'!$L$13</definedName>
    <definedName name="raterough">'[25]lead-st'!$L$13</definedName>
    <definedName name="raterr" localSheetId="37">'[53]lead-st'!$L$11</definedName>
    <definedName name="raterr">'[25]lead-st'!$L$11</definedName>
    <definedName name="rates" localSheetId="33">#REF!</definedName>
    <definedName name="rates" localSheetId="34">#REF!</definedName>
    <definedName name="rates" localSheetId="35">#REF!</definedName>
    <definedName name="rates" localSheetId="5">#REF!</definedName>
    <definedName name="rates" localSheetId="8">#REF!</definedName>
    <definedName name="rates" localSheetId="10">#REF!</definedName>
    <definedName name="rates" localSheetId="11">#REF!</definedName>
    <definedName name="rates" localSheetId="37">#REF!</definedName>
    <definedName name="rates" localSheetId="28">#REF!</definedName>
    <definedName name="rates" localSheetId="42">#REF!</definedName>
    <definedName name="rates" localSheetId="31">#REF!</definedName>
    <definedName name="rates">#REF!</definedName>
    <definedName name="rates_33">"$#REF!.$#REF!$#REF!"</definedName>
    <definedName name="rates_34">"$#REF!.$#REF!$#REF!"</definedName>
    <definedName name="rates1" localSheetId="33">#REF!</definedName>
    <definedName name="rates1" localSheetId="34">#REF!</definedName>
    <definedName name="rates1" localSheetId="35">#REF!</definedName>
    <definedName name="rates1" localSheetId="5">#REF!</definedName>
    <definedName name="rates1" localSheetId="8">#REF!</definedName>
    <definedName name="rates1" localSheetId="10">#REF!</definedName>
    <definedName name="rates1" localSheetId="11">#REF!</definedName>
    <definedName name="rates1" localSheetId="37">#REF!</definedName>
    <definedName name="rates1" localSheetId="28">#REF!</definedName>
    <definedName name="rates1" localSheetId="42">#REF!</definedName>
    <definedName name="rates1" localSheetId="31">#REF!</definedName>
    <definedName name="rates1">#REF!</definedName>
    <definedName name="rates1_33">"$#REF!.$#REF!$#REF!"</definedName>
    <definedName name="rates1_34">"$#REF!.$#REF!$#REF!"</definedName>
    <definedName name="rates11" localSheetId="33">#REF!</definedName>
    <definedName name="rates11" localSheetId="34">#REF!</definedName>
    <definedName name="rates11" localSheetId="35">#REF!</definedName>
    <definedName name="rates11" localSheetId="5">#REF!</definedName>
    <definedName name="rates11" localSheetId="8">#REF!</definedName>
    <definedName name="rates11" localSheetId="10">#REF!</definedName>
    <definedName name="rates11" localSheetId="11">#REF!</definedName>
    <definedName name="rates11" localSheetId="37">#REF!</definedName>
    <definedName name="rates11" localSheetId="28">#REF!</definedName>
    <definedName name="rates11" localSheetId="42">#REF!</definedName>
    <definedName name="rates11" localSheetId="31">#REF!</definedName>
    <definedName name="rates11">#REF!</definedName>
    <definedName name="rates11_33">"$#REF!.$#REF!$#REF!"</definedName>
    <definedName name="rates11_34">"$#REF!.$#REF!$#REF!"</definedName>
    <definedName name="rates4" localSheetId="33">#REF!</definedName>
    <definedName name="rates4" localSheetId="34">#REF!</definedName>
    <definedName name="rates4" localSheetId="35">#REF!</definedName>
    <definedName name="rates4" localSheetId="5">#REF!</definedName>
    <definedName name="rates4" localSheetId="8">#REF!</definedName>
    <definedName name="rates4" localSheetId="10">#REF!</definedName>
    <definedName name="rates4" localSheetId="11">#REF!</definedName>
    <definedName name="rates4" localSheetId="37">#REF!</definedName>
    <definedName name="rates4" localSheetId="28">#REF!</definedName>
    <definedName name="rates4" localSheetId="42">#REF!</definedName>
    <definedName name="rates4" localSheetId="31">#REF!</definedName>
    <definedName name="rates4">#REF!</definedName>
    <definedName name="rates4_33">"$#REF!.$#REF!$#REF!"</definedName>
    <definedName name="rates4_34">"$#REF!.$#REF!$#REF!"</definedName>
    <definedName name="ratesand" localSheetId="37">'[53]lead-st'!$L$10</definedName>
    <definedName name="ratesand">'[25]lead-st'!$L$10</definedName>
    <definedName name="rax" localSheetId="37">[133]Material!$D$47</definedName>
    <definedName name="rax">[134]Material!$D$47</definedName>
    <definedName name="raxs" localSheetId="37">[143]Material!$D$47</definedName>
    <definedName name="raxs">[144]Material!$D$47</definedName>
    <definedName name="rb" localSheetId="28">#REF!</definedName>
    <definedName name="rbsw" localSheetId="8">#REF!</definedName>
    <definedName name="rbsw" localSheetId="10">#REF!</definedName>
    <definedName name="rbsw" localSheetId="11">#REF!</definedName>
    <definedName name="rbsw" localSheetId="28">#REF!</definedName>
    <definedName name="rbsw">#REF!</definedName>
    <definedName name="rbw" localSheetId="8">#REF!</definedName>
    <definedName name="rbw" localSheetId="10">#REF!</definedName>
    <definedName name="rbw" localSheetId="11">#REF!</definedName>
    <definedName name="rbw" localSheetId="28">#REF!</definedName>
    <definedName name="rbw">#REF!</definedName>
    <definedName name="RCArea" localSheetId="35" hidden="1">#REF!</definedName>
    <definedName name="RCArea" localSheetId="5" hidden="1">#REF!</definedName>
    <definedName name="RCArea" localSheetId="29" hidden="1">#REF!</definedName>
    <definedName name="RCArea" localSheetId="8" hidden="1">#REF!</definedName>
    <definedName name="RCArea" localSheetId="10" hidden="1">#REF!</definedName>
    <definedName name="RCArea" localSheetId="11" hidden="1">#REF!</definedName>
    <definedName name="RCArea" localSheetId="43" hidden="1">#REF!</definedName>
    <definedName name="RCArea" localSheetId="27" hidden="1">#REF!</definedName>
    <definedName name="RCArea" localSheetId="46" hidden="1">#REF!</definedName>
    <definedName name="RCArea" localSheetId="28" hidden="1">#REF!</definedName>
    <definedName name="RCArea" localSheetId="19" hidden="1">#REF!</definedName>
    <definedName name="RCArea" localSheetId="42" hidden="1">#REF!</definedName>
    <definedName name="RCArea" localSheetId="32" hidden="1">#REF!</definedName>
    <definedName name="RCArea" localSheetId="31" hidden="1">#REF!</definedName>
    <definedName name="RCArea" localSheetId="9" hidden="1">#REF!</definedName>
    <definedName name="RCArea" localSheetId="3" hidden="1">#REF!</definedName>
    <definedName name="RCArea" hidden="1">#REF!</definedName>
    <definedName name="rcc">[97]Intro!$L$90</definedName>
    <definedName name="RCC_M20_GuidePosts">#REF!</definedName>
    <definedName name="rcc_mix" localSheetId="37">'[83]data existing_do not delete'!$F$14:$F$15</definedName>
    <definedName name="rcc_mix">'[84]data existing_do not delete'!$F$14:$F$15</definedName>
    <definedName name="RCC_Railing" localSheetId="28">#REF!</definedName>
    <definedName name="rcc_vrcc_mix" localSheetId="37">'[83]data existing_do not delete'!$G$14:$G$17</definedName>
    <definedName name="rcc_vrcc_mix">'[84]data existing_do not delete'!$G$14:$G$17</definedName>
    <definedName name="RCL" localSheetId="14">#REF!</definedName>
    <definedName name="RCL" localSheetId="8">#REF!</definedName>
    <definedName name="RCL" localSheetId="10">#REF!</definedName>
    <definedName name="RCL" localSheetId="28">#REF!</definedName>
    <definedName name="RCL">#REF!</definedName>
    <definedName name="rcm_facia" localSheetId="8">#REF!</definedName>
    <definedName name="rcm_facia" localSheetId="10">#REF!</definedName>
    <definedName name="rcm_facia" localSheetId="11">#REF!</definedName>
    <definedName name="rcm_facia" localSheetId="28">#REF!</definedName>
    <definedName name="rcm_facia">#REF!</definedName>
    <definedName name="rcml">#REF!</definedName>
    <definedName name="rd" localSheetId="8">#REF!</definedName>
    <definedName name="rd" localSheetId="10">#REF!</definedName>
    <definedName name="rd" localSheetId="11">#REF!</definedName>
    <definedName name="rd" localSheetId="28">#REF!</definedName>
    <definedName name="rd">#REF!</definedName>
    <definedName name="rdm" localSheetId="8">#REF!</definedName>
    <definedName name="rdm" localSheetId="10">#REF!</definedName>
    <definedName name="rdm" localSheetId="11">#REF!</definedName>
    <definedName name="rdm" localSheetId="28">#REF!</definedName>
    <definedName name="rdm">#REF!</definedName>
    <definedName name="RECV" localSheetId="35">#REF!</definedName>
    <definedName name="RECV" localSheetId="5">#REF!</definedName>
    <definedName name="RECV" localSheetId="8">#REF!</definedName>
    <definedName name="RECV" localSheetId="10">#REF!</definedName>
    <definedName name="RECV" localSheetId="11">#REF!</definedName>
    <definedName name="RECV" localSheetId="28">#REF!</definedName>
    <definedName name="RECV" localSheetId="42">#REF!</definedName>
    <definedName name="RECV" localSheetId="31">#REF!</definedName>
    <definedName name="RECV">#REF!</definedName>
    <definedName name="red" localSheetId="8">#REF!</definedName>
    <definedName name="red" localSheetId="10">#REF!</definedName>
    <definedName name="red" localSheetId="11">#REF!</definedName>
    <definedName name="red" localSheetId="28">#REF!</definedName>
    <definedName name="red">#REF!</definedName>
    <definedName name="REFIL" localSheetId="37">[55]DATA!$H$189</definedName>
    <definedName name="REFIL">[56]DATA!$H$189</definedName>
    <definedName name="refilling" localSheetId="28">#REF!</definedName>
    <definedName name="reil1">#REF!</definedName>
    <definedName name="rejgh">#REF!</definedName>
    <definedName name="RemovingStumps">#REF!</definedName>
    <definedName name="Repalle_Sub" localSheetId="37">[219]quarry!$A$5:$AA$337</definedName>
    <definedName name="Repalle_Sub">[220]quarry!$A$5:$AA$337</definedName>
    <definedName name="rerfdsfsdfd" localSheetId="37">'[133]Plant &amp;  Machinery'!$G$4</definedName>
    <definedName name="rerfdsfsdfd">'[134]Plant &amp;  Machinery'!$G$4</definedName>
    <definedName name="revet" localSheetId="28">#REF!</definedName>
    <definedName name="REVETMENT" localSheetId="37">'[221]Road Detail Est.'!#REF!</definedName>
    <definedName name="REVETMENT">'[222]Road Detail Est.'!#REF!</definedName>
    <definedName name="REVETMENT_23">#N/A</definedName>
    <definedName name="REVETMENT_33">#N/A</definedName>
    <definedName name="REVETMENT_34">#N/A</definedName>
    <definedName name="REVETMENT_38">#N/A</definedName>
    <definedName name="REVETMENT_41">#N/A</definedName>
    <definedName name="REVETMENT_43">#N/A</definedName>
    <definedName name="REVETMENT_48">#N/A</definedName>
    <definedName name="REVETMENT_57">#N/A</definedName>
    <definedName name="REVETMENT_59">#N/A</definedName>
    <definedName name="REVETMENT_60">#N/A</definedName>
    <definedName name="REVETMENT_61">#N/A</definedName>
    <definedName name="REVETMENT_62">#N/A</definedName>
    <definedName name="REVETMENT_7">#N/A</definedName>
    <definedName name="REVETMENT_72">#N/A</definedName>
    <definedName name="REVETMENT_73">#N/A</definedName>
    <definedName name="REVETMENT_8">#N/A</definedName>
    <definedName name="Revt.300">#REF!</definedName>
    <definedName name="rh" localSheetId="8">#REF!</definedName>
    <definedName name="rh" localSheetId="10">#REF!</definedName>
    <definedName name="rh" localSheetId="28">#REF!</definedName>
    <definedName name="rh">#REF!</definedName>
    <definedName name="RHL" localSheetId="14">#REF!</definedName>
    <definedName name="RHL" localSheetId="8">#REF!</definedName>
    <definedName name="RHL" localSheetId="10">#REF!</definedName>
    <definedName name="RHL" localSheetId="28">#REF!</definedName>
    <definedName name="RHL">#REF!</definedName>
    <definedName name="ri" localSheetId="5">#REF!</definedName>
    <definedName name="RI" localSheetId="8">#REF!</definedName>
    <definedName name="RI" localSheetId="10">#REF!</definedName>
    <definedName name="ri" localSheetId="11">#REF!</definedName>
    <definedName name="RI" localSheetId="28">#REF!</definedName>
    <definedName name="RI">#REF!</definedName>
    <definedName name="Ridf4_Prop__2_" localSheetId="33">#REF!</definedName>
    <definedName name="Ridf4_Prop__2_" localSheetId="34">#REF!</definedName>
    <definedName name="Ridf4_Prop__2_" localSheetId="35">#REF!</definedName>
    <definedName name="Ridf4_Prop__2_" localSheetId="5">#REF!</definedName>
    <definedName name="Ridf4_Prop__2_" localSheetId="8">#REF!</definedName>
    <definedName name="Ridf4_Prop__2_" localSheetId="10">#REF!</definedName>
    <definedName name="Ridf4_Prop__2_" localSheetId="11">#REF!</definedName>
    <definedName name="Ridf4_Prop__2_" localSheetId="37">#REF!</definedName>
    <definedName name="Ridf4_Prop__2_" localSheetId="28">#REF!</definedName>
    <definedName name="Ridf4_Prop__2_" localSheetId="42">#REF!</definedName>
    <definedName name="Ridf4_Prop__2_" localSheetId="31">#REF!</definedName>
    <definedName name="Ridf4_Prop__2_">#REF!</definedName>
    <definedName name="rii" localSheetId="5">#REF!</definedName>
    <definedName name="RII" localSheetId="8">#REF!</definedName>
    <definedName name="RII" localSheetId="10">#REF!</definedName>
    <definedName name="rii" localSheetId="11">#REF!</definedName>
    <definedName name="RII" localSheetId="28">#REF!</definedName>
    <definedName name="RII">#REF!</definedName>
    <definedName name="riii" localSheetId="5">#REF!</definedName>
    <definedName name="RIII" localSheetId="8">#REF!</definedName>
    <definedName name="RIII" localSheetId="10">#REF!</definedName>
    <definedName name="riii" localSheetId="11">#REF!</definedName>
    <definedName name="RIII" localSheetId="28">#REF!</definedName>
    <definedName name="RIII">#REF!</definedName>
    <definedName name="riser_shahbad" localSheetId="8">#REF!</definedName>
    <definedName name="riser_shahbad" localSheetId="10">#REF!</definedName>
    <definedName name="riser_shahbad" localSheetId="11">#REF!</definedName>
    <definedName name="riser_shahbad" localSheetId="28">#REF!</definedName>
    <definedName name="riser_shahbad">#REF!</definedName>
    <definedName name="riufghr">#REF!</definedName>
    <definedName name="rk" localSheetId="33">#REF!</definedName>
    <definedName name="rk" localSheetId="34">#REF!</definedName>
    <definedName name="rk" localSheetId="5">#REF!</definedName>
    <definedName name="rk" localSheetId="8">#REF!</definedName>
    <definedName name="rk" localSheetId="10">#REF!</definedName>
    <definedName name="rk" localSheetId="37">#REF!</definedName>
    <definedName name="rk" localSheetId="28">#REF!</definedName>
    <definedName name="rk" localSheetId="42">#REF!</definedName>
    <definedName name="rk">#REF!</definedName>
    <definedName name="RO" localSheetId="8">#REF!</definedName>
    <definedName name="RO" localSheetId="10">#REF!</definedName>
    <definedName name="RO" localSheetId="28">#REF!</definedName>
    <definedName name="RO">#REF!</definedName>
    <definedName name="road" localSheetId="37">[96]Lead!#REF!</definedName>
    <definedName name="road">[96]Lead!#REF!</definedName>
    <definedName name="road.">#REF!</definedName>
    <definedName name="road_23">#N/A</definedName>
    <definedName name="road_33">#N/A</definedName>
    <definedName name="road_34">#N/A</definedName>
    <definedName name="road_38">#N/A</definedName>
    <definedName name="road_41">#N/A</definedName>
    <definedName name="road_43">#N/A</definedName>
    <definedName name="road_48">#N/A</definedName>
    <definedName name="road_57">#N/A</definedName>
    <definedName name="road_59">#N/A</definedName>
    <definedName name="road_60">#N/A</definedName>
    <definedName name="road_61">#N/A</definedName>
    <definedName name="road_62">#N/A</definedName>
    <definedName name="road_7">#N/A</definedName>
    <definedName name="road_72">#N/A</definedName>
    <definedName name="road_73">#N/A</definedName>
    <definedName name="road_8">#N/A</definedName>
    <definedName name="Road_Section_No.">'[71]Trunk unpaved'!$A$2:$L$237</definedName>
    <definedName name="Road_Section_No_">#REF!</definedName>
    <definedName name="Road_Sections_list">'[71]Trunk unpaved'!$A$2:$L$233</definedName>
    <definedName name="ROI" localSheetId="14">#REF!</definedName>
    <definedName name="ROI" localSheetId="8">#REF!</definedName>
    <definedName name="ROI" localSheetId="10">#REF!</definedName>
    <definedName name="ROI" localSheetId="28">#REF!</definedName>
    <definedName name="ROI">#REF!</definedName>
    <definedName name="rokkt">#REF!</definedName>
    <definedName name="rr" localSheetId="11">#REF!</definedName>
    <definedName name="RR" localSheetId="37">[55]DATA!$H$163</definedName>
    <definedName name="RR">[56]DATA!$H$163</definedName>
    <definedName name="rr_blast" localSheetId="28">#REF!</definedName>
    <definedName name="rr_stone" localSheetId="8">#REF!</definedName>
    <definedName name="rr_stone" localSheetId="10">#REF!</definedName>
    <definedName name="rr_stone" localSheetId="11">#REF!</definedName>
    <definedName name="rr_stone" localSheetId="28">#REF!</definedName>
    <definedName name="rr_stone">#REF!</definedName>
    <definedName name="rr3_33">#REF!</definedName>
    <definedName name="rr3_34">#REF!</definedName>
    <definedName name="rrg" localSheetId="37">[223]r!$F$7</definedName>
    <definedName name="rrg">[224]r!$F$7</definedName>
    <definedName name="rrr" localSheetId="37">'[127]Plant &amp;  Machinery'!$G$4</definedName>
    <definedName name="rrr">'[128]Plant &amp;  Machinery'!$G$4</definedName>
    <definedName name="rrr1_33">#REF!</definedName>
    <definedName name="rrr1_34">#REF!</definedName>
    <definedName name="rrrate" localSheetId="37">'[53]lead-st'!$L$11</definedName>
    <definedName name="rrrate">'[25]lead-st'!$L$11</definedName>
    <definedName name="rrs" localSheetId="37">[53]rdamdata!$J$9</definedName>
    <definedName name="rrs">[25]rdamdata!$J$9</definedName>
    <definedName name="rrwrw">#REF!</definedName>
    <definedName name="RS" localSheetId="8">#REF!</definedName>
    <definedName name="RS" localSheetId="10">#REF!</definedName>
    <definedName name="rs" localSheetId="11">#REF!</definedName>
    <definedName name="RS" localSheetId="28">#REF!</definedName>
    <definedName name="RS">#REF!</definedName>
    <definedName name="RSDP" localSheetId="37">[55]DATA!$H$215</definedName>
    <definedName name="RSDP">[56]DATA!$H$215</definedName>
    <definedName name="rstone" localSheetId="37">[53]rdamdata!$J$11</definedName>
    <definedName name="rstone">[25]rdamdata!$J$11</definedName>
    <definedName name="Rt.data">#REF!</definedName>
    <definedName name="rtcf" localSheetId="8">#REF!</definedName>
    <definedName name="rtcf" localSheetId="10">#REF!</definedName>
    <definedName name="rtcf" localSheetId="11">#REF!</definedName>
    <definedName name="rtcf" localSheetId="28">#REF!</definedName>
    <definedName name="rtcf">#REF!</definedName>
    <definedName name="rtcfo" localSheetId="8">#REF!</definedName>
    <definedName name="rtcfo" localSheetId="10">#REF!</definedName>
    <definedName name="rtcfo" localSheetId="11">#REF!</definedName>
    <definedName name="rtcfo" localSheetId="28">#REF!</definedName>
    <definedName name="rtcfo">#REF!</definedName>
    <definedName name="RTGOI">#REF!</definedName>
    <definedName name="RubberRings" localSheetId="37">[88]maya!$B$382:$B$386</definedName>
    <definedName name="RubberRings">[89]maya!$B$382:$B$386</definedName>
    <definedName name="RW" localSheetId="14">#REF!</definedName>
    <definedName name="RW" localSheetId="8">#REF!</definedName>
    <definedName name="RW" localSheetId="10">#REF!</definedName>
    <definedName name="RW" localSheetId="28">#REF!</definedName>
    <definedName name="RW">#REF!</definedName>
    <definedName name="rwm" localSheetId="8">#REF!</definedName>
    <definedName name="rwm" localSheetId="10">#REF!</definedName>
    <definedName name="rwm" localSheetId="11">#REF!</definedName>
    <definedName name="rwm" localSheetId="28">#REF!</definedName>
    <definedName name="rwm">#REF!</definedName>
    <definedName name="RWS" localSheetId="35">#REF!</definedName>
    <definedName name="RWS" localSheetId="5">#REF!</definedName>
    <definedName name="RWS" localSheetId="8">#REF!</definedName>
    <definedName name="RWS" localSheetId="10">#REF!</definedName>
    <definedName name="RWS" localSheetId="11">#REF!</definedName>
    <definedName name="RWS" localSheetId="28">#REF!</definedName>
    <definedName name="RWS" localSheetId="42">#REF!</definedName>
    <definedName name="RWS" localSheetId="31">#REF!</definedName>
    <definedName name="RWS">#REF!</definedName>
    <definedName name="rwsrate">'[225]ssr-rates'!$B$1:$J$1644</definedName>
    <definedName name="s" localSheetId="33">#REF!</definedName>
    <definedName name="s" localSheetId="34">#REF!</definedName>
    <definedName name="s" localSheetId="35">#REF!</definedName>
    <definedName name="s" localSheetId="5">#REF!</definedName>
    <definedName name="s" localSheetId="8">#REF!</definedName>
    <definedName name="s" localSheetId="10">#REF!</definedName>
    <definedName name="s" localSheetId="11">#REF!</definedName>
    <definedName name="s" localSheetId="37">#REF!</definedName>
    <definedName name="s" localSheetId="28">#REF!</definedName>
    <definedName name="s" localSheetId="42">#REF!</definedName>
    <definedName name="s" localSheetId="31">#REF!</definedName>
    <definedName name="s">#REF!</definedName>
    <definedName name="S_10" localSheetId="37">[226]RMR!$L$23</definedName>
    <definedName name="S_10">[95]RMR!$L$23</definedName>
    <definedName name="S_20" localSheetId="37">[226]RMR!$L$21</definedName>
    <definedName name="S_20">[95]RMR!$L$21</definedName>
    <definedName name="s_33">"$#REF!.$#REF!$#REF!"</definedName>
    <definedName name="s_34">"$#REF!.$#REF!$#REF!"</definedName>
    <definedName name="sa" localSheetId="37">[113]Data.F8.BTR!#REF!</definedName>
    <definedName name="sa">[113]Data.F8.BTR!#REF!</definedName>
    <definedName name="sa_33">#N/A</definedName>
    <definedName name="sa_38">#N/A</definedName>
    <definedName name="sa_41">#N/A</definedName>
    <definedName name="sa_7">#N/A</definedName>
    <definedName name="sa_8">#N/A</definedName>
    <definedName name="sad" localSheetId="14" hidden="1">{"'ridftotal'!$A$4:$S$27"}</definedName>
    <definedName name="sad" localSheetId="28" hidden="1">{"'ridftotal'!$A$4:$S$27"}</definedName>
    <definedName name="sad" localSheetId="42" hidden="1">{"'ridftotal'!$A$4:$S$27"}</definedName>
    <definedName name="sad" hidden="1">{"'ridftotal'!$A$4:$S$27"}</definedName>
    <definedName name="sadfas" localSheetId="33">#REF!</definedName>
    <definedName name="sadfas" localSheetId="34">#REF!</definedName>
    <definedName name="sadfas" localSheetId="35">#REF!</definedName>
    <definedName name="sadfas" localSheetId="5">#REF!</definedName>
    <definedName name="sadfas" localSheetId="8">#REF!</definedName>
    <definedName name="sadfas" localSheetId="10">#REF!</definedName>
    <definedName name="sadfas" localSheetId="11">#REF!</definedName>
    <definedName name="sadfas" localSheetId="37">#REF!</definedName>
    <definedName name="sadfas" localSheetId="28">#REF!</definedName>
    <definedName name="sadfas" localSheetId="42">#REF!</definedName>
    <definedName name="sadfas" localSheetId="31">#REF!</definedName>
    <definedName name="sadfas">#REF!</definedName>
    <definedName name="sadfas_33">"$#REF!.$#REF!$#REF!"</definedName>
    <definedName name="sadfas_34">"$#REF!.$#REF!$#REF!"</definedName>
    <definedName name="sai" localSheetId="33">#REF!</definedName>
    <definedName name="sai" localSheetId="34">#REF!</definedName>
    <definedName name="sai" localSheetId="5">#REF!</definedName>
    <definedName name="sai" localSheetId="8">#REF!</definedName>
    <definedName name="sai" localSheetId="10">#REF!</definedName>
    <definedName name="sai" localSheetId="11">#REF!</definedName>
    <definedName name="sai" localSheetId="28">#REF!</definedName>
    <definedName name="sai" localSheetId="42">#REF!</definedName>
    <definedName name="sai">#REF!</definedName>
    <definedName name="sand" localSheetId="37">[53]rdamdata!$J$12</definedName>
    <definedName name="sand">[25]rdamdata!$J$12</definedName>
    <definedName name="SAND_M" localSheetId="37">[226]RMR!$L$25</definedName>
    <definedName name="SAND_M">[95]RMR!$L$25</definedName>
    <definedName name="Sand_screened" localSheetId="8">#REF!</definedName>
    <definedName name="Sand_screened" localSheetId="10">#REF!</definedName>
    <definedName name="Sand_screened" localSheetId="11">#REF!</definedName>
    <definedName name="Sand_screened" localSheetId="28">#REF!</definedName>
    <definedName name="Sand_screened">#REF!</definedName>
    <definedName name="Sand_Type" localSheetId="37">'[83]data existing_do not delete'!$A$73:$A$75</definedName>
    <definedName name="Sand_Type">'[84]data existing_do not delete'!$A$73:$A$75</definedName>
    <definedName name="SAND1" localSheetId="28">#REF!</definedName>
    <definedName name="SandF" localSheetId="37">[67]maya!$A$30:$A$31</definedName>
    <definedName name="SandF">[63]maya!$A$30:$A$31</definedName>
    <definedName name="SANDFILLING" localSheetId="33">#REF!</definedName>
    <definedName name="SANDFILLING" localSheetId="34">#REF!</definedName>
    <definedName name="SANDFILLING" localSheetId="5">#REF!</definedName>
    <definedName name="SANDFILLING" localSheetId="8">#REF!</definedName>
    <definedName name="SANDFILLING" localSheetId="10">#REF!</definedName>
    <definedName name="sandfilling" localSheetId="11">#REF!</definedName>
    <definedName name="SANDFILLING" localSheetId="37">#REF!</definedName>
    <definedName name="SANDFILLING" localSheetId="28">#REF!</definedName>
    <definedName name="SANDFILLING" localSheetId="42">#REF!</definedName>
    <definedName name="SANDFILLING">#REF!</definedName>
    <definedName name="sandmortar" localSheetId="8">#REF!</definedName>
    <definedName name="sandmortar" localSheetId="10">#REF!</definedName>
    <definedName name="sandmortar" localSheetId="11">#REF!</definedName>
    <definedName name="sandmortar" localSheetId="28">#REF!</definedName>
    <definedName name="sandmortar">#REF!</definedName>
    <definedName name="sandscreen" localSheetId="8">#REF!</definedName>
    <definedName name="sandscreen" localSheetId="10">#REF!</definedName>
    <definedName name="sandscreen" localSheetId="11">#REF!</definedName>
    <definedName name="sandscreen" localSheetId="28">#REF!</definedName>
    <definedName name="sandscreen">#REF!</definedName>
    <definedName name="SASA">#REF!</definedName>
    <definedName name="saw">[90]Well!$H$38</definedName>
    <definedName name="sb">#REF!</definedName>
    <definedName name="sbc" localSheetId="8">#REF!</definedName>
    <definedName name="sbc" localSheetId="10">#REF!</definedName>
    <definedName name="sbc" localSheetId="11">#REF!</definedName>
    <definedName name="sbc" localSheetId="37">[90]Intput!$L$16</definedName>
    <definedName name="sbc" localSheetId="28">#REF!</definedName>
    <definedName name="sbc">#REF!</definedName>
    <definedName name="sbl">#REF!</definedName>
    <definedName name="sbw">#REF!</definedName>
    <definedName name="sC" localSheetId="33">[74]LEAD!$C$2</definedName>
    <definedName name="sC" localSheetId="34">[74]LEAD!$C$2</definedName>
    <definedName name="sc" localSheetId="8">#REF!</definedName>
    <definedName name="sc" localSheetId="10">#REF!</definedName>
    <definedName name="sC" localSheetId="37">[227]LEAD!$C$2</definedName>
    <definedName name="sc" localSheetId="28">#REF!</definedName>
    <definedName name="sc">#REF!</definedName>
    <definedName name="sc_earth" localSheetId="33">'[228]other rates'!$I$20</definedName>
    <definedName name="sc_earth" localSheetId="34">'[228]other rates'!$I$20</definedName>
    <definedName name="sc_earth" localSheetId="8">#REF!</definedName>
    <definedName name="sc_earth" localSheetId="10">#REF!</definedName>
    <definedName name="sc_earth" localSheetId="37">'[229]other rates'!$I$20</definedName>
    <definedName name="sc_earth" localSheetId="28">#REF!</definedName>
    <definedName name="sc_earth" localSheetId="42">#REF!</definedName>
    <definedName name="sc_earth">#REF!</definedName>
    <definedName name="sc_metal" localSheetId="33">'[228]other rates'!$I$22</definedName>
    <definedName name="sc_metal" localSheetId="34">'[228]other rates'!$I$22</definedName>
    <definedName name="sc_metal" localSheetId="8">#REF!</definedName>
    <definedName name="sc_metal" localSheetId="10">#REF!</definedName>
    <definedName name="sc_metal" localSheetId="37">'[229]other rates'!$I$22</definedName>
    <definedName name="sc_metal" localSheetId="28">#REF!</definedName>
    <definedName name="sc_metal" localSheetId="42">#REF!</definedName>
    <definedName name="sc_metal">#REF!</definedName>
    <definedName name="sc_sand" localSheetId="33">'[228]other rates'!$I$21</definedName>
    <definedName name="sc_sand" localSheetId="34">'[228]other rates'!$I$21</definedName>
    <definedName name="sc_sand" localSheetId="8">#REF!</definedName>
    <definedName name="sc_sand" localSheetId="10">#REF!</definedName>
    <definedName name="sc_sand" localSheetId="37">'[229]other rates'!$I$21</definedName>
    <definedName name="sc_sand" localSheetId="28">#REF!</definedName>
    <definedName name="sc_sand" localSheetId="42">#REF!</definedName>
    <definedName name="sc_sand">#REF!</definedName>
    <definedName name="SC2MV" localSheetId="8">#REF!</definedName>
    <definedName name="SC2MV" localSheetId="10">#REF!</definedName>
    <definedName name="SC2MV" localSheetId="28">#REF!</definedName>
    <definedName name="SC2MV">#REF!</definedName>
    <definedName name="scaffolding_charges" localSheetId="37">'[83]data existing_do not delete'!$D$20:$D$22</definedName>
    <definedName name="scaffolding_charges">'[84]data existing_do not delete'!$D$20:$D$22</definedName>
    <definedName name="scafhire" localSheetId="8">#REF!</definedName>
    <definedName name="scafhire" localSheetId="10">#REF!</definedName>
    <definedName name="scafhire" localSheetId="11">#REF!</definedName>
    <definedName name="scafhire" localSheetId="28">#REF!</definedName>
    <definedName name="scafhire">#REF!</definedName>
    <definedName name="scafhirechr" localSheetId="8">#REF!</definedName>
    <definedName name="scafhirechr" localSheetId="10">#REF!</definedName>
    <definedName name="scafhirechr" localSheetId="11">#REF!</definedName>
    <definedName name="scafhirechr" localSheetId="28">#REF!</definedName>
    <definedName name="scafhirechr">#REF!</definedName>
    <definedName name="scafhirechr1.24" localSheetId="8">#REF!</definedName>
    <definedName name="scafhirechr1.24" localSheetId="10">#REF!</definedName>
    <definedName name="scafhirechr1.24" localSheetId="11">#REF!</definedName>
    <definedName name="scafhirechr1.24" localSheetId="28">#REF!</definedName>
    <definedName name="scafhirechr1.24">#REF!</definedName>
    <definedName name="scafhirechr115" localSheetId="8">#REF!</definedName>
    <definedName name="scafhirechr115" localSheetId="10">#REF!</definedName>
    <definedName name="scafhirechr115" localSheetId="11">#REF!</definedName>
    <definedName name="scafhirechr115" localSheetId="28">#REF!</definedName>
    <definedName name="scafhirechr115">#REF!</definedName>
    <definedName name="scale">#REF!</definedName>
    <definedName name="Scarifying_BT">#REF!</definedName>
    <definedName name="Scarifying_Gravel">#REF!</definedName>
    <definedName name="Scarifying_Gravel_lift1Km.">#REF!</definedName>
    <definedName name="Scarifying_Gravel_VRolling">#REF!</definedName>
    <definedName name="scbc">[90]Intput!$L$114</definedName>
    <definedName name="sd" localSheetId="37">[131]ABS!$D$21</definedName>
    <definedName name="SD">[69]m!$D$149</definedName>
    <definedName name="SDBC" localSheetId="28">#REF!</definedName>
    <definedName name="SDD">[129]m!$D$149</definedName>
    <definedName name="sdf" localSheetId="14" hidden="1">{"'ridftotal'!$A$4:$S$27"}</definedName>
    <definedName name="sdf" localSheetId="28" hidden="1">{"'ridftotal'!$A$4:$S$27"}</definedName>
    <definedName name="sdf" localSheetId="42" hidden="1">{"'ridftotal'!$A$4:$S$27"}</definedName>
    <definedName name="sdf" hidden="1">{"'ridftotal'!$A$4:$S$27"}</definedName>
    <definedName name="sdfd" localSheetId="14" hidden="1">{"'ridftotal'!$A$4:$S$27"}</definedName>
    <definedName name="sdfd" localSheetId="28" hidden="1">{"'ridftotal'!$A$4:$S$27"}</definedName>
    <definedName name="sdfd" localSheetId="42" hidden="1">{"'ridftotal'!$A$4:$S$27"}</definedName>
    <definedName name="sdfd" hidden="1">{"'ridftotal'!$A$4:$S$27"}</definedName>
    <definedName name="sdfdfdfdf" localSheetId="14" hidden="1">{"'ridftotal'!$A$4:$S$27"}</definedName>
    <definedName name="sdfdfdfdf" localSheetId="28" hidden="1">{"'ridftotal'!$A$4:$S$27"}</definedName>
    <definedName name="sdfdfdfdf" localSheetId="42" hidden="1">{"'ridftotal'!$A$4:$S$27"}</definedName>
    <definedName name="sdfdfdfdf" hidden="1">{"'ridftotal'!$A$4:$S$27"}</definedName>
    <definedName name="sdfok">#REF!</definedName>
    <definedName name="sdfsadfsd" localSheetId="5">#REF!</definedName>
    <definedName name="sdfsadfsd" localSheetId="8">#REF!</definedName>
    <definedName name="sdfsadfsd" localSheetId="10">#REF!</definedName>
    <definedName name="sdfsadfsd" localSheetId="28">#REF!</definedName>
    <definedName name="sdfsadfsd">#REF!</definedName>
    <definedName name="sdfsdsdfdf" localSheetId="37">[133]Material!$D$70</definedName>
    <definedName name="sdfsdsdfdf">[134]Material!$D$70</definedName>
    <definedName name="sds" localSheetId="14" hidden="1">{"'ridftotal'!$A$4:$S$27"}</definedName>
    <definedName name="sds" localSheetId="28" hidden="1">{"'ridftotal'!$A$4:$S$27"}</definedName>
    <definedName name="sds" localSheetId="42" hidden="1">{"'ridftotal'!$A$4:$S$27"}</definedName>
    <definedName name="sds" hidden="1">{"'ridftotal'!$A$4:$S$27"}</definedName>
    <definedName name="sdsD" localSheetId="35">#REF!</definedName>
    <definedName name="sdsD" localSheetId="5">#REF!</definedName>
    <definedName name="sdsD" localSheetId="8">#REF!</definedName>
    <definedName name="sdsD" localSheetId="10">#REF!</definedName>
    <definedName name="sdsD" localSheetId="11">#REF!</definedName>
    <definedName name="sdsD" localSheetId="28">#REF!</definedName>
    <definedName name="sdsD" localSheetId="42">#REF!</definedName>
    <definedName name="sdsD" localSheetId="31">#REF!</definedName>
    <definedName name="sdsD">#REF!</definedName>
    <definedName name="sdwessdwe">#REF!</definedName>
    <definedName name="se" localSheetId="33">[72]Lead!#REF!</definedName>
    <definedName name="se" localSheetId="34">[72]Lead!#REF!</definedName>
    <definedName name="se" localSheetId="37">#REF!</definedName>
    <definedName name="SE">#REF!</definedName>
    <definedName name="se_33">#N/A</definedName>
    <definedName name="se_34">#N/A</definedName>
    <definedName name="se_38">#N/A</definedName>
    <definedName name="se_41">#N/A</definedName>
    <definedName name="se_7">#N/A</definedName>
    <definedName name="se_8">#N/A</definedName>
    <definedName name="searth" localSheetId="33">#REF!</definedName>
    <definedName name="searth" localSheetId="34">#REF!</definedName>
    <definedName name="searth" localSheetId="5">#REF!</definedName>
    <definedName name="searth" localSheetId="8">#REF!</definedName>
    <definedName name="searth" localSheetId="10">#REF!</definedName>
    <definedName name="searth" localSheetId="11">#REF!</definedName>
    <definedName name="searth" localSheetId="37">#REF!</definedName>
    <definedName name="searth" localSheetId="28">#REF!</definedName>
    <definedName name="searth" localSheetId="42">#REF!</definedName>
    <definedName name="searth">#REF!</definedName>
    <definedName name="sectorwise" localSheetId="33">#REF!</definedName>
    <definedName name="sectorwise" localSheetId="34">#REF!</definedName>
    <definedName name="sectorwise" localSheetId="35">#REF!</definedName>
    <definedName name="sectorwise" localSheetId="5">#REF!</definedName>
    <definedName name="sectorwise" localSheetId="8">#REF!</definedName>
    <definedName name="sectorwise" localSheetId="10">#REF!</definedName>
    <definedName name="sectorwise" localSheetId="11">#REF!</definedName>
    <definedName name="sectorwise" localSheetId="37">#REF!</definedName>
    <definedName name="sectorwise" localSheetId="28">#REF!</definedName>
    <definedName name="sectorwise" localSheetId="42">#REF!</definedName>
    <definedName name="sectorwise" localSheetId="31">#REF!</definedName>
    <definedName name="sectorwise">#REF!</definedName>
    <definedName name="sei" localSheetId="28">#REF!</definedName>
    <definedName name="seig_earth" localSheetId="28">#REF!</definedName>
    <definedName name="seig_gravel">#REF!</definedName>
    <definedName name="seig_metal">#REF!</definedName>
    <definedName name="seig_sand">#REF!</definedName>
    <definedName name="sein" localSheetId="33">#REF!</definedName>
    <definedName name="sein" localSheetId="34">#REF!</definedName>
    <definedName name="sein" localSheetId="35">#REF!</definedName>
    <definedName name="sein" localSheetId="5">#REF!</definedName>
    <definedName name="sein" localSheetId="8">#REF!</definedName>
    <definedName name="sein" localSheetId="10">#REF!</definedName>
    <definedName name="sein" localSheetId="11">#REF!</definedName>
    <definedName name="sein" localSheetId="37">#REF!</definedName>
    <definedName name="sein" localSheetId="28">#REF!</definedName>
    <definedName name="sein" localSheetId="42">#REF!</definedName>
    <definedName name="sein" localSheetId="31">#REF!</definedName>
    <definedName name="sein">#REF!</definedName>
    <definedName name="sein_33">"$#REF!.$#REF!$#REF!"</definedName>
    <definedName name="sein_34">"$#REF!.$#REF!$#REF!"</definedName>
    <definedName name="sein1" localSheetId="33">#REF!</definedName>
    <definedName name="sein1" localSheetId="34">#REF!</definedName>
    <definedName name="sein1" localSheetId="35">#REF!</definedName>
    <definedName name="sein1" localSheetId="5">#REF!</definedName>
    <definedName name="sein1" localSheetId="8">#REF!</definedName>
    <definedName name="sein1" localSheetId="10">#REF!</definedName>
    <definedName name="sein1" localSheetId="11">#REF!</definedName>
    <definedName name="sein1" localSheetId="37">#REF!</definedName>
    <definedName name="sein1" localSheetId="28">#REF!</definedName>
    <definedName name="sein1" localSheetId="42">#REF!</definedName>
    <definedName name="sein1" localSheetId="31">#REF!</definedName>
    <definedName name="sein1">#REF!</definedName>
    <definedName name="sein1_33">"$#REF!.$#REF!$#REF!"</definedName>
    <definedName name="sein1_34">"$#REF!.$#REF!$#REF!"</definedName>
    <definedName name="sein4" localSheetId="33">#REF!</definedName>
    <definedName name="sein4" localSheetId="34">#REF!</definedName>
    <definedName name="sein4" localSheetId="35">#REF!</definedName>
    <definedName name="sein4" localSheetId="5">#REF!</definedName>
    <definedName name="sein4" localSheetId="8">#REF!</definedName>
    <definedName name="sein4" localSheetId="10">#REF!</definedName>
    <definedName name="sein4" localSheetId="11">#REF!</definedName>
    <definedName name="sein4" localSheetId="37">#REF!</definedName>
    <definedName name="sein4" localSheetId="28">#REF!</definedName>
    <definedName name="sein4" localSheetId="42">#REF!</definedName>
    <definedName name="sein4" localSheetId="31">#REF!</definedName>
    <definedName name="sein4">#REF!</definedName>
    <definedName name="sein4_33">"$#REF!.$#REF!$#REF!"</definedName>
    <definedName name="sein4_34">"$#REF!.$#REF!$#REF!"</definedName>
    <definedName name="seishcof">[90]Intput!$L$59</definedName>
    <definedName name="SelectD1OrC1" localSheetId="28">#REF!</definedName>
    <definedName name="SelectLessOrExcess">#REF!</definedName>
    <definedName name="SEM" localSheetId="28">#REF!</definedName>
    <definedName name="seonalnew" localSheetId="35">#REF!</definedName>
    <definedName name="seonalnew" localSheetId="5">#REF!</definedName>
    <definedName name="seonalnew" localSheetId="8">#REF!</definedName>
    <definedName name="seonalnew" localSheetId="10">#REF!</definedName>
    <definedName name="seonalnew" localSheetId="11">#REF!</definedName>
    <definedName name="seonalnew" localSheetId="28">#REF!</definedName>
    <definedName name="seonalnew" localSheetId="42">#REF!</definedName>
    <definedName name="seonalnew" localSheetId="31">#REF!</definedName>
    <definedName name="seonalnew">#REF!</definedName>
    <definedName name="SES">#REF!</definedName>
    <definedName name="SEVENTOTHIRTEEN" localSheetId="33">#REF!</definedName>
    <definedName name="SEVENTOTHIRTEEN" localSheetId="34">#REF!</definedName>
    <definedName name="SEVENTOTHIRTEEN" localSheetId="5">#REF!</definedName>
    <definedName name="SEVENTOTHIRTEEN" localSheetId="8">#REF!</definedName>
    <definedName name="SEVENTOTHIRTEEN" localSheetId="10">#REF!</definedName>
    <definedName name="SEVENTOTHIRTEEN" localSheetId="37">#REF!</definedName>
    <definedName name="SEVENTOTHIRTEEN" localSheetId="28">#REF!</definedName>
    <definedName name="SEVENTOTHIRTEEN" localSheetId="42">#REF!</definedName>
    <definedName name="SEVENTOTHIRTEEN">#REF!</definedName>
    <definedName name="sf" localSheetId="8">#REF!</definedName>
    <definedName name="sf" localSheetId="10">#REF!</definedName>
    <definedName name="sf" localSheetId="28">#REF!</definedName>
    <definedName name="sf" localSheetId="42">#REF!</definedName>
    <definedName name="sf">#REF!</definedName>
    <definedName name="sfro">[90]Intput!$L$24</definedName>
    <definedName name="sg" localSheetId="37">[111]maya!$A$3:$A$6</definedName>
    <definedName name="sg">[112]maya!$A$3:$A$6</definedName>
    <definedName name="sheet">[230]m!$A$2</definedName>
    <definedName name="sheet_32">#REF!</definedName>
    <definedName name="sheet_43">#REF!</definedName>
    <definedName name="sheet_56">#REF!</definedName>
    <definedName name="sheet_59">#REF!</definedName>
    <definedName name="sheet_61">#REF!</definedName>
    <definedName name="sheet1">#REF!</definedName>
    <definedName name="Sheet2" localSheetId="37">[70]data!#REF!</definedName>
    <definedName name="Sheet2">[70]data!#REF!</definedName>
    <definedName name="Sheet2_23">#N/A</definedName>
    <definedName name="Sheet2_33">#N/A</definedName>
    <definedName name="Sheet2_38">#N/A</definedName>
    <definedName name="Sheet2_41">#N/A</definedName>
    <definedName name="Sheet2_43">#N/A</definedName>
    <definedName name="Sheet2_48">#N/A</definedName>
    <definedName name="Sheet2_57">#N/A</definedName>
    <definedName name="Sheet2_59">#N/A</definedName>
    <definedName name="Sheet2_60">#N/A</definedName>
    <definedName name="Sheet2_61">#N/A</definedName>
    <definedName name="Sheet2_62">#N/A</definedName>
    <definedName name="Sheet2_7">#N/A</definedName>
    <definedName name="Sheet2_72">#N/A</definedName>
    <definedName name="Sheet2_73">#N/A</definedName>
    <definedName name="Sheet2_8">#N/A</definedName>
    <definedName name="SHOULDERS" localSheetId="33">#REF!</definedName>
    <definedName name="SHOULDERS" localSheetId="34">#REF!</definedName>
    <definedName name="SHOULDERS" localSheetId="5">#REF!</definedName>
    <definedName name="SHOULDERS" localSheetId="8">#REF!</definedName>
    <definedName name="SHOULDERS" localSheetId="10">#REF!</definedName>
    <definedName name="SHOULDERS" localSheetId="11">#REF!</definedName>
    <definedName name="SHOULDERS" localSheetId="37">#REF!</definedName>
    <definedName name="SHOULDERS" localSheetId="28">#REF!</definedName>
    <definedName name="SHOULDERS" localSheetId="42">#REF!</definedName>
    <definedName name="SHOULDERS">#REF!</definedName>
    <definedName name="Shyam" localSheetId="33">[231]Data_Renuals!#REF!</definedName>
    <definedName name="Shyam" localSheetId="34">[231]Data_Renuals!#REF!</definedName>
    <definedName name="Shyam" localSheetId="5">#REF!</definedName>
    <definedName name="Shyam" localSheetId="8">#REF!</definedName>
    <definedName name="Shyam" localSheetId="10">#REF!</definedName>
    <definedName name="Shyam" localSheetId="37">[231]Data_Renuals!#REF!</definedName>
    <definedName name="Shyam" localSheetId="28">#REF!</definedName>
    <definedName name="Shyam" localSheetId="42">#REF!</definedName>
    <definedName name="Shyam">#REF!</definedName>
    <definedName name="si" localSheetId="8">#REF!</definedName>
    <definedName name="si" localSheetId="10">#REF!</definedName>
    <definedName name="si" localSheetId="11">#REF!</definedName>
    <definedName name="si" localSheetId="28">#REF!</definedName>
    <definedName name="si">#REF!</definedName>
    <definedName name="SIDEWALL" localSheetId="8">#REF!</definedName>
    <definedName name="SIDEWALL" localSheetId="10">#REF!</definedName>
    <definedName name="SIDEWALL" localSheetId="11">#REF!</definedName>
    <definedName name="SIDEWALL" localSheetId="28">#REF!</definedName>
    <definedName name="SIDEWALL">#REF!</definedName>
    <definedName name="SIDEWALLSONETOSIX" localSheetId="33">#REF!</definedName>
    <definedName name="SIDEWALLSONETOSIX" localSheetId="34">#REF!</definedName>
    <definedName name="SIDEWALLSONETOSIX" localSheetId="5">#REF!</definedName>
    <definedName name="SIDEWALLSONETOSIX" localSheetId="8">#REF!</definedName>
    <definedName name="SIDEWALLSONETOSIX" localSheetId="10">#REF!</definedName>
    <definedName name="SIDEWALLSONETOSIX" localSheetId="37">#REF!</definedName>
    <definedName name="SIDEWALLSONETOSIX" localSheetId="28">#REF!</definedName>
    <definedName name="SIDEWALLSONETOSIX" localSheetId="42">#REF!</definedName>
    <definedName name="SIDEWALLSONETOSIX">#REF!</definedName>
    <definedName name="SIDEWALLSSEVENTOTHIRTEEN" localSheetId="33">#REF!</definedName>
    <definedName name="SIDEWALLSSEVENTOTHIRTEEN" localSheetId="34">#REF!</definedName>
    <definedName name="SIDEWALLSSEVENTOTHIRTEEN" localSheetId="5">#REF!</definedName>
    <definedName name="SIDEWALLSSEVENTOTHIRTEEN" localSheetId="8">#REF!</definedName>
    <definedName name="SIDEWALLSSEVENTOTHIRTEEN" localSheetId="10">#REF!</definedName>
    <definedName name="SIDEWALLSSEVENTOTHIRTEEN" localSheetId="37">#REF!</definedName>
    <definedName name="SIDEWALLSSEVENTOTHIRTEEN" localSheetId="28">#REF!</definedName>
    <definedName name="SIDEWALLSSEVENTOTHIRTEEN" localSheetId="42">#REF!</definedName>
    <definedName name="SIDEWALLSSEVENTOTHIRTEEN">#REF!</definedName>
    <definedName name="sidlr">[90]Load!$F$53</definedName>
    <definedName name="sir" localSheetId="33">#REF!</definedName>
    <definedName name="sir" localSheetId="34">#REF!</definedName>
    <definedName name="sir" localSheetId="5">#REF!</definedName>
    <definedName name="sir" localSheetId="8">#REF!</definedName>
    <definedName name="sir" localSheetId="10">#REF!</definedName>
    <definedName name="sir" localSheetId="37">#REF!</definedName>
    <definedName name="sir" localSheetId="28">#REF!</definedName>
    <definedName name="sir" localSheetId="42">#REF!</definedName>
    <definedName name="sir">#REF!</definedName>
    <definedName name="SIXTOTHIRTEEN" localSheetId="33">#REF!</definedName>
    <definedName name="SIXTOTHIRTEEN" localSheetId="34">#REF!</definedName>
    <definedName name="SIXTOTHIRTEEN" localSheetId="5">#REF!</definedName>
    <definedName name="SIXTOTHIRTEEN" localSheetId="8">#REF!</definedName>
    <definedName name="SIXTOTHIRTEEN" localSheetId="10">#REF!</definedName>
    <definedName name="SIXTOTHIRTEEN" localSheetId="28">#REF!</definedName>
    <definedName name="SIXTOTHIRTEEN" localSheetId="42">#REF!</definedName>
    <definedName name="SIXTOTHIRTEEN">#REF!</definedName>
    <definedName name="SKDIRD" localSheetId="14" hidden="1">{"'ridftotal'!$A$4:$S$27"}</definedName>
    <definedName name="SKDIRD" localSheetId="11" hidden="1">{"'ridftotal'!$A$4:$S$27"}</definedName>
    <definedName name="SKDIRD" localSheetId="37" hidden="1">{"'ridftotal'!$A$4:$S$27"}</definedName>
    <definedName name="SKDIRD" localSheetId="46" hidden="1">{"'ridftotal'!$A$4:$S$27"}</definedName>
    <definedName name="SKDIRD" localSheetId="28" hidden="1">{"'ridftotal'!$A$4:$S$27"}</definedName>
    <definedName name="SKDIRD" localSheetId="19" hidden="1">{"'ridftotal'!$A$4:$S$27"}</definedName>
    <definedName name="SKDIRD" localSheetId="42" hidden="1">{"'ridftotal'!$A$4:$S$27"}</definedName>
    <definedName name="SKDIRD" localSheetId="9" hidden="1">{"'ridftotal'!$A$4:$S$27"}</definedName>
    <definedName name="SKDIRD" localSheetId="3" hidden="1">{"'ridftotal'!$A$4:$S$27"}</definedName>
    <definedName name="SKDIRD" hidden="1">{"'ridftotal'!$A$4:$S$27"}</definedName>
    <definedName name="skirting_shahbad" localSheetId="8">#REF!</definedName>
    <definedName name="skirting_shahbad" localSheetId="10">#REF!</definedName>
    <definedName name="skirting_shahbad" localSheetId="11">#REF!</definedName>
    <definedName name="skirting_shahbad" localSheetId="28">#REF!</definedName>
    <definedName name="skirting_shahbad">#REF!</definedName>
    <definedName name="SL" localSheetId="8">#REF!</definedName>
    <definedName name="SL" localSheetId="10">#REF!</definedName>
    <definedName name="SL" localSheetId="28">#REF!</definedName>
    <definedName name="SL">#REF!</definedName>
    <definedName name="SLAB" localSheetId="37">[55]DATA!$H$113</definedName>
    <definedName name="SLAB">[56]DATA!$H$113</definedName>
    <definedName name="slabculvert" localSheetId="37">[232]ABS!$B$21</definedName>
    <definedName name="slabculvert">#REF!</definedName>
    <definedName name="slm" localSheetId="37">#REF!</definedName>
    <definedName name="slm">#REF!</definedName>
    <definedName name="sluicevalve" localSheetId="33">#REF!</definedName>
    <definedName name="sluicevalve" localSheetId="34">#REF!</definedName>
    <definedName name="sluicevalve" localSheetId="5">#REF!</definedName>
    <definedName name="sluicevalve" localSheetId="8">#REF!</definedName>
    <definedName name="sluicevalve" localSheetId="10">#REF!</definedName>
    <definedName name="sluicevalve" localSheetId="28">#REF!</definedName>
    <definedName name="sluicevalve" localSheetId="42">#REF!</definedName>
    <definedName name="sluicevalve">#REF!</definedName>
    <definedName name="SLUICEVALVES" localSheetId="33">#REF!</definedName>
    <definedName name="SLUICEVALVES" localSheetId="34">#REF!</definedName>
    <definedName name="SLUICEVALVES" localSheetId="5">#REF!</definedName>
    <definedName name="SLUICEVALVES" localSheetId="8">#REF!</definedName>
    <definedName name="SLUICEVALVES" localSheetId="10">#REF!</definedName>
    <definedName name="SLUICEVALVES" localSheetId="28">#REF!</definedName>
    <definedName name="SLUICEVALVES" localSheetId="42">#REF!</definedName>
    <definedName name="SLUICEVALVES">#REF!</definedName>
    <definedName name="sm" localSheetId="8">#REF!</definedName>
    <definedName name="sm" localSheetId="10">#REF!</definedName>
    <definedName name="sm" localSheetId="28">#REF!</definedName>
    <definedName name="sm" localSheetId="42">#REF!</definedName>
    <definedName name="sm">#REF!</definedName>
    <definedName name="sma">#REF!</definedName>
    <definedName name="smetal" localSheetId="33">#REF!</definedName>
    <definedName name="smetal" localSheetId="34">#REF!</definedName>
    <definedName name="smetal" localSheetId="5">#REF!</definedName>
    <definedName name="smetal" localSheetId="8">#REF!</definedName>
    <definedName name="smetal" localSheetId="10">#REF!</definedName>
    <definedName name="smetal" localSheetId="11">#REF!</definedName>
    <definedName name="smetal" localSheetId="37">#REF!</definedName>
    <definedName name="smetal" localSheetId="28">#REF!</definedName>
    <definedName name="smetal" localSheetId="42">#REF!</definedName>
    <definedName name="smetal">#REF!</definedName>
    <definedName name="sngbr" localSheetId="37">[198]l!$J$10</definedName>
    <definedName name="sngbr">[199]l!$J$10</definedName>
    <definedName name="sngsd" localSheetId="37">[198]l!$J$9</definedName>
    <definedName name="sngsd">[199]l!$J$9</definedName>
    <definedName name="sngst" localSheetId="37">[198]l!$J$8</definedName>
    <definedName name="sngst">[199]l!$J$8</definedName>
    <definedName name="so_desgn" localSheetId="37">[233]Data_Base!$E$2:$F$11</definedName>
    <definedName name="so_desgn">[234]Data_Base!$E$2:$F$11</definedName>
    <definedName name="soil_type" localSheetId="37">'[83]data existing_do not delete'!$I$2:$I$9</definedName>
    <definedName name="soil_type">'[84]data existing_do not delete'!$I$2:$I$9</definedName>
    <definedName name="soil_types" localSheetId="37">'[235]data existing_do not delete'!$I$2:$I$9</definedName>
    <definedName name="soil_types">'[236]data existing_do not delete'!$I$2:$I$9</definedName>
    <definedName name="Soling">#REF!</definedName>
    <definedName name="sp">#REF!</definedName>
    <definedName name="sp002a" localSheetId="8">#REF!</definedName>
    <definedName name="sp002a" localSheetId="10">#REF!</definedName>
    <definedName name="sp002a" localSheetId="11">#REF!</definedName>
    <definedName name="sp002a" localSheetId="28">#REF!</definedName>
    <definedName name="sp002a">#REF!</definedName>
    <definedName name="sp004a" localSheetId="8">#REF!</definedName>
    <definedName name="sp004a" localSheetId="10">#REF!</definedName>
    <definedName name="sp004a" localSheetId="11">#REF!</definedName>
    <definedName name="sp004a" localSheetId="28">#REF!</definedName>
    <definedName name="sp004a">#REF!</definedName>
    <definedName name="SP005A" localSheetId="8">#REF!</definedName>
    <definedName name="SP005A" localSheetId="10">#REF!</definedName>
    <definedName name="SP005A" localSheetId="11">#REF!</definedName>
    <definedName name="SP005A" localSheetId="28">#REF!</definedName>
    <definedName name="SP005A">#REF!</definedName>
    <definedName name="SP022a" localSheetId="8">#REF!</definedName>
    <definedName name="SP022a" localSheetId="10">#REF!</definedName>
    <definedName name="SP022a" localSheetId="11">#REF!</definedName>
    <definedName name="SP022a" localSheetId="28">#REF!</definedName>
    <definedName name="SP022a">#REF!</definedName>
    <definedName name="sp023a" localSheetId="8">#REF!</definedName>
    <definedName name="sp023a" localSheetId="10">#REF!</definedName>
    <definedName name="sp023a" localSheetId="11">#REF!</definedName>
    <definedName name="sp023a" localSheetId="28">#REF!</definedName>
    <definedName name="sp023a">#REF!</definedName>
    <definedName name="sp025a" localSheetId="8">#REF!</definedName>
    <definedName name="sp025a" localSheetId="10">#REF!</definedName>
    <definedName name="sp025a" localSheetId="11">#REF!</definedName>
    <definedName name="sp025a" localSheetId="28">#REF!</definedName>
    <definedName name="sp025a">#REF!</definedName>
    <definedName name="SP034a" localSheetId="8">#REF!</definedName>
    <definedName name="SP034a" localSheetId="10">#REF!</definedName>
    <definedName name="SP034a" localSheetId="11">#REF!</definedName>
    <definedName name="SP034a" localSheetId="28">#REF!</definedName>
    <definedName name="SP034a">#REF!</definedName>
    <definedName name="spaint">#REF!</definedName>
    <definedName name="spas" localSheetId="8">#REF!</definedName>
    <definedName name="spas" localSheetId="10">#REF!</definedName>
    <definedName name="spas" localSheetId="11">#REF!</definedName>
    <definedName name="spas" localSheetId="28">#REF!</definedName>
    <definedName name="spas">#REF!</definedName>
    <definedName name="spds" localSheetId="8">#REF!</definedName>
    <definedName name="spds" localSheetId="10">#REF!</definedName>
    <definedName name="spds" localSheetId="11">#REF!</definedName>
    <definedName name="spds" localSheetId="28">#REF!</definedName>
    <definedName name="spds">#REF!</definedName>
    <definedName name="SpecialPrice" localSheetId="35" hidden="1">#REF!</definedName>
    <definedName name="SpecialPrice" localSheetId="5" hidden="1">#REF!</definedName>
    <definedName name="SpecialPrice" localSheetId="29" hidden="1">#REF!</definedName>
    <definedName name="SpecialPrice" localSheetId="8" hidden="1">#REF!</definedName>
    <definedName name="SpecialPrice" localSheetId="10" hidden="1">#REF!</definedName>
    <definedName name="SpecialPrice" localSheetId="11" hidden="1">#REF!</definedName>
    <definedName name="SpecialPrice" localSheetId="43" hidden="1">#REF!</definedName>
    <definedName name="SpecialPrice" localSheetId="27" hidden="1">#REF!</definedName>
    <definedName name="SpecialPrice" localSheetId="46" hidden="1">#REF!</definedName>
    <definedName name="SpecialPrice" localSheetId="28" hidden="1">#REF!</definedName>
    <definedName name="SpecialPrice" localSheetId="19" hidden="1">#REF!</definedName>
    <definedName name="SpecialPrice" localSheetId="42" hidden="1">#REF!</definedName>
    <definedName name="SpecialPrice" localSheetId="32" hidden="1">#REF!</definedName>
    <definedName name="SpecialPrice" localSheetId="31" hidden="1">#REF!</definedName>
    <definedName name="SpecialPrice" localSheetId="9" hidden="1">#REF!</definedName>
    <definedName name="SpecialPrice" localSheetId="3" hidden="1">#REF!</definedName>
    <definedName name="SpecialPrice" hidden="1">#REF!</definedName>
    <definedName name="specific">[129]m!$D$149</definedName>
    <definedName name="Specification" localSheetId="37">[237]Specification!$B$3:$E$108</definedName>
    <definedName name="Specification">[238]Specification!$B$3:$E$108</definedName>
    <definedName name="spl" localSheetId="28">#REF!</definedName>
    <definedName name="SPREADING_40MM" localSheetId="33">#REF!</definedName>
    <definedName name="SPREADING_40MM" localSheetId="34">#REF!</definedName>
    <definedName name="SPREADING_40MM" localSheetId="5">#REF!</definedName>
    <definedName name="SPREADING_40MM" localSheetId="8">#REF!</definedName>
    <definedName name="SPREADING_40MM" localSheetId="10">#REF!</definedName>
    <definedName name="SPREADING_40MM" localSheetId="11">#REF!</definedName>
    <definedName name="SPREADING_40MM" localSheetId="37">#REF!</definedName>
    <definedName name="SPREADING_40MM" localSheetId="28">#REF!</definedName>
    <definedName name="SPREADING_40MM" localSheetId="42">#REF!</definedName>
    <definedName name="SPREADING_40MM">#REF!</definedName>
    <definedName name="SPREADING_65MM" localSheetId="37">'[221]Road data'!#REF!</definedName>
    <definedName name="SPREADING_65MM">#REF!</definedName>
    <definedName name="SPREADING_65MM_23">#N/A</definedName>
    <definedName name="SPREADING_65MM_33">#N/A</definedName>
    <definedName name="SPREADING_65MM_34">#N/A</definedName>
    <definedName name="SPREADING_65MM_38">#N/A</definedName>
    <definedName name="SPREADING_65MM_41">#N/A</definedName>
    <definedName name="SPREADING_65MM_43">#N/A</definedName>
    <definedName name="SPREADING_65MM_48">#N/A</definedName>
    <definedName name="SPREADING_65MM_57">#N/A</definedName>
    <definedName name="SPREADING_65MM_59">#N/A</definedName>
    <definedName name="SPREADING_65MM_60">#N/A</definedName>
    <definedName name="SPREADING_65MM_61">#N/A</definedName>
    <definedName name="SPREADING_65MM_62">#N/A</definedName>
    <definedName name="SPREADING_65MM_7">#N/A</definedName>
    <definedName name="SPREADING_65MM_72">#N/A</definedName>
    <definedName name="SPREADING_65MM_73">#N/A</definedName>
    <definedName name="SPREADING_65MM_8">#N/A</definedName>
    <definedName name="spryer" localSheetId="28">#REF!</definedName>
    <definedName name="sr">[69]m!$M$3</definedName>
    <definedName name="sreenu" localSheetId="28">#REF!</definedName>
    <definedName name="sri">[69]m!$D$149</definedName>
    <definedName name="srinu">[69]m!$M$3</definedName>
    <definedName name="SRS">#REF!</definedName>
    <definedName name="ss" localSheetId="33">#REF!</definedName>
    <definedName name="ss" localSheetId="34">#REF!</definedName>
    <definedName name="ss" localSheetId="35">#REF!</definedName>
    <definedName name="ss" localSheetId="5">#REF!</definedName>
    <definedName name="ss" localSheetId="8">#REF!</definedName>
    <definedName name="ss" localSheetId="10">#REF!</definedName>
    <definedName name="ss" localSheetId="11">#REF!</definedName>
    <definedName name="ss" localSheetId="37">#REF!</definedName>
    <definedName name="ss" localSheetId="28">#REF!</definedName>
    <definedName name="ss" localSheetId="42">#REF!</definedName>
    <definedName name="ss" localSheetId="31">#REF!</definedName>
    <definedName name="ss">#REF!</definedName>
    <definedName name="ss_23">"$#REF!.$#REF!$#REF!:$#REF!$#REF!"</definedName>
    <definedName name="ss_33">"$#REF!.$#REF!$#REF!"</definedName>
    <definedName name="ss_34">"$#REF!.$#REF!$#REF!"</definedName>
    <definedName name="ss_38">"$#REF!.$#REF!$#REF!:$#REF!$#REF!"</definedName>
    <definedName name="ss_41">"$#REF!.$#REF!$#REF!:$#REF!$#REF!"</definedName>
    <definedName name="ss_43">"$#REF!.$#REF!$#REF!:$#REF!$#REF!"</definedName>
    <definedName name="ss_48">"$#REF!.$#REF!$#REF!:$#REF!$#REF!"</definedName>
    <definedName name="ss_57">"$#REF!.$#REF!$#REF!:$#REF!$#REF!"</definedName>
    <definedName name="ss_59">"$#REF!.$#REF!$#REF!:$#REF!$#REF!"</definedName>
    <definedName name="ss_60">"$#REF!.$#REF!$#REF!:$#REF!$#REF!"</definedName>
    <definedName name="ss_61">"$#REF!.$#REF!$#REF!:$#REF!$#REF!"</definedName>
    <definedName name="ss_62">"$#REF!.$#REF!$#REF!:$#REF!$#REF!"</definedName>
    <definedName name="ss_7">"$#REF!.$#REF!$#REF!:$#REF!$#REF!"</definedName>
    <definedName name="ss_72">"$#REF!.$#REF!$#REF!:$#REF!$#REF!"</definedName>
    <definedName name="ss_73">"$#REF!.$#REF!$#REF!:$#REF!$#REF!"</definedName>
    <definedName name="ss_8">"$#REF!.$#REF!$#REF!:$#REF!$#REF!"</definedName>
    <definedName name="ss_pipes" localSheetId="8">#REF!</definedName>
    <definedName name="ss_pipes" localSheetId="10">#REF!</definedName>
    <definedName name="ss_pipes" localSheetId="11">#REF!</definedName>
    <definedName name="ss_pipes" localSheetId="28">#REF!</definedName>
    <definedName name="ss_pipes">#REF!</definedName>
    <definedName name="ss_railing" localSheetId="8">#REF!</definedName>
    <definedName name="ss_railing" localSheetId="10">#REF!</definedName>
    <definedName name="ss_railing" localSheetId="11">#REF!</definedName>
    <definedName name="ss_railing" localSheetId="28">#REF!</definedName>
    <definedName name="ss_railing">#REF!</definedName>
    <definedName name="ss12_33">#REF!</definedName>
    <definedName name="ss12_34">#REF!</definedName>
    <definedName name="ss20_33">#REF!</definedName>
    <definedName name="ss20_34">#REF!</definedName>
    <definedName name="ss40_33">#REF!</definedName>
    <definedName name="ss40_34">#REF!</definedName>
    <definedName name="ssand" localSheetId="33">#REF!</definedName>
    <definedName name="ssand" localSheetId="34">#REF!</definedName>
    <definedName name="ssand" localSheetId="5">#REF!</definedName>
    <definedName name="ssand" localSheetId="8">#REF!</definedName>
    <definedName name="ssand" localSheetId="10">#REF!</definedName>
    <definedName name="ssand" localSheetId="37">#REF!</definedName>
    <definedName name="ssand" localSheetId="28">#REF!</definedName>
    <definedName name="ssand" localSheetId="42">#REF!</definedName>
    <definedName name="ssand">#REF!</definedName>
    <definedName name="ssd">#REF!</definedName>
    <definedName name="SSF" localSheetId="8">#REF!</definedName>
    <definedName name="SSF" localSheetId="10">#REF!</definedName>
    <definedName name="SSF" localSheetId="11">#REF!</definedName>
    <definedName name="SSF" localSheetId="28">#REF!</definedName>
    <definedName name="SSF">#REF!</definedName>
    <definedName name="ssfsfsfswrw" localSheetId="28">#REF!</definedName>
    <definedName name="SSROHCP">'[180]other rates'!$H$26</definedName>
    <definedName name="SSRYEAR">[180]LEAD!$N$1</definedName>
    <definedName name="sss" localSheetId="33">#REF!</definedName>
    <definedName name="sss" localSheetId="34">#REF!</definedName>
    <definedName name="sss" localSheetId="35">#REF!</definedName>
    <definedName name="sss" localSheetId="5">#REF!</definedName>
    <definedName name="sss" localSheetId="8">#REF!</definedName>
    <definedName name="sss" localSheetId="10">#REF!</definedName>
    <definedName name="sss" localSheetId="11">#REF!</definedName>
    <definedName name="sss" localSheetId="37">#REF!</definedName>
    <definedName name="sss" localSheetId="28">#REF!</definedName>
    <definedName name="sss" localSheetId="42">#REF!</definedName>
    <definedName name="sss" localSheetId="31">#REF!</definedName>
    <definedName name="sss">#REF!</definedName>
    <definedName name="sss_33">"$#REF!.$#REF!$#REF!"</definedName>
    <definedName name="sss_34">"$#REF!.$#REF!$#REF!"</definedName>
    <definedName name="sssaaa" localSheetId="8">#REF!</definedName>
    <definedName name="sssaaa" localSheetId="10">#REF!</definedName>
    <definedName name="sssaaa" localSheetId="11">#REF!</definedName>
    <definedName name="sssaaa" localSheetId="28">#REF!</definedName>
    <definedName name="sssaaa">#REF!</definedName>
    <definedName name="ssss">#REF!</definedName>
    <definedName name="SSSSS" localSheetId="37">[113]Data.F8.BTR!#REF!</definedName>
    <definedName name="SSSSS">[113]Data.F8.BTR!#REF!</definedName>
    <definedName name="sssssss">#REF!</definedName>
    <definedName name="sssssssssssssssssssss">#REF!</definedName>
    <definedName name="SSSSSSSSSSSSSSSSSSSSSSSSSSSSSSSSSSSSSSSSS">#REF!</definedName>
    <definedName name="sst">[90]Intput!$L$120</definedName>
    <definedName name="st" localSheetId="8">#REF!</definedName>
    <definedName name="st" localSheetId="10">#REF!</definedName>
    <definedName name="st" localSheetId="28">#REF!</definedName>
    <definedName name="st">#REF!</definedName>
    <definedName name="stack" localSheetId="33">#REF!</definedName>
    <definedName name="stack" localSheetId="34">#REF!</definedName>
    <definedName name="stack" localSheetId="35">#REF!</definedName>
    <definedName name="stack" localSheetId="5">#REF!</definedName>
    <definedName name="stack" localSheetId="8">#REF!</definedName>
    <definedName name="stack" localSheetId="10">#REF!</definedName>
    <definedName name="stack" localSheetId="11">#REF!</definedName>
    <definedName name="stack" localSheetId="37">#REF!</definedName>
    <definedName name="stack" localSheetId="28">#REF!</definedName>
    <definedName name="stack" localSheetId="42">#REF!</definedName>
    <definedName name="stack" localSheetId="31">#REF!</definedName>
    <definedName name="stack">#REF!</definedName>
    <definedName name="stack_33">"$#REF!.$#REF!$#REF!"</definedName>
    <definedName name="stack_34">"$#REF!.$#REF!$#REF!"</definedName>
    <definedName name="stack1" localSheetId="33">#REF!</definedName>
    <definedName name="stack1" localSheetId="34">#REF!</definedName>
    <definedName name="stack1" localSheetId="35">#REF!</definedName>
    <definedName name="stack1" localSheetId="5">#REF!</definedName>
    <definedName name="stack1" localSheetId="8">#REF!</definedName>
    <definedName name="stack1" localSheetId="10">#REF!</definedName>
    <definedName name="stack1" localSheetId="11">#REF!</definedName>
    <definedName name="stack1" localSheetId="37">#REF!</definedName>
    <definedName name="stack1" localSheetId="28">#REF!</definedName>
    <definedName name="stack1" localSheetId="42">#REF!</definedName>
    <definedName name="stack1" localSheetId="31">#REF!</definedName>
    <definedName name="stack1">#REF!</definedName>
    <definedName name="stack1_33">"$#REF!.$#REF!$#REF!"</definedName>
    <definedName name="stack1_34">"$#REF!.$#REF!$#REF!"</definedName>
    <definedName name="stack4" localSheetId="33">#REF!</definedName>
    <definedName name="stack4" localSheetId="34">#REF!</definedName>
    <definedName name="stack4" localSheetId="35">#REF!</definedName>
    <definedName name="stack4" localSheetId="5">#REF!</definedName>
    <definedName name="stack4" localSheetId="8">#REF!</definedName>
    <definedName name="stack4" localSheetId="10">#REF!</definedName>
    <definedName name="stack4" localSheetId="11">#REF!</definedName>
    <definedName name="stack4" localSheetId="37">#REF!</definedName>
    <definedName name="stack4" localSheetId="28">#REF!</definedName>
    <definedName name="stack4" localSheetId="42">#REF!</definedName>
    <definedName name="stack4" localSheetId="31">#REF!</definedName>
    <definedName name="stack4">#REF!</definedName>
    <definedName name="stack4_33">"$#REF!.$#REF!$#REF!"</definedName>
    <definedName name="stack4_34">"$#REF!.$#REF!$#REF!"</definedName>
    <definedName name="stacking">#REF!</definedName>
    <definedName name="staf" localSheetId="37">[239]v!#REF!</definedName>
    <definedName name="staf">[240]v!#REF!</definedName>
    <definedName name="staf_23">#N/A</definedName>
    <definedName name="staf_33">#N/A</definedName>
    <definedName name="staf_34">#N/A</definedName>
    <definedName name="staf_38">#N/A</definedName>
    <definedName name="staf_41">#N/A</definedName>
    <definedName name="staf_43">#N/A</definedName>
    <definedName name="staf_48">#N/A</definedName>
    <definedName name="staf_57">#N/A</definedName>
    <definedName name="staf_59">#N/A</definedName>
    <definedName name="staf_60">#N/A</definedName>
    <definedName name="staf_61">#N/A</definedName>
    <definedName name="staf_62">#N/A</definedName>
    <definedName name="staf_7">#N/A</definedName>
    <definedName name="staf_72">#N/A</definedName>
    <definedName name="staf_73">#N/A</definedName>
    <definedName name="staf_8">#N/A</definedName>
    <definedName name="State" localSheetId="35">#REF!</definedName>
    <definedName name="State" localSheetId="5">#REF!</definedName>
    <definedName name="State" localSheetId="8">#REF!</definedName>
    <definedName name="State" localSheetId="10">#REF!</definedName>
    <definedName name="State" localSheetId="11">#REF!</definedName>
    <definedName name="State" localSheetId="28">#REF!</definedName>
    <definedName name="State" localSheetId="42">#REF!</definedName>
    <definedName name="State" localSheetId="31">#REF!</definedName>
    <definedName name="State">#REF!</definedName>
    <definedName name="STEEL" localSheetId="33">#REF!</definedName>
    <definedName name="STEEL" localSheetId="34">#REF!</definedName>
    <definedName name="STEEL" localSheetId="5">#REF!</definedName>
    <definedName name="STEEL" localSheetId="8">#REF!</definedName>
    <definedName name="STEEL" localSheetId="10">#REF!</definedName>
    <definedName name="STEEL" localSheetId="37">#REF!</definedName>
    <definedName name="STEEL" localSheetId="28">#REF!</definedName>
    <definedName name="STEEL" localSheetId="42">#REF!</definedName>
    <definedName name="STEEL">#REF!</definedName>
    <definedName name="steel_hysd" localSheetId="8">#REF!</definedName>
    <definedName name="steel_hysd" localSheetId="10">#REF!</definedName>
    <definedName name="steel_hysd" localSheetId="11">#REF!</definedName>
    <definedName name="steel_hysd" localSheetId="28">#REF!</definedName>
    <definedName name="steel_hysd">#REF!</definedName>
    <definedName name="steel_mildbar" localSheetId="8">#REF!</definedName>
    <definedName name="steel_mildbar" localSheetId="10">#REF!</definedName>
    <definedName name="steel_mildbar" localSheetId="11">#REF!</definedName>
    <definedName name="steel_mildbar" localSheetId="28">#REF!</definedName>
    <definedName name="steel_mildbar">#REF!</definedName>
    <definedName name="steelcenA" localSheetId="8">#REF!</definedName>
    <definedName name="steelcenA" localSheetId="10">#REF!</definedName>
    <definedName name="steelcenA" localSheetId="11">#REF!</definedName>
    <definedName name="steelcenA" localSheetId="28">#REF!</definedName>
    <definedName name="steelcenA">#REF!</definedName>
    <definedName name="steelcenB" localSheetId="8">#REF!</definedName>
    <definedName name="steelcenB" localSheetId="10">#REF!</definedName>
    <definedName name="steelcenB" localSheetId="11">#REF!</definedName>
    <definedName name="steelcenB" localSheetId="28">#REF!</definedName>
    <definedName name="steelcenB">#REF!</definedName>
    <definedName name="steelcenpb" localSheetId="8">#REF!</definedName>
    <definedName name="steelcenpb" localSheetId="10">#REF!</definedName>
    <definedName name="steelcenpb" localSheetId="11">#REF!</definedName>
    <definedName name="steelcenpb" localSheetId="28">#REF!</definedName>
    <definedName name="steelcenpb">#REF!</definedName>
    <definedName name="sth" localSheetId="8">#REF!</definedName>
    <definedName name="sth" localSheetId="10">#REF!</definedName>
    <definedName name="sth" localSheetId="11">#REF!</definedName>
    <definedName name="sth" localSheetId="28">#REF!</definedName>
    <definedName name="sth">#REF!</definedName>
    <definedName name="stock" localSheetId="8">#REF!</definedName>
    <definedName name="stock" localSheetId="10">#REF!</definedName>
    <definedName name="stock" localSheetId="28">#REF!</definedName>
    <definedName name="stock" localSheetId="42">#REF!</definedName>
    <definedName name="stock">#REF!</definedName>
    <definedName name="STONE" localSheetId="5">#REF!</definedName>
    <definedName name="STONE" localSheetId="37">#REF!</definedName>
    <definedName name="STONE" localSheetId="28">#REF!</definedName>
    <definedName name="STONE" localSheetId="42">#REF!</definedName>
    <definedName name="STONE">#REF!</definedName>
    <definedName name="STONEDUST" localSheetId="33">#REF!</definedName>
    <definedName name="STONEDUST" localSheetId="34">#REF!</definedName>
    <definedName name="STONEDUST" localSheetId="5">#REF!</definedName>
    <definedName name="STONEDUST" localSheetId="8">#REF!</definedName>
    <definedName name="STONEDUST" localSheetId="10">#REF!</definedName>
    <definedName name="STONEDUST" localSheetId="11">#REF!</definedName>
    <definedName name="STONEDUST" localSheetId="37">#REF!</definedName>
    <definedName name="STONEDUST" localSheetId="28">#REF!</definedName>
    <definedName name="STONEDUST" localSheetId="42">#REF!</definedName>
    <definedName name="STONEDUST">#REF!</definedName>
    <definedName name="stoneld" localSheetId="37">[139]leads!#REF!</definedName>
    <definedName name="stoneld">[140]leads!#REF!</definedName>
    <definedName name="STR" localSheetId="14">#REF!</definedName>
    <definedName name="STR" localSheetId="8">#REF!</definedName>
    <definedName name="STR" localSheetId="10">#REF!</definedName>
    <definedName name="STR" localSheetId="28">#REF!</definedName>
    <definedName name="STR">#REF!</definedName>
    <definedName name="str_steel" localSheetId="8">#REF!</definedName>
    <definedName name="str_steel" localSheetId="10">#REF!</definedName>
    <definedName name="str_steel" localSheetId="11">#REF!</definedName>
    <definedName name="str_steel" localSheetId="28">#REF!</definedName>
    <definedName name="str_steel">#REF!</definedName>
    <definedName name="str_steel_plates" localSheetId="8">#REF!</definedName>
    <definedName name="str_steel_plates" localSheetId="10">#REF!</definedName>
    <definedName name="str_steel_plates" localSheetId="11">#REF!</definedName>
    <definedName name="str_steel_plates" localSheetId="28">#REF!</definedName>
    <definedName name="str_steel_plates">#REF!</definedName>
    <definedName name="stth" localSheetId="8">#REF!</definedName>
    <definedName name="stth" localSheetId="10">#REF!</definedName>
    <definedName name="stth" localSheetId="11">#REF!</definedName>
    <definedName name="stth" localSheetId="37">[90]Well!$F$24</definedName>
    <definedName name="stth" localSheetId="28">#REF!</definedName>
    <definedName name="stth">#REF!</definedName>
    <definedName name="subbu" localSheetId="33">#REF!</definedName>
    <definedName name="subbu" localSheetId="34">#REF!</definedName>
    <definedName name="subbu" localSheetId="5">#REF!</definedName>
    <definedName name="subbu" localSheetId="8">#REF!</definedName>
    <definedName name="subbu" localSheetId="10">#REF!</definedName>
    <definedName name="subbu" localSheetId="37">#REF!</definedName>
    <definedName name="subbu" localSheetId="28">#REF!</definedName>
    <definedName name="subbu" localSheetId="42">#REF!</definedName>
    <definedName name="subbu">#REF!</definedName>
    <definedName name="SubGrade_Shoulders_SelectedEarth">#REF!</definedName>
    <definedName name="sunshade_width" localSheetId="37">'[83]data existing_do not delete'!$A$98:$A$100</definedName>
    <definedName name="sunshade_width">'[84]data existing_do not delete'!$A$98:$A$100</definedName>
    <definedName name="supervisor" localSheetId="28">#REF!</definedName>
    <definedName name="suryacem_paint" localSheetId="8">#REF!</definedName>
    <definedName name="suryacem_paint" localSheetId="10">#REF!</definedName>
    <definedName name="suryacem_paint" localSheetId="11">#REF!</definedName>
    <definedName name="suryacem_paint" localSheetId="28">#REF!</definedName>
    <definedName name="suryacem_paint">#REF!</definedName>
    <definedName name="sw" localSheetId="37">[123]Lead!#REF!</definedName>
    <definedName name="sw">[123]Lead!#REF!</definedName>
    <definedName name="sw_23">#N/A</definedName>
    <definedName name="sw_33">#N/A</definedName>
    <definedName name="sw_34">#N/A</definedName>
    <definedName name="sw_38">#N/A</definedName>
    <definedName name="sw_41">#N/A</definedName>
    <definedName name="sw_43">#N/A</definedName>
    <definedName name="sw_48">#N/A</definedName>
    <definedName name="sw_57">#N/A</definedName>
    <definedName name="sw_59">#N/A</definedName>
    <definedName name="sw_60">#N/A</definedName>
    <definedName name="sw_61">#N/A</definedName>
    <definedName name="sw_62">#N/A</definedName>
    <definedName name="sw_7">#N/A</definedName>
    <definedName name="sw_72">#N/A</definedName>
    <definedName name="sw_73">#N/A</definedName>
    <definedName name="sw_8">#N/A</definedName>
    <definedName name="SWARE">#REF!</definedName>
    <definedName name="sware2">#REF!</definedName>
    <definedName name="swc" localSheetId="8">#REF!</definedName>
    <definedName name="swc" localSheetId="10">#REF!</definedName>
    <definedName name="swc" localSheetId="11">#REF!</definedName>
    <definedName name="swc" localSheetId="28">#REF!</definedName>
    <definedName name="swc">#REF!</definedName>
    <definedName name="swci" localSheetId="8">#REF!</definedName>
    <definedName name="swci" localSheetId="10">#REF!</definedName>
    <definedName name="swci" localSheetId="11">#REF!</definedName>
    <definedName name="swci" localSheetId="28">#REF!</definedName>
    <definedName name="swci">#REF!</definedName>
    <definedName name="t" localSheetId="33">[171]Labour!$D$5</definedName>
    <definedName name="t" localSheetId="34">[171]Labour!$D$5</definedName>
    <definedName name="T" localSheetId="14" hidden="1">{"'ridftotal'!$A$4:$S$27"}</definedName>
    <definedName name="t" localSheetId="11">#REF!</definedName>
    <definedName name="t" localSheetId="37">[171]Labour!$D$5</definedName>
    <definedName name="T" localSheetId="46" hidden="1">{"'ridftotal'!$A$4:$S$27"}</definedName>
    <definedName name="T" localSheetId="28" hidden="1">{"'ridftotal'!$A$4:$S$27"}</definedName>
    <definedName name="T" localSheetId="19" hidden="1">{"'ridftotal'!$A$4:$S$27"}</definedName>
    <definedName name="T" localSheetId="42" hidden="1">{"'ridftotal'!$A$4:$S$27"}</definedName>
    <definedName name="T" localSheetId="9" hidden="1">{"'ridftotal'!$A$4:$S$27"}</definedName>
    <definedName name="T" localSheetId="3" hidden="1">{"'ridftotal'!$A$4:$S$27"}</definedName>
    <definedName name="T" hidden="1">{"'ridftotal'!$A$4:$S$27"}</definedName>
    <definedName name="Table_A2___Road_Sections__as_given_in_Terms_of_Reference__Not_Used_In_The_Study">'[71]R99 etc'!$A$1:$L$142</definedName>
    <definedName name="Table1" localSheetId="33">#REF!</definedName>
    <definedName name="Table1" localSheetId="34">#REF!</definedName>
    <definedName name="Table1" localSheetId="35">#REF!</definedName>
    <definedName name="Table1" localSheetId="5">#REF!</definedName>
    <definedName name="Table1" localSheetId="8">#REF!</definedName>
    <definedName name="Table1" localSheetId="10">#REF!</definedName>
    <definedName name="Table1" localSheetId="11">#REF!</definedName>
    <definedName name="Table1" localSheetId="37">#REF!</definedName>
    <definedName name="Table1" localSheetId="28">#REF!</definedName>
    <definedName name="Table1" localSheetId="42">#REF!</definedName>
    <definedName name="Table1" localSheetId="31">#REF!</definedName>
    <definedName name="Table1">#REF!</definedName>
    <definedName name="Table1_23">"$#REF!.$#REF!$#REF!"</definedName>
    <definedName name="Table1_32">"$#REF!.$#REF!$#REF!"</definedName>
    <definedName name="Table1_33">"$#REF!.$#REF!$#REF!"</definedName>
    <definedName name="Table1_34">"$#REF!.$#REF!$#REF!"</definedName>
    <definedName name="Table1_38">"$#REF!.$#REF!$#REF!"</definedName>
    <definedName name="Table1_41">"$#REF!.$#REF!$#REF!"</definedName>
    <definedName name="Table1_43">"$#REF!.$#REF!$#REF!"</definedName>
    <definedName name="Table1_48">"$#REF!.$#REF!$#REF!"</definedName>
    <definedName name="Table1_56">"$#REF!.$#REF!$#REF!"</definedName>
    <definedName name="Table1_57">"$#REF!.$#REF!$#REF!"</definedName>
    <definedName name="Table1_59">"$#REF!.$#REF!$#REF!"</definedName>
    <definedName name="Table1_60">"$#REF!.$#REF!$#REF!"</definedName>
    <definedName name="Table1_61">"$#REF!.$#REF!$#REF!"</definedName>
    <definedName name="Table1_62">"$#REF!.$#REF!$#REF!"</definedName>
    <definedName name="Table1_7">"$#REF!.$#REF!$#REF!"</definedName>
    <definedName name="Table1_72">"$#REF!.$#REF!$#REF!"</definedName>
    <definedName name="Table1_73">"$#REF!.$#REF!$#REF!"</definedName>
    <definedName name="Table1_8">"$#REF!.$#REF!$#REF!"</definedName>
    <definedName name="Table2" localSheetId="33">#REF!</definedName>
    <definedName name="Table2" localSheetId="34">#REF!</definedName>
    <definedName name="Table2" localSheetId="35">#REF!</definedName>
    <definedName name="Table2" localSheetId="5">#REF!</definedName>
    <definedName name="Table2" localSheetId="8">#REF!</definedName>
    <definedName name="Table2" localSheetId="10">#REF!</definedName>
    <definedName name="Table2" localSheetId="11">#REF!</definedName>
    <definedName name="Table2" localSheetId="37">#REF!</definedName>
    <definedName name="Table2" localSheetId="28">#REF!</definedName>
    <definedName name="Table2" localSheetId="42">#REF!</definedName>
    <definedName name="Table2" localSheetId="31">#REF!</definedName>
    <definedName name="Table2">#REF!</definedName>
    <definedName name="Table2_23">"$#REF!.$#REF!$#REF!"</definedName>
    <definedName name="Table2_32">"$#REF!.$#REF!$#REF!"</definedName>
    <definedName name="Table2_33">"$#REF!.$#REF!$#REF!"</definedName>
    <definedName name="Table2_34">"$#REF!.$#REF!$#REF!"</definedName>
    <definedName name="Table2_38">"$#REF!.$#REF!$#REF!"</definedName>
    <definedName name="Table2_41">"$#REF!.$#REF!$#REF!"</definedName>
    <definedName name="Table2_43">"$#REF!.$#REF!$#REF!"</definedName>
    <definedName name="Table2_48">"$#REF!.$#REF!$#REF!"</definedName>
    <definedName name="Table2_56">"$#REF!.$#REF!$#REF!"</definedName>
    <definedName name="Table2_57">"$#REF!.$#REF!$#REF!"</definedName>
    <definedName name="Table2_59">"$#REF!.$#REF!$#REF!"</definedName>
    <definedName name="Table2_60">"$#REF!.$#REF!$#REF!"</definedName>
    <definedName name="Table2_61">"$#REF!.$#REF!$#REF!"</definedName>
    <definedName name="Table2_62">"$#REF!.$#REF!$#REF!"</definedName>
    <definedName name="Table2_7">"$#REF!.$#REF!$#REF!"</definedName>
    <definedName name="Table2_72">"$#REF!.$#REF!$#REF!"</definedName>
    <definedName name="Table2_73">"$#REF!.$#REF!$#REF!"</definedName>
    <definedName name="Table2_8">"$#REF!.$#REF!$#REF!"</definedName>
    <definedName name="Table3" localSheetId="33">#REF!</definedName>
    <definedName name="Table3" localSheetId="34">#REF!</definedName>
    <definedName name="Table3" localSheetId="35">#REF!</definedName>
    <definedName name="Table3" localSheetId="5">#REF!</definedName>
    <definedName name="Table3" localSheetId="8">#REF!</definedName>
    <definedName name="Table3" localSheetId="10">#REF!</definedName>
    <definedName name="Table3" localSheetId="11">#REF!</definedName>
    <definedName name="Table3" localSheetId="37">#REF!</definedName>
    <definedName name="Table3" localSheetId="28">#REF!</definedName>
    <definedName name="Table3" localSheetId="42">#REF!</definedName>
    <definedName name="Table3" localSheetId="31">#REF!</definedName>
    <definedName name="Table3">#REF!</definedName>
    <definedName name="Table3_23">"$#REF!.$#REF!$#REF!"</definedName>
    <definedName name="Table3_32">"$#REF!.$#REF!$#REF!"</definedName>
    <definedName name="Table3_33">"$#REF!.$#REF!$#REF!"</definedName>
    <definedName name="Table3_34">"$#REF!.$#REF!$#REF!"</definedName>
    <definedName name="Table3_38">"$#REF!.$#REF!$#REF!"</definedName>
    <definedName name="Table3_41">"$#REF!.$#REF!$#REF!"</definedName>
    <definedName name="Table3_43">"$#REF!.$#REF!$#REF!"</definedName>
    <definedName name="Table3_48">"$#REF!.$#REF!$#REF!"</definedName>
    <definedName name="Table3_56">"$#REF!.$#REF!$#REF!"</definedName>
    <definedName name="Table3_57">"$#REF!.$#REF!$#REF!"</definedName>
    <definedName name="Table3_59">"$#REF!.$#REF!$#REF!"</definedName>
    <definedName name="Table3_60">"$#REF!.$#REF!$#REF!"</definedName>
    <definedName name="Table3_61">"$#REF!.$#REF!$#REF!"</definedName>
    <definedName name="Table3_62">"$#REF!.$#REF!$#REF!"</definedName>
    <definedName name="Table3_7">"$#REF!.$#REF!$#REF!"</definedName>
    <definedName name="Table3_72">"$#REF!.$#REF!$#REF!"</definedName>
    <definedName name="Table3_73">"$#REF!.$#REF!$#REF!"</definedName>
    <definedName name="Table3_8">"$#REF!.$#REF!$#REF!"</definedName>
    <definedName name="Table4" localSheetId="33">#REF!</definedName>
    <definedName name="Table4" localSheetId="34">#REF!</definedName>
    <definedName name="Table4" localSheetId="35">#REF!</definedName>
    <definedName name="Table4" localSheetId="5">#REF!</definedName>
    <definedName name="Table4" localSheetId="8">#REF!</definedName>
    <definedName name="Table4" localSheetId="10">#REF!</definedName>
    <definedName name="Table4" localSheetId="11">#REF!</definedName>
    <definedName name="Table4" localSheetId="37">#REF!</definedName>
    <definedName name="Table4" localSheetId="28">#REF!</definedName>
    <definedName name="Table4" localSheetId="42">#REF!</definedName>
    <definedName name="Table4" localSheetId="31">#REF!</definedName>
    <definedName name="Table4">#REF!</definedName>
    <definedName name="Table4_23">"$#REF!.$#REF!$#REF!"</definedName>
    <definedName name="Table4_32">"$#REF!.$#REF!$#REF!"</definedName>
    <definedName name="Table4_33">"$#REF!.$#REF!$#REF!"</definedName>
    <definedName name="Table4_34">"$#REF!.$#REF!$#REF!"</definedName>
    <definedName name="Table4_38">"$#REF!.$#REF!$#REF!"</definedName>
    <definedName name="Table4_41">"$#REF!.$#REF!$#REF!"</definedName>
    <definedName name="Table4_43">"$#REF!.$#REF!$#REF!"</definedName>
    <definedName name="Table4_48">"$#REF!.$#REF!$#REF!"</definedName>
    <definedName name="Table4_56">"$#REF!.$#REF!$#REF!"</definedName>
    <definedName name="Table4_57">"$#REF!.$#REF!$#REF!"</definedName>
    <definedName name="Table4_59">"$#REF!.$#REF!$#REF!"</definedName>
    <definedName name="Table4_60">"$#REF!.$#REF!$#REF!"</definedName>
    <definedName name="Table4_61">"$#REF!.$#REF!$#REF!"</definedName>
    <definedName name="Table4_62">"$#REF!.$#REF!$#REF!"</definedName>
    <definedName name="Table4_7">"$#REF!.$#REF!$#REF!"</definedName>
    <definedName name="Table4_72">"$#REF!.$#REF!$#REF!"</definedName>
    <definedName name="Table4_73">"$#REF!.$#REF!$#REF!"</definedName>
    <definedName name="Table4_8">"$#REF!.$#REF!$#REF!"</definedName>
    <definedName name="TAI" localSheetId="14">#REF!</definedName>
    <definedName name="TAI" localSheetId="8">#REF!</definedName>
    <definedName name="TAI" localSheetId="10">#REF!</definedName>
    <definedName name="TAI" localSheetId="28">#REF!</definedName>
    <definedName name="TAI">#REF!</definedName>
    <definedName name="TAII" localSheetId="8">#REF!</definedName>
    <definedName name="TAII" localSheetId="10">#REF!</definedName>
    <definedName name="TAII" localSheetId="28">#REF!</definedName>
    <definedName name="TAII">#REF!</definedName>
    <definedName name="TAIII" localSheetId="8">#REF!</definedName>
    <definedName name="TAIII" localSheetId="10">#REF!</definedName>
    <definedName name="TAIII" localSheetId="28">#REF!</definedName>
    <definedName name="TAIII">#REF!</definedName>
    <definedName name="tailpiece" localSheetId="37">[67]maya!$B$343:$B$348</definedName>
    <definedName name="tailpiece">[63]maya!$B$343:$B$348</definedName>
    <definedName name="TAO" localSheetId="8">#REF!</definedName>
    <definedName name="TAO" localSheetId="10">#REF!</definedName>
    <definedName name="TAO" localSheetId="28">#REF!</definedName>
    <definedName name="TAO">#REF!</definedName>
    <definedName name="TapSpecials" localSheetId="33">#REF!</definedName>
    <definedName name="TapSpecials" localSheetId="34">#REF!</definedName>
    <definedName name="TapSpecials" localSheetId="5">#REF!</definedName>
    <definedName name="TapSpecials" localSheetId="8">#REF!</definedName>
    <definedName name="TapSpecials" localSheetId="10">#REF!</definedName>
    <definedName name="TapSpecials" localSheetId="37">#REF!</definedName>
    <definedName name="TapSpecials" localSheetId="28">#REF!</definedName>
    <definedName name="TapSpecials" localSheetId="42">#REF!</definedName>
    <definedName name="TapSpecials">#REF!</definedName>
    <definedName name="tas" localSheetId="8">#REF!</definedName>
    <definedName name="tas" localSheetId="10">#REF!</definedName>
    <definedName name="tas" localSheetId="11">#REF!</definedName>
    <definedName name="tas" localSheetId="28">#REF!</definedName>
    <definedName name="tas">#REF!</definedName>
    <definedName name="TAWBM" localSheetId="35">#REF!</definedName>
    <definedName name="TAWBM" localSheetId="5">#REF!</definedName>
    <definedName name="TAWBM" localSheetId="8">#REF!</definedName>
    <definedName name="TAWBM" localSheetId="10">#REF!</definedName>
    <definedName name="TAWBM" localSheetId="11">#REF!</definedName>
    <definedName name="TAWBM" localSheetId="28">#REF!</definedName>
    <definedName name="TAWBM" localSheetId="42">#REF!</definedName>
    <definedName name="TAWBM" localSheetId="31">#REF!</definedName>
    <definedName name="TAWBM">#REF!</definedName>
    <definedName name="tbiiv0" localSheetId="8">#REF!</definedName>
    <definedName name="tbiiv0" localSheetId="10">#REF!</definedName>
    <definedName name="tbiiv0" localSheetId="11">#REF!</definedName>
    <definedName name="tbiiv0" localSheetId="28">#REF!</definedName>
    <definedName name="tbiiv0">#REF!</definedName>
    <definedName name="tbiv0" localSheetId="8">#REF!</definedName>
    <definedName name="tbiv0" localSheetId="10">#REF!</definedName>
    <definedName name="tbiv0" localSheetId="11">#REF!</definedName>
    <definedName name="tbiv0" localSheetId="28">#REF!</definedName>
    <definedName name="tbiv0">#REF!</definedName>
    <definedName name="tbl_ProdInfo" localSheetId="35" hidden="1">#REF!</definedName>
    <definedName name="tbl_ProdInfo" localSheetId="5" hidden="1">#REF!</definedName>
    <definedName name="tbl_ProdInfo" localSheetId="29" hidden="1">#REF!</definedName>
    <definedName name="tbl_ProdInfo" localSheetId="8" hidden="1">#REF!</definedName>
    <definedName name="tbl_ProdInfo" localSheetId="10" hidden="1">#REF!</definedName>
    <definedName name="tbl_ProdInfo" localSheetId="11" hidden="1">#REF!</definedName>
    <definedName name="tbl_ProdInfo" localSheetId="43" hidden="1">#REF!</definedName>
    <definedName name="tbl_ProdInfo" localSheetId="27" hidden="1">#REF!</definedName>
    <definedName name="tbl_ProdInfo" localSheetId="46" hidden="1">#REF!</definedName>
    <definedName name="tbl_ProdInfo" localSheetId="28" hidden="1">#REF!</definedName>
    <definedName name="tbl_ProdInfo" localSheetId="19" hidden="1">#REF!</definedName>
    <definedName name="tbl_ProdInfo" localSheetId="42" hidden="1">#REF!</definedName>
    <definedName name="tbl_ProdInfo" localSheetId="32" hidden="1">#REF!</definedName>
    <definedName name="tbl_ProdInfo" localSheetId="31" hidden="1">#REF!</definedName>
    <definedName name="tbl_ProdInfo" localSheetId="9" hidden="1">#REF!</definedName>
    <definedName name="tbl_ProdInfo" localSheetId="3" hidden="1">#REF!</definedName>
    <definedName name="tbl_ProdInfo" hidden="1">#REF!</definedName>
    <definedName name="td" localSheetId="5">#REF!</definedName>
    <definedName name="TD" localSheetId="8">#REF!</definedName>
    <definedName name="TD" localSheetId="10">#REF!</definedName>
    <definedName name="td" localSheetId="11">#REF!</definedName>
    <definedName name="TD" localSheetId="28">#REF!</definedName>
    <definedName name="TD">#REF!</definedName>
    <definedName name="TDS" localSheetId="8">#REF!</definedName>
    <definedName name="TDS" localSheetId="10">#REF!</definedName>
    <definedName name="TDS" localSheetId="28">#REF!</definedName>
    <definedName name="TDS">#REF!</definedName>
    <definedName name="TECV" localSheetId="35">#REF!</definedName>
    <definedName name="TECV" localSheetId="5">#REF!</definedName>
    <definedName name="TECV" localSheetId="8">#REF!</definedName>
    <definedName name="TECV" localSheetId="10">#REF!</definedName>
    <definedName name="TECV" localSheetId="11">#REF!</definedName>
    <definedName name="TECV" localSheetId="28">#REF!</definedName>
    <definedName name="TECV" localSheetId="42">#REF!</definedName>
    <definedName name="TECV" localSheetId="31">#REF!</definedName>
    <definedName name="TECV">#REF!</definedName>
    <definedName name="teeta">#REF!</definedName>
    <definedName name="TEi">#REF!</definedName>
    <definedName name="temp" localSheetId="37">[51]r!$F$2</definedName>
    <definedName name="temp">[22]r!$F$2</definedName>
    <definedName name="ten" localSheetId="8">#REF!</definedName>
    <definedName name="ten" localSheetId="10">#REF!</definedName>
    <definedName name="ten" localSheetId="11">#REF!</definedName>
    <definedName name="ten" localSheetId="28">#REF!</definedName>
    <definedName name="ten">#REF!</definedName>
    <definedName name="ter">[241]r!$F$2</definedName>
    <definedName name="TGY" localSheetId="37">[143]Material!$D$130</definedName>
    <definedName name="TGY">[144]Material!$D$130</definedName>
    <definedName name="th" localSheetId="8">#REF!</definedName>
    <definedName name="th" localSheetId="10">#REF!</definedName>
    <definedName name="th" localSheetId="11">#REF!</definedName>
    <definedName name="th" localSheetId="28">#REF!</definedName>
    <definedName name="th">#REF!</definedName>
    <definedName name="thjj">[149]Labour!$D$22</definedName>
    <definedName name="TI" localSheetId="14">#REF!</definedName>
    <definedName name="TI" localSheetId="8">#REF!</definedName>
    <definedName name="TI" localSheetId="10">#REF!</definedName>
    <definedName name="TI" localSheetId="28">#REF!</definedName>
    <definedName name="TI">#REF!</definedName>
    <definedName name="tit">#REF!</definedName>
    <definedName name="TL" localSheetId="37">'[242]MTC-estimate'!$C$6</definedName>
    <definedName name="TL" localSheetId="42">#REF!</definedName>
    <definedName name="TL">#REF!</definedName>
    <definedName name="tm" localSheetId="8">#REF!</definedName>
    <definedName name="tm" localSheetId="10">#REF!</definedName>
    <definedName name="tm" localSheetId="11">#REF!</definedName>
    <definedName name="tm" localSheetId="28">#REF!</definedName>
    <definedName name="tm">#REF!</definedName>
    <definedName name="TOPDOME">'[114]DATA-ABSTRACT'!$A$11:$B$13</definedName>
    <definedName name="TOPDOMEONETOSIX" localSheetId="33">#REF!</definedName>
    <definedName name="TOPDOMEONETOSIX" localSheetId="34">#REF!</definedName>
    <definedName name="TOPDOMEONETOSIX" localSheetId="5">#REF!</definedName>
    <definedName name="TOPDOMEONETOSIX" localSheetId="8">#REF!</definedName>
    <definedName name="TOPDOMEONETOSIX" localSheetId="10">#REF!</definedName>
    <definedName name="TOPDOMEONETOSIX" localSheetId="37">#REF!</definedName>
    <definedName name="TOPDOMEONETOSIX" localSheetId="28">#REF!</definedName>
    <definedName name="TOPDOMEONETOSIX" localSheetId="42">#REF!</definedName>
    <definedName name="TOPDOMEONETOSIX">#REF!</definedName>
    <definedName name="TOPDOMESEVENTOTHIRTEEN" localSheetId="33">#REF!</definedName>
    <definedName name="TOPDOMESEVENTOTHIRTEEN" localSheetId="34">#REF!</definedName>
    <definedName name="TOPDOMESEVENTOTHIRTEEN" localSheetId="5">#REF!</definedName>
    <definedName name="TOPDOMESEVENTOTHIRTEEN" localSheetId="8">#REF!</definedName>
    <definedName name="TOPDOMESEVENTOTHIRTEEN" localSheetId="10">#REF!</definedName>
    <definedName name="TOPDOMESEVENTOTHIRTEEN" localSheetId="37">#REF!</definedName>
    <definedName name="TOPDOMESEVENTOTHIRTEEN" localSheetId="28">#REF!</definedName>
    <definedName name="TOPDOMESEVENTOTHIRTEEN" localSheetId="42">#REF!</definedName>
    <definedName name="TOPDOMESEVENTOTHIRTEEN">#REF!</definedName>
    <definedName name="TOPRINGGIRDERONETOSIX" localSheetId="33">#REF!</definedName>
    <definedName name="TOPRINGGIRDERONETOSIX" localSheetId="34">#REF!</definedName>
    <definedName name="TOPRINGGIRDERONETOSIX" localSheetId="5">#REF!</definedName>
    <definedName name="TOPRINGGIRDERONETOSIX" localSheetId="8">#REF!</definedName>
    <definedName name="TOPRINGGIRDERONETOSIX" localSheetId="10">#REF!</definedName>
    <definedName name="TOPRINGGIRDERONETOSIX" localSheetId="28">#REF!</definedName>
    <definedName name="TOPRINGGIRDERONETOSIX" localSheetId="42">#REF!</definedName>
    <definedName name="TOPRINGGIRDERONETOSIX">#REF!</definedName>
    <definedName name="TOPRINGGIRDERSEVENTOTHIRTEEN" localSheetId="33">#REF!</definedName>
    <definedName name="TOPRINGGIRDERSEVENTOTHIRTEEN" localSheetId="34">#REF!</definedName>
    <definedName name="TOPRINGGIRDERSEVENTOTHIRTEEN" localSheetId="5">#REF!</definedName>
    <definedName name="TOPRINGGIRDERSEVENTOTHIRTEEN" localSheetId="8">#REF!</definedName>
    <definedName name="TOPRINGGIRDERSEVENTOTHIRTEEN" localSheetId="10">#REF!</definedName>
    <definedName name="TOPRINGGIRDERSEVENTOTHIRTEEN" localSheetId="28">#REF!</definedName>
    <definedName name="TOPRINGGIRDERSEVENTOTHIRTEEN" localSheetId="42">#REF!</definedName>
    <definedName name="TOPRINGGIRDERSEVENTOTHIRTEEN">#REF!</definedName>
    <definedName name="tot" localSheetId="11">#REF!</definedName>
    <definedName name="TOT" localSheetId="37">[243]DATA!$H$20</definedName>
    <definedName name="TOT">[244]DATA!$H$20</definedName>
    <definedName name="totalpop" localSheetId="8">#REF!</definedName>
    <definedName name="totalpop" localSheetId="10">#REF!</definedName>
    <definedName name="totalpop" localSheetId="11">#REF!</definedName>
    <definedName name="totalpop" localSheetId="28">#REF!</definedName>
    <definedName name="totalpop">#REF!</definedName>
    <definedName name="TPI" localSheetId="14">#REF!</definedName>
    <definedName name="TPI" localSheetId="8">#REF!</definedName>
    <definedName name="TPI" localSheetId="10">#REF!</definedName>
    <definedName name="TPI" localSheetId="28">#REF!</definedName>
    <definedName name="TPI">#REF!</definedName>
    <definedName name="TPII" localSheetId="8">#REF!</definedName>
    <definedName name="TPII" localSheetId="10">#REF!</definedName>
    <definedName name="TPII" localSheetId="28">#REF!</definedName>
    <definedName name="TPII">#REF!</definedName>
    <definedName name="TPIII" localSheetId="8">#REF!</definedName>
    <definedName name="TPIII" localSheetId="10">#REF!</definedName>
    <definedName name="TPIII" localSheetId="28">#REF!</definedName>
    <definedName name="TPIII">#REF!</definedName>
    <definedName name="TPO" localSheetId="8">#REF!</definedName>
    <definedName name="TPO" localSheetId="10">#REF!</definedName>
    <definedName name="TPO" localSheetId="28">#REF!</definedName>
    <definedName name="TPO">#REF!</definedName>
    <definedName name="tpt">[90]Intput!$L$26</definedName>
    <definedName name="tr" localSheetId="8">#REF!</definedName>
    <definedName name="tr" localSheetId="10">#REF!</definedName>
    <definedName name="tr" localSheetId="11">#REF!</definedName>
    <definedName name="tr" localSheetId="28">#REF!</definedName>
    <definedName name="tr">#REF!</definedName>
    <definedName name="TRACTOR" localSheetId="33">#REF!</definedName>
    <definedName name="TRACTOR" localSheetId="34">#REF!</definedName>
    <definedName name="TRACTOR" localSheetId="5">#REF!</definedName>
    <definedName name="TRACTOR" localSheetId="8">#REF!</definedName>
    <definedName name="TRACTOR" localSheetId="10">#REF!</definedName>
    <definedName name="TRACTOR" localSheetId="11">#REF!</definedName>
    <definedName name="TRACTOR" localSheetId="37">#REF!</definedName>
    <definedName name="TRACTOR" localSheetId="28">#REF!</definedName>
    <definedName name="TRACTOR" localSheetId="42">#REF!</definedName>
    <definedName name="TRACTOR">#REF!</definedName>
    <definedName name="tractor_frm">#REF!</definedName>
    <definedName name="TRAFFIC">#REF!</definedName>
    <definedName name="treads_shahbad" localSheetId="8">#REF!</definedName>
    <definedName name="treads_shahbad" localSheetId="10">#REF!</definedName>
    <definedName name="treads_shahbad" localSheetId="11">#REF!</definedName>
    <definedName name="treads_shahbad" localSheetId="28">#REF!</definedName>
    <definedName name="treads_shahbad">#REF!</definedName>
    <definedName name="TREE" localSheetId="33">#REF!</definedName>
    <definedName name="TREE" localSheetId="34">#REF!</definedName>
    <definedName name="TREE" localSheetId="5">#REF!</definedName>
    <definedName name="TREE" localSheetId="8">#REF!</definedName>
    <definedName name="TREE" localSheetId="10">#REF!</definedName>
    <definedName name="TREE" localSheetId="11">#REF!</definedName>
    <definedName name="TREE" localSheetId="37">#REF!</definedName>
    <definedName name="TREE" localSheetId="28">#REF!</definedName>
    <definedName name="TREE" localSheetId="42">#REF!</definedName>
    <definedName name="TREE">#REF!</definedName>
    <definedName name="trees">#REF!</definedName>
    <definedName name="TRI">#REF!</definedName>
    <definedName name="trtrt">#REF!</definedName>
    <definedName name="Ts" localSheetId="8">#REF!</definedName>
    <definedName name="Ts" localSheetId="10">#REF!</definedName>
    <definedName name="Ts" localSheetId="11">#REF!</definedName>
    <definedName name="Ts" localSheetId="28">#REF!</definedName>
    <definedName name="Ts">#REF!</definedName>
    <definedName name="tt" localSheetId="37">[245]r!$F$4</definedName>
    <definedName name="tt">[87]r!$F$4</definedName>
    <definedName name="ttpc">[90]Intput!$L$34</definedName>
    <definedName name="ttttt" localSheetId="33">#REF!</definedName>
    <definedName name="ttttt" localSheetId="34">#REF!</definedName>
    <definedName name="ttttt" localSheetId="5">#REF!</definedName>
    <definedName name="ttttt" localSheetId="8">#REF!</definedName>
    <definedName name="ttttt" localSheetId="10">#REF!</definedName>
    <definedName name="ttttt" localSheetId="11">#REF!</definedName>
    <definedName name="ttttt" localSheetId="37">#REF!</definedName>
    <definedName name="ttttt" localSheetId="28">#REF!</definedName>
    <definedName name="ttttt" localSheetId="42">#REF!</definedName>
    <definedName name="ttttt">#REF!</definedName>
    <definedName name="ttttt_33">"$#REF!.$#REF!$#REF!"</definedName>
    <definedName name="TWA" localSheetId="14">#REF!</definedName>
    <definedName name="TWA" localSheetId="8">#REF!</definedName>
    <definedName name="TWA" localSheetId="10">#REF!</definedName>
    <definedName name="TWA" localSheetId="28">#REF!</definedName>
    <definedName name="TWA">#REF!</definedName>
    <definedName name="twbm" localSheetId="33">#REF!</definedName>
    <definedName name="twbm" localSheetId="34">#REF!</definedName>
    <definedName name="twbm" localSheetId="35">#REF!</definedName>
    <definedName name="twbm" localSheetId="5">#REF!</definedName>
    <definedName name="twbm" localSheetId="8">#REF!</definedName>
    <definedName name="twbm" localSheetId="10">#REF!</definedName>
    <definedName name="twbm" localSheetId="11">#REF!</definedName>
    <definedName name="twbm" localSheetId="37">#REF!</definedName>
    <definedName name="twbm" localSheetId="28">#REF!</definedName>
    <definedName name="twbm" localSheetId="42">#REF!</definedName>
    <definedName name="twbm" localSheetId="31">#REF!</definedName>
    <definedName name="twbm">#REF!</definedName>
    <definedName name="twbm_23">"$#REF!.$#REF!$#REF!"</definedName>
    <definedName name="twbm_33">"$#REF!.$#REF!$#REF!"</definedName>
    <definedName name="twbm_34">"$#REF!.$#REF!$#REF!"</definedName>
    <definedName name="twbm_38">"$#REF!.$#REF!$#REF!"</definedName>
    <definedName name="twbm_41">"$#REF!.$#REF!$#REF!"</definedName>
    <definedName name="twbm_43">"$#REF!.$#REF!$#REF!"</definedName>
    <definedName name="twbm_48">"$#REF!.$#REF!$#REF!"</definedName>
    <definedName name="twbm_57">"$#REF!.$#REF!$#REF!"</definedName>
    <definedName name="twbm_59">"$#REF!.$#REF!$#REF!"</definedName>
    <definedName name="twbm_60">"$#REF!.$#REF!$#REF!"</definedName>
    <definedName name="twbm_61">"$#REF!.$#REF!$#REF!"</definedName>
    <definedName name="twbm_62">"$#REF!.$#REF!$#REF!"</definedName>
    <definedName name="twbm_7">"$#REF!.$#REF!$#REF!"</definedName>
    <definedName name="twbm_72">"$#REF!.$#REF!$#REF!"</definedName>
    <definedName name="twbm_73">"$#REF!.$#REF!$#REF!"</definedName>
    <definedName name="twbm_8">"$#REF!.$#REF!$#REF!"</definedName>
    <definedName name="TWP" localSheetId="8">#REF!</definedName>
    <definedName name="TWP" localSheetId="10">#REF!</definedName>
    <definedName name="TWP" localSheetId="28">#REF!</definedName>
    <definedName name="TWP">#REF!</definedName>
    <definedName name="twtttt" localSheetId="8">#REF!</definedName>
    <definedName name="twtttt" localSheetId="10">#REF!</definedName>
    <definedName name="twtttt" localSheetId="28">#REF!</definedName>
    <definedName name="twtttt">#REF!</definedName>
    <definedName name="tytytko">#REF!</definedName>
    <definedName name="u" localSheetId="37">[246]Lead!#REF!</definedName>
    <definedName name="u">[246]Lead!#REF!</definedName>
    <definedName name="u_23">#N/A</definedName>
    <definedName name="u_33">#N/A</definedName>
    <definedName name="u_38">#N/A</definedName>
    <definedName name="u_41">#N/A</definedName>
    <definedName name="u_43">#N/A</definedName>
    <definedName name="u_48">#N/A</definedName>
    <definedName name="u_57">#N/A</definedName>
    <definedName name="u_59">#N/A</definedName>
    <definedName name="u_60">#N/A</definedName>
    <definedName name="u_61">#N/A</definedName>
    <definedName name="u_62">#N/A</definedName>
    <definedName name="u_7">#N/A</definedName>
    <definedName name="u_72">#N/A</definedName>
    <definedName name="u_73">#N/A</definedName>
    <definedName name="u_8">#N/A</definedName>
    <definedName name="UCN">#REF!</definedName>
    <definedName name="UH" localSheetId="14">#REF!</definedName>
    <definedName name="UH" localSheetId="8">#REF!</definedName>
    <definedName name="UH" localSheetId="10">#REF!</definedName>
    <definedName name="UH" localSheetId="28">#REF!</definedName>
    <definedName name="UH">#REF!</definedName>
    <definedName name="uiuiu">#REF!</definedName>
    <definedName name="unloading" localSheetId="28">#REF!</definedName>
    <definedName name="Unpaved_Road_Sections_list">'[71]Trunk unpaved'!$A$2:$L$235</definedName>
    <definedName name="US">#REF!</definedName>
    <definedName name="utgyuj" localSheetId="8">#REF!</definedName>
    <definedName name="utgyuj" localSheetId="10">#REF!</definedName>
    <definedName name="utgyuj" localSheetId="11">#REF!</definedName>
    <definedName name="utgyuj" localSheetId="28">#REF!</definedName>
    <definedName name="utgyuj">#REF!</definedName>
    <definedName name="uuu" localSheetId="37">[247]Labour!$D$18</definedName>
    <definedName name="uuu">[170]Labour!$D$18</definedName>
    <definedName name="uuu_21">#REF!</definedName>
    <definedName name="uuu_33">#REF!</definedName>
    <definedName name="uuu_34">#REF!</definedName>
    <definedName name="uytrog">#REF!</definedName>
    <definedName name="v" localSheetId="8">#REF!</definedName>
    <definedName name="v" localSheetId="10">#REF!</definedName>
    <definedName name="v" localSheetId="11">#REF!</definedName>
    <definedName name="v" localSheetId="28">#REF!</definedName>
    <definedName name="v">#REF!</definedName>
    <definedName name="vaibrating">#REF!</definedName>
    <definedName name="valve" localSheetId="37">[67]maya!$A$247:$A$273</definedName>
    <definedName name="valve">[63]maya!$A$247:$A$273</definedName>
    <definedName name="VALVES" localSheetId="33">#REF!</definedName>
    <definedName name="VALVES" localSheetId="34">#REF!</definedName>
    <definedName name="VALVES" localSheetId="5">#REF!</definedName>
    <definedName name="VALVES" localSheetId="8">#REF!</definedName>
    <definedName name="VALVES" localSheetId="10">#REF!</definedName>
    <definedName name="VALVES" localSheetId="37">#REF!</definedName>
    <definedName name="VALVES" localSheetId="28">#REF!</definedName>
    <definedName name="VALVES" localSheetId="42">#REF!</definedName>
    <definedName name="VALVES">#REF!</definedName>
    <definedName name="var" localSheetId="33">#REF!</definedName>
    <definedName name="var" localSheetId="34">#REF!</definedName>
    <definedName name="var" localSheetId="35">#REF!</definedName>
    <definedName name="var" localSheetId="5">#REF!</definedName>
    <definedName name="var" localSheetId="8">#REF!</definedName>
    <definedName name="var" localSheetId="10">#REF!</definedName>
    <definedName name="var" localSheetId="11">#REF!</definedName>
    <definedName name="var" localSheetId="37">#REF!</definedName>
    <definedName name="var" localSheetId="28">#REF!</definedName>
    <definedName name="var" localSheetId="42">#REF!</definedName>
    <definedName name="var" localSheetId="31">#REF!</definedName>
    <definedName name="var">#REF!</definedName>
    <definedName name="var_33">"$#REF!.$#REF!$#REF!"</definedName>
    <definedName name="var_34">"$#REF!.$#REF!$#REF!"</definedName>
    <definedName name="var1_33">"$#REF!.$A$2:$E$59"</definedName>
    <definedName name="var1_34">"$#REF!.$A$2:$E$59"</definedName>
    <definedName name="var4_33">"$#REF!.$A$2:$E$59"</definedName>
    <definedName name="var4_34">"$#REF!.$A$2:$E$59"</definedName>
    <definedName name="vark" localSheetId="33">#REF!</definedName>
    <definedName name="vark" localSheetId="34">#REF!</definedName>
    <definedName name="vark" localSheetId="5">#REF!</definedName>
    <definedName name="vark" localSheetId="8">#REF!</definedName>
    <definedName name="vark" localSheetId="10">#REF!</definedName>
    <definedName name="vark" localSheetId="37">#REF!</definedName>
    <definedName name="vark" localSheetId="28">#REF!</definedName>
    <definedName name="vark" localSheetId="42">#REF!</definedName>
    <definedName name="vark">#REF!</definedName>
    <definedName name="vat" localSheetId="37">#REF!</definedName>
    <definedName name="vat">[203]Lead!#REF!</definedName>
    <definedName name="vat_name" localSheetId="28">#REF!</definedName>
    <definedName name="vat_rate">#REF!</definedName>
    <definedName name="vatname" localSheetId="33">[203]Lead!#REF!</definedName>
    <definedName name="vatname" localSheetId="34">[203]Lead!#REF!</definedName>
    <definedName name="vatname" localSheetId="5">#REF!</definedName>
    <definedName name="vatname" localSheetId="8">#REF!</definedName>
    <definedName name="vatname" localSheetId="10">#REF!</definedName>
    <definedName name="vatname" localSheetId="11">#REF!</definedName>
    <definedName name="vatname" localSheetId="37">#REF!</definedName>
    <definedName name="vatname" localSheetId="28">#REF!</definedName>
    <definedName name="vatname" localSheetId="42">#REF!</definedName>
    <definedName name="vatname">#REF!</definedName>
    <definedName name="VB" localSheetId="14" hidden="1">{"'ridftotal'!$A$4:$S$27"}</definedName>
    <definedName name="VB" localSheetId="11" hidden="1">{"'ridftotal'!$A$4:$S$27"}</definedName>
    <definedName name="VB" localSheetId="37" hidden="1">{"'ridftotal'!$A$4:$S$27"}</definedName>
    <definedName name="VB" localSheetId="46" hidden="1">{"'ridftotal'!$A$4:$S$27"}</definedName>
    <definedName name="VB" localSheetId="28" hidden="1">{"'ridftotal'!$A$4:$S$27"}</definedName>
    <definedName name="VB" localSheetId="19" hidden="1">{"'ridftotal'!$A$4:$S$27"}</definedName>
    <definedName name="VB" localSheetId="42" hidden="1">{"'ridftotal'!$A$4:$S$27"}</definedName>
    <definedName name="VB" localSheetId="9" hidden="1">{"'ridftotal'!$A$4:$S$27"}</definedName>
    <definedName name="VB" localSheetId="3" hidden="1">{"'ridftotal'!$A$4:$S$27"}</definedName>
    <definedName name="VB" hidden="1">{"'ridftotal'!$A$4:$S$27"}</definedName>
    <definedName name="VC" localSheetId="35">#REF!</definedName>
    <definedName name="VC" localSheetId="5">#REF!</definedName>
    <definedName name="VC" localSheetId="8">#REF!</definedName>
    <definedName name="VC" localSheetId="10">#REF!</definedName>
    <definedName name="VC" localSheetId="11">#REF!</definedName>
    <definedName name="VC" localSheetId="28">#REF!</definedName>
    <definedName name="VC" localSheetId="31">#REF!</definedName>
    <definedName name="VC">#REF!</definedName>
    <definedName name="vcc">#REF!</definedName>
    <definedName name="VCC_MIX" localSheetId="37">'[83]data existing_do not delete'!$G$20:$G$26</definedName>
    <definedName name="VCC_MIX">'[84]data existing_do not delete'!$G$20:$G$26</definedName>
    <definedName name="ver">#REF!</definedName>
    <definedName name="VI" localSheetId="14">#REF!</definedName>
    <definedName name="VI" localSheetId="8">#REF!</definedName>
    <definedName name="VI" localSheetId="10">#REF!</definedName>
    <definedName name="VI" localSheetId="28">#REF!</definedName>
    <definedName name="VI">#REF!</definedName>
    <definedName name="Vibchr" localSheetId="8">#REF!</definedName>
    <definedName name="Vibchr" localSheetId="10">#REF!</definedName>
    <definedName name="Vibchr" localSheetId="11">#REF!</definedName>
    <definedName name="Vibchr" localSheetId="28">#REF!</definedName>
    <definedName name="Vibchr">#REF!</definedName>
    <definedName name="VII" localSheetId="8">#REF!</definedName>
    <definedName name="VII" localSheetId="10">#REF!</definedName>
    <definedName name="VII" localSheetId="28">#REF!</definedName>
    <definedName name="VII">#REF!</definedName>
    <definedName name="VIII" localSheetId="8">#REF!</definedName>
    <definedName name="VIII" localSheetId="10">#REF!</definedName>
    <definedName name="VIII" localSheetId="28">#REF!</definedName>
    <definedName name="VIII">#REF!</definedName>
    <definedName name="vitrified" localSheetId="8">#REF!</definedName>
    <definedName name="vitrified" localSheetId="10">#REF!</definedName>
    <definedName name="vitrified" localSheetId="11">#REF!</definedName>
    <definedName name="vitrified" localSheetId="28">#REF!</definedName>
    <definedName name="vitrified">#REF!</definedName>
    <definedName name="vivekananda" localSheetId="37">[150]r!$F$29</definedName>
    <definedName name="vivekananda">[151]r!$F$29</definedName>
    <definedName name="vivekananda_33" localSheetId="28">#REF!</definedName>
    <definedName name="vivekananda_34">#REF!</definedName>
    <definedName name="VLAVE" localSheetId="37">[248]maya!$A$1:$A$2</definedName>
    <definedName name="VLAVE">[249]maya!$A$1:$A$2</definedName>
    <definedName name="VMAX" localSheetId="14">#REF!</definedName>
    <definedName name="VMAX" localSheetId="8">#REF!</definedName>
    <definedName name="VMAX" localSheetId="10">#REF!</definedName>
    <definedName name="VMAX" localSheetId="28">#REF!</definedName>
    <definedName name="VMAX">#REF!</definedName>
    <definedName name="Vname" localSheetId="35">#REF!</definedName>
    <definedName name="Vname" localSheetId="5">#REF!</definedName>
    <definedName name="Vname" localSheetId="8">#REF!</definedName>
    <definedName name="Vname" localSheetId="10">#REF!</definedName>
    <definedName name="Vname" localSheetId="11">#REF!</definedName>
    <definedName name="Vname" localSheetId="28">#REF!</definedName>
    <definedName name="Vname" localSheetId="42">#REF!</definedName>
    <definedName name="Vname" localSheetId="31">#REF!</definedName>
    <definedName name="Vname">#REF!</definedName>
    <definedName name="VO" localSheetId="8">#REF!</definedName>
    <definedName name="VO" localSheetId="10">#REF!</definedName>
    <definedName name="VO" localSheetId="28">#REF!</definedName>
    <definedName name="VO">#REF!</definedName>
    <definedName name="vrcc" localSheetId="37">#REF!</definedName>
    <definedName name="vrcc" localSheetId="28">#REF!</definedName>
    <definedName name="vrcc">'[250]data-WC'!#REF!</definedName>
    <definedName name="vrcc_col" localSheetId="8">#REF!</definedName>
    <definedName name="vrcc_col" localSheetId="10">#REF!</definedName>
    <definedName name="vrcc_col" localSheetId="11">#REF!</definedName>
    <definedName name="vrcc_col" localSheetId="28">#REF!</definedName>
    <definedName name="vrcc_col">#REF!</definedName>
    <definedName name="vrcc_footing" localSheetId="8">#REF!</definedName>
    <definedName name="vrcc_footing" localSheetId="10">#REF!</definedName>
    <definedName name="vrcc_footing" localSheetId="11">#REF!</definedName>
    <definedName name="vrcc_footing" localSheetId="28">#REF!</definedName>
    <definedName name="vrcc_footing">#REF!</definedName>
    <definedName name="vrcc_lintel" localSheetId="8">#REF!</definedName>
    <definedName name="vrcc_lintel" localSheetId="10">#REF!</definedName>
    <definedName name="vrcc_lintel" localSheetId="11">#REF!</definedName>
    <definedName name="vrcc_lintel" localSheetId="28">#REF!</definedName>
    <definedName name="vrcc_lintel">#REF!</definedName>
    <definedName name="vrcc_pb" localSheetId="8">#REF!</definedName>
    <definedName name="vrcc_pb" localSheetId="10">#REF!</definedName>
    <definedName name="vrcc_pb" localSheetId="11">#REF!</definedName>
    <definedName name="vrcc_pb" localSheetId="28">#REF!</definedName>
    <definedName name="vrcc_pb">#REF!</definedName>
    <definedName name="vrcc_platform" localSheetId="8">#REF!</definedName>
    <definedName name="vrcc_platform" localSheetId="10">#REF!</definedName>
    <definedName name="vrcc_platform" localSheetId="11">#REF!</definedName>
    <definedName name="vrcc_platform" localSheetId="28">#REF!</definedName>
    <definedName name="vrcc_platform">#REF!</definedName>
    <definedName name="vrcc_roof_IIv" localSheetId="8">#REF!</definedName>
    <definedName name="vrcc_roof_IIv" localSheetId="10">#REF!</definedName>
    <definedName name="vrcc_roof_IIv" localSheetId="11">#REF!</definedName>
    <definedName name="vrcc_roof_IIv" localSheetId="28">#REF!</definedName>
    <definedName name="vrcc_roof_IIv">#REF!</definedName>
    <definedName name="vrcc_roofbeam" localSheetId="8">#REF!</definedName>
    <definedName name="vrcc_roofbeam" localSheetId="10">#REF!</definedName>
    <definedName name="vrcc_roofbeam" localSheetId="11">#REF!</definedName>
    <definedName name="vrcc_roofbeam" localSheetId="28">#REF!</definedName>
    <definedName name="vrcc_roofbeam">#REF!</definedName>
    <definedName name="vrcc_sunshade" localSheetId="8">#REF!</definedName>
    <definedName name="vrcc_sunshade" localSheetId="10">#REF!</definedName>
    <definedName name="vrcc_sunshade" localSheetId="11">#REF!</definedName>
    <definedName name="vrcc_sunshade" localSheetId="28">#REF!</definedName>
    <definedName name="vrcc_sunshade">#REF!</definedName>
    <definedName name="vsi" localSheetId="8">#REF!</definedName>
    <definedName name="vsi" localSheetId="10">#REF!</definedName>
    <definedName name="vsi" localSheetId="11">#REF!</definedName>
    <definedName name="vsi" localSheetId="28">#REF!</definedName>
    <definedName name="vsi">#REF!</definedName>
    <definedName name="vso" localSheetId="8">#REF!</definedName>
    <definedName name="vso" localSheetId="10">#REF!</definedName>
    <definedName name="vso" localSheetId="11">#REF!</definedName>
    <definedName name="vso" localSheetId="28">#REF!</definedName>
    <definedName name="vso">#REF!</definedName>
    <definedName name="vsp" localSheetId="8">#REF!</definedName>
    <definedName name="vsp" localSheetId="10">#REF!</definedName>
    <definedName name="vsp" localSheetId="11">#REF!</definedName>
    <definedName name="vsp" localSheetId="28">#REF!</definedName>
    <definedName name="vsp">#REF!</definedName>
    <definedName name="vt" localSheetId="33">#REF!</definedName>
    <definedName name="vt" localSheetId="34">#REF!</definedName>
    <definedName name="vt" localSheetId="5">#REF!</definedName>
    <definedName name="vt" localSheetId="8">#REF!</definedName>
    <definedName name="vt" localSheetId="10">#REF!</definedName>
    <definedName name="vt" localSheetId="11">#REF!</definedName>
    <definedName name="vt" localSheetId="37">#REF!</definedName>
    <definedName name="vt" localSheetId="28">#REF!</definedName>
    <definedName name="vt" localSheetId="42">#REF!</definedName>
    <definedName name="vt">#REF!</definedName>
    <definedName name="VV" localSheetId="8">#REF!</definedName>
    <definedName name="VV" localSheetId="10">#REF!</definedName>
    <definedName name="VV" localSheetId="28">#REF!</definedName>
    <definedName name="VV">#REF!</definedName>
    <definedName name="vvv" localSheetId="28">#REF!</definedName>
    <definedName name="vvvvv" localSheetId="33">#REF!</definedName>
    <definedName name="vvvvv" localSheetId="34">#REF!</definedName>
    <definedName name="vvvvv" localSheetId="5">#REF!</definedName>
    <definedName name="vvvvv" localSheetId="8">#REF!</definedName>
    <definedName name="vvvvv" localSheetId="10">#REF!</definedName>
    <definedName name="vvvvv" localSheetId="28">#REF!</definedName>
    <definedName name="vvvvv" localSheetId="42">#REF!</definedName>
    <definedName name="vvvvv">#REF!</definedName>
    <definedName name="VVVVVVVVVVVVVVVVVVV">#REF!</definedName>
    <definedName name="W" localSheetId="14" hidden="1">{"'ridftotal'!$A$4:$S$27"}</definedName>
    <definedName name="w" localSheetId="11">#REF!</definedName>
    <definedName name="W" localSheetId="37" hidden="1">{"'ridftotal'!$A$4:$S$27"}</definedName>
    <definedName name="W" localSheetId="46" hidden="1">{"'ridftotal'!$A$4:$S$27"}</definedName>
    <definedName name="W" localSheetId="28" hidden="1">{"'ridftotal'!$A$4:$S$27"}</definedName>
    <definedName name="W" localSheetId="19" hidden="1">{"'ridftotal'!$A$4:$S$27"}</definedName>
    <definedName name="W" localSheetId="42" hidden="1">{"'ridftotal'!$A$4:$S$27"}</definedName>
    <definedName name="W" localSheetId="9" hidden="1">{"'ridftotal'!$A$4:$S$27"}</definedName>
    <definedName name="W" localSheetId="3" hidden="1">{"'ridftotal'!$A$4:$S$27"}</definedName>
    <definedName name="W" hidden="1">{"'ridftotal'!$A$4:$S$27"}</definedName>
    <definedName name="w3e" localSheetId="8">#REF!</definedName>
    <definedName name="w3e" localSheetId="10">#REF!</definedName>
    <definedName name="w3e" localSheetId="11">#REF!</definedName>
    <definedName name="w3e" localSheetId="28">#REF!</definedName>
    <definedName name="w3e">#REF!</definedName>
    <definedName name="Was" localSheetId="8">#REF!</definedName>
    <definedName name="Was" localSheetId="10">#REF!</definedName>
    <definedName name="Was" localSheetId="11">#REF!</definedName>
    <definedName name="Was" localSheetId="28">#REF!</definedName>
    <definedName name="Was">#REF!</definedName>
    <definedName name="wasi" localSheetId="8">#REF!</definedName>
    <definedName name="wasi" localSheetId="10">#REF!</definedName>
    <definedName name="wasi" localSheetId="11">#REF!</definedName>
    <definedName name="wasi" localSheetId="28">#REF!</definedName>
    <definedName name="wasi">#REF!</definedName>
    <definedName name="water" localSheetId="33">#REF!</definedName>
    <definedName name="water" localSheetId="34">#REF!</definedName>
    <definedName name="water" localSheetId="5">#REF!</definedName>
    <definedName name="water" localSheetId="8">#REF!</definedName>
    <definedName name="water" localSheetId="10">#REF!</definedName>
    <definedName name="water" localSheetId="11">#REF!</definedName>
    <definedName name="water" localSheetId="37">#REF!</definedName>
    <definedName name="water" localSheetId="28">#REF!</definedName>
    <definedName name="water" localSheetId="42">#REF!</definedName>
    <definedName name="water">#REF!</definedName>
    <definedName name="waterproof_paint" localSheetId="8">#REF!</definedName>
    <definedName name="waterproof_paint" localSheetId="10">#REF!</definedName>
    <definedName name="waterproof_paint" localSheetId="11">#REF!</definedName>
    <definedName name="waterproof_paint" localSheetId="28">#REF!</definedName>
    <definedName name="waterproof_paint">#REF!</definedName>
    <definedName name="WBM_Gr.2" localSheetId="28">#REF!</definedName>
    <definedName name="WBM_Gr.3">#REF!</definedName>
    <definedName name="wbs" localSheetId="8">#REF!</definedName>
    <definedName name="wbs" localSheetId="10">#REF!</definedName>
    <definedName name="wbs" localSheetId="11">#REF!</definedName>
    <definedName name="wbs" localSheetId="28">#REF!</definedName>
    <definedName name="wbs">#REF!</definedName>
    <definedName name="wbsi" localSheetId="8">#REF!</definedName>
    <definedName name="wbsi" localSheetId="10">#REF!</definedName>
    <definedName name="wbsi" localSheetId="11">#REF!</definedName>
    <definedName name="wbsi" localSheetId="28">#REF!</definedName>
    <definedName name="wbsi">#REF!</definedName>
    <definedName name="wc" localSheetId="37">[86]r!$F$48</definedName>
    <definedName name="wc">[87]r!$F$48</definedName>
    <definedName name="wct">[90]Intput!$L$22</definedName>
    <definedName name="wctl">[90]Intput!$L$18</definedName>
    <definedName name="wd" localSheetId="8">#REF!</definedName>
    <definedName name="wd" localSheetId="10">#REF!</definedName>
    <definedName name="wd" localSheetId="11">#REF!</definedName>
    <definedName name="wd" localSheetId="28">#REF!</definedName>
    <definedName name="wd">#REF!</definedName>
    <definedName name="wdtd" localSheetId="8">#REF!</definedName>
    <definedName name="wdtd" localSheetId="10">#REF!</definedName>
    <definedName name="wdtd" localSheetId="11">#REF!</definedName>
    <definedName name="wdtd" localSheetId="28">#REF!</definedName>
    <definedName name="wdtd">#REF!</definedName>
    <definedName name="we" localSheetId="8">#REF!</definedName>
    <definedName name="we" localSheetId="10">#REF!</definedName>
    <definedName name="we" localSheetId="11">#REF!</definedName>
    <definedName name="we" localSheetId="28">#REF!</definedName>
    <definedName name="we">#REF!</definedName>
    <definedName name="WeepHoles" localSheetId="28">#REF!</definedName>
    <definedName name="wei" localSheetId="8">#REF!</definedName>
    <definedName name="wei" localSheetId="10">#REF!</definedName>
    <definedName name="wei" localSheetId="11">#REF!</definedName>
    <definedName name="wei" localSheetId="28">#REF!</definedName>
    <definedName name="wei">#REF!</definedName>
    <definedName name="wgl" localSheetId="33" hidden="1">{"'ridftotal'!$A$4:$S$27"}</definedName>
    <definedName name="wgl" localSheetId="34" hidden="1">{"'ridftotal'!$A$4:$S$27"}</definedName>
    <definedName name="wgl" localSheetId="14" hidden="1">{"'ridftotal'!$A$4:$S$27"}</definedName>
    <definedName name="wgl" localSheetId="11" hidden="1">{"'ridftotal'!$A$4:$S$27"}</definedName>
    <definedName name="wgl" localSheetId="37" hidden="1">{"'ridftotal'!$A$4:$S$27"}</definedName>
    <definedName name="wgl" localSheetId="46" hidden="1">{"'ridftotal'!$A$4:$S$27"}</definedName>
    <definedName name="wgl" localSheetId="28" hidden="1">{"'ridftotal'!$A$4:$S$27"}</definedName>
    <definedName name="wgl" localSheetId="19" hidden="1">{"'ridftotal'!$A$4:$S$27"}</definedName>
    <definedName name="wgl" localSheetId="42" hidden="1">{"'ridftotal'!$A$4:$S$27"}</definedName>
    <definedName name="wgl" localSheetId="9" hidden="1">{"'ridftotal'!$A$4:$S$27"}</definedName>
    <definedName name="wgl" localSheetId="3" hidden="1">{"'ridftotal'!$A$4:$S$27"}</definedName>
    <definedName name="wgl" hidden="1">{"'ridftotal'!$A$4:$S$27"}</definedName>
    <definedName name="wh" localSheetId="8">#REF!</definedName>
    <definedName name="wh" localSheetId="10">#REF!</definedName>
    <definedName name="wh" localSheetId="11">#REF!</definedName>
    <definedName name="WH" localSheetId="37">[212]wh!$A$4:$E$473</definedName>
    <definedName name="wh" localSheetId="28">#REF!</definedName>
    <definedName name="wh">#REF!</definedName>
    <definedName name="wha">#REF!</definedName>
    <definedName name="what">#REF!</definedName>
    <definedName name="Wi">#REF!</definedName>
    <definedName name="window" localSheetId="8">#REF!</definedName>
    <definedName name="window" localSheetId="10">#REF!</definedName>
    <definedName name="window" localSheetId="11">#REF!</definedName>
    <definedName name="window" localSheetId="28">#REF!</definedName>
    <definedName name="window">#REF!</definedName>
    <definedName name="window_sizes" localSheetId="33">#REF!</definedName>
    <definedName name="window_sizes" localSheetId="34">#REF!</definedName>
    <definedName name="window_sizes" localSheetId="5">#REF!</definedName>
    <definedName name="window_sizes" localSheetId="8">#REF!</definedName>
    <definedName name="window_sizes" localSheetId="10">#REF!</definedName>
    <definedName name="window_sizes" localSheetId="37">#REF!</definedName>
    <definedName name="window_sizes" localSheetId="28">#REF!</definedName>
    <definedName name="window_sizes" localSheetId="42">#REF!</definedName>
    <definedName name="window_sizes">#REF!</definedName>
    <definedName name="wl" localSheetId="8">#REF!</definedName>
    <definedName name="wl" localSheetId="10">#REF!</definedName>
    <definedName name="wl" localSheetId="11">#REF!</definedName>
    <definedName name="wl" localSheetId="28">#REF!</definedName>
    <definedName name="wl">#REF!</definedName>
    <definedName name="WLA" localSheetId="8">#REF!</definedName>
    <definedName name="WLA" localSheetId="10">#REF!</definedName>
    <definedName name="WLA" localSheetId="28">#REF!</definedName>
    <definedName name="WLA">#REF!</definedName>
    <definedName name="wltd" localSheetId="8">#REF!</definedName>
    <definedName name="wltd" localSheetId="10">#REF!</definedName>
    <definedName name="wltd" localSheetId="11">#REF!</definedName>
    <definedName name="wltd" localSheetId="28">#REF!</definedName>
    <definedName name="wltd">#REF!</definedName>
    <definedName name="wm" localSheetId="5">#REF!</definedName>
    <definedName name="wm" localSheetId="8">#REF!</definedName>
    <definedName name="wm" localSheetId="10">#REF!</definedName>
    <definedName name="wm" localSheetId="11">#REF!</definedName>
    <definedName name="wm" localSheetId="28">#REF!</definedName>
    <definedName name="wm" localSheetId="42">#REF!</definedName>
    <definedName name="wm">#REF!</definedName>
    <definedName name="wmm" localSheetId="8">#REF!</definedName>
    <definedName name="wmm" localSheetId="10">#REF!</definedName>
    <definedName name="wmm" localSheetId="28">#REF!</definedName>
    <definedName name="wmm" localSheetId="42">#REF!</definedName>
    <definedName name="wmm">#REF!</definedName>
    <definedName name="wmz">#REF!</definedName>
    <definedName name="wn" localSheetId="8">#REF!</definedName>
    <definedName name="wn" localSheetId="10">#REF!</definedName>
    <definedName name="wn" localSheetId="11">#REF!</definedName>
    <definedName name="wn" localSheetId="28">#REF!</definedName>
    <definedName name="wn">#REF!</definedName>
    <definedName name="Woman_Mazdoor" localSheetId="8">#REF!</definedName>
    <definedName name="Woman_Mazdoor" localSheetId="10">#REF!</definedName>
    <definedName name="Woman_Mazdoor" localSheetId="28">#REF!</definedName>
    <definedName name="Woman_Mazdoor">#REF!</definedName>
    <definedName name="wood_type" localSheetId="37">'[83]data existing_do not delete'!$D$26:$D$27</definedName>
    <definedName name="wood_type">'[84]data existing_do not delete'!$D$26:$D$27</definedName>
    <definedName name="word" localSheetId="33">#REF!</definedName>
    <definedName name="word" localSheetId="34">#REF!</definedName>
    <definedName name="word" localSheetId="5">#REF!</definedName>
    <definedName name="word" localSheetId="8">#REF!</definedName>
    <definedName name="word" localSheetId="10">#REF!</definedName>
    <definedName name="word" localSheetId="37">#REF!</definedName>
    <definedName name="word" localSheetId="28">#REF!</definedName>
    <definedName name="word" localSheetId="42">#REF!</definedName>
    <definedName name="word">#REF!</definedName>
    <definedName name="wp" localSheetId="8">#REF!</definedName>
    <definedName name="wp" localSheetId="10">#REF!</definedName>
    <definedName name="wp" localSheetId="11">#REF!</definedName>
    <definedName name="wp" localSheetId="37">[90]Load!$J$136</definedName>
    <definedName name="wp" localSheetId="28">#REF!</definedName>
    <definedName name="wp">#REF!</definedName>
    <definedName name="wpc">[90]Load!$J$126</definedName>
    <definedName name="WR" localSheetId="14">#REF!</definedName>
    <definedName name="WR" localSheetId="8">#REF!</definedName>
    <definedName name="WR" localSheetId="10">#REF!</definedName>
    <definedName name="WR" localSheetId="28">#REF!</definedName>
    <definedName name="WR">#REF!</definedName>
    <definedName name="wrb" localSheetId="8">#REF!</definedName>
    <definedName name="wrb" localSheetId="10">#REF!</definedName>
    <definedName name="wrb" localSheetId="11">#REF!</definedName>
    <definedName name="wrb" localSheetId="28">#REF!</definedName>
    <definedName name="wrb">#REF!</definedName>
    <definedName name="wrbi" localSheetId="8">#REF!</definedName>
    <definedName name="wrbi" localSheetId="10">#REF!</definedName>
    <definedName name="wrbi" localSheetId="11">#REF!</definedName>
    <definedName name="wrbi" localSheetId="28">#REF!</definedName>
    <definedName name="wrbi">#REF!</definedName>
    <definedName name="wrn.detailed." localSheetId="14" hidden="1">{#N/A,#N/A,FALSE,"no"}</definedName>
    <definedName name="wrn.detailed." localSheetId="11" hidden="1">{#N/A,#N/A,FALSE,"no"}</definedName>
    <definedName name="wrn.detailed." localSheetId="28" hidden="1">{#N/A,#N/A,FALSE,"no"}</definedName>
    <definedName name="wrn.detailed." localSheetId="42" hidden="1">{#N/A,#N/A,FALSE,"no"}</definedName>
    <definedName name="wrn.detailed." localSheetId="9" hidden="1">{#N/A,#N/A,FALSE,"no"}</definedName>
    <definedName name="wrn.detailed." hidden="1">{#N/A,#N/A,FALSE,"no"}</definedName>
    <definedName name="WRO" localSheetId="14">#REF!</definedName>
    <definedName name="WRO" localSheetId="8">#REF!</definedName>
    <definedName name="WRO" localSheetId="10">#REF!</definedName>
    <definedName name="WRO" localSheetId="28">#REF!</definedName>
    <definedName name="WRO">#REF!</definedName>
    <definedName name="wsw" localSheetId="8">#REF!</definedName>
    <definedName name="wsw" localSheetId="10">#REF!</definedName>
    <definedName name="wsw" localSheetId="11">#REF!</definedName>
    <definedName name="wsw" localSheetId="28">#REF!</definedName>
    <definedName name="wsw">#REF!</definedName>
    <definedName name="wtd" localSheetId="8">#REF!</definedName>
    <definedName name="wtd" localSheetId="10">#REF!</definedName>
    <definedName name="wtd" localSheetId="11">#REF!</definedName>
    <definedName name="wtd" localSheetId="28">#REF!</definedName>
    <definedName name="wtd">#REF!</definedName>
    <definedName name="ww" localSheetId="33">#REF!</definedName>
    <definedName name="ww" localSheetId="34">#REF!</definedName>
    <definedName name="ww" localSheetId="35">#REF!</definedName>
    <definedName name="ww" localSheetId="5">#REF!</definedName>
    <definedName name="ww" localSheetId="8">#REF!</definedName>
    <definedName name="ww" localSheetId="10">#REF!</definedName>
    <definedName name="ww" localSheetId="11">#REF!</definedName>
    <definedName name="ww" localSheetId="37">#REF!</definedName>
    <definedName name="ww" localSheetId="28">#REF!</definedName>
    <definedName name="ww" localSheetId="42">#REF!</definedName>
    <definedName name="ww" localSheetId="31">#REF!</definedName>
    <definedName name="ww">#REF!</definedName>
    <definedName name="wwi" localSheetId="8">#REF!</definedName>
    <definedName name="wwi" localSheetId="10">#REF!</definedName>
    <definedName name="wwi" localSheetId="11">#REF!</definedName>
    <definedName name="wwi" localSheetId="28">#REF!</definedName>
    <definedName name="wwi">#REF!</definedName>
    <definedName name="WWWW" localSheetId="28">#REF!</definedName>
    <definedName name="wwwww">'[214]Plant &amp;  Machinery'!$G$9</definedName>
    <definedName name="wwwwww">#REF!</definedName>
    <definedName name="wz">#REF!</definedName>
    <definedName name="x" localSheetId="33">#REF!</definedName>
    <definedName name="x" localSheetId="34">#REF!</definedName>
    <definedName name="x" localSheetId="5" hidden="1">{#N/A,#N/A,FALSE,"no"}</definedName>
    <definedName name="x" localSheetId="8">#REF!</definedName>
    <definedName name="x" localSheetId="10">#REF!</definedName>
    <definedName name="x" localSheetId="11" hidden="1">{#N/A,#N/A,FALSE,"no"}</definedName>
    <definedName name="x" localSheetId="37">#REF!</definedName>
    <definedName name="x" localSheetId="28">#REF!</definedName>
    <definedName name="x" localSheetId="42">#REF!</definedName>
    <definedName name="x">#REF!</definedName>
    <definedName name="xbb" localSheetId="8">#REF!</definedName>
    <definedName name="xbb" localSheetId="10">#REF!</definedName>
    <definedName name="xbb" localSheetId="28">#REF!</definedName>
    <definedName name="xbb" localSheetId="42">#REF!</definedName>
    <definedName name="xbb">#REF!</definedName>
    <definedName name="xbm" localSheetId="8">#REF!</definedName>
    <definedName name="xbm" localSheetId="10">#REF!</definedName>
    <definedName name="xbm" localSheetId="28">#REF!</definedName>
    <definedName name="xbm" localSheetId="42">#REF!</definedName>
    <definedName name="xbm">#REF!</definedName>
    <definedName name="xcc11534020" localSheetId="8">#REF!</definedName>
    <definedName name="xcc11534020" localSheetId="10">#REF!</definedName>
    <definedName name="xcc11534020" localSheetId="28">#REF!</definedName>
    <definedName name="xcc11534020" localSheetId="42">#REF!</definedName>
    <definedName name="xcc11534020">#REF!</definedName>
    <definedName name="xcc136c" localSheetId="8">#REF!</definedName>
    <definedName name="xcc136c" localSheetId="10">#REF!</definedName>
    <definedName name="xcc136c" localSheetId="28">#REF!</definedName>
    <definedName name="xcc136c" localSheetId="42">#REF!</definedName>
    <definedName name="xcc136c">#REF!</definedName>
    <definedName name="xcf" localSheetId="8">#REF!</definedName>
    <definedName name="xcf" localSheetId="10">#REF!</definedName>
    <definedName name="xcf" localSheetId="28">#REF!</definedName>
    <definedName name="xcf" localSheetId="42">#REF!</definedName>
    <definedName name="xcf">#REF!</definedName>
    <definedName name="xcgi" localSheetId="8">#REF!</definedName>
    <definedName name="xcgi" localSheetId="10">#REF!</definedName>
    <definedName name="xcgi" localSheetId="28">#REF!</definedName>
    <definedName name="xcgi" localSheetId="42">#REF!</definedName>
    <definedName name="xcgi">#REF!</definedName>
    <definedName name="xcrs" localSheetId="8">#REF!</definedName>
    <definedName name="xcrs" localSheetId="10">#REF!</definedName>
    <definedName name="xcrs" localSheetId="28">#REF!</definedName>
    <definedName name="xcrs" localSheetId="42">#REF!</definedName>
    <definedName name="xcrs">#REF!</definedName>
    <definedName name="xew" localSheetId="8">#REF!</definedName>
    <definedName name="xew" localSheetId="10">#REF!</definedName>
    <definedName name="xew" localSheetId="28">#REF!</definedName>
    <definedName name="xew" localSheetId="42">#REF!</definedName>
    <definedName name="xew">#REF!</definedName>
    <definedName name="xew20b" localSheetId="8">#REF!</definedName>
    <definedName name="xew20b" localSheetId="10">#REF!</definedName>
    <definedName name="xew20b" localSheetId="28">#REF!</definedName>
    <definedName name="xew20b" localSheetId="42">#REF!</definedName>
    <definedName name="xew20b">#REF!</definedName>
    <definedName name="xfb" localSheetId="8">#REF!</definedName>
    <definedName name="xfb" localSheetId="10">#REF!</definedName>
    <definedName name="xfb" localSheetId="28">#REF!</definedName>
    <definedName name="xfb" localSheetId="42">#REF!</definedName>
    <definedName name="xfb">#REF!</definedName>
    <definedName name="xfp" localSheetId="8">#REF!</definedName>
    <definedName name="xfp" localSheetId="10">#REF!</definedName>
    <definedName name="xfp" localSheetId="28">#REF!</definedName>
    <definedName name="xfp" localSheetId="42">#REF!</definedName>
    <definedName name="xfp">#REF!</definedName>
    <definedName name="xfpolish" localSheetId="8">#REF!</definedName>
    <definedName name="xfpolish" localSheetId="10">#REF!</definedName>
    <definedName name="xfpolish" localSheetId="28">#REF!</definedName>
    <definedName name="xfpolish" localSheetId="42">#REF!</definedName>
    <definedName name="xfpolish">#REF!</definedName>
    <definedName name="xfprr" localSheetId="8">#REF!</definedName>
    <definedName name="xfprr" localSheetId="10">#REF!</definedName>
    <definedName name="xfprr" localSheetId="28">#REF!</definedName>
    <definedName name="xfprr" localSheetId="42">#REF!</definedName>
    <definedName name="xfprr">#REF!</definedName>
    <definedName name="xfpss" localSheetId="8">#REF!</definedName>
    <definedName name="xfpss" localSheetId="10">#REF!</definedName>
    <definedName name="xfpss" localSheetId="28">#REF!</definedName>
    <definedName name="xfpss" localSheetId="42">#REF!</definedName>
    <definedName name="xfpss">#REF!</definedName>
    <definedName name="xfscc" localSheetId="8">#REF!</definedName>
    <definedName name="xfscc" localSheetId="10">#REF!</definedName>
    <definedName name="xfscc" localSheetId="28">#REF!</definedName>
    <definedName name="xfscc" localSheetId="42">#REF!</definedName>
    <definedName name="xfscc">#REF!</definedName>
    <definedName name="xfss" localSheetId="8">#REF!</definedName>
    <definedName name="xfss" localSheetId="10">#REF!</definedName>
    <definedName name="xfss" localSheetId="28">#REF!</definedName>
    <definedName name="xfss" localSheetId="42">#REF!</definedName>
    <definedName name="xfss">#REF!</definedName>
    <definedName name="xfsscc" localSheetId="8">#REF!</definedName>
    <definedName name="xfsscc" localSheetId="10">#REF!</definedName>
    <definedName name="xfsscc" localSheetId="28">#REF!</definedName>
    <definedName name="xfsscc" localSheetId="42">#REF!</definedName>
    <definedName name="xfsscc">#REF!</definedName>
    <definedName name="xhb11010" localSheetId="8">#REF!</definedName>
    <definedName name="xhb11010" localSheetId="10">#REF!</definedName>
    <definedName name="xhb11010" localSheetId="11">#REF!</definedName>
    <definedName name="xhb11010" localSheetId="28">#REF!</definedName>
    <definedName name="xhb11010">#REF!</definedName>
    <definedName name="xhb1104" localSheetId="8">#REF!</definedName>
    <definedName name="xhb1104" localSheetId="10">#REF!</definedName>
    <definedName name="xhb1104" localSheetId="11">#REF!</definedName>
    <definedName name="xhb1104" localSheetId="28">#REF!</definedName>
    <definedName name="xhb1104">#REF!</definedName>
    <definedName name="xhb1106" localSheetId="8">#REF!</definedName>
    <definedName name="xhb1106" localSheetId="10">#REF!</definedName>
    <definedName name="xhb1106" localSheetId="11">#REF!</definedName>
    <definedName name="xhb1106" localSheetId="28">#REF!</definedName>
    <definedName name="xhb1106">#REF!</definedName>
    <definedName name="xhb1108" localSheetId="8">#REF!</definedName>
    <definedName name="xhb1108" localSheetId="10">#REF!</definedName>
    <definedName name="xhb1108" localSheetId="11">#REF!</definedName>
    <definedName name="xhb1108" localSheetId="28">#REF!</definedName>
    <definedName name="xhb1108">#REF!</definedName>
    <definedName name="xhb12510" localSheetId="8">#REF!</definedName>
    <definedName name="xhb12510" localSheetId="10">#REF!</definedName>
    <definedName name="xhb12510" localSheetId="11">#REF!</definedName>
    <definedName name="xhb12510" localSheetId="28">#REF!</definedName>
    <definedName name="xhb12510">#REF!</definedName>
    <definedName name="xhb1254" localSheetId="8">#REF!</definedName>
    <definedName name="xhb1254" localSheetId="10">#REF!</definedName>
    <definedName name="xhb1254" localSheetId="11">#REF!</definedName>
    <definedName name="xhb1254" localSheetId="28">#REF!</definedName>
    <definedName name="xhb1254">#REF!</definedName>
    <definedName name="xhb1256" localSheetId="8">#REF!</definedName>
    <definedName name="xhb1256" localSheetId="10">#REF!</definedName>
    <definedName name="xhb1256" localSheetId="11">#REF!</definedName>
    <definedName name="xhb1256" localSheetId="28">#REF!</definedName>
    <definedName name="xhb1256">#REF!</definedName>
    <definedName name="xhb1258" localSheetId="8">#REF!</definedName>
    <definedName name="xhb1258" localSheetId="10">#REF!</definedName>
    <definedName name="xhb1258" localSheetId="11">#REF!</definedName>
    <definedName name="xhb1258" localSheetId="28">#REF!</definedName>
    <definedName name="xhb1258">#REF!</definedName>
    <definedName name="xhb14010" localSheetId="8">#REF!</definedName>
    <definedName name="xhb14010" localSheetId="10">#REF!</definedName>
    <definedName name="xhb14010" localSheetId="11">#REF!</definedName>
    <definedName name="xhb14010" localSheetId="28">#REF!</definedName>
    <definedName name="xhb14010">#REF!</definedName>
    <definedName name="xhb1404" localSheetId="8">#REF!</definedName>
    <definedName name="xhb1404" localSheetId="10">#REF!</definedName>
    <definedName name="xhb1404" localSheetId="11">#REF!</definedName>
    <definedName name="xhb1404" localSheetId="28">#REF!</definedName>
    <definedName name="xhb1404">#REF!</definedName>
    <definedName name="xhb1406" localSheetId="8">#REF!</definedName>
    <definedName name="xhb1406" localSheetId="10">#REF!</definedName>
    <definedName name="xhb1406" localSheetId="11">#REF!</definedName>
    <definedName name="xhb1406" localSheetId="28">#REF!</definedName>
    <definedName name="xhb1406">#REF!</definedName>
    <definedName name="xhb1408" localSheetId="8">#REF!</definedName>
    <definedName name="xhb1408" localSheetId="10">#REF!</definedName>
    <definedName name="xhb1408" localSheetId="11">#REF!</definedName>
    <definedName name="xhb1408" localSheetId="28">#REF!</definedName>
    <definedName name="xhb1408">#REF!</definedName>
    <definedName name="xhb16010" localSheetId="8">#REF!</definedName>
    <definedName name="xhb16010" localSheetId="10">#REF!</definedName>
    <definedName name="xhb16010" localSheetId="11">#REF!</definedName>
    <definedName name="xhb16010" localSheetId="28">#REF!</definedName>
    <definedName name="xhb16010">#REF!</definedName>
    <definedName name="xhb1604" localSheetId="8">#REF!</definedName>
    <definedName name="xhb1604" localSheetId="10">#REF!</definedName>
    <definedName name="xhb1604" localSheetId="11">#REF!</definedName>
    <definedName name="xhb1604" localSheetId="28">#REF!</definedName>
    <definedName name="xhb1604">#REF!</definedName>
    <definedName name="xhb1606" localSheetId="8">#REF!</definedName>
    <definedName name="xhb1606" localSheetId="10">#REF!</definedName>
    <definedName name="xhb1606" localSheetId="11">#REF!</definedName>
    <definedName name="xhb1606" localSheetId="28">#REF!</definedName>
    <definedName name="xhb1606">#REF!</definedName>
    <definedName name="xhb1608" localSheetId="8">#REF!</definedName>
    <definedName name="xhb1608" localSheetId="10">#REF!</definedName>
    <definedName name="xhb1608" localSheetId="11">#REF!</definedName>
    <definedName name="xhb1608" localSheetId="28">#REF!</definedName>
    <definedName name="xhb1608">#REF!</definedName>
    <definedName name="xhb18010" localSheetId="8">#REF!</definedName>
    <definedName name="xhb18010" localSheetId="10">#REF!</definedName>
    <definedName name="xhb18010" localSheetId="11">#REF!</definedName>
    <definedName name="xhb18010" localSheetId="28">#REF!</definedName>
    <definedName name="xhb18010">#REF!</definedName>
    <definedName name="xhb1804" localSheetId="8">#REF!</definedName>
    <definedName name="xhb1804" localSheetId="10">#REF!</definedName>
    <definedName name="xhb1804" localSheetId="11">#REF!</definedName>
    <definedName name="xhb1804" localSheetId="28">#REF!</definedName>
    <definedName name="xhb1804">#REF!</definedName>
    <definedName name="xhb1806" localSheetId="8">#REF!</definedName>
    <definedName name="xhb1806" localSheetId="10">#REF!</definedName>
    <definedName name="xhb1806" localSheetId="11">#REF!</definedName>
    <definedName name="xhb1806" localSheetId="28">#REF!</definedName>
    <definedName name="xhb1806">#REF!</definedName>
    <definedName name="xhb1808" localSheetId="8">#REF!</definedName>
    <definedName name="xhb1808" localSheetId="10">#REF!</definedName>
    <definedName name="xhb1808" localSheetId="11">#REF!</definedName>
    <definedName name="xhb1808" localSheetId="28">#REF!</definedName>
    <definedName name="xhb1808">#REF!</definedName>
    <definedName name="xhb20010" localSheetId="8">#REF!</definedName>
    <definedName name="xhb20010" localSheetId="10">#REF!</definedName>
    <definedName name="xhb20010" localSheetId="11">#REF!</definedName>
    <definedName name="xhb20010" localSheetId="28">#REF!</definedName>
    <definedName name="xhb20010">#REF!</definedName>
    <definedName name="xhb2004" localSheetId="8">#REF!</definedName>
    <definedName name="xhb2004" localSheetId="10">#REF!</definedName>
    <definedName name="xhb2004" localSheetId="11">#REF!</definedName>
    <definedName name="xhb2004" localSheetId="28">#REF!</definedName>
    <definedName name="xhb2004">#REF!</definedName>
    <definedName name="xhb2006" localSheetId="8">#REF!</definedName>
    <definedName name="xhb2006" localSheetId="10">#REF!</definedName>
    <definedName name="xhb2006" localSheetId="11">#REF!</definedName>
    <definedName name="xhb2006" localSheetId="28">#REF!</definedName>
    <definedName name="xhb2006">#REF!</definedName>
    <definedName name="xhb2008" localSheetId="8">#REF!</definedName>
    <definedName name="xhb2008" localSheetId="10">#REF!</definedName>
    <definedName name="xhb2008" localSheetId="11">#REF!</definedName>
    <definedName name="xhb2008" localSheetId="28">#REF!</definedName>
    <definedName name="xhb2008">#REF!</definedName>
    <definedName name="xhb22510" localSheetId="8">#REF!</definedName>
    <definedName name="xhb22510" localSheetId="10">#REF!</definedName>
    <definedName name="xhb22510" localSheetId="11">#REF!</definedName>
    <definedName name="xhb22510" localSheetId="28">#REF!</definedName>
    <definedName name="xhb22510">#REF!</definedName>
    <definedName name="xhb2254" localSheetId="8">#REF!</definedName>
    <definedName name="xhb2254" localSheetId="10">#REF!</definedName>
    <definedName name="xhb2254" localSheetId="11">#REF!</definedName>
    <definedName name="xhb2254" localSheetId="28">#REF!</definedName>
    <definedName name="xhb2254">#REF!</definedName>
    <definedName name="xhb2256" localSheetId="37">[68]hdpe_basic!$G$37</definedName>
    <definedName name="xhb2256">[54]hdpe_basic!$G$37</definedName>
    <definedName name="xhb2258" localSheetId="8">#REF!</definedName>
    <definedName name="xhb2258" localSheetId="10">#REF!</definedName>
    <definedName name="xhb2258" localSheetId="11">#REF!</definedName>
    <definedName name="xhb2258" localSheetId="28">#REF!</definedName>
    <definedName name="xhb2258">#REF!</definedName>
    <definedName name="xhb25010" localSheetId="8">#REF!</definedName>
    <definedName name="xhb25010" localSheetId="10">#REF!</definedName>
    <definedName name="xhb25010" localSheetId="11">#REF!</definedName>
    <definedName name="xhb25010" localSheetId="28">#REF!</definedName>
    <definedName name="xhb25010">#REF!</definedName>
    <definedName name="xhb2504" localSheetId="8">#REF!</definedName>
    <definedName name="xhb2504" localSheetId="10">#REF!</definedName>
    <definedName name="xhb2504" localSheetId="11">#REF!</definedName>
    <definedName name="xhb2504" localSheetId="28">#REF!</definedName>
    <definedName name="xhb2504">#REF!</definedName>
    <definedName name="xhb2506" localSheetId="37">[68]hdpe_basic!$G$38</definedName>
    <definedName name="xhb2506">[54]hdpe_basic!$G$38</definedName>
    <definedName name="xhb2508" localSheetId="8">#REF!</definedName>
    <definedName name="xhb2508" localSheetId="10">#REF!</definedName>
    <definedName name="xhb2508" localSheetId="11">#REF!</definedName>
    <definedName name="xhb2508" localSheetId="28">#REF!</definedName>
    <definedName name="xhb2508">#REF!</definedName>
    <definedName name="xhb28010" localSheetId="8">#REF!</definedName>
    <definedName name="xhb28010" localSheetId="10">#REF!</definedName>
    <definedName name="xhb28010" localSheetId="11">#REF!</definedName>
    <definedName name="xhb28010" localSheetId="28">#REF!</definedName>
    <definedName name="xhb28010">#REF!</definedName>
    <definedName name="xhb2804" localSheetId="8">#REF!</definedName>
    <definedName name="xhb2804" localSheetId="10">#REF!</definedName>
    <definedName name="xhb2804" localSheetId="11">#REF!</definedName>
    <definedName name="xhb2804" localSheetId="28">#REF!</definedName>
    <definedName name="xhb2804">#REF!</definedName>
    <definedName name="xhb2806" localSheetId="37">[68]hdpe_basic!$G$39</definedName>
    <definedName name="xhb2806">[54]hdpe_basic!$G$39</definedName>
    <definedName name="xhb2808" localSheetId="8">#REF!</definedName>
    <definedName name="xhb2808" localSheetId="10">#REF!</definedName>
    <definedName name="xhb2808" localSheetId="11">#REF!</definedName>
    <definedName name="xhb2808" localSheetId="28">#REF!</definedName>
    <definedName name="xhb2808">#REF!</definedName>
    <definedName name="xhb31510" localSheetId="8">#REF!</definedName>
    <definedName name="xhb31510" localSheetId="10">#REF!</definedName>
    <definedName name="xhb31510" localSheetId="11">#REF!</definedName>
    <definedName name="xhb31510" localSheetId="28">#REF!</definedName>
    <definedName name="xhb31510">#REF!</definedName>
    <definedName name="xhb3154" localSheetId="8">#REF!</definedName>
    <definedName name="xhb3154" localSheetId="10">#REF!</definedName>
    <definedName name="xhb3154" localSheetId="11">#REF!</definedName>
    <definedName name="xhb3154" localSheetId="28">#REF!</definedName>
    <definedName name="xhb3154">#REF!</definedName>
    <definedName name="xhb3156" localSheetId="37">[68]hdpe_basic!$G$40</definedName>
    <definedName name="xhb3156">[54]hdpe_basic!$G$40</definedName>
    <definedName name="xhb3158" localSheetId="8">#REF!</definedName>
    <definedName name="xhb3158" localSheetId="10">#REF!</definedName>
    <definedName name="xhb3158" localSheetId="11">#REF!</definedName>
    <definedName name="xhb3158" localSheetId="28">#REF!</definedName>
    <definedName name="xhb3158">#REF!</definedName>
    <definedName name="xhb6310" localSheetId="8">#REF!</definedName>
    <definedName name="xhb6310" localSheetId="10">#REF!</definedName>
    <definedName name="xhb6310" localSheetId="11">#REF!</definedName>
    <definedName name="xhb6310" localSheetId="28">#REF!</definedName>
    <definedName name="xhb6310">#REF!</definedName>
    <definedName name="xhb634" localSheetId="37">[68]hdpe_basic!$G$14</definedName>
    <definedName name="xhb634">[54]hdpe_basic!$G$14</definedName>
    <definedName name="xhb636" localSheetId="8">#REF!</definedName>
    <definedName name="xhb636" localSheetId="10">#REF!</definedName>
    <definedName name="xhb636" localSheetId="11">#REF!</definedName>
    <definedName name="xhb636" localSheetId="28">#REF!</definedName>
    <definedName name="xhb636">#REF!</definedName>
    <definedName name="xhb638" localSheetId="8">#REF!</definedName>
    <definedName name="xhb638" localSheetId="10">#REF!</definedName>
    <definedName name="xhb638" localSheetId="11">#REF!</definedName>
    <definedName name="xhb638" localSheetId="28">#REF!</definedName>
    <definedName name="xhb638">#REF!</definedName>
    <definedName name="xhb7510" localSheetId="8">#REF!</definedName>
    <definedName name="xhb7510" localSheetId="10">#REF!</definedName>
    <definedName name="xhb7510" localSheetId="11">#REF!</definedName>
    <definedName name="xhb7510" localSheetId="28">#REF!</definedName>
    <definedName name="xhb7510">#REF!</definedName>
    <definedName name="xhb754" localSheetId="8">#REF!</definedName>
    <definedName name="xhb754" localSheetId="10">#REF!</definedName>
    <definedName name="xhb754" localSheetId="11">#REF!</definedName>
    <definedName name="xhb754" localSheetId="28">#REF!</definedName>
    <definedName name="xhb754">#REF!</definedName>
    <definedName name="xhb756" localSheetId="8">#REF!</definedName>
    <definedName name="xhb756" localSheetId="10">#REF!</definedName>
    <definedName name="xhb756" localSheetId="11">#REF!</definedName>
    <definedName name="xhb756" localSheetId="28">#REF!</definedName>
    <definedName name="xhb756">#REF!</definedName>
    <definedName name="xhb758" localSheetId="8">#REF!</definedName>
    <definedName name="xhb758" localSheetId="10">#REF!</definedName>
    <definedName name="xhb758" localSheetId="11">#REF!</definedName>
    <definedName name="xhb758" localSheetId="28">#REF!</definedName>
    <definedName name="xhb758">#REF!</definedName>
    <definedName name="xhb9010" localSheetId="8">#REF!</definedName>
    <definedName name="xhb9010" localSheetId="10">#REF!</definedName>
    <definedName name="xhb9010" localSheetId="11">#REF!</definedName>
    <definedName name="xhb9010" localSheetId="28">#REF!</definedName>
    <definedName name="xhb9010">#REF!</definedName>
    <definedName name="xhb904" localSheetId="8">#REF!</definedName>
    <definedName name="xhb904" localSheetId="10">#REF!</definedName>
    <definedName name="xhb904" localSheetId="11">#REF!</definedName>
    <definedName name="xhb904" localSheetId="28">#REF!</definedName>
    <definedName name="xhb904">#REF!</definedName>
    <definedName name="xhb906" localSheetId="8">#REF!</definedName>
    <definedName name="xhb906" localSheetId="10">#REF!</definedName>
    <definedName name="xhb906" localSheetId="11">#REF!</definedName>
    <definedName name="xhb906" localSheetId="28">#REF!</definedName>
    <definedName name="xhb906">#REF!</definedName>
    <definedName name="xhb908" localSheetId="8">#REF!</definedName>
    <definedName name="xhb908" localSheetId="10">#REF!</definedName>
    <definedName name="xhb908" localSheetId="11">#REF!</definedName>
    <definedName name="xhb908" localSheetId="28">#REF!</definedName>
    <definedName name="xhb908">#REF!</definedName>
    <definedName name="XI" localSheetId="14">#REF!</definedName>
    <definedName name="XI" localSheetId="8">#REF!</definedName>
    <definedName name="XI" localSheetId="10">#REF!</definedName>
    <definedName name="XI" localSheetId="28">#REF!</definedName>
    <definedName name="XI">#REF!</definedName>
    <definedName name="ximp" localSheetId="8">#REF!</definedName>
    <definedName name="ximp" localSheetId="10">#REF!</definedName>
    <definedName name="ximp" localSheetId="28">#REF!</definedName>
    <definedName name="ximp" localSheetId="42">#REF!</definedName>
    <definedName name="ximp">#REF!</definedName>
    <definedName name="ximp20" localSheetId="8">#REF!</definedName>
    <definedName name="ximp20" localSheetId="10">#REF!</definedName>
    <definedName name="ximp20" localSheetId="28">#REF!</definedName>
    <definedName name="ximp20" localSheetId="42">#REF!</definedName>
    <definedName name="ximp20">#REF!</definedName>
    <definedName name="xlin" localSheetId="8">#REF!</definedName>
    <definedName name="xlin" localSheetId="10">#REF!</definedName>
    <definedName name="xlin" localSheetId="28">#REF!</definedName>
    <definedName name="xlin" localSheetId="42">#REF!</definedName>
    <definedName name="xlin">#REF!</definedName>
    <definedName name="XOTOXSIX" localSheetId="33">#REF!</definedName>
    <definedName name="XOTOXSIX" localSheetId="34">#REF!</definedName>
    <definedName name="XOTOXSIX" localSheetId="5">#REF!</definedName>
    <definedName name="XOTOXSIX" localSheetId="8">#REF!</definedName>
    <definedName name="XOTOXSIX" localSheetId="10">#REF!</definedName>
    <definedName name="XOTOXSIX" localSheetId="37">#REF!</definedName>
    <definedName name="XOTOXSIX" localSheetId="28">#REF!</definedName>
    <definedName name="XOTOXSIX" localSheetId="42">#REF!</definedName>
    <definedName name="XOTOXSIX">#REF!</definedName>
    <definedName name="xpb11010" localSheetId="37">[68]pvc_basic!$G$44</definedName>
    <definedName name="xpb11010">[54]pvc_basic!$G$44</definedName>
    <definedName name="xpb1104" localSheetId="37">[68]pvc_basic!$G$16</definedName>
    <definedName name="xpb1104">[54]pvc_basic!$G$16</definedName>
    <definedName name="xpb1106" localSheetId="37">[68]pvc_basic!$G$30</definedName>
    <definedName name="xpb1106">[54]pvc_basic!$G$30</definedName>
    <definedName name="xpb12510" localSheetId="37">[68]pvc_basic!$G$45</definedName>
    <definedName name="xpb12510">[54]pvc_basic!$G$45</definedName>
    <definedName name="xpb1254" localSheetId="37">[68]pvc_basic!$G$17</definedName>
    <definedName name="xpb1254">[54]pvc_basic!$G$17</definedName>
    <definedName name="xpb1256" localSheetId="37">[68]pvc_basic!$G$31</definedName>
    <definedName name="xpb1256">[54]pvc_basic!$G$31</definedName>
    <definedName name="xpb14010" localSheetId="37">[68]pvc_basic!$G$46</definedName>
    <definedName name="xpb14010">[54]pvc_basic!$G$46</definedName>
    <definedName name="xpb1404" localSheetId="37">[68]pvc_basic!$G$18</definedName>
    <definedName name="xpb1404">[54]pvc_basic!$G$18</definedName>
    <definedName name="xpb1406" localSheetId="37">[68]pvc_basic!$G$32</definedName>
    <definedName name="xpb1406">[54]pvc_basic!$G$32</definedName>
    <definedName name="xpb16010" localSheetId="8">#REF!</definedName>
    <definedName name="xpb16010" localSheetId="10">#REF!</definedName>
    <definedName name="xpb16010" localSheetId="11">#REF!</definedName>
    <definedName name="xpb16010" localSheetId="28">#REF!</definedName>
    <definedName name="xpb16010">#REF!</definedName>
    <definedName name="xpb1604" localSheetId="37">[68]pvc_basic!$G$19</definedName>
    <definedName name="xpb1604">[54]pvc_basic!$G$19</definedName>
    <definedName name="xpb1606" localSheetId="37">[68]pvc_basic!$G$33</definedName>
    <definedName name="xpb1606">[54]pvc_basic!$G$33</definedName>
    <definedName name="xpb18010" localSheetId="8">#REF!</definedName>
    <definedName name="xpb18010" localSheetId="10">#REF!</definedName>
    <definedName name="xpb18010" localSheetId="11">#REF!</definedName>
    <definedName name="xpb18010" localSheetId="28">#REF!</definedName>
    <definedName name="xpb18010">#REF!</definedName>
    <definedName name="xpb1804" localSheetId="37">[68]pvc_basic!$G$20</definedName>
    <definedName name="xpb1804">[54]pvc_basic!$G$20</definedName>
    <definedName name="xpb1806" localSheetId="37">[68]pvc_basic!$G$34</definedName>
    <definedName name="xpb1806">[54]pvc_basic!$G$34</definedName>
    <definedName name="xpb20010" localSheetId="8">#REF!</definedName>
    <definedName name="xpb20010" localSheetId="10">#REF!</definedName>
    <definedName name="xpb20010" localSheetId="11">#REF!</definedName>
    <definedName name="xpb20010" localSheetId="28">#REF!</definedName>
    <definedName name="xpb20010">#REF!</definedName>
    <definedName name="xpb2004" localSheetId="8">#REF!</definedName>
    <definedName name="xpb2004" localSheetId="10">#REF!</definedName>
    <definedName name="xpb2004" localSheetId="11">#REF!</definedName>
    <definedName name="xpb2004" localSheetId="28">#REF!</definedName>
    <definedName name="xpb2004">#REF!</definedName>
    <definedName name="xpb2006" localSheetId="37">[68]pvc_basic!$G$35</definedName>
    <definedName name="xpb2006">[54]pvc_basic!$G$35</definedName>
    <definedName name="xpb22510" localSheetId="8">#REF!</definedName>
    <definedName name="xpb22510" localSheetId="10">#REF!</definedName>
    <definedName name="xpb22510" localSheetId="11">#REF!</definedName>
    <definedName name="xpb22510" localSheetId="28">#REF!</definedName>
    <definedName name="xpb22510">#REF!</definedName>
    <definedName name="xpb2254" localSheetId="8">#REF!</definedName>
    <definedName name="xpb2254" localSheetId="10">#REF!</definedName>
    <definedName name="xpb2254" localSheetId="11">#REF!</definedName>
    <definedName name="xpb2254" localSheetId="28">#REF!</definedName>
    <definedName name="xpb2254">#REF!</definedName>
    <definedName name="xpb2256" localSheetId="8">#REF!</definedName>
    <definedName name="xpb2256" localSheetId="10">#REF!</definedName>
    <definedName name="xpb2256" localSheetId="11">#REF!</definedName>
    <definedName name="xpb2256" localSheetId="28">#REF!</definedName>
    <definedName name="xpb2256">#REF!</definedName>
    <definedName name="xpb25010" localSheetId="8">#REF!</definedName>
    <definedName name="xpb25010" localSheetId="10">#REF!</definedName>
    <definedName name="xpb25010" localSheetId="11">#REF!</definedName>
    <definedName name="xpb25010" localSheetId="28">#REF!</definedName>
    <definedName name="xpb25010">#REF!</definedName>
    <definedName name="xpb2504" localSheetId="8">#REF!</definedName>
    <definedName name="xpb2504" localSheetId="10">#REF!</definedName>
    <definedName name="xpb2504" localSheetId="11">#REF!</definedName>
    <definedName name="xpb2504" localSheetId="28">#REF!</definedName>
    <definedName name="xpb2504">#REF!</definedName>
    <definedName name="xpb2506" localSheetId="8">#REF!</definedName>
    <definedName name="xpb2506" localSheetId="10">#REF!</definedName>
    <definedName name="xpb2506" localSheetId="11">#REF!</definedName>
    <definedName name="xpb2506" localSheetId="28">#REF!</definedName>
    <definedName name="xpb2506">#REF!</definedName>
    <definedName name="xpb28010" localSheetId="8">#REF!</definedName>
    <definedName name="xpb28010" localSheetId="10">#REF!</definedName>
    <definedName name="xpb28010" localSheetId="11">#REF!</definedName>
    <definedName name="xpb28010" localSheetId="28">#REF!</definedName>
    <definedName name="xpb28010">#REF!</definedName>
    <definedName name="xpb2804" localSheetId="8">#REF!</definedName>
    <definedName name="xpb2804" localSheetId="10">#REF!</definedName>
    <definedName name="xpb2804" localSheetId="11">#REF!</definedName>
    <definedName name="xpb2804" localSheetId="28">#REF!</definedName>
    <definedName name="xpb2804">#REF!</definedName>
    <definedName name="xpb2806" localSheetId="8">#REF!</definedName>
    <definedName name="xpb2806" localSheetId="10">#REF!</definedName>
    <definedName name="xpb2806" localSheetId="11">#REF!</definedName>
    <definedName name="xpb2806" localSheetId="28">#REF!</definedName>
    <definedName name="xpb2806">#REF!</definedName>
    <definedName name="xpb31510" localSheetId="8">#REF!</definedName>
    <definedName name="xpb31510" localSheetId="10">#REF!</definedName>
    <definedName name="xpb31510" localSheetId="11">#REF!</definedName>
    <definedName name="xpb31510" localSheetId="28">#REF!</definedName>
    <definedName name="xpb31510">#REF!</definedName>
    <definedName name="xpb3154" localSheetId="8">#REF!</definedName>
    <definedName name="xpb3154" localSheetId="10">#REF!</definedName>
    <definedName name="xpb3154" localSheetId="11">#REF!</definedName>
    <definedName name="xpb3154" localSheetId="28">#REF!</definedName>
    <definedName name="xpb3154">#REF!</definedName>
    <definedName name="xpb3156" localSheetId="8">#REF!</definedName>
    <definedName name="xpb3156" localSheetId="10">#REF!</definedName>
    <definedName name="xpb3156" localSheetId="11">#REF!</definedName>
    <definedName name="xpb3156" localSheetId="28">#REF!</definedName>
    <definedName name="xpb3156">#REF!</definedName>
    <definedName name="xpb6310" localSheetId="37">[68]pvc_basic!$G$41</definedName>
    <definedName name="xpb6310">[54]pvc_basic!$G$41</definedName>
    <definedName name="xpb634" localSheetId="8">#REF!</definedName>
    <definedName name="xpb634" localSheetId="10">#REF!</definedName>
    <definedName name="xpb634" localSheetId="11">#REF!</definedName>
    <definedName name="xpb634" localSheetId="28">#REF!</definedName>
    <definedName name="xpb634">#REF!</definedName>
    <definedName name="xpb636" localSheetId="37">[68]pvc_basic!$G$27</definedName>
    <definedName name="xpb636">[54]pvc_basic!$G$27</definedName>
    <definedName name="xpb7510" localSheetId="37">[68]pvc_basic!$G$42</definedName>
    <definedName name="xpb7510">[54]pvc_basic!$G$42</definedName>
    <definedName name="xpb754" localSheetId="37">[68]pvc_basic!$G$14</definedName>
    <definedName name="xpb754">[54]pvc_basic!$G$14</definedName>
    <definedName name="xpb756" localSheetId="37">[68]pvc_basic!$G$28</definedName>
    <definedName name="xpb756">[54]pvc_basic!$G$28</definedName>
    <definedName name="xpb9010" localSheetId="8">#REF!</definedName>
    <definedName name="xpb9010" localSheetId="10">#REF!</definedName>
    <definedName name="xpb9010" localSheetId="11">#REF!</definedName>
    <definedName name="xpb9010" localSheetId="28">#REF!</definedName>
    <definedName name="xpb9010">#REF!</definedName>
    <definedName name="xpb904" localSheetId="37">[68]pvc_basic!$G$15</definedName>
    <definedName name="xpb904">[54]pvc_basic!$G$15</definedName>
    <definedName name="xpb906" localSheetId="37">[68]pvc_basic!$G$29</definedName>
    <definedName name="xpb906">[54]pvc_basic!$G$29</definedName>
    <definedName name="xpl121513" localSheetId="8">#REF!</definedName>
    <definedName name="xpl121513" localSheetId="10">#REF!</definedName>
    <definedName name="xpl121513" localSheetId="28">#REF!</definedName>
    <definedName name="xpl121513" localSheetId="42">#REF!</definedName>
    <definedName name="xpl121513">#REF!</definedName>
    <definedName name="xpl1312" localSheetId="8">#REF!</definedName>
    <definedName name="xpl1312" localSheetId="10">#REF!</definedName>
    <definedName name="xpl1312" localSheetId="28">#REF!</definedName>
    <definedName name="xpl1312" localSheetId="42">#REF!</definedName>
    <definedName name="xpl1312">#REF!</definedName>
    <definedName name="xpl1320" localSheetId="8">#REF!</definedName>
    <definedName name="xpl1320" localSheetId="10">#REF!</definedName>
    <definedName name="xpl1320" localSheetId="28">#REF!</definedName>
    <definedName name="xpl1320" localSheetId="42">#REF!</definedName>
    <definedName name="xpl1320">#REF!</definedName>
    <definedName name="xpl1412" localSheetId="8">#REF!</definedName>
    <definedName name="xpl1412" localSheetId="10">#REF!</definedName>
    <definedName name="xpl1412" localSheetId="28">#REF!</definedName>
    <definedName name="xpl1412" localSheetId="42">#REF!</definedName>
    <definedName name="xpl1412">#REF!</definedName>
    <definedName name="xpl1420" localSheetId="8">#REF!</definedName>
    <definedName name="xpl1420" localSheetId="10">#REF!</definedName>
    <definedName name="xpl1420" localSheetId="28">#REF!</definedName>
    <definedName name="xpl1420" localSheetId="42">#REF!</definedName>
    <definedName name="xpl1420">#REF!</definedName>
    <definedName name="xpl201513" localSheetId="8">#REF!</definedName>
    <definedName name="xpl201513" localSheetId="10">#REF!</definedName>
    <definedName name="xpl201513" localSheetId="28">#REF!</definedName>
    <definedName name="xpl201513" localSheetId="42">#REF!</definedName>
    <definedName name="xpl201513">#REF!</definedName>
    <definedName name="xrf" localSheetId="8">#REF!</definedName>
    <definedName name="xrf" localSheetId="10">#REF!</definedName>
    <definedName name="xrf" localSheetId="28">#REF!</definedName>
    <definedName name="xrf" localSheetId="42">#REF!</definedName>
    <definedName name="xrf">#REF!</definedName>
    <definedName name="xrr" localSheetId="8">#REF!</definedName>
    <definedName name="xrr" localSheetId="10">#REF!</definedName>
    <definedName name="xrr" localSheetId="28">#REF!</definedName>
    <definedName name="xrr" localSheetId="42">#REF!</definedName>
    <definedName name="xrr">#REF!</definedName>
    <definedName name="xrs" localSheetId="8">#REF!</definedName>
    <definedName name="xrs" localSheetId="10">#REF!</definedName>
    <definedName name="xrs" localSheetId="28">#REF!</definedName>
    <definedName name="xrs" localSheetId="42">#REF!</definedName>
    <definedName name="xrs">#REF!</definedName>
    <definedName name="xrs112" localSheetId="8">#REF!</definedName>
    <definedName name="xrs112" localSheetId="10">#REF!</definedName>
    <definedName name="xrs112" localSheetId="28">#REF!</definedName>
    <definedName name="xrs112" localSheetId="42">#REF!</definedName>
    <definedName name="xrs112">#REF!</definedName>
    <definedName name="xrs120" localSheetId="8">#REF!</definedName>
    <definedName name="xrs120" localSheetId="10">#REF!</definedName>
    <definedName name="xrs120" localSheetId="28">#REF!</definedName>
    <definedName name="xrs120" localSheetId="42">#REF!</definedName>
    <definedName name="xrs120">#REF!</definedName>
    <definedName name="xrsd225" localSheetId="8">#REF!</definedName>
    <definedName name="xrsd225" localSheetId="10">#REF!</definedName>
    <definedName name="xrsd225" localSheetId="28">#REF!</definedName>
    <definedName name="xrsd225" localSheetId="42">#REF!</definedName>
    <definedName name="xrsd225">#REF!</definedName>
    <definedName name="xsc" localSheetId="8">#REF!</definedName>
    <definedName name="xsc" localSheetId="10">#REF!</definedName>
    <definedName name="xsc" localSheetId="28">#REF!</definedName>
    <definedName name="xsc" localSheetId="42">#REF!</definedName>
    <definedName name="xsc">#REF!</definedName>
    <definedName name="xscp" localSheetId="8">#REF!</definedName>
    <definedName name="xscp" localSheetId="10">#REF!</definedName>
    <definedName name="xscp" localSheetId="28">#REF!</definedName>
    <definedName name="xscp" localSheetId="42">#REF!</definedName>
    <definedName name="xscp">#REF!</definedName>
    <definedName name="xsep" localSheetId="8">#REF!</definedName>
    <definedName name="xsep" localSheetId="10">#REF!</definedName>
    <definedName name="xsep" localSheetId="28">#REF!</definedName>
    <definedName name="xsep" localSheetId="42">#REF!</definedName>
    <definedName name="xsep">#REF!</definedName>
    <definedName name="xsfb" localSheetId="8">#REF!</definedName>
    <definedName name="xsfb" localSheetId="10">#REF!</definedName>
    <definedName name="xsfb" localSheetId="28">#REF!</definedName>
    <definedName name="xsfb" localSheetId="42">#REF!</definedName>
    <definedName name="xsfb">#REF!</definedName>
    <definedName name="XSIXTOXTHIRTEEN" localSheetId="33">#REF!</definedName>
    <definedName name="XSIXTOXTHIRTEEN" localSheetId="34">#REF!</definedName>
    <definedName name="XSIXTOXTHIRTEEN" localSheetId="5">#REF!</definedName>
    <definedName name="XSIXTOXTHIRTEEN" localSheetId="8">#REF!</definedName>
    <definedName name="XSIXTOXTHIRTEEN" localSheetId="10">#REF!</definedName>
    <definedName name="XSIXTOXTHIRTEEN" localSheetId="37">#REF!</definedName>
    <definedName name="XSIXTOXTHIRTEEN" localSheetId="28">#REF!</definedName>
    <definedName name="XSIXTOXTHIRTEEN" localSheetId="42">#REF!</definedName>
    <definedName name="XSIXTOXTHIRTEEN">#REF!</definedName>
    <definedName name="xspread" localSheetId="8">#REF!</definedName>
    <definedName name="xspread" localSheetId="10">#REF!</definedName>
    <definedName name="xspread" localSheetId="28">#REF!</definedName>
    <definedName name="xspread" localSheetId="42">#REF!</definedName>
    <definedName name="xspread">#REF!</definedName>
    <definedName name="xss" localSheetId="8">#REF!</definedName>
    <definedName name="xss" localSheetId="10">#REF!</definedName>
    <definedName name="xss" localSheetId="28">#REF!</definedName>
    <definedName name="xss" localSheetId="42">#REF!</definedName>
    <definedName name="xss">#REF!</definedName>
    <definedName name="xtb" localSheetId="8">#REF!</definedName>
    <definedName name="xtb" localSheetId="10">#REF!</definedName>
    <definedName name="xtb" localSheetId="28">#REF!</definedName>
    <definedName name="xtb" localSheetId="42">#REF!</definedName>
    <definedName name="xtb">#REF!</definedName>
    <definedName name="xvrcc1153" localSheetId="8">#REF!</definedName>
    <definedName name="xvrcc1153" localSheetId="10">#REF!</definedName>
    <definedName name="xvrcc1153" localSheetId="28">#REF!</definedName>
    <definedName name="xvrcc1153" localSheetId="42">#REF!</definedName>
    <definedName name="xvrcc1153">#REF!</definedName>
    <definedName name="xvrcc124" localSheetId="8">#REF!</definedName>
    <definedName name="xvrcc124" localSheetId="10">#REF!</definedName>
    <definedName name="xvrcc124" localSheetId="28">#REF!</definedName>
    <definedName name="xvrcc124" localSheetId="42">#REF!</definedName>
    <definedName name="xvrcc124">#REF!</definedName>
    <definedName name="xww" localSheetId="8">#REF!</definedName>
    <definedName name="xww" localSheetId="10">#REF!</definedName>
    <definedName name="xww" localSheetId="28">#REF!</definedName>
    <definedName name="xww" localSheetId="42">#REF!</definedName>
    <definedName name="xww">#REF!</definedName>
    <definedName name="xx" localSheetId="14" hidden="1">{"'ridftotal'!$A$4:$S$27"}</definedName>
    <definedName name="xx" localSheetId="11" hidden="1">{"'ridftotal'!$A$4:$S$27"}</definedName>
    <definedName name="xx" localSheetId="37" hidden="1">{"'ridftotal'!$A$4:$S$27"}</definedName>
    <definedName name="xx" localSheetId="46" hidden="1">{"'ridftotal'!$A$4:$S$27"}</definedName>
    <definedName name="xx" localSheetId="28" hidden="1">{"'ridftotal'!$A$4:$S$27"}</definedName>
    <definedName name="xx" localSheetId="19" hidden="1">{"'ridftotal'!$A$4:$S$27"}</definedName>
    <definedName name="xx" localSheetId="42" hidden="1">{"'ridftotal'!$A$4:$S$27"}</definedName>
    <definedName name="xx" localSheetId="9" hidden="1">{"'ridftotal'!$A$4:$S$27"}</definedName>
    <definedName name="xx" localSheetId="3" hidden="1">{"'ridftotal'!$A$4:$S$27"}</definedName>
    <definedName name="xx" hidden="1">{"'ridftotal'!$A$4:$S$27"}</definedName>
    <definedName name="xxx" localSheetId="33">[251]Data!#REF!</definedName>
    <definedName name="xxx" localSheetId="34">[251]Data!#REF!</definedName>
    <definedName name="xxx" localSheetId="8">#REF!</definedName>
    <definedName name="xxx" localSheetId="10">#REF!</definedName>
    <definedName name="xxx" localSheetId="37">[252]Data!#REF!</definedName>
    <definedName name="xxx" localSheetId="28">#REF!</definedName>
    <definedName name="xxx" localSheetId="42">#REF!</definedName>
    <definedName name="xxx">#REF!</definedName>
    <definedName name="xxxbxb" localSheetId="35">#REF!</definedName>
    <definedName name="xxxbxb" localSheetId="5">#REF!</definedName>
    <definedName name="xxxbxb" localSheetId="8">#REF!</definedName>
    <definedName name="xxxbxb" localSheetId="10">#REF!</definedName>
    <definedName name="xxxbxb" localSheetId="11">#REF!</definedName>
    <definedName name="xxxbxb" localSheetId="28">#REF!</definedName>
    <definedName name="xxxbxb" localSheetId="42">#REF!</definedName>
    <definedName name="xxxbxb" localSheetId="31">#REF!</definedName>
    <definedName name="xxxbxb">#REF!</definedName>
    <definedName name="xxxx" localSheetId="14" hidden="1">{"'ridftotal'!$A$4:$S$27"}</definedName>
    <definedName name="xxxx" localSheetId="11" hidden="1">{"'ridftotal'!$A$4:$S$27"}</definedName>
    <definedName name="xxxx" localSheetId="37" hidden="1">{"'ridftotal'!$A$4:$S$27"}</definedName>
    <definedName name="xxxx" localSheetId="46" hidden="1">{"'ridftotal'!$A$4:$S$27"}</definedName>
    <definedName name="xxxx" localSheetId="28" hidden="1">{"'ridftotal'!$A$4:$S$27"}</definedName>
    <definedName name="xxxx" localSheetId="19" hidden="1">{"'ridftotal'!$A$4:$S$27"}</definedName>
    <definedName name="xxxx" localSheetId="42" hidden="1">{"'ridftotal'!$A$4:$S$27"}</definedName>
    <definedName name="xxxx" localSheetId="9" hidden="1">{"'ridftotal'!$A$4:$S$27"}</definedName>
    <definedName name="xxxx" localSheetId="3" hidden="1">{"'ridftotal'!$A$4:$S$27"}</definedName>
    <definedName name="xxxx" hidden="1">{"'ridftotal'!$A$4:$S$27"}</definedName>
    <definedName name="XXXXX" localSheetId="37">[253]Data!#REF!</definedName>
    <definedName name="XXXXX">[254]Data!#REF!</definedName>
    <definedName name="xxxxxx" localSheetId="37">[255]Data!#REF!</definedName>
    <definedName name="xxxxxx">[256]Data!#REF!</definedName>
    <definedName name="xxxxxxx" localSheetId="37">[252]Data!#REF!</definedName>
    <definedName name="xxxxxxx">[251]Data!#REF!</definedName>
    <definedName name="xz" localSheetId="28">#REF!</definedName>
    <definedName name="y" localSheetId="33">#REF!</definedName>
    <definedName name="y" localSheetId="34">#REF!</definedName>
    <definedName name="y" localSheetId="35">#REF!</definedName>
    <definedName name="y" localSheetId="5">#REF!</definedName>
    <definedName name="y" localSheetId="8">#REF!</definedName>
    <definedName name="y" localSheetId="10">#REF!</definedName>
    <definedName name="y" localSheetId="11">#REF!</definedName>
    <definedName name="y" localSheetId="37">#REF!</definedName>
    <definedName name="y" localSheetId="28">#REF!</definedName>
    <definedName name="y" localSheetId="42">#REF!</definedName>
    <definedName name="y" localSheetId="31">#REF!</definedName>
    <definedName name="y">#REF!</definedName>
    <definedName name="y_43">"$#REF!.$A$2:$L$14"</definedName>
    <definedName name="y_59">"$#REF!.$A$2:$L$14"</definedName>
    <definedName name="y_61">"$#REF!.$A$2:$L$14"</definedName>
    <definedName name="ycode" localSheetId="37">'[257]0000000000000'!$D$3</definedName>
    <definedName name="ycode">'[258]0000000000000'!$D$3</definedName>
    <definedName name="year" localSheetId="5">#REF!</definedName>
    <definedName name="year" localSheetId="8">#REF!</definedName>
    <definedName name="year" localSheetId="10">#REF!</definedName>
    <definedName name="year" localSheetId="11">#REF!</definedName>
    <definedName name="year" localSheetId="28">#REF!</definedName>
    <definedName name="year" localSheetId="42">#REF!</definedName>
    <definedName name="year">#REF!</definedName>
    <definedName name="yearssr" localSheetId="37">[162]index!$A$1:$M$2</definedName>
    <definedName name="yearssr">[259]index!$A$1:$M$2</definedName>
    <definedName name="yeild">#REF!</definedName>
    <definedName name="yes" localSheetId="5">#REF!</definedName>
    <definedName name="yes" localSheetId="37">[260]Material!$D$69</definedName>
    <definedName name="yes">[261]Material!$D$69</definedName>
    <definedName name="ypr">[262]Data!#REF!</definedName>
    <definedName name="ytttyt">#REF!</definedName>
    <definedName name="ytyttyfg">#REF!</definedName>
    <definedName name="yyuydr">#REF!</definedName>
    <definedName name="yyuye">#REF!</definedName>
    <definedName name="yyuyu">#REF!</definedName>
    <definedName name="yyyyy" localSheetId="33">#REF!</definedName>
    <definedName name="yyyyy" localSheetId="34">#REF!</definedName>
    <definedName name="yyyyy" localSheetId="5">#REF!</definedName>
    <definedName name="yyyyy" localSheetId="8">#REF!</definedName>
    <definedName name="yyyyy" localSheetId="10">#REF!</definedName>
    <definedName name="yyyyy" localSheetId="11">#REF!</definedName>
    <definedName name="yyyyy" localSheetId="37">#REF!</definedName>
    <definedName name="yyyyy" localSheetId="28">#REF!</definedName>
    <definedName name="yyyyy" localSheetId="42">#REF!</definedName>
    <definedName name="yyyyy">#REF!</definedName>
    <definedName name="yyyyy_33">"$#REF!.$#REF!$#REF!"</definedName>
    <definedName name="yyyyyyyyyyyyyyyyyyyyyyyyyyyyyyyyyyyyyyyyyyyy">#REF!</definedName>
    <definedName name="z" localSheetId="11">#REF!</definedName>
    <definedName name="z">[129]m!$D$149</definedName>
    <definedName name="z.p.h.s" localSheetId="28">#REF!</definedName>
    <definedName name="zam" localSheetId="5">#REF!</definedName>
    <definedName name="zam" localSheetId="8">#REF!</definedName>
    <definedName name="zam" localSheetId="10">#REF!</definedName>
    <definedName name="zam" localSheetId="11">#REF!</definedName>
    <definedName name="zam" localSheetId="28">#REF!</definedName>
    <definedName name="zam" localSheetId="42">#REF!</definedName>
    <definedName name="zam">#REF!</definedName>
    <definedName name="ZEROTOSIX" localSheetId="33">#REF!</definedName>
    <definedName name="ZEROTOSIX" localSheetId="34">#REF!</definedName>
    <definedName name="ZEROTOSIX" localSheetId="5">#REF!</definedName>
    <definedName name="ZEROTOSIX" localSheetId="8">#REF!</definedName>
    <definedName name="ZEROTOSIX" localSheetId="10">#REF!</definedName>
    <definedName name="ZEROTOSIX" localSheetId="37">#REF!</definedName>
    <definedName name="ZEROTOSIX" localSheetId="28">#REF!</definedName>
    <definedName name="ZEROTOSIX" localSheetId="42">#REF!</definedName>
    <definedName name="ZEROTOSIX">#REF!</definedName>
    <definedName name="Zip" localSheetId="35">#REF!</definedName>
    <definedName name="Zip" localSheetId="5">#REF!</definedName>
    <definedName name="Zip" localSheetId="8">#REF!</definedName>
    <definedName name="Zip" localSheetId="10">#REF!</definedName>
    <definedName name="Zip" localSheetId="11">#REF!</definedName>
    <definedName name="Zip" localSheetId="28">#REF!</definedName>
    <definedName name="Zip" localSheetId="42">#REF!</definedName>
    <definedName name="Zip" localSheetId="31">#REF!</definedName>
    <definedName name="Zip">#REF!</definedName>
    <definedName name="ZPHS.">#REF!</definedName>
    <definedName name="ZXVVBB" localSheetId="37">'[143]Plant &amp;  Machinery'!$G$4</definedName>
    <definedName name="ZXVVBB">'[144]Plant &amp;  Machinery'!$G$4</definedName>
    <definedName name="zz">[156]Material!$D$118</definedName>
    <definedName name="zzz" localSheetId="14" hidden="1">{"'ridftotal'!$A$4:$S$27"}</definedName>
    <definedName name="zzz" localSheetId="28" hidden="1">{"'ridftotal'!$A$4:$S$27"}</definedName>
    <definedName name="zzz" localSheetId="42" hidden="1">{"'ridftotal'!$A$4:$S$27"}</definedName>
    <definedName name="zzz" hidden="1">{"'ridftotal'!$A$4:$S$27"}</definedName>
  </definedNames>
  <calcPr calcId="144525"/>
</workbook>
</file>

<file path=xl/calcChain.xml><?xml version="1.0" encoding="utf-8"?>
<calcChain xmlns="http://schemas.openxmlformats.org/spreadsheetml/2006/main">
  <c r="E17" i="107" l="1"/>
  <c r="L16" i="185" l="1"/>
  <c r="O16" i="185"/>
  <c r="J16" i="185"/>
  <c r="E13" i="107"/>
  <c r="E16" i="107"/>
  <c r="H8" i="187" l="1"/>
  <c r="F8" i="187"/>
  <c r="I8" i="187" s="1"/>
  <c r="H7" i="187"/>
  <c r="B15" i="185" l="1"/>
  <c r="B14" i="185"/>
  <c r="B13" i="185"/>
  <c r="M13" i="107"/>
  <c r="F63" i="187"/>
  <c r="I63" i="187" s="1"/>
  <c r="I55" i="187"/>
  <c r="C42" i="187"/>
  <c r="H31" i="187"/>
  <c r="H30" i="187"/>
  <c r="H29" i="187"/>
  <c r="E7" i="187" l="1"/>
  <c r="I7" i="187" s="1"/>
  <c r="E36" i="187"/>
  <c r="E26" i="187"/>
  <c r="G21" i="187"/>
  <c r="F21" i="187"/>
  <c r="AB26" i="187"/>
  <c r="E22" i="187"/>
  <c r="I22" i="187" s="1"/>
  <c r="E17" i="187"/>
  <c r="F17" i="187"/>
  <c r="I17" i="187" s="1"/>
  <c r="F16" i="187"/>
  <c r="B17" i="187"/>
  <c r="B16" i="187"/>
  <c r="G17" i="187"/>
  <c r="I151" i="207"/>
  <c r="I146" i="207"/>
  <c r="B146" i="207"/>
  <c r="J137" i="207"/>
  <c r="I137" i="207"/>
  <c r="B136" i="207"/>
  <c r="J135" i="207"/>
  <c r="I135" i="207"/>
  <c r="B134" i="207"/>
  <c r="J133" i="207"/>
  <c r="I133" i="207"/>
  <c r="B132" i="207"/>
  <c r="B128" i="207"/>
  <c r="I123" i="207"/>
  <c r="I118" i="207"/>
  <c r="B118" i="207"/>
  <c r="J97" i="207"/>
  <c r="F94" i="207"/>
  <c r="I94" i="207" s="1"/>
  <c r="F93" i="207"/>
  <c r="I93" i="207" s="1"/>
  <c r="J91" i="207"/>
  <c r="Q89" i="207"/>
  <c r="Q91" i="207" s="1"/>
  <c r="G88" i="207"/>
  <c r="F88" i="207"/>
  <c r="C88" i="207"/>
  <c r="O87" i="207"/>
  <c r="F87" i="207"/>
  <c r="C87" i="207"/>
  <c r="B83" i="207"/>
  <c r="J81" i="207"/>
  <c r="F79" i="207"/>
  <c r="I79" i="207" s="1"/>
  <c r="B79" i="207"/>
  <c r="I78" i="207"/>
  <c r="I77" i="207"/>
  <c r="B75" i="207"/>
  <c r="J73" i="207"/>
  <c r="F71" i="207"/>
  <c r="I71" i="207" s="1"/>
  <c r="B71" i="207"/>
  <c r="I70" i="207"/>
  <c r="I69" i="207"/>
  <c r="B67" i="207"/>
  <c r="J66" i="207"/>
  <c r="F64" i="207"/>
  <c r="I64" i="207" s="1"/>
  <c r="B64" i="207"/>
  <c r="I63" i="207"/>
  <c r="I62" i="207"/>
  <c r="B60" i="207"/>
  <c r="J58" i="207"/>
  <c r="F56" i="207"/>
  <c r="I56" i="207" s="1"/>
  <c r="B56" i="207"/>
  <c r="F55" i="207"/>
  <c r="I55" i="207" s="1"/>
  <c r="I54" i="207"/>
  <c r="F54" i="207"/>
  <c r="B52" i="207"/>
  <c r="J51" i="207"/>
  <c r="F49" i="207"/>
  <c r="I49" i="207" s="1"/>
  <c r="B49" i="207"/>
  <c r="I48" i="207"/>
  <c r="I47" i="207"/>
  <c r="B45" i="207"/>
  <c r="F42" i="207"/>
  <c r="I42" i="207" s="1"/>
  <c r="B42" i="207"/>
  <c r="F41" i="207"/>
  <c r="I41" i="207" s="1"/>
  <c r="F40" i="207"/>
  <c r="I40" i="207" s="1"/>
  <c r="F36" i="207"/>
  <c r="I36" i="207" s="1"/>
  <c r="B36" i="207"/>
  <c r="F35" i="207"/>
  <c r="I35" i="207" s="1"/>
  <c r="F34" i="207"/>
  <c r="I34" i="207" s="1"/>
  <c r="J31" i="207"/>
  <c r="F29" i="207"/>
  <c r="I29" i="207" s="1"/>
  <c r="B29" i="207"/>
  <c r="I28" i="207"/>
  <c r="I27" i="207"/>
  <c r="B25" i="207"/>
  <c r="J23" i="207"/>
  <c r="F21" i="207"/>
  <c r="I21" i="207" s="1"/>
  <c r="I20" i="207"/>
  <c r="F19" i="207"/>
  <c r="I19" i="207" s="1"/>
  <c r="B17" i="207"/>
  <c r="J15" i="207"/>
  <c r="G13" i="207"/>
  <c r="I13" i="207" s="1"/>
  <c r="I15" i="207" s="1"/>
  <c r="B9" i="207"/>
  <c r="O84" i="207"/>
  <c r="E51" i="187" l="1"/>
  <c r="E59" i="187" s="1"/>
  <c r="E87" i="187" s="1"/>
  <c r="E16" i="187"/>
  <c r="E37" i="187" s="1"/>
  <c r="E38" i="187" s="1"/>
  <c r="E21" i="187"/>
  <c r="E29" i="187" s="1"/>
  <c r="E30" i="187" s="1"/>
  <c r="E31" i="187" s="1"/>
  <c r="L133" i="207"/>
  <c r="L137" i="207"/>
  <c r="I66" i="207"/>
  <c r="I38" i="207"/>
  <c r="I51" i="207"/>
  <c r="L51" i="207" s="1"/>
  <c r="I81" i="207"/>
  <c r="L81" i="207" s="1"/>
  <c r="L135" i="207"/>
  <c r="L140" i="207" s="1"/>
  <c r="N145" i="207" s="1"/>
  <c r="I87" i="207"/>
  <c r="I73" i="207"/>
  <c r="L73" i="207" s="1"/>
  <c r="I88" i="207"/>
  <c r="I31" i="207"/>
  <c r="L31" i="207" s="1"/>
  <c r="L66" i="207"/>
  <c r="I44" i="207"/>
  <c r="I91" i="207"/>
  <c r="L91" i="207" s="1"/>
  <c r="P88" i="207" s="1"/>
  <c r="I58" i="207"/>
  <c r="L58" i="207" s="1"/>
  <c r="I97" i="207"/>
  <c r="L97" i="207" s="1"/>
  <c r="I23" i="207"/>
  <c r="L23" i="207" s="1"/>
  <c r="P87" i="207"/>
  <c r="P85" i="207"/>
  <c r="O85" i="207"/>
  <c r="O89" i="207"/>
  <c r="L15" i="207"/>
  <c r="P84" i="207"/>
  <c r="E43" i="187" l="1"/>
  <c r="I21" i="187"/>
  <c r="I23" i="187" s="1"/>
  <c r="I98" i="187"/>
  <c r="I101" i="187" s="1"/>
  <c r="I94" i="187"/>
  <c r="E44" i="187"/>
  <c r="E45" i="187" s="1"/>
  <c r="F45" i="187"/>
  <c r="O88" i="207"/>
  <c r="O86" i="207"/>
  <c r="L100" i="207"/>
  <c r="P89" i="207"/>
  <c r="J4" i="207" l="1"/>
  <c r="N144" i="207"/>
  <c r="P86" i="207"/>
  <c r="P91" i="207" s="1"/>
  <c r="N140" i="207" l="1"/>
  <c r="N146" i="207" s="1"/>
  <c r="E59" i="206" l="1"/>
  <c r="D154" i="205"/>
  <c r="D153" i="205"/>
  <c r="H154" i="205"/>
  <c r="H153" i="205"/>
  <c r="H147" i="205"/>
  <c r="D91" i="206"/>
  <c r="D87" i="206"/>
  <c r="D83" i="206"/>
  <c r="D79" i="206"/>
  <c r="D75" i="206"/>
  <c r="D71" i="206"/>
  <c r="D67" i="206"/>
  <c r="D63" i="206"/>
  <c r="D59" i="206"/>
  <c r="D56" i="206"/>
  <c r="D52" i="206"/>
  <c r="D48" i="206"/>
  <c r="D44" i="206"/>
  <c r="D41" i="206"/>
  <c r="D35" i="206"/>
  <c r="D34" i="206"/>
  <c r="D36" i="206"/>
  <c r="D32" i="206"/>
  <c r="D30" i="206"/>
  <c r="D25" i="206"/>
  <c r="D23" i="206"/>
  <c r="D19" i="206"/>
  <c r="D18" i="206"/>
  <c r="D17" i="206"/>
  <c r="D16" i="206"/>
  <c r="D12" i="206"/>
  <c r="D7" i="206"/>
  <c r="B107" i="206"/>
  <c r="B106" i="206"/>
  <c r="B101" i="206"/>
  <c r="B100" i="206"/>
  <c r="F79" i="206"/>
  <c r="B77" i="206"/>
  <c r="F75" i="206"/>
  <c r="B73" i="206"/>
  <c r="F71" i="206"/>
  <c r="B69" i="206"/>
  <c r="F67" i="206"/>
  <c r="B65" i="206"/>
  <c r="F63" i="206"/>
  <c r="B61" i="206"/>
  <c r="F59" i="206"/>
  <c r="D37" i="206"/>
  <c r="D26" i="206"/>
  <c r="B14" i="206"/>
  <c r="F12" i="206"/>
  <c r="A2" i="206"/>
  <c r="J143" i="205"/>
  <c r="J141" i="205"/>
  <c r="J137" i="205"/>
  <c r="J136" i="205"/>
  <c r="J135" i="205"/>
  <c r="J134" i="205"/>
  <c r="J133" i="205"/>
  <c r="J131" i="205"/>
  <c r="J130" i="205"/>
  <c r="J129" i="205"/>
  <c r="I129" i="205"/>
  <c r="D128" i="205"/>
  <c r="J127" i="205"/>
  <c r="J125" i="205"/>
  <c r="J123" i="205"/>
  <c r="J122" i="205"/>
  <c r="J121" i="205"/>
  <c r="J119" i="205"/>
  <c r="D118" i="205"/>
  <c r="J117" i="205"/>
  <c r="J116" i="205"/>
  <c r="J115" i="205"/>
  <c r="D114" i="205"/>
  <c r="J113" i="205"/>
  <c r="J110" i="205"/>
  <c r="J107" i="205"/>
  <c r="J105" i="205"/>
  <c r="J100" i="205"/>
  <c r="J99" i="205"/>
  <c r="J98" i="205"/>
  <c r="J95" i="205"/>
  <c r="D94" i="205"/>
  <c r="J92" i="205"/>
  <c r="J91" i="205"/>
  <c r="J90" i="205"/>
  <c r="J89" i="205"/>
  <c r="J88" i="205"/>
  <c r="D87" i="205"/>
  <c r="J84" i="205"/>
  <c r="I84" i="205"/>
  <c r="J83" i="205"/>
  <c r="J85" i="205" s="1"/>
  <c r="I83" i="205"/>
  <c r="D81" i="205"/>
  <c r="J78" i="205"/>
  <c r="J79" i="205" s="1"/>
  <c r="J102" i="205" s="1"/>
  <c r="I78" i="205"/>
  <c r="J77" i="205"/>
  <c r="I77" i="205"/>
  <c r="J76" i="205"/>
  <c r="I76" i="205"/>
  <c r="J75" i="205"/>
  <c r="I75" i="205"/>
  <c r="J74" i="205"/>
  <c r="I74" i="205"/>
  <c r="J73" i="205"/>
  <c r="I73" i="205"/>
  <c r="J72" i="205"/>
  <c r="I72" i="205"/>
  <c r="J71" i="205"/>
  <c r="I71" i="205"/>
  <c r="J70" i="205"/>
  <c r="I70" i="205"/>
  <c r="J69" i="205"/>
  <c r="I69" i="205"/>
  <c r="J68" i="205"/>
  <c r="I68" i="205"/>
  <c r="J67" i="205"/>
  <c r="I67" i="205"/>
  <c r="J66" i="205"/>
  <c r="I66" i="205"/>
  <c r="J65" i="205"/>
  <c r="I65" i="205"/>
  <c r="J64" i="205"/>
  <c r="I64" i="205"/>
  <c r="J61" i="205"/>
  <c r="J60" i="205"/>
  <c r="J59" i="205"/>
  <c r="J58" i="205"/>
  <c r="J57" i="205"/>
  <c r="J56" i="205"/>
  <c r="J55" i="205"/>
  <c r="J54" i="205"/>
  <c r="J50" i="205"/>
  <c r="J49" i="205"/>
  <c r="J48" i="205"/>
  <c r="J47" i="205"/>
  <c r="K44" i="205"/>
  <c r="J44" i="205"/>
  <c r="K43" i="205"/>
  <c r="K42" i="205"/>
  <c r="K41" i="205"/>
  <c r="H41" i="205"/>
  <c r="K40" i="205"/>
  <c r="H40" i="205"/>
  <c r="K39" i="205"/>
  <c r="H39" i="205"/>
  <c r="K38" i="205"/>
  <c r="H38" i="205"/>
  <c r="K37" i="205"/>
  <c r="H37" i="205"/>
  <c r="K36" i="205"/>
  <c r="H36" i="205"/>
  <c r="K35" i="205"/>
  <c r="H35" i="205"/>
  <c r="K34" i="205"/>
  <c r="H34" i="205"/>
  <c r="K33" i="205"/>
  <c r="K32" i="205"/>
  <c r="H32" i="205"/>
  <c r="K31" i="205"/>
  <c r="H31" i="205"/>
  <c r="K30" i="205"/>
  <c r="H30" i="205"/>
  <c r="K29" i="205"/>
  <c r="H29" i="205"/>
  <c r="K28" i="205"/>
  <c r="H28" i="205"/>
  <c r="K27" i="205"/>
  <c r="H27" i="205"/>
  <c r="K23" i="205"/>
  <c r="J23" i="205"/>
  <c r="K22" i="205"/>
  <c r="K21" i="205"/>
  <c r="K20" i="205"/>
  <c r="H20" i="205"/>
  <c r="K19" i="205"/>
  <c r="H19" i="205"/>
  <c r="K18" i="205"/>
  <c r="H18" i="205"/>
  <c r="K17" i="205"/>
  <c r="H17" i="205"/>
  <c r="K16" i="205"/>
  <c r="H16" i="205"/>
  <c r="K15" i="205"/>
  <c r="H15" i="205"/>
  <c r="K14" i="205"/>
  <c r="H14" i="205"/>
  <c r="K13" i="205"/>
  <c r="H13" i="205"/>
  <c r="K12" i="205"/>
  <c r="H12" i="205"/>
  <c r="K11" i="205"/>
  <c r="H11" i="205"/>
  <c r="K10" i="205"/>
  <c r="H10" i="205"/>
  <c r="K9" i="205"/>
  <c r="H9" i="205"/>
  <c r="K8" i="205"/>
  <c r="H8" i="205"/>
  <c r="K7" i="205"/>
  <c r="H7" i="205"/>
  <c r="K6" i="205"/>
  <c r="B15" i="113" l="1"/>
  <c r="B32" i="113"/>
  <c r="C15" i="113"/>
  <c r="B669" i="119"/>
  <c r="B26" i="119"/>
  <c r="B57" i="119" s="1"/>
  <c r="B88" i="119" s="1"/>
  <c r="B118" i="119" s="1"/>
  <c r="B148" i="119" s="1"/>
  <c r="B170" i="119" s="1"/>
  <c r="B201" i="119" s="1"/>
  <c r="B232" i="119" s="1"/>
  <c r="B262" i="119" s="1"/>
  <c r="B284" i="119" s="1"/>
  <c r="B307" i="119" s="1"/>
  <c r="B330" i="119" s="1"/>
  <c r="B361" i="119" s="1"/>
  <c r="B392" i="119" s="1"/>
  <c r="B423" i="119" s="1"/>
  <c r="B446" i="119" s="1"/>
  <c r="B471" i="119" s="1"/>
  <c r="B499" i="119" s="1"/>
  <c r="B530" i="119" s="1"/>
  <c r="B553" i="119" s="1"/>
  <c r="B575" i="119" s="1"/>
  <c r="B597" i="119" s="1"/>
  <c r="B621" i="119" s="1"/>
  <c r="B667" i="119" s="1"/>
  <c r="H15" i="107" l="1"/>
  <c r="H16" i="107" s="1"/>
  <c r="L6" i="107"/>
  <c r="D17" i="107" l="1"/>
  <c r="E12" i="107"/>
  <c r="E21" i="107" s="1"/>
  <c r="D21" i="107" l="1"/>
  <c r="D12" i="107"/>
  <c r="N41" i="162" l="1"/>
  <c r="B38" i="162"/>
  <c r="B39" i="162"/>
  <c r="B40" i="162"/>
  <c r="I87" i="187"/>
  <c r="I83" i="187"/>
  <c r="I79" i="187"/>
  <c r="I67" i="187"/>
  <c r="I59" i="187"/>
  <c r="I56" i="187"/>
  <c r="B29" i="162" s="1"/>
  <c r="I29" i="187"/>
  <c r="I30" i="187"/>
  <c r="I31" i="187"/>
  <c r="I26" i="187"/>
  <c r="I45" i="187" l="1"/>
  <c r="F75" i="187" l="1"/>
  <c r="I3" i="107"/>
  <c r="I75" i="187" l="1"/>
  <c r="F88" i="187"/>
  <c r="I51" i="187"/>
  <c r="F36" i="187"/>
  <c r="I36" i="187"/>
  <c r="F27" i="187"/>
  <c r="I27" i="187" s="1"/>
  <c r="B35" i="187"/>
  <c r="D21" i="162" s="1"/>
  <c r="B25" i="187"/>
  <c r="D18" i="162" s="1"/>
  <c r="B20" i="187"/>
  <c r="D17" i="162" s="1"/>
  <c r="I38" i="187" l="1"/>
  <c r="F37" i="187"/>
  <c r="F43" i="187" s="1"/>
  <c r="F28" i="187"/>
  <c r="I28" i="187" s="1"/>
  <c r="I32" i="187" s="1"/>
  <c r="B18" i="162" s="1"/>
  <c r="G16" i="187"/>
  <c r="I37" i="187" l="1"/>
  <c r="I39" i="187" s="1"/>
  <c r="B21" i="162" s="1"/>
  <c r="I48" i="168"/>
  <c r="I47" i="168"/>
  <c r="I46" i="168"/>
  <c r="I45" i="168"/>
  <c r="B43" i="168"/>
  <c r="I51" i="168"/>
  <c r="I50" i="168"/>
  <c r="I49" i="168"/>
  <c r="B65" i="113"/>
  <c r="B64" i="113"/>
  <c r="I9" i="187" l="1"/>
  <c r="B12" i="162" s="1"/>
  <c r="I52" i="168"/>
  <c r="I27" i="168"/>
  <c r="I28" i="168"/>
  <c r="I26" i="168"/>
  <c r="I25" i="168"/>
  <c r="I27" i="165"/>
  <c r="I27" i="199"/>
  <c r="G18" i="199"/>
  <c r="I19" i="164"/>
  <c r="I16" i="187" l="1"/>
  <c r="F89" i="187"/>
  <c r="I89" i="187" s="1"/>
  <c r="I88" i="187"/>
  <c r="F16" i="168"/>
  <c r="F23" i="168" s="1"/>
  <c r="F15" i="168"/>
  <c r="F22" i="168" s="1"/>
  <c r="F14" i="168"/>
  <c r="F21" i="168" s="1"/>
  <c r="C58" i="164"/>
  <c r="C83" i="164" s="1"/>
  <c r="G53" i="164"/>
  <c r="G58" i="164" s="1"/>
  <c r="G83" i="164" s="1"/>
  <c r="I90" i="187" l="1"/>
  <c r="B37" i="162" s="1"/>
  <c r="B17" i="162"/>
  <c r="F33" i="164"/>
  <c r="B33" i="164"/>
  <c r="B48" i="164" s="1"/>
  <c r="B53" i="164" s="1"/>
  <c r="B58" i="164" s="1"/>
  <c r="B83" i="164" s="1"/>
  <c r="I28" i="164"/>
  <c r="I48" i="204"/>
  <c r="B48" i="204"/>
  <c r="I40" i="204"/>
  <c r="I41" i="204" s="1"/>
  <c r="E40" i="204"/>
  <c r="B39" i="204"/>
  <c r="J37" i="204"/>
  <c r="K37" i="204" s="1"/>
  <c r="B34" i="204"/>
  <c r="F31" i="204"/>
  <c r="G31" i="204" s="1"/>
  <c r="E31" i="204"/>
  <c r="I31" i="204" s="1"/>
  <c r="H25" i="204"/>
  <c r="H29" i="204" s="1"/>
  <c r="G24" i="204"/>
  <c r="H19" i="204"/>
  <c r="F19" i="204"/>
  <c r="G18" i="204"/>
  <c r="B12" i="204"/>
  <c r="P10" i="204"/>
  <c r="H10" i="204"/>
  <c r="G14" i="204" s="1"/>
  <c r="I14" i="204" s="1"/>
  <c r="P9" i="204"/>
  <c r="H9" i="204"/>
  <c r="F29" i="204" s="1"/>
  <c r="Q8" i="204"/>
  <c r="P8" i="204"/>
  <c r="M8" i="204"/>
  <c r="B40" i="204" s="1"/>
  <c r="B3" i="204"/>
  <c r="B2" i="204"/>
  <c r="B27" i="164"/>
  <c r="F27" i="164"/>
  <c r="F32" i="164" s="1"/>
  <c r="I29" i="204" l="1"/>
  <c r="I33" i="164"/>
  <c r="F48" i="164"/>
  <c r="F35" i="204"/>
  <c r="F24" i="204"/>
  <c r="I24" i="204" s="1"/>
  <c r="F30" i="204"/>
  <c r="I30" i="204" s="1"/>
  <c r="F18" i="204"/>
  <c r="I18" i="204" s="1"/>
  <c r="G19" i="204"/>
  <c r="I19" i="204" s="1"/>
  <c r="F25" i="204"/>
  <c r="I25" i="204" s="1"/>
  <c r="I48" i="164" l="1"/>
  <c r="F53" i="164"/>
  <c r="I21" i="204"/>
  <c r="I35" i="204"/>
  <c r="F36" i="204"/>
  <c r="I36" i="204" s="1"/>
  <c r="I26" i="204"/>
  <c r="F13" i="204"/>
  <c r="I32" i="204"/>
  <c r="I53" i="164" l="1"/>
  <c r="F58" i="164"/>
  <c r="I13" i="204"/>
  <c r="I15" i="204" s="1"/>
  <c r="F83" i="164" l="1"/>
  <c r="I83" i="164" s="1"/>
  <c r="I58" i="164"/>
  <c r="B16" i="119" l="1"/>
  <c r="B17" i="119" s="1"/>
  <c r="F39" i="7" l="1"/>
  <c r="N47" i="162" l="1"/>
  <c r="B167" i="94" l="1"/>
  <c r="B100" i="174"/>
  <c r="F89" i="174"/>
  <c r="B49" i="187" l="1"/>
  <c r="D23" i="162" s="1"/>
  <c r="B46" i="167" l="1"/>
  <c r="I40" i="167"/>
  <c r="F47" i="164" l="1"/>
  <c r="I15" i="164"/>
  <c r="I11" i="164"/>
  <c r="I12" i="164" s="1"/>
  <c r="K129" i="86" l="1"/>
  <c r="K95" i="86"/>
  <c r="J129" i="86" l="1"/>
  <c r="O2" i="86" l="1"/>
  <c r="D10" i="86" s="1"/>
  <c r="N2" i="86"/>
  <c r="C11" i="86" s="1"/>
  <c r="C9" i="86" l="1"/>
  <c r="C12" i="86"/>
  <c r="D11" i="86"/>
  <c r="D9" i="86"/>
  <c r="C10" i="86"/>
  <c r="D12" i="86"/>
  <c r="H704" i="94"/>
  <c r="H705" i="94" s="1"/>
  <c r="H703" i="94"/>
  <c r="G616" i="94"/>
  <c r="H29" i="198"/>
  <c r="H28" i="198"/>
  <c r="H27" i="198"/>
  <c r="H26" i="198"/>
  <c r="H25" i="198"/>
  <c r="B123" i="94" l="1"/>
  <c r="B373" i="113"/>
  <c r="B653" i="119"/>
  <c r="I611" i="119"/>
  <c r="B662" i="119"/>
  <c r="H633" i="119"/>
  <c r="C15" i="184"/>
  <c r="C14" i="184"/>
  <c r="C13" i="184"/>
  <c r="C12" i="184"/>
  <c r="C11" i="184"/>
  <c r="F7" i="184"/>
  <c r="E7" i="184"/>
  <c r="B2" i="184"/>
  <c r="H15" i="147"/>
  <c r="G15" i="147"/>
  <c r="H14" i="147"/>
  <c r="G14" i="147"/>
  <c r="H13" i="147"/>
  <c r="G13" i="147"/>
  <c r="H12" i="147"/>
  <c r="G12" i="147"/>
  <c r="H11" i="147"/>
  <c r="G11" i="147"/>
  <c r="H10" i="147"/>
  <c r="G10" i="147"/>
  <c r="H9" i="147"/>
  <c r="G9" i="147"/>
  <c r="H8" i="147"/>
  <c r="G8" i="147"/>
  <c r="A18" i="146"/>
  <c r="A19" i="146" s="1"/>
  <c r="A20" i="146" s="1"/>
  <c r="A21" i="146" s="1"/>
  <c r="A22" i="146" s="1"/>
  <c r="A23" i="146" s="1"/>
  <c r="A24" i="146" s="1"/>
  <c r="A25" i="146" s="1"/>
  <c r="A26" i="146" s="1"/>
  <c r="A27" i="146" s="1"/>
  <c r="A28" i="146" s="1"/>
  <c r="A29" i="146" s="1"/>
  <c r="A30" i="146" s="1"/>
  <c r="A31" i="146" s="1"/>
  <c r="A32" i="146" s="1"/>
  <c r="N13" i="146"/>
  <c r="F13" i="146"/>
  <c r="E13" i="146"/>
  <c r="N12" i="146"/>
  <c r="F12" i="146"/>
  <c r="E12" i="146"/>
  <c r="N11" i="146"/>
  <c r="F11" i="146"/>
  <c r="E11" i="146"/>
  <c r="N10" i="146"/>
  <c r="F10" i="146"/>
  <c r="E10" i="146"/>
  <c r="N9" i="146"/>
  <c r="F9" i="146"/>
  <c r="E9" i="146"/>
  <c r="N8" i="146"/>
  <c r="F8" i="146"/>
  <c r="E8" i="146"/>
  <c r="P7" i="146"/>
  <c r="N7" i="146"/>
  <c r="F7" i="146"/>
  <c r="E7" i="146"/>
  <c r="N6" i="146"/>
  <c r="I6" i="146"/>
  <c r="K8" i="147" s="1"/>
  <c r="K9" i="147" s="1"/>
  <c r="K10" i="147" s="1"/>
  <c r="K11" i="147" s="1"/>
  <c r="G6" i="146"/>
  <c r="I8" i="147" s="1"/>
  <c r="I9" i="147" s="1"/>
  <c r="I10" i="147" s="1"/>
  <c r="I11" i="147" s="1"/>
  <c r="F6" i="146"/>
  <c r="E6" i="146"/>
  <c r="B1" i="146"/>
  <c r="C1" i="147" s="1"/>
  <c r="F29" i="7"/>
  <c r="I129" i="86"/>
  <c r="H129" i="86"/>
  <c r="G101" i="86"/>
  <c r="P78" i="86"/>
  <c r="E692" i="94" s="1"/>
  <c r="G692" i="94" s="1"/>
  <c r="O78" i="86"/>
  <c r="P61" i="86"/>
  <c r="P60" i="86"/>
  <c r="P59" i="86"/>
  <c r="H38" i="86"/>
  <c r="G38" i="86"/>
  <c r="F38" i="86"/>
  <c r="B38" i="86"/>
  <c r="B39" i="86" s="1"/>
  <c r="H37" i="86"/>
  <c r="G37" i="86"/>
  <c r="F37" i="86"/>
  <c r="H36" i="86"/>
  <c r="G36" i="86"/>
  <c r="F36" i="86"/>
  <c r="H35" i="86"/>
  <c r="G35" i="86"/>
  <c r="F35" i="86"/>
  <c r="D13" i="86"/>
  <c r="D14" i="86" s="1"/>
  <c r="D15" i="86" s="1"/>
  <c r="D16" i="86" s="1"/>
  <c r="D17" i="86" s="1"/>
  <c r="D18" i="86" s="1"/>
  <c r="D19" i="86" s="1"/>
  <c r="D20" i="86" s="1"/>
  <c r="D21" i="86" s="1"/>
  <c r="D22" i="86" s="1"/>
  <c r="D23" i="86" s="1"/>
  <c r="D24" i="86" s="1"/>
  <c r="D25" i="86" s="1"/>
  <c r="D26" i="86" s="1"/>
  <c r="D27" i="86" s="1"/>
  <c r="D28" i="86" s="1"/>
  <c r="D29" i="86" s="1"/>
  <c r="D30" i="86" s="1"/>
  <c r="D31" i="86" s="1"/>
  <c r="D32" i="86" s="1"/>
  <c r="D33" i="86" s="1"/>
  <c r="D34" i="86" s="1"/>
  <c r="D35" i="86" s="1"/>
  <c r="D36" i="86" s="1"/>
  <c r="D37" i="86" s="1"/>
  <c r="D38" i="86" s="1"/>
  <c r="D39" i="86" s="1"/>
  <c r="D40" i="86" s="1"/>
  <c r="D41" i="86" s="1"/>
  <c r="D42" i="86" s="1"/>
  <c r="D43" i="86" s="1"/>
  <c r="D44" i="86" s="1"/>
  <c r="D45" i="86" s="1"/>
  <c r="D46" i="86" s="1"/>
  <c r="D47" i="86" s="1"/>
  <c r="D48" i="86" s="1"/>
  <c r="D49" i="86" s="1"/>
  <c r="D50" i="86" s="1"/>
  <c r="D51" i="86" s="1"/>
  <c r="D52" i="86" s="1"/>
  <c r="D53" i="86" s="1"/>
  <c r="D54" i="86" s="1"/>
  <c r="D55" i="86" s="1"/>
  <c r="D56" i="86" s="1"/>
  <c r="D57" i="86" s="1"/>
  <c r="D58" i="86" s="1"/>
  <c r="D59" i="86" s="1"/>
  <c r="D60" i="86" s="1"/>
  <c r="D61" i="86" s="1"/>
  <c r="D62" i="86" s="1"/>
  <c r="D63" i="86" s="1"/>
  <c r="D64" i="86" s="1"/>
  <c r="D65" i="86" s="1"/>
  <c r="D66" i="86" s="1"/>
  <c r="D67" i="86" s="1"/>
  <c r="D68" i="86" s="1"/>
  <c r="D69" i="86" s="1"/>
  <c r="D70" i="86" s="1"/>
  <c r="D71" i="86" s="1"/>
  <c r="D72" i="86" s="1"/>
  <c r="D73" i="86" s="1"/>
  <c r="D74" i="86" s="1"/>
  <c r="D75" i="86" s="1"/>
  <c r="D76" i="86" s="1"/>
  <c r="D77" i="86" s="1"/>
  <c r="D78" i="86" s="1"/>
  <c r="D79" i="86" s="1"/>
  <c r="D80" i="86" s="1"/>
  <c r="D81" i="86" s="1"/>
  <c r="D82" i="86" s="1"/>
  <c r="D83" i="86" s="1"/>
  <c r="D84" i="86" s="1"/>
  <c r="D85" i="86" s="1"/>
  <c r="D86" i="86" s="1"/>
  <c r="D87" i="86" s="1"/>
  <c r="D88" i="86" s="1"/>
  <c r="D89" i="86" s="1"/>
  <c r="D90" i="86" s="1"/>
  <c r="D91" i="86" s="1"/>
  <c r="D92" i="86" s="1"/>
  <c r="D93" i="86" s="1"/>
  <c r="D94" i="86" s="1"/>
  <c r="D95" i="86" s="1"/>
  <c r="D96" i="86" s="1"/>
  <c r="D97" i="86" s="1"/>
  <c r="D98" i="86" s="1"/>
  <c r="D99" i="86" s="1"/>
  <c r="D100" i="86" s="1"/>
  <c r="D101" i="86" s="1"/>
  <c r="D102" i="86" s="1"/>
  <c r="D103" i="86" s="1"/>
  <c r="D104" i="86" s="1"/>
  <c r="D105" i="86" s="1"/>
  <c r="D106" i="86" s="1"/>
  <c r="D107" i="86" s="1"/>
  <c r="D108" i="86" s="1"/>
  <c r="D109" i="86" s="1"/>
  <c r="D110" i="86" s="1"/>
  <c r="D111" i="86" s="1"/>
  <c r="D112" i="86" s="1"/>
  <c r="D113" i="86" s="1"/>
  <c r="D114" i="86" s="1"/>
  <c r="D115" i="86" s="1"/>
  <c r="D116" i="86" s="1"/>
  <c r="D117" i="86" s="1"/>
  <c r="D118" i="86" s="1"/>
  <c r="D119" i="86" s="1"/>
  <c r="D120" i="86" s="1"/>
  <c r="D121" i="86" s="1"/>
  <c r="D122" i="86" s="1"/>
  <c r="D123" i="86" s="1"/>
  <c r="D124" i="86" s="1"/>
  <c r="D125" i="86" s="1"/>
  <c r="D126" i="86" s="1"/>
  <c r="D127" i="86" s="1"/>
  <c r="D128" i="86" s="1"/>
  <c r="D129" i="86" s="1"/>
  <c r="D130" i="86" s="1"/>
  <c r="D131" i="86" s="1"/>
  <c r="D132" i="86" s="1"/>
  <c r="D133" i="86" s="1"/>
  <c r="D134" i="86" s="1"/>
  <c r="D135" i="86" s="1"/>
  <c r="D136" i="86" s="1"/>
  <c r="D137" i="86" s="1"/>
  <c r="D138" i="86" s="1"/>
  <c r="D139" i="86" s="1"/>
  <c r="D140" i="86" s="1"/>
  <c r="D141" i="86" s="1"/>
  <c r="D142" i="86" s="1"/>
  <c r="D143" i="86" s="1"/>
  <c r="D144" i="86" s="1"/>
  <c r="D145" i="86" s="1"/>
  <c r="D146" i="86" s="1"/>
  <c r="D147" i="86" s="1"/>
  <c r="D148" i="86" s="1"/>
  <c r="D149" i="86" s="1"/>
  <c r="D150" i="86" s="1"/>
  <c r="D151" i="86" s="1"/>
  <c r="D152" i="86" s="1"/>
  <c r="D153" i="86" s="1"/>
  <c r="D154" i="86" s="1"/>
  <c r="D155" i="86" s="1"/>
  <c r="D156" i="86" s="1"/>
  <c r="D157" i="86" s="1"/>
  <c r="D158" i="86" s="1"/>
  <c r="D159" i="86" s="1"/>
  <c r="D160" i="86" s="1"/>
  <c r="D161" i="86" s="1"/>
  <c r="D162" i="86" s="1"/>
  <c r="D163" i="86" s="1"/>
  <c r="D164" i="86" s="1"/>
  <c r="D165" i="86" s="1"/>
  <c r="D166" i="86" s="1"/>
  <c r="D167" i="86" s="1"/>
  <c r="D168" i="86" s="1"/>
  <c r="D169" i="86" s="1"/>
  <c r="D170" i="86" s="1"/>
  <c r="D171" i="86" s="1"/>
  <c r="D172" i="86" s="1"/>
  <c r="D173" i="86" s="1"/>
  <c r="D174" i="86" s="1"/>
  <c r="D175" i="86" s="1"/>
  <c r="D176" i="86" s="1"/>
  <c r="D177" i="86" s="1"/>
  <c r="D178" i="86" s="1"/>
  <c r="D179" i="86" s="1"/>
  <c r="D180" i="86" s="1"/>
  <c r="D181" i="86" s="1"/>
  <c r="D182" i="86" s="1"/>
  <c r="D183" i="86" s="1"/>
  <c r="D184" i="86" s="1"/>
  <c r="D185" i="86" s="1"/>
  <c r="D186" i="86" s="1"/>
  <c r="D187" i="86" s="1"/>
  <c r="D188" i="86" s="1"/>
  <c r="D189" i="86" s="1"/>
  <c r="D190" i="86" s="1"/>
  <c r="D191" i="86" s="1"/>
  <c r="D192" i="86" s="1"/>
  <c r="D193" i="86" s="1"/>
  <c r="D194" i="86" s="1"/>
  <c r="D195" i="86" s="1"/>
  <c r="D196" i="86" s="1"/>
  <c r="D197" i="86" s="1"/>
  <c r="D198" i="86" s="1"/>
  <c r="D199" i="86" s="1"/>
  <c r="D200" i="86" s="1"/>
  <c r="D201" i="86" s="1"/>
  <c r="D202" i="86" s="1"/>
  <c r="D203" i="86" s="1"/>
  <c r="D204" i="86" s="1"/>
  <c r="D205" i="86" s="1"/>
  <c r="D206" i="86" s="1"/>
  <c r="D207" i="86" s="1"/>
  <c r="D208" i="86" s="1"/>
  <c r="D209" i="86" s="1"/>
  <c r="D210" i="86" s="1"/>
  <c r="D211" i="86" s="1"/>
  <c r="D212" i="86" s="1"/>
  <c r="D213" i="86" s="1"/>
  <c r="D214" i="86" s="1"/>
  <c r="D215" i="86" s="1"/>
  <c r="D216" i="86" s="1"/>
  <c r="D217" i="86" s="1"/>
  <c r="D218" i="86" s="1"/>
  <c r="D219" i="86" s="1"/>
  <c r="D220" i="86" s="1"/>
  <c r="D221" i="86" s="1"/>
  <c r="D222" i="86" s="1"/>
  <c r="D223" i="86" s="1"/>
  <c r="D224" i="86" s="1"/>
  <c r="D225" i="86" s="1"/>
  <c r="D226" i="86" s="1"/>
  <c r="D227" i="86" s="1"/>
  <c r="D228" i="86" s="1"/>
  <c r="D229" i="86" s="1"/>
  <c r="D230" i="86" s="1"/>
  <c r="D231" i="86" s="1"/>
  <c r="D232" i="86" s="1"/>
  <c r="D233" i="86" s="1"/>
  <c r="D234" i="86" s="1"/>
  <c r="D235" i="86" s="1"/>
  <c r="D236" i="86" s="1"/>
  <c r="D237" i="86" s="1"/>
  <c r="D238" i="86" s="1"/>
  <c r="D239" i="86" s="1"/>
  <c r="D240" i="86" s="1"/>
  <c r="D241" i="86" s="1"/>
  <c r="D242" i="86" s="1"/>
  <c r="D243" i="86" s="1"/>
  <c r="D244" i="86" s="1"/>
  <c r="D245" i="86" s="1"/>
  <c r="D246" i="86" s="1"/>
  <c r="D247" i="86" s="1"/>
  <c r="D248" i="86" s="1"/>
  <c r="D249" i="86" s="1"/>
  <c r="D250" i="86" s="1"/>
  <c r="D251" i="86" s="1"/>
  <c r="D252" i="86" s="1"/>
  <c r="D253" i="86" s="1"/>
  <c r="D254" i="86" s="1"/>
  <c r="D255" i="86" s="1"/>
  <c r="D256" i="86" s="1"/>
  <c r="D257" i="86" s="1"/>
  <c r="D258" i="86" s="1"/>
  <c r="D259" i="86" s="1"/>
  <c r="D260" i="86" s="1"/>
  <c r="D261" i="86" s="1"/>
  <c r="D262" i="86" s="1"/>
  <c r="D263" i="86" s="1"/>
  <c r="D264" i="86" s="1"/>
  <c r="D265" i="86" s="1"/>
  <c r="D266" i="86" s="1"/>
  <c r="D267" i="86" s="1"/>
  <c r="D268" i="86" s="1"/>
  <c r="D269" i="86" s="1"/>
  <c r="D270" i="86" s="1"/>
  <c r="D271" i="86" s="1"/>
  <c r="D272" i="86" s="1"/>
  <c r="D273" i="86" s="1"/>
  <c r="D274" i="86" s="1"/>
  <c r="D275" i="86" s="1"/>
  <c r="D276" i="86" s="1"/>
  <c r="D277" i="86" s="1"/>
  <c r="D278" i="86" s="1"/>
  <c r="D279" i="86" s="1"/>
  <c r="D280" i="86" s="1"/>
  <c r="D281" i="86" s="1"/>
  <c r="D282" i="86" s="1"/>
  <c r="D283" i="86" s="1"/>
  <c r="D284" i="86" s="1"/>
  <c r="D285" i="86" s="1"/>
  <c r="D286" i="86" s="1"/>
  <c r="D287" i="86" s="1"/>
  <c r="D288" i="86" s="1"/>
  <c r="D289" i="86" s="1"/>
  <c r="D290" i="86" s="1"/>
  <c r="D291" i="86" s="1"/>
  <c r="D292" i="86" s="1"/>
  <c r="D293" i="86" s="1"/>
  <c r="D294" i="86" s="1"/>
  <c r="D295" i="86" s="1"/>
  <c r="D296" i="86" s="1"/>
  <c r="D297" i="86" s="1"/>
  <c r="D298" i="86" s="1"/>
  <c r="D299" i="86" s="1"/>
  <c r="D300" i="86" s="1"/>
  <c r="D301" i="86" s="1"/>
  <c r="D302" i="86" s="1"/>
  <c r="D303" i="86" s="1"/>
  <c r="D304" i="86" s="1"/>
  <c r="D305" i="86" s="1"/>
  <c r="D306" i="86" s="1"/>
  <c r="D307" i="86" s="1"/>
  <c r="D308" i="86" s="1"/>
  <c r="D309" i="86" s="1"/>
  <c r="D310" i="86" s="1"/>
  <c r="D311" i="86" s="1"/>
  <c r="D312" i="86" s="1"/>
  <c r="D313" i="86" s="1"/>
  <c r="D314" i="86" s="1"/>
  <c r="D315" i="86" s="1"/>
  <c r="D316" i="86" s="1"/>
  <c r="D317" i="86" s="1"/>
  <c r="D318" i="86" s="1"/>
  <c r="D319" i="86" s="1"/>
  <c r="D320" i="86" s="1"/>
  <c r="D321" i="86" s="1"/>
  <c r="D322" i="86" s="1"/>
  <c r="D323" i="86" s="1"/>
  <c r="D324" i="86" s="1"/>
  <c r="D325" i="86" s="1"/>
  <c r="D326" i="86" s="1"/>
  <c r="D327" i="86" s="1"/>
  <c r="D328" i="86" s="1"/>
  <c r="D329" i="86" s="1"/>
  <c r="D330" i="86" s="1"/>
  <c r="D331" i="86" s="1"/>
  <c r="D332" i="86" s="1"/>
  <c r="D333" i="86" s="1"/>
  <c r="D334" i="86" s="1"/>
  <c r="D335" i="86" s="1"/>
  <c r="D336" i="86" s="1"/>
  <c r="D337" i="86" s="1"/>
  <c r="D338" i="86" s="1"/>
  <c r="D339" i="86" s="1"/>
  <c r="D340" i="86" s="1"/>
  <c r="D341" i="86" s="1"/>
  <c r="D342" i="86" s="1"/>
  <c r="D343" i="86" s="1"/>
  <c r="D344" i="86" s="1"/>
  <c r="D345" i="86" s="1"/>
  <c r="D346" i="86" s="1"/>
  <c r="D347" i="86" s="1"/>
  <c r="D348" i="86" s="1"/>
  <c r="D349" i="86" s="1"/>
  <c r="D350" i="86" s="1"/>
  <c r="D351" i="86" s="1"/>
  <c r="D352" i="86" s="1"/>
  <c r="D353" i="86" s="1"/>
  <c r="D354" i="86" s="1"/>
  <c r="D355" i="86" s="1"/>
  <c r="D356" i="86" s="1"/>
  <c r="D357" i="86" s="1"/>
  <c r="D358" i="86" s="1"/>
  <c r="D359" i="86" s="1"/>
  <c r="D360" i="86" s="1"/>
  <c r="D361" i="86" s="1"/>
  <c r="D362" i="86" s="1"/>
  <c r="D363" i="86" s="1"/>
  <c r="D364" i="86" s="1"/>
  <c r="D365" i="86" s="1"/>
  <c r="D366" i="86" s="1"/>
  <c r="D367" i="86" s="1"/>
  <c r="D368" i="86" s="1"/>
  <c r="D369" i="86" s="1"/>
  <c r="D370" i="86" s="1"/>
  <c r="D371" i="86" s="1"/>
  <c r="D372" i="86" s="1"/>
  <c r="D373" i="86" s="1"/>
  <c r="D374" i="86" s="1"/>
  <c r="D375" i="86" s="1"/>
  <c r="D376" i="86" s="1"/>
  <c r="D377" i="86" s="1"/>
  <c r="D378" i="86" s="1"/>
  <c r="D379" i="86" s="1"/>
  <c r="D380" i="86" s="1"/>
  <c r="D381" i="86" s="1"/>
  <c r="D382" i="86" s="1"/>
  <c r="D383" i="86" s="1"/>
  <c r="D384" i="86" s="1"/>
  <c r="D385" i="86" s="1"/>
  <c r="D386" i="86" s="1"/>
  <c r="D387" i="86" s="1"/>
  <c r="D388" i="86" s="1"/>
  <c r="D389" i="86" s="1"/>
  <c r="D390" i="86" s="1"/>
  <c r="D391" i="86" s="1"/>
  <c r="D392" i="86" s="1"/>
  <c r="D393" i="86" s="1"/>
  <c r="D394" i="86" s="1"/>
  <c r="D395" i="86" s="1"/>
  <c r="D396" i="86" s="1"/>
  <c r="D397" i="86" s="1"/>
  <c r="D398" i="86" s="1"/>
  <c r="D399" i="86" s="1"/>
  <c r="D400" i="86" s="1"/>
  <c r="D401" i="86" s="1"/>
  <c r="D402" i="86" s="1"/>
  <c r="D403" i="86" s="1"/>
  <c r="D404" i="86" s="1"/>
  <c r="D405" i="86" s="1"/>
  <c r="D406" i="86" s="1"/>
  <c r="D407" i="86" s="1"/>
  <c r="D408" i="86" s="1"/>
  <c r="D409" i="86" s="1"/>
  <c r="D410" i="86" s="1"/>
  <c r="D411" i="86" s="1"/>
  <c r="D412" i="86" s="1"/>
  <c r="D413" i="86" s="1"/>
  <c r="D414" i="86" s="1"/>
  <c r="D415" i="86" s="1"/>
  <c r="D416" i="86" s="1"/>
  <c r="D417" i="86" s="1"/>
  <c r="D418" i="86" s="1"/>
  <c r="D419" i="86" s="1"/>
  <c r="D420" i="86" s="1"/>
  <c r="D421" i="86" s="1"/>
  <c r="D422" i="86" s="1"/>
  <c r="D423" i="86" s="1"/>
  <c r="D424" i="86" s="1"/>
  <c r="D425" i="86" s="1"/>
  <c r="D426" i="86" s="1"/>
  <c r="D427" i="86" s="1"/>
  <c r="D428" i="86" s="1"/>
  <c r="D429" i="86" s="1"/>
  <c r="D430" i="86" s="1"/>
  <c r="D431" i="86" s="1"/>
  <c r="D432" i="86" s="1"/>
  <c r="D433" i="86" s="1"/>
  <c r="D434" i="86" s="1"/>
  <c r="D435" i="86" s="1"/>
  <c r="D436" i="86" s="1"/>
  <c r="D437" i="86" s="1"/>
  <c r="D438" i="86" s="1"/>
  <c r="D439" i="86" s="1"/>
  <c r="D440" i="86" s="1"/>
  <c r="D441" i="86" s="1"/>
  <c r="D442" i="86" s="1"/>
  <c r="D443" i="86" s="1"/>
  <c r="D444" i="86" s="1"/>
  <c r="D445" i="86" s="1"/>
  <c r="D446" i="86" s="1"/>
  <c r="D447" i="86" s="1"/>
  <c r="D448" i="86" s="1"/>
  <c r="D449" i="86" s="1"/>
  <c r="D450" i="86" s="1"/>
  <c r="D451" i="86" s="1"/>
  <c r="D452" i="86" s="1"/>
  <c r="D453" i="86" s="1"/>
  <c r="D454" i="86" s="1"/>
  <c r="D455" i="86" s="1"/>
  <c r="D456" i="86" s="1"/>
  <c r="D457" i="86" s="1"/>
  <c r="D458" i="86" s="1"/>
  <c r="D459" i="86" s="1"/>
  <c r="D460" i="86" s="1"/>
  <c r="D461" i="86" s="1"/>
  <c r="D462" i="86" s="1"/>
  <c r="D463" i="86" s="1"/>
  <c r="D464" i="86" s="1"/>
  <c r="D465" i="86" s="1"/>
  <c r="D466" i="86" s="1"/>
  <c r="D467" i="86" s="1"/>
  <c r="D468" i="86" s="1"/>
  <c r="D469" i="86" s="1"/>
  <c r="D470" i="86" s="1"/>
  <c r="D471" i="86" s="1"/>
  <c r="D472" i="86" s="1"/>
  <c r="D473" i="86" s="1"/>
  <c r="D474" i="86" s="1"/>
  <c r="D475" i="86" s="1"/>
  <c r="D476" i="86" s="1"/>
  <c r="D477" i="86" s="1"/>
  <c r="D478" i="86" s="1"/>
  <c r="D479" i="86" s="1"/>
  <c r="D480" i="86" s="1"/>
  <c r="D481" i="86" s="1"/>
  <c r="D482" i="86" s="1"/>
  <c r="D483" i="86" s="1"/>
  <c r="D484" i="86" s="1"/>
  <c r="D485" i="86" s="1"/>
  <c r="D486" i="86" s="1"/>
  <c r="D487" i="86" s="1"/>
  <c r="D488" i="86" s="1"/>
  <c r="D489" i="86" s="1"/>
  <c r="D490" i="86" s="1"/>
  <c r="D491" i="86" s="1"/>
  <c r="D492" i="86" s="1"/>
  <c r="D493" i="86" s="1"/>
  <c r="D494" i="86" s="1"/>
  <c r="D495" i="86" s="1"/>
  <c r="D496" i="86" s="1"/>
  <c r="D497" i="86" s="1"/>
  <c r="D498" i="86" s="1"/>
  <c r="D499" i="86" s="1"/>
  <c r="D500" i="86" s="1"/>
  <c r="D501" i="86" s="1"/>
  <c r="D502" i="86" s="1"/>
  <c r="D503" i="86" s="1"/>
  <c r="D504" i="86" s="1"/>
  <c r="D505" i="86" s="1"/>
  <c r="D506" i="86" s="1"/>
  <c r="D507" i="86" s="1"/>
  <c r="C13" i="86"/>
  <c r="C14" i="86" s="1"/>
  <c r="C15" i="86" s="1"/>
  <c r="C16" i="86" s="1"/>
  <c r="C17" i="86" s="1"/>
  <c r="C18" i="86" s="1"/>
  <c r="C19" i="86" s="1"/>
  <c r="C20" i="86" s="1"/>
  <c r="C21" i="86" s="1"/>
  <c r="C22" i="86" s="1"/>
  <c r="C23" i="86" s="1"/>
  <c r="C24" i="86" s="1"/>
  <c r="C25" i="86" s="1"/>
  <c r="C26" i="86" s="1"/>
  <c r="C27" i="86" s="1"/>
  <c r="C28" i="86" s="1"/>
  <c r="C29" i="86" s="1"/>
  <c r="C30" i="86" s="1"/>
  <c r="C31" i="86" s="1"/>
  <c r="C32" i="86" s="1"/>
  <c r="C33" i="86" s="1"/>
  <c r="C34" i="86" s="1"/>
  <c r="C35" i="86" s="1"/>
  <c r="C36" i="86" s="1"/>
  <c r="C37" i="86" s="1"/>
  <c r="C38" i="86" s="1"/>
  <c r="C39" i="86" s="1"/>
  <c r="C40" i="86" s="1"/>
  <c r="C41" i="86" s="1"/>
  <c r="C42" i="86" s="1"/>
  <c r="C43" i="86" s="1"/>
  <c r="C44" i="86" s="1"/>
  <c r="C45" i="86" s="1"/>
  <c r="C46" i="86" s="1"/>
  <c r="C47" i="86" s="1"/>
  <c r="C48" i="86" s="1"/>
  <c r="C49" i="86" s="1"/>
  <c r="C50" i="86" s="1"/>
  <c r="C51" i="86" s="1"/>
  <c r="C52" i="86" s="1"/>
  <c r="C53" i="86" s="1"/>
  <c r="C54" i="86" s="1"/>
  <c r="C55" i="86" s="1"/>
  <c r="C56" i="86" s="1"/>
  <c r="C57" i="86" s="1"/>
  <c r="C58" i="86" s="1"/>
  <c r="C59" i="86" s="1"/>
  <c r="C60" i="86" s="1"/>
  <c r="C61" i="86" s="1"/>
  <c r="C62" i="86" s="1"/>
  <c r="C63" i="86" s="1"/>
  <c r="C64" i="86" s="1"/>
  <c r="C65" i="86" s="1"/>
  <c r="C66" i="86" s="1"/>
  <c r="C67" i="86" s="1"/>
  <c r="C68" i="86" s="1"/>
  <c r="C69" i="86" s="1"/>
  <c r="C70" i="86" s="1"/>
  <c r="C71" i="86" s="1"/>
  <c r="C72" i="86" s="1"/>
  <c r="C73" i="86" s="1"/>
  <c r="C74" i="86" s="1"/>
  <c r="C75" i="86" s="1"/>
  <c r="C76" i="86" s="1"/>
  <c r="C77" i="86" s="1"/>
  <c r="C78" i="86" s="1"/>
  <c r="C79" i="86" s="1"/>
  <c r="C80" i="86" s="1"/>
  <c r="C81" i="86" s="1"/>
  <c r="C82" i="86" s="1"/>
  <c r="C83" i="86" s="1"/>
  <c r="C84" i="86" s="1"/>
  <c r="C85" i="86" s="1"/>
  <c r="C86" i="86" s="1"/>
  <c r="C87" i="86" s="1"/>
  <c r="C88" i="86" s="1"/>
  <c r="C89" i="86" s="1"/>
  <c r="C90" i="86" s="1"/>
  <c r="C91" i="86" s="1"/>
  <c r="C92" i="86" s="1"/>
  <c r="C93" i="86" s="1"/>
  <c r="C94" i="86" s="1"/>
  <c r="C95" i="86" s="1"/>
  <c r="C96" i="86" s="1"/>
  <c r="C97" i="86" s="1"/>
  <c r="C98" i="86" s="1"/>
  <c r="C99" i="86" s="1"/>
  <c r="C100" i="86" s="1"/>
  <c r="C101" i="86" s="1"/>
  <c r="C102" i="86" s="1"/>
  <c r="C103" i="86" s="1"/>
  <c r="C104" i="86" s="1"/>
  <c r="C105" i="86" s="1"/>
  <c r="C106" i="86" s="1"/>
  <c r="C107" i="86" s="1"/>
  <c r="C108" i="86" s="1"/>
  <c r="C109" i="86" s="1"/>
  <c r="C110" i="86" s="1"/>
  <c r="C111" i="86" s="1"/>
  <c r="C112" i="86" s="1"/>
  <c r="C113" i="86" s="1"/>
  <c r="C114" i="86" s="1"/>
  <c r="C115" i="86" s="1"/>
  <c r="C116" i="86" s="1"/>
  <c r="C117" i="86" s="1"/>
  <c r="C118" i="86" s="1"/>
  <c r="C119" i="86" s="1"/>
  <c r="C120" i="86" s="1"/>
  <c r="C121" i="86" s="1"/>
  <c r="C122" i="86" s="1"/>
  <c r="C123" i="86" s="1"/>
  <c r="C124" i="86" s="1"/>
  <c r="C125" i="86" s="1"/>
  <c r="C126" i="86" s="1"/>
  <c r="C127" i="86" s="1"/>
  <c r="C128" i="86" s="1"/>
  <c r="C129" i="86" s="1"/>
  <c r="C130" i="86" s="1"/>
  <c r="C131" i="86" s="1"/>
  <c r="C132" i="86" s="1"/>
  <c r="C133" i="86" s="1"/>
  <c r="C134" i="86" s="1"/>
  <c r="C135" i="86" s="1"/>
  <c r="C136" i="86" s="1"/>
  <c r="C137" i="86" s="1"/>
  <c r="C138" i="86" s="1"/>
  <c r="C139" i="86" s="1"/>
  <c r="C140" i="86" s="1"/>
  <c r="C141" i="86" s="1"/>
  <c r="C142" i="86" s="1"/>
  <c r="C143" i="86" s="1"/>
  <c r="C144" i="86" s="1"/>
  <c r="C145" i="86" s="1"/>
  <c r="C146" i="86" s="1"/>
  <c r="C147" i="86" s="1"/>
  <c r="C148" i="86" s="1"/>
  <c r="C149" i="86" s="1"/>
  <c r="C150" i="86" s="1"/>
  <c r="C151" i="86" s="1"/>
  <c r="C152" i="86" s="1"/>
  <c r="C153" i="86" s="1"/>
  <c r="C154" i="86" s="1"/>
  <c r="C155" i="86" s="1"/>
  <c r="C156" i="86" s="1"/>
  <c r="C157" i="86" s="1"/>
  <c r="C158" i="86" s="1"/>
  <c r="C159" i="86" s="1"/>
  <c r="C160" i="86" s="1"/>
  <c r="C161" i="86" s="1"/>
  <c r="C162" i="86" s="1"/>
  <c r="C163" i="86" s="1"/>
  <c r="C164" i="86" s="1"/>
  <c r="C165" i="86" s="1"/>
  <c r="C166" i="86" s="1"/>
  <c r="C167" i="86" s="1"/>
  <c r="C168" i="86" s="1"/>
  <c r="C169" i="86" s="1"/>
  <c r="C170" i="86" s="1"/>
  <c r="C171" i="86" s="1"/>
  <c r="C172" i="86" s="1"/>
  <c r="C173" i="86" s="1"/>
  <c r="C174" i="86" s="1"/>
  <c r="C175" i="86" s="1"/>
  <c r="C176" i="86" s="1"/>
  <c r="C177" i="86" s="1"/>
  <c r="C178" i="86" s="1"/>
  <c r="C179" i="86" s="1"/>
  <c r="C180" i="86" s="1"/>
  <c r="C181" i="86" s="1"/>
  <c r="C182" i="86" s="1"/>
  <c r="C183" i="86" s="1"/>
  <c r="C184" i="86" s="1"/>
  <c r="C185" i="86" s="1"/>
  <c r="C186" i="86" s="1"/>
  <c r="C187" i="86" s="1"/>
  <c r="C188" i="86" s="1"/>
  <c r="C189" i="86" s="1"/>
  <c r="C190" i="86" s="1"/>
  <c r="C191" i="86" s="1"/>
  <c r="C192" i="86" s="1"/>
  <c r="C193" i="86" s="1"/>
  <c r="C194" i="86" s="1"/>
  <c r="C195" i="86" s="1"/>
  <c r="C196" i="86" s="1"/>
  <c r="C197" i="86" s="1"/>
  <c r="C198" i="86" s="1"/>
  <c r="C199" i="86" s="1"/>
  <c r="C200" i="86" s="1"/>
  <c r="C201" i="86" s="1"/>
  <c r="C202" i="86" s="1"/>
  <c r="C203" i="86" s="1"/>
  <c r="C204" i="86" s="1"/>
  <c r="C205" i="86" s="1"/>
  <c r="C206" i="86" s="1"/>
  <c r="C207" i="86" s="1"/>
  <c r="C208" i="86" s="1"/>
  <c r="C209" i="86" s="1"/>
  <c r="C210" i="86" s="1"/>
  <c r="C211" i="86" s="1"/>
  <c r="C212" i="86" s="1"/>
  <c r="C213" i="86" s="1"/>
  <c r="C214" i="86" s="1"/>
  <c r="C215" i="86" s="1"/>
  <c r="C216" i="86" s="1"/>
  <c r="C217" i="86" s="1"/>
  <c r="C218" i="86" s="1"/>
  <c r="C219" i="86" s="1"/>
  <c r="C220" i="86" s="1"/>
  <c r="C221" i="86" s="1"/>
  <c r="C222" i="86" s="1"/>
  <c r="C223" i="86" s="1"/>
  <c r="C224" i="86" s="1"/>
  <c r="C225" i="86" s="1"/>
  <c r="C226" i="86" s="1"/>
  <c r="C227" i="86" s="1"/>
  <c r="C228" i="86" s="1"/>
  <c r="C229" i="86" s="1"/>
  <c r="C230" i="86" s="1"/>
  <c r="C231" i="86" s="1"/>
  <c r="C232" i="86" s="1"/>
  <c r="C233" i="86" s="1"/>
  <c r="C234" i="86" s="1"/>
  <c r="C235" i="86" s="1"/>
  <c r="C236" i="86" s="1"/>
  <c r="C237" i="86" s="1"/>
  <c r="C238" i="86" s="1"/>
  <c r="C239" i="86" s="1"/>
  <c r="C240" i="86" s="1"/>
  <c r="C241" i="86" s="1"/>
  <c r="C242" i="86" s="1"/>
  <c r="C243" i="86" s="1"/>
  <c r="C244" i="86" s="1"/>
  <c r="C245" i="86" s="1"/>
  <c r="C246" i="86" s="1"/>
  <c r="C247" i="86" s="1"/>
  <c r="C248" i="86" s="1"/>
  <c r="C249" i="86" s="1"/>
  <c r="C250" i="86" s="1"/>
  <c r="C251" i="86" s="1"/>
  <c r="C252" i="86" s="1"/>
  <c r="C253" i="86" s="1"/>
  <c r="C254" i="86" s="1"/>
  <c r="C255" i="86" s="1"/>
  <c r="C256" i="86" s="1"/>
  <c r="C257" i="86" s="1"/>
  <c r="C258" i="86" s="1"/>
  <c r="C259" i="86" s="1"/>
  <c r="C260" i="86" s="1"/>
  <c r="C261" i="86" s="1"/>
  <c r="C262" i="86" s="1"/>
  <c r="C263" i="86" s="1"/>
  <c r="C264" i="86" s="1"/>
  <c r="C265" i="86" s="1"/>
  <c r="C266" i="86" s="1"/>
  <c r="C267" i="86" s="1"/>
  <c r="C268" i="86" s="1"/>
  <c r="C269" i="86" s="1"/>
  <c r="C270" i="86" s="1"/>
  <c r="C271" i="86" s="1"/>
  <c r="C272" i="86" s="1"/>
  <c r="C273" i="86" s="1"/>
  <c r="C274" i="86" s="1"/>
  <c r="C275" i="86" s="1"/>
  <c r="C276" i="86" s="1"/>
  <c r="C277" i="86" s="1"/>
  <c r="C278" i="86" s="1"/>
  <c r="C279" i="86" s="1"/>
  <c r="C280" i="86" s="1"/>
  <c r="C281" i="86" s="1"/>
  <c r="C282" i="86" s="1"/>
  <c r="C283" i="86" s="1"/>
  <c r="C284" i="86" s="1"/>
  <c r="C285" i="86" s="1"/>
  <c r="C286" i="86" s="1"/>
  <c r="C287" i="86" s="1"/>
  <c r="C288" i="86" s="1"/>
  <c r="C289" i="86" s="1"/>
  <c r="C290" i="86" s="1"/>
  <c r="C291" i="86" s="1"/>
  <c r="C292" i="86" s="1"/>
  <c r="C293" i="86" s="1"/>
  <c r="C294" i="86" s="1"/>
  <c r="C295" i="86" s="1"/>
  <c r="C296" i="86" s="1"/>
  <c r="C297" i="86" s="1"/>
  <c r="C298" i="86" s="1"/>
  <c r="C299" i="86" s="1"/>
  <c r="C300" i="86" s="1"/>
  <c r="C301" i="86" s="1"/>
  <c r="C302" i="86" s="1"/>
  <c r="C303" i="86" s="1"/>
  <c r="C304" i="86" s="1"/>
  <c r="C305" i="86" s="1"/>
  <c r="C306" i="86" s="1"/>
  <c r="C307" i="86" s="1"/>
  <c r="C308" i="86" s="1"/>
  <c r="C309" i="86" s="1"/>
  <c r="C310" i="86" s="1"/>
  <c r="C311" i="86" s="1"/>
  <c r="C312" i="86" s="1"/>
  <c r="C313" i="86" s="1"/>
  <c r="C314" i="86" s="1"/>
  <c r="C315" i="86" s="1"/>
  <c r="C316" i="86" s="1"/>
  <c r="C317" i="86" s="1"/>
  <c r="C318" i="86" s="1"/>
  <c r="C319" i="86" s="1"/>
  <c r="C320" i="86" s="1"/>
  <c r="C321" i="86" s="1"/>
  <c r="C322" i="86" s="1"/>
  <c r="C323" i="86" s="1"/>
  <c r="C324" i="86" s="1"/>
  <c r="C325" i="86" s="1"/>
  <c r="C326" i="86" s="1"/>
  <c r="C327" i="86" s="1"/>
  <c r="C328" i="86" s="1"/>
  <c r="C329" i="86" s="1"/>
  <c r="C330" i="86" s="1"/>
  <c r="C331" i="86" s="1"/>
  <c r="C332" i="86" s="1"/>
  <c r="C333" i="86" s="1"/>
  <c r="C334" i="86" s="1"/>
  <c r="C335" i="86" s="1"/>
  <c r="C336" i="86" s="1"/>
  <c r="C337" i="86" s="1"/>
  <c r="C338" i="86" s="1"/>
  <c r="C339" i="86" s="1"/>
  <c r="C340" i="86" s="1"/>
  <c r="C341" i="86" s="1"/>
  <c r="C342" i="86" s="1"/>
  <c r="C343" i="86" s="1"/>
  <c r="C344" i="86" s="1"/>
  <c r="C345" i="86" s="1"/>
  <c r="C346" i="86" s="1"/>
  <c r="C347" i="86" s="1"/>
  <c r="C348" i="86" s="1"/>
  <c r="C349" i="86" s="1"/>
  <c r="C350" i="86" s="1"/>
  <c r="C351" i="86" s="1"/>
  <c r="C352" i="86" s="1"/>
  <c r="C353" i="86" s="1"/>
  <c r="C354" i="86" s="1"/>
  <c r="C355" i="86" s="1"/>
  <c r="C356" i="86" s="1"/>
  <c r="C357" i="86" s="1"/>
  <c r="C358" i="86" s="1"/>
  <c r="C359" i="86" s="1"/>
  <c r="C360" i="86" s="1"/>
  <c r="C361" i="86" s="1"/>
  <c r="C362" i="86" s="1"/>
  <c r="C363" i="86" s="1"/>
  <c r="C364" i="86" s="1"/>
  <c r="C365" i="86" s="1"/>
  <c r="C366" i="86" s="1"/>
  <c r="C367" i="86" s="1"/>
  <c r="C368" i="86" s="1"/>
  <c r="C369" i="86" s="1"/>
  <c r="C370" i="86" s="1"/>
  <c r="C371" i="86" s="1"/>
  <c r="C372" i="86" s="1"/>
  <c r="C373" i="86" s="1"/>
  <c r="C374" i="86" s="1"/>
  <c r="C375" i="86" s="1"/>
  <c r="C376" i="86" s="1"/>
  <c r="C377" i="86" s="1"/>
  <c r="C378" i="86" s="1"/>
  <c r="C379" i="86" s="1"/>
  <c r="C380" i="86" s="1"/>
  <c r="C381" i="86" s="1"/>
  <c r="C382" i="86" s="1"/>
  <c r="C383" i="86" s="1"/>
  <c r="C384" i="86" s="1"/>
  <c r="C385" i="86" s="1"/>
  <c r="C386" i="86" s="1"/>
  <c r="C387" i="86" s="1"/>
  <c r="C388" i="86" s="1"/>
  <c r="C389" i="86" s="1"/>
  <c r="C390" i="86" s="1"/>
  <c r="C391" i="86" s="1"/>
  <c r="C392" i="86" s="1"/>
  <c r="C393" i="86" s="1"/>
  <c r="C394" i="86" s="1"/>
  <c r="C395" i="86" s="1"/>
  <c r="C396" i="86" s="1"/>
  <c r="C397" i="86" s="1"/>
  <c r="C398" i="86" s="1"/>
  <c r="C399" i="86" s="1"/>
  <c r="C400" i="86" s="1"/>
  <c r="C401" i="86" s="1"/>
  <c r="C402" i="86" s="1"/>
  <c r="C403" i="86" s="1"/>
  <c r="C404" i="86" s="1"/>
  <c r="C405" i="86" s="1"/>
  <c r="C406" i="86" s="1"/>
  <c r="C407" i="86" s="1"/>
  <c r="C408" i="86" s="1"/>
  <c r="C409" i="86" s="1"/>
  <c r="C410" i="86" s="1"/>
  <c r="C411" i="86" s="1"/>
  <c r="C412" i="86" s="1"/>
  <c r="C413" i="86" s="1"/>
  <c r="C414" i="86" s="1"/>
  <c r="C415" i="86" s="1"/>
  <c r="C416" i="86" s="1"/>
  <c r="C417" i="86" s="1"/>
  <c r="C418" i="86" s="1"/>
  <c r="C419" i="86" s="1"/>
  <c r="C420" i="86" s="1"/>
  <c r="C421" i="86" s="1"/>
  <c r="C422" i="86" s="1"/>
  <c r="C423" i="86" s="1"/>
  <c r="C424" i="86" s="1"/>
  <c r="C425" i="86" s="1"/>
  <c r="C426" i="86" s="1"/>
  <c r="C427" i="86" s="1"/>
  <c r="C428" i="86" s="1"/>
  <c r="C429" i="86" s="1"/>
  <c r="C430" i="86" s="1"/>
  <c r="C431" i="86" s="1"/>
  <c r="C432" i="86" s="1"/>
  <c r="C433" i="86" s="1"/>
  <c r="C434" i="86" s="1"/>
  <c r="C435" i="86" s="1"/>
  <c r="C436" i="86" s="1"/>
  <c r="C437" i="86" s="1"/>
  <c r="C438" i="86" s="1"/>
  <c r="C439" i="86" s="1"/>
  <c r="C440" i="86" s="1"/>
  <c r="C441" i="86" s="1"/>
  <c r="C442" i="86" s="1"/>
  <c r="C443" i="86" s="1"/>
  <c r="C444" i="86" s="1"/>
  <c r="C445" i="86" s="1"/>
  <c r="C446" i="86" s="1"/>
  <c r="C447" i="86" s="1"/>
  <c r="C448" i="86" s="1"/>
  <c r="C449" i="86" s="1"/>
  <c r="C450" i="86" s="1"/>
  <c r="C451" i="86" s="1"/>
  <c r="C452" i="86" s="1"/>
  <c r="C453" i="86" s="1"/>
  <c r="C454" i="86" s="1"/>
  <c r="C455" i="86" s="1"/>
  <c r="C456" i="86" s="1"/>
  <c r="C457" i="86" s="1"/>
  <c r="C458" i="86" s="1"/>
  <c r="C459" i="86" s="1"/>
  <c r="C460" i="86" s="1"/>
  <c r="C461" i="86" s="1"/>
  <c r="C462" i="86" s="1"/>
  <c r="C463" i="86" s="1"/>
  <c r="C464" i="86" s="1"/>
  <c r="C465" i="86" s="1"/>
  <c r="C466" i="86" s="1"/>
  <c r="C467" i="86" s="1"/>
  <c r="C468" i="86" s="1"/>
  <c r="C469" i="86" s="1"/>
  <c r="C470" i="86" s="1"/>
  <c r="C471" i="86" s="1"/>
  <c r="C472" i="86" s="1"/>
  <c r="C473" i="86" s="1"/>
  <c r="C474" i="86" s="1"/>
  <c r="C475" i="86" s="1"/>
  <c r="C476" i="86" s="1"/>
  <c r="C477" i="86" s="1"/>
  <c r="C478" i="86" s="1"/>
  <c r="C479" i="86" s="1"/>
  <c r="C480" i="86" s="1"/>
  <c r="C481" i="86" s="1"/>
  <c r="C482" i="86" s="1"/>
  <c r="C483" i="86" s="1"/>
  <c r="C484" i="86" s="1"/>
  <c r="C485" i="86" s="1"/>
  <c r="C486" i="86" s="1"/>
  <c r="C487" i="86" s="1"/>
  <c r="C488" i="86" s="1"/>
  <c r="C489" i="86" s="1"/>
  <c r="C490" i="86" s="1"/>
  <c r="C491" i="86" s="1"/>
  <c r="C492" i="86" s="1"/>
  <c r="C493" i="86" s="1"/>
  <c r="C494" i="86" s="1"/>
  <c r="C495" i="86" s="1"/>
  <c r="C496" i="86" s="1"/>
  <c r="C497" i="86" s="1"/>
  <c r="C498" i="86" s="1"/>
  <c r="C499" i="86" s="1"/>
  <c r="C500" i="86" s="1"/>
  <c r="C501" i="86" s="1"/>
  <c r="C502" i="86" s="1"/>
  <c r="C503" i="86" s="1"/>
  <c r="C504" i="86" s="1"/>
  <c r="C505" i="86" s="1"/>
  <c r="C506" i="86" s="1"/>
  <c r="C507" i="86" s="1"/>
  <c r="D4" i="86"/>
  <c r="C4" i="86"/>
  <c r="D3" i="86"/>
  <c r="C3" i="86"/>
  <c r="E352" i="150"/>
  <c r="D352" i="150"/>
  <c r="K339" i="150"/>
  <c r="J339" i="150"/>
  <c r="G339" i="150"/>
  <c r="H339" i="150" s="1"/>
  <c r="G337" i="150"/>
  <c r="H337" i="150" s="1"/>
  <c r="G336" i="150"/>
  <c r="H336" i="150" s="1"/>
  <c r="G335" i="150"/>
  <c r="H335" i="150" s="1"/>
  <c r="G248" i="150"/>
  <c r="G273" i="150" s="1"/>
  <c r="G222" i="150"/>
  <c r="H222" i="150" s="1"/>
  <c r="G221" i="150"/>
  <c r="H221" i="150" s="1"/>
  <c r="H205" i="150"/>
  <c r="H204" i="150"/>
  <c r="K186" i="150"/>
  <c r="K185" i="150"/>
  <c r="F185" i="150"/>
  <c r="G182" i="150"/>
  <c r="G183" i="150" s="1"/>
  <c r="G185" i="150" s="1"/>
  <c r="G157" i="150"/>
  <c r="G188" i="150" s="1"/>
  <c r="G252" i="150" s="1"/>
  <c r="H252" i="150" s="1"/>
  <c r="K153" i="150"/>
  <c r="F152" i="150"/>
  <c r="G138" i="150"/>
  <c r="G139" i="150" s="1"/>
  <c r="G152" i="150" s="1"/>
  <c r="H99" i="150"/>
  <c r="G96" i="150"/>
  <c r="H96" i="150" s="1"/>
  <c r="G94" i="150"/>
  <c r="H94" i="150" s="1"/>
  <c r="G81" i="150"/>
  <c r="H81" i="150" s="1"/>
  <c r="G80" i="150"/>
  <c r="H80" i="150" s="1"/>
  <c r="H73" i="150"/>
  <c r="F71" i="150"/>
  <c r="F70" i="150"/>
  <c r="G60" i="150"/>
  <c r="H60" i="150" s="1"/>
  <c r="G57" i="150"/>
  <c r="G56" i="150"/>
  <c r="H56" i="150" s="1"/>
  <c r="G55" i="150"/>
  <c r="F50" i="150"/>
  <c r="F49" i="150"/>
  <c r="H35" i="150"/>
  <c r="G33" i="150"/>
  <c r="H33" i="150" s="1"/>
  <c r="G32" i="150"/>
  <c r="H32" i="150" s="1"/>
  <c r="B24" i="150"/>
  <c r="B40" i="150" s="1"/>
  <c r="B65" i="150" s="1"/>
  <c r="B86" i="150" s="1"/>
  <c r="B121" i="150" s="1"/>
  <c r="B164" i="150" s="1"/>
  <c r="B193" i="150" s="1"/>
  <c r="B211" i="150" s="1"/>
  <c r="B230" i="150" s="1"/>
  <c r="B308" i="150" s="1"/>
  <c r="G18" i="150"/>
  <c r="H18" i="150" s="1"/>
  <c r="G17" i="150"/>
  <c r="H17" i="150" s="1"/>
  <c r="G14" i="150"/>
  <c r="H14" i="150" s="1"/>
  <c r="F8" i="150"/>
  <c r="E300" i="150" s="1"/>
  <c r="F7" i="150"/>
  <c r="E190" i="150" s="1"/>
  <c r="F6" i="150"/>
  <c r="A2" i="150"/>
  <c r="G91" i="182"/>
  <c r="C91" i="182"/>
  <c r="G90" i="182"/>
  <c r="C90" i="182"/>
  <c r="G89" i="182"/>
  <c r="C89" i="182"/>
  <c r="G88" i="182"/>
  <c r="C88" i="182"/>
  <c r="G87" i="182"/>
  <c r="C87" i="182"/>
  <c r="G86" i="182"/>
  <c r="C86" i="182"/>
  <c r="G85" i="182"/>
  <c r="C85" i="182"/>
  <c r="G84" i="182"/>
  <c r="C84" i="182"/>
  <c r="G83" i="182"/>
  <c r="C83" i="182"/>
  <c r="G82" i="182"/>
  <c r="C82" i="182"/>
  <c r="G81" i="182"/>
  <c r="C81" i="182"/>
  <c r="G80" i="182"/>
  <c r="C80" i="182"/>
  <c r="G79" i="182"/>
  <c r="C79" i="182"/>
  <c r="G78" i="182"/>
  <c r="C78" i="182"/>
  <c r="G77" i="182"/>
  <c r="C77" i="182"/>
  <c r="G76" i="182"/>
  <c r="C76" i="182"/>
  <c r="G75" i="182"/>
  <c r="C75" i="182"/>
  <c r="G74" i="182"/>
  <c r="C74" i="182"/>
  <c r="L71" i="182"/>
  <c r="G71" i="182"/>
  <c r="M70" i="182"/>
  <c r="G70" i="182"/>
  <c r="L61" i="182"/>
  <c r="P54" i="182"/>
  <c r="G51" i="182"/>
  <c r="E45" i="182"/>
  <c r="L44" i="182"/>
  <c r="A147" i="182" s="1"/>
  <c r="L43" i="182"/>
  <c r="B33" i="182"/>
  <c r="F32" i="182"/>
  <c r="F29" i="182"/>
  <c r="B26" i="182"/>
  <c r="M25" i="182"/>
  <c r="L10" i="182"/>
  <c r="N9" i="182"/>
  <c r="N8" i="182" s="1"/>
  <c r="L9" i="182"/>
  <c r="K9" i="182"/>
  <c r="L8" i="182"/>
  <c r="C18" i="182" s="1"/>
  <c r="C114" i="182" s="1"/>
  <c r="L7" i="182"/>
  <c r="I31" i="182" s="1"/>
  <c r="P6" i="182"/>
  <c r="N6" i="182"/>
  <c r="M6" i="182"/>
  <c r="L6" i="182"/>
  <c r="L5" i="182"/>
  <c r="L3" i="182"/>
  <c r="G20" i="132"/>
  <c r="F18" i="132"/>
  <c r="G17" i="132"/>
  <c r="G14" i="132"/>
  <c r="G10" i="132"/>
  <c r="G6" i="132"/>
  <c r="H657" i="119"/>
  <c r="J657" i="119" s="1"/>
  <c r="H656" i="119"/>
  <c r="J656" i="119" s="1"/>
  <c r="H652" i="119"/>
  <c r="J652" i="119" s="1"/>
  <c r="H651" i="119"/>
  <c r="J651" i="119" s="1"/>
  <c r="H650" i="119"/>
  <c r="J650" i="119" s="1"/>
  <c r="B622" i="119"/>
  <c r="H617" i="119"/>
  <c r="J617" i="119" s="1"/>
  <c r="H616" i="119"/>
  <c r="J616" i="119" s="1"/>
  <c r="H610" i="119"/>
  <c r="J610" i="119" s="1"/>
  <c r="H609" i="119"/>
  <c r="J609" i="119" s="1"/>
  <c r="B598" i="119"/>
  <c r="B594" i="119"/>
  <c r="B591" i="119"/>
  <c r="B588" i="119"/>
  <c r="B585" i="119"/>
  <c r="B576" i="119"/>
  <c r="B568" i="119"/>
  <c r="H567" i="119"/>
  <c r="J567" i="119" s="1"/>
  <c r="H566" i="119"/>
  <c r="J566" i="119" s="1"/>
  <c r="H565" i="119"/>
  <c r="J565" i="119" s="1"/>
  <c r="B554" i="119"/>
  <c r="B545" i="119"/>
  <c r="H544" i="119"/>
  <c r="J544" i="119" s="1"/>
  <c r="H543" i="119"/>
  <c r="J543" i="119" s="1"/>
  <c r="H542" i="119"/>
  <c r="J542" i="119" s="1"/>
  <c r="B531" i="119"/>
  <c r="H525" i="119"/>
  <c r="J525" i="119" s="1"/>
  <c r="H524" i="119"/>
  <c r="J524" i="119" s="1"/>
  <c r="B520" i="119"/>
  <c r="B519" i="119"/>
  <c r="B513" i="119"/>
  <c r="H512" i="119"/>
  <c r="J512" i="119" s="1"/>
  <c r="H511" i="119"/>
  <c r="J511" i="119" s="1"/>
  <c r="H510" i="119"/>
  <c r="J510" i="119" s="1"/>
  <c r="B500" i="119"/>
  <c r="C499" i="119"/>
  <c r="H494" i="119"/>
  <c r="J494" i="119" s="1"/>
  <c r="H493" i="119"/>
  <c r="J493" i="119" s="1"/>
  <c r="B489" i="119"/>
  <c r="B488" i="119"/>
  <c r="B483" i="119"/>
  <c r="H482" i="119"/>
  <c r="J482" i="119" s="1"/>
  <c r="H481" i="119"/>
  <c r="J481" i="119" s="1"/>
  <c r="H480" i="119"/>
  <c r="J480" i="119" s="1"/>
  <c r="D474" i="119"/>
  <c r="D475" i="119" s="1"/>
  <c r="D473" i="119"/>
  <c r="B472" i="119"/>
  <c r="J467" i="119"/>
  <c r="H466" i="119"/>
  <c r="J466" i="119" s="1"/>
  <c r="J465" i="119"/>
  <c r="B464" i="119"/>
  <c r="B461" i="119"/>
  <c r="H460" i="119"/>
  <c r="J460" i="119" s="1"/>
  <c r="H459" i="119"/>
  <c r="J459" i="119" s="1"/>
  <c r="J458" i="119"/>
  <c r="H457" i="119"/>
  <c r="J457" i="119" s="1"/>
  <c r="D450" i="119"/>
  <c r="D451" i="119" s="1"/>
  <c r="D449" i="119"/>
  <c r="B447" i="119"/>
  <c r="H443" i="119"/>
  <c r="J443" i="119" s="1"/>
  <c r="B439" i="119"/>
  <c r="H438" i="119"/>
  <c r="J438" i="119" s="1"/>
  <c r="H437" i="119"/>
  <c r="J437" i="119" s="1"/>
  <c r="H436" i="119"/>
  <c r="J436" i="119" s="1"/>
  <c r="B424" i="119"/>
  <c r="C423" i="119"/>
  <c r="H418" i="119"/>
  <c r="J418" i="119" s="1"/>
  <c r="H417" i="119"/>
  <c r="J417" i="119" s="1"/>
  <c r="B413" i="119"/>
  <c r="B412" i="119"/>
  <c r="B407" i="119"/>
  <c r="H406" i="119"/>
  <c r="J406" i="119" s="1"/>
  <c r="H405" i="119"/>
  <c r="J405" i="119" s="1"/>
  <c r="H404" i="119"/>
  <c r="J404" i="119" s="1"/>
  <c r="B393" i="119"/>
  <c r="B382" i="119"/>
  <c r="B381" i="119"/>
  <c r="B376" i="119"/>
  <c r="H375" i="119"/>
  <c r="J375" i="119" s="1"/>
  <c r="H374" i="119"/>
  <c r="J374" i="119" s="1"/>
  <c r="H373" i="119"/>
  <c r="J373" i="119" s="1"/>
  <c r="B362" i="119"/>
  <c r="H356" i="119"/>
  <c r="H387" i="119" s="1"/>
  <c r="J387" i="119" s="1"/>
  <c r="H355" i="119"/>
  <c r="B351" i="119"/>
  <c r="B350" i="119"/>
  <c r="B345" i="119"/>
  <c r="H344" i="119"/>
  <c r="J344" i="119" s="1"/>
  <c r="H343" i="119"/>
  <c r="J343" i="119" s="1"/>
  <c r="H342" i="119"/>
  <c r="J342" i="119" s="1"/>
  <c r="B331" i="119"/>
  <c r="H327" i="119"/>
  <c r="J327" i="119" s="1"/>
  <c r="J328" i="119" s="1"/>
  <c r="B320" i="119"/>
  <c r="H319" i="119"/>
  <c r="J319" i="119" s="1"/>
  <c r="H318" i="119"/>
  <c r="J318" i="119" s="1"/>
  <c r="H317" i="119"/>
  <c r="J317" i="119" s="1"/>
  <c r="B308" i="119"/>
  <c r="C307" i="119"/>
  <c r="J303" i="119"/>
  <c r="J302" i="119"/>
  <c r="H301" i="119"/>
  <c r="J301" i="119" s="1"/>
  <c r="B298" i="119"/>
  <c r="H297" i="119"/>
  <c r="J297" i="119" s="1"/>
  <c r="H296" i="119"/>
  <c r="J296" i="119" s="1"/>
  <c r="H295" i="119"/>
  <c r="J295" i="119" s="1"/>
  <c r="D289" i="119"/>
  <c r="D290" i="119" s="1"/>
  <c r="D288" i="119"/>
  <c r="B285" i="119"/>
  <c r="H281" i="119"/>
  <c r="J281" i="119" s="1"/>
  <c r="B277" i="119"/>
  <c r="H276" i="119"/>
  <c r="J276" i="119" s="1"/>
  <c r="H275" i="119"/>
  <c r="J275" i="119" s="1"/>
  <c r="H274" i="119"/>
  <c r="J274" i="119" s="1"/>
  <c r="B263" i="119"/>
  <c r="H257" i="119"/>
  <c r="J257" i="119" s="1"/>
  <c r="H256" i="119"/>
  <c r="J256" i="119" s="1"/>
  <c r="B252" i="119"/>
  <c r="B251" i="119"/>
  <c r="B246" i="119"/>
  <c r="H245" i="119"/>
  <c r="J245" i="119" s="1"/>
  <c r="H244" i="119"/>
  <c r="J244" i="119" s="1"/>
  <c r="H243" i="119"/>
  <c r="J243" i="119" s="1"/>
  <c r="B233" i="119"/>
  <c r="H227" i="119"/>
  <c r="J227" i="119" s="1"/>
  <c r="H226" i="119"/>
  <c r="J226" i="119" s="1"/>
  <c r="B222" i="119"/>
  <c r="B221" i="119"/>
  <c r="B215" i="119"/>
  <c r="H214" i="119"/>
  <c r="J214" i="119" s="1"/>
  <c r="H213" i="119"/>
  <c r="J213" i="119" s="1"/>
  <c r="H212" i="119"/>
  <c r="J212" i="119" s="1"/>
  <c r="A208" i="119"/>
  <c r="A239" i="119" s="1"/>
  <c r="A269" i="119" s="1"/>
  <c r="A291" i="119" s="1"/>
  <c r="A313" i="119" s="1"/>
  <c r="A338" i="119" s="1"/>
  <c r="A369" i="119" s="1"/>
  <c r="A400" i="119" s="1"/>
  <c r="A431" i="119" s="1"/>
  <c r="A453" i="119" s="1"/>
  <c r="A476" i="119" s="1"/>
  <c r="A506" i="119" s="1"/>
  <c r="A538" i="119" s="1"/>
  <c r="A561" i="119" s="1"/>
  <c r="A580" i="119" s="1"/>
  <c r="B202" i="119"/>
  <c r="H196" i="119"/>
  <c r="J196" i="119" s="1"/>
  <c r="H195" i="119"/>
  <c r="J195" i="119" s="1"/>
  <c r="B191" i="119"/>
  <c r="B190" i="119"/>
  <c r="B184" i="119"/>
  <c r="H183" i="119"/>
  <c r="J183" i="119" s="1"/>
  <c r="H182" i="119"/>
  <c r="J182" i="119" s="1"/>
  <c r="H181" i="119"/>
  <c r="J181" i="119" s="1"/>
  <c r="D174" i="119"/>
  <c r="D175" i="119" s="1"/>
  <c r="D173" i="119"/>
  <c r="B171" i="119"/>
  <c r="H167" i="119"/>
  <c r="J167" i="119" s="1"/>
  <c r="B163" i="119"/>
  <c r="H162" i="119"/>
  <c r="J162" i="119" s="1"/>
  <c r="H161" i="119"/>
  <c r="J161" i="119" s="1"/>
  <c r="H160" i="119"/>
  <c r="J160" i="119" s="1"/>
  <c r="B149" i="119"/>
  <c r="C148" i="119"/>
  <c r="H143" i="119"/>
  <c r="J143" i="119" s="1"/>
  <c r="H142" i="119"/>
  <c r="J142" i="119" s="1"/>
  <c r="B138" i="119"/>
  <c r="B137" i="119"/>
  <c r="B132" i="119"/>
  <c r="H131" i="119"/>
  <c r="J131" i="119" s="1"/>
  <c r="H130" i="119"/>
  <c r="J130" i="119" s="1"/>
  <c r="H129" i="119"/>
  <c r="J129" i="119" s="1"/>
  <c r="B119" i="119"/>
  <c r="C118" i="119"/>
  <c r="H113" i="119"/>
  <c r="J113" i="119" s="1"/>
  <c r="H112" i="119"/>
  <c r="J112" i="119" s="1"/>
  <c r="B108" i="119"/>
  <c r="B107" i="119"/>
  <c r="B102" i="119"/>
  <c r="H101" i="119"/>
  <c r="J101" i="119" s="1"/>
  <c r="H100" i="119"/>
  <c r="J100" i="119" s="1"/>
  <c r="H99" i="119"/>
  <c r="J99" i="119" s="1"/>
  <c r="B89" i="119"/>
  <c r="H83" i="119"/>
  <c r="J83" i="119" s="1"/>
  <c r="H82" i="119"/>
  <c r="J82" i="119" s="1"/>
  <c r="B78" i="119"/>
  <c r="B77" i="119"/>
  <c r="B71" i="119"/>
  <c r="H70" i="119"/>
  <c r="J70" i="119" s="1"/>
  <c r="H69" i="119"/>
  <c r="J69" i="119" s="1"/>
  <c r="H68" i="119"/>
  <c r="J68" i="119" s="1"/>
  <c r="B58" i="119"/>
  <c r="H52" i="119"/>
  <c r="J52" i="119" s="1"/>
  <c r="H51" i="119"/>
  <c r="J51" i="119" s="1"/>
  <c r="B47" i="119"/>
  <c r="B46" i="119"/>
  <c r="B40" i="119"/>
  <c r="H39" i="119"/>
  <c r="J39" i="119" s="1"/>
  <c r="H38" i="119"/>
  <c r="J38" i="119" s="1"/>
  <c r="H37" i="119"/>
  <c r="J37" i="119" s="1"/>
  <c r="B27" i="119"/>
  <c r="H23" i="119"/>
  <c r="J23" i="119" s="1"/>
  <c r="H22" i="119"/>
  <c r="J22" i="119" s="1"/>
  <c r="H21" i="119"/>
  <c r="J21" i="119" s="1"/>
  <c r="B12" i="119"/>
  <c r="H11" i="119"/>
  <c r="J11" i="119" s="1"/>
  <c r="H10" i="119"/>
  <c r="J10" i="119" s="1"/>
  <c r="H9" i="119"/>
  <c r="J9" i="119" s="1"/>
  <c r="D2" i="119"/>
  <c r="E400" i="113"/>
  <c r="G681" i="119" s="1"/>
  <c r="F359" i="150" s="1"/>
  <c r="D400" i="113"/>
  <c r="C681" i="119" s="1"/>
  <c r="D359" i="150" s="1"/>
  <c r="C388" i="113"/>
  <c r="B388" i="113"/>
  <c r="G383" i="113"/>
  <c r="G382" i="113"/>
  <c r="G379" i="113"/>
  <c r="G378" i="113"/>
  <c r="G377" i="113"/>
  <c r="G376" i="113"/>
  <c r="G372" i="113"/>
  <c r="G371" i="113"/>
  <c r="G370" i="113"/>
  <c r="D363" i="113"/>
  <c r="D364" i="113" s="1"/>
  <c r="D362" i="113"/>
  <c r="D360" i="113"/>
  <c r="B360" i="113"/>
  <c r="E356" i="113"/>
  <c r="G356" i="113" s="1"/>
  <c r="E355" i="113"/>
  <c r="G355" i="113" s="1"/>
  <c r="B352" i="113"/>
  <c r="E351" i="113"/>
  <c r="G351" i="113" s="1"/>
  <c r="E350" i="113"/>
  <c r="G350" i="113" s="1"/>
  <c r="E349" i="113"/>
  <c r="G349" i="113" s="1"/>
  <c r="D340" i="113"/>
  <c r="D341" i="113" s="1"/>
  <c r="D339" i="113"/>
  <c r="D337" i="113"/>
  <c r="B337" i="113"/>
  <c r="B334" i="113"/>
  <c r="E333" i="113"/>
  <c r="G333" i="113" s="1"/>
  <c r="E332" i="113"/>
  <c r="G332" i="113" s="1"/>
  <c r="E331" i="113"/>
  <c r="G331" i="113" s="1"/>
  <c r="D326" i="113"/>
  <c r="D327" i="113" s="1"/>
  <c r="D325" i="113"/>
  <c r="D323" i="113"/>
  <c r="B323" i="113"/>
  <c r="B320" i="113"/>
  <c r="E319" i="113"/>
  <c r="G319" i="113" s="1"/>
  <c r="E318" i="113"/>
  <c r="G318" i="113" s="1"/>
  <c r="E317" i="113"/>
  <c r="G317" i="113" s="1"/>
  <c r="D313" i="113"/>
  <c r="D314" i="113" s="1"/>
  <c r="D312" i="113"/>
  <c r="D310" i="113"/>
  <c r="B310" i="113"/>
  <c r="B307" i="113"/>
  <c r="E306" i="113"/>
  <c r="G306" i="113" s="1"/>
  <c r="E305" i="113"/>
  <c r="G305" i="113" s="1"/>
  <c r="E304" i="113"/>
  <c r="G304" i="113" s="1"/>
  <c r="D295" i="113"/>
  <c r="D296" i="113" s="1"/>
  <c r="D294" i="113"/>
  <c r="D292" i="113"/>
  <c r="B292" i="113"/>
  <c r="E288" i="113"/>
  <c r="G288" i="113" s="1"/>
  <c r="G289" i="113" s="1"/>
  <c r="B285" i="113"/>
  <c r="E284" i="113"/>
  <c r="G284" i="113" s="1"/>
  <c r="E283" i="113"/>
  <c r="G283" i="113" s="1"/>
  <c r="E282" i="113"/>
  <c r="G282" i="113" s="1"/>
  <c r="D273" i="113"/>
  <c r="D274" i="113" s="1"/>
  <c r="D272" i="113"/>
  <c r="D270" i="113"/>
  <c r="B270" i="113"/>
  <c r="E266" i="113"/>
  <c r="G266" i="113" s="1"/>
  <c r="E265" i="113"/>
  <c r="G265" i="113" s="1"/>
  <c r="B262" i="113"/>
  <c r="E261" i="113"/>
  <c r="G261" i="113" s="1"/>
  <c r="E260" i="113"/>
  <c r="G260" i="113" s="1"/>
  <c r="E259" i="113"/>
  <c r="G259" i="113" s="1"/>
  <c r="E253" i="113"/>
  <c r="G677" i="119" s="1"/>
  <c r="D251" i="113"/>
  <c r="D252" i="113" s="1"/>
  <c r="D250" i="113"/>
  <c r="D248" i="113"/>
  <c r="B248" i="113"/>
  <c r="E244" i="113"/>
  <c r="G244" i="113" s="1"/>
  <c r="G245" i="113" s="1"/>
  <c r="B241" i="113"/>
  <c r="E240" i="113"/>
  <c r="G240" i="113" s="1"/>
  <c r="E239" i="113"/>
  <c r="G239" i="113" s="1"/>
  <c r="E238" i="113"/>
  <c r="G238" i="113" s="1"/>
  <c r="B227" i="113"/>
  <c r="B226" i="113"/>
  <c r="E221" i="113"/>
  <c r="G221" i="113" s="1"/>
  <c r="E220" i="113"/>
  <c r="G220" i="113" s="1"/>
  <c r="B216" i="113"/>
  <c r="B215" i="113"/>
  <c r="B209" i="113"/>
  <c r="E208" i="113"/>
  <c r="G208" i="113" s="1"/>
  <c r="E207" i="113"/>
  <c r="G207" i="113" s="1"/>
  <c r="E206" i="113"/>
  <c r="G206" i="113" s="1"/>
  <c r="D196" i="113"/>
  <c r="B196" i="113"/>
  <c r="B188" i="113"/>
  <c r="E187" i="113"/>
  <c r="G187" i="113" s="1"/>
  <c r="E186" i="113"/>
  <c r="G186" i="113" s="1"/>
  <c r="E185" i="113"/>
  <c r="G185" i="113" s="1"/>
  <c r="C174" i="113"/>
  <c r="B174" i="113"/>
  <c r="E171" i="113"/>
  <c r="G171" i="113" s="1"/>
  <c r="E170" i="113"/>
  <c r="G170" i="113" s="1"/>
  <c r="B163" i="113"/>
  <c r="E162" i="113"/>
  <c r="G162" i="113" s="1"/>
  <c r="E161" i="113"/>
  <c r="G161" i="113" s="1"/>
  <c r="D150" i="113"/>
  <c r="B150" i="113"/>
  <c r="B144" i="113"/>
  <c r="B143" i="113"/>
  <c r="B140" i="113"/>
  <c r="E139" i="113"/>
  <c r="G139" i="113" s="1"/>
  <c r="E138" i="113"/>
  <c r="G138" i="113" s="1"/>
  <c r="E137" i="113"/>
  <c r="G137" i="113" s="1"/>
  <c r="B125" i="113"/>
  <c r="D124" i="113"/>
  <c r="B124" i="113"/>
  <c r="B118" i="113"/>
  <c r="B117" i="113"/>
  <c r="B114" i="113"/>
  <c r="E113" i="113"/>
  <c r="G113" i="113" s="1"/>
  <c r="E112" i="113"/>
  <c r="G112" i="113" s="1"/>
  <c r="E111" i="113"/>
  <c r="G111" i="113" s="1"/>
  <c r="A106" i="113"/>
  <c r="A132" i="113" s="1"/>
  <c r="A157" i="113" s="1"/>
  <c r="A181" i="113" s="1"/>
  <c r="B100" i="113"/>
  <c r="C99" i="113"/>
  <c r="B99" i="113"/>
  <c r="E94" i="113"/>
  <c r="G94" i="113" s="1"/>
  <c r="E93" i="113"/>
  <c r="G93" i="113" s="1"/>
  <c r="B89" i="113"/>
  <c r="B88" i="113"/>
  <c r="B82" i="113"/>
  <c r="E81" i="113"/>
  <c r="G81" i="113" s="1"/>
  <c r="E80" i="113"/>
  <c r="G80" i="113" s="1"/>
  <c r="E79" i="113"/>
  <c r="G79" i="113" s="1"/>
  <c r="C68" i="113"/>
  <c r="B68" i="113"/>
  <c r="B61" i="113"/>
  <c r="A55" i="113"/>
  <c r="C48" i="113"/>
  <c r="B48" i="113"/>
  <c r="E46" i="113"/>
  <c r="G46" i="113" s="1"/>
  <c r="B43" i="113"/>
  <c r="C32" i="113"/>
  <c r="E30" i="113"/>
  <c r="G30" i="113" s="1"/>
  <c r="B27" i="113"/>
  <c r="B16" i="113"/>
  <c r="E13" i="113"/>
  <c r="G13" i="113" s="1"/>
  <c r="B11" i="113"/>
  <c r="E10" i="113"/>
  <c r="E60" i="113" s="1"/>
  <c r="G60" i="113" s="1"/>
  <c r="E9" i="113"/>
  <c r="G9" i="113" s="1"/>
  <c r="D2" i="113"/>
  <c r="E989" i="94"/>
  <c r="E123" i="141" s="1"/>
  <c r="D989" i="94"/>
  <c r="D123" i="141" s="1"/>
  <c r="E985" i="94"/>
  <c r="E396" i="113" s="1"/>
  <c r="D985" i="94"/>
  <c r="D253" i="113" s="1"/>
  <c r="C677" i="119" s="1"/>
  <c r="D977" i="94"/>
  <c r="B977" i="94"/>
  <c r="B969" i="94"/>
  <c r="E968" i="94"/>
  <c r="G968" i="94" s="1"/>
  <c r="E967" i="94"/>
  <c r="G967" i="94" s="1"/>
  <c r="E966" i="94"/>
  <c r="G966" i="94" s="1"/>
  <c r="B960" i="94"/>
  <c r="B959" i="94"/>
  <c r="B955" i="94"/>
  <c r="E954" i="94"/>
  <c r="G954" i="94" s="1"/>
  <c r="E953" i="94"/>
  <c r="G953" i="94" s="1"/>
  <c r="B942" i="94"/>
  <c r="E939" i="94"/>
  <c r="G939" i="94" s="1"/>
  <c r="G940" i="94" s="1"/>
  <c r="B936" i="94"/>
  <c r="E935" i="94"/>
  <c r="G935" i="94" s="1"/>
  <c r="E934" i="94"/>
  <c r="G934" i="94" s="1"/>
  <c r="B924" i="94"/>
  <c r="E921" i="94"/>
  <c r="G921" i="94" s="1"/>
  <c r="E920" i="94"/>
  <c r="G920" i="94" s="1"/>
  <c r="B917" i="94"/>
  <c r="E916" i="94"/>
  <c r="G916" i="94" s="1"/>
  <c r="E915" i="94"/>
  <c r="G915" i="94" s="1"/>
  <c r="B903" i="94"/>
  <c r="G898" i="94"/>
  <c r="G897" i="94"/>
  <c r="B893" i="94"/>
  <c r="B892" i="94"/>
  <c r="B887" i="94"/>
  <c r="E886" i="94"/>
  <c r="G886" i="94" s="1"/>
  <c r="E885" i="94"/>
  <c r="G885" i="94" s="1"/>
  <c r="E884" i="94"/>
  <c r="G884" i="94" s="1"/>
  <c r="B872" i="94"/>
  <c r="E867" i="94"/>
  <c r="G867" i="94" s="1"/>
  <c r="E866" i="94"/>
  <c r="G866" i="94" s="1"/>
  <c r="B862" i="94"/>
  <c r="B861" i="94"/>
  <c r="B855" i="94"/>
  <c r="E854" i="94"/>
  <c r="G854" i="94" s="1"/>
  <c r="E853" i="94"/>
  <c r="G853" i="94" s="1"/>
  <c r="E852" i="94"/>
  <c r="G852" i="94" s="1"/>
  <c r="D841" i="94"/>
  <c r="B841" i="94"/>
  <c r="E824" i="94"/>
  <c r="G824" i="94" s="1"/>
  <c r="E823" i="94"/>
  <c r="G823" i="94" s="1"/>
  <c r="E822" i="94"/>
  <c r="G822" i="94" s="1"/>
  <c r="E821" i="94"/>
  <c r="G821" i="94" s="1"/>
  <c r="E820" i="94"/>
  <c r="G820" i="94" s="1"/>
  <c r="E819" i="94"/>
  <c r="G819" i="94" s="1"/>
  <c r="B815" i="94"/>
  <c r="E814" i="94"/>
  <c r="G814" i="94" s="1"/>
  <c r="E813" i="94"/>
  <c r="G813" i="94" s="1"/>
  <c r="E812" i="94"/>
  <c r="G812" i="94" s="1"/>
  <c r="B802" i="94"/>
  <c r="D801" i="94"/>
  <c r="B801" i="94"/>
  <c r="E782" i="94"/>
  <c r="G782" i="94" s="1"/>
  <c r="E781" i="94"/>
  <c r="G781" i="94" s="1"/>
  <c r="E780" i="94"/>
  <c r="G780" i="94" s="1"/>
  <c r="E779" i="94"/>
  <c r="G779" i="94" s="1"/>
  <c r="E778" i="94"/>
  <c r="G778" i="94" s="1"/>
  <c r="E777" i="94"/>
  <c r="G777" i="94" s="1"/>
  <c r="E776" i="94"/>
  <c r="G776" i="94" s="1"/>
  <c r="B773" i="94"/>
  <c r="E772" i="94"/>
  <c r="G772" i="94" s="1"/>
  <c r="E771" i="94"/>
  <c r="G771" i="94" s="1"/>
  <c r="E770" i="94"/>
  <c r="G770" i="94" s="1"/>
  <c r="D759" i="94"/>
  <c r="B759" i="94"/>
  <c r="I757" i="94"/>
  <c r="I755" i="94"/>
  <c r="J755" i="94" s="1"/>
  <c r="K752" i="94"/>
  <c r="E741" i="94"/>
  <c r="G741" i="94" s="1"/>
  <c r="E740" i="94"/>
  <c r="G740" i="94" s="1"/>
  <c r="E739" i="94"/>
  <c r="G739" i="94" s="1"/>
  <c r="E738" i="94"/>
  <c r="G738" i="94" s="1"/>
  <c r="E737" i="94"/>
  <c r="G737" i="94" s="1"/>
  <c r="E736" i="94"/>
  <c r="G736" i="94" s="1"/>
  <c r="E735" i="94"/>
  <c r="G735" i="94" s="1"/>
  <c r="E734" i="94"/>
  <c r="G734" i="94" s="1"/>
  <c r="B730" i="94"/>
  <c r="E729" i="94"/>
  <c r="G729" i="94" s="1"/>
  <c r="E728" i="94"/>
  <c r="G728" i="94" s="1"/>
  <c r="E727" i="94"/>
  <c r="G727" i="94" s="1"/>
  <c r="D717" i="94"/>
  <c r="B717" i="94"/>
  <c r="I714" i="94"/>
  <c r="I706" i="94"/>
  <c r="E698" i="94"/>
  <c r="G698" i="94" s="1"/>
  <c r="E697" i="94"/>
  <c r="G697" i="94" s="1"/>
  <c r="E696" i="94"/>
  <c r="G696" i="94" s="1"/>
  <c r="E695" i="94"/>
  <c r="G695" i="94" s="1"/>
  <c r="E694" i="94"/>
  <c r="G694" i="94" s="1"/>
  <c r="E693" i="94"/>
  <c r="G693" i="94" s="1"/>
  <c r="B689" i="94"/>
  <c r="E688" i="94"/>
  <c r="G688" i="94" s="1"/>
  <c r="E687" i="94"/>
  <c r="G687" i="94" s="1"/>
  <c r="E686" i="94"/>
  <c r="G686" i="94" s="1"/>
  <c r="C675" i="94"/>
  <c r="B675" i="94"/>
  <c r="E665" i="94"/>
  <c r="G665" i="94" s="1"/>
  <c r="E664" i="94"/>
  <c r="G664" i="94" s="1"/>
  <c r="E663" i="94"/>
  <c r="G663" i="94" s="1"/>
  <c r="E662" i="94"/>
  <c r="G662" i="94" s="1"/>
  <c r="E661" i="94"/>
  <c r="G661" i="94" s="1"/>
  <c r="E660" i="94"/>
  <c r="G660" i="94" s="1"/>
  <c r="E659" i="94"/>
  <c r="G659" i="94" s="1"/>
  <c r="B656" i="94"/>
  <c r="E655" i="94"/>
  <c r="G655" i="94" s="1"/>
  <c r="E654" i="94"/>
  <c r="G654" i="94" s="1"/>
  <c r="E653" i="94"/>
  <c r="G653" i="94" s="1"/>
  <c r="B642" i="94"/>
  <c r="D641" i="94"/>
  <c r="B641" i="94"/>
  <c r="E635" i="94"/>
  <c r="G635" i="94" s="1"/>
  <c r="E633" i="94"/>
  <c r="G633" i="94" s="1"/>
  <c r="G632" i="94"/>
  <c r="E631" i="94"/>
  <c r="G631" i="94" s="1"/>
  <c r="E630" i="94"/>
  <c r="G630" i="94" s="1"/>
  <c r="E629" i="94"/>
  <c r="G629" i="94" s="1"/>
  <c r="H626" i="94"/>
  <c r="E625" i="94"/>
  <c r="G625" i="94" s="1"/>
  <c r="H624" i="94"/>
  <c r="B623" i="94"/>
  <c r="B622" i="94"/>
  <c r="J617" i="94"/>
  <c r="J618" i="94" s="1"/>
  <c r="L618" i="94" s="1"/>
  <c r="E615" i="94"/>
  <c r="G615" i="94" s="1"/>
  <c r="E614" i="94"/>
  <c r="G614" i="94" s="1"/>
  <c r="E613" i="94"/>
  <c r="G613" i="94" s="1"/>
  <c r="G612" i="94"/>
  <c r="G611" i="94"/>
  <c r="E610" i="94"/>
  <c r="G610" i="94" s="1"/>
  <c r="B607" i="94"/>
  <c r="E606" i="94"/>
  <c r="G606" i="94" s="1"/>
  <c r="E605" i="94"/>
  <c r="G605" i="94" s="1"/>
  <c r="E604" i="94"/>
  <c r="G604" i="94" s="1"/>
  <c r="E603" i="94"/>
  <c r="G603" i="94" s="1"/>
  <c r="E602" i="94"/>
  <c r="G602" i="94" s="1"/>
  <c r="E601" i="94"/>
  <c r="G601" i="94" s="1"/>
  <c r="E600" i="94"/>
  <c r="G600" i="94" s="1"/>
  <c r="D589" i="94"/>
  <c r="B589" i="94"/>
  <c r="E582" i="94"/>
  <c r="G582" i="94" s="1"/>
  <c r="E581" i="94"/>
  <c r="G581" i="94" s="1"/>
  <c r="G580" i="94"/>
  <c r="E578" i="94"/>
  <c r="G578" i="94" s="1"/>
  <c r="E577" i="94"/>
  <c r="G577" i="94" s="1"/>
  <c r="E576" i="94"/>
  <c r="G576" i="94" s="1"/>
  <c r="B573" i="94"/>
  <c r="E572" i="94"/>
  <c r="G572" i="94" s="1"/>
  <c r="E571" i="94"/>
  <c r="G571" i="94" s="1"/>
  <c r="D560" i="94"/>
  <c r="B560" i="94"/>
  <c r="H557" i="94"/>
  <c r="E553" i="94"/>
  <c r="G553" i="94" s="1"/>
  <c r="E552" i="94"/>
  <c r="G552" i="94" s="1"/>
  <c r="E551" i="94"/>
  <c r="G551" i="94" s="1"/>
  <c r="E550" i="94"/>
  <c r="G550" i="94" s="1"/>
  <c r="E549" i="94"/>
  <c r="G549" i="94" s="1"/>
  <c r="B546" i="94"/>
  <c r="E545" i="94"/>
  <c r="G545" i="94" s="1"/>
  <c r="E544" i="94"/>
  <c r="G544" i="94" s="1"/>
  <c r="D532" i="94"/>
  <c r="B532" i="94"/>
  <c r="E525" i="94"/>
  <c r="G525" i="94" s="1"/>
  <c r="E524" i="94"/>
  <c r="G524" i="94" s="1"/>
  <c r="E521" i="94"/>
  <c r="G521" i="94" s="1"/>
  <c r="E520" i="94"/>
  <c r="G520" i="94" s="1"/>
  <c r="E519" i="94"/>
  <c r="G519" i="94" s="1"/>
  <c r="B516" i="94"/>
  <c r="E515" i="94"/>
  <c r="G515" i="94" s="1"/>
  <c r="E514" i="94"/>
  <c r="G514" i="94" s="1"/>
  <c r="E513" i="94"/>
  <c r="G513" i="94" s="1"/>
  <c r="B501" i="94"/>
  <c r="D500" i="94"/>
  <c r="B500" i="94"/>
  <c r="H496" i="94"/>
  <c r="E493" i="94"/>
  <c r="G493" i="94" s="1"/>
  <c r="E492" i="94"/>
  <c r="G492" i="94" s="1"/>
  <c r="E491" i="94"/>
  <c r="G491" i="94" s="1"/>
  <c r="E490" i="94"/>
  <c r="G490" i="94" s="1"/>
  <c r="B487" i="94"/>
  <c r="E486" i="94"/>
  <c r="G486" i="94" s="1"/>
  <c r="E485" i="94"/>
  <c r="G485" i="94" s="1"/>
  <c r="C475" i="94"/>
  <c r="B475" i="94"/>
  <c r="H471" i="94"/>
  <c r="E468" i="94"/>
  <c r="G468" i="94" s="1"/>
  <c r="E467" i="94"/>
  <c r="G467" i="94" s="1"/>
  <c r="E466" i="94"/>
  <c r="G466" i="94" s="1"/>
  <c r="B463" i="94"/>
  <c r="E462" i="94"/>
  <c r="G462" i="94" s="1"/>
  <c r="E461" i="94"/>
  <c r="G461" i="94" s="1"/>
  <c r="B451" i="94"/>
  <c r="C450" i="94"/>
  <c r="B450" i="94"/>
  <c r="H447" i="94"/>
  <c r="E444" i="94"/>
  <c r="G444" i="94" s="1"/>
  <c r="E443" i="94"/>
  <c r="G443" i="94" s="1"/>
  <c r="E442" i="94"/>
  <c r="G442" i="94" s="1"/>
  <c r="B439" i="94"/>
  <c r="E438" i="94"/>
  <c r="G438" i="94" s="1"/>
  <c r="E437" i="94"/>
  <c r="G437" i="94" s="1"/>
  <c r="A433" i="94"/>
  <c r="A457" i="94" s="1"/>
  <c r="A481" i="94" s="1"/>
  <c r="A507" i="94" s="1"/>
  <c r="A566" i="94" s="1"/>
  <c r="B427" i="94"/>
  <c r="D426" i="94"/>
  <c r="B426" i="94"/>
  <c r="E415" i="94"/>
  <c r="G415" i="94" s="1"/>
  <c r="E414" i="94"/>
  <c r="G414" i="94" s="1"/>
  <c r="E413" i="94"/>
  <c r="G413" i="94" s="1"/>
  <c r="E412" i="94"/>
  <c r="G412" i="94" s="1"/>
  <c r="E411" i="94"/>
  <c r="G411" i="94" s="1"/>
  <c r="E410" i="94"/>
  <c r="G410" i="94" s="1"/>
  <c r="B407" i="94"/>
  <c r="E406" i="94"/>
  <c r="G406" i="94" s="1"/>
  <c r="E405" i="94"/>
  <c r="G405" i="94" s="1"/>
  <c r="E404" i="94"/>
  <c r="G404" i="94" s="1"/>
  <c r="D394" i="94"/>
  <c r="B394" i="94"/>
  <c r="E379" i="94"/>
  <c r="G379" i="94" s="1"/>
  <c r="E378" i="94"/>
  <c r="G378" i="94" s="1"/>
  <c r="E377" i="94"/>
  <c r="G377" i="94" s="1"/>
  <c r="B374" i="94"/>
  <c r="E373" i="94"/>
  <c r="G373" i="94" s="1"/>
  <c r="E372" i="94"/>
  <c r="G372" i="94" s="1"/>
  <c r="E371" i="94"/>
  <c r="G371" i="94" s="1"/>
  <c r="D358" i="94"/>
  <c r="B358" i="94"/>
  <c r="B355" i="94"/>
  <c r="E340" i="94"/>
  <c r="G340" i="94" s="1"/>
  <c r="E339" i="94"/>
  <c r="G339" i="94" s="1"/>
  <c r="E338" i="94"/>
  <c r="G338" i="94" s="1"/>
  <c r="B335" i="94"/>
  <c r="E334" i="94"/>
  <c r="G334" i="94" s="1"/>
  <c r="E333" i="94"/>
  <c r="G333" i="94" s="1"/>
  <c r="E332" i="94"/>
  <c r="G332" i="94" s="1"/>
  <c r="A326" i="94"/>
  <c r="A365" i="94" s="1"/>
  <c r="B320" i="94"/>
  <c r="D319" i="94"/>
  <c r="B319" i="94"/>
  <c r="B316" i="94"/>
  <c r="E308" i="94"/>
  <c r="G308" i="94" s="1"/>
  <c r="E307" i="94"/>
  <c r="G307" i="94" s="1"/>
  <c r="E306" i="94"/>
  <c r="G306" i="94" s="1"/>
  <c r="E305" i="94"/>
  <c r="G305" i="94" s="1"/>
  <c r="B302" i="94"/>
  <c r="E301" i="94"/>
  <c r="G301" i="94" s="1"/>
  <c r="E300" i="94"/>
  <c r="G300" i="94" s="1"/>
  <c r="E299" i="94"/>
  <c r="G299" i="94" s="1"/>
  <c r="B287" i="94"/>
  <c r="D286" i="94"/>
  <c r="B286" i="94"/>
  <c r="E283" i="94"/>
  <c r="G283" i="94" s="1"/>
  <c r="E282" i="94"/>
  <c r="G282" i="94" s="1"/>
  <c r="E281" i="94"/>
  <c r="G281" i="94" s="1"/>
  <c r="B278" i="94"/>
  <c r="E277" i="94"/>
  <c r="G277" i="94" s="1"/>
  <c r="E276" i="94"/>
  <c r="G276" i="94" s="1"/>
  <c r="D267" i="94"/>
  <c r="B267" i="94"/>
  <c r="E264" i="94"/>
  <c r="G264" i="94" s="1"/>
  <c r="G265" i="94" s="1"/>
  <c r="B261" i="94"/>
  <c r="E260" i="94"/>
  <c r="G260" i="94" s="1"/>
  <c r="E259" i="94"/>
  <c r="G259" i="94" s="1"/>
  <c r="B249" i="94"/>
  <c r="C248" i="94"/>
  <c r="B248" i="94"/>
  <c r="E243" i="94"/>
  <c r="G243" i="94" s="1"/>
  <c r="E242" i="94"/>
  <c r="G242" i="94" s="1"/>
  <c r="E241" i="94"/>
  <c r="G241" i="94" s="1"/>
  <c r="E240" i="94"/>
  <c r="G240" i="94" s="1"/>
  <c r="D238" i="94"/>
  <c r="B238" i="94"/>
  <c r="E237" i="94"/>
  <c r="G237" i="94" s="1"/>
  <c r="B234" i="94"/>
  <c r="E233" i="94"/>
  <c r="G233" i="94" s="1"/>
  <c r="E232" i="94"/>
  <c r="G232" i="94" s="1"/>
  <c r="D221" i="94"/>
  <c r="B221" i="94"/>
  <c r="E218" i="94"/>
  <c r="G218" i="94" s="1"/>
  <c r="E217" i="94"/>
  <c r="G217" i="94" s="1"/>
  <c r="I216" i="94"/>
  <c r="E216" i="94"/>
  <c r="G216" i="94" s="1"/>
  <c r="E215" i="94"/>
  <c r="G215" i="94" s="1"/>
  <c r="B212" i="94"/>
  <c r="E211" i="94"/>
  <c r="G211" i="94" s="1"/>
  <c r="E210" i="94"/>
  <c r="G210" i="94" s="1"/>
  <c r="E203" i="94"/>
  <c r="G203" i="94" s="1"/>
  <c r="E202" i="94"/>
  <c r="G202" i="94" s="1"/>
  <c r="B184" i="94"/>
  <c r="C183" i="94"/>
  <c r="B183" i="94"/>
  <c r="G180" i="94"/>
  <c r="E176" i="94"/>
  <c r="G176" i="94" s="1"/>
  <c r="E175" i="94"/>
  <c r="G175" i="94" s="1"/>
  <c r="E174" i="94"/>
  <c r="G174" i="94" s="1"/>
  <c r="E173" i="94"/>
  <c r="G173" i="94" s="1"/>
  <c r="D171" i="94"/>
  <c r="B171" i="94"/>
  <c r="E170" i="94"/>
  <c r="G170" i="94" s="1"/>
  <c r="E166" i="94"/>
  <c r="G166" i="94" s="1"/>
  <c r="E165" i="94"/>
  <c r="G165" i="94" s="1"/>
  <c r="B155" i="94"/>
  <c r="C154" i="94"/>
  <c r="B154" i="94"/>
  <c r="E149" i="94"/>
  <c r="G149" i="94" s="1"/>
  <c r="E148" i="94"/>
  <c r="G148" i="94" s="1"/>
  <c r="E147" i="94"/>
  <c r="G147" i="94" s="1"/>
  <c r="E146" i="94"/>
  <c r="G146" i="94" s="1"/>
  <c r="B143" i="94"/>
  <c r="E142" i="94"/>
  <c r="G142" i="94" s="1"/>
  <c r="E141" i="94"/>
  <c r="G141" i="94" s="1"/>
  <c r="B130" i="94"/>
  <c r="C129" i="94"/>
  <c r="B129" i="94"/>
  <c r="E126" i="94"/>
  <c r="G126" i="94" s="1"/>
  <c r="G127" i="94" s="1"/>
  <c r="C109" i="94"/>
  <c r="B109" i="94"/>
  <c r="E107" i="94"/>
  <c r="G107" i="94" s="1"/>
  <c r="B103" i="94"/>
  <c r="E102" i="94"/>
  <c r="G102" i="94" s="1"/>
  <c r="E101" i="94"/>
  <c r="E121" i="94" s="1"/>
  <c r="G121" i="94" s="1"/>
  <c r="C92" i="94"/>
  <c r="B92" i="94"/>
  <c r="E89" i="94"/>
  <c r="G89" i="94" s="1"/>
  <c r="B86" i="94"/>
  <c r="E85" i="94"/>
  <c r="G85" i="94" s="1"/>
  <c r="E84" i="94"/>
  <c r="G84" i="94" s="1"/>
  <c r="C75" i="94"/>
  <c r="B75" i="94"/>
  <c r="E72" i="94"/>
  <c r="G72" i="94" s="1"/>
  <c r="B69" i="94"/>
  <c r="E68" i="94"/>
  <c r="G68" i="94" s="1"/>
  <c r="E67" i="94"/>
  <c r="G67" i="94" s="1"/>
  <c r="C59" i="94"/>
  <c r="B59" i="94"/>
  <c r="E56" i="94"/>
  <c r="G56" i="94" s="1"/>
  <c r="B53" i="94"/>
  <c r="E52" i="94"/>
  <c r="G52" i="94" s="1"/>
  <c r="E51" i="94"/>
  <c r="G51" i="94" s="1"/>
  <c r="D43" i="94"/>
  <c r="D44" i="94" s="1"/>
  <c r="D42" i="94"/>
  <c r="D40" i="94"/>
  <c r="B40" i="94"/>
  <c r="E36" i="94"/>
  <c r="G36" i="94" s="1"/>
  <c r="E35" i="94"/>
  <c r="G35" i="94" s="1"/>
  <c r="B32" i="94"/>
  <c r="E31" i="94"/>
  <c r="G31" i="94" s="1"/>
  <c r="E30" i="94"/>
  <c r="G30" i="94" s="1"/>
  <c r="B19" i="94"/>
  <c r="B18" i="94"/>
  <c r="E15" i="94"/>
  <c r="G15" i="94" s="1"/>
  <c r="E14" i="94"/>
  <c r="G14" i="94" s="1"/>
  <c r="B11" i="94"/>
  <c r="E10" i="94"/>
  <c r="G10" i="94" s="1"/>
  <c r="E9" i="94"/>
  <c r="G9" i="94" s="1"/>
  <c r="D2" i="94"/>
  <c r="I67" i="7"/>
  <c r="G66" i="7"/>
  <c r="D66" i="7"/>
  <c r="D64" i="7"/>
  <c r="C63" i="7"/>
  <c r="E634" i="94" s="1"/>
  <c r="G634" i="94" s="1"/>
  <c r="D58" i="7"/>
  <c r="D57" i="7"/>
  <c r="D56" i="7"/>
  <c r="D55" i="7"/>
  <c r="D54" i="7"/>
  <c r="D53" i="7"/>
  <c r="D52" i="7"/>
  <c r="D51" i="7"/>
  <c r="C51" i="7"/>
  <c r="D50" i="7"/>
  <c r="E50" i="7" s="1"/>
  <c r="D49" i="7"/>
  <c r="E49" i="7" s="1"/>
  <c r="D48" i="7"/>
  <c r="E48" i="7" s="1"/>
  <c r="D47" i="7"/>
  <c r="E47" i="7" s="1"/>
  <c r="D46" i="7"/>
  <c r="E46" i="7" s="1"/>
  <c r="D45" i="7"/>
  <c r="E45" i="7" s="1"/>
  <c r="D44" i="7"/>
  <c r="E44" i="7" s="1"/>
  <c r="D43" i="7"/>
  <c r="E43" i="7" s="1"/>
  <c r="C43" i="7"/>
  <c r="C52" i="7" s="1"/>
  <c r="F42" i="7"/>
  <c r="F41" i="7"/>
  <c r="F40" i="7"/>
  <c r="D40" i="7"/>
  <c r="E40" i="7" s="1"/>
  <c r="E41" i="7" s="1"/>
  <c r="C40" i="7"/>
  <c r="C41" i="7" s="1"/>
  <c r="C42" i="7" s="1"/>
  <c r="B40" i="7"/>
  <c r="J39" i="7"/>
  <c r="J6" i="146" s="1"/>
  <c r="F38" i="7"/>
  <c r="J38" i="7" s="1"/>
  <c r="F37" i="7"/>
  <c r="J37" i="7" s="1"/>
  <c r="H642" i="127" s="1"/>
  <c r="J642" i="127" s="1"/>
  <c r="F36" i="7"/>
  <c r="J36" i="7" s="1"/>
  <c r="H1265" i="127" s="1"/>
  <c r="J1265" i="127" s="1"/>
  <c r="F35" i="7"/>
  <c r="D35" i="7"/>
  <c r="C35" i="7"/>
  <c r="F34" i="7"/>
  <c r="D34" i="7"/>
  <c r="C34" i="7"/>
  <c r="F32" i="7"/>
  <c r="D32" i="7"/>
  <c r="E32" i="7" s="1"/>
  <c r="C32" i="7"/>
  <c r="F31" i="7"/>
  <c r="F30" i="7"/>
  <c r="D30" i="7"/>
  <c r="D31" i="7" s="1"/>
  <c r="C30" i="7"/>
  <c r="C31" i="7" s="1"/>
  <c r="D29" i="7"/>
  <c r="D28" i="7"/>
  <c r="F27" i="7"/>
  <c r="D27" i="7"/>
  <c r="G26" i="7"/>
  <c r="G28" i="7" s="1"/>
  <c r="F26" i="7"/>
  <c r="F25" i="7"/>
  <c r="G24" i="7"/>
  <c r="F24" i="7"/>
  <c r="G23" i="7"/>
  <c r="F23" i="7"/>
  <c r="F22" i="7"/>
  <c r="H22" i="7" s="1"/>
  <c r="F21" i="7"/>
  <c r="H21" i="7" s="1"/>
  <c r="F20" i="7"/>
  <c r="F19" i="7"/>
  <c r="D19" i="7"/>
  <c r="F18" i="7"/>
  <c r="D18" i="7"/>
  <c r="F17" i="7"/>
  <c r="D17" i="7"/>
  <c r="F16" i="7"/>
  <c r="D16" i="7"/>
  <c r="F15" i="7"/>
  <c r="D15" i="7"/>
  <c r="F14" i="7"/>
  <c r="D14" i="7"/>
  <c r="D33" i="7" s="1"/>
  <c r="F12" i="7"/>
  <c r="H12" i="7" s="1"/>
  <c r="D12" i="7"/>
  <c r="F11" i="7"/>
  <c r="D11" i="7"/>
  <c r="G10" i="7"/>
  <c r="G11" i="7" s="1"/>
  <c r="F10" i="7"/>
  <c r="D10" i="7"/>
  <c r="F9" i="7"/>
  <c r="D9" i="7"/>
  <c r="F8" i="7"/>
  <c r="D8" i="7"/>
  <c r="F7" i="7"/>
  <c r="D7" i="7"/>
  <c r="F6" i="7"/>
  <c r="D6" i="7"/>
  <c r="F5" i="7"/>
  <c r="D5" i="7"/>
  <c r="I4" i="7"/>
  <c r="I14" i="7" s="1"/>
  <c r="G4" i="7"/>
  <c r="F4" i="7"/>
  <c r="H4" i="7" s="1"/>
  <c r="D4" i="7"/>
  <c r="C4" i="7"/>
  <c r="C14" i="7" s="1"/>
  <c r="C16" i="7" s="1"/>
  <c r="C18" i="7" s="1"/>
  <c r="C2" i="7"/>
  <c r="F27" i="190"/>
  <c r="F26" i="190"/>
  <c r="F25" i="190"/>
  <c r="A25" i="190"/>
  <c r="A26" i="190" s="1"/>
  <c r="A27" i="190" s="1"/>
  <c r="D25" i="190"/>
  <c r="D26" i="190" s="1"/>
  <c r="F22" i="190"/>
  <c r="F21" i="190"/>
  <c r="F20" i="190"/>
  <c r="F19" i="190"/>
  <c r="F17" i="190"/>
  <c r="F16" i="190"/>
  <c r="G16" i="190" s="1"/>
  <c r="F15" i="190"/>
  <c r="F14" i="190"/>
  <c r="G14" i="190" s="1"/>
  <c r="F13" i="190"/>
  <c r="F12" i="190"/>
  <c r="F11" i="190"/>
  <c r="F10" i="190"/>
  <c r="F9" i="190"/>
  <c r="F8" i="190"/>
  <c r="G8" i="190" s="1"/>
  <c r="A8" i="190"/>
  <c r="A9" i="190" s="1"/>
  <c r="A10" i="190" s="1"/>
  <c r="A11" i="190" s="1"/>
  <c r="A12" i="190" s="1"/>
  <c r="A13" i="190" s="1"/>
  <c r="A14" i="190" s="1"/>
  <c r="A15" i="190" s="1"/>
  <c r="A16" i="190" s="1"/>
  <c r="A17" i="190" s="1"/>
  <c r="A18" i="190" s="1"/>
  <c r="A19" i="190" s="1"/>
  <c r="A20" i="190" s="1"/>
  <c r="D8" i="190"/>
  <c r="D9" i="190" s="1"/>
  <c r="A2" i="190"/>
  <c r="F36" i="170"/>
  <c r="B30" i="170"/>
  <c r="I27" i="170"/>
  <c r="I28" i="170" s="1"/>
  <c r="B26" i="170"/>
  <c r="E21" i="170"/>
  <c r="E22" i="170" s="1"/>
  <c r="E23" i="170" s="1"/>
  <c r="B19" i="170"/>
  <c r="F15" i="170"/>
  <c r="F21" i="170" s="1"/>
  <c r="F22" i="170" s="1"/>
  <c r="F23" i="170" s="1"/>
  <c r="B13" i="170"/>
  <c r="I9" i="170"/>
  <c r="I10" i="170" s="1"/>
  <c r="B6" i="170"/>
  <c r="C2" i="170"/>
  <c r="F32" i="169"/>
  <c r="B25" i="169"/>
  <c r="B21" i="169"/>
  <c r="B16" i="169"/>
  <c r="I13" i="169"/>
  <c r="F12" i="169"/>
  <c r="F17" i="169" s="1"/>
  <c r="F22" i="169" s="1"/>
  <c r="B11" i="169"/>
  <c r="I7" i="169"/>
  <c r="I8" i="169" s="1"/>
  <c r="B6" i="169"/>
  <c r="C2" i="169"/>
  <c r="I78" i="168"/>
  <c r="F78" i="168"/>
  <c r="I72" i="168"/>
  <c r="I71" i="168"/>
  <c r="B70" i="168"/>
  <c r="I67" i="168"/>
  <c r="I66" i="168"/>
  <c r="I65" i="168"/>
  <c r="B64" i="168"/>
  <c r="I61" i="168"/>
  <c r="I60" i="168"/>
  <c r="I59" i="168"/>
  <c r="B58" i="168"/>
  <c r="I55" i="168"/>
  <c r="I56" i="168" s="1"/>
  <c r="B54" i="168"/>
  <c r="I40" i="168"/>
  <c r="I39" i="168"/>
  <c r="I38" i="168"/>
  <c r="I37" i="168"/>
  <c r="I35" i="168"/>
  <c r="I34" i="168"/>
  <c r="B32" i="168"/>
  <c r="I23" i="168"/>
  <c r="I22" i="168"/>
  <c r="I21" i="168"/>
  <c r="B20" i="168"/>
  <c r="I16" i="168"/>
  <c r="I15" i="168"/>
  <c r="I14" i="168"/>
  <c r="B13" i="168"/>
  <c r="I9" i="168"/>
  <c r="I8" i="168"/>
  <c r="I7" i="168"/>
  <c r="B6" i="168"/>
  <c r="C2" i="168"/>
  <c r="I113" i="187"/>
  <c r="F107" i="187"/>
  <c r="B100" i="187"/>
  <c r="D40" i="162" s="1"/>
  <c r="B97" i="187"/>
  <c r="D39" i="162" s="1"/>
  <c r="B93" i="187"/>
  <c r="D38" i="162" s="1"/>
  <c r="B86" i="187"/>
  <c r="D37" i="162" s="1"/>
  <c r="I84" i="187"/>
  <c r="B36" i="162" s="1"/>
  <c r="B82" i="187"/>
  <c r="D36" i="162" s="1"/>
  <c r="I80" i="187"/>
  <c r="B35" i="162" s="1"/>
  <c r="B78" i="187"/>
  <c r="D35" i="162" s="1"/>
  <c r="I76" i="187"/>
  <c r="B34" i="162" s="1"/>
  <c r="B74" i="187"/>
  <c r="D34" i="162" s="1"/>
  <c r="I71" i="187"/>
  <c r="I72" i="187" s="1"/>
  <c r="B33" i="162" s="1"/>
  <c r="B70" i="187"/>
  <c r="D33" i="162" s="1"/>
  <c r="I68" i="187"/>
  <c r="B32" i="162" s="1"/>
  <c r="B66" i="187"/>
  <c r="D32" i="162" s="1"/>
  <c r="I64" i="187"/>
  <c r="B31" i="162" s="1"/>
  <c r="B62" i="187"/>
  <c r="D31" i="162" s="1"/>
  <c r="I60" i="187"/>
  <c r="B30" i="162" s="1"/>
  <c r="B58" i="187"/>
  <c r="D30" i="162" s="1"/>
  <c r="B54" i="187"/>
  <c r="D29" i="162" s="1"/>
  <c r="I52" i="187"/>
  <c r="B23" i="162" s="1"/>
  <c r="I43" i="187"/>
  <c r="F42" i="187"/>
  <c r="B41" i="187"/>
  <c r="D22" i="162" s="1"/>
  <c r="B15" i="187"/>
  <c r="D15" i="162" s="1"/>
  <c r="I12" i="187"/>
  <c r="I13" i="187" s="1"/>
  <c r="B11" i="187"/>
  <c r="B6" i="187"/>
  <c r="D12" i="162" s="1"/>
  <c r="F2" i="187"/>
  <c r="C31" i="203"/>
  <c r="B31" i="203"/>
  <c r="I25" i="203"/>
  <c r="I20" i="203"/>
  <c r="I22" i="203" s="1"/>
  <c r="L22" i="203" s="1"/>
  <c r="I10" i="203"/>
  <c r="E29" i="171"/>
  <c r="H36" i="203" s="1"/>
  <c r="B29" i="171"/>
  <c r="H31" i="203" s="1"/>
  <c r="E15" i="171"/>
  <c r="E16" i="171" s="1"/>
  <c r="G16" i="171" s="1"/>
  <c r="B11" i="171"/>
  <c r="B9" i="171"/>
  <c r="B7" i="171"/>
  <c r="D44" i="162" s="1"/>
  <c r="B4" i="171"/>
  <c r="A2" i="171"/>
  <c r="A2" i="203" s="1"/>
  <c r="B105" i="186"/>
  <c r="B102" i="186"/>
  <c r="B98" i="186"/>
  <c r="I94" i="186"/>
  <c r="I93" i="186"/>
  <c r="I92" i="186"/>
  <c r="B91" i="186"/>
  <c r="I88" i="186"/>
  <c r="I89" i="186" s="1"/>
  <c r="B87" i="186"/>
  <c r="I84" i="186"/>
  <c r="I85" i="186" s="1"/>
  <c r="B83" i="186"/>
  <c r="I80" i="186"/>
  <c r="I81" i="186" s="1"/>
  <c r="B79" i="186"/>
  <c r="I76" i="186"/>
  <c r="I77" i="186" s="1"/>
  <c r="B75" i="186"/>
  <c r="F72" i="186"/>
  <c r="I72" i="186" s="1"/>
  <c r="I73" i="186" s="1"/>
  <c r="B71" i="186"/>
  <c r="I68" i="186"/>
  <c r="I69" i="186" s="1"/>
  <c r="B67" i="186"/>
  <c r="I64" i="186"/>
  <c r="I63" i="186"/>
  <c r="B62" i="186"/>
  <c r="I59" i="186"/>
  <c r="I60" i="186" s="1"/>
  <c r="B58" i="186"/>
  <c r="I55" i="186"/>
  <c r="B53" i="186"/>
  <c r="I49" i="186"/>
  <c r="I50" i="186" s="1"/>
  <c r="B47" i="186"/>
  <c r="I44" i="186"/>
  <c r="I43" i="186"/>
  <c r="I41" i="186"/>
  <c r="B40" i="186"/>
  <c r="I36" i="186"/>
  <c r="I35" i="186"/>
  <c r="E34" i="186"/>
  <c r="I34" i="186" s="1"/>
  <c r="B33" i="186"/>
  <c r="I30" i="186"/>
  <c r="I29" i="186"/>
  <c r="I28" i="186"/>
  <c r="I27" i="186"/>
  <c r="I26" i="186"/>
  <c r="F23" i="186"/>
  <c r="I22" i="186"/>
  <c r="B20" i="186"/>
  <c r="I17" i="186"/>
  <c r="I16" i="186"/>
  <c r="B15" i="186"/>
  <c r="I12" i="186"/>
  <c r="I13" i="186" s="1"/>
  <c r="B11" i="186"/>
  <c r="I8" i="186"/>
  <c r="I7" i="186"/>
  <c r="B6" i="186"/>
  <c r="F2" i="186"/>
  <c r="B97" i="167"/>
  <c r="B94" i="167"/>
  <c r="B90" i="167"/>
  <c r="I86" i="167"/>
  <c r="I85" i="167"/>
  <c r="I84" i="167"/>
  <c r="B83" i="167"/>
  <c r="I80" i="167"/>
  <c r="I81" i="167" s="1"/>
  <c r="B79" i="167"/>
  <c r="I76" i="167"/>
  <c r="I77" i="167" s="1"/>
  <c r="B75" i="167"/>
  <c r="I72" i="167"/>
  <c r="I73" i="167" s="1"/>
  <c r="B71" i="167"/>
  <c r="I68" i="167"/>
  <c r="I69" i="167" s="1"/>
  <c r="B67" i="167"/>
  <c r="F64" i="167"/>
  <c r="I64" i="167" s="1"/>
  <c r="I65" i="167" s="1"/>
  <c r="B63" i="167"/>
  <c r="I60" i="167"/>
  <c r="I61" i="167" s="1"/>
  <c r="B59" i="167"/>
  <c r="I56" i="167"/>
  <c r="I57" i="167" s="1"/>
  <c r="B55" i="167"/>
  <c r="I52" i="167"/>
  <c r="I53" i="167" s="1"/>
  <c r="B51" i="167"/>
  <c r="I48" i="167"/>
  <c r="I49" i="167" s="1"/>
  <c r="I42" i="167"/>
  <c r="I41" i="167"/>
  <c r="F39" i="167"/>
  <c r="B38" i="167"/>
  <c r="I34" i="167"/>
  <c r="I33" i="167"/>
  <c r="E32" i="167"/>
  <c r="I32" i="167" s="1"/>
  <c r="B31" i="167"/>
  <c r="I28" i="167"/>
  <c r="I27" i="167"/>
  <c r="I26" i="167"/>
  <c r="F23" i="167"/>
  <c r="I23" i="167" s="1"/>
  <c r="I22" i="167"/>
  <c r="B20" i="167"/>
  <c r="I17" i="167"/>
  <c r="I16" i="167"/>
  <c r="B15" i="167"/>
  <c r="I12" i="167"/>
  <c r="I13" i="167" s="1"/>
  <c r="B11" i="167"/>
  <c r="I8" i="167"/>
  <c r="I7" i="167"/>
  <c r="B6" i="167"/>
  <c r="F2" i="167"/>
  <c r="I47" i="165"/>
  <c r="I54" i="204" s="1"/>
  <c r="B46" i="165"/>
  <c r="B54" i="204" s="1"/>
  <c r="I33" i="165"/>
  <c r="B32" i="165"/>
  <c r="I29" i="165"/>
  <c r="B26" i="165"/>
  <c r="B21" i="165"/>
  <c r="B23" i="204" s="1"/>
  <c r="I18" i="165"/>
  <c r="B16" i="165"/>
  <c r="I13" i="165"/>
  <c r="F12" i="165"/>
  <c r="B11" i="165"/>
  <c r="I8" i="165"/>
  <c r="I7" i="165"/>
  <c r="B6" i="165"/>
  <c r="F2" i="165"/>
  <c r="I33" i="199"/>
  <c r="B32" i="199"/>
  <c r="I29" i="199"/>
  <c r="B26" i="199"/>
  <c r="B21" i="199"/>
  <c r="I18" i="199"/>
  <c r="B16" i="199"/>
  <c r="I13" i="199"/>
  <c r="F12" i="199"/>
  <c r="F17" i="199" s="1"/>
  <c r="I17" i="199" s="1"/>
  <c r="B11" i="199"/>
  <c r="I8" i="199"/>
  <c r="I7" i="199"/>
  <c r="B6" i="199"/>
  <c r="F2" i="199"/>
  <c r="B110" i="141"/>
  <c r="D109" i="141"/>
  <c r="B109" i="141"/>
  <c r="E92" i="141"/>
  <c r="G92" i="141" s="1"/>
  <c r="E91" i="141"/>
  <c r="G91" i="141" s="1"/>
  <c r="E89" i="141"/>
  <c r="G89" i="141" s="1"/>
  <c r="E86" i="141"/>
  <c r="G86" i="141" s="1"/>
  <c r="E85" i="141"/>
  <c r="G85" i="141" s="1"/>
  <c r="E84" i="141"/>
  <c r="G84" i="141" s="1"/>
  <c r="B75" i="141"/>
  <c r="D74" i="141"/>
  <c r="B74" i="141"/>
  <c r="E64" i="141"/>
  <c r="G64" i="141" s="1"/>
  <c r="E63" i="141"/>
  <c r="G63" i="141" s="1"/>
  <c r="E61" i="141"/>
  <c r="G61" i="141" s="1"/>
  <c r="E58" i="141"/>
  <c r="G58" i="141" s="1"/>
  <c r="E57" i="141"/>
  <c r="G57" i="141" s="1"/>
  <c r="E56" i="141"/>
  <c r="G56" i="141" s="1"/>
  <c r="B47" i="141"/>
  <c r="D46" i="141"/>
  <c r="B46" i="141"/>
  <c r="E42" i="141"/>
  <c r="G42" i="141" s="1"/>
  <c r="B40" i="141"/>
  <c r="E39" i="141"/>
  <c r="G39" i="141" s="1"/>
  <c r="E36" i="141"/>
  <c r="G36" i="141" s="1"/>
  <c r="E35" i="141"/>
  <c r="G35" i="141" s="1"/>
  <c r="B23" i="141"/>
  <c r="D22" i="141"/>
  <c r="B22" i="141"/>
  <c r="E18" i="141"/>
  <c r="G18" i="141" s="1"/>
  <c r="B16" i="141"/>
  <c r="E15" i="141"/>
  <c r="G15" i="141" s="1"/>
  <c r="E12" i="141"/>
  <c r="G12" i="141" s="1"/>
  <c r="E11" i="141"/>
  <c r="G11" i="141" s="1"/>
  <c r="A5" i="141"/>
  <c r="A27" i="141" s="1"/>
  <c r="A50" i="141" s="1"/>
  <c r="A78" i="141" s="1"/>
  <c r="A2" i="141"/>
  <c r="E303" i="202"/>
  <c r="D303" i="202"/>
  <c r="E297" i="202"/>
  <c r="D297" i="202"/>
  <c r="D289" i="202"/>
  <c r="B289" i="202"/>
  <c r="B282" i="202"/>
  <c r="E280" i="202"/>
  <c r="E281" i="202" s="1"/>
  <c r="G281" i="202" s="1"/>
  <c r="A272" i="202"/>
  <c r="B269" i="202"/>
  <c r="D268" i="202"/>
  <c r="B268" i="202"/>
  <c r="E264" i="202"/>
  <c r="E285" i="202" s="1"/>
  <c r="G285" i="202" s="1"/>
  <c r="G286" i="202" s="1"/>
  <c r="B262" i="202"/>
  <c r="E261" i="202"/>
  <c r="G261" i="202" s="1"/>
  <c r="B258" i="202"/>
  <c r="E257" i="202"/>
  <c r="G257" i="202" s="1"/>
  <c r="E256" i="202"/>
  <c r="G256" i="202" s="1"/>
  <c r="A248" i="202"/>
  <c r="B244" i="202"/>
  <c r="D243" i="202"/>
  <c r="B243" i="202"/>
  <c r="E239" i="202"/>
  <c r="G239" i="202" s="1"/>
  <c r="E236" i="202"/>
  <c r="G236" i="202" s="1"/>
  <c r="B233" i="202"/>
  <c r="E232" i="202"/>
  <c r="G232" i="202" s="1"/>
  <c r="E231" i="202"/>
  <c r="G231" i="202" s="1"/>
  <c r="B222" i="202"/>
  <c r="D221" i="202"/>
  <c r="B221" i="202"/>
  <c r="E204" i="202"/>
  <c r="G204" i="202" s="1"/>
  <c r="E203" i="202"/>
  <c r="G203" i="202" s="1"/>
  <c r="E202" i="202"/>
  <c r="G202" i="202" s="1"/>
  <c r="E201" i="202"/>
  <c r="G201" i="202" s="1"/>
  <c r="B198" i="202"/>
  <c r="E197" i="202"/>
  <c r="G197" i="202" s="1"/>
  <c r="E196" i="202"/>
  <c r="G196" i="202" s="1"/>
  <c r="E195" i="202"/>
  <c r="G195" i="202" s="1"/>
  <c r="A190" i="202"/>
  <c r="G159" i="202"/>
  <c r="E156" i="202"/>
  <c r="G154" i="202"/>
  <c r="G143" i="202"/>
  <c r="J138" i="202"/>
  <c r="J135" i="202"/>
  <c r="K135" i="202" s="1"/>
  <c r="B114" i="202"/>
  <c r="E91" i="202"/>
  <c r="F163" i="202" s="1"/>
  <c r="G163" i="202" s="1"/>
  <c r="E90" i="202"/>
  <c r="G90" i="202" s="1"/>
  <c r="E89" i="202"/>
  <c r="G89" i="202" s="1"/>
  <c r="B85" i="202"/>
  <c r="E84" i="202"/>
  <c r="E113" i="202" s="1"/>
  <c r="G113" i="202" s="1"/>
  <c r="G65" i="202"/>
  <c r="E62" i="202"/>
  <c r="F162" i="202" s="1"/>
  <c r="G162" i="202" s="1"/>
  <c r="B59" i="202"/>
  <c r="E37" i="202"/>
  <c r="G37" i="202" s="1"/>
  <c r="G36" i="202"/>
  <c r="E35" i="202"/>
  <c r="G35" i="202" s="1"/>
  <c r="E34" i="202"/>
  <c r="F160" i="202" s="1"/>
  <c r="G160" i="202" s="1"/>
  <c r="B31" i="202"/>
  <c r="E30" i="202"/>
  <c r="E58" i="202" s="1"/>
  <c r="E83" i="202" s="1"/>
  <c r="G29" i="202"/>
  <c r="P20" i="202"/>
  <c r="P15" i="202"/>
  <c r="P10" i="202"/>
  <c r="G9" i="202"/>
  <c r="I9" i="202" s="1"/>
  <c r="B10" i="163"/>
  <c r="N55" i="162"/>
  <c r="N54" i="162"/>
  <c r="N51" i="162"/>
  <c r="G50" i="162"/>
  <c r="D50" i="162"/>
  <c r="G49" i="162"/>
  <c r="D49" i="162"/>
  <c r="G48" i="162"/>
  <c r="D48" i="162"/>
  <c r="D46" i="162"/>
  <c r="B46" i="162"/>
  <c r="D45" i="162"/>
  <c r="B45" i="162"/>
  <c r="B44" i="162"/>
  <c r="B43" i="162"/>
  <c r="B42" i="162"/>
  <c r="M90" i="174"/>
  <c r="M89" i="174"/>
  <c r="N88" i="174"/>
  <c r="E88" i="174" s="1"/>
  <c r="M88" i="174"/>
  <c r="B88" i="174" s="1"/>
  <c r="N11" i="162"/>
  <c r="H4" i="162"/>
  <c r="B2" i="179" s="1"/>
  <c r="D3" i="162"/>
  <c r="A1" i="179" s="1"/>
  <c r="C78" i="140"/>
  <c r="I78" i="140" s="1"/>
  <c r="L78" i="140" s="1"/>
  <c r="C77" i="140"/>
  <c r="I77" i="140" s="1"/>
  <c r="L77" i="140" s="1"/>
  <c r="I69" i="140"/>
  <c r="L69" i="140" s="1"/>
  <c r="L75" i="140" s="1"/>
  <c r="C66" i="140"/>
  <c r="I66" i="140" s="1"/>
  <c r="L66" i="140" s="1"/>
  <c r="N66" i="140" s="1"/>
  <c r="I65" i="140"/>
  <c r="I64" i="140"/>
  <c r="I61" i="140"/>
  <c r="L61" i="140" s="1"/>
  <c r="N61" i="140" s="1"/>
  <c r="I59" i="140"/>
  <c r="L59" i="140" s="1"/>
  <c r="I58" i="140"/>
  <c r="H58" i="140"/>
  <c r="H57" i="140"/>
  <c r="F57" i="140"/>
  <c r="F55" i="140"/>
  <c r="C55" i="140"/>
  <c r="L55" i="140" s="1"/>
  <c r="R55" i="140" s="1"/>
  <c r="C53" i="140"/>
  <c r="L53" i="140" s="1"/>
  <c r="P53" i="140" s="1"/>
  <c r="K51" i="140"/>
  <c r="C51" i="140"/>
  <c r="K49" i="140"/>
  <c r="C49" i="140"/>
  <c r="C46" i="140"/>
  <c r="C45" i="140"/>
  <c r="C44" i="140"/>
  <c r="C43" i="140"/>
  <c r="C42" i="140"/>
  <c r="C39" i="140"/>
  <c r="C38" i="140"/>
  <c r="C37" i="140"/>
  <c r="C36" i="140"/>
  <c r="D35" i="140"/>
  <c r="D36" i="140" s="1"/>
  <c r="D37" i="140" s="1"/>
  <c r="D38" i="140" s="1"/>
  <c r="D39" i="140" s="1"/>
  <c r="D42" i="140" s="1"/>
  <c r="D43" i="140" s="1"/>
  <c r="D44" i="140" s="1"/>
  <c r="D45" i="140" s="1"/>
  <c r="C35" i="140"/>
  <c r="I35" i="140" s="1"/>
  <c r="C31" i="140"/>
  <c r="C30" i="140"/>
  <c r="C29" i="140"/>
  <c r="C28" i="140"/>
  <c r="D27" i="140"/>
  <c r="D31" i="140" s="1"/>
  <c r="C27" i="140"/>
  <c r="C24" i="140"/>
  <c r="C23" i="140"/>
  <c r="C22" i="140"/>
  <c r="C20" i="140"/>
  <c r="C19" i="140"/>
  <c r="C18" i="140"/>
  <c r="C17" i="140"/>
  <c r="D16" i="140"/>
  <c r="D20" i="140" s="1"/>
  <c r="C16" i="140"/>
  <c r="S11" i="140"/>
  <c r="S10" i="140"/>
  <c r="S9" i="140"/>
  <c r="C8" i="140"/>
  <c r="S6" i="140"/>
  <c r="S5" i="140"/>
  <c r="S4" i="140"/>
  <c r="O2" i="140"/>
  <c r="A2" i="140"/>
  <c r="E3" i="139"/>
  <c r="E4" i="139" s="1"/>
  <c r="A2" i="139"/>
  <c r="E94" i="164"/>
  <c r="B86" i="164"/>
  <c r="B81" i="164"/>
  <c r="I78" i="164"/>
  <c r="I79" i="164" s="1"/>
  <c r="B28" i="162" s="1"/>
  <c r="F81" i="174" s="1"/>
  <c r="M81" i="174" s="1"/>
  <c r="B77" i="164"/>
  <c r="D28" i="162" s="1"/>
  <c r="G74" i="164"/>
  <c r="F74" i="164"/>
  <c r="B73" i="164"/>
  <c r="D27" i="162" s="1"/>
  <c r="I70" i="164"/>
  <c r="I71" i="164" s="1"/>
  <c r="B26" i="162" s="1"/>
  <c r="F79" i="174" s="1"/>
  <c r="M79" i="174" s="1"/>
  <c r="B70" i="164"/>
  <c r="B78" i="164" s="1"/>
  <c r="B69" i="164"/>
  <c r="D26" i="162" s="1"/>
  <c r="I67" i="164"/>
  <c r="B25" i="162" s="1"/>
  <c r="F78" i="174" s="1"/>
  <c r="B65" i="164"/>
  <c r="D25" i="162" s="1"/>
  <c r="I63" i="164"/>
  <c r="B24" i="162" s="1"/>
  <c r="F77" i="174" s="1"/>
  <c r="M77" i="174" s="1"/>
  <c r="G62" i="164"/>
  <c r="G66" i="164" s="1"/>
  <c r="F62" i="164"/>
  <c r="F66" i="164" s="1"/>
  <c r="B62" i="164"/>
  <c r="B66" i="164" s="1"/>
  <c r="B61" i="164"/>
  <c r="D24" i="162" s="1"/>
  <c r="B56" i="164"/>
  <c r="G52" i="164"/>
  <c r="G57" i="164" s="1"/>
  <c r="G82" i="164" s="1"/>
  <c r="C57" i="164"/>
  <c r="C82" i="164" s="1"/>
  <c r="B51" i="164"/>
  <c r="I47" i="164"/>
  <c r="B46" i="164"/>
  <c r="I42" i="164"/>
  <c r="I44" i="164" s="1"/>
  <c r="B20" i="162" s="1"/>
  <c r="F73" i="174" s="1"/>
  <c r="M73" i="174" s="1"/>
  <c r="B41" i="164"/>
  <c r="D20" i="162" s="1"/>
  <c r="I38" i="164"/>
  <c r="I37" i="164"/>
  <c r="B36" i="164"/>
  <c r="D19" i="162" s="1"/>
  <c r="I32" i="164"/>
  <c r="I34" i="164" s="1"/>
  <c r="B31" i="164"/>
  <c r="I27" i="164"/>
  <c r="I29" i="164" s="1"/>
  <c r="B26" i="164"/>
  <c r="I23" i="164"/>
  <c r="I24" i="164" s="1"/>
  <c r="B16" i="162" s="1"/>
  <c r="B22" i="164"/>
  <c r="D16" i="162" s="1"/>
  <c r="I20" i="164"/>
  <c r="B18" i="164"/>
  <c r="I16" i="164"/>
  <c r="B14" i="162" s="1"/>
  <c r="F67" i="174" s="1"/>
  <c r="M67" i="174" s="1"/>
  <c r="B14" i="164"/>
  <c r="D14" i="162" s="1"/>
  <c r="B13" i="162"/>
  <c r="F70" i="174" s="1"/>
  <c r="B11" i="164"/>
  <c r="B10" i="164"/>
  <c r="D13" i="162" s="1"/>
  <c r="I6" i="164"/>
  <c r="B5" i="164"/>
  <c r="C2" i="164"/>
  <c r="C37" i="133"/>
  <c r="B37" i="133"/>
  <c r="L56" i="185" s="1"/>
  <c r="C34" i="133"/>
  <c r="F56" i="185" s="1"/>
  <c r="H148" i="205" s="1"/>
  <c r="B34" i="133"/>
  <c r="B56" i="185" s="1"/>
  <c r="D148" i="205" s="1"/>
  <c r="K16" i="133"/>
  <c r="A11" i="133"/>
  <c r="A12" i="133" s="1"/>
  <c r="A13" i="133" s="1"/>
  <c r="A14" i="133" s="1"/>
  <c r="A15" i="133" s="1"/>
  <c r="I8" i="133"/>
  <c r="I7" i="133"/>
  <c r="B2" i="133"/>
  <c r="H30" i="128"/>
  <c r="H29" i="128"/>
  <c r="H28" i="128"/>
  <c r="H27" i="128"/>
  <c r="H26" i="128"/>
  <c r="C16" i="128"/>
  <c r="E36" i="197"/>
  <c r="G36" i="197" s="1"/>
  <c r="H20" i="197"/>
  <c r="G20" i="197"/>
  <c r="F20" i="197"/>
  <c r="E20" i="197"/>
  <c r="D20" i="197"/>
  <c r="C20" i="197"/>
  <c r="M7" i="197"/>
  <c r="G7" i="197"/>
  <c r="M6" i="197"/>
  <c r="G6" i="197"/>
  <c r="B4" i="197"/>
  <c r="C3" i="191"/>
  <c r="C2" i="191"/>
  <c r="F1" i="191"/>
  <c r="Q30" i="175"/>
  <c r="R30" i="175" s="1"/>
  <c r="R31" i="175" s="1"/>
  <c r="R35" i="175" s="1"/>
  <c r="R36" i="175" s="1"/>
  <c r="L10" i="175"/>
  <c r="L11" i="175" s="1"/>
  <c r="D20" i="191" s="1"/>
  <c r="L4" i="197" s="1"/>
  <c r="K10" i="175"/>
  <c r="K11" i="175" s="1"/>
  <c r="J10" i="175"/>
  <c r="J11" i="175" s="1"/>
  <c r="I10" i="175"/>
  <c r="I11" i="175" s="1"/>
  <c r="H10" i="175"/>
  <c r="H11" i="175" s="1"/>
  <c r="G10" i="175"/>
  <c r="G11" i="175" s="1"/>
  <c r="D11" i="191" s="1"/>
  <c r="C4" i="197" s="1"/>
  <c r="F10" i="175"/>
  <c r="F11" i="175" s="1"/>
  <c r="E10" i="175"/>
  <c r="E11" i="175" s="1"/>
  <c r="D10" i="175"/>
  <c r="D11" i="175" s="1"/>
  <c r="D14" i="191" s="1"/>
  <c r="F4" i="197" s="1"/>
  <c r="C10" i="175"/>
  <c r="C11" i="175" s="1"/>
  <c r="B10" i="175"/>
  <c r="B11" i="175" s="1"/>
  <c r="M9" i="175"/>
  <c r="M8" i="175"/>
  <c r="M7" i="175"/>
  <c r="A3" i="175"/>
  <c r="A2" i="195"/>
  <c r="C4" i="201"/>
  <c r="L55" i="185"/>
  <c r="B55" i="185"/>
  <c r="D147" i="205" s="1"/>
  <c r="D3" i="185"/>
  <c r="C3" i="185"/>
  <c r="E2" i="185"/>
  <c r="E10" i="200"/>
  <c r="C178" i="174"/>
  <c r="N168" i="174"/>
  <c r="B158" i="174"/>
  <c r="B159" i="174" s="1"/>
  <c r="B160" i="174" s="1"/>
  <c r="B161" i="174" s="1"/>
  <c r="B162" i="174" s="1"/>
  <c r="B153" i="174"/>
  <c r="B154" i="174" s="1"/>
  <c r="B155" i="174" s="1"/>
  <c r="C149" i="174"/>
  <c r="I127" i="174"/>
  <c r="M125" i="174"/>
  <c r="M124" i="174"/>
  <c r="N123" i="174"/>
  <c r="I126" i="174" s="1"/>
  <c r="M123" i="174"/>
  <c r="N122" i="174"/>
  <c r="H125" i="174" s="1"/>
  <c r="M122" i="174"/>
  <c r="I125" i="174" s="1"/>
  <c r="L121" i="174"/>
  <c r="B121" i="174" s="1"/>
  <c r="N119" i="174"/>
  <c r="H115" i="174" s="1"/>
  <c r="H116" i="174" s="1"/>
  <c r="H117" i="174" s="1"/>
  <c r="E117" i="174"/>
  <c r="E116" i="174"/>
  <c r="N115" i="174"/>
  <c r="H122" i="174" s="1"/>
  <c r="M115" i="174"/>
  <c r="I122" i="174" s="1"/>
  <c r="I115" i="174"/>
  <c r="E115" i="174"/>
  <c r="B115" i="174"/>
  <c r="N114" i="174"/>
  <c r="H120" i="174" s="1"/>
  <c r="M114" i="174"/>
  <c r="I120" i="174" s="1"/>
  <c r="E114" i="174"/>
  <c r="N113" i="174"/>
  <c r="H124" i="174" s="1"/>
  <c r="M113" i="174"/>
  <c r="I124" i="174" s="1"/>
  <c r="E113" i="174"/>
  <c r="N112" i="174"/>
  <c r="H123" i="174" s="1"/>
  <c r="M112" i="174"/>
  <c r="I123" i="174" s="1"/>
  <c r="H106" i="174"/>
  <c r="H105" i="174"/>
  <c r="E105" i="174"/>
  <c r="P103" i="174"/>
  <c r="O103" i="174"/>
  <c r="S102" i="174"/>
  <c r="S101" i="174"/>
  <c r="S99" i="174"/>
  <c r="B99" i="174"/>
  <c r="B98" i="174"/>
  <c r="B97" i="174"/>
  <c r="B96" i="174"/>
  <c r="B95" i="174"/>
  <c r="A95" i="174"/>
  <c r="A96" i="174" s="1"/>
  <c r="A97" i="174" s="1"/>
  <c r="A98" i="174" s="1"/>
  <c r="A99" i="174" s="1"/>
  <c r="A100" i="174" s="1"/>
  <c r="A101" i="174" s="1"/>
  <c r="A102" i="174" s="1"/>
  <c r="E91" i="174"/>
  <c r="N90" i="174"/>
  <c r="N89" i="174"/>
  <c r="F88" i="174"/>
  <c r="M84" i="174"/>
  <c r="L84" i="174" s="1"/>
  <c r="K84" i="174" s="1"/>
  <c r="E83" i="174"/>
  <c r="E82" i="174"/>
  <c r="H62" i="174"/>
  <c r="G62" i="174"/>
  <c r="F62" i="174"/>
  <c r="H61" i="174"/>
  <c r="G61" i="174"/>
  <c r="F61" i="174"/>
  <c r="K56" i="174"/>
  <c r="U36" i="174"/>
  <c r="L35" i="174"/>
  <c r="H35" i="174"/>
  <c r="E35" i="174"/>
  <c r="B62" i="174" s="1"/>
  <c r="B35" i="174"/>
  <c r="I35" i="174" s="1"/>
  <c r="H34" i="174"/>
  <c r="E34" i="174"/>
  <c r="B61" i="174" s="1"/>
  <c r="B34" i="174"/>
  <c r="I34" i="174" s="1"/>
  <c r="N32" i="174"/>
  <c r="D61" i="174" s="1"/>
  <c r="A32" i="174"/>
  <c r="A31" i="174"/>
  <c r="A30" i="174"/>
  <c r="A29" i="174"/>
  <c r="A28" i="174"/>
  <c r="A27" i="174"/>
  <c r="A26" i="174"/>
  <c r="A25" i="174"/>
  <c r="J22" i="174"/>
  <c r="I22" i="174"/>
  <c r="H22" i="174"/>
  <c r="F22" i="174"/>
  <c r="C22" i="174"/>
  <c r="J21" i="174"/>
  <c r="I21" i="174"/>
  <c r="H21" i="174"/>
  <c r="F21" i="174"/>
  <c r="C21" i="174"/>
  <c r="O15" i="174"/>
  <c r="N15" i="174"/>
  <c r="O14" i="174"/>
  <c r="N14" i="174"/>
  <c r="L11" i="174"/>
  <c r="F10" i="174"/>
  <c r="L8" i="174"/>
  <c r="F11" i="174" s="1"/>
  <c r="N7" i="174"/>
  <c r="L130" i="174" s="1"/>
  <c r="L7" i="174"/>
  <c r="L5" i="174"/>
  <c r="F12" i="174" s="1"/>
  <c r="Q4" i="174"/>
  <c r="L3" i="174"/>
  <c r="F13" i="174" s="1"/>
  <c r="L1" i="174"/>
  <c r="B129" i="174" s="1"/>
  <c r="L23" i="198"/>
  <c r="M22" i="198"/>
  <c r="C17" i="198"/>
  <c r="H27" i="107"/>
  <c r="B39" i="7" s="1"/>
  <c r="H26" i="107"/>
  <c r="B38" i="7" s="1"/>
  <c r="H25" i="107"/>
  <c r="B37" i="7" s="1"/>
  <c r="H24" i="107"/>
  <c r="B36" i="7" s="1"/>
  <c r="M117" i="174"/>
  <c r="M118" i="174" s="1"/>
  <c r="I119" i="174" s="1"/>
  <c r="N121" i="174"/>
  <c r="H121" i="174" s="1"/>
  <c r="M121" i="174"/>
  <c r="I121" i="174" s="1"/>
  <c r="J6" i="107"/>
  <c r="E13" i="200" s="1"/>
  <c r="L4" i="182"/>
  <c r="H20" i="179"/>
  <c r="F7" i="179"/>
  <c r="E7" i="179"/>
  <c r="C1476" i="127"/>
  <c r="B1476" i="127"/>
  <c r="H1471" i="127"/>
  <c r="J1471" i="127" s="1"/>
  <c r="H1470" i="127"/>
  <c r="J1470" i="127" s="1"/>
  <c r="B1460" i="127"/>
  <c r="H1459" i="127"/>
  <c r="J1459" i="127" s="1"/>
  <c r="H1458" i="127"/>
  <c r="J1458" i="127" s="1"/>
  <c r="H1457" i="127"/>
  <c r="J1457" i="127" s="1"/>
  <c r="C1445" i="127"/>
  <c r="B1445" i="127"/>
  <c r="B1436" i="127"/>
  <c r="H1435" i="127"/>
  <c r="J1435" i="127" s="1"/>
  <c r="H1434" i="127"/>
  <c r="J1434" i="127" s="1"/>
  <c r="H1433" i="127"/>
  <c r="J1433" i="127" s="1"/>
  <c r="D1427" i="127"/>
  <c r="D1428" i="127" s="1"/>
  <c r="D1426" i="127"/>
  <c r="H1419" i="127"/>
  <c r="J1419" i="127" s="1"/>
  <c r="B1415" i="127"/>
  <c r="H1414" i="127"/>
  <c r="J1414" i="127" s="1"/>
  <c r="H1415" i="127" s="1"/>
  <c r="H1413" i="127"/>
  <c r="J1413" i="127" s="1"/>
  <c r="H1412" i="127"/>
  <c r="J1412" i="127" s="1"/>
  <c r="C1400" i="127"/>
  <c r="H1395" i="127"/>
  <c r="J1395" i="127" s="1"/>
  <c r="J1394" i="127"/>
  <c r="H1393" i="127"/>
  <c r="J1393" i="127" s="1"/>
  <c r="H1392" i="127"/>
  <c r="J1392" i="127" s="1"/>
  <c r="H1391" i="127"/>
  <c r="J1391" i="127" s="1"/>
  <c r="H1390" i="127"/>
  <c r="J1390" i="127" s="1"/>
  <c r="B1381" i="127"/>
  <c r="H1380" i="127"/>
  <c r="J1380" i="127" s="1"/>
  <c r="J1379" i="127"/>
  <c r="H1378" i="127"/>
  <c r="J1378" i="127" s="1"/>
  <c r="C1367" i="127"/>
  <c r="B1367" i="127"/>
  <c r="J1364" i="127"/>
  <c r="J1365" i="127" s="1"/>
  <c r="B1361" i="127"/>
  <c r="H1360" i="127"/>
  <c r="J1360" i="127" s="1"/>
  <c r="H1359" i="127"/>
  <c r="J1359" i="127" s="1"/>
  <c r="H1358" i="127"/>
  <c r="J1358" i="127" s="1"/>
  <c r="C1346" i="127"/>
  <c r="B1346" i="127"/>
  <c r="H1341" i="127"/>
  <c r="J1341" i="127" s="1"/>
  <c r="H1339" i="127"/>
  <c r="J1339" i="127" s="1"/>
  <c r="H1338" i="127"/>
  <c r="J1338" i="127" s="1"/>
  <c r="H1337" i="127"/>
  <c r="J1337" i="127" s="1"/>
  <c r="H1336" i="127"/>
  <c r="J1336" i="127" s="1"/>
  <c r="B1327" i="127"/>
  <c r="H1326" i="127"/>
  <c r="J1326" i="127" s="1"/>
  <c r="H1325" i="127"/>
  <c r="J1325" i="127" s="1"/>
  <c r="H1324" i="127"/>
  <c r="J1324" i="127" s="1"/>
  <c r="C1312" i="127"/>
  <c r="B1312" i="127"/>
  <c r="H1307" i="127"/>
  <c r="J1307" i="127" s="1"/>
  <c r="H1305" i="127"/>
  <c r="J1305" i="127" s="1"/>
  <c r="H1304" i="127"/>
  <c r="J1304" i="127" s="1"/>
  <c r="H1303" i="127"/>
  <c r="J1303" i="127" s="1"/>
  <c r="H1302" i="127"/>
  <c r="J1302" i="127" s="1"/>
  <c r="B1293" i="127"/>
  <c r="H1292" i="127"/>
  <c r="J1292" i="127" s="1"/>
  <c r="H1291" i="127"/>
  <c r="J1291" i="127" s="1"/>
  <c r="H1290" i="127"/>
  <c r="J1290" i="127" s="1"/>
  <c r="C1278" i="127"/>
  <c r="B1278" i="127"/>
  <c r="H1273" i="127"/>
  <c r="J1273" i="127" s="1"/>
  <c r="H1271" i="127"/>
  <c r="J1271" i="127" s="1"/>
  <c r="H1270" i="127"/>
  <c r="J1270" i="127" s="1"/>
  <c r="H1269" i="127"/>
  <c r="J1269" i="127" s="1"/>
  <c r="H1268" i="127"/>
  <c r="J1268" i="127" s="1"/>
  <c r="B1259" i="127"/>
  <c r="H1258" i="127"/>
  <c r="J1258" i="127" s="1"/>
  <c r="H1257" i="127"/>
  <c r="J1257" i="127" s="1"/>
  <c r="H1256" i="127"/>
  <c r="J1256" i="127" s="1"/>
  <c r="C1241" i="127"/>
  <c r="B1241" i="127"/>
  <c r="J1237" i="127"/>
  <c r="B1234" i="127"/>
  <c r="H1233" i="127"/>
  <c r="J1233" i="127" s="1"/>
  <c r="H1232" i="127"/>
  <c r="J1232" i="127" s="1"/>
  <c r="C1219" i="127"/>
  <c r="B1219" i="127"/>
  <c r="H1216" i="127"/>
  <c r="J1216" i="127" s="1"/>
  <c r="H1215" i="127"/>
  <c r="J1215" i="127" s="1"/>
  <c r="J1217" i="127" s="1"/>
  <c r="B1208" i="127"/>
  <c r="H1207" i="127"/>
  <c r="J1207" i="127" s="1"/>
  <c r="H1206" i="127"/>
  <c r="J1206" i="127" s="1"/>
  <c r="H1205" i="127"/>
  <c r="J1205" i="127" s="1"/>
  <c r="C1192" i="127"/>
  <c r="B1192" i="127"/>
  <c r="H1187" i="127"/>
  <c r="J1187" i="127" s="1"/>
  <c r="H1186" i="127"/>
  <c r="J1186" i="127" s="1"/>
  <c r="H1183" i="127"/>
  <c r="J1183" i="127" s="1"/>
  <c r="B1177" i="127"/>
  <c r="H1176" i="127"/>
  <c r="J1176" i="127" s="1"/>
  <c r="H1175" i="127"/>
  <c r="J1175" i="127" s="1"/>
  <c r="H1174" i="127"/>
  <c r="J1174" i="127" s="1"/>
  <c r="B1161" i="127"/>
  <c r="H1156" i="127"/>
  <c r="J1156" i="127" s="1"/>
  <c r="H1155" i="127"/>
  <c r="J1155" i="127" s="1"/>
  <c r="H1152" i="127"/>
  <c r="J1152" i="127" s="1"/>
  <c r="B1146" i="127"/>
  <c r="H1145" i="127"/>
  <c r="J1145" i="127" s="1"/>
  <c r="H1144" i="127"/>
  <c r="J1144" i="127" s="1"/>
  <c r="H1143" i="127"/>
  <c r="J1143" i="127" s="1"/>
  <c r="C1129" i="127"/>
  <c r="B1129" i="127"/>
  <c r="J1126" i="127"/>
  <c r="J1127" i="127" s="1"/>
  <c r="B1123" i="127"/>
  <c r="H1122" i="127"/>
  <c r="J1122" i="127" s="1"/>
  <c r="H1121" i="127"/>
  <c r="J1121" i="127" s="1"/>
  <c r="H1120" i="127"/>
  <c r="J1120" i="127" s="1"/>
  <c r="C1108" i="127"/>
  <c r="B1108" i="127"/>
  <c r="H1105" i="127"/>
  <c r="J1105" i="127" s="1"/>
  <c r="H1104" i="127"/>
  <c r="J1104" i="127" s="1"/>
  <c r="H1103" i="127"/>
  <c r="J1103" i="127" s="1"/>
  <c r="B1095" i="127"/>
  <c r="H1094" i="127"/>
  <c r="J1094" i="127" s="1"/>
  <c r="H1093" i="127"/>
  <c r="J1093" i="127" s="1"/>
  <c r="H1092" i="127"/>
  <c r="J1092" i="127" s="1"/>
  <c r="C1077" i="127"/>
  <c r="B1077" i="127"/>
  <c r="H1072" i="127"/>
  <c r="J1072" i="127" s="1"/>
  <c r="J1071" i="127"/>
  <c r="H1070" i="127"/>
  <c r="J1070" i="127" s="1"/>
  <c r="H1069" i="127"/>
  <c r="J1069" i="127" s="1"/>
  <c r="H1068" i="127"/>
  <c r="J1068" i="127" s="1"/>
  <c r="H1067" i="127"/>
  <c r="J1067" i="127" s="1"/>
  <c r="B1058" i="127"/>
  <c r="H1057" i="127"/>
  <c r="J1057" i="127" s="1"/>
  <c r="J1056" i="127"/>
  <c r="H1055" i="127"/>
  <c r="J1055" i="127" s="1"/>
  <c r="D1027" i="127"/>
  <c r="B1027" i="127"/>
  <c r="B1021" i="127"/>
  <c r="H1020" i="127"/>
  <c r="J1020" i="127" s="1"/>
  <c r="H1019" i="127"/>
  <c r="J1019" i="127" s="1"/>
  <c r="H1018" i="127"/>
  <c r="J1018" i="127" s="1"/>
  <c r="D1007" i="127"/>
  <c r="D1008" i="127" s="1"/>
  <c r="D1006" i="127"/>
  <c r="J999" i="127"/>
  <c r="B995" i="127"/>
  <c r="J995" i="127" s="1"/>
  <c r="H994" i="127"/>
  <c r="J994" i="127" s="1"/>
  <c r="H993" i="127"/>
  <c r="J993" i="127" s="1"/>
  <c r="B982" i="127"/>
  <c r="H977" i="127"/>
  <c r="J977" i="127" s="1"/>
  <c r="J976" i="127"/>
  <c r="H975" i="127"/>
  <c r="J975" i="127" s="1"/>
  <c r="H974" i="127"/>
  <c r="J974" i="127" s="1"/>
  <c r="H973" i="127"/>
  <c r="J973" i="127" s="1"/>
  <c r="H972" i="127"/>
  <c r="J972" i="127" s="1"/>
  <c r="J968" i="127"/>
  <c r="H967" i="127"/>
  <c r="J967" i="127" s="1"/>
  <c r="B961" i="127"/>
  <c r="H960" i="127"/>
  <c r="J960" i="127" s="1"/>
  <c r="H959" i="127"/>
  <c r="J959" i="127" s="1"/>
  <c r="H958" i="127"/>
  <c r="J958" i="127" s="1"/>
  <c r="D944" i="127"/>
  <c r="D945" i="127" s="1"/>
  <c r="D943" i="127"/>
  <c r="B941" i="127"/>
  <c r="J941" i="127" s="1"/>
  <c r="D936" i="127"/>
  <c r="B936" i="127"/>
  <c r="B932" i="127"/>
  <c r="H930" i="127"/>
  <c r="J930" i="127" s="1"/>
  <c r="J929" i="127"/>
  <c r="H928" i="127"/>
  <c r="J928" i="127" s="1"/>
  <c r="J923" i="127"/>
  <c r="J922" i="127"/>
  <c r="J921" i="127"/>
  <c r="B915" i="127"/>
  <c r="H914" i="127"/>
  <c r="J914" i="127" s="1"/>
  <c r="H913" i="127"/>
  <c r="J913" i="127" s="1"/>
  <c r="K908" i="127"/>
  <c r="K907" i="127"/>
  <c r="D893" i="127"/>
  <c r="B893" i="127"/>
  <c r="H888" i="127"/>
  <c r="J888" i="127" s="1"/>
  <c r="H887" i="127"/>
  <c r="J887" i="127" s="1"/>
  <c r="B877" i="127"/>
  <c r="H876" i="127"/>
  <c r="J876" i="127" s="1"/>
  <c r="H875" i="127"/>
  <c r="J875" i="127" s="1"/>
  <c r="H874" i="127"/>
  <c r="J874" i="127" s="1"/>
  <c r="D863" i="127"/>
  <c r="B863" i="127"/>
  <c r="H858" i="127"/>
  <c r="J858" i="127" s="1"/>
  <c r="H857" i="127"/>
  <c r="J857" i="127" s="1"/>
  <c r="B847" i="127"/>
  <c r="H846" i="127"/>
  <c r="J846" i="127" s="1"/>
  <c r="H845" i="127"/>
  <c r="J845" i="127" s="1"/>
  <c r="H844" i="127"/>
  <c r="J844" i="127" s="1"/>
  <c r="D838" i="127"/>
  <c r="D839" i="127" s="1"/>
  <c r="D837" i="127"/>
  <c r="D833" i="127"/>
  <c r="B833" i="127"/>
  <c r="J829" i="127"/>
  <c r="J828" i="127"/>
  <c r="J827" i="127"/>
  <c r="B826" i="127"/>
  <c r="J826" i="127" s="1"/>
  <c r="B823" i="127"/>
  <c r="H822" i="127"/>
  <c r="J822" i="127" s="1"/>
  <c r="H821" i="127"/>
  <c r="J821" i="127" s="1"/>
  <c r="H820" i="127"/>
  <c r="J820" i="127" s="1"/>
  <c r="H819" i="127"/>
  <c r="J819" i="127" s="1"/>
  <c r="H817" i="127"/>
  <c r="J817" i="127" s="1"/>
  <c r="H816" i="127"/>
  <c r="J816" i="127" s="1"/>
  <c r="H815" i="127"/>
  <c r="J815" i="127" s="1"/>
  <c r="H814" i="127"/>
  <c r="J814" i="127" s="1"/>
  <c r="C802" i="127"/>
  <c r="B802" i="127"/>
  <c r="H797" i="127"/>
  <c r="J797" i="127" s="1"/>
  <c r="H796" i="127"/>
  <c r="J796" i="127" s="1"/>
  <c r="H795" i="127"/>
  <c r="J795" i="127" s="1"/>
  <c r="H792" i="127"/>
  <c r="J792" i="127" s="1"/>
  <c r="B788" i="127"/>
  <c r="H787" i="127"/>
  <c r="J787" i="127" s="1"/>
  <c r="H786" i="127"/>
  <c r="J786" i="127" s="1"/>
  <c r="H785" i="127"/>
  <c r="J785" i="127" s="1"/>
  <c r="C777" i="127"/>
  <c r="H772" i="127"/>
  <c r="J772" i="127" s="1"/>
  <c r="H771" i="127"/>
  <c r="J771" i="127" s="1"/>
  <c r="H770" i="127"/>
  <c r="J770" i="127" s="1"/>
  <c r="H767" i="127"/>
  <c r="J767" i="127" s="1"/>
  <c r="B761" i="127"/>
  <c r="H760" i="127"/>
  <c r="J760" i="127" s="1"/>
  <c r="H759" i="127"/>
  <c r="J759" i="127" s="1"/>
  <c r="H758" i="127"/>
  <c r="J758" i="127" s="1"/>
  <c r="B746" i="127"/>
  <c r="H741" i="127"/>
  <c r="J741" i="127" s="1"/>
  <c r="H740" i="127"/>
  <c r="J740" i="127" s="1"/>
  <c r="J737" i="127"/>
  <c r="H732" i="127"/>
  <c r="J732" i="127" s="1"/>
  <c r="H731" i="127"/>
  <c r="J731" i="127" s="1"/>
  <c r="H730" i="127"/>
  <c r="J730" i="127" s="1"/>
  <c r="C719" i="127"/>
  <c r="B719" i="127"/>
  <c r="H716" i="127"/>
  <c r="J716" i="127" s="1"/>
  <c r="H715" i="127"/>
  <c r="J715" i="127" s="1"/>
  <c r="H714" i="127"/>
  <c r="J714" i="127" s="1"/>
  <c r="H713" i="127"/>
  <c r="J713" i="127" s="1"/>
  <c r="H711" i="127"/>
  <c r="J711" i="127" s="1"/>
  <c r="J710" i="127"/>
  <c r="O708" i="127"/>
  <c r="B707" i="127"/>
  <c r="H706" i="127"/>
  <c r="J706" i="127" s="1"/>
  <c r="H705" i="127"/>
  <c r="J705" i="127" s="1"/>
  <c r="D695" i="127"/>
  <c r="D696" i="127" s="1"/>
  <c r="D694" i="127"/>
  <c r="B690" i="127"/>
  <c r="H687" i="127"/>
  <c r="J687" i="127" s="1"/>
  <c r="B683" i="127"/>
  <c r="H682" i="127"/>
  <c r="J682" i="127" s="1"/>
  <c r="H683" i="127" s="1"/>
  <c r="H681" i="127"/>
  <c r="J681" i="127" s="1"/>
  <c r="H680" i="127"/>
  <c r="J680" i="127" s="1"/>
  <c r="D673" i="127"/>
  <c r="D674" i="127" s="1"/>
  <c r="D672" i="127"/>
  <c r="B668" i="127"/>
  <c r="H665" i="127"/>
  <c r="J665" i="127" s="1"/>
  <c r="B661" i="127"/>
  <c r="H660" i="127"/>
  <c r="J660" i="127" s="1"/>
  <c r="H661" i="127" s="1"/>
  <c r="H659" i="127"/>
  <c r="J659" i="127" s="1"/>
  <c r="H658" i="127"/>
  <c r="J658" i="127" s="1"/>
  <c r="D651" i="127"/>
  <c r="D652" i="127" s="1"/>
  <c r="D650" i="127"/>
  <c r="B646" i="127"/>
  <c r="H643" i="127"/>
  <c r="J643" i="127" s="1"/>
  <c r="B639" i="127"/>
  <c r="H638" i="127"/>
  <c r="J638" i="127" s="1"/>
  <c r="H639" i="127" s="1"/>
  <c r="H637" i="127"/>
  <c r="J637" i="127" s="1"/>
  <c r="H636" i="127"/>
  <c r="J636" i="127" s="1"/>
  <c r="C623" i="127"/>
  <c r="B623" i="127"/>
  <c r="H618" i="127"/>
  <c r="J618" i="127" s="1"/>
  <c r="J617" i="127"/>
  <c r="H616" i="127"/>
  <c r="J616" i="127" s="1"/>
  <c r="H615" i="127"/>
  <c r="J615" i="127" s="1"/>
  <c r="H614" i="127"/>
  <c r="J614" i="127" s="1"/>
  <c r="H613" i="127"/>
  <c r="J613" i="127" s="1"/>
  <c r="H610" i="127"/>
  <c r="J610" i="127" s="1"/>
  <c r="B604" i="127"/>
  <c r="H603" i="127"/>
  <c r="J603" i="127" s="1"/>
  <c r="H602" i="127"/>
  <c r="J602" i="127" s="1"/>
  <c r="H601" i="127"/>
  <c r="J601" i="127" s="1"/>
  <c r="C590" i="127"/>
  <c r="B590" i="127"/>
  <c r="H585" i="127"/>
  <c r="J585" i="127" s="1"/>
  <c r="J584" i="127"/>
  <c r="H583" i="127"/>
  <c r="J583" i="127" s="1"/>
  <c r="H582" i="127"/>
  <c r="J582" i="127" s="1"/>
  <c r="H581" i="127"/>
  <c r="J581" i="127" s="1"/>
  <c r="H580" i="127"/>
  <c r="J580" i="127" s="1"/>
  <c r="B571" i="127"/>
  <c r="H570" i="127"/>
  <c r="J570" i="127" s="1"/>
  <c r="H569" i="127"/>
  <c r="J569" i="127" s="1"/>
  <c r="H568" i="127"/>
  <c r="J568" i="127" s="1"/>
  <c r="C557" i="127"/>
  <c r="B557" i="127"/>
  <c r="H552" i="127"/>
  <c r="J552" i="127" s="1"/>
  <c r="J551" i="127"/>
  <c r="H550" i="127"/>
  <c r="J550" i="127" s="1"/>
  <c r="H549" i="127"/>
  <c r="J549" i="127" s="1"/>
  <c r="H548" i="127"/>
  <c r="J548" i="127" s="1"/>
  <c r="H547" i="127"/>
  <c r="J547" i="127" s="1"/>
  <c r="B538" i="127"/>
  <c r="H537" i="127"/>
  <c r="J537" i="127" s="1"/>
  <c r="H536" i="127"/>
  <c r="J536" i="127" s="1"/>
  <c r="H535" i="127"/>
  <c r="J535" i="127" s="1"/>
  <c r="C520" i="127"/>
  <c r="C503" i="127"/>
  <c r="H498" i="127"/>
  <c r="J498" i="127" s="1"/>
  <c r="H497" i="127"/>
  <c r="J497" i="127" s="1"/>
  <c r="B488" i="127"/>
  <c r="H486" i="127"/>
  <c r="J486" i="127" s="1"/>
  <c r="H485" i="127"/>
  <c r="J485" i="127" s="1"/>
  <c r="H484" i="127"/>
  <c r="J484" i="127" s="1"/>
  <c r="C473" i="127"/>
  <c r="B473" i="127"/>
  <c r="H468" i="127"/>
  <c r="J468" i="127" s="1"/>
  <c r="H467" i="127"/>
  <c r="J467" i="127" s="1"/>
  <c r="B458" i="127"/>
  <c r="H457" i="127"/>
  <c r="J457" i="127" s="1"/>
  <c r="H456" i="127"/>
  <c r="J456" i="127" s="1"/>
  <c r="H455" i="127"/>
  <c r="J455" i="127" s="1"/>
  <c r="D444" i="127"/>
  <c r="B444" i="127"/>
  <c r="H439" i="127"/>
  <c r="J439" i="127" s="1"/>
  <c r="H438" i="127"/>
  <c r="J438" i="127" s="1"/>
  <c r="B428" i="127"/>
  <c r="H427" i="127"/>
  <c r="J427" i="127" s="1"/>
  <c r="H426" i="127"/>
  <c r="J426" i="127" s="1"/>
  <c r="H425" i="127"/>
  <c r="J425" i="127" s="1"/>
  <c r="D414" i="127"/>
  <c r="B414" i="127"/>
  <c r="H409" i="127"/>
  <c r="J409" i="127" s="1"/>
  <c r="H408" i="127"/>
  <c r="J408" i="127" s="1"/>
  <c r="B398" i="127"/>
  <c r="H397" i="127"/>
  <c r="J397" i="127" s="1"/>
  <c r="H396" i="127"/>
  <c r="J396" i="127" s="1"/>
  <c r="H395" i="127"/>
  <c r="J395" i="127" s="1"/>
  <c r="C384" i="127"/>
  <c r="B384" i="127"/>
  <c r="H379" i="127"/>
  <c r="J379" i="127" s="1"/>
  <c r="H378" i="127"/>
  <c r="J378" i="127" s="1"/>
  <c r="H375" i="127"/>
  <c r="J375" i="127" s="1"/>
  <c r="B368" i="127"/>
  <c r="H367" i="127"/>
  <c r="J367" i="127" s="1"/>
  <c r="H366" i="127"/>
  <c r="J366" i="127" s="1"/>
  <c r="H365" i="127"/>
  <c r="J365" i="127" s="1"/>
  <c r="C354" i="127"/>
  <c r="B354" i="127"/>
  <c r="H349" i="127"/>
  <c r="J349" i="127" s="1"/>
  <c r="H348" i="127"/>
  <c r="J348" i="127" s="1"/>
  <c r="H345" i="127"/>
  <c r="J345" i="127" s="1"/>
  <c r="B338" i="127"/>
  <c r="H337" i="127"/>
  <c r="J337" i="127" s="1"/>
  <c r="H336" i="127"/>
  <c r="J336" i="127" s="1"/>
  <c r="H335" i="127"/>
  <c r="J335" i="127" s="1"/>
  <c r="C323" i="127"/>
  <c r="B323" i="127"/>
  <c r="H320" i="127"/>
  <c r="J320" i="127" s="1"/>
  <c r="J321" i="127" s="1"/>
  <c r="B313" i="127"/>
  <c r="H312" i="127"/>
  <c r="J312" i="127" s="1"/>
  <c r="H311" i="127"/>
  <c r="J311" i="127" s="1"/>
  <c r="H310" i="127"/>
  <c r="J310" i="127" s="1"/>
  <c r="C298" i="127"/>
  <c r="B298" i="127"/>
  <c r="H295" i="127"/>
  <c r="J295" i="127" s="1"/>
  <c r="H294" i="127"/>
  <c r="J294" i="127" s="1"/>
  <c r="B287" i="127"/>
  <c r="H286" i="127"/>
  <c r="J286" i="127" s="1"/>
  <c r="H285" i="127"/>
  <c r="J285" i="127" s="1"/>
  <c r="C272" i="127"/>
  <c r="B272" i="127"/>
  <c r="J269" i="127"/>
  <c r="J270" i="127" s="1"/>
  <c r="B265" i="127"/>
  <c r="H264" i="127"/>
  <c r="J264" i="127" s="1"/>
  <c r="H263" i="127"/>
  <c r="J263" i="127" s="1"/>
  <c r="H262" i="127"/>
  <c r="J262" i="127" s="1"/>
  <c r="B258" i="127"/>
  <c r="C250" i="127"/>
  <c r="B250" i="127"/>
  <c r="B243" i="127"/>
  <c r="H242" i="127"/>
  <c r="J242" i="127" s="1"/>
  <c r="H241" i="127"/>
  <c r="J241" i="127" s="1"/>
  <c r="H240" i="127"/>
  <c r="J240" i="127" s="1"/>
  <c r="C230" i="127"/>
  <c r="B230" i="127"/>
  <c r="B222" i="127"/>
  <c r="H221" i="127"/>
  <c r="J221" i="127" s="1"/>
  <c r="H220" i="127"/>
  <c r="J220" i="127" s="1"/>
  <c r="H219" i="127"/>
  <c r="J219" i="127" s="1"/>
  <c r="C207" i="127"/>
  <c r="B207" i="127"/>
  <c r="B200" i="127"/>
  <c r="H199" i="127"/>
  <c r="J199" i="127" s="1"/>
  <c r="H198" i="127"/>
  <c r="J198" i="127" s="1"/>
  <c r="H197" i="127"/>
  <c r="J197" i="127" s="1"/>
  <c r="D185" i="127"/>
  <c r="B185" i="127"/>
  <c r="B179" i="127"/>
  <c r="H178" i="127"/>
  <c r="J178" i="127" s="1"/>
  <c r="H177" i="127"/>
  <c r="J177" i="127" s="1"/>
  <c r="H176" i="127"/>
  <c r="J176" i="127" s="1"/>
  <c r="B162" i="127"/>
  <c r="H157" i="127"/>
  <c r="J157" i="127" s="1"/>
  <c r="H156" i="127"/>
  <c r="J156" i="127" s="1"/>
  <c r="H155" i="127"/>
  <c r="J155" i="127" s="1"/>
  <c r="H152" i="127"/>
  <c r="J152" i="127" s="1"/>
  <c r="B147" i="127"/>
  <c r="H146" i="127"/>
  <c r="J146" i="127" s="1"/>
  <c r="H145" i="127"/>
  <c r="J145" i="127" s="1"/>
  <c r="H144" i="127"/>
  <c r="J144" i="127" s="1"/>
  <c r="D133" i="127"/>
  <c r="B133" i="127"/>
  <c r="H128" i="127"/>
  <c r="J128" i="127" s="1"/>
  <c r="H127" i="127"/>
  <c r="J127" i="127" s="1"/>
  <c r="H124" i="127"/>
  <c r="J124" i="127" s="1"/>
  <c r="B117" i="127"/>
  <c r="H116" i="127"/>
  <c r="J116" i="127" s="1"/>
  <c r="H115" i="127"/>
  <c r="J115" i="127" s="1"/>
  <c r="H114" i="127"/>
  <c r="J114" i="127" s="1"/>
  <c r="C102" i="127"/>
  <c r="B102" i="127"/>
  <c r="H99" i="127"/>
  <c r="J99" i="127" s="1"/>
  <c r="H98" i="127"/>
  <c r="J98" i="127" s="1"/>
  <c r="B91" i="127"/>
  <c r="H90" i="127"/>
  <c r="J90" i="127" s="1"/>
  <c r="H89" i="127"/>
  <c r="J89" i="127" s="1"/>
  <c r="B77" i="127"/>
  <c r="H72" i="127"/>
  <c r="J72" i="127" s="1"/>
  <c r="H71" i="127"/>
  <c r="J71" i="127" s="1"/>
  <c r="H70" i="127"/>
  <c r="J70" i="127" s="1"/>
  <c r="H67" i="127"/>
  <c r="J67" i="127" s="1"/>
  <c r="B60" i="127"/>
  <c r="H59" i="127"/>
  <c r="J59" i="127" s="1"/>
  <c r="H58" i="127"/>
  <c r="J58" i="127" s="1"/>
  <c r="H57" i="127"/>
  <c r="J57" i="127" s="1"/>
  <c r="C43" i="127"/>
  <c r="B43" i="127"/>
  <c r="J40" i="127"/>
  <c r="H39" i="127"/>
  <c r="J39" i="127" s="1"/>
  <c r="B36" i="127"/>
  <c r="H35" i="127"/>
  <c r="J35" i="127" s="1"/>
  <c r="H34" i="127"/>
  <c r="J34" i="127" s="1"/>
  <c r="D28" i="127"/>
  <c r="D29" i="127" s="1"/>
  <c r="D27" i="127"/>
  <c r="D23" i="127"/>
  <c r="B23" i="127"/>
  <c r="H19" i="127"/>
  <c r="J19" i="127" s="1"/>
  <c r="H18" i="127"/>
  <c r="J18" i="127" s="1"/>
  <c r="B14" i="127"/>
  <c r="H13" i="127"/>
  <c r="J13" i="127" s="1"/>
  <c r="H12" i="127"/>
  <c r="J12" i="127" s="1"/>
  <c r="H11" i="127"/>
  <c r="J11" i="127" s="1"/>
  <c r="D2" i="127"/>
  <c r="C3" i="207" l="1"/>
  <c r="E2" i="205"/>
  <c r="G37" i="201"/>
  <c r="I42" i="187"/>
  <c r="B42" i="190"/>
  <c r="B25" i="171"/>
  <c r="D356" i="150" s="1"/>
  <c r="I73" i="168"/>
  <c r="E7" i="190"/>
  <c r="G7" i="190" s="1"/>
  <c r="D118" i="141"/>
  <c r="B37" i="190"/>
  <c r="B17" i="204"/>
  <c r="B28" i="204"/>
  <c r="B15" i="164"/>
  <c r="B32" i="164"/>
  <c r="B47" i="164" s="1"/>
  <c r="B52" i="164" s="1"/>
  <c r="B57" i="164" s="1"/>
  <c r="B82" i="164" s="1"/>
  <c r="C37" i="190"/>
  <c r="G899" i="94"/>
  <c r="I9" i="167"/>
  <c r="H1100" i="127"/>
  <c r="J1100" i="127" s="1"/>
  <c r="H1467" i="127"/>
  <c r="J1467" i="127" s="1"/>
  <c r="N55" i="140"/>
  <c r="C42" i="190"/>
  <c r="H544" i="127"/>
  <c r="J544" i="127" s="1"/>
  <c r="H884" i="127"/>
  <c r="J884" i="127" s="1"/>
  <c r="H1299" i="127"/>
  <c r="J1299" i="127" s="1"/>
  <c r="H1387" i="127"/>
  <c r="J1387" i="127" s="1"/>
  <c r="H494" i="127"/>
  <c r="J494" i="127" s="1"/>
  <c r="H854" i="127"/>
  <c r="J854" i="127" s="1"/>
  <c r="E118" i="141"/>
  <c r="G92" i="182"/>
  <c r="G94" i="182" s="1"/>
  <c r="H464" i="127"/>
  <c r="J464" i="127" s="1"/>
  <c r="H435" i="127"/>
  <c r="J435" i="127" s="1"/>
  <c r="H577" i="127"/>
  <c r="J577" i="127" s="1"/>
  <c r="H907" i="127"/>
  <c r="J907" i="127" s="1"/>
  <c r="H1333" i="127"/>
  <c r="J1333" i="127" s="1"/>
  <c r="G10" i="202"/>
  <c r="G11" i="202" s="1"/>
  <c r="G12" i="202" s="1"/>
  <c r="H405" i="127"/>
  <c r="J405" i="127" s="1"/>
  <c r="H1064" i="127"/>
  <c r="J1064" i="127" s="1"/>
  <c r="G42" i="201"/>
  <c r="D25" i="171"/>
  <c r="E356" i="150" s="1"/>
  <c r="E34" i="7"/>
  <c r="J34" i="7" s="1"/>
  <c r="E390" i="94" s="1"/>
  <c r="G390" i="94" s="1"/>
  <c r="E35" i="7"/>
  <c r="J35" i="7" s="1"/>
  <c r="E167" i="113" s="1"/>
  <c r="G167" i="113" s="1"/>
  <c r="G168" i="113" s="1"/>
  <c r="H998" i="127"/>
  <c r="J998" i="127" s="1"/>
  <c r="J1000" i="127" s="1"/>
  <c r="E90" i="141"/>
  <c r="G90" i="141" s="1"/>
  <c r="G93" i="141" s="1"/>
  <c r="G439" i="94"/>
  <c r="G440" i="94" s="1"/>
  <c r="E733" i="94"/>
  <c r="G733" i="94" s="1"/>
  <c r="G742" i="94" s="1"/>
  <c r="E818" i="94"/>
  <c r="G818" i="94" s="1"/>
  <c r="G825" i="94" s="1"/>
  <c r="E62" i="141"/>
  <c r="G62" i="141" s="1"/>
  <c r="G65" i="141" s="1"/>
  <c r="G13" i="141"/>
  <c r="J661" i="127"/>
  <c r="J662" i="127" s="1"/>
  <c r="I23" i="170"/>
  <c r="G143" i="94"/>
  <c r="G144" i="94" s="1"/>
  <c r="G167" i="94"/>
  <c r="G168" i="94" s="1"/>
  <c r="G868" i="94"/>
  <c r="J830" i="127"/>
  <c r="J32" i="7"/>
  <c r="E64" i="113" s="1"/>
  <c r="G64" i="113" s="1"/>
  <c r="G463" i="94"/>
  <c r="G464" i="94" s="1"/>
  <c r="H138" i="150"/>
  <c r="E241" i="113"/>
  <c r="G241" i="113" s="1"/>
  <c r="G242" i="113" s="1"/>
  <c r="G246" i="113" s="1"/>
  <c r="H1361" i="127"/>
  <c r="J1361" i="127" s="1"/>
  <c r="J1362" i="127" s="1"/>
  <c r="H1367" i="127" s="1"/>
  <c r="J1367" i="127" s="1"/>
  <c r="J1368" i="127" s="1"/>
  <c r="J1472" i="127"/>
  <c r="O3" i="185"/>
  <c r="F22" i="199"/>
  <c r="I22" i="199" s="1"/>
  <c r="I18" i="167"/>
  <c r="I65" i="186"/>
  <c r="I95" i="186"/>
  <c r="I62" i="168"/>
  <c r="E24" i="190"/>
  <c r="G24" i="190" s="1"/>
  <c r="D41" i="7"/>
  <c r="D42" i="7" s="1"/>
  <c r="G617" i="94"/>
  <c r="H152" i="150"/>
  <c r="H368" i="127"/>
  <c r="J368" i="127" s="1"/>
  <c r="J369" i="127" s="1"/>
  <c r="H538" i="127"/>
  <c r="J538" i="127" s="1"/>
  <c r="J539" i="127" s="1"/>
  <c r="J639" i="127"/>
  <c r="J640" i="127" s="1"/>
  <c r="J683" i="127"/>
  <c r="J684" i="127" s="1"/>
  <c r="H1146" i="127"/>
  <c r="N4" i="174"/>
  <c r="I114" i="174"/>
  <c r="G30" i="202"/>
  <c r="G31" i="202" s="1"/>
  <c r="G32" i="202" s="1"/>
  <c r="I12" i="199"/>
  <c r="I14" i="199" s="1"/>
  <c r="G23" i="132"/>
  <c r="B49" i="182"/>
  <c r="I87" i="167"/>
  <c r="J619" i="94"/>
  <c r="K619" i="94" s="1"/>
  <c r="G95" i="182"/>
  <c r="E86" i="94"/>
  <c r="G86" i="94" s="1"/>
  <c r="G87" i="94" s="1"/>
  <c r="E92" i="94" s="1"/>
  <c r="G92" i="94" s="1"/>
  <c r="I74" i="164"/>
  <c r="I75" i="164" s="1"/>
  <c r="B27" i="162" s="1"/>
  <c r="F80" i="174" s="1"/>
  <c r="M80" i="174" s="1"/>
  <c r="E85" i="174"/>
  <c r="H107" i="174"/>
  <c r="S103" i="174"/>
  <c r="O16" i="174"/>
  <c r="N77" i="140"/>
  <c r="R77" i="140"/>
  <c r="B40" i="86"/>
  <c r="B41" i="86" s="1"/>
  <c r="B42" i="86" s="1"/>
  <c r="B43" i="86" s="1"/>
  <c r="B44" i="86" s="1"/>
  <c r="B45" i="86" s="1"/>
  <c r="B46" i="86" s="1"/>
  <c r="B47" i="86" s="1"/>
  <c r="B48" i="86" s="1"/>
  <c r="B49" i="86" s="1"/>
  <c r="B50" i="86" s="1"/>
  <c r="B51" i="86" s="1"/>
  <c r="B52" i="86" s="1"/>
  <c r="B53" i="86" s="1"/>
  <c r="B54" i="86" s="1"/>
  <c r="B55" i="86" s="1"/>
  <c r="B56" i="86" s="1"/>
  <c r="B57" i="86" s="1"/>
  <c r="B58" i="86" s="1"/>
  <c r="B59" i="86" s="1"/>
  <c r="B60" i="86" s="1"/>
  <c r="B61" i="86" s="1"/>
  <c r="B62" i="86" s="1"/>
  <c r="B63" i="86" s="1"/>
  <c r="B64" i="86" s="1"/>
  <c r="B65" i="86" s="1"/>
  <c r="B66" i="86" s="1"/>
  <c r="B67" i="86" s="1"/>
  <c r="B68" i="86" s="1"/>
  <c r="B69" i="86" s="1"/>
  <c r="B70" i="86" s="1"/>
  <c r="B71" i="86" s="1"/>
  <c r="B72" i="86" s="1"/>
  <c r="B73" i="86" s="1"/>
  <c r="B74" i="86" s="1"/>
  <c r="B75" i="86" s="1"/>
  <c r="B76" i="86" s="1"/>
  <c r="B77" i="86" s="1"/>
  <c r="B78" i="86" s="1"/>
  <c r="B79" i="86" s="1"/>
  <c r="B80" i="86" s="1"/>
  <c r="B81" i="86" s="1"/>
  <c r="B82" i="86" s="1"/>
  <c r="B83" i="86" s="1"/>
  <c r="B84" i="86" s="1"/>
  <c r="B85" i="86" s="1"/>
  <c r="B86" i="86" s="1"/>
  <c r="B87" i="86" s="1"/>
  <c r="B88" i="86" s="1"/>
  <c r="B89" i="86" s="1"/>
  <c r="B90" i="86" s="1"/>
  <c r="B91" i="86" s="1"/>
  <c r="B92" i="86" s="1"/>
  <c r="B93" i="86" s="1"/>
  <c r="B94" i="86" s="1"/>
  <c r="B95" i="86" s="1"/>
  <c r="B96" i="86" s="1"/>
  <c r="B97" i="86" s="1"/>
  <c r="B98" i="86" s="1"/>
  <c r="B99" i="86" s="1"/>
  <c r="B100" i="86" s="1"/>
  <c r="B101" i="86" s="1"/>
  <c r="B102" i="86" s="1"/>
  <c r="B103" i="86" s="1"/>
  <c r="B104" i="86" s="1"/>
  <c r="B105" i="86" s="1"/>
  <c r="B106" i="86" s="1"/>
  <c r="B107" i="86" s="1"/>
  <c r="B108" i="86" s="1"/>
  <c r="B109" i="86" s="1"/>
  <c r="B110" i="86" s="1"/>
  <c r="B111" i="86" s="1"/>
  <c r="B112" i="86" s="1"/>
  <c r="B113" i="86" s="1"/>
  <c r="B114" i="86" s="1"/>
  <c r="B115" i="86" s="1"/>
  <c r="B116" i="86" s="1"/>
  <c r="B117" i="86" s="1"/>
  <c r="B118" i="86" s="1"/>
  <c r="B119" i="86" s="1"/>
  <c r="B120" i="86" s="1"/>
  <c r="B121" i="86" s="1"/>
  <c r="B122" i="86" s="1"/>
  <c r="B123" i="86" s="1"/>
  <c r="B124" i="86" s="1"/>
  <c r="B125" i="86" s="1"/>
  <c r="B126" i="86" s="1"/>
  <c r="B127" i="86" s="1"/>
  <c r="B128" i="86" s="1"/>
  <c r="B129" i="86" s="1"/>
  <c r="B130" i="86" s="1"/>
  <c r="B131" i="86" s="1"/>
  <c r="B132" i="86" s="1"/>
  <c r="B133" i="86" s="1"/>
  <c r="B134" i="86" s="1"/>
  <c r="B135" i="86" s="1"/>
  <c r="B136" i="86" s="1"/>
  <c r="B137" i="86" s="1"/>
  <c r="B138" i="86" s="1"/>
  <c r="B139" i="86" s="1"/>
  <c r="B140" i="86" s="1"/>
  <c r="B141" i="86" s="1"/>
  <c r="B142" i="86" s="1"/>
  <c r="B143" i="86" s="1"/>
  <c r="B144" i="86" s="1"/>
  <c r="B145" i="86" s="1"/>
  <c r="B146" i="86" s="1"/>
  <c r="B147" i="86" s="1"/>
  <c r="B148" i="86" s="1"/>
  <c r="B149" i="86" s="1"/>
  <c r="B150" i="86" s="1"/>
  <c r="B151" i="86" s="1"/>
  <c r="B152" i="86" s="1"/>
  <c r="B153" i="86" s="1"/>
  <c r="B154" i="86" s="1"/>
  <c r="B155" i="86" s="1"/>
  <c r="B156" i="86" s="1"/>
  <c r="B157" i="86" s="1"/>
  <c r="B158" i="86" s="1"/>
  <c r="B159" i="86" s="1"/>
  <c r="B160" i="86" s="1"/>
  <c r="B161" i="86" s="1"/>
  <c r="B162" i="86" s="1"/>
  <c r="B163" i="86" s="1"/>
  <c r="B164" i="86" s="1"/>
  <c r="B165" i="86" s="1"/>
  <c r="B166" i="86" s="1"/>
  <c r="B167" i="86" s="1"/>
  <c r="B168" i="86" s="1"/>
  <c r="B169" i="86" s="1"/>
  <c r="B170" i="86" s="1"/>
  <c r="B171" i="86" s="1"/>
  <c r="B172" i="86" s="1"/>
  <c r="B173" i="86" s="1"/>
  <c r="B174" i="86" s="1"/>
  <c r="B175" i="86" s="1"/>
  <c r="B176" i="86" s="1"/>
  <c r="B177" i="86" s="1"/>
  <c r="B178" i="86" s="1"/>
  <c r="B179" i="86" s="1"/>
  <c r="B180" i="86" s="1"/>
  <c r="B181" i="86" s="1"/>
  <c r="B182" i="86" s="1"/>
  <c r="B183" i="86" s="1"/>
  <c r="B184" i="86" s="1"/>
  <c r="B185" i="86" s="1"/>
  <c r="B186" i="86" s="1"/>
  <c r="B187" i="86" s="1"/>
  <c r="B188" i="86" s="1"/>
  <c r="B189" i="86" s="1"/>
  <c r="B190" i="86" s="1"/>
  <c r="B191" i="86" s="1"/>
  <c r="B192" i="86" s="1"/>
  <c r="B193" i="86" s="1"/>
  <c r="B194" i="86" s="1"/>
  <c r="B195" i="86" s="1"/>
  <c r="B196" i="86" s="1"/>
  <c r="B197" i="86" s="1"/>
  <c r="B198" i="86" s="1"/>
  <c r="B199" i="86" s="1"/>
  <c r="B200" i="86" s="1"/>
  <c r="B201" i="86" s="1"/>
  <c r="B202" i="86" s="1"/>
  <c r="B203" i="86" s="1"/>
  <c r="B204" i="86" s="1"/>
  <c r="B205" i="86" s="1"/>
  <c r="B206" i="86" s="1"/>
  <c r="B207" i="86" s="1"/>
  <c r="B208" i="86" s="1"/>
  <c r="B209" i="86" s="1"/>
  <c r="B210" i="86" s="1"/>
  <c r="B211" i="86" s="1"/>
  <c r="B212" i="86" s="1"/>
  <c r="B213" i="86" s="1"/>
  <c r="B214" i="86" s="1"/>
  <c r="B215" i="86" s="1"/>
  <c r="B216" i="86" s="1"/>
  <c r="B217" i="86" s="1"/>
  <c r="B218" i="86" s="1"/>
  <c r="B219" i="86" s="1"/>
  <c r="B220" i="86" s="1"/>
  <c r="B221" i="86" s="1"/>
  <c r="B222" i="86" s="1"/>
  <c r="B223" i="86" s="1"/>
  <c r="B224" i="86" s="1"/>
  <c r="B225" i="86" s="1"/>
  <c r="B226" i="86" s="1"/>
  <c r="B227" i="86" s="1"/>
  <c r="B228" i="86" s="1"/>
  <c r="B229" i="86" s="1"/>
  <c r="B230" i="86" s="1"/>
  <c r="B231" i="86" s="1"/>
  <c r="B232" i="86" s="1"/>
  <c r="B233" i="86" s="1"/>
  <c r="B234" i="86" s="1"/>
  <c r="B235" i="86" s="1"/>
  <c r="B236" i="86" s="1"/>
  <c r="B237" i="86" s="1"/>
  <c r="B238" i="86" s="1"/>
  <c r="B239" i="86" s="1"/>
  <c r="B240" i="86" s="1"/>
  <c r="B241" i="86" s="1"/>
  <c r="B242" i="86" s="1"/>
  <c r="B243" i="86" s="1"/>
  <c r="B244" i="86" s="1"/>
  <c r="B245" i="86" s="1"/>
  <c r="B246" i="86" s="1"/>
  <c r="B247" i="86" s="1"/>
  <c r="B248" i="86" s="1"/>
  <c r="B249" i="86" s="1"/>
  <c r="B250" i="86" s="1"/>
  <c r="B251" i="86" s="1"/>
  <c r="B252" i="86" s="1"/>
  <c r="B253" i="86" s="1"/>
  <c r="B254" i="86" s="1"/>
  <c r="B255" i="86" s="1"/>
  <c r="B256" i="86" s="1"/>
  <c r="B257" i="86" s="1"/>
  <c r="B258" i="86" s="1"/>
  <c r="B259" i="86" s="1"/>
  <c r="B260" i="86" s="1"/>
  <c r="B261" i="86" s="1"/>
  <c r="B262" i="86" s="1"/>
  <c r="B263" i="86" s="1"/>
  <c r="B264" i="86" s="1"/>
  <c r="B265" i="86" s="1"/>
  <c r="B266" i="86" s="1"/>
  <c r="B267" i="86" s="1"/>
  <c r="B268" i="86" s="1"/>
  <c r="B269" i="86" s="1"/>
  <c r="B270" i="86" s="1"/>
  <c r="B271" i="86" s="1"/>
  <c r="B272" i="86" s="1"/>
  <c r="B273" i="86" s="1"/>
  <c r="B274" i="86" s="1"/>
  <c r="B275" i="86" s="1"/>
  <c r="B276" i="86" s="1"/>
  <c r="B277" i="86" s="1"/>
  <c r="B278" i="86" s="1"/>
  <c r="B279" i="86" s="1"/>
  <c r="B280" i="86" s="1"/>
  <c r="B281" i="86" s="1"/>
  <c r="B282" i="86" s="1"/>
  <c r="B283" i="86" s="1"/>
  <c r="B284" i="86" s="1"/>
  <c r="B285" i="86" s="1"/>
  <c r="B286" i="86" s="1"/>
  <c r="B287" i="86" s="1"/>
  <c r="B288" i="86" s="1"/>
  <c r="B289" i="86" s="1"/>
  <c r="B290" i="86" s="1"/>
  <c r="B291" i="86" s="1"/>
  <c r="B292" i="86" s="1"/>
  <c r="B293" i="86" s="1"/>
  <c r="B294" i="86" s="1"/>
  <c r="B295" i="86" s="1"/>
  <c r="B296" i="86" s="1"/>
  <c r="B297" i="86" s="1"/>
  <c r="B298" i="86" s="1"/>
  <c r="B299" i="86" s="1"/>
  <c r="B300" i="86" s="1"/>
  <c r="B301" i="86" s="1"/>
  <c r="B302" i="86" s="1"/>
  <c r="B303" i="86" s="1"/>
  <c r="B304" i="86" s="1"/>
  <c r="B305" i="86" s="1"/>
  <c r="B306" i="86" s="1"/>
  <c r="B307" i="86" s="1"/>
  <c r="B308" i="86" s="1"/>
  <c r="B309" i="86" s="1"/>
  <c r="B310" i="86" s="1"/>
  <c r="B311" i="86" s="1"/>
  <c r="B312" i="86" s="1"/>
  <c r="B313" i="86" s="1"/>
  <c r="B314" i="86" s="1"/>
  <c r="B315" i="86" s="1"/>
  <c r="B316" i="86" s="1"/>
  <c r="B317" i="86" s="1"/>
  <c r="B318" i="86" s="1"/>
  <c r="B319" i="86" s="1"/>
  <c r="B320" i="86" s="1"/>
  <c r="B321" i="86" s="1"/>
  <c r="B322" i="86" s="1"/>
  <c r="B323" i="86" s="1"/>
  <c r="B324" i="86" s="1"/>
  <c r="B325" i="86" s="1"/>
  <c r="B326" i="86" s="1"/>
  <c r="B327" i="86" s="1"/>
  <c r="B328" i="86" s="1"/>
  <c r="B329" i="86" s="1"/>
  <c r="B330" i="86" s="1"/>
  <c r="B331" i="86" s="1"/>
  <c r="B332" i="86" s="1"/>
  <c r="B333" i="86" s="1"/>
  <c r="B334" i="86" s="1"/>
  <c r="B335" i="86" s="1"/>
  <c r="B336" i="86" s="1"/>
  <c r="B337" i="86" s="1"/>
  <c r="B338" i="86" s="1"/>
  <c r="B339" i="86" s="1"/>
  <c r="B340" i="86" s="1"/>
  <c r="B341" i="86" s="1"/>
  <c r="B342" i="86" s="1"/>
  <c r="B343" i="86" s="1"/>
  <c r="B344" i="86" s="1"/>
  <c r="B345" i="86" s="1"/>
  <c r="B346" i="86" s="1"/>
  <c r="B347" i="86" s="1"/>
  <c r="B348" i="86" s="1"/>
  <c r="B349" i="86" s="1"/>
  <c r="B350" i="86" s="1"/>
  <c r="B351" i="86" s="1"/>
  <c r="B352" i="86" s="1"/>
  <c r="B353" i="86" s="1"/>
  <c r="B354" i="86" s="1"/>
  <c r="B355" i="86" s="1"/>
  <c r="B356" i="86" s="1"/>
  <c r="B357" i="86" s="1"/>
  <c r="B358" i="86" s="1"/>
  <c r="B359" i="86" s="1"/>
  <c r="B360" i="86" s="1"/>
  <c r="B361" i="86" s="1"/>
  <c r="B362" i="86" s="1"/>
  <c r="B363" i="86" s="1"/>
  <c r="B364" i="86" s="1"/>
  <c r="B365" i="86" s="1"/>
  <c r="B366" i="86" s="1"/>
  <c r="B367" i="86" s="1"/>
  <c r="B368" i="86" s="1"/>
  <c r="B369" i="86" s="1"/>
  <c r="B370" i="86" s="1"/>
  <c r="B371" i="86" s="1"/>
  <c r="B372" i="86" s="1"/>
  <c r="B373" i="86" s="1"/>
  <c r="B374" i="86" s="1"/>
  <c r="B375" i="86" s="1"/>
  <c r="B376" i="86" s="1"/>
  <c r="B377" i="86" s="1"/>
  <c r="B378" i="86" s="1"/>
  <c r="B379" i="86" s="1"/>
  <c r="B380" i="86" s="1"/>
  <c r="B381" i="86" s="1"/>
  <c r="B382" i="86" s="1"/>
  <c r="B383" i="86" s="1"/>
  <c r="B384" i="86" s="1"/>
  <c r="B385" i="86" s="1"/>
  <c r="B386" i="86" s="1"/>
  <c r="B387" i="86" s="1"/>
  <c r="B388" i="86" s="1"/>
  <c r="B389" i="86" s="1"/>
  <c r="B390" i="86" s="1"/>
  <c r="B391" i="86" s="1"/>
  <c r="B392" i="86" s="1"/>
  <c r="B393" i="86" s="1"/>
  <c r="B394" i="86" s="1"/>
  <c r="B395" i="86" s="1"/>
  <c r="B396" i="86" s="1"/>
  <c r="B397" i="86" s="1"/>
  <c r="B398" i="86" s="1"/>
  <c r="B399" i="86" s="1"/>
  <c r="B400" i="86" s="1"/>
  <c r="B401" i="86" s="1"/>
  <c r="B402" i="86" s="1"/>
  <c r="B403" i="86" s="1"/>
  <c r="B404" i="86" s="1"/>
  <c r="B405" i="86" s="1"/>
  <c r="B406" i="86" s="1"/>
  <c r="B407" i="86" s="1"/>
  <c r="B408" i="86" s="1"/>
  <c r="B409" i="86" s="1"/>
  <c r="B410" i="86" s="1"/>
  <c r="B411" i="86" s="1"/>
  <c r="B412" i="86" s="1"/>
  <c r="B413" i="86" s="1"/>
  <c r="B414" i="86" s="1"/>
  <c r="B415" i="86" s="1"/>
  <c r="B416" i="86" s="1"/>
  <c r="B417" i="86" s="1"/>
  <c r="B418" i="86" s="1"/>
  <c r="B419" i="86" s="1"/>
  <c r="B420" i="86" s="1"/>
  <c r="B421" i="86" s="1"/>
  <c r="B422" i="86" s="1"/>
  <c r="B423" i="86" s="1"/>
  <c r="B424" i="86" s="1"/>
  <c r="B425" i="86" s="1"/>
  <c r="B426" i="86" s="1"/>
  <c r="B427" i="86" s="1"/>
  <c r="B428" i="86" s="1"/>
  <c r="B429" i="86" s="1"/>
  <c r="B430" i="86" s="1"/>
  <c r="B431" i="86" s="1"/>
  <c r="B432" i="86" s="1"/>
  <c r="B433" i="86" s="1"/>
  <c r="B434" i="86" s="1"/>
  <c r="B435" i="86" s="1"/>
  <c r="B436" i="86" s="1"/>
  <c r="B437" i="86" s="1"/>
  <c r="B438" i="86" s="1"/>
  <c r="B439" i="86" s="1"/>
  <c r="B440" i="86" s="1"/>
  <c r="B441" i="86" s="1"/>
  <c r="B442" i="86" s="1"/>
  <c r="B443" i="86" s="1"/>
  <c r="B444" i="86" s="1"/>
  <c r="B445" i="86" s="1"/>
  <c r="B446" i="86" s="1"/>
  <c r="B447" i="86" s="1"/>
  <c r="B448" i="86" s="1"/>
  <c r="B449" i="86" s="1"/>
  <c r="B450" i="86" s="1"/>
  <c r="B451" i="86" s="1"/>
  <c r="B452" i="86" s="1"/>
  <c r="B453" i="86" s="1"/>
  <c r="B454" i="86" s="1"/>
  <c r="B455" i="86" s="1"/>
  <c r="B456" i="86" s="1"/>
  <c r="B457" i="86" s="1"/>
  <c r="B458" i="86" s="1"/>
  <c r="B459" i="86" s="1"/>
  <c r="B460" i="86" s="1"/>
  <c r="B461" i="86" s="1"/>
  <c r="B462" i="86" s="1"/>
  <c r="B463" i="86" s="1"/>
  <c r="B464" i="86" s="1"/>
  <c r="B465" i="86" s="1"/>
  <c r="B466" i="86" s="1"/>
  <c r="B467" i="86" s="1"/>
  <c r="B468" i="86" s="1"/>
  <c r="B469" i="86" s="1"/>
  <c r="B470" i="86" s="1"/>
  <c r="B471" i="86" s="1"/>
  <c r="B472" i="86" s="1"/>
  <c r="B473" i="86" s="1"/>
  <c r="B474" i="86" s="1"/>
  <c r="B475" i="86" s="1"/>
  <c r="B476" i="86" s="1"/>
  <c r="B477" i="86" s="1"/>
  <c r="B478" i="86" s="1"/>
  <c r="B479" i="86" s="1"/>
  <c r="B480" i="86" s="1"/>
  <c r="B481" i="86" s="1"/>
  <c r="B482" i="86" s="1"/>
  <c r="B483" i="86" s="1"/>
  <c r="B484" i="86" s="1"/>
  <c r="B485" i="86" s="1"/>
  <c r="B486" i="86" s="1"/>
  <c r="B487" i="86" s="1"/>
  <c r="B488" i="86" s="1"/>
  <c r="B489" i="86" s="1"/>
  <c r="B490" i="86" s="1"/>
  <c r="B491" i="86" s="1"/>
  <c r="B492" i="86" s="1"/>
  <c r="B493" i="86" s="1"/>
  <c r="B494" i="86" s="1"/>
  <c r="B495" i="86" s="1"/>
  <c r="B496" i="86" s="1"/>
  <c r="B497" i="86" s="1"/>
  <c r="B498" i="86" s="1"/>
  <c r="B499" i="86" s="1"/>
  <c r="B500" i="86" s="1"/>
  <c r="B501" i="86" s="1"/>
  <c r="B502" i="86" s="1"/>
  <c r="B503" i="86" s="1"/>
  <c r="B504" i="86" s="1"/>
  <c r="B505" i="86" s="1"/>
  <c r="B506" i="86" s="1"/>
  <c r="B507" i="86" s="1"/>
  <c r="E28" i="7"/>
  <c r="J28" i="7" s="1"/>
  <c r="E972" i="94" s="1"/>
  <c r="G972" i="94" s="1"/>
  <c r="H488" i="127"/>
  <c r="J488" i="127" s="1"/>
  <c r="J489" i="127" s="1"/>
  <c r="J499" i="127"/>
  <c r="H1058" i="127"/>
  <c r="J1058" i="127" s="1"/>
  <c r="J1059" i="127" s="1"/>
  <c r="F4" i="162"/>
  <c r="J14" i="198"/>
  <c r="H36" i="174"/>
  <c r="N78" i="140"/>
  <c r="R78" i="140"/>
  <c r="I10" i="202"/>
  <c r="I11" i="202" s="1"/>
  <c r="I12" i="202" s="1"/>
  <c r="H733" i="127"/>
  <c r="J733" i="127" s="1"/>
  <c r="J734" i="127" s="1"/>
  <c r="F14" i="174"/>
  <c r="E12" i="200"/>
  <c r="D20" i="7"/>
  <c r="D21" i="7" s="1"/>
  <c r="D22" i="7" s="1"/>
  <c r="N117" i="174"/>
  <c r="N118" i="174" s="1"/>
  <c r="H119" i="174" s="1"/>
  <c r="J100" i="127"/>
  <c r="H398" i="127"/>
  <c r="J398" i="127" s="1"/>
  <c r="J399" i="127" s="1"/>
  <c r="I20" i="140"/>
  <c r="F24" i="167"/>
  <c r="I24" i="167" s="1"/>
  <c r="I29" i="168"/>
  <c r="E15" i="7"/>
  <c r="E887" i="94"/>
  <c r="G887" i="94" s="1"/>
  <c r="G888" i="94" s="1"/>
  <c r="E352" i="113"/>
  <c r="G352" i="113" s="1"/>
  <c r="G353" i="113" s="1"/>
  <c r="N4" i="182"/>
  <c r="L2" i="182" s="1"/>
  <c r="B110" i="182" s="1"/>
  <c r="B8" i="150"/>
  <c r="D275" i="150" s="1"/>
  <c r="A29" i="133"/>
  <c r="I7" i="164"/>
  <c r="I8" i="164" s="1"/>
  <c r="F66" i="174" s="1"/>
  <c r="M66" i="174" s="1"/>
  <c r="L66" i="174" s="1"/>
  <c r="I39" i="164"/>
  <c r="B19" i="162" s="1"/>
  <c r="F72" i="174" s="1"/>
  <c r="M72" i="174" s="1"/>
  <c r="I27" i="140"/>
  <c r="I42" i="140"/>
  <c r="C4" i="162"/>
  <c r="D2" i="179" s="1"/>
  <c r="I35" i="167"/>
  <c r="E39" i="167"/>
  <c r="I39" i="167" s="1"/>
  <c r="I43" i="167" s="1"/>
  <c r="I18" i="186"/>
  <c r="I10" i="168"/>
  <c r="E4" i="7"/>
  <c r="J4" i="7" s="1"/>
  <c r="M10" i="175"/>
  <c r="I31" i="140"/>
  <c r="I38" i="140"/>
  <c r="E119" i="202"/>
  <c r="G119" i="202" s="1"/>
  <c r="C44" i="7"/>
  <c r="C53" i="7" s="1"/>
  <c r="G204" i="94"/>
  <c r="I707" i="94"/>
  <c r="E188" i="113"/>
  <c r="G188" i="113" s="1"/>
  <c r="G189" i="113" s="1"/>
  <c r="G380" i="113"/>
  <c r="G384" i="113"/>
  <c r="C16" i="182"/>
  <c r="C112" i="182" s="1"/>
  <c r="H188" i="150"/>
  <c r="G7" i="146"/>
  <c r="G8" i="146" s="1"/>
  <c r="G9" i="146" s="1"/>
  <c r="G10" i="146" s="1"/>
  <c r="J158" i="127"/>
  <c r="J1188" i="127"/>
  <c r="N16" i="174"/>
  <c r="I16" i="140"/>
  <c r="I36" i="140"/>
  <c r="L58" i="140"/>
  <c r="P58" i="140" s="1"/>
  <c r="R61" i="140"/>
  <c r="G264" i="202"/>
  <c r="I9" i="199"/>
  <c r="I9" i="165"/>
  <c r="I9" i="186"/>
  <c r="I12" i="203"/>
  <c r="B48" i="162" s="1"/>
  <c r="H48" i="162" s="1"/>
  <c r="N48" i="162" s="1"/>
  <c r="I18" i="187"/>
  <c r="B15" i="162" s="1"/>
  <c r="F68" i="174" s="1"/>
  <c r="M68" i="174" s="1"/>
  <c r="I41" i="168"/>
  <c r="E18" i="7"/>
  <c r="E27" i="7"/>
  <c r="J27" i="7" s="1"/>
  <c r="E29" i="7"/>
  <c r="J29" i="7" s="1"/>
  <c r="E973" i="94" s="1"/>
  <c r="G973" i="94" s="1"/>
  <c r="G150" i="94"/>
  <c r="G445" i="94"/>
  <c r="E917" i="94"/>
  <c r="G917" i="94" s="1"/>
  <c r="G918" i="94" s="1"/>
  <c r="E936" i="94"/>
  <c r="G936" i="94" s="1"/>
  <c r="G937" i="94" s="1"/>
  <c r="E942" i="94" s="1"/>
  <c r="G942" i="94" s="1"/>
  <c r="G95" i="113"/>
  <c r="E373" i="113"/>
  <c r="G373" i="113" s="1"/>
  <c r="G374" i="113" s="1"/>
  <c r="G199" i="150"/>
  <c r="H199" i="150" s="1"/>
  <c r="E25" i="113"/>
  <c r="G25" i="113" s="1"/>
  <c r="H215" i="119"/>
  <c r="J215" i="119" s="1"/>
  <c r="J216" i="119" s="1"/>
  <c r="H246" i="119"/>
  <c r="J246" i="119" s="1"/>
  <c r="J247" i="119" s="1"/>
  <c r="J356" i="119"/>
  <c r="J419" i="119"/>
  <c r="J495" i="119"/>
  <c r="J53" i="119"/>
  <c r="J197" i="119"/>
  <c r="H483" i="119"/>
  <c r="J483" i="119" s="1"/>
  <c r="J484" i="119" s="1"/>
  <c r="H611" i="119"/>
  <c r="J611" i="119" s="1"/>
  <c r="J612" i="119" s="1"/>
  <c r="J658" i="119"/>
  <c r="J228" i="119"/>
  <c r="J84" i="119"/>
  <c r="H184" i="119"/>
  <c r="D46" i="140"/>
  <c r="I46" i="140" s="1"/>
  <c r="I45" i="140"/>
  <c r="D16" i="191"/>
  <c r="H4" i="197" s="1"/>
  <c r="D18" i="191"/>
  <c r="J4" i="197" s="1"/>
  <c r="D9" i="191"/>
  <c r="A4" i="197" s="1"/>
  <c r="M11" i="175"/>
  <c r="G12" i="175" s="1"/>
  <c r="F17" i="174"/>
  <c r="K17" i="174" s="1"/>
  <c r="N5" i="174"/>
  <c r="K10" i="191"/>
  <c r="D12" i="191"/>
  <c r="D4" i="197" s="1"/>
  <c r="D24" i="140"/>
  <c r="I24" i="140" s="1"/>
  <c r="D19" i="140"/>
  <c r="I19" i="140" s="1"/>
  <c r="D23" i="140"/>
  <c r="I23" i="140" s="1"/>
  <c r="D18" i="140"/>
  <c r="I18" i="140" s="1"/>
  <c r="D22" i="140"/>
  <c r="I22" i="140" s="1"/>
  <c r="D17" i="140"/>
  <c r="I17" i="140" s="1"/>
  <c r="D30" i="140"/>
  <c r="I30" i="140" s="1"/>
  <c r="D29" i="140"/>
  <c r="I29" i="140" s="1"/>
  <c r="D57" i="140"/>
  <c r="I57" i="140" s="1"/>
  <c r="D28" i="140"/>
  <c r="I28" i="140" s="1"/>
  <c r="Q53" i="140"/>
  <c r="R53" i="140"/>
  <c r="N53" i="140"/>
  <c r="L54" i="140"/>
  <c r="O53" i="140"/>
  <c r="O74" i="140"/>
  <c r="Q74" i="140"/>
  <c r="G91" i="202"/>
  <c r="E120" i="202"/>
  <c r="G120" i="202" s="1"/>
  <c r="I23" i="186"/>
  <c r="F24" i="186"/>
  <c r="H686" i="127"/>
  <c r="J686" i="127" s="1"/>
  <c r="J688" i="127" s="1"/>
  <c r="H664" i="127"/>
  <c r="J664" i="127" s="1"/>
  <c r="J666" i="127" s="1"/>
  <c r="H1418" i="127"/>
  <c r="J1418" i="127" s="1"/>
  <c r="J1420" i="127" s="1"/>
  <c r="H514" i="127"/>
  <c r="J129" i="127"/>
  <c r="H338" i="127"/>
  <c r="J338" i="127" s="1"/>
  <c r="J339" i="127" s="1"/>
  <c r="H428" i="127"/>
  <c r="J428" i="127" s="1"/>
  <c r="J429" i="127" s="1"/>
  <c r="H458" i="127"/>
  <c r="J458" i="127" s="1"/>
  <c r="J459" i="127" s="1"/>
  <c r="H847" i="127"/>
  <c r="J847" i="127" s="1"/>
  <c r="J848" i="127" s="1"/>
  <c r="H1095" i="127"/>
  <c r="J1095" i="127" s="1"/>
  <c r="J1096" i="127" s="1"/>
  <c r="L85" i="174"/>
  <c r="K85" i="174" s="1"/>
  <c r="I113" i="174"/>
  <c r="N11" i="175"/>
  <c r="L32" i="174" s="1"/>
  <c r="B38" i="174" s="1"/>
  <c r="L22" i="128"/>
  <c r="S7" i="140"/>
  <c r="I7" i="140" s="1"/>
  <c r="C64" i="140" s="1"/>
  <c r="S12" i="140"/>
  <c r="S13" i="140" s="1"/>
  <c r="I8" i="140" s="1"/>
  <c r="C65" i="140" s="1"/>
  <c r="H65" i="140" s="1"/>
  <c r="I37" i="140"/>
  <c r="I39" i="140"/>
  <c r="R66" i="140"/>
  <c r="G37" i="141"/>
  <c r="I37" i="186"/>
  <c r="I45" i="186"/>
  <c r="I22" i="170"/>
  <c r="D15" i="191"/>
  <c r="G4" i="197" s="1"/>
  <c r="R59" i="140"/>
  <c r="N59" i="140"/>
  <c r="O59" i="140"/>
  <c r="P59" i="140"/>
  <c r="F22" i="165"/>
  <c r="F17" i="165"/>
  <c r="I17" i="165" s="1"/>
  <c r="I12" i="165"/>
  <c r="I14" i="165" s="1"/>
  <c r="D17" i="191"/>
  <c r="I4" i="197" s="1"/>
  <c r="D19" i="191"/>
  <c r="K4" i="197" s="1"/>
  <c r="M28" i="197" s="1"/>
  <c r="L56" i="140"/>
  <c r="O55" i="140"/>
  <c r="P55" i="140"/>
  <c r="Q55" i="140"/>
  <c r="L62" i="140"/>
  <c r="O61" i="140"/>
  <c r="P61" i="140"/>
  <c r="Q61" i="140"/>
  <c r="L79" i="140"/>
  <c r="O77" i="140"/>
  <c r="P77" i="140"/>
  <c r="Q77" i="140"/>
  <c r="O78" i="140"/>
  <c r="P78" i="140"/>
  <c r="Q78" i="140"/>
  <c r="L26" i="203"/>
  <c r="B50" i="162"/>
  <c r="H50" i="162" s="1"/>
  <c r="N50" i="162" s="1"/>
  <c r="H243" i="127"/>
  <c r="J243" i="127" s="1"/>
  <c r="J244" i="127" s="1"/>
  <c r="J553" i="127"/>
  <c r="J707" i="127"/>
  <c r="J708" i="127" s="1"/>
  <c r="J1342" i="127"/>
  <c r="I44" i="140"/>
  <c r="G205" i="202"/>
  <c r="G59" i="141"/>
  <c r="I21" i="170"/>
  <c r="D13" i="191"/>
  <c r="E4" i="197" s="1"/>
  <c r="N58" i="140"/>
  <c r="O66" i="140"/>
  <c r="P66" i="140"/>
  <c r="Q66" i="140"/>
  <c r="F26" i="169"/>
  <c r="I26" i="169" s="1"/>
  <c r="I27" i="169" s="1"/>
  <c r="I22" i="169"/>
  <c r="I23" i="169" s="1"/>
  <c r="J355" i="119"/>
  <c r="H386" i="119"/>
  <c r="J386" i="119" s="1"/>
  <c r="J388" i="119" s="1"/>
  <c r="B74" i="164"/>
  <c r="J1396" i="127"/>
  <c r="I118" i="174"/>
  <c r="F52" i="164"/>
  <c r="I43" i="140"/>
  <c r="Q59" i="140"/>
  <c r="L65" i="140"/>
  <c r="E118" i="202"/>
  <c r="G118" i="202" s="1"/>
  <c r="G87" i="141"/>
  <c r="E26" i="113"/>
  <c r="E42" i="113" s="1"/>
  <c r="G42" i="113" s="1"/>
  <c r="G10" i="113"/>
  <c r="E11" i="113" s="1"/>
  <c r="G11" i="113" s="1"/>
  <c r="G12" i="113" s="1"/>
  <c r="A5" i="119"/>
  <c r="A33" i="119" s="1"/>
  <c r="A64" i="119" s="1"/>
  <c r="A95" i="119" s="1"/>
  <c r="A125" i="119" s="1"/>
  <c r="A155" i="119" s="1"/>
  <c r="A233" i="113"/>
  <c r="A254" i="113" s="1"/>
  <c r="A277" i="113" s="1"/>
  <c r="J859" i="127"/>
  <c r="J889" i="127"/>
  <c r="J1073" i="127"/>
  <c r="H1123" i="127"/>
  <c r="J1123" i="127" s="1"/>
  <c r="J1124" i="127" s="1"/>
  <c r="J1146" i="127"/>
  <c r="J1147" i="127" s="1"/>
  <c r="H1436" i="127"/>
  <c r="J1436" i="127" s="1"/>
  <c r="J1437" i="127" s="1"/>
  <c r="L4" i="174"/>
  <c r="G150" i="174" s="1"/>
  <c r="I23" i="174"/>
  <c r="G11" i="200"/>
  <c r="M21" i="128"/>
  <c r="C3" i="133"/>
  <c r="E20" i="133" s="1"/>
  <c r="L51" i="140"/>
  <c r="Q51" i="140" s="1"/>
  <c r="E64" i="202"/>
  <c r="G64" i="202" s="1"/>
  <c r="E198" i="202"/>
  <c r="G198" i="202" s="1"/>
  <c r="G199" i="202" s="1"/>
  <c r="I44" i="187"/>
  <c r="I15" i="170"/>
  <c r="I16" i="170" s="1"/>
  <c r="C20" i="7"/>
  <c r="E114" i="113"/>
  <c r="G114" i="113" s="1"/>
  <c r="G115" i="113" s="1"/>
  <c r="H40" i="119"/>
  <c r="H71" i="119" s="1"/>
  <c r="J71" i="119" s="1"/>
  <c r="J72" i="119" s="1"/>
  <c r="H340" i="150"/>
  <c r="H1327" i="127"/>
  <c r="J1327" i="127" s="1"/>
  <c r="J1328" i="127" s="1"/>
  <c r="C4" i="174"/>
  <c r="C176" i="174" s="1"/>
  <c r="G62" i="202"/>
  <c r="G84" i="202"/>
  <c r="G280" i="202"/>
  <c r="E282" i="202" s="1"/>
  <c r="G282" i="202" s="1"/>
  <c r="G283" i="202" s="1"/>
  <c r="G287" i="202" s="1"/>
  <c r="I17" i="169"/>
  <c r="I18" i="169" s="1"/>
  <c r="G309" i="94"/>
  <c r="H277" i="119"/>
  <c r="J277" i="119" s="1"/>
  <c r="J278" i="119" s="1"/>
  <c r="H461" i="119"/>
  <c r="J461" i="119" s="1"/>
  <c r="J462" i="119" s="1"/>
  <c r="H932" i="127"/>
  <c r="J932" i="127" s="1"/>
  <c r="J933" i="127" s="1"/>
  <c r="J1157" i="127"/>
  <c r="J350" i="127"/>
  <c r="J469" i="127"/>
  <c r="J798" i="127"/>
  <c r="J978" i="127"/>
  <c r="H1293" i="127"/>
  <c r="J1293" i="127" s="1"/>
  <c r="J1294" i="127" s="1"/>
  <c r="H1381" i="127"/>
  <c r="J1381" i="127" s="1"/>
  <c r="J1382" i="127" s="1"/>
  <c r="J1415" i="127"/>
  <c r="J1416" i="127" s="1"/>
  <c r="F15" i="174"/>
  <c r="L49" i="140"/>
  <c r="N49" i="140" s="1"/>
  <c r="H163" i="119"/>
  <c r="J163" i="119" s="1"/>
  <c r="J164" i="119" s="1"/>
  <c r="H320" i="119"/>
  <c r="J320" i="119" s="1"/>
  <c r="J321" i="119" s="1"/>
  <c r="H345" i="119"/>
  <c r="J345" i="119" s="1"/>
  <c r="J346" i="119" s="1"/>
  <c r="B95" i="182"/>
  <c r="G37" i="94"/>
  <c r="G212" i="94"/>
  <c r="G213" i="94" s="1"/>
  <c r="E59" i="113"/>
  <c r="G59" i="113" s="1"/>
  <c r="E61" i="113" s="1"/>
  <c r="G61" i="113" s="1"/>
  <c r="G62" i="113" s="1"/>
  <c r="G267" i="113"/>
  <c r="J144" i="119"/>
  <c r="H407" i="119"/>
  <c r="J407" i="119" s="1"/>
  <c r="J408" i="119" s="1"/>
  <c r="B118" i="182"/>
  <c r="C17" i="182"/>
  <c r="C113" i="182" s="1"/>
  <c r="H185" i="150"/>
  <c r="H186" i="150" s="1"/>
  <c r="H248" i="150"/>
  <c r="E279" i="150"/>
  <c r="G374" i="94"/>
  <c r="G375" i="94" s="1"/>
  <c r="G526" i="94"/>
  <c r="G922" i="94"/>
  <c r="G172" i="113"/>
  <c r="E285" i="113"/>
  <c r="G285" i="113" s="1"/>
  <c r="G286" i="113" s="1"/>
  <c r="G290" i="113" s="1"/>
  <c r="E307" i="113"/>
  <c r="G307" i="113" s="1"/>
  <c r="G308" i="113" s="1"/>
  <c r="H102" i="119"/>
  <c r="J102" i="119" s="1"/>
  <c r="J103" i="119" s="1"/>
  <c r="J114" i="119"/>
  <c r="H223" i="150"/>
  <c r="E254" i="150"/>
  <c r="G341" i="94"/>
  <c r="G357" i="113"/>
  <c r="E78" i="150"/>
  <c r="E159" i="150"/>
  <c r="H183" i="150"/>
  <c r="H653" i="119"/>
  <c r="J653" i="119" s="1"/>
  <c r="J654" i="119" s="1"/>
  <c r="H139" i="150"/>
  <c r="H140" i="150" s="1"/>
  <c r="H182" i="150"/>
  <c r="E250" i="150"/>
  <c r="I7" i="146"/>
  <c r="I8" i="146" s="1"/>
  <c r="I9" i="146" s="1"/>
  <c r="I11" i="146" s="1"/>
  <c r="I12" i="146" s="1"/>
  <c r="I13" i="146" s="1"/>
  <c r="H265" i="127"/>
  <c r="J265" i="127" s="1"/>
  <c r="J266" i="127" s="1"/>
  <c r="H313" i="127"/>
  <c r="J313" i="127" s="1"/>
  <c r="J314" i="127" s="1"/>
  <c r="H36" i="127"/>
  <c r="J36" i="127" s="1"/>
  <c r="J37" i="127" s="1"/>
  <c r="J619" i="127"/>
  <c r="J20" i="127"/>
  <c r="H604" i="127"/>
  <c r="J604" i="127" s="1"/>
  <c r="J605" i="127" s="1"/>
  <c r="J644" i="127"/>
  <c r="J73" i="127"/>
  <c r="J410" i="127"/>
  <c r="H571" i="127"/>
  <c r="J571" i="127" s="1"/>
  <c r="J572" i="127" s="1"/>
  <c r="H823" i="127"/>
  <c r="J823" i="127" s="1"/>
  <c r="J824" i="127" s="1"/>
  <c r="J831" i="127" s="1"/>
  <c r="H147" i="127"/>
  <c r="J147" i="127" s="1"/>
  <c r="J148" i="127" s="1"/>
  <c r="H14" i="127"/>
  <c r="J14" i="127" s="1"/>
  <c r="J15" i="127" s="1"/>
  <c r="H117" i="127"/>
  <c r="J117" i="127" s="1"/>
  <c r="J118" i="127" s="1"/>
  <c r="H200" i="127"/>
  <c r="J200" i="127" s="1"/>
  <c r="J201" i="127" s="1"/>
  <c r="J712" i="127"/>
  <c r="J717" i="127" s="1"/>
  <c r="J296" i="127"/>
  <c r="J440" i="127"/>
  <c r="J586" i="127"/>
  <c r="J742" i="127"/>
  <c r="J773" i="127"/>
  <c r="J380" i="127"/>
  <c r="H222" i="127"/>
  <c r="J222" i="127" s="1"/>
  <c r="J223" i="127" s="1"/>
  <c r="H179" i="127"/>
  <c r="J179" i="127" s="1"/>
  <c r="J180" i="127" s="1"/>
  <c r="H517" i="127"/>
  <c r="J517" i="127" s="1"/>
  <c r="H761" i="127"/>
  <c r="J761" i="127" s="1"/>
  <c r="J762" i="127" s="1"/>
  <c r="H788" i="127"/>
  <c r="J788" i="127" s="1"/>
  <c r="J789" i="127" s="1"/>
  <c r="J1308" i="127"/>
  <c r="H1021" i="127"/>
  <c r="J1021" i="127" s="1"/>
  <c r="J1022" i="127" s="1"/>
  <c r="H1177" i="127"/>
  <c r="J1177" i="127" s="1"/>
  <c r="J1178" i="127" s="1"/>
  <c r="H60" i="127"/>
  <c r="J60" i="127" s="1"/>
  <c r="J61" i="127" s="1"/>
  <c r="H91" i="127"/>
  <c r="J91" i="127" s="1"/>
  <c r="J92" i="127" s="1"/>
  <c r="H961" i="127"/>
  <c r="J961" i="127" s="1"/>
  <c r="J962" i="127" s="1"/>
  <c r="H1234" i="127"/>
  <c r="J1234" i="127" s="1"/>
  <c r="J1235" i="127" s="1"/>
  <c r="H1259" i="127"/>
  <c r="J1259" i="127" s="1"/>
  <c r="J1260" i="127" s="1"/>
  <c r="J1274" i="127"/>
  <c r="H1460" i="127"/>
  <c r="J1460" i="127" s="1"/>
  <c r="J1461" i="127" s="1"/>
  <c r="J996" i="127"/>
  <c r="J1106" i="127"/>
  <c r="H877" i="127"/>
  <c r="J877" i="127" s="1"/>
  <c r="J878" i="127" s="1"/>
  <c r="D18" i="139"/>
  <c r="E5" i="139"/>
  <c r="E986" i="94"/>
  <c r="D67" i="7"/>
  <c r="I79" i="168"/>
  <c r="J105" i="167"/>
  <c r="F113" i="186" s="1"/>
  <c r="I108" i="187" s="1"/>
  <c r="I33" i="169" s="1"/>
  <c r="I37" i="170" s="1"/>
  <c r="E275" i="113" s="1"/>
  <c r="H40" i="165"/>
  <c r="I49" i="204" s="1"/>
  <c r="H40" i="199"/>
  <c r="E298" i="202" s="1"/>
  <c r="G83" i="202"/>
  <c r="E82" i="202"/>
  <c r="D27" i="190"/>
  <c r="H915" i="127"/>
  <c r="J915" i="127" s="1"/>
  <c r="J917" i="127" s="1"/>
  <c r="H1208" i="127"/>
  <c r="J1208" i="127" s="1"/>
  <c r="J1209" i="127" s="1"/>
  <c r="C5" i="174"/>
  <c r="C177" i="174" s="1"/>
  <c r="M70" i="174"/>
  <c r="M78" i="174"/>
  <c r="B169" i="174"/>
  <c r="I95" i="164"/>
  <c r="D986" i="94"/>
  <c r="B67" i="7"/>
  <c r="F105" i="167"/>
  <c r="B113" i="186" s="1"/>
  <c r="F108" i="187" s="1"/>
  <c r="F33" i="169" s="1"/>
  <c r="F37" i="170" s="1"/>
  <c r="D275" i="113" s="1"/>
  <c r="F79" i="168"/>
  <c r="E258" i="202"/>
  <c r="G258" i="202" s="1"/>
  <c r="G259" i="202" s="1"/>
  <c r="B195" i="174"/>
  <c r="E95" i="164"/>
  <c r="E401" i="113"/>
  <c r="E990" i="94"/>
  <c r="E124" i="141" s="1"/>
  <c r="H45" i="199"/>
  <c r="C43" i="190"/>
  <c r="I84" i="168"/>
  <c r="J110" i="167"/>
  <c r="H45" i="165"/>
  <c r="A24" i="174"/>
  <c r="B189" i="174"/>
  <c r="I99" i="164"/>
  <c r="D990" i="94"/>
  <c r="G67" i="7"/>
  <c r="F84" i="168"/>
  <c r="F110" i="167"/>
  <c r="J113" i="186" s="1"/>
  <c r="F113" i="187" s="1"/>
  <c r="F37" i="169" s="1"/>
  <c r="F41" i="170" s="1"/>
  <c r="D401" i="113" s="1"/>
  <c r="A1" i="184"/>
  <c r="A4" i="163"/>
  <c r="E233" i="202"/>
  <c r="G233" i="202" s="1"/>
  <c r="G234" i="202" s="1"/>
  <c r="D10" i="190"/>
  <c r="E99" i="164"/>
  <c r="H464" i="119"/>
  <c r="J464" i="119" s="1"/>
  <c r="J468" i="119" s="1"/>
  <c r="E627" i="94"/>
  <c r="G627" i="94" s="1"/>
  <c r="G487" i="94"/>
  <c r="G488" i="94" s="1"/>
  <c r="E607" i="94"/>
  <c r="G607" i="94" s="1"/>
  <c r="G608" i="94" s="1"/>
  <c r="G34" i="202"/>
  <c r="G38" i="202" s="1"/>
  <c r="C5" i="7"/>
  <c r="I5" i="7"/>
  <c r="I9" i="7"/>
  <c r="G469" i="94"/>
  <c r="G494" i="94"/>
  <c r="G656" i="94"/>
  <c r="G657" i="94" s="1"/>
  <c r="G783" i="94"/>
  <c r="I21" i="7"/>
  <c r="I10" i="7"/>
  <c r="I24" i="7"/>
  <c r="I20" i="7"/>
  <c r="I18" i="7"/>
  <c r="I16" i="7"/>
  <c r="I23" i="7"/>
  <c r="I12" i="7"/>
  <c r="I22" i="7"/>
  <c r="I19" i="7"/>
  <c r="I17" i="7"/>
  <c r="I15" i="7"/>
  <c r="H643" i="119"/>
  <c r="J643" i="119" s="1"/>
  <c r="H253" i="119"/>
  <c r="J253" i="119" s="1"/>
  <c r="H223" i="119"/>
  <c r="J223" i="119" s="1"/>
  <c r="H109" i="119"/>
  <c r="J109" i="119" s="1"/>
  <c r="H79" i="119"/>
  <c r="J79" i="119" s="1"/>
  <c r="H6" i="146"/>
  <c r="J8" i="147" s="1"/>
  <c r="G48" i="150"/>
  <c r="H48" i="119"/>
  <c r="J48" i="119" s="1"/>
  <c r="E145" i="113"/>
  <c r="G145" i="113" s="1"/>
  <c r="E90" i="113"/>
  <c r="G90" i="113" s="1"/>
  <c r="E958" i="94"/>
  <c r="G958" i="94" s="1"/>
  <c r="H383" i="119"/>
  <c r="J383" i="119" s="1"/>
  <c r="E217" i="113"/>
  <c r="G217" i="113" s="1"/>
  <c r="E119" i="113"/>
  <c r="G119" i="113" s="1"/>
  <c r="E863" i="94"/>
  <c r="H414" i="119"/>
  <c r="J414" i="119" s="1"/>
  <c r="H352" i="119"/>
  <c r="J352" i="119" s="1"/>
  <c r="H192" i="119"/>
  <c r="J192" i="119" s="1"/>
  <c r="H139" i="119"/>
  <c r="J139" i="119" s="1"/>
  <c r="H18" i="119"/>
  <c r="J18" i="119" s="1"/>
  <c r="H521" i="119"/>
  <c r="J521" i="119" s="1"/>
  <c r="H490" i="119"/>
  <c r="J490" i="119" s="1"/>
  <c r="E624" i="94"/>
  <c r="G624" i="94" s="1"/>
  <c r="E42" i="7"/>
  <c r="J42" i="7" s="1"/>
  <c r="J41" i="7"/>
  <c r="E69" i="94"/>
  <c r="G69" i="94" s="1"/>
  <c r="G70" i="94" s="1"/>
  <c r="G234" i="94"/>
  <c r="G235" i="94" s="1"/>
  <c r="E773" i="94"/>
  <c r="G773" i="94" s="1"/>
  <c r="G774" i="94" s="1"/>
  <c r="E63" i="202"/>
  <c r="G63" i="202" s="1"/>
  <c r="F161" i="202"/>
  <c r="G161" i="202" s="1"/>
  <c r="G164" i="202" s="1"/>
  <c r="I8" i="7"/>
  <c r="G302" i="94"/>
  <c r="G303" i="94" s="1"/>
  <c r="G335" i="94"/>
  <c r="G336" i="94" s="1"/>
  <c r="E546" i="94"/>
  <c r="G546" i="94" s="1"/>
  <c r="G547" i="94" s="1"/>
  <c r="G58" i="202"/>
  <c r="E88" i="202"/>
  <c r="G88" i="202" s="1"/>
  <c r="I7" i="7"/>
  <c r="G219" i="94"/>
  <c r="G284" i="94"/>
  <c r="G380" i="94"/>
  <c r="G407" i="94"/>
  <c r="G408" i="94" s="1"/>
  <c r="G416" i="94"/>
  <c r="G554" i="94"/>
  <c r="E573" i="94"/>
  <c r="G573" i="94" s="1"/>
  <c r="G574" i="94" s="1"/>
  <c r="G583" i="94"/>
  <c r="G699" i="94"/>
  <c r="E11" i="94"/>
  <c r="G11" i="94" s="1"/>
  <c r="G12" i="94" s="1"/>
  <c r="G261" i="94"/>
  <c r="G262" i="94" s="1"/>
  <c r="E267" i="94" s="1"/>
  <c r="G267" i="94" s="1"/>
  <c r="E117" i="202"/>
  <c r="G117" i="202" s="1"/>
  <c r="I6" i="7"/>
  <c r="I11" i="7"/>
  <c r="G666" i="94"/>
  <c r="E140" i="113"/>
  <c r="G140" i="113" s="1"/>
  <c r="G141" i="113" s="1"/>
  <c r="H298" i="119"/>
  <c r="J298" i="119" s="1"/>
  <c r="J299" i="119" s="1"/>
  <c r="E32" i="94"/>
  <c r="G32" i="94" s="1"/>
  <c r="G33" i="94" s="1"/>
  <c r="E53" i="94"/>
  <c r="G53" i="94" s="1"/>
  <c r="G54" i="94" s="1"/>
  <c r="G278" i="94"/>
  <c r="G279" i="94" s="1"/>
  <c r="E391" i="94"/>
  <c r="G391" i="94" s="1"/>
  <c r="E516" i="94"/>
  <c r="G516" i="94" s="1"/>
  <c r="G517" i="94" s="1"/>
  <c r="E689" i="94"/>
  <c r="G689" i="94" s="1"/>
  <c r="G690" i="94" s="1"/>
  <c r="E730" i="94"/>
  <c r="G730" i="94" s="1"/>
  <c r="G731" i="94" s="1"/>
  <c r="E815" i="94"/>
  <c r="G815" i="94" s="1"/>
  <c r="G816" i="94" s="1"/>
  <c r="E334" i="113"/>
  <c r="G334" i="113" s="1"/>
  <c r="G335" i="113" s="1"/>
  <c r="H132" i="119"/>
  <c r="J132" i="119" s="1"/>
  <c r="J133" i="119" s="1"/>
  <c r="G101" i="94"/>
  <c r="E122" i="94"/>
  <c r="G122" i="94" s="1"/>
  <c r="G123" i="94" s="1"/>
  <c r="E315" i="94"/>
  <c r="G315" i="94" s="1"/>
  <c r="E354" i="94"/>
  <c r="G354" i="94" s="1"/>
  <c r="E423" i="94"/>
  <c r="G423" i="94" s="1"/>
  <c r="H442" i="119"/>
  <c r="J442" i="119" s="1"/>
  <c r="J444" i="119" s="1"/>
  <c r="H166" i="119"/>
  <c r="J166" i="119" s="1"/>
  <c r="J168" i="119" s="1"/>
  <c r="G13" i="150"/>
  <c r="H13" i="150" s="1"/>
  <c r="H591" i="119"/>
  <c r="J591" i="119" s="1"/>
  <c r="H280" i="119"/>
  <c r="J280" i="119" s="1"/>
  <c r="J282" i="119" s="1"/>
  <c r="G969" i="94"/>
  <c r="G970" i="94" s="1"/>
  <c r="E262" i="113"/>
  <c r="G262" i="113" s="1"/>
  <c r="G263" i="113" s="1"/>
  <c r="H12" i="119"/>
  <c r="J12" i="119" s="1"/>
  <c r="J13" i="119" s="1"/>
  <c r="H439" i="119"/>
  <c r="J439" i="119" s="1"/>
  <c r="J440" i="119" s="1"/>
  <c r="I12" i="147"/>
  <c r="I13" i="147"/>
  <c r="I14" i="147" s="1"/>
  <c r="I15" i="147" s="1"/>
  <c r="J40" i="7"/>
  <c r="E497" i="94"/>
  <c r="G497" i="94" s="1"/>
  <c r="E955" i="94"/>
  <c r="G955" i="94" s="1"/>
  <c r="G956" i="94" s="1"/>
  <c r="E82" i="113"/>
  <c r="G82" i="113" s="1"/>
  <c r="G83" i="113" s="1"/>
  <c r="E163" i="113"/>
  <c r="G163" i="113" s="1"/>
  <c r="G164" i="113" s="1"/>
  <c r="K12" i="147"/>
  <c r="K13" i="147"/>
  <c r="K14" i="147" s="1"/>
  <c r="K15" i="147" s="1"/>
  <c r="E152" i="94"/>
  <c r="G152" i="94" s="1"/>
  <c r="E179" i="94"/>
  <c r="G179" i="94" s="1"/>
  <c r="G181" i="94" s="1"/>
  <c r="E246" i="94"/>
  <c r="G246" i="94" s="1"/>
  <c r="G222" i="113"/>
  <c r="E320" i="113"/>
  <c r="G320" i="113" s="1"/>
  <c r="G321" i="113" s="1"/>
  <c r="J24" i="119"/>
  <c r="J258" i="119"/>
  <c r="H513" i="119"/>
  <c r="J513" i="119" s="1"/>
  <c r="J514" i="119" s="1"/>
  <c r="E303" i="150"/>
  <c r="E189" i="150"/>
  <c r="E278" i="150"/>
  <c r="E253" i="150"/>
  <c r="G298" i="150"/>
  <c r="H298" i="150" s="1"/>
  <c r="H273" i="150"/>
  <c r="E158" i="150"/>
  <c r="G77" i="150"/>
  <c r="H77" i="150" s="1"/>
  <c r="H57" i="150"/>
  <c r="E855" i="94"/>
  <c r="G855" i="94" s="1"/>
  <c r="G856" i="94" s="1"/>
  <c r="E209" i="113"/>
  <c r="G209" i="113" s="1"/>
  <c r="G210" i="113" s="1"/>
  <c r="D396" i="113"/>
  <c r="H376" i="119"/>
  <c r="J376" i="119" s="1"/>
  <c r="J377" i="119" s="1"/>
  <c r="J526" i="119"/>
  <c r="C111" i="182"/>
  <c r="H545" i="119"/>
  <c r="J545" i="119" s="1"/>
  <c r="J546" i="119" s="1"/>
  <c r="J184" i="119"/>
  <c r="J185" i="119" s="1"/>
  <c r="G134" i="150"/>
  <c r="H134" i="150" s="1"/>
  <c r="G277" i="150"/>
  <c r="H568" i="119"/>
  <c r="J568" i="119" s="1"/>
  <c r="J569" i="119" s="1"/>
  <c r="B138" i="182"/>
  <c r="B47" i="182"/>
  <c r="I30" i="182"/>
  <c r="C15" i="182"/>
  <c r="G75" i="150"/>
  <c r="H55" i="150"/>
  <c r="G178" i="150"/>
  <c r="E343" i="150"/>
  <c r="E275" i="150"/>
  <c r="E344" i="150"/>
  <c r="E19" i="150"/>
  <c r="H19" i="150" s="1"/>
  <c r="H20" i="150" s="1"/>
  <c r="G76" i="150"/>
  <c r="H76" i="150" s="1"/>
  <c r="E202" i="150"/>
  <c r="E219" i="150"/>
  <c r="E304" i="150"/>
  <c r="E333" i="150"/>
  <c r="E34" i="150"/>
  <c r="H34" i="150" s="1"/>
  <c r="H36" i="150" s="1"/>
  <c r="H37" i="150" s="1"/>
  <c r="E58" i="150"/>
  <c r="E97" i="150"/>
  <c r="E135" i="150"/>
  <c r="H157" i="150"/>
  <c r="E179" i="150"/>
  <c r="D300" i="150" l="1"/>
  <c r="C45" i="7"/>
  <c r="F25" i="167"/>
  <c r="I25" i="167" s="1"/>
  <c r="I29" i="167" s="1"/>
  <c r="D78" i="150"/>
  <c r="I46" i="187"/>
  <c r="B22" i="162" s="1"/>
  <c r="O58" i="140"/>
  <c r="E9" i="190"/>
  <c r="G9" i="190" s="1"/>
  <c r="D34" i="150"/>
  <c r="D219" i="150"/>
  <c r="D97" i="150"/>
  <c r="D135" i="150"/>
  <c r="E30" i="7"/>
  <c r="J30" i="7" s="1"/>
  <c r="H908" i="127" s="1"/>
  <c r="J908" i="127" s="1"/>
  <c r="E12" i="7"/>
  <c r="J12" i="7" s="1"/>
  <c r="E19" i="7"/>
  <c r="J19" i="7" s="1"/>
  <c r="I10" i="146"/>
  <c r="E7" i="7"/>
  <c r="J7" i="7" s="1"/>
  <c r="E349" i="94" s="1"/>
  <c r="G349" i="94" s="1"/>
  <c r="E17" i="7"/>
  <c r="J17" i="7" s="1"/>
  <c r="H646" i="119" s="1"/>
  <c r="J646" i="119" s="1"/>
  <c r="E14" i="7"/>
  <c r="E11" i="7"/>
  <c r="J11" i="7" s="1"/>
  <c r="E16" i="7"/>
  <c r="J16" i="7" s="1"/>
  <c r="H379" i="119" s="1"/>
  <c r="J379" i="119" s="1"/>
  <c r="E9" i="7"/>
  <c r="J9" i="7" s="1"/>
  <c r="E351" i="94" s="1"/>
  <c r="G351" i="94" s="1"/>
  <c r="E10" i="7"/>
  <c r="J10" i="7" s="1"/>
  <c r="E8" i="7"/>
  <c r="J8" i="7" s="1"/>
  <c r="E5" i="7"/>
  <c r="J5" i="7" s="1"/>
  <c r="E6" i="7"/>
  <c r="J6" i="7" s="1"/>
  <c r="E798" i="94"/>
  <c r="G798" i="94" s="1"/>
  <c r="E714" i="94"/>
  <c r="E238" i="94"/>
  <c r="G238" i="94" s="1"/>
  <c r="G239" i="94" s="1"/>
  <c r="E16" i="141"/>
  <c r="G16" i="141" s="1"/>
  <c r="E17" i="141" s="1"/>
  <c r="G17" i="141" s="1"/>
  <c r="G19" i="141" s="1"/>
  <c r="G20" i="141" s="1"/>
  <c r="E22" i="141" s="1"/>
  <c r="G22" i="141" s="1"/>
  <c r="E171" i="94"/>
  <c r="G171" i="94" s="1"/>
  <c r="G172" i="94" s="1"/>
  <c r="E237" i="202"/>
  <c r="E40" i="141"/>
  <c r="G40" i="141" s="1"/>
  <c r="E41" i="141" s="1"/>
  <c r="G41" i="141" s="1"/>
  <c r="D333" i="150"/>
  <c r="E31" i="7"/>
  <c r="J31" i="7" s="1"/>
  <c r="L2" i="174"/>
  <c r="B174" i="174" s="1"/>
  <c r="G217" i="150"/>
  <c r="H217" i="150" s="1"/>
  <c r="D19" i="150"/>
  <c r="D179" i="150"/>
  <c r="J40" i="119"/>
  <c r="J41" i="119" s="1"/>
  <c r="G386" i="113"/>
  <c r="E388" i="113" s="1"/>
  <c r="G388" i="113" s="1"/>
  <c r="G389" i="113" s="1"/>
  <c r="G390" i="113" s="1"/>
  <c r="G391" i="113" s="1"/>
  <c r="G392" i="113" s="1"/>
  <c r="D250" i="150"/>
  <c r="D58" i="150"/>
  <c r="D202" i="150"/>
  <c r="E20" i="7"/>
  <c r="J20" i="7" s="1"/>
  <c r="H324" i="119" s="1"/>
  <c r="J324" i="119" s="1"/>
  <c r="B14" i="182"/>
  <c r="H614" i="119"/>
  <c r="J614" i="119" s="1"/>
  <c r="J618" i="119" s="1"/>
  <c r="J619" i="119" s="1"/>
  <c r="H621" i="119" s="1"/>
  <c r="J621" i="119" s="1"/>
  <c r="H622" i="119" s="1"/>
  <c r="J622" i="119" s="1"/>
  <c r="J15" i="7"/>
  <c r="J689" i="127"/>
  <c r="H690" i="127" s="1"/>
  <c r="J690" i="127" s="1"/>
  <c r="H692" i="127" s="1"/>
  <c r="J692" i="127" s="1"/>
  <c r="E41" i="113"/>
  <c r="G41" i="113" s="1"/>
  <c r="E43" i="113" s="1"/>
  <c r="G43" i="113" s="1"/>
  <c r="G44" i="113" s="1"/>
  <c r="G92" i="202"/>
  <c r="L50" i="140"/>
  <c r="J18" i="7"/>
  <c r="H250" i="119" s="1"/>
  <c r="J250" i="119" s="1"/>
  <c r="J21" i="127"/>
  <c r="H23" i="127" s="1"/>
  <c r="G268" i="113"/>
  <c r="E270" i="113" s="1"/>
  <c r="G270" i="113" s="1"/>
  <c r="G272" i="113" s="1"/>
  <c r="G273" i="113" s="1"/>
  <c r="G274" i="113" s="1"/>
  <c r="G38" i="94"/>
  <c r="E40" i="94" s="1"/>
  <c r="G40" i="94" s="1"/>
  <c r="G42" i="94" s="1"/>
  <c r="G43" i="94" s="1"/>
  <c r="G44" i="94" s="1"/>
  <c r="N51" i="140"/>
  <c r="H58" i="150"/>
  <c r="J1421" i="127"/>
  <c r="H1422" i="127" s="1"/>
  <c r="J1422" i="127" s="1"/>
  <c r="H1424" i="127" s="1"/>
  <c r="J1424" i="127" s="1"/>
  <c r="E924" i="94"/>
  <c r="G924" i="94" s="1"/>
  <c r="G925" i="94" s="1"/>
  <c r="G926" i="94" s="1"/>
  <c r="G927" i="94" s="1"/>
  <c r="G928" i="94" s="1"/>
  <c r="I24" i="170"/>
  <c r="S62" i="140"/>
  <c r="S56" i="140"/>
  <c r="G26" i="113"/>
  <c r="R51" i="140"/>
  <c r="J357" i="119"/>
  <c r="H118" i="174"/>
  <c r="K66" i="174"/>
  <c r="A66" i="174" s="1"/>
  <c r="L67" i="174"/>
  <c r="K67" i="174" s="1"/>
  <c r="A67" i="174" s="1"/>
  <c r="H719" i="127"/>
  <c r="J719" i="127" s="1"/>
  <c r="J720" i="127" s="1"/>
  <c r="E21" i="7"/>
  <c r="J21" i="7" s="1"/>
  <c r="E347" i="94" s="1"/>
  <c r="G347" i="94" s="1"/>
  <c r="L52" i="140"/>
  <c r="P51" i="140"/>
  <c r="G11" i="146"/>
  <c r="G12" i="146" s="1"/>
  <c r="G13" i="146" s="1"/>
  <c r="Q58" i="140"/>
  <c r="C2" i="184"/>
  <c r="L12" i="203"/>
  <c r="S79" i="140"/>
  <c r="G121" i="202"/>
  <c r="E25" i="190"/>
  <c r="G25" i="190" s="1"/>
  <c r="E26" i="190"/>
  <c r="G26" i="190" s="1"/>
  <c r="O51" i="140"/>
  <c r="R58" i="140"/>
  <c r="S75" i="140"/>
  <c r="J283" i="119"/>
  <c r="H284" i="119" s="1"/>
  <c r="J284" i="119" s="1"/>
  <c r="H285" i="119" s="1"/>
  <c r="J285" i="119" s="1"/>
  <c r="J445" i="119"/>
  <c r="J469" i="119"/>
  <c r="H470" i="119" s="1"/>
  <c r="J470" i="119" s="1"/>
  <c r="H471" i="119" s="1"/>
  <c r="J471" i="119" s="1"/>
  <c r="H472" i="119" s="1"/>
  <c r="J472" i="119" s="1"/>
  <c r="J473" i="119" s="1"/>
  <c r="J474" i="119" s="1"/>
  <c r="J475" i="119" s="1"/>
  <c r="F69" i="174"/>
  <c r="M69" i="174" s="1"/>
  <c r="H1212" i="127"/>
  <c r="J1212" i="127" s="1"/>
  <c r="J1213" i="127" s="1"/>
  <c r="H1219" i="127" s="1"/>
  <c r="J1219" i="127" s="1"/>
  <c r="J1220" i="127" s="1"/>
  <c r="H291" i="127"/>
  <c r="J291" i="127" s="1"/>
  <c r="J292" i="127" s="1"/>
  <c r="H204" i="127"/>
  <c r="J204" i="127" s="1"/>
  <c r="J205" i="127" s="1"/>
  <c r="H207" i="127" s="1"/>
  <c r="J207" i="127" s="1"/>
  <c r="H95" i="127"/>
  <c r="J95" i="127" s="1"/>
  <c r="J96" i="127" s="1"/>
  <c r="H102" i="127" s="1"/>
  <c r="J102" i="127" s="1"/>
  <c r="C67" i="140"/>
  <c r="I67" i="140" s="1"/>
  <c r="L67" i="140" s="1"/>
  <c r="H64" i="140"/>
  <c r="L64" i="140" s="1"/>
  <c r="G358" i="113"/>
  <c r="E360" i="113" s="1"/>
  <c r="G360" i="113" s="1"/>
  <c r="G362" i="113" s="1"/>
  <c r="G363" i="113" s="1"/>
  <c r="G364" i="113" s="1"/>
  <c r="O49" i="140"/>
  <c r="S54" i="140"/>
  <c r="M4" i="197"/>
  <c r="M8" i="197" s="1"/>
  <c r="M9" i="197" s="1"/>
  <c r="M10" i="197" s="1"/>
  <c r="M11" i="197" s="1"/>
  <c r="K12" i="197" s="1"/>
  <c r="K16" i="197" s="1"/>
  <c r="I23" i="199"/>
  <c r="I24" i="199" s="1"/>
  <c r="F28" i="199"/>
  <c r="I28" i="199" s="1"/>
  <c r="I30" i="199" s="1"/>
  <c r="E221" i="94"/>
  <c r="G221" i="94" s="1"/>
  <c r="G222" i="94" s="1"/>
  <c r="G223" i="94" s="1"/>
  <c r="G224" i="94" s="1"/>
  <c r="G225" i="94" s="1"/>
  <c r="H550" i="119"/>
  <c r="J550" i="119" s="1"/>
  <c r="P49" i="140"/>
  <c r="R49" i="140"/>
  <c r="J667" i="127"/>
  <c r="H668" i="127" s="1"/>
  <c r="J668" i="127" s="1"/>
  <c r="H670" i="127" s="1"/>
  <c r="J670" i="127" s="1"/>
  <c r="E169" i="174"/>
  <c r="F16" i="174"/>
  <c r="I22" i="165"/>
  <c r="I24" i="186"/>
  <c r="F25" i="186"/>
  <c r="I25" i="186" s="1"/>
  <c r="O65" i="140"/>
  <c r="P65" i="140"/>
  <c r="Q65" i="140"/>
  <c r="N65" i="140"/>
  <c r="R65" i="140"/>
  <c r="I52" i="164"/>
  <c r="I54" i="164" s="1"/>
  <c r="F57" i="164"/>
  <c r="G13" i="175"/>
  <c r="G16" i="175" s="1"/>
  <c r="K8" i="191"/>
  <c r="G14" i="175"/>
  <c r="J169" i="119"/>
  <c r="H170" i="119" s="1"/>
  <c r="J170" i="119" s="1"/>
  <c r="H171" i="119" s="1"/>
  <c r="J171" i="119" s="1"/>
  <c r="H135" i="150"/>
  <c r="E353" i="94"/>
  <c r="G353" i="94" s="1"/>
  <c r="C3" i="174"/>
  <c r="K102" i="174"/>
  <c r="E27" i="190"/>
  <c r="G27" i="190" s="1"/>
  <c r="Q49" i="140"/>
  <c r="C175" i="174"/>
  <c r="E75" i="94"/>
  <c r="G75" i="94" s="1"/>
  <c r="G76" i="94" s="1"/>
  <c r="G77" i="94" s="1"/>
  <c r="G78" i="94" s="1"/>
  <c r="G265" i="150"/>
  <c r="H265" i="150" s="1"/>
  <c r="G240" i="150"/>
  <c r="H240" i="150" s="1"/>
  <c r="G313" i="150"/>
  <c r="H313" i="150" s="1"/>
  <c r="G171" i="150"/>
  <c r="H171" i="150" s="1"/>
  <c r="G127" i="150"/>
  <c r="H127" i="150" s="1"/>
  <c r="G290" i="150"/>
  <c r="H290" i="150" s="1"/>
  <c r="E337" i="113"/>
  <c r="G337" i="113" s="1"/>
  <c r="G339" i="113" s="1"/>
  <c r="G340" i="113" s="1"/>
  <c r="G341" i="113" s="1"/>
  <c r="H1129" i="127"/>
  <c r="J1129" i="127" s="1"/>
  <c r="J1130" i="127" s="1"/>
  <c r="E289" i="202"/>
  <c r="E174" i="113"/>
  <c r="G174" i="113" s="1"/>
  <c r="G175" i="113" s="1"/>
  <c r="G176" i="113" s="1"/>
  <c r="G177" i="113" s="1"/>
  <c r="G178" i="113" s="1"/>
  <c r="E59" i="94"/>
  <c r="G59" i="94" s="1"/>
  <c r="G60" i="94" s="1"/>
  <c r="G61" i="94" s="1"/>
  <c r="G62" i="94" s="1"/>
  <c r="G16" i="94"/>
  <c r="E18" i="94"/>
  <c r="H1241" i="127"/>
  <c r="J1241" i="127" s="1"/>
  <c r="J1242" i="127" s="1"/>
  <c r="H43" i="127"/>
  <c r="J43" i="127" s="1"/>
  <c r="J44" i="127" s="1"/>
  <c r="G302" i="150"/>
  <c r="H277" i="150"/>
  <c r="E310" i="113"/>
  <c r="G310" i="113" s="1"/>
  <c r="G312" i="113" s="1"/>
  <c r="G313" i="113" s="1"/>
  <c r="G314" i="113" s="1"/>
  <c r="C54" i="7"/>
  <c r="C46" i="7"/>
  <c r="H7" i="146"/>
  <c r="K6" i="146"/>
  <c r="B45" i="199"/>
  <c r="D124" i="141"/>
  <c r="B45" i="165"/>
  <c r="D397" i="113"/>
  <c r="B40" i="165"/>
  <c r="B49" i="204" s="1"/>
  <c r="D119" i="141"/>
  <c r="B40" i="199"/>
  <c r="D298" i="202" s="1"/>
  <c r="E15" i="113"/>
  <c r="H585" i="119" s="1"/>
  <c r="E27" i="113"/>
  <c r="G27" i="113" s="1"/>
  <c r="G28" i="113" s="1"/>
  <c r="E286" i="94"/>
  <c r="J645" i="127"/>
  <c r="H178" i="150"/>
  <c r="H179" i="150" s="1"/>
  <c r="G201" i="150"/>
  <c r="E103" i="94"/>
  <c r="G103" i="94" s="1"/>
  <c r="G104" i="94" s="1"/>
  <c r="E894" i="94"/>
  <c r="G894" i="94" s="1"/>
  <c r="G863" i="94"/>
  <c r="H48" i="150"/>
  <c r="G69" i="150"/>
  <c r="H69" i="150" s="1"/>
  <c r="J7" i="146"/>
  <c r="L6" i="146"/>
  <c r="L8" i="147"/>
  <c r="G682" i="119"/>
  <c r="D26" i="171"/>
  <c r="E357" i="150" s="1"/>
  <c r="G43" i="201"/>
  <c r="G82" i="202"/>
  <c r="E111" i="202"/>
  <c r="G678" i="119"/>
  <c r="E34" i="175" s="1"/>
  <c r="D36" i="191" s="1"/>
  <c r="D22" i="171"/>
  <c r="C38" i="190"/>
  <c r="J1369" i="127"/>
  <c r="J1370" i="127" s="1"/>
  <c r="J1371" i="127" s="1"/>
  <c r="J1372" i="127" s="1"/>
  <c r="H833" i="127"/>
  <c r="J833" i="127" s="1"/>
  <c r="H835" i="127" s="1"/>
  <c r="J835" i="127" s="1"/>
  <c r="H832" i="127"/>
  <c r="J832" i="127" s="1"/>
  <c r="H272" i="127"/>
  <c r="J272" i="127" s="1"/>
  <c r="J273" i="127" s="1"/>
  <c r="E323" i="113"/>
  <c r="G323" i="113" s="1"/>
  <c r="G325" i="113" s="1"/>
  <c r="G326" i="113" s="1"/>
  <c r="G327" i="113" s="1"/>
  <c r="E828" i="94"/>
  <c r="G828" i="94" s="1"/>
  <c r="E785" i="94"/>
  <c r="G785" i="94" s="1"/>
  <c r="E585" i="94"/>
  <c r="G585" i="94" s="1"/>
  <c r="E744" i="94"/>
  <c r="G744" i="94" s="1"/>
  <c r="E701" i="94"/>
  <c r="G701" i="94" s="1"/>
  <c r="E628" i="94"/>
  <c r="G628" i="94" s="1"/>
  <c r="E556" i="94"/>
  <c r="G556" i="94" s="1"/>
  <c r="E528" i="94"/>
  <c r="G528" i="94" s="1"/>
  <c r="E668" i="94"/>
  <c r="G668" i="94" s="1"/>
  <c r="E207" i="202"/>
  <c r="G207" i="202" s="1"/>
  <c r="E41" i="202"/>
  <c r="E95" i="141"/>
  <c r="G95" i="141" s="1"/>
  <c r="E69" i="141"/>
  <c r="G69" i="141" s="1"/>
  <c r="E292" i="113"/>
  <c r="G292" i="113" s="1"/>
  <c r="G294" i="113" s="1"/>
  <c r="G295" i="113" s="1"/>
  <c r="G296" i="113" s="1"/>
  <c r="E471" i="94"/>
  <c r="G471" i="94" s="1"/>
  <c r="G473" i="94" s="1"/>
  <c r="E475" i="94" s="1"/>
  <c r="G475" i="94" s="1"/>
  <c r="E447" i="94"/>
  <c r="G447" i="94" s="1"/>
  <c r="G448" i="94" s="1"/>
  <c r="E450" i="94" s="1"/>
  <c r="E208" i="202"/>
  <c r="G208" i="202" s="1"/>
  <c r="E40" i="202"/>
  <c r="E96" i="141"/>
  <c r="G96" i="141" s="1"/>
  <c r="E70" i="141"/>
  <c r="G70" i="141" s="1"/>
  <c r="F168" i="202"/>
  <c r="G168" i="202" s="1"/>
  <c r="D11" i="190"/>
  <c r="C678" i="119"/>
  <c r="B34" i="175" s="1"/>
  <c r="B36" i="191" s="1"/>
  <c r="B38" i="190"/>
  <c r="B22" i="171"/>
  <c r="E397" i="113"/>
  <c r="E119" i="141"/>
  <c r="G943" i="94"/>
  <c r="G944" i="94" s="1"/>
  <c r="G945" i="94" s="1"/>
  <c r="G124" i="94"/>
  <c r="G93" i="150"/>
  <c r="H93" i="150" s="1"/>
  <c r="H75" i="150"/>
  <c r="H78" i="150" s="1"/>
  <c r="E248" i="113"/>
  <c r="G248" i="113" s="1"/>
  <c r="G250" i="113" s="1"/>
  <c r="G251" i="113" s="1"/>
  <c r="G252" i="113" s="1"/>
  <c r="E22" i="7"/>
  <c r="J22" i="7" s="1"/>
  <c r="E346" i="94" s="1"/>
  <c r="G346" i="94" s="1"/>
  <c r="D23" i="7"/>
  <c r="G59" i="202"/>
  <c r="E496" i="94"/>
  <c r="G496" i="94" s="1"/>
  <c r="G498" i="94" s="1"/>
  <c r="E500" i="94" s="1"/>
  <c r="F165" i="202"/>
  <c r="G165" i="202" s="1"/>
  <c r="C15" i="7"/>
  <c r="C17" i="7" s="1"/>
  <c r="C19" i="7" s="1"/>
  <c r="C21" i="7" s="1"/>
  <c r="C22" i="7" s="1"/>
  <c r="C6" i="7"/>
  <c r="C7" i="7" s="1"/>
  <c r="C8" i="7" s="1"/>
  <c r="C9" i="7" s="1"/>
  <c r="C10" i="7" s="1"/>
  <c r="C11" i="7" s="1"/>
  <c r="C12" i="7" s="1"/>
  <c r="C682" i="119"/>
  <c r="B43" i="190"/>
  <c r="B26" i="171"/>
  <c r="D357" i="150" s="1"/>
  <c r="G38" i="201"/>
  <c r="Q56" i="185"/>
  <c r="E30" i="171"/>
  <c r="H37" i="203" s="1"/>
  <c r="E304" i="202"/>
  <c r="I48" i="165"/>
  <c r="C22" i="139"/>
  <c r="H21" i="150"/>
  <c r="G93" i="94"/>
  <c r="G94" i="94" s="1"/>
  <c r="G95" i="94" s="1"/>
  <c r="G268" i="94"/>
  <c r="G269" i="94" s="1"/>
  <c r="G270" i="94" s="1"/>
  <c r="J12" i="164" s="1"/>
  <c r="E154" i="94"/>
  <c r="F12" i="197" l="1"/>
  <c r="F16" i="197" s="1"/>
  <c r="F24" i="197" s="1"/>
  <c r="G70" i="150"/>
  <c r="H70" i="150" s="1"/>
  <c r="J33" i="7"/>
  <c r="H645" i="119" s="1"/>
  <c r="J645" i="119" s="1"/>
  <c r="J14" i="7"/>
  <c r="E212" i="113" s="1"/>
  <c r="G212" i="113" s="1"/>
  <c r="E33" i="7"/>
  <c r="E959" i="94"/>
  <c r="G959" i="94" s="1"/>
  <c r="H107" i="119"/>
  <c r="J107" i="119" s="1"/>
  <c r="H462" i="127"/>
  <c r="J462" i="127" s="1"/>
  <c r="H349" i="119"/>
  <c r="J349" i="119" s="1"/>
  <c r="H65" i="127"/>
  <c r="J65" i="127" s="1"/>
  <c r="E312" i="94"/>
  <c r="G312" i="94" s="1"/>
  <c r="H487" i="119"/>
  <c r="J487" i="119" s="1"/>
  <c r="E422" i="94"/>
  <c r="G422" i="94" s="1"/>
  <c r="H151" i="127"/>
  <c r="J151" i="127" s="1"/>
  <c r="E314" i="94"/>
  <c r="G314" i="94" s="1"/>
  <c r="H1264" i="127"/>
  <c r="J1264" i="127" s="1"/>
  <c r="H463" i="127"/>
  <c r="J463" i="127" s="1"/>
  <c r="H404" i="127"/>
  <c r="J404" i="127" s="1"/>
  <c r="H403" i="127"/>
  <c r="J403" i="127" s="1"/>
  <c r="H433" i="127"/>
  <c r="J433" i="127" s="1"/>
  <c r="H1181" i="127"/>
  <c r="J1181" i="127" s="1"/>
  <c r="H1385" i="127"/>
  <c r="J1385" i="127" s="1"/>
  <c r="H189" i="119"/>
  <c r="J189" i="119" s="1"/>
  <c r="H411" i="119"/>
  <c r="J411" i="119" s="1"/>
  <c r="G177" i="94"/>
  <c r="E183" i="94" s="1"/>
  <c r="G244" i="94"/>
  <c r="E248" i="94" s="1"/>
  <c r="G248" i="94" s="1"/>
  <c r="H63" i="127"/>
  <c r="J63" i="127" s="1"/>
  <c r="H1098" i="127"/>
  <c r="J1098" i="127" s="1"/>
  <c r="H43" i="119"/>
  <c r="J43" i="119" s="1"/>
  <c r="I55" i="204"/>
  <c r="I37" i="169"/>
  <c r="I41" i="170" s="1"/>
  <c r="H764" i="127"/>
  <c r="J764" i="127" s="1"/>
  <c r="H850" i="127"/>
  <c r="J850" i="127" s="1"/>
  <c r="H187" i="119"/>
  <c r="J187" i="119" s="1"/>
  <c r="H1463" i="127"/>
  <c r="J1463" i="127" s="1"/>
  <c r="G51" i="150"/>
  <c r="H51" i="150" s="1"/>
  <c r="H74" i="119"/>
  <c r="J74" i="119" s="1"/>
  <c r="H371" i="127"/>
  <c r="J371" i="127" s="1"/>
  <c r="E858" i="94"/>
  <c r="G858" i="94" s="1"/>
  <c r="H401" i="127"/>
  <c r="J401" i="127" s="1"/>
  <c r="H1151" i="127"/>
  <c r="J1151" i="127" s="1"/>
  <c r="H123" i="127"/>
  <c r="J123" i="127" s="1"/>
  <c r="H883" i="127"/>
  <c r="J883" i="127" s="1"/>
  <c r="E838" i="94"/>
  <c r="G838" i="94" s="1"/>
  <c r="E262" i="202"/>
  <c r="G262" i="202" s="1"/>
  <c r="G237" i="202"/>
  <c r="G43" i="141"/>
  <c r="G44" i="141" s="1"/>
  <c r="E46" i="141" s="1"/>
  <c r="G46" i="141" s="1"/>
  <c r="E47" i="141" s="1"/>
  <c r="G47" i="141" s="1"/>
  <c r="E385" i="94"/>
  <c r="G385" i="94" s="1"/>
  <c r="H46" i="119"/>
  <c r="J46" i="119" s="1"/>
  <c r="H372" i="127"/>
  <c r="J372" i="127" s="1"/>
  <c r="H1262" i="127"/>
  <c r="J1262" i="127" s="1"/>
  <c r="H188" i="119"/>
  <c r="J188" i="119" s="1"/>
  <c r="H488" i="119"/>
  <c r="J488" i="119" s="1"/>
  <c r="H190" i="119"/>
  <c r="J190" i="119" s="1"/>
  <c r="I12" i="197"/>
  <c r="I16" i="197" s="1"/>
  <c r="B2" i="174"/>
  <c r="H351" i="119"/>
  <c r="J351" i="119" s="1"/>
  <c r="H381" i="119"/>
  <c r="J381" i="119" s="1"/>
  <c r="E215" i="113"/>
  <c r="G215" i="113" s="1"/>
  <c r="E88" i="113"/>
  <c r="G88" i="113" s="1"/>
  <c r="H644" i="119"/>
  <c r="J644" i="119" s="1"/>
  <c r="H251" i="119"/>
  <c r="J251" i="119" s="1"/>
  <c r="E117" i="113"/>
  <c r="G117" i="113" s="1"/>
  <c r="G49" i="150"/>
  <c r="H49" i="150" s="1"/>
  <c r="H16" i="119"/>
  <c r="J16" i="119" s="1"/>
  <c r="H221" i="119"/>
  <c r="J221" i="119" s="1"/>
  <c r="E388" i="94"/>
  <c r="G388" i="94" s="1"/>
  <c r="E861" i="94"/>
  <c r="G861" i="94" s="1"/>
  <c r="E892" i="94"/>
  <c r="G892" i="94" s="1"/>
  <c r="H350" i="119"/>
  <c r="J350" i="119" s="1"/>
  <c r="H519" i="119"/>
  <c r="J519" i="119" s="1"/>
  <c r="E622" i="94"/>
  <c r="G622" i="94" s="1"/>
  <c r="E143" i="113"/>
  <c r="G143" i="113" s="1"/>
  <c r="H412" i="119"/>
  <c r="J412" i="119" s="1"/>
  <c r="H77" i="119"/>
  <c r="J77" i="119" s="1"/>
  <c r="H137" i="119"/>
  <c r="J137" i="119" s="1"/>
  <c r="E118" i="113"/>
  <c r="G118" i="113" s="1"/>
  <c r="H413" i="119"/>
  <c r="J413" i="119" s="1"/>
  <c r="I49" i="164"/>
  <c r="I87" i="164"/>
  <c r="I88" i="164" s="1"/>
  <c r="H853" i="127"/>
  <c r="J853" i="127" s="1"/>
  <c r="H66" i="127"/>
  <c r="J66" i="127" s="1"/>
  <c r="H1099" i="127"/>
  <c r="J1099" i="127" s="1"/>
  <c r="E103" i="141"/>
  <c r="G103" i="141" s="1"/>
  <c r="H608" i="127"/>
  <c r="J608" i="127" s="1"/>
  <c r="H1297" i="127"/>
  <c r="J1297" i="127" s="1"/>
  <c r="H1465" i="127"/>
  <c r="J1465" i="127" s="1"/>
  <c r="E214" i="113"/>
  <c r="G214" i="113" s="1"/>
  <c r="H220" i="119"/>
  <c r="J220" i="119" s="1"/>
  <c r="H108" i="119"/>
  <c r="J108" i="119" s="1"/>
  <c r="H493" i="127"/>
  <c r="J493" i="127" s="1"/>
  <c r="H434" i="127"/>
  <c r="J434" i="127" s="1"/>
  <c r="H1332" i="127"/>
  <c r="J1332" i="127" s="1"/>
  <c r="E215" i="202"/>
  <c r="G215" i="202" s="1"/>
  <c r="H542" i="127"/>
  <c r="J542" i="127" s="1"/>
  <c r="H1150" i="127"/>
  <c r="J1150" i="127" s="1"/>
  <c r="H1331" i="127"/>
  <c r="J1331" i="127" s="1"/>
  <c r="E860" i="94"/>
  <c r="G860" i="94" s="1"/>
  <c r="H106" i="119"/>
  <c r="J106" i="119" s="1"/>
  <c r="H382" i="119"/>
  <c r="J382" i="119" s="1"/>
  <c r="E797" i="94"/>
  <c r="G797" i="94" s="1"/>
  <c r="M6" i="146"/>
  <c r="G31" i="146" s="1"/>
  <c r="L31" i="146" s="1"/>
  <c r="F50" i="7" s="1"/>
  <c r="J50" i="7" s="1"/>
  <c r="J694" i="127"/>
  <c r="J695" i="127" s="1"/>
  <c r="J696" i="127" s="1"/>
  <c r="H541" i="127"/>
  <c r="J541" i="127" s="1"/>
  <c r="H1061" i="127"/>
  <c r="J1061" i="127" s="1"/>
  <c r="E135" i="202"/>
  <c r="G135" i="202" s="1"/>
  <c r="H1384" i="127"/>
  <c r="J1384" i="127" s="1"/>
  <c r="H44" i="119"/>
  <c r="J44" i="119" s="1"/>
  <c r="H410" i="119"/>
  <c r="J410" i="119" s="1"/>
  <c r="H851" i="127"/>
  <c r="J851" i="127" s="1"/>
  <c r="H75" i="119"/>
  <c r="J75" i="119" s="1"/>
  <c r="F177" i="202"/>
  <c r="G177" i="202" s="1"/>
  <c r="E893" i="94"/>
  <c r="G893" i="94" s="1"/>
  <c r="E960" i="94"/>
  <c r="G960" i="94" s="1"/>
  <c r="H47" i="119"/>
  <c r="J47" i="119" s="1"/>
  <c r="H78" i="119"/>
  <c r="J78" i="119" s="1"/>
  <c r="H252" i="119"/>
  <c r="J252" i="119" s="1"/>
  <c r="H491" i="127"/>
  <c r="J491" i="127" s="1"/>
  <c r="H574" i="127"/>
  <c r="J574" i="127" s="1"/>
  <c r="H1464" i="127"/>
  <c r="J1464" i="127" s="1"/>
  <c r="E213" i="113"/>
  <c r="G213" i="113" s="1"/>
  <c r="H219" i="119"/>
  <c r="J219" i="119" s="1"/>
  <c r="E795" i="94"/>
  <c r="G795" i="94" s="1"/>
  <c r="E862" i="94"/>
  <c r="G862" i="94" s="1"/>
  <c r="H17" i="119"/>
  <c r="J17" i="119" s="1"/>
  <c r="H121" i="127"/>
  <c r="J121" i="127" s="1"/>
  <c r="H1330" i="127"/>
  <c r="J1330" i="127" s="1"/>
  <c r="H486" i="119"/>
  <c r="J486" i="119" s="1"/>
  <c r="E101" i="141"/>
  <c r="G101" i="141" s="1"/>
  <c r="H342" i="127"/>
  <c r="J342" i="127" s="1"/>
  <c r="H1180" i="127"/>
  <c r="J1180" i="127" s="1"/>
  <c r="H964" i="127"/>
  <c r="J964" i="127" s="1"/>
  <c r="E86" i="113"/>
  <c r="G86" i="113" s="1"/>
  <c r="H135" i="119"/>
  <c r="J135" i="119" s="1"/>
  <c r="H222" i="119"/>
  <c r="J222" i="119" s="1"/>
  <c r="E144" i="113"/>
  <c r="G144" i="113" s="1"/>
  <c r="G50" i="150"/>
  <c r="H50" i="150" s="1"/>
  <c r="H138" i="119"/>
  <c r="J138" i="119" s="1"/>
  <c r="E95" i="202"/>
  <c r="G95" i="202" s="1"/>
  <c r="E711" i="94"/>
  <c r="G711" i="94" s="1"/>
  <c r="H432" i="127"/>
  <c r="J432" i="127" s="1"/>
  <c r="H461" i="127"/>
  <c r="J461" i="127" s="1"/>
  <c r="H1296" i="127"/>
  <c r="J1296" i="127" s="1"/>
  <c r="E859" i="94"/>
  <c r="E890" i="94" s="1"/>
  <c r="G890" i="94" s="1"/>
  <c r="G52" i="150"/>
  <c r="H52" i="150" s="1"/>
  <c r="H105" i="119"/>
  <c r="J105" i="119" s="1"/>
  <c r="E623" i="94"/>
  <c r="G623" i="94" s="1"/>
  <c r="E216" i="113"/>
  <c r="G216" i="113" s="1"/>
  <c r="E89" i="113"/>
  <c r="G89" i="113" s="1"/>
  <c r="H520" i="119"/>
  <c r="J520" i="119" s="1"/>
  <c r="H489" i="119"/>
  <c r="J489" i="119" s="1"/>
  <c r="G71" i="150"/>
  <c r="H71" i="150" s="1"/>
  <c r="E68" i="141"/>
  <c r="G68" i="141" s="1"/>
  <c r="H607" i="127"/>
  <c r="J607" i="127" s="1"/>
  <c r="H402" i="127"/>
  <c r="J402" i="127" s="1"/>
  <c r="H64" i="127"/>
  <c r="J64" i="127" s="1"/>
  <c r="H881" i="127"/>
  <c r="J881" i="127" s="1"/>
  <c r="H1149" i="127"/>
  <c r="J1149" i="127" s="1"/>
  <c r="E620" i="94"/>
  <c r="G620" i="94" s="1"/>
  <c r="H348" i="119"/>
  <c r="J348" i="119" s="1"/>
  <c r="H249" i="119"/>
  <c r="J249" i="119" s="1"/>
  <c r="H517" i="119"/>
  <c r="J517" i="119" s="1"/>
  <c r="E754" i="94"/>
  <c r="G754" i="94" s="1"/>
  <c r="S52" i="140"/>
  <c r="J103" i="127"/>
  <c r="J104" i="127" s="1"/>
  <c r="J105" i="127" s="1"/>
  <c r="J106" i="127" s="1"/>
  <c r="J107" i="127" s="1"/>
  <c r="E836" i="94"/>
  <c r="G836" i="94" s="1"/>
  <c r="E43" i="202"/>
  <c r="G43" i="202" s="1"/>
  <c r="S50" i="140"/>
  <c r="E213" i="202"/>
  <c r="G213" i="202" s="1"/>
  <c r="H609" i="127"/>
  <c r="J609" i="127" s="1"/>
  <c r="H374" i="127"/>
  <c r="J374" i="127" s="1"/>
  <c r="H576" i="127"/>
  <c r="J576" i="127" s="1"/>
  <c r="H1386" i="127"/>
  <c r="J1386" i="127" s="1"/>
  <c r="H1063" i="127"/>
  <c r="J1063" i="127" s="1"/>
  <c r="H966" i="127"/>
  <c r="J966" i="127" s="1"/>
  <c r="E138" i="202"/>
  <c r="G138" i="202" s="1"/>
  <c r="G714" i="94"/>
  <c r="H575" i="127"/>
  <c r="J575" i="127" s="1"/>
  <c r="H492" i="127"/>
  <c r="J492" i="127" s="1"/>
  <c r="H373" i="127"/>
  <c r="J373" i="127" s="1"/>
  <c r="H1062" i="127"/>
  <c r="J1062" i="127" s="1"/>
  <c r="H1263" i="127"/>
  <c r="J1263" i="127" s="1"/>
  <c r="H882" i="127"/>
  <c r="J882" i="127" s="1"/>
  <c r="H136" i="119"/>
  <c r="J136" i="119" s="1"/>
  <c r="H518" i="119"/>
  <c r="J518" i="119" s="1"/>
  <c r="H45" i="119"/>
  <c r="J45" i="119" s="1"/>
  <c r="H76" i="119"/>
  <c r="J76" i="119" s="1"/>
  <c r="H647" i="119"/>
  <c r="J647" i="119" s="1"/>
  <c r="H543" i="127"/>
  <c r="J543" i="127" s="1"/>
  <c r="H344" i="127"/>
  <c r="J344" i="127" s="1"/>
  <c r="H766" i="127"/>
  <c r="J766" i="127" s="1"/>
  <c r="H1182" i="127"/>
  <c r="J1182" i="127" s="1"/>
  <c r="H1466" i="127"/>
  <c r="J1466" i="127" s="1"/>
  <c r="H1298" i="127"/>
  <c r="J1298" i="127" s="1"/>
  <c r="E44" i="202"/>
  <c r="G44" i="202" s="1"/>
  <c r="H122" i="127"/>
  <c r="J122" i="127" s="1"/>
  <c r="H343" i="127"/>
  <c r="J343" i="127" s="1"/>
  <c r="H765" i="127"/>
  <c r="J765" i="127" s="1"/>
  <c r="H965" i="127"/>
  <c r="J965" i="127" s="1"/>
  <c r="H852" i="127"/>
  <c r="J852" i="127" s="1"/>
  <c r="E621" i="94"/>
  <c r="G621" i="94" s="1"/>
  <c r="H380" i="119"/>
  <c r="J380" i="119" s="1"/>
  <c r="E87" i="113"/>
  <c r="G87" i="113" s="1"/>
  <c r="G53" i="150"/>
  <c r="H53" i="150" s="1"/>
  <c r="E137" i="202"/>
  <c r="G137" i="202" s="1"/>
  <c r="E313" i="94"/>
  <c r="G313" i="94" s="1"/>
  <c r="E837" i="94"/>
  <c r="G837" i="94" s="1"/>
  <c r="E557" i="94"/>
  <c r="G557" i="94" s="1"/>
  <c r="G558" i="94" s="1"/>
  <c r="E560" i="94" s="1"/>
  <c r="G560" i="94" s="1"/>
  <c r="G561" i="94" s="1"/>
  <c r="G562" i="94" s="1"/>
  <c r="G563" i="94" s="1"/>
  <c r="G564" i="94" s="1"/>
  <c r="E756" i="94"/>
  <c r="G756" i="94" s="1"/>
  <c r="E418" i="94"/>
  <c r="G418" i="94" s="1"/>
  <c r="E386" i="94"/>
  <c r="G386" i="94" s="1"/>
  <c r="E586" i="94"/>
  <c r="G586" i="94" s="1"/>
  <c r="G587" i="94" s="1"/>
  <c r="E214" i="202"/>
  <c r="G214" i="202" s="1"/>
  <c r="E713" i="94"/>
  <c r="G713" i="94" s="1"/>
  <c r="F179" i="202"/>
  <c r="G179" i="202" s="1"/>
  <c r="E102" i="141"/>
  <c r="G102" i="141" s="1"/>
  <c r="F180" i="202"/>
  <c r="G180" i="202" s="1"/>
  <c r="E348" i="94"/>
  <c r="G348" i="94" s="1"/>
  <c r="G356" i="94" s="1"/>
  <c r="H317" i="127"/>
  <c r="J317" i="127" s="1"/>
  <c r="E67" i="141"/>
  <c r="G67" i="141" s="1"/>
  <c r="E709" i="94"/>
  <c r="G709" i="94" s="1"/>
  <c r="E420" i="94"/>
  <c r="G420" i="94" s="1"/>
  <c r="E752" i="94"/>
  <c r="G752" i="94" s="1"/>
  <c r="E133" i="202"/>
  <c r="G133" i="202" s="1"/>
  <c r="E212" i="202"/>
  <c r="G212" i="202" s="1"/>
  <c r="E670" i="94"/>
  <c r="G670" i="94" s="1"/>
  <c r="G671" i="94" s="1"/>
  <c r="G672" i="94" s="1"/>
  <c r="E675" i="94" s="1"/>
  <c r="G675" i="94" s="1"/>
  <c r="G676" i="94" s="1"/>
  <c r="G677" i="94" s="1"/>
  <c r="G678" i="94" s="1"/>
  <c r="G679" i="94" s="1"/>
  <c r="F178" i="202"/>
  <c r="G178" i="202" s="1"/>
  <c r="E94" i="202"/>
  <c r="G94" i="202" s="1"/>
  <c r="E793" i="94"/>
  <c r="G793" i="94" s="1"/>
  <c r="E100" i="141"/>
  <c r="G100" i="141" s="1"/>
  <c r="E529" i="94"/>
  <c r="G529" i="94" s="1"/>
  <c r="G530" i="94" s="1"/>
  <c r="E532" i="94" s="1"/>
  <c r="G532" i="94" s="1"/>
  <c r="G533" i="94" s="1"/>
  <c r="G534" i="94" s="1"/>
  <c r="G535" i="94" s="1"/>
  <c r="G536" i="94" s="1"/>
  <c r="J63" i="164" s="1"/>
  <c r="C12" i="197"/>
  <c r="C16" i="197" s="1"/>
  <c r="C24" i="197" s="1"/>
  <c r="L68" i="174"/>
  <c r="K68" i="174" s="1"/>
  <c r="A68" i="174" s="1"/>
  <c r="E12" i="197"/>
  <c r="E16" i="197" s="1"/>
  <c r="E24" i="197" s="1"/>
  <c r="L12" i="197"/>
  <c r="L16" i="197" s="1"/>
  <c r="B12" i="197"/>
  <c r="B16" i="197" s="1"/>
  <c r="H446" i="119"/>
  <c r="J446" i="119" s="1"/>
  <c r="H447" i="119" s="1"/>
  <c r="J447" i="119" s="1"/>
  <c r="H665" i="119"/>
  <c r="J665" i="119" s="1"/>
  <c r="D12" i="197"/>
  <c r="D16" i="197" s="1"/>
  <c r="D24" i="197" s="1"/>
  <c r="G12" i="197"/>
  <c r="G16" i="197" s="1"/>
  <c r="G24" i="197" s="1"/>
  <c r="J12" i="197"/>
  <c r="J16" i="197" s="1"/>
  <c r="A12" i="197"/>
  <c r="A16" i="197" s="1"/>
  <c r="H12" i="197"/>
  <c r="H16" i="197" s="1"/>
  <c r="H24" i="197" s="1"/>
  <c r="J173" i="119"/>
  <c r="J174" i="119" s="1"/>
  <c r="J175" i="119" s="1"/>
  <c r="J94" i="187" s="1"/>
  <c r="E91" i="206" s="1"/>
  <c r="F91" i="206" s="1"/>
  <c r="J288" i="119"/>
  <c r="J289" i="119" s="1"/>
  <c r="J290" i="119" s="1"/>
  <c r="F75" i="174"/>
  <c r="M75" i="174" s="1"/>
  <c r="O67" i="140"/>
  <c r="P67" i="140"/>
  <c r="Q67" i="140"/>
  <c r="R67" i="140"/>
  <c r="N67" i="140"/>
  <c r="F28" i="165"/>
  <c r="I28" i="165" s="1"/>
  <c r="I30" i="165" s="1"/>
  <c r="I23" i="165"/>
  <c r="I24" i="165" s="1"/>
  <c r="L68" i="140"/>
  <c r="P64" i="140"/>
  <c r="Q64" i="140"/>
  <c r="R64" i="140"/>
  <c r="N64" i="140"/>
  <c r="O64" i="140"/>
  <c r="J1426" i="127"/>
  <c r="J1427" i="127" s="1"/>
  <c r="J1428" i="127" s="1"/>
  <c r="H1441" i="127" s="1"/>
  <c r="J1441" i="127" s="1"/>
  <c r="J1442" i="127" s="1"/>
  <c r="J208" i="127"/>
  <c r="J209" i="127" s="1"/>
  <c r="J210" i="127" s="1"/>
  <c r="J211" i="127" s="1"/>
  <c r="J212" i="127" s="1"/>
  <c r="I57" i="164"/>
  <c r="I59" i="164" s="1"/>
  <c r="F82" i="164"/>
  <c r="I82" i="164" s="1"/>
  <c r="I84" i="164" s="1"/>
  <c r="F71" i="174"/>
  <c r="M71" i="174" s="1"/>
  <c r="G97" i="141"/>
  <c r="I31" i="186"/>
  <c r="G18" i="175"/>
  <c r="L8" i="191"/>
  <c r="J911" i="127"/>
  <c r="J910" i="127"/>
  <c r="J918" i="127" s="1"/>
  <c r="H924" i="127" s="1"/>
  <c r="J924" i="127" s="1"/>
  <c r="J925" i="127" s="1"/>
  <c r="J934" i="127" s="1"/>
  <c r="J45" i="127"/>
  <c r="J46" i="127" s="1"/>
  <c r="J47" i="127" s="1"/>
  <c r="J49" i="127" s="1"/>
  <c r="J50" i="127" s="1"/>
  <c r="J1131" i="127"/>
  <c r="J1132" i="127" s="1"/>
  <c r="J1133" i="127" s="1"/>
  <c r="J1134" i="127" s="1"/>
  <c r="J837" i="127"/>
  <c r="J838" i="127" s="1"/>
  <c r="J839" i="127" s="1"/>
  <c r="J1222" i="127"/>
  <c r="J1223" i="127" s="1"/>
  <c r="J1224" i="127" s="1"/>
  <c r="J1221" i="127"/>
  <c r="E129" i="94"/>
  <c r="E48" i="113"/>
  <c r="G48" i="113" s="1"/>
  <c r="G49" i="113" s="1"/>
  <c r="G50" i="113" s="1"/>
  <c r="G51" i="113" s="1"/>
  <c r="G52" i="113" s="1"/>
  <c r="G53" i="113" s="1"/>
  <c r="J62" i="168"/>
  <c r="G263" i="150"/>
  <c r="H263" i="150" s="1"/>
  <c r="G238" i="150"/>
  <c r="H238" i="150" s="1"/>
  <c r="G288" i="150"/>
  <c r="H288" i="150" s="1"/>
  <c r="D24" i="7"/>
  <c r="E23" i="7"/>
  <c r="J23" i="7" s="1"/>
  <c r="E67" i="202"/>
  <c r="E124" i="202"/>
  <c r="G124" i="202" s="1"/>
  <c r="G40" i="202"/>
  <c r="G13" i="162"/>
  <c r="H13" i="162" s="1"/>
  <c r="L12" i="164"/>
  <c r="D360" i="150"/>
  <c r="H34" i="175"/>
  <c r="H36" i="191" s="1"/>
  <c r="E112" i="202"/>
  <c r="G111" i="202"/>
  <c r="H201" i="150"/>
  <c r="G218" i="150"/>
  <c r="H8" i="146"/>
  <c r="K7" i="146"/>
  <c r="C55" i="7"/>
  <c r="C47" i="7"/>
  <c r="G18" i="94"/>
  <c r="E19" i="94" s="1"/>
  <c r="G19" i="94" s="1"/>
  <c r="G20" i="94" s="1"/>
  <c r="G22" i="94" s="1"/>
  <c r="H97" i="150"/>
  <c r="H100" i="150" s="1"/>
  <c r="H101" i="150" s="1"/>
  <c r="H102" i="150" s="1"/>
  <c r="G209" i="202"/>
  <c r="J672" i="127"/>
  <c r="J673" i="127" s="1"/>
  <c r="J674" i="127" s="1"/>
  <c r="H736" i="127" s="1"/>
  <c r="J736" i="127" s="1"/>
  <c r="J738" i="127" s="1"/>
  <c r="C24" i="7"/>
  <c r="C26" i="7" s="1"/>
  <c r="C28" i="7" s="1"/>
  <c r="C23" i="7"/>
  <c r="C25" i="7" s="1"/>
  <c r="C27" i="7" s="1"/>
  <c r="C29" i="7" s="1"/>
  <c r="D12" i="190"/>
  <c r="E11" i="190"/>
  <c r="G11" i="190" s="1"/>
  <c r="J48" i="150"/>
  <c r="J721" i="127"/>
  <c r="J722" i="127" s="1"/>
  <c r="J723" i="127" s="1"/>
  <c r="J724" i="127" s="1"/>
  <c r="G154" i="94"/>
  <c r="E155" i="94" s="1"/>
  <c r="G155" i="94" s="1"/>
  <c r="D353" i="150"/>
  <c r="B32" i="203"/>
  <c r="G450" i="94"/>
  <c r="E451" i="94" s="1"/>
  <c r="G451" i="94" s="1"/>
  <c r="G452" i="94" s="1"/>
  <c r="G453" i="94" s="1"/>
  <c r="G454" i="94" s="1"/>
  <c r="G455" i="94" s="1"/>
  <c r="J59" i="164" s="1"/>
  <c r="G41" i="202"/>
  <c r="E42" i="202"/>
  <c r="G42" i="202" s="1"/>
  <c r="E66" i="202"/>
  <c r="L7" i="146"/>
  <c r="J8" i="146"/>
  <c r="B47" i="165"/>
  <c r="B55" i="204" s="1"/>
  <c r="D304" i="202"/>
  <c r="B30" i="171"/>
  <c r="H32" i="203" s="1"/>
  <c r="J9" i="147"/>
  <c r="M8" i="147"/>
  <c r="G289" i="202"/>
  <c r="E290" i="202" s="1"/>
  <c r="G290" i="202" s="1"/>
  <c r="J623" i="119"/>
  <c r="J624" i="119" s="1"/>
  <c r="J625" i="119" s="1"/>
  <c r="E23" i="141"/>
  <c r="G23" i="141" s="1"/>
  <c r="G24" i="141" s="1"/>
  <c r="G25" i="141" s="1"/>
  <c r="K35" i="140" s="1"/>
  <c r="G476" i="94"/>
  <c r="G477" i="94" s="1"/>
  <c r="G478" i="94" s="1"/>
  <c r="G479" i="94" s="1"/>
  <c r="J75" i="164" s="1"/>
  <c r="J274" i="127"/>
  <c r="J275" i="127" s="1"/>
  <c r="J276" i="127" s="1"/>
  <c r="J277" i="127" s="1"/>
  <c r="E353" i="150"/>
  <c r="C32" i="203"/>
  <c r="F360" i="150"/>
  <c r="K34" i="175"/>
  <c r="K36" i="191" s="1"/>
  <c r="H646" i="127"/>
  <c r="J646" i="127" s="1"/>
  <c r="H648" i="127" s="1"/>
  <c r="J648" i="127" s="1"/>
  <c r="G286" i="94"/>
  <c r="E287" i="94" s="1"/>
  <c r="G287" i="94" s="1"/>
  <c r="G15" i="113"/>
  <c r="E32" i="113"/>
  <c r="G32" i="113" s="1"/>
  <c r="G33" i="113" s="1"/>
  <c r="G34" i="113" s="1"/>
  <c r="G35" i="113" s="1"/>
  <c r="G36" i="113" s="1"/>
  <c r="G500" i="94"/>
  <c r="E85" i="202"/>
  <c r="G85" i="202" s="1"/>
  <c r="G86" i="202" s="1"/>
  <c r="L9" i="147"/>
  <c r="N8" i="147"/>
  <c r="E109" i="94"/>
  <c r="G109" i="94" s="1"/>
  <c r="G110" i="94" s="1"/>
  <c r="G111" i="94" s="1"/>
  <c r="G112" i="94" s="1"/>
  <c r="G113" i="94" s="1"/>
  <c r="G114" i="94" s="1"/>
  <c r="G183" i="94"/>
  <c r="E184" i="94" s="1"/>
  <c r="G184" i="94" s="1"/>
  <c r="G342" i="150"/>
  <c r="H342" i="150" s="1"/>
  <c r="H302" i="150"/>
  <c r="J23" i="127"/>
  <c r="J1243" i="127"/>
  <c r="J1244" i="127" s="1"/>
  <c r="J1245" i="127" s="1"/>
  <c r="J1247" i="127" s="1"/>
  <c r="J1248" i="127" s="1"/>
  <c r="H15" i="119" l="1"/>
  <c r="J15" i="119" s="1"/>
  <c r="H341" i="127"/>
  <c r="J341" i="127" s="1"/>
  <c r="H191" i="119"/>
  <c r="J191" i="119" s="1"/>
  <c r="E65" i="113"/>
  <c r="G65" i="113" s="1"/>
  <c r="G66" i="113" s="1"/>
  <c r="E68" i="113" s="1"/>
  <c r="G68" i="113" s="1"/>
  <c r="G69" i="113" s="1"/>
  <c r="G70" i="113" s="1"/>
  <c r="G71" i="113" s="1"/>
  <c r="G72" i="113" s="1"/>
  <c r="G73" i="113" s="1"/>
  <c r="J21" i="204" s="1"/>
  <c r="K21" i="204" s="1"/>
  <c r="H516" i="119"/>
  <c r="J516" i="119" s="1"/>
  <c r="H880" i="127"/>
  <c r="J880" i="127" s="1"/>
  <c r="J885" i="127" s="1"/>
  <c r="J891" i="127" s="1"/>
  <c r="H893" i="127" s="1"/>
  <c r="J893" i="127" s="1"/>
  <c r="J894" i="127" s="1"/>
  <c r="H120" i="127"/>
  <c r="J120" i="127" s="1"/>
  <c r="J125" i="127" s="1"/>
  <c r="J131" i="127" s="1"/>
  <c r="H133" i="127" s="1"/>
  <c r="J133" i="127" s="1"/>
  <c r="J134" i="127" s="1"/>
  <c r="E85" i="113"/>
  <c r="G85" i="113" s="1"/>
  <c r="G91" i="113" s="1"/>
  <c r="G97" i="113" s="1"/>
  <c r="E99" i="113" s="1"/>
  <c r="H431" i="127"/>
  <c r="J431" i="127" s="1"/>
  <c r="H218" i="119"/>
  <c r="J218" i="119" s="1"/>
  <c r="H150" i="127"/>
  <c r="J150" i="127" s="1"/>
  <c r="J153" i="127" s="1"/>
  <c r="H162" i="127" s="1"/>
  <c r="J162" i="127" s="1"/>
  <c r="J163" i="127" s="1"/>
  <c r="L94" i="187"/>
  <c r="G38" i="162"/>
  <c r="H38" i="162" s="1"/>
  <c r="N38" i="162" s="1"/>
  <c r="N13" i="162"/>
  <c r="G961" i="94"/>
  <c r="G962" i="94" s="1"/>
  <c r="E974" i="94" s="1"/>
  <c r="G974" i="94" s="1"/>
  <c r="G975" i="94" s="1"/>
  <c r="E977" i="94" s="1"/>
  <c r="G977" i="94" s="1"/>
  <c r="G978" i="94" s="1"/>
  <c r="G979" i="94" s="1"/>
  <c r="G980" i="94" s="1"/>
  <c r="G981" i="94" s="1"/>
  <c r="J648" i="119"/>
  <c r="J659" i="119" s="1"/>
  <c r="J660" i="119" s="1"/>
  <c r="H662" i="119" s="1"/>
  <c r="J662" i="119" s="1"/>
  <c r="H663" i="119" s="1"/>
  <c r="J663" i="119" s="1"/>
  <c r="J664" i="119" s="1"/>
  <c r="J666" i="119" s="1"/>
  <c r="J465" i="127"/>
  <c r="J1101" i="127"/>
  <c r="H1108" i="127" s="1"/>
  <c r="J1108" i="127" s="1"/>
  <c r="J1109" i="127" s="1"/>
  <c r="J1110" i="127" s="1"/>
  <c r="J1111" i="127" s="1"/>
  <c r="J1112" i="127" s="1"/>
  <c r="J1113" i="127" s="1"/>
  <c r="J406" i="127"/>
  <c r="J140" i="119"/>
  <c r="H146" i="119" s="1"/>
  <c r="J146" i="119" s="1"/>
  <c r="H148" i="119" s="1"/>
  <c r="J148" i="119" s="1"/>
  <c r="H149" i="119" s="1"/>
  <c r="J149" i="119" s="1"/>
  <c r="J522" i="119"/>
  <c r="J528" i="119" s="1"/>
  <c r="H530" i="119" s="1"/>
  <c r="J530" i="119" s="1"/>
  <c r="H531" i="119" s="1"/>
  <c r="J531" i="119" s="1"/>
  <c r="J1388" i="127"/>
  <c r="H1398" i="127" s="1"/>
  <c r="J1398" i="127" s="1"/>
  <c r="H1400" i="127" s="1"/>
  <c r="J1400" i="127" s="1"/>
  <c r="J436" i="127"/>
  <c r="J442" i="127" s="1"/>
  <c r="H444" i="127" s="1"/>
  <c r="J444" i="127" s="1"/>
  <c r="J445" i="127" s="1"/>
  <c r="J495" i="127"/>
  <c r="H501" i="127" s="1"/>
  <c r="J501" i="127" s="1"/>
  <c r="H503" i="127" s="1"/>
  <c r="J503" i="127" s="1"/>
  <c r="G48" i="141"/>
  <c r="G49" i="141" s="1"/>
  <c r="K27" i="140" s="1"/>
  <c r="G72" i="150"/>
  <c r="H72" i="150" s="1"/>
  <c r="H82" i="150" s="1"/>
  <c r="H83" i="150" s="1"/>
  <c r="H84" i="150" s="1"/>
  <c r="G392" i="94"/>
  <c r="E394" i="94" s="1"/>
  <c r="G394" i="94" s="1"/>
  <c r="G395" i="94" s="1"/>
  <c r="G396" i="94" s="1"/>
  <c r="G397" i="94" s="1"/>
  <c r="G398" i="94" s="1"/>
  <c r="J44" i="164" s="1"/>
  <c r="J1266" i="127"/>
  <c r="H1276" i="127" s="1"/>
  <c r="J1276" i="127" s="1"/>
  <c r="H1278" i="127" s="1"/>
  <c r="J1278" i="127" s="1"/>
  <c r="E238" i="202"/>
  <c r="G238" i="202" s="1"/>
  <c r="G240" i="202" s="1"/>
  <c r="G241" i="202" s="1"/>
  <c r="E243" i="202" s="1"/>
  <c r="G243" i="202" s="1"/>
  <c r="E244" i="202" s="1"/>
  <c r="G244" i="202" s="1"/>
  <c r="J99" i="186"/>
  <c r="L99" i="186" s="1"/>
  <c r="E263" i="202"/>
  <c r="G263" i="202" s="1"/>
  <c r="G265" i="202" s="1"/>
  <c r="G266" i="202" s="1"/>
  <c r="E268" i="202" s="1"/>
  <c r="J193" i="119"/>
  <c r="H199" i="119" s="1"/>
  <c r="J199" i="119" s="1"/>
  <c r="J201" i="119" s="1"/>
  <c r="J110" i="119"/>
  <c r="J384" i="119"/>
  <c r="H390" i="119" s="1"/>
  <c r="J390" i="119" s="1"/>
  <c r="H392" i="119" s="1"/>
  <c r="J392" i="119" s="1"/>
  <c r="H393" i="119" s="1"/>
  <c r="J393" i="119" s="1"/>
  <c r="J1153" i="127"/>
  <c r="H1159" i="127" s="1"/>
  <c r="J1159" i="127" s="1"/>
  <c r="H1161" i="127" s="1"/>
  <c r="J1161" i="127" s="1"/>
  <c r="J353" i="119"/>
  <c r="J80" i="119"/>
  <c r="H86" i="119" s="1"/>
  <c r="J86" i="119" s="1"/>
  <c r="E891" i="94"/>
  <c r="G891" i="94" s="1"/>
  <c r="G895" i="94" s="1"/>
  <c r="J19" i="119"/>
  <c r="J26" i="119" s="1"/>
  <c r="J91" i="167"/>
  <c r="E105" i="141"/>
  <c r="G105" i="141" s="1"/>
  <c r="G106" i="141" s="1"/>
  <c r="G107" i="141" s="1"/>
  <c r="E109" i="141" s="1"/>
  <c r="G71" i="141"/>
  <c r="G72" i="141" s="1"/>
  <c r="E74" i="141" s="1"/>
  <c r="J855" i="127"/>
  <c r="J861" i="127" s="1"/>
  <c r="H863" i="127" s="1"/>
  <c r="J863" i="127" s="1"/>
  <c r="J864" i="127" s="1"/>
  <c r="J865" i="127" s="1"/>
  <c r="J866" i="127" s="1"/>
  <c r="J867" i="127" s="1"/>
  <c r="J868" i="127" s="1"/>
  <c r="J68" i="127"/>
  <c r="H75" i="127" s="1"/>
  <c r="J75" i="127" s="1"/>
  <c r="H77" i="127" s="1"/>
  <c r="J77" i="127" s="1"/>
  <c r="G218" i="113"/>
  <c r="E224" i="113" s="1"/>
  <c r="G224" i="113" s="1"/>
  <c r="J415" i="119"/>
  <c r="H421" i="119" s="1"/>
  <c r="J421" i="119" s="1"/>
  <c r="H423" i="119" s="1"/>
  <c r="J423" i="119" s="1"/>
  <c r="H424" i="119" s="1"/>
  <c r="J424" i="119" s="1"/>
  <c r="G424" i="94"/>
  <c r="E426" i="94" s="1"/>
  <c r="G839" i="94"/>
  <c r="E841" i="94" s="1"/>
  <c r="G841" i="94" s="1"/>
  <c r="J491" i="119"/>
  <c r="H497" i="119" s="1"/>
  <c r="J497" i="119" s="1"/>
  <c r="H499" i="119" s="1"/>
  <c r="J499" i="119" s="1"/>
  <c r="H500" i="119" s="1"/>
  <c r="J500" i="119" s="1"/>
  <c r="J1468" i="127"/>
  <c r="H1474" i="127" s="1"/>
  <c r="J1474" i="127" s="1"/>
  <c r="H1476" i="127" s="1"/>
  <c r="J1476" i="127" s="1"/>
  <c r="J254" i="119"/>
  <c r="H260" i="119" s="1"/>
  <c r="J260" i="119" s="1"/>
  <c r="F83" i="174"/>
  <c r="M83" i="174" s="1"/>
  <c r="M7" i="146"/>
  <c r="G29" i="146" s="1"/>
  <c r="L29" i="146" s="1"/>
  <c r="F49" i="7" s="1"/>
  <c r="J49" i="7" s="1"/>
  <c r="O8" i="147"/>
  <c r="G32" i="146" s="1"/>
  <c r="L32" i="146" s="1"/>
  <c r="F58" i="7" s="1"/>
  <c r="J58" i="7" s="1"/>
  <c r="J611" i="127"/>
  <c r="H621" i="127" s="1"/>
  <c r="J621" i="127" s="1"/>
  <c r="H623" i="127" s="1"/>
  <c r="J623" i="127" s="1"/>
  <c r="J224" i="119"/>
  <c r="H230" i="119" s="1"/>
  <c r="J230" i="119" s="1"/>
  <c r="J1334" i="127"/>
  <c r="H1344" i="127" s="1"/>
  <c r="J1344" i="127" s="1"/>
  <c r="H1346" i="127" s="1"/>
  <c r="J1346" i="127" s="1"/>
  <c r="J49" i="119"/>
  <c r="H55" i="119" s="1"/>
  <c r="J55" i="119" s="1"/>
  <c r="J545" i="127"/>
  <c r="H555" i="127" s="1"/>
  <c r="J555" i="127" s="1"/>
  <c r="H557" i="127" s="1"/>
  <c r="J557" i="127" s="1"/>
  <c r="G637" i="94"/>
  <c r="G638" i="94" s="1"/>
  <c r="G639" i="94" s="1"/>
  <c r="E641" i="94" s="1"/>
  <c r="E70" i="202"/>
  <c r="G70" i="202" s="1"/>
  <c r="J1184" i="127"/>
  <c r="H1190" i="127" s="1"/>
  <c r="J1190" i="127" s="1"/>
  <c r="H1192" i="127" s="1"/>
  <c r="J1192" i="127" s="1"/>
  <c r="G799" i="94"/>
  <c r="E801" i="94" s="1"/>
  <c r="J1300" i="127"/>
  <c r="H1310" i="127" s="1"/>
  <c r="J1310" i="127" s="1"/>
  <c r="H1312" i="127" s="1"/>
  <c r="J1312" i="127" s="1"/>
  <c r="G859" i="94"/>
  <c r="G864" i="94" s="1"/>
  <c r="G870" i="94" s="1"/>
  <c r="E872" i="94" s="1"/>
  <c r="G872" i="94" s="1"/>
  <c r="G873" i="94" s="1"/>
  <c r="G874" i="94" s="1"/>
  <c r="G875" i="94" s="1"/>
  <c r="G876" i="94" s="1"/>
  <c r="J768" i="127"/>
  <c r="H775" i="127" s="1"/>
  <c r="J775" i="127" s="1"/>
  <c r="H777" i="127" s="1"/>
  <c r="J777" i="127" s="1"/>
  <c r="J346" i="127"/>
  <c r="J352" i="127" s="1"/>
  <c r="H354" i="127" s="1"/>
  <c r="J354" i="127" s="1"/>
  <c r="J355" i="127" s="1"/>
  <c r="J1065" i="127"/>
  <c r="H1075" i="127" s="1"/>
  <c r="J1075" i="127" s="1"/>
  <c r="H1077" i="127" s="1"/>
  <c r="J1077" i="127" s="1"/>
  <c r="J970" i="127"/>
  <c r="H980" i="127" s="1"/>
  <c r="J980" i="127" s="1"/>
  <c r="H982" i="127" s="1"/>
  <c r="E69" i="202"/>
  <c r="G69" i="202" s="1"/>
  <c r="J376" i="127"/>
  <c r="J382" i="127" s="1"/>
  <c r="H384" i="127" s="1"/>
  <c r="J384" i="127" s="1"/>
  <c r="J385" i="127" s="1"/>
  <c r="J449" i="119"/>
  <c r="J450" i="119" s="1"/>
  <c r="J451" i="119" s="1"/>
  <c r="J101" i="187" s="1"/>
  <c r="E83" i="206" s="1"/>
  <c r="F83" i="206" s="1"/>
  <c r="G757" i="94"/>
  <c r="E759" i="94" s="1"/>
  <c r="G759" i="94" s="1"/>
  <c r="G760" i="94" s="1"/>
  <c r="G761" i="94" s="1"/>
  <c r="G762" i="94" s="1"/>
  <c r="G763" i="94" s="1"/>
  <c r="J578" i="127"/>
  <c r="H588" i="127" s="1"/>
  <c r="J588" i="127" s="1"/>
  <c r="H590" i="127" s="1"/>
  <c r="J590" i="127" s="1"/>
  <c r="H61" i="150"/>
  <c r="H62" i="150" s="1"/>
  <c r="H63" i="150" s="1"/>
  <c r="H64" i="150" s="1"/>
  <c r="G715" i="94"/>
  <c r="E717" i="94" s="1"/>
  <c r="G717" i="94" s="1"/>
  <c r="G718" i="94" s="1"/>
  <c r="G719" i="94" s="1"/>
  <c r="G720" i="94" s="1"/>
  <c r="G721" i="94" s="1"/>
  <c r="J71" i="164" s="1"/>
  <c r="L71" i="164" s="1"/>
  <c r="I24" i="197"/>
  <c r="M24" i="197" s="1"/>
  <c r="M26" i="197" s="1"/>
  <c r="M30" i="197" s="1"/>
  <c r="M32" i="197" s="1"/>
  <c r="H41" i="197" s="1"/>
  <c r="J926" i="127"/>
  <c r="E217" i="202"/>
  <c r="G217" i="202" s="1"/>
  <c r="G218" i="202" s="1"/>
  <c r="G219" i="202" s="1"/>
  <c r="E221" i="202" s="1"/>
  <c r="G317" i="94"/>
  <c r="E319" i="94" s="1"/>
  <c r="E358" i="94"/>
  <c r="G358" i="94" s="1"/>
  <c r="G359" i="94" s="1"/>
  <c r="G360" i="94" s="1"/>
  <c r="G361" i="94" s="1"/>
  <c r="G362" i="94" s="1"/>
  <c r="L69" i="174"/>
  <c r="S68" i="140"/>
  <c r="E10" i="190"/>
  <c r="G10" i="190" s="1"/>
  <c r="J650" i="127"/>
  <c r="J651" i="127" s="1"/>
  <c r="J652" i="127" s="1"/>
  <c r="K12" i="191"/>
  <c r="G21" i="175"/>
  <c r="G23" i="175"/>
  <c r="G24" i="175"/>
  <c r="G20" i="175"/>
  <c r="G25" i="175"/>
  <c r="G22" i="175"/>
  <c r="F74" i="174"/>
  <c r="M74" i="174" s="1"/>
  <c r="J16" i="170"/>
  <c r="J13" i="169"/>
  <c r="J17" i="168"/>
  <c r="J13" i="187"/>
  <c r="L13" i="187" s="1"/>
  <c r="L35" i="140"/>
  <c r="K45" i="140"/>
  <c r="L45" i="140" s="1"/>
  <c r="Q45" i="140" s="1"/>
  <c r="K43" i="140"/>
  <c r="L43" i="140" s="1"/>
  <c r="O43" i="140" s="1"/>
  <c r="K38" i="140"/>
  <c r="L38" i="140" s="1"/>
  <c r="Q38" i="140" s="1"/>
  <c r="K36" i="140"/>
  <c r="L36" i="140" s="1"/>
  <c r="O36" i="140" s="1"/>
  <c r="K46" i="140"/>
  <c r="L46" i="140" s="1"/>
  <c r="R46" i="140" s="1"/>
  <c r="K44" i="140"/>
  <c r="L44" i="140" s="1"/>
  <c r="P44" i="140" s="1"/>
  <c r="K42" i="140"/>
  <c r="L42" i="140" s="1"/>
  <c r="K39" i="140"/>
  <c r="L39" i="140" s="1"/>
  <c r="R39" i="140" s="1"/>
  <c r="K37" i="140"/>
  <c r="L37" i="140" s="1"/>
  <c r="P37" i="140" s="1"/>
  <c r="G24" i="162"/>
  <c r="L63" i="164"/>
  <c r="K57" i="140"/>
  <c r="L57" i="140" s="1"/>
  <c r="J8" i="164"/>
  <c r="G27" i="162"/>
  <c r="L75" i="164"/>
  <c r="D13" i="190"/>
  <c r="E12" i="190"/>
  <c r="G12" i="190" s="1"/>
  <c r="L27" i="140"/>
  <c r="K30" i="140"/>
  <c r="L30" i="140" s="1"/>
  <c r="Q30" i="140" s="1"/>
  <c r="K28" i="140"/>
  <c r="L28" i="140" s="1"/>
  <c r="O28" i="140" s="1"/>
  <c r="K31" i="140"/>
  <c r="L31" i="140" s="1"/>
  <c r="R31" i="140" s="1"/>
  <c r="K29" i="140"/>
  <c r="L29" i="140" s="1"/>
  <c r="P29" i="140" s="1"/>
  <c r="H202" i="150"/>
  <c r="H209" i="150" s="1"/>
  <c r="H210" i="150" s="1"/>
  <c r="M9" i="147"/>
  <c r="J10" i="147"/>
  <c r="E97" i="202"/>
  <c r="G97" i="202" s="1"/>
  <c r="G66" i="202"/>
  <c r="E123" i="202"/>
  <c r="E68" i="202"/>
  <c r="G68" i="202" s="1"/>
  <c r="G249" i="150"/>
  <c r="H218" i="150"/>
  <c r="D25" i="7"/>
  <c r="E24" i="7"/>
  <c r="J24" i="7" s="1"/>
  <c r="L62" i="168"/>
  <c r="H25" i="127"/>
  <c r="J25" i="127" s="1"/>
  <c r="J27" i="127" s="1"/>
  <c r="J28" i="127" s="1"/>
  <c r="J29" i="127" s="1"/>
  <c r="E501" i="94"/>
  <c r="G501" i="94" s="1"/>
  <c r="G502" i="94" s="1"/>
  <c r="G503" i="94" s="1"/>
  <c r="G504" i="94" s="1"/>
  <c r="G505" i="94" s="1"/>
  <c r="J54" i="164" s="1"/>
  <c r="G288" i="94"/>
  <c r="G289" i="94" s="1"/>
  <c r="G290" i="94" s="1"/>
  <c r="J24" i="164" s="1"/>
  <c r="G45" i="202"/>
  <c r="G46" i="202" s="1"/>
  <c r="E589" i="94"/>
  <c r="G589" i="94" s="1"/>
  <c r="G590" i="94" s="1"/>
  <c r="G591" i="94" s="1"/>
  <c r="G592" i="94" s="1"/>
  <c r="G593" i="94" s="1"/>
  <c r="J67" i="164" s="1"/>
  <c r="J412" i="127"/>
  <c r="H414" i="127" s="1"/>
  <c r="J414" i="127" s="1"/>
  <c r="J415" i="127" s="1"/>
  <c r="J60" i="186"/>
  <c r="L60" i="186" s="1"/>
  <c r="J53" i="167"/>
  <c r="J56" i="187"/>
  <c r="E56" i="206" s="1"/>
  <c r="F56" i="206" s="1"/>
  <c r="H744" i="127"/>
  <c r="J744" i="127" s="1"/>
  <c r="H746" i="127" s="1"/>
  <c r="J746" i="127" s="1"/>
  <c r="G269" i="150"/>
  <c r="H269" i="150" s="1"/>
  <c r="G244" i="150"/>
  <c r="H244" i="150" s="1"/>
  <c r="G329" i="150"/>
  <c r="H329" i="150" s="1"/>
  <c r="G294" i="150"/>
  <c r="H294" i="150" s="1"/>
  <c r="K8" i="146"/>
  <c r="H9" i="146"/>
  <c r="G112" i="202"/>
  <c r="E114" i="202" s="1"/>
  <c r="G114" i="202" s="1"/>
  <c r="G115" i="202" s="1"/>
  <c r="F155" i="202"/>
  <c r="G155" i="202" s="1"/>
  <c r="H571" i="119"/>
  <c r="J571" i="119" s="1"/>
  <c r="H549" i="119"/>
  <c r="J549" i="119" s="1"/>
  <c r="J551" i="119" s="1"/>
  <c r="E192" i="113"/>
  <c r="G192" i="113" s="1"/>
  <c r="H246" i="127"/>
  <c r="J246" i="127" s="1"/>
  <c r="H226" i="127"/>
  <c r="J226" i="127" s="1"/>
  <c r="H936" i="127"/>
  <c r="J936" i="127" s="1"/>
  <c r="H938" i="127" s="1"/>
  <c r="J938" i="127" s="1"/>
  <c r="G129" i="94"/>
  <c r="G185" i="94"/>
  <c r="G186" i="94" s="1"/>
  <c r="G187" i="94" s="1"/>
  <c r="G188" i="94" s="1"/>
  <c r="N9" i="147"/>
  <c r="L10" i="147"/>
  <c r="J98" i="187"/>
  <c r="E87" i="206" s="1"/>
  <c r="F87" i="206" s="1"/>
  <c r="J95" i="167"/>
  <c r="J103" i="186"/>
  <c r="L103" i="186" s="1"/>
  <c r="J9" i="146"/>
  <c r="L8" i="146"/>
  <c r="K48" i="150"/>
  <c r="L48" i="150" s="1"/>
  <c r="M48" i="150" s="1"/>
  <c r="N48" i="150" s="1"/>
  <c r="H471" i="127"/>
  <c r="J471" i="127" s="1"/>
  <c r="H473" i="127" s="1"/>
  <c r="J473" i="127" s="1"/>
  <c r="C56" i="7"/>
  <c r="C48" i="7"/>
  <c r="E96" i="202"/>
  <c r="G96" i="202" s="1"/>
  <c r="G67" i="202"/>
  <c r="E16" i="113"/>
  <c r="G16" i="113" s="1"/>
  <c r="G17" i="113" s="1"/>
  <c r="G18" i="113" s="1"/>
  <c r="G19" i="113" s="1"/>
  <c r="G20" i="113" s="1"/>
  <c r="J15" i="204" s="1"/>
  <c r="K15" i="204" s="1"/>
  <c r="G291" i="202"/>
  <c r="G292" i="202" s="1"/>
  <c r="G156" i="94"/>
  <c r="G157" i="94" s="1"/>
  <c r="G158" i="94" s="1"/>
  <c r="G159" i="94" s="1"/>
  <c r="E249" i="94"/>
  <c r="G249" i="94" s="1"/>
  <c r="G250" i="94" s="1"/>
  <c r="G251" i="94" s="1"/>
  <c r="G252" i="94" s="1"/>
  <c r="G253" i="94" s="1"/>
  <c r="J29" i="164" s="1"/>
  <c r="J14" i="165" l="1"/>
  <c r="J13" i="167"/>
  <c r="J13" i="186"/>
  <c r="J14" i="199"/>
  <c r="L14" i="199" s="1"/>
  <c r="H160" i="127"/>
  <c r="L56" i="187"/>
  <c r="G29" i="162"/>
  <c r="H29" i="162" s="1"/>
  <c r="N29" i="162" s="1"/>
  <c r="H359" i="119"/>
  <c r="L98" i="187"/>
  <c r="G39" i="162"/>
  <c r="H39" i="162" s="1"/>
  <c r="N39" i="162" s="1"/>
  <c r="L101" i="187"/>
  <c r="G40" i="162"/>
  <c r="H40" i="162" s="1"/>
  <c r="N40" i="162" s="1"/>
  <c r="H304" i="119"/>
  <c r="J304" i="119" s="1"/>
  <c r="J305" i="119" s="1"/>
  <c r="H307" i="119" s="1"/>
  <c r="J307" i="119" s="1"/>
  <c r="H308" i="119" s="1"/>
  <c r="J308" i="119" s="1"/>
  <c r="H116" i="119"/>
  <c r="G268" i="202"/>
  <c r="E269" i="202" s="1"/>
  <c r="G269" i="202" s="1"/>
  <c r="G270" i="202" s="1"/>
  <c r="G271" i="202" s="1"/>
  <c r="H27" i="119"/>
  <c r="J27" i="119" s="1"/>
  <c r="J28" i="119" s="1"/>
  <c r="J29" i="119" s="1"/>
  <c r="J30" i="119" s="1"/>
  <c r="J31" i="119" s="1"/>
  <c r="J18" i="167" s="1"/>
  <c r="H44" i="197"/>
  <c r="H43" i="197"/>
  <c r="K23" i="191" s="1"/>
  <c r="K36" i="197"/>
  <c r="H45" i="197"/>
  <c r="K25" i="191" s="1"/>
  <c r="H42" i="197"/>
  <c r="L91" i="167"/>
  <c r="J78" i="127"/>
  <c r="J79" i="127" s="1"/>
  <c r="J80" i="127" s="1"/>
  <c r="J81" i="127" s="1"/>
  <c r="J82" i="127" s="1"/>
  <c r="G842" i="94"/>
  <c r="G843" i="94" s="1"/>
  <c r="G844" i="94" s="1"/>
  <c r="G845" i="94" s="1"/>
  <c r="J79" i="164" s="1"/>
  <c r="L79" i="164" s="1"/>
  <c r="J232" i="119"/>
  <c r="H233" i="119" s="1"/>
  <c r="J233" i="119" s="1"/>
  <c r="J234" i="119" s="1"/>
  <c r="J235" i="119" s="1"/>
  <c r="J236" i="119" s="1"/>
  <c r="J237" i="119" s="1"/>
  <c r="J39" i="187" s="1"/>
  <c r="E37" i="206" s="1"/>
  <c r="F37" i="206" s="1"/>
  <c r="M8" i="146"/>
  <c r="G27" i="146" s="1"/>
  <c r="L27" i="146" s="1"/>
  <c r="F48" i="7" s="1"/>
  <c r="J48" i="7" s="1"/>
  <c r="J778" i="127"/>
  <c r="J779" i="127" s="1"/>
  <c r="J780" i="127" s="1"/>
  <c r="J781" i="127" s="1"/>
  <c r="J782" i="127" s="1"/>
  <c r="J31" i="170"/>
  <c r="L31" i="170" s="1"/>
  <c r="J98" i="167"/>
  <c r="J106" i="186"/>
  <c r="L106" i="186" s="1"/>
  <c r="E19" i="202"/>
  <c r="G19" i="202" s="1"/>
  <c r="G20" i="202" s="1"/>
  <c r="G21" i="202" s="1"/>
  <c r="G22" i="202" s="1"/>
  <c r="G98" i="202"/>
  <c r="G99" i="202" s="1"/>
  <c r="G26" i="162"/>
  <c r="G79" i="174" s="1"/>
  <c r="H79" i="174" s="1"/>
  <c r="E14" i="202"/>
  <c r="G14" i="202" s="1"/>
  <c r="J39" i="164"/>
  <c r="K69" i="174"/>
  <c r="A69" i="174" s="1"/>
  <c r="L70" i="174"/>
  <c r="J474" i="127"/>
  <c r="J475" i="127" s="1"/>
  <c r="J476" i="127" s="1"/>
  <c r="J477" i="127" s="1"/>
  <c r="J478" i="127" s="1"/>
  <c r="H202" i="119"/>
  <c r="J202" i="119" s="1"/>
  <c r="J203" i="119" s="1"/>
  <c r="J204" i="119" s="1"/>
  <c r="J205" i="119" s="1"/>
  <c r="J206" i="119" s="1"/>
  <c r="F76" i="174"/>
  <c r="M76" i="174" s="1"/>
  <c r="L59" i="164"/>
  <c r="G29" i="175"/>
  <c r="G30" i="175" s="1"/>
  <c r="L10" i="191"/>
  <c r="J1477" i="127"/>
  <c r="J1478" i="127" s="1"/>
  <c r="J1479" i="127" s="1"/>
  <c r="J1480" i="127" s="1"/>
  <c r="J1481" i="127" s="1"/>
  <c r="J747" i="127"/>
  <c r="J748" i="127" s="1"/>
  <c r="J624" i="127"/>
  <c r="J625" i="127" s="1"/>
  <c r="J626" i="127" s="1"/>
  <c r="J627" i="127" s="1"/>
  <c r="J628" i="127" s="1"/>
  <c r="J1401" i="127"/>
  <c r="J1402" i="127" s="1"/>
  <c r="J1403" i="127" s="1"/>
  <c r="J1404" i="127" s="1"/>
  <c r="J1405" i="127" s="1"/>
  <c r="H1439" i="127" s="1"/>
  <c r="J1439" i="127" s="1"/>
  <c r="O9" i="147"/>
  <c r="G30" i="146" s="1"/>
  <c r="L30" i="146" s="1"/>
  <c r="F57" i="7" s="1"/>
  <c r="J57" i="7" s="1"/>
  <c r="J394" i="119"/>
  <c r="J395" i="119" s="1"/>
  <c r="J396" i="119" s="1"/>
  <c r="J397" i="119" s="1"/>
  <c r="J28" i="170" s="1"/>
  <c r="F28" i="175"/>
  <c r="J386" i="127"/>
  <c r="J387" i="127" s="1"/>
  <c r="J388" i="127" s="1"/>
  <c r="J389" i="127" s="1"/>
  <c r="J585" i="119"/>
  <c r="J10" i="168"/>
  <c r="J9" i="186"/>
  <c r="L9" i="186" s="1"/>
  <c r="J9" i="167"/>
  <c r="J9" i="199"/>
  <c r="L9" i="199" s="1"/>
  <c r="J10" i="170"/>
  <c r="J9" i="187"/>
  <c r="E7" i="206" s="1"/>
  <c r="F7" i="206" s="1"/>
  <c r="J8" i="169"/>
  <c r="J9" i="165"/>
  <c r="J135" i="127"/>
  <c r="J136" i="127" s="1"/>
  <c r="L29" i="164"/>
  <c r="L54" i="164"/>
  <c r="G236" i="150"/>
  <c r="G129" i="150"/>
  <c r="H129" i="150" s="1"/>
  <c r="G173" i="150"/>
  <c r="H173" i="150" s="1"/>
  <c r="G74" i="141"/>
  <c r="J11" i="146"/>
  <c r="L9" i="146"/>
  <c r="J10" i="146"/>
  <c r="L10" i="146" s="1"/>
  <c r="J895" i="127"/>
  <c r="J896" i="127" s="1"/>
  <c r="J897" i="127" s="1"/>
  <c r="J898" i="127" s="1"/>
  <c r="J69" i="186"/>
  <c r="L69" i="186" s="1"/>
  <c r="J64" i="187"/>
  <c r="J61" i="167"/>
  <c r="L61" i="167" s="1"/>
  <c r="J20" i="164"/>
  <c r="G47" i="202"/>
  <c r="E48" i="202" s="1"/>
  <c r="G48" i="202" s="1"/>
  <c r="H219" i="150"/>
  <c r="H225" i="150" s="1"/>
  <c r="G801" i="94"/>
  <c r="E802" i="94" s="1"/>
  <c r="G802" i="94" s="1"/>
  <c r="F170" i="202"/>
  <c r="G170" i="202" s="1"/>
  <c r="G181" i="202" s="1"/>
  <c r="G123" i="202"/>
  <c r="G139" i="202" s="1"/>
  <c r="G140" i="202" s="1"/>
  <c r="H667" i="119"/>
  <c r="J667" i="119" s="1"/>
  <c r="G109" i="141"/>
  <c r="E110" i="141" s="1"/>
  <c r="G110" i="141" s="1"/>
  <c r="L8" i="164"/>
  <c r="N42" i="140"/>
  <c r="S47" i="140" s="1"/>
  <c r="L47" i="140"/>
  <c r="L13" i="167"/>
  <c r="L13" i="169"/>
  <c r="J943" i="127"/>
  <c r="J944" i="127" s="1"/>
  <c r="J945" i="127" s="1"/>
  <c r="J501" i="119"/>
  <c r="J502" i="119" s="1"/>
  <c r="J503" i="119" s="1"/>
  <c r="J504" i="119" s="1"/>
  <c r="J1162" i="127"/>
  <c r="J558" i="127"/>
  <c r="J57" i="119"/>
  <c r="H58" i="119" s="1"/>
  <c r="J58" i="119" s="1"/>
  <c r="J59" i="119" s="1"/>
  <c r="J60" i="119" s="1"/>
  <c r="J61" i="119" s="1"/>
  <c r="J62" i="119" s="1"/>
  <c r="G226" i="113"/>
  <c r="E227" i="113" s="1"/>
  <c r="G227" i="113" s="1"/>
  <c r="J504" i="127"/>
  <c r="G426" i="94"/>
  <c r="E427" i="94" s="1"/>
  <c r="G427" i="94" s="1"/>
  <c r="G641" i="94"/>
  <c r="E642" i="94" s="1"/>
  <c r="G642" i="94" s="1"/>
  <c r="L11" i="147"/>
  <c r="N10" i="147"/>
  <c r="G156" i="202"/>
  <c r="G157" i="202" s="1"/>
  <c r="J446" i="127"/>
  <c r="J447" i="127" s="1"/>
  <c r="J448" i="127" s="1"/>
  <c r="J449" i="127" s="1"/>
  <c r="G16" i="162"/>
  <c r="L24" i="164"/>
  <c r="D26" i="7"/>
  <c r="E26" i="7" s="1"/>
  <c r="J26" i="7" s="1"/>
  <c r="E25" i="7"/>
  <c r="J25" i="7" s="1"/>
  <c r="M10" i="147"/>
  <c r="J11" i="147"/>
  <c r="D14" i="190"/>
  <c r="D15" i="190" s="1"/>
  <c r="E13" i="190"/>
  <c r="G13" i="190" s="1"/>
  <c r="G77" i="174"/>
  <c r="H77" i="174" s="1"/>
  <c r="H24" i="162"/>
  <c r="N24" i="162" s="1"/>
  <c r="N35" i="140"/>
  <c r="S40" i="140" s="1"/>
  <c r="L40" i="140"/>
  <c r="L14" i="165"/>
  <c r="L17" i="168"/>
  <c r="G221" i="202"/>
  <c r="E222" i="202" s="1"/>
  <c r="G222" i="202" s="1"/>
  <c r="J88" i="119"/>
  <c r="H89" i="119" s="1"/>
  <c r="J89" i="119" s="1"/>
  <c r="J1078" i="127"/>
  <c r="C57" i="7"/>
  <c r="C49" i="7"/>
  <c r="J356" i="127"/>
  <c r="J357" i="127" s="1"/>
  <c r="J358" i="127" s="1"/>
  <c r="J359" i="127" s="1"/>
  <c r="L53" i="167"/>
  <c r="G25" i="162"/>
  <c r="L67" i="164"/>
  <c r="G319" i="94"/>
  <c r="E320" i="94" s="1"/>
  <c r="G320" i="94" s="1"/>
  <c r="H594" i="119"/>
  <c r="J594" i="119" s="1"/>
  <c r="G267" i="150"/>
  <c r="H267" i="150" s="1"/>
  <c r="G242" i="150"/>
  <c r="H242" i="150" s="1"/>
  <c r="G292" i="150"/>
  <c r="H292" i="150" s="1"/>
  <c r="G80" i="174"/>
  <c r="H80" i="174" s="1"/>
  <c r="H27" i="162"/>
  <c r="N27" i="162" s="1"/>
  <c r="J1313" i="127"/>
  <c r="J262" i="119"/>
  <c r="H263" i="119" s="1"/>
  <c r="J263" i="119" s="1"/>
  <c r="J591" i="127"/>
  <c r="J1193" i="127"/>
  <c r="G99" i="113"/>
  <c r="E100" i="113" s="1"/>
  <c r="G100" i="113" s="1"/>
  <c r="G20" i="162"/>
  <c r="L44" i="164"/>
  <c r="L95" i="167"/>
  <c r="H553" i="119"/>
  <c r="J553" i="119" s="1"/>
  <c r="H554" i="119" s="1"/>
  <c r="J554" i="119" s="1"/>
  <c r="K9" i="146"/>
  <c r="H10" i="146"/>
  <c r="K10" i="146" s="1"/>
  <c r="H11" i="146"/>
  <c r="J416" i="127"/>
  <c r="J417" i="127" s="1"/>
  <c r="J418" i="127" s="1"/>
  <c r="J419" i="127" s="1"/>
  <c r="G901" i="94"/>
  <c r="E903" i="94" s="1"/>
  <c r="G903" i="94" s="1"/>
  <c r="G904" i="94" s="1"/>
  <c r="G905" i="94" s="1"/>
  <c r="G906" i="94" s="1"/>
  <c r="G907" i="94" s="1"/>
  <c r="G274" i="150"/>
  <c r="H249" i="150"/>
  <c r="J164" i="127"/>
  <c r="J165" i="127" s="1"/>
  <c r="J166" i="127" s="1"/>
  <c r="J167" i="127" s="1"/>
  <c r="N27" i="140"/>
  <c r="S32" i="140" s="1"/>
  <c r="L32" i="140"/>
  <c r="P57" i="140"/>
  <c r="Q57" i="140"/>
  <c r="L60" i="140"/>
  <c r="R57" i="140"/>
  <c r="N57" i="140"/>
  <c r="O57" i="140"/>
  <c r="L16" i="170"/>
  <c r="E130" i="94"/>
  <c r="G130" i="94" s="1"/>
  <c r="G131" i="94" s="1"/>
  <c r="G132" i="94" s="1"/>
  <c r="G133" i="94" s="1"/>
  <c r="G134" i="94" s="1"/>
  <c r="J16" i="164" s="1"/>
  <c r="J425" i="119"/>
  <c r="J426" i="119" s="1"/>
  <c r="J427" i="119" s="1"/>
  <c r="J428" i="119" s="1"/>
  <c r="E72" i="202"/>
  <c r="J532" i="119"/>
  <c r="J533" i="119" s="1"/>
  <c r="J534" i="119" s="1"/>
  <c r="J535" i="119" s="1"/>
  <c r="J52" i="168" s="1"/>
  <c r="J1279" i="127"/>
  <c r="J150" i="119"/>
  <c r="J151" i="119" s="1"/>
  <c r="J152" i="119" s="1"/>
  <c r="J153" i="119" s="1"/>
  <c r="G245" i="202"/>
  <c r="G246" i="202" s="1"/>
  <c r="J1347" i="127"/>
  <c r="J983" i="127"/>
  <c r="J985" i="127" s="1"/>
  <c r="J986" i="127" s="1"/>
  <c r="J987" i="127" s="1"/>
  <c r="H991" i="127" s="1"/>
  <c r="J991" i="127" s="1"/>
  <c r="J1001" i="127" s="1"/>
  <c r="L64" i="187" l="1"/>
  <c r="G31" i="162"/>
  <c r="H31" i="162" s="1"/>
  <c r="N31" i="162" s="1"/>
  <c r="L39" i="187"/>
  <c r="G21" i="162"/>
  <c r="H21" i="162" s="1"/>
  <c r="N21" i="162" s="1"/>
  <c r="L9" i="187"/>
  <c r="G12" i="162"/>
  <c r="H12" i="162" s="1"/>
  <c r="N12" i="162" s="1"/>
  <c r="M12" i="162" s="1"/>
  <c r="J359" i="119"/>
  <c r="H361" i="119" s="1"/>
  <c r="J116" i="119"/>
  <c r="H118" i="119" s="1"/>
  <c r="J309" i="119"/>
  <c r="J310" i="119" s="1"/>
  <c r="J311" i="119" s="1"/>
  <c r="J312" i="119" s="1"/>
  <c r="J85" i="186" s="1"/>
  <c r="L85" i="186" s="1"/>
  <c r="L52" i="168"/>
  <c r="J29" i="168"/>
  <c r="J19" i="165"/>
  <c r="L19" i="165" s="1"/>
  <c r="J18" i="186"/>
  <c r="L18" i="186" s="1"/>
  <c r="J18" i="169"/>
  <c r="J18" i="187"/>
  <c r="E19" i="206" s="1"/>
  <c r="F19" i="206" s="1"/>
  <c r="J19" i="199"/>
  <c r="L19" i="199" s="1"/>
  <c r="L48" i="140"/>
  <c r="H47" i="197"/>
  <c r="K29" i="191" s="1"/>
  <c r="E61" i="174" s="1"/>
  <c r="G28" i="162"/>
  <c r="H28" i="162" s="1"/>
  <c r="N28" i="162" s="1"/>
  <c r="I19" i="202"/>
  <c r="I20" i="202" s="1"/>
  <c r="I21" i="202" s="1"/>
  <c r="I22" i="202" s="1"/>
  <c r="H791" i="127"/>
  <c r="J791" i="127" s="1"/>
  <c r="J793" i="127" s="1"/>
  <c r="H800" i="127" s="1"/>
  <c r="J800" i="127" s="1"/>
  <c r="H802" i="127" s="1"/>
  <c r="J802" i="127" s="1"/>
  <c r="L98" i="167"/>
  <c r="E100" i="202"/>
  <c r="G100" i="202" s="1"/>
  <c r="G102" i="202" s="1"/>
  <c r="G104" i="202" s="1"/>
  <c r="H26" i="162"/>
  <c r="N26" i="162" s="1"/>
  <c r="G19" i="162"/>
  <c r="L39" i="164"/>
  <c r="G15" i="202"/>
  <c r="G16" i="202" s="1"/>
  <c r="G17" i="202" s="1"/>
  <c r="I14" i="202"/>
  <c r="I15" i="202" s="1"/>
  <c r="I16" i="202" s="1"/>
  <c r="I17" i="202" s="1"/>
  <c r="L71" i="174"/>
  <c r="K70" i="174"/>
  <c r="A70" i="174" s="1"/>
  <c r="G49" i="202"/>
  <c r="G50" i="202" s="1"/>
  <c r="G51" i="202" s="1"/>
  <c r="J668" i="119"/>
  <c r="J37" i="186"/>
  <c r="L37" i="186" s="1"/>
  <c r="J35" i="167"/>
  <c r="L35" i="167" s="1"/>
  <c r="J27" i="169"/>
  <c r="K14" i="191"/>
  <c r="K16" i="191" s="1"/>
  <c r="M32" i="174" s="1"/>
  <c r="G38" i="174" s="1"/>
  <c r="O7" i="175"/>
  <c r="F38" i="174"/>
  <c r="N17" i="203"/>
  <c r="F17" i="203" s="1"/>
  <c r="I17" i="203" s="1"/>
  <c r="I16" i="203"/>
  <c r="J56" i="186"/>
  <c r="L56" i="186" s="1"/>
  <c r="F82" i="174"/>
  <c r="M82" i="174" s="1"/>
  <c r="G14" i="162"/>
  <c r="L16" i="164"/>
  <c r="H226" i="150"/>
  <c r="J23" i="169"/>
  <c r="J24" i="170"/>
  <c r="J41" i="168"/>
  <c r="J29" i="167"/>
  <c r="L29" i="167" s="1"/>
  <c r="J31" i="186"/>
  <c r="L31" i="186" s="1"/>
  <c r="J137" i="127"/>
  <c r="J138" i="127" s="1"/>
  <c r="H1002" i="127"/>
  <c r="J1002" i="127" s="1"/>
  <c r="H1004" i="127" s="1"/>
  <c r="J1004" i="127" s="1"/>
  <c r="J1006" i="127" s="1"/>
  <c r="J1007" i="127" s="1"/>
  <c r="J1008" i="127" s="1"/>
  <c r="H250" i="150"/>
  <c r="K11" i="146"/>
  <c r="H12" i="146"/>
  <c r="J1194" i="127"/>
  <c r="J1195" i="127" s="1"/>
  <c r="J1196" i="127" s="1"/>
  <c r="J1197" i="127" s="1"/>
  <c r="J1314" i="127"/>
  <c r="J1315" i="127" s="1"/>
  <c r="J1316" i="127" s="1"/>
  <c r="J1317" i="127" s="1"/>
  <c r="J1079" i="127"/>
  <c r="J1080" i="127" s="1"/>
  <c r="J1081" i="127" s="1"/>
  <c r="J1082" i="127" s="1"/>
  <c r="J13" i="147"/>
  <c r="J12" i="147"/>
  <c r="M12" i="147" s="1"/>
  <c r="M11" i="147"/>
  <c r="J559" i="127"/>
  <c r="J560" i="127" s="1"/>
  <c r="J561" i="127" s="1"/>
  <c r="J562" i="127" s="1"/>
  <c r="E142" i="202"/>
  <c r="G142" i="202" s="1"/>
  <c r="G144" i="202" s="1"/>
  <c r="G145" i="202" s="1"/>
  <c r="G146" i="202" s="1"/>
  <c r="G147" i="202" s="1"/>
  <c r="O10" i="147"/>
  <c r="G28" i="146" s="1"/>
  <c r="L28" i="146" s="1"/>
  <c r="F56" i="7" s="1"/>
  <c r="J56" i="7" s="1"/>
  <c r="G228" i="113"/>
  <c r="G229" i="113" s="1"/>
  <c r="G230" i="113" s="1"/>
  <c r="G231" i="113" s="1"/>
  <c r="J32" i="204" s="1"/>
  <c r="K32" i="204" s="1"/>
  <c r="J60" i="187"/>
  <c r="E48" i="206" s="1"/>
  <c r="F48" i="206" s="1"/>
  <c r="J73" i="168"/>
  <c r="J57" i="167"/>
  <c r="J65" i="186"/>
  <c r="L65" i="186" s="1"/>
  <c r="G72" i="202"/>
  <c r="E73" i="202" s="1"/>
  <c r="L28" i="170"/>
  <c r="G78" i="174"/>
  <c r="H78" i="174" s="1"/>
  <c r="H25" i="162"/>
  <c r="N25" i="162" s="1"/>
  <c r="H323" i="119"/>
  <c r="J323" i="119" s="1"/>
  <c r="J325" i="119" s="1"/>
  <c r="H316" i="127"/>
  <c r="J316" i="127" s="1"/>
  <c r="J318" i="127" s="1"/>
  <c r="J505" i="127"/>
  <c r="J506" i="127" s="1"/>
  <c r="J507" i="127" s="1"/>
  <c r="J508" i="127" s="1"/>
  <c r="H513" i="127" s="1"/>
  <c r="J513" i="127" s="1"/>
  <c r="J515" i="127" s="1"/>
  <c r="J72" i="187"/>
  <c r="E44" i="206" s="1"/>
  <c r="F44" i="206" s="1"/>
  <c r="J69" i="167"/>
  <c r="L69" i="167" s="1"/>
  <c r="J77" i="186"/>
  <c r="L77" i="186" s="1"/>
  <c r="L11" i="146"/>
  <c r="M11" i="146" s="1"/>
  <c r="G21" i="146" s="1"/>
  <c r="L21" i="146" s="1"/>
  <c r="F45" i="7" s="1"/>
  <c r="J45" i="7" s="1"/>
  <c r="E146" i="113" s="1"/>
  <c r="G146" i="113" s="1"/>
  <c r="J12" i="146"/>
  <c r="L18" i="167"/>
  <c r="L8" i="169"/>
  <c r="L9" i="167"/>
  <c r="S60" i="140"/>
  <c r="J555" i="119"/>
  <c r="J557" i="119" s="1"/>
  <c r="J558" i="119" s="1"/>
  <c r="J559" i="119" s="1"/>
  <c r="J90" i="119"/>
  <c r="J91" i="119" s="1"/>
  <c r="J92" i="119" s="1"/>
  <c r="J93" i="119" s="1"/>
  <c r="J32" i="187" s="1"/>
  <c r="G111" i="141"/>
  <c r="G112" i="141" s="1"/>
  <c r="K22" i="140" s="1"/>
  <c r="G803" i="94"/>
  <c r="G804" i="94" s="1"/>
  <c r="G805" i="94" s="1"/>
  <c r="G806" i="94" s="1"/>
  <c r="J84" i="164" s="1"/>
  <c r="J1348" i="127"/>
  <c r="J1349" i="127" s="1"/>
  <c r="J1350" i="127" s="1"/>
  <c r="J1351" i="127" s="1"/>
  <c r="J1280" i="127"/>
  <c r="J1281" i="127" s="1"/>
  <c r="J1282" i="127" s="1"/>
  <c r="J1283" i="127" s="1"/>
  <c r="J65" i="167"/>
  <c r="L65" i="167" s="1"/>
  <c r="J73" i="186"/>
  <c r="L73" i="186" s="1"/>
  <c r="J68" i="187"/>
  <c r="G73" i="174"/>
  <c r="H73" i="174" s="1"/>
  <c r="H20" i="162"/>
  <c r="N20" i="162" s="1"/>
  <c r="E193" i="113"/>
  <c r="G193" i="113" s="1"/>
  <c r="G194" i="113" s="1"/>
  <c r="H572" i="119"/>
  <c r="J572" i="119" s="1"/>
  <c r="J573" i="119" s="1"/>
  <c r="H247" i="127"/>
  <c r="J247" i="127" s="1"/>
  <c r="J248" i="127" s="1"/>
  <c r="H227" i="127"/>
  <c r="J227" i="127" s="1"/>
  <c r="J228" i="127" s="1"/>
  <c r="G261" i="150"/>
  <c r="H236" i="150"/>
  <c r="L9" i="165"/>
  <c r="G101" i="113"/>
  <c r="G102" i="113" s="1"/>
  <c r="G103" i="113" s="1"/>
  <c r="G104" i="113" s="1"/>
  <c r="J26" i="204" s="1"/>
  <c r="K26" i="204" s="1"/>
  <c r="G643" i="94"/>
  <c r="G644" i="94" s="1"/>
  <c r="G645" i="94" s="1"/>
  <c r="G646" i="94" s="1"/>
  <c r="J88" i="164" s="1"/>
  <c r="M9" i="146"/>
  <c r="G25" i="146" s="1"/>
  <c r="L25" i="146" s="1"/>
  <c r="F47" i="7" s="1"/>
  <c r="J47" i="7" s="1"/>
  <c r="J264" i="119"/>
  <c r="J265" i="119" s="1"/>
  <c r="J266" i="119" s="1"/>
  <c r="J267" i="119" s="1"/>
  <c r="H274" i="150"/>
  <c r="G299" i="150"/>
  <c r="J592" i="127"/>
  <c r="J593" i="127" s="1"/>
  <c r="J594" i="127" s="1"/>
  <c r="J595" i="127" s="1"/>
  <c r="C58" i="7"/>
  <c r="C50" i="7"/>
  <c r="D16" i="190"/>
  <c r="D17" i="190" s="1"/>
  <c r="E15" i="190"/>
  <c r="G15" i="190" s="1"/>
  <c r="G70" i="174"/>
  <c r="H70" i="174" s="1"/>
  <c r="H16" i="162"/>
  <c r="N16" i="162" s="1"/>
  <c r="L13" i="147"/>
  <c r="N11" i="147"/>
  <c r="L12" i="147"/>
  <c r="N12" i="147" s="1"/>
  <c r="J1163" i="127"/>
  <c r="J1164" i="127" s="1"/>
  <c r="J1165" i="127" s="1"/>
  <c r="J1166" i="127" s="1"/>
  <c r="H749" i="127" s="1"/>
  <c r="J749" i="127" s="1"/>
  <c r="J750" i="127" s="1"/>
  <c r="J751" i="127" s="1"/>
  <c r="J752" i="127" s="1"/>
  <c r="L20" i="164"/>
  <c r="J1440" i="127"/>
  <c r="J1443" i="127" s="1"/>
  <c r="L10" i="170"/>
  <c r="L10" i="168"/>
  <c r="G321" i="94"/>
  <c r="G322" i="94" s="1"/>
  <c r="G323" i="94" s="1"/>
  <c r="G324" i="94" s="1"/>
  <c r="J34" i="164" s="1"/>
  <c r="G223" i="202"/>
  <c r="G224" i="202" s="1"/>
  <c r="G428" i="94"/>
  <c r="G429" i="94" s="1"/>
  <c r="G430" i="94" s="1"/>
  <c r="G431" i="94" s="1"/>
  <c r="J49" i="164" s="1"/>
  <c r="E183" i="202"/>
  <c r="M10" i="146"/>
  <c r="G23" i="146" s="1"/>
  <c r="L23" i="146" s="1"/>
  <c r="F46" i="7" s="1"/>
  <c r="J46" i="7" s="1"/>
  <c r="E75" i="141"/>
  <c r="G75" i="141" s="1"/>
  <c r="G76" i="141" s="1"/>
  <c r="G77" i="141" s="1"/>
  <c r="K16" i="140" s="1"/>
  <c r="G66" i="174" l="1"/>
  <c r="H66" i="174" s="1"/>
  <c r="J361" i="119"/>
  <c r="L32" i="187"/>
  <c r="G18" i="162"/>
  <c r="H18" i="162" s="1"/>
  <c r="N18" i="162" s="1"/>
  <c r="L12" i="162"/>
  <c r="A12" i="162" s="1"/>
  <c r="M13" i="162"/>
  <c r="L72" i="187"/>
  <c r="G33" i="162"/>
  <c r="H33" i="162" s="1"/>
  <c r="N33" i="162" s="1"/>
  <c r="L68" i="187"/>
  <c r="G32" i="162"/>
  <c r="H32" i="162" s="1"/>
  <c r="N32" i="162" s="1"/>
  <c r="L60" i="187"/>
  <c r="G30" i="162"/>
  <c r="L18" i="187"/>
  <c r="G15" i="162"/>
  <c r="H15" i="162" s="1"/>
  <c r="N15" i="162" s="1"/>
  <c r="H669" i="119"/>
  <c r="J669" i="119" s="1"/>
  <c r="J670" i="119" s="1"/>
  <c r="J671" i="119" s="1"/>
  <c r="J672" i="119" s="1"/>
  <c r="J673" i="119" s="1"/>
  <c r="H588" i="119"/>
  <c r="J588" i="119" s="1"/>
  <c r="J118" i="119"/>
  <c r="H119" i="119" s="1"/>
  <c r="J119" i="119" s="1"/>
  <c r="J80" i="187"/>
  <c r="J77" i="167"/>
  <c r="L77" i="167" s="1"/>
  <c r="L18" i="169"/>
  <c r="L29" i="168"/>
  <c r="G81" i="174"/>
  <c r="H81" i="174" s="1"/>
  <c r="O11" i="147"/>
  <c r="G26" i="146" s="1"/>
  <c r="L26" i="146" s="1"/>
  <c r="F55" i="7" s="1"/>
  <c r="J55" i="7" s="1"/>
  <c r="L18" i="203"/>
  <c r="L28" i="203" s="1"/>
  <c r="O12" i="147"/>
  <c r="G24" i="146" s="1"/>
  <c r="L24" i="146" s="1"/>
  <c r="F54" i="7" s="1"/>
  <c r="J54" i="7" s="1"/>
  <c r="H253" i="150"/>
  <c r="H254" i="150" s="1"/>
  <c r="H256" i="150" s="1"/>
  <c r="G72" i="174"/>
  <c r="H72" i="174" s="1"/>
  <c r="H19" i="162"/>
  <c r="N19" i="162" s="1"/>
  <c r="K71" i="174"/>
  <c r="A71" i="174" s="1"/>
  <c r="L72" i="174"/>
  <c r="L27" i="169"/>
  <c r="J803" i="127"/>
  <c r="J804" i="127" s="1"/>
  <c r="J805" i="127" s="1"/>
  <c r="J806" i="127" s="1"/>
  <c r="J807" i="127" s="1"/>
  <c r="H520" i="127"/>
  <c r="J520" i="127" s="1"/>
  <c r="J521" i="127" s="1"/>
  <c r="H1445" i="127"/>
  <c r="J1445" i="127" s="1"/>
  <c r="J1446" i="127" s="1"/>
  <c r="G73" i="202"/>
  <c r="G74" i="202" s="1"/>
  <c r="G75" i="202" s="1"/>
  <c r="K20" i="140"/>
  <c r="L20" i="140" s="1"/>
  <c r="R20" i="140" s="1"/>
  <c r="K18" i="140"/>
  <c r="L18" i="140" s="1"/>
  <c r="P18" i="140" s="1"/>
  <c r="L16" i="140"/>
  <c r="K19" i="140"/>
  <c r="L19" i="140" s="1"/>
  <c r="Q19" i="140" s="1"/>
  <c r="K17" i="140"/>
  <c r="L17" i="140" s="1"/>
  <c r="O17" i="140" s="1"/>
  <c r="O80" i="140" s="1"/>
  <c r="G11" i="139" s="1"/>
  <c r="D11" i="139" s="1"/>
  <c r="L88" i="164"/>
  <c r="H575" i="119"/>
  <c r="J575" i="119" s="1"/>
  <c r="H576" i="119" s="1"/>
  <c r="J576" i="119" s="1"/>
  <c r="L24" i="170"/>
  <c r="L33" i="170" s="1"/>
  <c r="H261" i="150"/>
  <c r="G286" i="150"/>
  <c r="H250" i="127"/>
  <c r="J250" i="127" s="1"/>
  <c r="J251" i="127" s="1"/>
  <c r="L22" i="140"/>
  <c r="P22" i="140" s="1"/>
  <c r="K23" i="140"/>
  <c r="J68" i="168"/>
  <c r="J87" i="167"/>
  <c r="J95" i="186"/>
  <c r="J90" i="187"/>
  <c r="J13" i="146"/>
  <c r="L13" i="146" s="1"/>
  <c r="L12" i="146"/>
  <c r="H330" i="119"/>
  <c r="J330" i="119" s="1"/>
  <c r="H331" i="119" s="1"/>
  <c r="J331" i="119" s="1"/>
  <c r="M13" i="147"/>
  <c r="J14" i="147"/>
  <c r="L41" i="168"/>
  <c r="G67" i="174"/>
  <c r="H67" i="174" s="1"/>
  <c r="H14" i="162"/>
  <c r="J66" i="174"/>
  <c r="H299" i="150"/>
  <c r="H300" i="150" s="1"/>
  <c r="G332" i="150"/>
  <c r="H332" i="150" s="1"/>
  <c r="H333" i="150" s="1"/>
  <c r="G183" i="202"/>
  <c r="J24" i="165"/>
  <c r="J24" i="199"/>
  <c r="L24" i="199" s="1"/>
  <c r="H230" i="127"/>
  <c r="J230" i="127" s="1"/>
  <c r="J231" i="127" s="1"/>
  <c r="L84" i="164"/>
  <c r="H323" i="127"/>
  <c r="J323" i="127" s="1"/>
  <c r="J324" i="127" s="1"/>
  <c r="L73" i="168"/>
  <c r="J30" i="165"/>
  <c r="J30" i="199"/>
  <c r="L30" i="199" s="1"/>
  <c r="E101" i="202"/>
  <c r="G101" i="202" s="1"/>
  <c r="L49" i="164"/>
  <c r="L34" i="164"/>
  <c r="N13" i="147"/>
  <c r="L14" i="147"/>
  <c r="D18" i="190"/>
  <c r="E17" i="190"/>
  <c r="G17" i="190" s="1"/>
  <c r="H275" i="150"/>
  <c r="J43" i="167"/>
  <c r="L43" i="167" s="1"/>
  <c r="J46" i="187"/>
  <c r="J45" i="186"/>
  <c r="L45" i="186" s="1"/>
  <c r="E196" i="113"/>
  <c r="G196" i="113" s="1"/>
  <c r="G197" i="113" s="1"/>
  <c r="G198" i="113" s="1"/>
  <c r="G199" i="113" s="1"/>
  <c r="L57" i="167"/>
  <c r="K12" i="146"/>
  <c r="H13" i="146"/>
  <c r="K13" i="146" s="1"/>
  <c r="L23" i="169"/>
  <c r="G319" i="150"/>
  <c r="H319" i="150" s="1"/>
  <c r="G175" i="150"/>
  <c r="H175" i="150" s="1"/>
  <c r="G131" i="150"/>
  <c r="H131" i="150" s="1"/>
  <c r="G68" i="174" l="1"/>
  <c r="H68" i="174" s="1"/>
  <c r="J68" i="174" s="1"/>
  <c r="H362" i="119"/>
  <c r="J362" i="119" s="1"/>
  <c r="J363" i="119" s="1"/>
  <c r="J364" i="119" s="1"/>
  <c r="J365" i="119" s="1"/>
  <c r="J366" i="119" s="1"/>
  <c r="L46" i="187"/>
  <c r="G22" i="162"/>
  <c r="L90" i="187"/>
  <c r="G37" i="162"/>
  <c r="H37" i="162" s="1"/>
  <c r="N37" i="162" s="1"/>
  <c r="L80" i="187"/>
  <c r="G35" i="162"/>
  <c r="H35" i="162" s="1"/>
  <c r="N35" i="162" s="1"/>
  <c r="J76" i="187"/>
  <c r="J73" i="167"/>
  <c r="L73" i="167" s="1"/>
  <c r="J81" i="186"/>
  <c r="L81" i="186" s="1"/>
  <c r="N14" i="162"/>
  <c r="J595" i="119"/>
  <c r="J597" i="119"/>
  <c r="J120" i="119"/>
  <c r="J121" i="119" s="1"/>
  <c r="J122" i="119" s="1"/>
  <c r="J123" i="119" s="1"/>
  <c r="O13" i="147"/>
  <c r="G22" i="146" s="1"/>
  <c r="L22" i="146" s="1"/>
  <c r="F53" i="7" s="1"/>
  <c r="J53" i="7" s="1"/>
  <c r="E147" i="113" s="1"/>
  <c r="G147" i="113" s="1"/>
  <c r="G148" i="113" s="1"/>
  <c r="E150" i="113" s="1"/>
  <c r="G150" i="113" s="1"/>
  <c r="G151" i="113" s="1"/>
  <c r="G152" i="113" s="1"/>
  <c r="G153" i="113" s="1"/>
  <c r="G154" i="113" s="1"/>
  <c r="L29" i="169"/>
  <c r="L95" i="186"/>
  <c r="B49" i="162"/>
  <c r="H49" i="162" s="1"/>
  <c r="N49" i="162" s="1"/>
  <c r="L73" i="174"/>
  <c r="K72" i="174"/>
  <c r="A72" i="174" s="1"/>
  <c r="J577" i="119"/>
  <c r="J579" i="119" s="1"/>
  <c r="L90" i="164"/>
  <c r="F155" i="174"/>
  <c r="H93" i="174"/>
  <c r="J232" i="127"/>
  <c r="J233" i="127" s="1"/>
  <c r="J234" i="127" s="1"/>
  <c r="J252" i="127"/>
  <c r="J253" i="127" s="1"/>
  <c r="J254" i="127" s="1"/>
  <c r="J255" i="127" s="1"/>
  <c r="J1447" i="127"/>
  <c r="J1448" i="127" s="1"/>
  <c r="J1449" i="127" s="1"/>
  <c r="J1450" i="127" s="1"/>
  <c r="H189" i="150"/>
  <c r="H191" i="150" s="1"/>
  <c r="H192" i="150" s="1"/>
  <c r="E10" i="171" s="1"/>
  <c r="H158" i="150"/>
  <c r="L15" i="147"/>
  <c r="N15" i="147" s="1"/>
  <c r="N14" i="147"/>
  <c r="J325" i="127"/>
  <c r="J326" i="127" s="1"/>
  <c r="J327" i="127" s="1"/>
  <c r="J328" i="127" s="1"/>
  <c r="L87" i="167"/>
  <c r="M13" i="146"/>
  <c r="G17" i="146" s="1"/>
  <c r="L17" i="146" s="1"/>
  <c r="F43" i="7" s="1"/>
  <c r="J43" i="7" s="1"/>
  <c r="P80" i="140"/>
  <c r="G12" i="139" s="1"/>
  <c r="D12" i="139" s="1"/>
  <c r="D19" i="190"/>
  <c r="E18" i="190"/>
  <c r="G18" i="190" s="1"/>
  <c r="G74" i="174"/>
  <c r="H74" i="174" s="1"/>
  <c r="J74" i="174" s="1"/>
  <c r="L24" i="165"/>
  <c r="H278" i="150"/>
  <c r="H279" i="150" s="1"/>
  <c r="H280" i="150" s="1"/>
  <c r="H281" i="150" s="1"/>
  <c r="E5" i="171" s="1"/>
  <c r="N16" i="140"/>
  <c r="M12" i="146"/>
  <c r="G19" i="146" s="1"/>
  <c r="L19" i="146" s="1"/>
  <c r="F44" i="7" s="1"/>
  <c r="J44" i="7" s="1"/>
  <c r="L23" i="140"/>
  <c r="Q23" i="140" s="1"/>
  <c r="Q80" i="140" s="1"/>
  <c r="G13" i="139" s="1"/>
  <c r="D13" i="139" s="1"/>
  <c r="K24" i="140"/>
  <c r="L24" i="140" s="1"/>
  <c r="R24" i="140" s="1"/>
  <c r="R80" i="140" s="1"/>
  <c r="G14" i="139" s="1"/>
  <c r="D14" i="139" s="1"/>
  <c r="H286" i="150"/>
  <c r="G315" i="150"/>
  <c r="H315" i="150" s="1"/>
  <c r="E184" i="202"/>
  <c r="G184" i="202" s="1"/>
  <c r="G185" i="202" s="1"/>
  <c r="G186" i="202" s="1"/>
  <c r="G187" i="202" s="1"/>
  <c r="G188" i="202" s="1"/>
  <c r="G71" i="174"/>
  <c r="H71" i="174" s="1"/>
  <c r="L30" i="165"/>
  <c r="G82" i="174"/>
  <c r="H82" i="174" s="1"/>
  <c r="M14" i="147"/>
  <c r="J15" i="147"/>
  <c r="M15" i="147" s="1"/>
  <c r="L68" i="168"/>
  <c r="L13" i="162"/>
  <c r="A13" i="162" s="1"/>
  <c r="G83" i="174"/>
  <c r="H83" i="174" s="1"/>
  <c r="H30" i="162"/>
  <c r="N30" i="162" s="1"/>
  <c r="F11" i="139"/>
  <c r="J332" i="119"/>
  <c r="J333" i="119" s="1"/>
  <c r="J334" i="119" s="1"/>
  <c r="J335" i="119" s="1"/>
  <c r="J23" i="187" l="1"/>
  <c r="E26" i="206" s="1"/>
  <c r="F26" i="206" s="1"/>
  <c r="L76" i="187"/>
  <c r="E52" i="206"/>
  <c r="F52" i="206" s="1"/>
  <c r="J50" i="186"/>
  <c r="L50" i="186" s="1"/>
  <c r="J52" i="187"/>
  <c r="G23" i="162" s="1"/>
  <c r="J49" i="167"/>
  <c r="L49" i="167" s="1"/>
  <c r="G34" i="162"/>
  <c r="H34" i="162" s="1"/>
  <c r="N34" i="162" s="1"/>
  <c r="L23" i="187"/>
  <c r="G17" i="162"/>
  <c r="H22" i="162"/>
  <c r="N22" i="162" s="1"/>
  <c r="G75" i="174"/>
  <c r="H75" i="174" s="1"/>
  <c r="J75" i="174" s="1"/>
  <c r="H598" i="119"/>
  <c r="J598" i="119" s="1"/>
  <c r="J599" i="119" s="1"/>
  <c r="J600" i="119" s="1"/>
  <c r="J601" i="119" s="1"/>
  <c r="J578" i="119"/>
  <c r="M14" i="162"/>
  <c r="K73" i="174"/>
  <c r="A73" i="174" s="1"/>
  <c r="L74" i="174"/>
  <c r="F152" i="174"/>
  <c r="G5" i="171"/>
  <c r="G42" i="162"/>
  <c r="H42" i="162" s="1"/>
  <c r="N42" i="162" s="1"/>
  <c r="F13" i="139"/>
  <c r="H303" i="150"/>
  <c r="H304" i="150" s="1"/>
  <c r="L25" i="140"/>
  <c r="L80" i="140" s="1"/>
  <c r="L5" i="140" s="1"/>
  <c r="L6" i="140" s="1"/>
  <c r="O15" i="147"/>
  <c r="G18" i="146" s="1"/>
  <c r="L18" i="146" s="1"/>
  <c r="F51" i="7" s="1"/>
  <c r="J51" i="7" s="1"/>
  <c r="J81" i="167"/>
  <c r="J89" i="186"/>
  <c r="L89" i="186" s="1"/>
  <c r="J84" i="187"/>
  <c r="H343" i="150"/>
  <c r="N80" i="140"/>
  <c r="G10" i="139" s="1"/>
  <c r="S25" i="140"/>
  <c r="S80" i="140" s="1"/>
  <c r="D21" i="190"/>
  <c r="E21" i="190" s="1"/>
  <c r="G21" i="190" s="1"/>
  <c r="D20" i="190"/>
  <c r="E19" i="190"/>
  <c r="G19" i="190" s="1"/>
  <c r="O14" i="147"/>
  <c r="G20" i="146" s="1"/>
  <c r="L20" i="146" s="1"/>
  <c r="F52" i="7" s="1"/>
  <c r="J52" i="7" s="1"/>
  <c r="E121" i="113" s="1"/>
  <c r="G121" i="113" s="1"/>
  <c r="H159" i="150"/>
  <c r="F12" i="139"/>
  <c r="G45" i="162"/>
  <c r="H45" i="162" s="1"/>
  <c r="N45" i="162" s="1"/>
  <c r="G10" i="171"/>
  <c r="F14" i="139"/>
  <c r="J71" i="174"/>
  <c r="E120" i="113"/>
  <c r="G120" i="113" s="1"/>
  <c r="H1024" i="127"/>
  <c r="J1024" i="127" s="1"/>
  <c r="J1025" i="127" s="1"/>
  <c r="H182" i="127"/>
  <c r="J182" i="127" s="1"/>
  <c r="L108" i="186" l="1"/>
  <c r="L52" i="187"/>
  <c r="E41" i="206"/>
  <c r="F41" i="206" s="1"/>
  <c r="F95" i="206" s="1"/>
  <c r="L84" i="187"/>
  <c r="L103" i="187" s="1"/>
  <c r="E7" i="133" s="1"/>
  <c r="G36" i="162"/>
  <c r="H36" i="162" s="1"/>
  <c r="N36" i="162" s="1"/>
  <c r="H23" i="162"/>
  <c r="N23" i="162" s="1"/>
  <c r="G76" i="174"/>
  <c r="H76" i="174" s="1"/>
  <c r="J76" i="174" s="1"/>
  <c r="H17" i="162"/>
  <c r="N17" i="162" s="1"/>
  <c r="G69" i="174"/>
  <c r="H69" i="174" s="1"/>
  <c r="L14" i="162"/>
  <c r="A14" i="162" s="1"/>
  <c r="M15" i="162"/>
  <c r="L15" i="162" s="1"/>
  <c r="A15" i="162" s="1"/>
  <c r="L75" i="174"/>
  <c r="K74" i="174"/>
  <c r="A74" i="174" s="1"/>
  <c r="G122" i="113"/>
  <c r="E124" i="113" s="1"/>
  <c r="H1027" i="127"/>
  <c r="J1027" i="127" s="1"/>
  <c r="J1028" i="127" s="1"/>
  <c r="H344" i="150"/>
  <c r="H345" i="150" s="1"/>
  <c r="E8" i="171" s="1"/>
  <c r="H160" i="150"/>
  <c r="E12" i="171" s="1"/>
  <c r="J183" i="127"/>
  <c r="G15" i="139"/>
  <c r="D10" i="139"/>
  <c r="H305" i="150"/>
  <c r="H306" i="150" s="1"/>
  <c r="E6" i="171" s="1"/>
  <c r="E20" i="190"/>
  <c r="G20" i="190" s="1"/>
  <c r="D22" i="190"/>
  <c r="E22" i="190" s="1"/>
  <c r="G22" i="190" s="1"/>
  <c r="G29" i="190" s="1"/>
  <c r="L81" i="167"/>
  <c r="L100" i="167" s="1"/>
  <c r="J69" i="174" l="1"/>
  <c r="H85" i="174"/>
  <c r="M16" i="162"/>
  <c r="M17" i="162" s="1"/>
  <c r="M18" i="162" s="1"/>
  <c r="L18" i="162" s="1"/>
  <c r="A18" i="162" s="1"/>
  <c r="L76" i="174"/>
  <c r="K75" i="174"/>
  <c r="A75" i="174" s="1"/>
  <c r="G8" i="171"/>
  <c r="G44" i="162"/>
  <c r="H44" i="162" s="1"/>
  <c r="N44" i="162" s="1"/>
  <c r="F10" i="139"/>
  <c r="D15" i="139"/>
  <c r="G6" i="171"/>
  <c r="G43" i="162"/>
  <c r="H43" i="162" s="1"/>
  <c r="N43" i="162" s="1"/>
  <c r="G124" i="113"/>
  <c r="E125" i="113" s="1"/>
  <c r="G125" i="113" s="1"/>
  <c r="G12" i="171"/>
  <c r="G46" i="162"/>
  <c r="H46" i="162" s="1"/>
  <c r="N46" i="162" s="1"/>
  <c r="J1029" i="127"/>
  <c r="J1030" i="127" s="1"/>
  <c r="J1031" i="127" s="1"/>
  <c r="J1032" i="127" s="1"/>
  <c r="H185" i="127"/>
  <c r="J185" i="127" s="1"/>
  <c r="J186" i="127" s="1"/>
  <c r="H190" i="150"/>
  <c r="L17" i="162" l="1"/>
  <c r="A17" i="162" s="1"/>
  <c r="L16" i="162"/>
  <c r="A16" i="162" s="1"/>
  <c r="K76" i="174"/>
  <c r="A76" i="174" s="1"/>
  <c r="L77" i="174"/>
  <c r="G126" i="113"/>
  <c r="G127" i="113" s="1"/>
  <c r="G128" i="113" s="1"/>
  <c r="G129" i="113" s="1"/>
  <c r="J187" i="127"/>
  <c r="J188" i="127" s="1"/>
  <c r="J189" i="127" s="1"/>
  <c r="J190" i="127" s="1"/>
  <c r="I46" i="162"/>
  <c r="I51" i="162"/>
  <c r="E7" i="139"/>
  <c r="D16" i="139"/>
  <c r="E24" i="133" s="1"/>
  <c r="E23" i="133"/>
  <c r="G18" i="171"/>
  <c r="E8" i="133" s="1"/>
  <c r="J56" i="168" l="1"/>
  <c r="J41" i="204"/>
  <c r="K41" i="204" s="1"/>
  <c r="K43" i="204" s="1"/>
  <c r="K45" i="204" s="1"/>
  <c r="K77" i="174"/>
  <c r="A77" i="174" s="1"/>
  <c r="L78" i="174"/>
  <c r="J33" i="199"/>
  <c r="J33" i="165"/>
  <c r="L33" i="165" s="1"/>
  <c r="L35" i="165" s="1"/>
  <c r="L190" i="127"/>
  <c r="H287" i="127"/>
  <c r="J287" i="127" s="1"/>
  <c r="J288" i="127" s="1"/>
  <c r="D17" i="139"/>
  <c r="F7" i="139"/>
  <c r="E11" i="139"/>
  <c r="E12" i="139"/>
  <c r="E14" i="139"/>
  <c r="E13" i="139"/>
  <c r="E10" i="139"/>
  <c r="J51" i="162"/>
  <c r="K51" i="162" s="1"/>
  <c r="M19" i="162"/>
  <c r="L56" i="168" l="1"/>
  <c r="L75" i="168" s="1"/>
  <c r="G89" i="174"/>
  <c r="H89" i="174" s="1"/>
  <c r="L33" i="199"/>
  <c r="L35" i="199" s="1"/>
  <c r="K78" i="174"/>
  <c r="A78" i="174" s="1"/>
  <c r="L79" i="174"/>
  <c r="E15" i="139"/>
  <c r="E12" i="133"/>
  <c r="E15" i="133" s="1"/>
  <c r="O90" i="174"/>
  <c r="H92" i="174"/>
  <c r="F154" i="174"/>
  <c r="O89" i="174"/>
  <c r="E25" i="133"/>
  <c r="E26" i="133" s="1"/>
  <c r="L4" i="140"/>
  <c r="H298" i="127"/>
  <c r="J298" i="127" s="1"/>
  <c r="J299" i="127" s="1"/>
  <c r="L19" i="162"/>
  <c r="A19" i="162" s="1"/>
  <c r="M20" i="162"/>
  <c r="M21" i="162" s="1"/>
  <c r="L21" i="162" l="1"/>
  <c r="A21" i="162" s="1"/>
  <c r="M22" i="162"/>
  <c r="G88" i="174"/>
  <c r="H88" i="174" s="1"/>
  <c r="H91" i="174" s="1"/>
  <c r="H94" i="174" s="1"/>
  <c r="H52" i="162"/>
  <c r="L10" i="174" s="1"/>
  <c r="I52" i="162"/>
  <c r="E6" i="163"/>
  <c r="L80" i="174"/>
  <c r="K79" i="174"/>
  <c r="A79" i="174" s="1"/>
  <c r="H97" i="174"/>
  <c r="H15" i="133"/>
  <c r="E13" i="133"/>
  <c r="H98" i="174" s="1"/>
  <c r="E14" i="133"/>
  <c r="F161" i="174" s="1"/>
  <c r="F159" i="174"/>
  <c r="J300" i="127"/>
  <c r="J301" i="127" s="1"/>
  <c r="J302" i="127" s="1"/>
  <c r="J303" i="127" s="1"/>
  <c r="L20" i="162"/>
  <c r="A20" i="162" s="1"/>
  <c r="L22" i="162" l="1"/>
  <c r="A22" i="162" s="1"/>
  <c r="M23" i="162"/>
  <c r="L23" i="162" s="1"/>
  <c r="A23" i="162" s="1"/>
  <c r="H100" i="174"/>
  <c r="E9" i="133"/>
  <c r="I53" i="162" s="1"/>
  <c r="N52" i="162"/>
  <c r="H53" i="162"/>
  <c r="L11" i="182" s="1"/>
  <c r="O88" i="174"/>
  <c r="F162" i="174"/>
  <c r="E10" i="163"/>
  <c r="F160" i="174"/>
  <c r="E7" i="163"/>
  <c r="E8" i="163"/>
  <c r="L81" i="174"/>
  <c r="K80" i="174"/>
  <c r="A80" i="174" s="1"/>
  <c r="H99" i="174"/>
  <c r="G169" i="174"/>
  <c r="L12" i="174"/>
  <c r="F153" i="174" l="1"/>
  <c r="F156" i="174" s="1"/>
  <c r="E10" i="133"/>
  <c r="F157" i="174" s="1"/>
  <c r="E11" i="133"/>
  <c r="E5" i="163" s="1"/>
  <c r="G7" i="133"/>
  <c r="J52" i="162"/>
  <c r="K52" i="162" s="1"/>
  <c r="I169" i="174"/>
  <c r="N53" i="162"/>
  <c r="M53" i="162" s="1"/>
  <c r="L13" i="174"/>
  <c r="M12" i="174" s="1"/>
  <c r="B3" i="179"/>
  <c r="C3" i="179" s="1"/>
  <c r="B3" i="184"/>
  <c r="C4" i="184" s="1"/>
  <c r="J53" i="162"/>
  <c r="K81" i="174"/>
  <c r="A81" i="174" s="1"/>
  <c r="L82" i="174"/>
  <c r="E35" i="182"/>
  <c r="I95" i="182"/>
  <c r="B96" i="182" s="1"/>
  <c r="C4" i="179" l="1"/>
  <c r="B6" i="179"/>
  <c r="C7" i="179" s="1"/>
  <c r="C3" i="184"/>
  <c r="C9" i="184" s="1"/>
  <c r="C17" i="184" s="1"/>
  <c r="E16" i="133"/>
  <c r="H95" i="174"/>
  <c r="H96" i="174"/>
  <c r="F158" i="174"/>
  <c r="M54" i="162"/>
  <c r="M55" i="162" s="1"/>
  <c r="L55" i="162" s="1"/>
  <c r="K82" i="174"/>
  <c r="A82" i="174" s="1"/>
  <c r="L83" i="174"/>
  <c r="K83" i="174" s="1"/>
  <c r="A83" i="174" s="1"/>
  <c r="E26" i="179"/>
  <c r="D5" i="179"/>
  <c r="E21" i="179"/>
  <c r="D4" i="179"/>
  <c r="C9" i="179"/>
  <c r="C17" i="179" s="1"/>
  <c r="E4" i="179"/>
  <c r="C21" i="179"/>
  <c r="M24" i="162"/>
  <c r="B100" i="182"/>
  <c r="B98" i="182"/>
  <c r="E36" i="182"/>
  <c r="E37" i="182" s="1"/>
  <c r="E38" i="182" s="1"/>
  <c r="E39" i="182" s="1"/>
  <c r="E40" i="182" s="1"/>
  <c r="E41" i="182" s="1"/>
  <c r="E42" i="182" s="1"/>
  <c r="E43" i="182" s="1"/>
  <c r="B105" i="182"/>
  <c r="B25" i="182"/>
  <c r="E17" i="133" l="1"/>
  <c r="E18" i="133" s="1"/>
  <c r="E19" i="133" s="1"/>
  <c r="N15" i="107" s="1"/>
  <c r="F163" i="174"/>
  <c r="C12" i="179"/>
  <c r="C15" i="179"/>
  <c r="C11" i="179"/>
  <c r="C14" i="179"/>
  <c r="C13" i="179"/>
  <c r="C7" i="184"/>
  <c r="C8" i="179"/>
  <c r="D4" i="184"/>
  <c r="E21" i="184"/>
  <c r="E23" i="184" s="1"/>
  <c r="F23" i="184" s="1"/>
  <c r="C8" i="184"/>
  <c r="K103" i="174"/>
  <c r="C21" i="184"/>
  <c r="C25" i="184" s="1"/>
  <c r="D5" i="184"/>
  <c r="E4" i="184"/>
  <c r="L54" i="162"/>
  <c r="L24" i="162"/>
  <c r="A24" i="162" s="1"/>
  <c r="M25" i="162"/>
  <c r="C18" i="184"/>
  <c r="C19" i="184"/>
  <c r="C22" i="179"/>
  <c r="D21" i="179"/>
  <c r="C25" i="179"/>
  <c r="E28" i="179"/>
  <c r="F28" i="179" s="1"/>
  <c r="E27" i="179"/>
  <c r="F27" i="179" s="1"/>
  <c r="F26" i="179"/>
  <c r="G26" i="179" s="1"/>
  <c r="F4" i="179"/>
  <c r="D17" i="179"/>
  <c r="C19" i="179"/>
  <c r="D19" i="179" s="1"/>
  <c r="C18" i="179"/>
  <c r="D18" i="179" s="1"/>
  <c r="E22" i="179"/>
  <c r="F22" i="179" s="1"/>
  <c r="F21" i="179"/>
  <c r="G21" i="179" s="1"/>
  <c r="E23" i="179"/>
  <c r="F23" i="179" s="1"/>
  <c r="F164" i="174" l="1"/>
  <c r="G19" i="133"/>
  <c r="E9" i="163"/>
  <c r="E11" i="163" s="1"/>
  <c r="H169" i="174" s="1"/>
  <c r="H101" i="174"/>
  <c r="D21" i="184"/>
  <c r="E22" i="184"/>
  <c r="F22" i="184" s="1"/>
  <c r="F21" i="184"/>
  <c r="F4" i="184"/>
  <c r="C23" i="184"/>
  <c r="D23" i="184" s="1"/>
  <c r="C22" i="184"/>
  <c r="D22" i="184" s="1"/>
  <c r="E18" i="179"/>
  <c r="H26" i="179"/>
  <c r="D20" i="179"/>
  <c r="E17" i="179"/>
  <c r="H25" i="179"/>
  <c r="G22" i="179"/>
  <c r="C23" i="179"/>
  <c r="D22" i="179"/>
  <c r="G27" i="179"/>
  <c r="E19" i="179"/>
  <c r="H27" i="179"/>
  <c r="L25" i="162"/>
  <c r="A25" i="162" s="1"/>
  <c r="M26" i="162"/>
  <c r="H20" i="133" l="1"/>
  <c r="H103" i="174"/>
  <c r="E106" i="174" s="1"/>
  <c r="E107" i="174" s="1"/>
  <c r="H28" i="179"/>
  <c r="G23" i="179"/>
  <c r="G28" i="179"/>
  <c r="D23" i="179"/>
  <c r="L26" i="162"/>
  <c r="A26" i="162" s="1"/>
  <c r="M27" i="162"/>
  <c r="G20" i="133" l="1"/>
  <c r="H102" i="174"/>
  <c r="F165" i="174"/>
  <c r="L9" i="174"/>
  <c r="L180" i="174" s="1"/>
  <c r="L27" i="162"/>
  <c r="A27" i="162" s="1"/>
  <c r="M28" i="162"/>
  <c r="M29" i="162" s="1"/>
  <c r="L29" i="162" s="1"/>
  <c r="A29" i="162" s="1"/>
  <c r="F166" i="174" l="1"/>
  <c r="L166" i="174" s="1"/>
  <c r="H19" i="133"/>
  <c r="E27" i="133"/>
  <c r="F169" i="174"/>
  <c r="A31" i="133"/>
  <c r="L28" i="162"/>
  <c r="A28" i="162" s="1"/>
  <c r="B180" i="174" l="1"/>
  <c r="B144" i="174"/>
  <c r="M30" i="162"/>
  <c r="M31" i="162" s="1"/>
  <c r="M32" i="162" l="1"/>
  <c r="L31" i="162"/>
  <c r="A31" i="162" s="1"/>
  <c r="L30" i="162"/>
  <c r="A30" i="162" s="1"/>
  <c r="L32" i="162" l="1"/>
  <c r="A32" i="162" s="1"/>
  <c r="M33" i="162"/>
  <c r="L33" i="162" l="1"/>
  <c r="A33" i="162" s="1"/>
  <c r="M34" i="162"/>
  <c r="M35" i="162" l="1"/>
  <c r="L34" i="162"/>
  <c r="A34" i="162" s="1"/>
  <c r="L35" i="162" l="1"/>
  <c r="A35" i="162" s="1"/>
  <c r="M36" i="162"/>
  <c r="M37" i="162" l="1"/>
  <c r="L36" i="162"/>
  <c r="A36" i="162" s="1"/>
  <c r="L37" i="162" l="1"/>
  <c r="A37" i="162" s="1"/>
  <c r="M38" i="162"/>
  <c r="M39" i="162" l="1"/>
  <c r="L38" i="162"/>
  <c r="A38" i="162" s="1"/>
  <c r="L39" i="162" l="1"/>
  <c r="A39" i="162" s="1"/>
  <c r="M40" i="162"/>
  <c r="L40" i="162" l="1"/>
  <c r="A40" i="162" s="1"/>
  <c r="M41" i="162"/>
  <c r="A47" i="162"/>
  <c r="L41" i="162" l="1"/>
  <c r="M42" i="162"/>
  <c r="L42" i="162" l="1"/>
  <c r="A42" i="162" s="1"/>
  <c r="M43" i="162"/>
  <c r="L43" i="162" l="1"/>
  <c r="A43" i="162" s="1"/>
  <c r="M44" i="162"/>
  <c r="M45" i="162" l="1"/>
  <c r="L44" i="162"/>
  <c r="A44" i="162" s="1"/>
  <c r="M46" i="162" l="1"/>
  <c r="L45" i="162"/>
  <c r="A45" i="162" s="1"/>
  <c r="L46" i="162" l="1"/>
  <c r="A46" i="162" s="1"/>
  <c r="D53" i="162" s="1"/>
  <c r="M47" i="162"/>
  <c r="M48" i="162" s="1"/>
  <c r="L48" i="162" l="1"/>
  <c r="A48" i="162" s="1"/>
  <c r="M49" i="162"/>
  <c r="L49" i="162" l="1"/>
  <c r="A49" i="162" s="1"/>
  <c r="M50" i="162"/>
  <c r="L50" i="162" s="1"/>
  <c r="A50" i="162" s="1"/>
  <c r="M51" i="162"/>
  <c r="M52" i="162" l="1"/>
  <c r="L52" i="162" s="1"/>
  <c r="L51" i="162"/>
</calcChain>
</file>

<file path=xl/sharedStrings.xml><?xml version="1.0" encoding="utf-8"?>
<sst xmlns="http://schemas.openxmlformats.org/spreadsheetml/2006/main" count="10502" uniqueCount="2981">
  <si>
    <t xml:space="preserve">DATA-CD STRUCTURES </t>
  </si>
  <si>
    <t>Name of Work  ::-</t>
  </si>
  <si>
    <t>S.No.</t>
  </si>
  <si>
    <t>Quantity</t>
  </si>
  <si>
    <t>Description of Item</t>
  </si>
  <si>
    <t>Rate</t>
  </si>
  <si>
    <t xml:space="preserve">per </t>
  </si>
  <si>
    <t>Amount (Rs.)</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</si>
  <si>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t>
  </si>
  <si>
    <t>Page 23,24,25  of MoRT&amp;H SDB</t>
  </si>
  <si>
    <t>Unit = cum</t>
  </si>
  <si>
    <t>Taking output = 1.25 cum</t>
  </si>
  <si>
    <t>(A) Labour</t>
  </si>
  <si>
    <t>no</t>
  </si>
  <si>
    <t>Mate</t>
  </si>
  <si>
    <t>Mazdoor skilled</t>
  </si>
  <si>
    <t>Mazdoor unskilled</t>
  </si>
  <si>
    <t>Agency area allowance</t>
  </si>
  <si>
    <t>TOTAL</t>
  </si>
  <si>
    <t>A =</t>
  </si>
  <si>
    <t>(B ) Machinery</t>
  </si>
  <si>
    <t xml:space="preserve">Air compressor 250 cfm with 2 leads of </t>
  </si>
  <si>
    <t xml:space="preserve">pneumatic breaker @ 1.5 cum per hour </t>
  </si>
  <si>
    <t>hour</t>
  </si>
  <si>
    <t>Tractor Trolley</t>
  </si>
  <si>
    <t>B =</t>
  </si>
  <si>
    <t>(A + B )</t>
  </si>
  <si>
    <t>(C)</t>
  </si>
  <si>
    <t>Over Head Charges on (A+B)</t>
  </si>
  <si>
    <t>%</t>
  </si>
  <si>
    <t>(D) Contractors Profit on (A+B+C)</t>
  </si>
  <si>
    <t>cum</t>
  </si>
  <si>
    <r>
      <rPr>
        <sz val="12"/>
        <rFont val="Tahoma"/>
        <family val="2"/>
      </rP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2"/>
        <rFont val="Tahoma"/>
        <family val="2"/>
      </rPr>
      <t>th</t>
    </r>
    <r>
      <rPr>
        <sz val="12"/>
        <rFont val="Tahoma"/>
        <family val="2"/>
      </rPr>
      <t xml:space="preserve"> Revision)  and as directed by the Engineer-in-Charge. (Payment Based on Levels)</t>
    </r>
  </si>
  <si>
    <t>Unit : Cum</t>
  </si>
  <si>
    <t>Page 323 of MoRT&amp;H SDB</t>
  </si>
  <si>
    <t xml:space="preserve">Taking out put = 240 Cum </t>
  </si>
  <si>
    <t>(A)</t>
  </si>
  <si>
    <t>Labour</t>
  </si>
  <si>
    <t>day</t>
  </si>
  <si>
    <t>(B)</t>
  </si>
  <si>
    <t>Machinery</t>
  </si>
  <si>
    <t>hr</t>
  </si>
  <si>
    <t>Hydraualic Excavator 1 Cum bucket capacity @ 60 cum/hr</t>
  </si>
  <si>
    <t>Rate as per G.O. Ms No 10, Dt 26/7/2005</t>
  </si>
  <si>
    <t xml:space="preserve">Over head charges </t>
  </si>
  <si>
    <t>(D)</t>
  </si>
  <si>
    <t>Total of (A) + (B)+( C)</t>
  </si>
  <si>
    <t>(E)</t>
  </si>
  <si>
    <t>Add Contractors Profit at 10% on (D)</t>
  </si>
  <si>
    <t>Cost per 240 cum (D)+(E)</t>
  </si>
  <si>
    <t xml:space="preserve">Rate for 1 cum </t>
  </si>
  <si>
    <t>Add seignorage charges (1*22)</t>
  </si>
  <si>
    <t>Rate to be adopted</t>
  </si>
  <si>
    <t>1 Cum</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</si>
  <si>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</si>
  <si>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Page 335 of MoRT&amp;H SDB</t>
  </si>
  <si>
    <t>Taking output = 15 cum</t>
  </si>
  <si>
    <t>Day</t>
  </si>
  <si>
    <t>Mason</t>
  </si>
  <si>
    <t>Mazdoor</t>
  </si>
  <si>
    <t>Total</t>
  </si>
  <si>
    <t>Material</t>
  </si>
  <si>
    <t>Cost of 40mm SS-5 HBG M/C  metal</t>
  </si>
  <si>
    <t>Cost of 20mm SS-5 HBG M/C  metal</t>
  </si>
  <si>
    <t>Cost of 10mm SS-5 HBG M/C  metal</t>
  </si>
  <si>
    <t>Sand at site</t>
  </si>
  <si>
    <t>MT</t>
  </si>
  <si>
    <t>Cement at site</t>
  </si>
  <si>
    <t>Concrete mixer 0.4/0.28 cum</t>
  </si>
  <si>
    <t>Generator set 35 KVA</t>
  </si>
  <si>
    <t>Water tanker 6 KL capacity</t>
  </si>
  <si>
    <t>Form work</t>
  </si>
  <si>
    <t>Form work @ 10% on (A)+(B)+( C)</t>
  </si>
  <si>
    <t>Cum</t>
  </si>
  <si>
    <t xml:space="preserve">Over head charges @ 5% </t>
  </si>
  <si>
    <t>Add for Over head charges @ 5% on (A)+(B)+( C)</t>
  </si>
  <si>
    <t>(F)</t>
  </si>
  <si>
    <t>Total of (A) + (B)+( C)+(D)+(E)</t>
  </si>
  <si>
    <t>(G)</t>
  </si>
  <si>
    <t>Add Contractors Profit at 10% on (F)</t>
  </si>
  <si>
    <t>Cost per 15 cum (F)+(G)</t>
  </si>
  <si>
    <t>Rate for 1 cum</t>
  </si>
  <si>
    <t xml:space="preserve">Providing and filling  bedding of Granular material around the pipes of  Hume pipe culverts suitably compacted / rammed including cost, (excluding  seigniorage) and conveyance of materials to site etc.,  complete as per drawing and MoRT&amp;H Specification  2900 ( 5th Revision) and as directed by the Engineer-in-Charge. </t>
  </si>
  <si>
    <t>Page 462 of MoRT&amp;H SDB</t>
  </si>
  <si>
    <t>Taking output = 10 cum</t>
  </si>
  <si>
    <t xml:space="preserve"> </t>
  </si>
  <si>
    <t>Cost of Gravel</t>
  </si>
  <si>
    <t>©</t>
  </si>
  <si>
    <t>Plate compactor/Power rammer/road roller</t>
  </si>
  <si>
    <t>Total of (A) + (B)+( C)+(D)</t>
  </si>
  <si>
    <t>Add Contractors Profit at 10% on (E)</t>
  </si>
  <si>
    <t>Cost per 10 cum (E)+(F)</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</si>
  <si>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 &amp; Sub structure .</t>
  </si>
  <si>
    <t>Page 335,455 of MoRT&amp;H SDB</t>
  </si>
  <si>
    <t>(c )</t>
  </si>
  <si>
    <t xml:space="preserve">Form work charges @ 4% </t>
  </si>
  <si>
    <t>Add for Form work charges @ 4% on (A)+(B)+(C)</t>
  </si>
  <si>
    <t xml:space="preserve">Over head charges @ 3% </t>
  </si>
  <si>
    <t>Cost per 15 cum (E)+(F)</t>
  </si>
  <si>
    <t>Providing Vibrated Cement Concrete (1:3:6) mix using 40mm size HBG crushed stone aggregate and fine aggregate conforming to table 1000-2 of MoRT&amp;H including cost, (excluding  seigniorage)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foundations.</t>
  </si>
  <si>
    <t>Page 271 of MoRT&amp;H SDB</t>
  </si>
  <si>
    <r>
      <rPr>
        <sz val="12"/>
        <rFont val="Arial"/>
        <family val="2"/>
      </rPr>
      <t>Providing, laying Reinforced cement concrete Hume pipes of 1000 mm Dia.,</t>
    </r>
    <r>
      <rPr>
        <b/>
        <sz val="12"/>
        <rFont val="Arial"/>
        <family val="2"/>
      </rPr>
      <t xml:space="preserve"> NP-4</t>
    </r>
    <r>
      <rPr>
        <sz val="12"/>
        <rFont val="Arial"/>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family val="2"/>
      </rPr>
      <t>(NP-4 Concrete Pipe on First Class Bedding in Single Row)</t>
    </r>
  </si>
  <si>
    <t>Unit = metre</t>
  </si>
  <si>
    <t>Page 272,273 of MoRT&amp;H SDB</t>
  </si>
  <si>
    <t>Taking output = 12.5 metre</t>
  </si>
  <si>
    <t>1000 mm Dia.,</t>
  </si>
  <si>
    <t>nos</t>
  </si>
  <si>
    <t>RM</t>
  </si>
  <si>
    <t>Cost of 1000mm Dia., pipes</t>
  </si>
  <si>
    <t>Over head charges @ 5%</t>
  </si>
  <si>
    <t>Cost per 12.5 metre (D)+(E)</t>
  </si>
  <si>
    <t>Rate for 1 RM</t>
  </si>
  <si>
    <t>1 RM</t>
  </si>
  <si>
    <t xml:space="preserve">Providing and laying filter material with Gravel underneath pitching in slopes including cost, (excluding  seigniorage) charges and conveyance of materials to site including labour charges  etc., complete for finished item of work as per MoRT&amp;H Specification 2504 (5th Revision) and as directed by the Engineer-in-Charge  </t>
  </si>
  <si>
    <t>Page 523 of MoRT&amp;H SDB</t>
  </si>
  <si>
    <t>Taking output = 1 cum</t>
  </si>
  <si>
    <t>Providing dry rough stone revetment 300 mm thick with HBG stone of not less than 300 mm size including cost, (excluding  seigniorage) charges and conveyance of materials to site and including labour charges for packing the stones for revetment etc., complete for finished item of work as per MoRT&amp;H specification 2504 ( 5th revision ) and as directed by the Engineer-in-Charge  for  Pitching of slopes</t>
  </si>
  <si>
    <t>Page 522 of MoRT&amp;H SDB</t>
  </si>
  <si>
    <t>Cost of Rough stone HBG  300mm thick</t>
  </si>
  <si>
    <t xml:space="preserve">Cost of stone spalls </t>
  </si>
  <si>
    <t>Cost per 1 cum (E)+(F)</t>
  </si>
  <si>
    <t>Providing and laying Boulder's apron on  River Bed for protection against scour with stone boulders weighing not less than 40 k.g each complete as per drawing and technical specification 300 mm thick with HBG stone of not less than 300 mm size including cost, (excluding  seigniorage) charges and conveyance of materials to site and including labour charges for packing the stones for apron etc., complete for finished item of work as per MoRT&amp;H specification 2503 ( 5th revision ) and as directed by the Engineer-in-Charge  for  Bed Protection.</t>
  </si>
  <si>
    <t>Taking out put = 1 Cum</t>
  </si>
  <si>
    <t>Page 520 of MoRT&amp;H SDB</t>
  </si>
  <si>
    <t>Mazdoor Unskilled</t>
  </si>
  <si>
    <t>Cost of stones spalls</t>
  </si>
  <si>
    <t>Cost  per 10 sqm  (D) + (E)</t>
  </si>
  <si>
    <t>Rate per sqm</t>
  </si>
  <si>
    <t xml:space="preserve">Rate per 1 sqm </t>
  </si>
  <si>
    <t>1 sqm</t>
  </si>
  <si>
    <t>Unit = Sqm</t>
  </si>
  <si>
    <t>Page 220 of MoRT&amp;H SDB</t>
  </si>
  <si>
    <t>Taking output = 40 Sqm</t>
  </si>
  <si>
    <t>Painter</t>
  </si>
  <si>
    <t>Paint (Page No 20, Sno 71)</t>
  </si>
  <si>
    <t>Cost per 40 Sqm (E)+(F)</t>
  </si>
  <si>
    <t>Rate for 1 Sqm</t>
  </si>
  <si>
    <t>1 Sqm</t>
  </si>
  <si>
    <t>Filling in between body walls  with gravel including cost,conveyance and  (excluding  seigniorage) of all materials to site etc., complete  as per   Clause 710.1.4 of IRC : 78 and as per  MoRT&amp;H Specification No. 2200 &amp; 2907 (5th Revision) and as per Drawing and technical specifications  for finished item of work</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</si>
  <si>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</si>
  <si>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Page 463 of MoRT&amp;H SDB</t>
  </si>
  <si>
    <t>skiled</t>
  </si>
  <si>
    <t>Cost of 150mm size IRC soling stone</t>
  </si>
  <si>
    <t>Cost of 40mm size IRC metal</t>
  </si>
  <si>
    <t>Over head charges</t>
  </si>
  <si>
    <t xml:space="preserve">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Curtainwalls </t>
  </si>
  <si>
    <t>Add for Over head charges @ 4% on (A)+(B)+(C)</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</si>
  <si>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 Structures.</t>
  </si>
  <si>
    <t>Page 335,500 of MoRT&amp;H SDB</t>
  </si>
  <si>
    <t xml:space="preserve">Form work charges @ 10%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</si>
  <si>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Bed Blocks &amp; Backing Walls</t>
  </si>
  <si>
    <t>Page 472, 457 of MoRT&amp;H SDB</t>
  </si>
  <si>
    <t xml:space="preserve">Form work charges @ 20%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</si>
  <si>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Deck Slabs</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</si>
  <si>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2704 as directed by the Engineer-in-Charge for Approach Slabs</t>
  </si>
  <si>
    <t>Page  340 SDB, Chapter-12</t>
  </si>
  <si>
    <t>mate</t>
  </si>
  <si>
    <t>Form work @ 3.75 on (A)+(B)+( C)</t>
  </si>
  <si>
    <t>Cost per 120 cum (F)+(G)</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</si>
  <si>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 over Deck Slab</t>
  </si>
  <si>
    <t>Page  477 SDB, Chapter-14</t>
  </si>
  <si>
    <t>Form work @ 20% on (A)+(B)+( C)</t>
  </si>
  <si>
    <t>Unit = 1 Cum</t>
  </si>
  <si>
    <t>Cement Concrete M 30 Grade</t>
  </si>
  <si>
    <t>HYSD Bar reinformcement</t>
  </si>
  <si>
    <t>Labour for cleaning deck slab concrete</t>
  </si>
  <si>
    <t>Providing 25.4 mm mastic pads for Longitudinal joints, Transversal expansion joints and Construction joints of approved quality including cost, conveyance and placing in position, etc., complete as directed by the Engineer-in-charge.</t>
  </si>
  <si>
    <t>Rate as per Building SSR Item No.197</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</si>
  <si>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t>
  </si>
  <si>
    <t>Page  341 SDB, Chapter-12</t>
  </si>
  <si>
    <t>Taking output = 120cum</t>
  </si>
  <si>
    <t>Batching Plant @ 20 cum/hour</t>
  </si>
  <si>
    <t>Generator 100 KVA</t>
  </si>
  <si>
    <t>Loader 1 cum capacity 1 cum</t>
  </si>
  <si>
    <t>Transit Mixer 4 cum capacity for lead upto 1 km.</t>
  </si>
  <si>
    <t>tkm</t>
  </si>
  <si>
    <t>Transit Mixer 4 cum capacity lead beyond 1 Km, L - lead in Kilometer</t>
  </si>
  <si>
    <t>Concrete Pump</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</si>
  <si>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 structure</t>
  </si>
  <si>
    <t>Page  455 SDB, Chapter-13</t>
  </si>
  <si>
    <t>L</t>
  </si>
  <si>
    <t>Form work @ 10 on (A)+(B)+( C)</t>
  </si>
  <si>
    <t xml:space="preserve">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 </t>
  </si>
  <si>
    <t>Page 475 SDB, Chapter-14</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</si>
  <si>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foundation RCC items.</t>
    </r>
  </si>
  <si>
    <t>Page 449 of MoRT&amp;H SDB</t>
  </si>
  <si>
    <t>Unit = MT</t>
  </si>
  <si>
    <t>Taking output = 1 MT</t>
  </si>
  <si>
    <t>Black smith</t>
  </si>
  <si>
    <t>(B) Material</t>
  </si>
  <si>
    <t>HYSD bars including overlaps</t>
  </si>
  <si>
    <t>Kg</t>
  </si>
  <si>
    <t>Binding wire ( I&amp;CAD SSR item no.3 )</t>
  </si>
  <si>
    <t>(C) Over Head Charges on (A+B)</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</si>
  <si>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Sub structure of R.C.C items.</t>
    </r>
  </si>
  <si>
    <t>Page 459,460 of MoRT&amp;H SDB</t>
  </si>
  <si>
    <t>Binding wire ( Building SSR item no.757 )</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</si>
  <si>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r>
  </si>
  <si>
    <t>Page 489,490 of MoRT&amp;H SDB</t>
  </si>
  <si>
    <t>HYSD bars including 5% overlaps and wastage</t>
  </si>
  <si>
    <t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t>
  </si>
  <si>
    <t>Page No. 461,  SSR 2016-17</t>
  </si>
  <si>
    <t>Rm</t>
  </si>
  <si>
    <t>Unit = RM</t>
  </si>
  <si>
    <t>Forming embankment with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 complete for finished item of work as per MoRT&amp;H specification 305 (5th revision). (Payment Based on Levels) for diversion road</t>
  </si>
  <si>
    <t xml:space="preserve">Taking out put = 100 Cum </t>
  </si>
  <si>
    <t>Page 70 of MoRT&amp;H SDB</t>
  </si>
  <si>
    <t>t.km</t>
  </si>
  <si>
    <t>Tipper (for 10Kms=160x5=800)</t>
  </si>
  <si>
    <t>Tipper (for 10Kms=160x10=1600)</t>
  </si>
  <si>
    <t>Add 10% of cost of carriage to cover cost of loading and unloading</t>
  </si>
  <si>
    <t>Dozer 80 HP for spreading @ 200 cum per hour</t>
  </si>
  <si>
    <t>Motor Grador for Grading @ 100 cum per hour</t>
  </si>
  <si>
    <t>Water tanker 6 KL</t>
  </si>
  <si>
    <t>Vibratory roller 8T</t>
  </si>
  <si>
    <t>Cost  per 100 cum  (D) + (E)</t>
  </si>
  <si>
    <t>Rate per Cum</t>
  </si>
  <si>
    <t xml:space="preserve">Rate per 1 cum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</si>
  <si>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</si>
  <si>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Unit = 1 Lm</t>
  </si>
  <si>
    <t>Page 472,497 of MoRT&amp;H SDB</t>
  </si>
  <si>
    <t>Taking output = 10 Lm</t>
  </si>
  <si>
    <t>HYSD Steel Reinforcement including Dowel Bars</t>
  </si>
  <si>
    <t>Pre moulded Asphalt filler Board</t>
  </si>
  <si>
    <t>Generator 35 KVA</t>
  </si>
  <si>
    <t>Rate for 1Lm</t>
  </si>
  <si>
    <t>1 Lm</t>
  </si>
  <si>
    <t>Providing Grouted Revetment with  rough stone (HBG/HBT) of not less than 300 mm size grouted with 0.20 cum of CC (1:4:8) including cost, seigniorage charges and conveyance of materials to site and including labour charges for packing the stones for revetment etc., complete for finished item of work as per MoRT&amp;H specification 2504 ( 4th revision ) and as directed by the Engineer-in-Charge  for  quadrennial revetment.</t>
  </si>
  <si>
    <t>Page 331, 522  SDB</t>
  </si>
  <si>
    <t>Cost of CC (1:4:8)</t>
  </si>
  <si>
    <t>Cost ofRough Stone HBG/HBT 300mm thick</t>
  </si>
  <si>
    <t>Drainage spouts complete as per drawing and technical specifications Clause 1209 MORD &amp; 2705 MORTH</t>
  </si>
  <si>
    <t>Pg no 499 of SDB</t>
  </si>
  <si>
    <t>Unit = 1 No</t>
  </si>
  <si>
    <t>taking output=1 no</t>
  </si>
  <si>
    <t>(A) for Fabrication</t>
  </si>
  <si>
    <t>Mason skilled</t>
  </si>
  <si>
    <t>(B) Fixing</t>
  </si>
  <si>
    <t>corrosion resistanct structural steel including 5% wastage (M087, Pg.36 of SSR 2015-16)</t>
  </si>
  <si>
    <t>GI bolt 10mm Dia (M110, Pg.37 of SSR 2015-16)</t>
  </si>
  <si>
    <t>G I Pipe 100 mm dia B Class (Sl.32, Pg.20 of SSR 2015-16)</t>
  </si>
  <si>
    <t>each</t>
  </si>
  <si>
    <t>Galvanised MS flat clamp(M101, Pg.37 of SSR 2015-16)</t>
  </si>
  <si>
    <t>Add @ 5 per cent of cost of material and labour (a+b) for electrodes, gas cutting, sealant, anti-corrosive bituminous paint, mild steel grating etc.</t>
  </si>
  <si>
    <t>NO</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</si>
  <si>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</si>
  <si>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Sub structure .</t>
  </si>
  <si>
    <t>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MoRT&amp;H specification 2706 &amp; 2200  (5th Revision)</t>
  </si>
  <si>
    <t>Page 461,333 of MoRT&amp;H SDB</t>
  </si>
  <si>
    <t>Taking output = 30 RM</t>
  </si>
  <si>
    <t>Cement Mortar (1:3) (Out put = 1Cum)</t>
  </si>
  <si>
    <t>(a) Material</t>
  </si>
  <si>
    <t>Cost of Cement</t>
  </si>
  <si>
    <t xml:space="preserve">Cost of Sand motor </t>
  </si>
  <si>
    <t>a =</t>
  </si>
  <si>
    <t>(b) Labour</t>
  </si>
  <si>
    <t>b =</t>
  </si>
  <si>
    <t>Cost per 1 Cum (a+b)</t>
  </si>
  <si>
    <t>(A) Material</t>
  </si>
  <si>
    <t>collars for AC pipe</t>
  </si>
  <si>
    <t>MS clamps</t>
  </si>
  <si>
    <t>Cement mortar (1:3)</t>
  </si>
  <si>
    <t>(B) Labour</t>
  </si>
  <si>
    <t>(E ) (excluding  seigniorage) charges</t>
  </si>
  <si>
    <t>Provision of an Reinforced cement concrete crash barrier at the edges of the road, approaches to bridge structures and medians, constructed with M-40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t>
  </si>
  <si>
    <t>Taking output = 10 RM</t>
  </si>
  <si>
    <t>M40 Grade concrete</t>
  </si>
  <si>
    <t>Page 237 &amp; 482 ( M40 Grade) SDB, Chapter-12</t>
  </si>
  <si>
    <t>Taking output = 120 cum</t>
  </si>
  <si>
    <t>Admixture@0.4%of cement</t>
  </si>
  <si>
    <t>KG</t>
  </si>
  <si>
    <t>Super Plasticizer item 643 building SOR 2016-17</t>
  </si>
  <si>
    <t xml:space="preserve">Over head charges @ </t>
  </si>
  <si>
    <t>Add for Over head charges @ 5% on (A)+(B)+( C)+(D)</t>
  </si>
  <si>
    <t>(A) M40 grade concrete</t>
  </si>
  <si>
    <t>M 40</t>
  </si>
  <si>
    <t>Pre-moulded asphalt filler board</t>
  </si>
  <si>
    <r>
      <rPr>
        <sz val="12"/>
        <rFont val="Arial"/>
        <family val="2"/>
      </rPr>
      <t>Providing, laying Reinforced cement concrete Hume pipes of 1000 mm Dia.,</t>
    </r>
    <r>
      <rPr>
        <b/>
        <sz val="12"/>
        <rFont val="Arial"/>
        <family val="2"/>
      </rPr>
      <t xml:space="preserve"> NP-4</t>
    </r>
    <r>
      <rPr>
        <sz val="12"/>
        <rFont val="Arial"/>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family val="2"/>
      </rPr>
      <t>(NP-4 Concrete Pipe on First Class Bedding in Double Row)</t>
    </r>
  </si>
  <si>
    <t>6 RBR-FNDN-4</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</si>
  <si>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</si>
  <si>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SDB, Chapter-12</t>
  </si>
  <si>
    <t>Form work @ 3.75% on (A)+(B)+( C)</t>
  </si>
  <si>
    <r>
      <rPr>
        <sz val="12"/>
        <rFont val="Tahoma"/>
        <family val="2"/>
      </rPr>
      <t>Providing Vibrated Cement Concrete (1:4:8) mix using 40mm size HBG crushed stone aggregate and fine aggregate conforming to table 1000-2 of MoRT&amp;H including cost and conveyance of all materials to site and labour charges, centering, machine mixing, laying,  Vibrating, curing etc., including all other incidental and operational charges of all T&amp;P  etc., complete for finished item of work as per MoRT&amp;H specification 1500, 1700, 2100  (5</t>
    </r>
    <r>
      <rPr>
        <vertAlign val="superscript"/>
        <sz val="12"/>
        <rFont val="Tahoma"/>
        <family val="2"/>
      </rPr>
      <t>th</t>
    </r>
    <r>
      <rPr>
        <sz val="12"/>
        <rFont val="Tahoma"/>
        <family val="2"/>
      </rPr>
      <t xml:space="preserve">  Revision) and as directed by the Engineer-in-Charge base course below CC pavment</t>
    </r>
  </si>
  <si>
    <t>Page 331 of MoRT&amp;H SDB</t>
  </si>
  <si>
    <t xml:space="preserve">Providing and applying 2 coats of water based cement paint to unplastered concrete surface after cleaning the surface of dirt, dust, oil, grease, efflorescence and applying paint @ of 1 litre for 2 sqm as per Tech Specification 800 MORTH. </t>
  </si>
  <si>
    <t>Unit : Sqm</t>
  </si>
  <si>
    <t>Taking out put = 10 Sqm</t>
  </si>
  <si>
    <t>RBR-SPST-26 of  SDB</t>
  </si>
  <si>
    <t>painter</t>
  </si>
  <si>
    <t>ltr</t>
  </si>
  <si>
    <t>Water based paint of approved quality for cement concrete surface</t>
  </si>
  <si>
    <t>Vibrated reinforced cement concrete M 20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for  Bed blocks &amp; Backing walls</t>
  </si>
  <si>
    <t>Page 472,457 of MoRT&amp;H SDB</t>
  </si>
  <si>
    <t>Add for Over head charges @ 3% on (A)+(B)+( C)</t>
  </si>
  <si>
    <t>Vibrated reinforced cement concrete M.25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</si>
  <si>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Mazdoor SKILLED</t>
  </si>
  <si>
    <t>Earth work in excavation of foundation of structures as per drawing and technical specification, including setting out, construction of shoring and bracing, removal of stumps and other deleterious matter, dressing of sides and bottom and backfilling with approved material. Techinical Specification Clause 304 MoRTH 5th Revision-Hard Rock (Blasting Prohibited)</t>
  </si>
  <si>
    <t xml:space="preserve">Taking out put = 10 Cum </t>
  </si>
  <si>
    <t>Cost per 10 cum (D)+(E)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</si>
  <si>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</si>
  <si>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344 SDB, Chapter-12</t>
  </si>
  <si>
    <t>Mazdoor Skilled</t>
  </si>
  <si>
    <t>Form work @ 3.5%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</si>
  <si>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Sub-Structures</t>
  </si>
  <si>
    <t>Page  458 SDB, Chapter-12</t>
  </si>
  <si>
    <t>Form work @ 13.1%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</si>
  <si>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Super-Structures</t>
  </si>
  <si>
    <t>Page  478 SDB, Chapter-12</t>
  </si>
  <si>
    <t xml:space="preserve">Providing and fixing 2 mm thick corrugated copper plate in expansion joint complete as per drawing and Technical Specification </t>
  </si>
  <si>
    <t>Unit :RM</t>
  </si>
  <si>
    <t>Taking out put = 12 m</t>
  </si>
  <si>
    <t>Page 507 of SDB, Chapter 14</t>
  </si>
  <si>
    <t xml:space="preserve">Mazdoor </t>
  </si>
  <si>
    <t>Copper Plate; (Sno 866, Pg No: 302 of SoR 2016-17)</t>
  </si>
  <si>
    <t>Cost  per 12 m  (D) + (E)</t>
  </si>
  <si>
    <t>Rate per 1 m</t>
  </si>
  <si>
    <t>6.08C</t>
  </si>
  <si>
    <t>Providing HYSD bars ( Fe-415 )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</si>
  <si>
    <t>Construction of precast RCC railing of M30 Grade, aggregate size not exceeding 12 mm, true to line and grade, tolerance of vertical RCC post not to exceed 1 in 500, centre to centre spacing between vertical post not to exceed 2000 mm, leaving adequate space between vertical post for expansion, complete as per approved drawings and technical specifications.</t>
  </si>
  <si>
    <t>Taking out put = 2x24=48 m</t>
  </si>
  <si>
    <t>Page 495 of SDB</t>
  </si>
  <si>
    <t>M 30 Grade Reinf Cement Concrete</t>
  </si>
  <si>
    <t>Add 5% cost for formwork for casting in casting yard</t>
  </si>
  <si>
    <t>HYSD bar Reinf</t>
  </si>
  <si>
    <t>Add 5% cost for handling and fixing of precast panels in position</t>
  </si>
  <si>
    <t>Cost  per 48 m  (D) + (E)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</si>
  <si>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</si>
  <si>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Page  342, 501 of SDB, Chapter-12</t>
  </si>
  <si>
    <t>Estt.Cost.Rs.</t>
  </si>
  <si>
    <t>Lakhs</t>
  </si>
  <si>
    <t>ECV</t>
  </si>
  <si>
    <t>1%</t>
  </si>
  <si>
    <t>EMD</t>
  </si>
  <si>
    <t>1% ECV</t>
  </si>
  <si>
    <t>C1- TRANSATION FEE</t>
  </si>
  <si>
    <t>0.03% of ECV+12.36% service tax</t>
  </si>
  <si>
    <t>Plus 12.36% service tax with upper ceiling of 10000+1236=11236/- up to 50.00 Crore</t>
  </si>
  <si>
    <t>11236/-</t>
  </si>
  <si>
    <t>Period of contract in months</t>
  </si>
  <si>
    <t xml:space="preserve"> up to  2.00Cr  -&gt; 12 months
above 2.00 Cr -&gt;  15 months</t>
  </si>
  <si>
    <t>Solvency</t>
  </si>
  <si>
    <t xml:space="preserve">                 3 x ECV  /  
 Period of Contract in months</t>
  </si>
  <si>
    <t>MTC-&gt;</t>
  </si>
  <si>
    <t>Prime Contractor</t>
  </si>
  <si>
    <t>50% of ECV X 12 / Period of Contract</t>
  </si>
  <si>
    <t>Bid Capacity</t>
  </si>
  <si>
    <t>Quantities</t>
  </si>
  <si>
    <t>50 % of Est. Qty X 12/Period of contract</t>
  </si>
  <si>
    <t xml:space="preserve">Required Quantity </t>
  </si>
  <si>
    <t>Earth work</t>
  </si>
  <si>
    <t>Gravel/GSB</t>
  </si>
  <si>
    <t>WBM/WET MIX</t>
  </si>
  <si>
    <t>BT ALL TYPES Sqm</t>
  </si>
  <si>
    <t>Sqm</t>
  </si>
  <si>
    <t>CC or VCC  or  VRCC</t>
  </si>
  <si>
    <t>MILE STONES</t>
  </si>
  <si>
    <t>Mile stone -1 ( Fnancial )</t>
  </si>
  <si>
    <t>Mile stone -2 ( Fnancial )</t>
  </si>
  <si>
    <t>Mile stone -3 ( Fnancial )</t>
  </si>
  <si>
    <t>Rs.100/per Lakh per day</t>
  </si>
  <si>
    <t>OK</t>
  </si>
  <si>
    <t>LIQUIDITY DAMAGES</t>
  </si>
  <si>
    <t>For Mile stone -1</t>
  </si>
  <si>
    <t>For Mile stone -2</t>
  </si>
  <si>
    <t>For Mile stone -3</t>
  </si>
  <si>
    <t>TCV</t>
  </si>
  <si>
    <t>0.10% of TCV</t>
  </si>
  <si>
    <t>Mile stone 1</t>
  </si>
  <si>
    <t>Mile stone 2</t>
  </si>
  <si>
    <t>Mile stone 3</t>
  </si>
  <si>
    <t xml:space="preserve">Name of the Work:- </t>
  </si>
  <si>
    <t>Sanction Details</t>
  </si>
  <si>
    <t>Go.No</t>
  </si>
  <si>
    <t>Go. Date</t>
  </si>
  <si>
    <t>Sl.No.in Go</t>
  </si>
  <si>
    <t>(P.R) Circle</t>
  </si>
  <si>
    <t>Administrative sanction Ref.</t>
  </si>
  <si>
    <t>District</t>
  </si>
  <si>
    <t>Sanctioned Amount</t>
  </si>
  <si>
    <t>Rs. in Lakhs</t>
  </si>
  <si>
    <t>NIT.NO</t>
  </si>
  <si>
    <t>(P.R) Division</t>
  </si>
  <si>
    <t xml:space="preserve">Sanctioned Length </t>
  </si>
  <si>
    <t>In Km</t>
  </si>
  <si>
    <t>-</t>
  </si>
  <si>
    <t>(P.R) Sub-Division</t>
  </si>
  <si>
    <t>Grant</t>
  </si>
  <si>
    <t>common List Sl.No</t>
  </si>
  <si>
    <t>Mandal</t>
  </si>
  <si>
    <t>Lead Distance</t>
  </si>
  <si>
    <t>Bitumen &amp; Emulsion</t>
  </si>
  <si>
    <t>S.No</t>
  </si>
  <si>
    <t>Item</t>
  </si>
  <si>
    <t>Sourse of Meterial</t>
  </si>
  <si>
    <t>Km</t>
  </si>
  <si>
    <t>Location</t>
  </si>
  <si>
    <t>HPCL Vizag/Chennai IOCL</t>
  </si>
  <si>
    <t>IOCL Intial Rate excluding GST</t>
  </si>
  <si>
    <t>Metal Cushed</t>
  </si>
  <si>
    <t>Dated</t>
  </si>
  <si>
    <t>Manufactured Sand (Rock Sand)</t>
  </si>
  <si>
    <t>Sand concrete</t>
  </si>
  <si>
    <t>Sand for filling</t>
  </si>
  <si>
    <t>Local</t>
  </si>
  <si>
    <t>Bulk VG 30 Grade 60/70</t>
  </si>
  <si>
    <t>Gravel</t>
  </si>
  <si>
    <t>Emulsion SS-1 (Bulk)</t>
  </si>
  <si>
    <t xml:space="preserve">Pipes </t>
  </si>
  <si>
    <t>Rapid Setting -I Bulk</t>
  </si>
  <si>
    <t>concrete  mix</t>
  </si>
  <si>
    <t>Borrowed earth</t>
  </si>
  <si>
    <t>Selected earth for shoulder</t>
  </si>
  <si>
    <t xml:space="preserve">Rates as on </t>
  </si>
  <si>
    <t>BT Lead in Kms (Round Trip)</t>
  </si>
  <si>
    <t>Metal Hand Broken</t>
  </si>
  <si>
    <t>Allowance</t>
  </si>
  <si>
    <t>Cement &amp; Steel Rates</t>
  </si>
  <si>
    <t>MAA/AA</t>
  </si>
  <si>
    <t>Amount in Rs.</t>
  </si>
  <si>
    <t>OHC- Road Work</t>
  </si>
  <si>
    <t>OHC- Bridge Work</t>
  </si>
  <si>
    <t>Water cost Allowed Y/N</t>
  </si>
  <si>
    <t>N</t>
  </si>
  <si>
    <t>GOVERNMENT  OF  TELANGANA</t>
  </si>
  <si>
    <t xml:space="preserve">PANCHAYATRAJ ENGINEERING
 DEPARTMENT
</t>
  </si>
  <si>
    <t>Name of Grant</t>
  </si>
  <si>
    <t>:</t>
  </si>
  <si>
    <t>Name of Work:-</t>
  </si>
  <si>
    <t>Amount Sanctioned</t>
  </si>
  <si>
    <t>Rs.</t>
  </si>
  <si>
    <t>Proposed Length</t>
  </si>
  <si>
    <t>(P.R) Region</t>
  </si>
  <si>
    <t>::</t>
  </si>
  <si>
    <t>ESTIMATE NOTE FILE</t>
  </si>
  <si>
    <t>CIRCLE</t>
  </si>
  <si>
    <t>TS Date</t>
  </si>
  <si>
    <t>Subject :-</t>
  </si>
  <si>
    <t>Name of the work</t>
  </si>
  <si>
    <t>Reference:-</t>
  </si>
  <si>
    <t>Estt.Cost</t>
  </si>
  <si>
    <t>CAT</t>
  </si>
  <si>
    <t>Length Sanctioned</t>
  </si>
  <si>
    <t>3)SE,PR,Warangal vide Lr.No.T4/Tenders/2021-22 Dt 03.08.2022</t>
  </si>
  <si>
    <t xml:space="preserve"> ***** </t>
  </si>
  <si>
    <t>Dist</t>
  </si>
  <si>
    <t>Length Proposed</t>
  </si>
  <si>
    <t>Submitted, Sir,</t>
  </si>
  <si>
    <t>Division</t>
  </si>
  <si>
    <t>TS amount</t>
  </si>
  <si>
    <t>Name of the District</t>
  </si>
  <si>
    <t>Schedule-A Road</t>
  </si>
  <si>
    <t>Name of the Division</t>
  </si>
  <si>
    <t>Schedule-A MTc.</t>
  </si>
  <si>
    <t>Name of the Mandal</t>
  </si>
  <si>
    <t>Diff</t>
  </si>
  <si>
    <t>Administrative sanction Ref. No. &amp; date</t>
  </si>
  <si>
    <t>Category of Sanction</t>
  </si>
  <si>
    <t xml:space="preserve">Estimate Cost </t>
  </si>
  <si>
    <t>Habitations connected</t>
  </si>
  <si>
    <t>Sl.No</t>
  </si>
  <si>
    <t>Name of the village</t>
  </si>
  <si>
    <t>Popupation as per 2011 cencus</t>
  </si>
  <si>
    <t>Directly benefited</t>
  </si>
  <si>
    <t>SC</t>
  </si>
  <si>
    <t>ST</t>
  </si>
  <si>
    <t>Plain</t>
  </si>
  <si>
    <t>CVPD</t>
  </si>
  <si>
    <t>Curve</t>
  </si>
  <si>
    <t>CBR</t>
  </si>
  <si>
    <t>Existing Surface Details</t>
  </si>
  <si>
    <t>Reaches</t>
  </si>
  <si>
    <t>Length in mtrs</t>
  </si>
  <si>
    <t>Status</t>
  </si>
  <si>
    <t>Proposed</t>
  </si>
  <si>
    <t>BT</t>
  </si>
  <si>
    <t>CC</t>
  </si>
  <si>
    <t>0/0 - 2/810</t>
  </si>
  <si>
    <t>ESAL   =</t>
  </si>
  <si>
    <t>The crust proposed by SE</t>
  </si>
  <si>
    <t>As per (IRC -SP-72-2015) the crust is to be provided</t>
  </si>
  <si>
    <t xml:space="preserve">Cumulative No. Of std. Axles </t>
  </si>
  <si>
    <t>N= msa</t>
  </si>
  <si>
    <t>CBR 3%</t>
  </si>
  <si>
    <t>May be provided as per existing crust</t>
  </si>
  <si>
    <t>Remarks</t>
  </si>
  <si>
    <t>The pavement layer proposed by SE  is as follows</t>
  </si>
  <si>
    <t>As per (IRC -SP-72-2015)</t>
  </si>
  <si>
    <t>BC</t>
  </si>
  <si>
    <t>30 mm</t>
  </si>
  <si>
    <t>OGPC</t>
  </si>
  <si>
    <t>20mm</t>
  </si>
  <si>
    <t>30mm</t>
  </si>
  <si>
    <t xml:space="preserve">As per SE IR dated: </t>
  </si>
  <si>
    <t>WMM</t>
  </si>
  <si>
    <t>225 mm</t>
  </si>
  <si>
    <t>75mm</t>
  </si>
  <si>
    <t>150 mm</t>
  </si>
  <si>
    <t>Gravel Base</t>
  </si>
  <si>
    <t>100 mm</t>
  </si>
  <si>
    <t>150mm</t>
  </si>
  <si>
    <t>175 mm</t>
  </si>
  <si>
    <t>Existing</t>
  </si>
  <si>
    <t>Granular Sub Base</t>
  </si>
  <si>
    <t>50 mm</t>
  </si>
  <si>
    <t>Sub Grade</t>
  </si>
  <si>
    <t>Total Pavement thickness</t>
  </si>
  <si>
    <t>525 mm</t>
  </si>
  <si>
    <t>Total Pavement thinckness</t>
  </si>
  <si>
    <t>525mm</t>
  </si>
  <si>
    <t>Crust Details  Existing and Proposed</t>
  </si>
  <si>
    <t>Slno</t>
  </si>
  <si>
    <t>Reach</t>
  </si>
  <si>
    <t>CBR in %</t>
  </si>
  <si>
    <t>Crust Thickness required asper design</t>
  </si>
  <si>
    <t>Existing &amp; Proposed Crust  provision</t>
  </si>
  <si>
    <t>Crust thickness Check +/-</t>
  </si>
  <si>
    <t>B.T.</t>
  </si>
  <si>
    <t>Rech</t>
  </si>
  <si>
    <t>Req. Crust thick asper -SP-72</t>
  </si>
  <si>
    <t>Existing Crust</t>
  </si>
  <si>
    <t>Proposed Crust</t>
  </si>
  <si>
    <t>GR-II</t>
  </si>
  <si>
    <t>GR-III</t>
  </si>
  <si>
    <t>GSB</t>
  </si>
  <si>
    <t>BT /CC</t>
  </si>
  <si>
    <t>30 mm thick BT with BC</t>
  </si>
  <si>
    <t>CC pavement 200 mm thick proposed</t>
  </si>
  <si>
    <t>Details of estimate provisions</t>
  </si>
  <si>
    <t>SNo</t>
  </si>
  <si>
    <t>Description</t>
  </si>
  <si>
    <t xml:space="preserve"> Estimate with 
SSR 2023-24</t>
  </si>
  <si>
    <t>Amount</t>
  </si>
  <si>
    <t xml:space="preserve">Clearing  and grubbing of road   </t>
  </si>
  <si>
    <t>Excavation for raod work</t>
  </si>
  <si>
    <t xml:space="preserve"> Carted earth</t>
  </si>
  <si>
    <t>Shoulders with Selected earth</t>
  </si>
  <si>
    <t>Scarifying ext bitumen surface</t>
  </si>
  <si>
    <t>Sub-Base with Grading -VI</t>
  </si>
  <si>
    <t>WBM GR-II</t>
  </si>
  <si>
    <t>WBM GR-III</t>
  </si>
  <si>
    <t xml:space="preserve">WMM </t>
  </si>
  <si>
    <t>Prime coat</t>
  </si>
  <si>
    <t>Tack coat on Granuular base</t>
  </si>
  <si>
    <t>OGPC 20mm thick</t>
  </si>
  <si>
    <t>Seal Coat Type-B</t>
  </si>
  <si>
    <t>BM 50mm thick</t>
  </si>
  <si>
    <t>Tack Coat On Bitumen surface</t>
  </si>
  <si>
    <t>SDBC</t>
  </si>
  <si>
    <t>BC 30mm thick</t>
  </si>
  <si>
    <t>CC Pavement</t>
  </si>
  <si>
    <t>Road Part  Total</t>
  </si>
  <si>
    <t>CD works</t>
  </si>
  <si>
    <t>Name of CD work</t>
  </si>
  <si>
    <t>Nos.</t>
  </si>
  <si>
    <t>No</t>
  </si>
  <si>
    <t>a</t>
  </si>
  <si>
    <t>i</t>
  </si>
  <si>
    <t>b</t>
  </si>
  <si>
    <t>ii</t>
  </si>
  <si>
    <t>CD works Total</t>
  </si>
  <si>
    <t>Road Furniture</t>
  </si>
  <si>
    <t>Raod Safety</t>
  </si>
  <si>
    <t>Road + CD works + RF</t>
  </si>
  <si>
    <t xml:space="preserve"> Total</t>
  </si>
  <si>
    <t xml:space="preserve">Add GST @ 18% </t>
  </si>
  <si>
    <t>Unforeseen, price escalation, Seinarage,  rounding off</t>
  </si>
  <si>
    <t xml:space="preserve"> Total Rs.</t>
  </si>
  <si>
    <t>Sanctioned Estimate</t>
  </si>
  <si>
    <t>Excess</t>
  </si>
  <si>
    <t>Recast Estimate</t>
  </si>
  <si>
    <t>Less</t>
  </si>
  <si>
    <t>Difference</t>
  </si>
  <si>
    <t>The amount in the recast estimate is increased due to adaptation of SSR 2022-23 for which the length of the road is decreased.</t>
  </si>
  <si>
    <t>The Following are  the rates  adopted in the present  estimate .</t>
  </si>
  <si>
    <t>SSR used for preparation Estimate</t>
  </si>
  <si>
    <t>Initial Rates of Steel, Cement, BT  and Lead of materials proposed as follows</t>
  </si>
  <si>
    <t>Sl. 
No</t>
  </si>
  <si>
    <t>Items</t>
  </si>
  <si>
    <t>Rates</t>
  </si>
  <si>
    <t>Per</t>
  </si>
  <si>
    <t>Lead allowed</t>
  </si>
  <si>
    <t>Rate Ref.
/ Date</t>
  </si>
  <si>
    <t>Cement OPC  53 Gr.</t>
  </si>
  <si>
    <t>Selected earth</t>
  </si>
  <si>
    <t>Steel Fe-500/500D/550D Primary Producers Like TATA,SAIL,Jindal</t>
  </si>
  <si>
    <t>Sand for Concrete</t>
  </si>
  <si>
    <t>BT Emulsion SS 1    -- Do --</t>
  </si>
  <si>
    <t>- do-</t>
  </si>
  <si>
    <t>BT Emulsion RS 1  -- Do --</t>
  </si>
  <si>
    <t>Metal Quarry Hand broken</t>
  </si>
  <si>
    <t>Metal (Hand broken)</t>
  </si>
  <si>
    <t>--</t>
  </si>
  <si>
    <t>Metal Curshermetal</t>
  </si>
  <si>
    <t>Crushed Metal</t>
  </si>
  <si>
    <t xml:space="preserve">B.T &amp; Emulations </t>
  </si>
  <si>
    <t>Chennai</t>
  </si>
  <si>
    <t>Sand for Filling</t>
  </si>
  <si>
    <t>Hume Pipes</t>
  </si>
  <si>
    <t xml:space="preserve">Gravel </t>
  </si>
  <si>
    <t xml:space="preserve">Area allowances if any 
  MAA (municipal area allowance) / AA Agency area </t>
  </si>
  <si>
    <t>Rms</t>
  </si>
  <si>
    <t>Rain fall Codes for maintenance estt
High-1, Medium-2, Low-3</t>
  </si>
  <si>
    <t>Area allowance allowed</t>
  </si>
  <si>
    <t>Water cost allowed Y/N</t>
  </si>
  <si>
    <t>Maintenance length and Cost</t>
  </si>
  <si>
    <t>Earth work widening qty is proposed @2500cum/Km, the same was allowed in absence of  supporting calculations, the SE may be instructed to submit the earth work calculations&amp; connected LF Books before grounding of  the work.</t>
  </si>
  <si>
    <t>Kms</t>
  </si>
  <si>
    <t>The GST @ 18%, QC charges @0.50%, 0.10%NAC charges and Seignarage charges of materials are proposed  in the abstract estimate.</t>
  </si>
  <si>
    <t>As per the instructions of higher authorities based on circular memo.No.10002/DCE®/EE®/DEE1/AEE1/2021 dated 28.12.2021 of R&amp;B Department Routine maintenance is not included in Estimate.</t>
  </si>
  <si>
    <t>As per preamble no 15 C of SSR  2023-24 Over heads and Contractor profit put together 13.615% is provided for Road works,CD works and Road furniture works.</t>
  </si>
  <si>
    <t xml:space="preserve">As per the content of memo1280/AE/DEE(T)/NAC/2015 dt:04.05.2015 of the ENC, PR, Hyderabad 0.10% of the estimate value towards corpus fund of NAC in the estimate may be allowed to provide. </t>
  </si>
  <si>
    <t xml:space="preserve">As per the content of G.O.Ms.No.17 Dt: 13.05.2022 of I&amp;CAD (reforms) Dept 0.01% the contribution towards Telangana Green Fund (TGF) i.e., 0.01% from the works bills shall be deducted duly incorporating immediately such deduction clause in respective Tender Documents and indicating that it is not reimbursable. Accordingly, no provision shall be made in the estimates. </t>
  </si>
  <si>
    <t>Tractor Grader rate is only allowed instead of Motar Grader where ever it is applicable as per the field conditions as informed by the field staff.</t>
  </si>
  <si>
    <t>As per the Instructions vide Preamble item no.3 of present SSR- 2023-24,  Manufactured sand item .The use of Manufactured sand 50% of total sand requirement is mandatory .Hence the Sand provision in the data is to be replaced with 50%  Crushed Rock Sand and 50% Natural sand. The provision of Manufactured sand is made accordingly.</t>
  </si>
  <si>
    <t xml:space="preserve">           If agreed the estimate will be  scrutinized as per the above provisions and will be put up for  Technical sanction along with schedules including will be put up for technical approval.
</t>
  </si>
  <si>
    <t>Submitted for kind perusal and further orders please,</t>
  </si>
  <si>
    <t>Submitted Sir,</t>
  </si>
  <si>
    <t xml:space="preserve">                    As per the pre page note orders, the detailed scrutiny  of  estimate is done and put up below for according Technical Sanction along with Schedule- Part-A  &amp; Part-B is prepared and  placed below for perusal and approval the details are as follows.</t>
  </si>
  <si>
    <t>Name of Work:</t>
  </si>
  <si>
    <t>Estt.Cost Rs.</t>
  </si>
  <si>
    <t xml:space="preserve">Sl. No. </t>
  </si>
  <si>
    <t>Particular</t>
  </si>
  <si>
    <t>Road work</t>
  </si>
  <si>
    <t>CD Works</t>
  </si>
  <si>
    <t>Road Safety</t>
  </si>
  <si>
    <t xml:space="preserve">Sub-Total  </t>
  </si>
  <si>
    <t>Q.C. Charges @ 0.50%</t>
  </si>
  <si>
    <t>NAC @ 0.10%</t>
  </si>
  <si>
    <t xml:space="preserve">Seignarage Charges </t>
  </si>
  <si>
    <t>Add DMF @ 30% on Seignarage amount</t>
  </si>
  <si>
    <t>Add SMET @2% on Seignarage amount</t>
  </si>
  <si>
    <t>Add 0.8% permit fee on Seign Charges</t>
  </si>
  <si>
    <t>Add GST @ 18%</t>
  </si>
  <si>
    <t>Ls for Unforeseen, price escalation etc</t>
  </si>
  <si>
    <t xml:space="preserve">Total  Amount </t>
  </si>
  <si>
    <t>T.S. Amount</t>
  </si>
  <si>
    <t>The datas for Road items and datas are scrutinised and put up for approval and the Schedule-A along with Estimate is put up for approval.</t>
  </si>
  <si>
    <t>OAS Amt Rs. In Lakhs</t>
  </si>
  <si>
    <t>TS  amount Rs. In Lakhs</t>
  </si>
  <si>
    <t>Schedule-A 
Const., amount 
in Rs.</t>
  </si>
  <si>
    <t>Schedule A -Part B  amount</t>
  </si>
  <si>
    <t>Total ECV amount 
(Const, )</t>
  </si>
  <si>
    <t>GOVERNMENT OF TELANGANA</t>
  </si>
  <si>
    <t>OFFICE OF THE ENGINEER-IN-CHIEF,PANCHAYAT RAJ, HYDERABAD</t>
  </si>
  <si>
    <t>Subject:-</t>
  </si>
  <si>
    <t xml:space="preserve">Ref :- </t>
  </si>
  <si>
    <t>*****</t>
  </si>
  <si>
    <t>1).</t>
  </si>
  <si>
    <t>The Digital Photographs/video of entire road surface shall be taken   before, during execution and after completion of work and preserve the same for submitting to this office/inspecting authorities in future.</t>
  </si>
  <si>
    <t>2).</t>
  </si>
  <si>
    <t>The pre-levels of earthwork should be super checked by concerned Executive Engineer and to submit the LF books along with earthwork calculations before grounding the work.</t>
  </si>
  <si>
    <t>3).</t>
  </si>
  <si>
    <t>The existing crust details for every H.M. shall be recorded in MB and super checked by the Executive Engineer before commencement of the work.</t>
  </si>
  <si>
    <t>4).</t>
  </si>
  <si>
    <t>The work details shall be entered on www.pred.telangana.gov.in web site for online approval so as to fecilitate for online payment and monitoring of the work.</t>
  </si>
  <si>
    <t>5).</t>
  </si>
  <si>
    <t xml:space="preserve"> If any deviations are observed over the sanctioned estimate, the working estimate/ with the inspection report of the SE concerned shall be submitted to this office within 1 month from the date of agreement/ grounding to save time. The deviations should be taken up only after prior approval of the undersigned only. </t>
  </si>
  <si>
    <t>6).</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</si>
  <si>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immediately and shall be grounded only after approval of designs.</t>
  </si>
  <si>
    <t>7).</t>
  </si>
  <si>
    <t>Earthwork quantity is allowed based on the provision made by the Superintending Engineer. In case of non-submission of earthwork calculation sheet at the time of sanctioning the estimate, the earthwork quantity is restricted. The Superintending Engineer is  requested to instruct the field staff concerned to take pre levels of EW cross sections and levels shall be verified by the EE/SE on LF Books for realistic assessment of Earth work quantity for widening before grounding of work.</t>
  </si>
  <si>
    <t>8).</t>
  </si>
  <si>
    <t>9)</t>
  </si>
  <si>
    <t>10)</t>
  </si>
  <si>
    <t>Test certificates of pipes as per circular memo CE/DEEI/AEE/VQC/2021 dated: 23-11-2020 of the CE VQC PR Hyderabad is to be obtained before using the same in CD works construction. The EE's concerned may be informed to insist the contractors to procure the pipes where testing equipment is available.</t>
  </si>
  <si>
    <t>Sd/-</t>
  </si>
  <si>
    <t>Engineer-In-Chief</t>
  </si>
  <si>
    <t>PRED Hyderabad</t>
  </si>
  <si>
    <t>To</t>
  </si>
  <si>
    <t>/// t.c.f.b.o. ///</t>
  </si>
  <si>
    <t>Dy. Executive Engineer O/o ENC PR, Hyd</t>
  </si>
  <si>
    <t xml:space="preserve">Date of Inspection </t>
  </si>
  <si>
    <t>Name of the Officers present</t>
  </si>
  <si>
    <t>Srinivasulu, District Panchayat Raj Engineer, PIU, Division, Mahabubabad</t>
  </si>
  <si>
    <t>K. Prasannakumar, Dy. Executive Engineer, PR, SD, Thorrur.</t>
  </si>
  <si>
    <t>K. Suresh, Asst. Engineer, PR, SD, Thorrur.</t>
  </si>
  <si>
    <t>Name of the Work</t>
  </si>
  <si>
    <t>Estimated Cost</t>
  </si>
  <si>
    <t xml:space="preserve">Rs. </t>
  </si>
  <si>
    <t>Administrative Sanction</t>
  </si>
  <si>
    <t xml:space="preserve">The entire road stretch is passing through BC, Slushy soils and Fertile lands. Therefore Iron Cage Wheel tractors are regularly being passed on the road for cultivation purpose. Providing 20mm thick OGPC cannot be sustained Iron Cage Wheel load of tractors and Bituminous surface will damage due to cutting of edges and penetration of water through it at several places. Hence, Bituminous Concrete of 30mm thick is proposed as a special case to overcome the above problem as the design mix will have more strength than recipe mixes like OGPC and MSS etc., and duly keeping in view of life time of pavement with better performance.  </t>
  </si>
  <si>
    <t>CD Works:</t>
  </si>
  <si>
    <t>Provide Culvert 2V and 1V of 1000mm dia NP4 Pipes as per field conditions.</t>
  </si>
  <si>
    <t xml:space="preserve">              The District Panchayat Raj Engineer, PIU, Division, Mahabubabad is requested to prepare the Detailed Estimate with above provisions</t>
  </si>
  <si>
    <t>Superintending Engineer</t>
  </si>
  <si>
    <t>SPECIFICATION REPORT FOR   WORKING ESTIMATE</t>
  </si>
  <si>
    <t>Name of the Work :</t>
  </si>
  <si>
    <t>Est. Cost . Rs.</t>
  </si>
  <si>
    <t xml:space="preserve">       The work " R/F Ayyangaripally to Thorrur via Danthalagadda in Palakurthy Mandal of Jangaon District "is administratively sanctioned for Rs  108.00 lakhs under CRR Grant Go No.67 Date: 28-02-2022.      The total length of the Road is 2.650 km  with track Surface existing.      The both sides of total length of the road is in private patta lands hence carterd earth is proposed.   Based on the traffic intensity,  the traffic curve is considered as T3.     Accordingly WMM-150 mm thick over GSB Gr-VI-175 mm thk, is proposed as per IRC: SP: 72-2015 in BT portions.     As  per IRC: SP 62-2014 under CC Pavment provided over GSB Grading -VI-100 mm thick and WMM of 75mm thick.</t>
  </si>
  <si>
    <t xml:space="preserve">         The Sanctioned amount is not sufficient to take up the entire length of the road up to BT standards as this road is having track surface. The starting village of Ayyangaripally village is connected with PR BT road and end village of Thorrur is connected with R&amp;B BT Road. But the Danthalagadda village is loated at Km 1/450 on this road which is not connected by all weather road. Hence the road is proposed for forming of embankment up to Danthalagadda village ie upto 1.450Kms to keep the road is under connectivity to Danthalagadda village for which it is useful for the villagers to carry their agriculture product as well as to reach the GP, Mandal and District head quarters. The Road is proposed for BT standards from Km 0/0 to 0/925 to the extent of sanctioned amount. </t>
  </si>
  <si>
    <t xml:space="preserve">                  The estimate is technically sanctioned for Rs 100.00 Lakhs and the tender are also called far. But there is no response from the contractors for tenders. Mean while the new SSR 2023-24 is also approved and non reponse from the contractor the   working estimate is prepared duly adopting the SSR 2023-24 and here with submitting for favour of approval and necessry action.</t>
  </si>
  <si>
    <t>1)</t>
  </si>
  <si>
    <t>Habitations Benifitted</t>
  </si>
  <si>
    <t>The following villages will be benifitted by providing this road.</t>
  </si>
  <si>
    <t>Sl.No.</t>
  </si>
  <si>
    <t>Name of the Village</t>
  </si>
  <si>
    <t>Popupation asper 2011cencus</t>
  </si>
  <si>
    <t>Vehicle Class</t>
  </si>
  <si>
    <t>Cars, Jeeps, Vans, Three-wheelers</t>
  </si>
  <si>
    <t>Motorised two- wheelers</t>
  </si>
  <si>
    <t>Agricultural Tractors/ Trailers 
(MCV)</t>
  </si>
  <si>
    <t>Trucks / Buses
 (HCV)</t>
  </si>
  <si>
    <t>Cycles</t>
  </si>
  <si>
    <t>Cycle Rickshaws</t>
  </si>
  <si>
    <t>Animal Drawn Vehicles</t>
  </si>
  <si>
    <t xml:space="preserve">Laden </t>
  </si>
  <si>
    <t>Unladen</t>
  </si>
  <si>
    <t>Over Laden</t>
  </si>
  <si>
    <t>Nos</t>
  </si>
  <si>
    <t>The estimate is prepared with the SSR for the year 2021-2022.</t>
  </si>
  <si>
    <t>7)</t>
  </si>
  <si>
    <t>DESIGN CRITERIA:</t>
  </si>
  <si>
    <t>i)</t>
  </si>
  <si>
    <t>The road surface is designed to carry design speed of 50 KMPH.</t>
  </si>
  <si>
    <t>ii)</t>
  </si>
  <si>
    <t>The recommended land width as per SP-20/MORD guidelines is available.</t>
  </si>
  <si>
    <t>iii)</t>
  </si>
  <si>
    <t>The road way width of 7.50 mtrs and carriage way width of 3.75 meters was provided as per MORD  Guidelines.</t>
  </si>
  <si>
    <t>iv)</t>
  </si>
  <si>
    <t>Pavement camber of 1 in 50 is provided.</t>
  </si>
  <si>
    <t>v)</t>
  </si>
  <si>
    <t>Super elevation are provided as per site requirement</t>
  </si>
  <si>
    <t>vi)</t>
  </si>
  <si>
    <t>Road is designed for vertical alignment and gradient. : 
a) Vertical curves are not required as the road is having plain embankment all along the entire length.</t>
  </si>
  <si>
    <t>b) Maximum Height of embankment of 0.50 mts is to be provided at reaches where the formation to be done.</t>
  </si>
  <si>
    <t>vii)</t>
  </si>
  <si>
    <t>Pavement materials provided in the estimate satisfy the  MORD &amp; SP20  guidelines</t>
  </si>
  <si>
    <t>Dy Executive Engineer</t>
  </si>
  <si>
    <t>KEY  MAP</t>
  </si>
  <si>
    <t>Name of the Work:</t>
  </si>
  <si>
    <t xml:space="preserve">Upparigudem </t>
  </si>
  <si>
    <t>A</t>
  </si>
  <si>
    <t>B</t>
  </si>
  <si>
    <t xml:space="preserve">Proposed BT Road from </t>
  </si>
  <si>
    <t>Proposed CC Road</t>
  </si>
  <si>
    <t>BT Road</t>
  </si>
  <si>
    <t>Peddavangara Village</t>
  </si>
  <si>
    <t>1/250</t>
  </si>
  <si>
    <t>0/950</t>
  </si>
  <si>
    <t>0/000 Km</t>
  </si>
  <si>
    <t>Peddavangara PWD Road</t>
  </si>
  <si>
    <t>Asst. Engineer,</t>
  </si>
  <si>
    <t>Dy. Exe. Engineer</t>
  </si>
  <si>
    <t>PRSD, Thorrur</t>
  </si>
  <si>
    <t xml:space="preserve">LONGITUDINAL SECTION </t>
  </si>
  <si>
    <t>0/00</t>
  </si>
  <si>
    <t>30 mm Thick BC (B.T )</t>
  </si>
  <si>
    <t>CC 200mm</t>
  </si>
  <si>
    <t>WMM 75 mm</t>
  </si>
  <si>
    <t>WMM 150 mm</t>
  </si>
  <si>
    <t>GSB 100 mm</t>
  </si>
  <si>
    <t>GSB 175 mm</t>
  </si>
  <si>
    <t>Pangidipally village limits</t>
  </si>
  <si>
    <t>B.T with BC</t>
  </si>
  <si>
    <t>(Black)</t>
  </si>
  <si>
    <t>CC Pavement 200 mm</t>
  </si>
  <si>
    <t>(Yellow)</t>
  </si>
  <si>
    <t>GSB Gr- VI</t>
  </si>
  <si>
    <t>(Orange)</t>
  </si>
  <si>
    <t>existing earthen surface</t>
  </si>
  <si>
    <t>Asst  Engineer</t>
  </si>
  <si>
    <t>Executive Engineer</t>
  </si>
  <si>
    <t>PR SD Thorrur</t>
  </si>
  <si>
    <t>PIU, Mahabubabad</t>
  </si>
  <si>
    <t>PR Circle Warangal</t>
  </si>
  <si>
    <t>FIELD DATA SHEET FOR TRAFFIC CENSUS (BOTH DIRECTIONS)  FOR 3 DAYS ( Lean Seasion )</t>
  </si>
  <si>
    <t xml:space="preserve">&amp; CUMALATIVE ESAL APPLICATION CALCULATIONS </t>
  </si>
  <si>
    <t>TELANGANA</t>
  </si>
  <si>
    <t>Average Daily Traffic</t>
  </si>
  <si>
    <t>ADT in the year of Traffic Count</t>
  </si>
  <si>
    <t>ADT =</t>
  </si>
  <si>
    <t>1 for if Peak season traffic count</t>
  </si>
  <si>
    <t>ADT in  Lean</t>
  </si>
  <si>
    <t>T =</t>
  </si>
  <si>
    <t>0 for Lean season traffic count</t>
  </si>
  <si>
    <t>ADT in  Peak</t>
  </si>
  <si>
    <t>No of Harvesting Seasons</t>
  </si>
  <si>
    <t>n =</t>
  </si>
  <si>
    <t>Peak Seasons Days</t>
  </si>
  <si>
    <t xml:space="preserve">Base Year Traffic </t>
  </si>
  <si>
    <t>AADT (T)=</t>
  </si>
  <si>
    <r>
      <rPr>
        <sz val="10"/>
        <rFont val="Arial"/>
        <family val="2"/>
      </rPr>
      <t>(Avarage annual daily trafic i.e AADT = T + n</t>
    </r>
    <r>
      <rPr>
        <u/>
        <sz val="10"/>
        <rFont val="Arial"/>
        <family val="2"/>
      </rPr>
      <t xml:space="preserve"> x T x t)</t>
    </r>
  </si>
  <si>
    <t>Let us assuming an intial growth rate of 6% for 2years</t>
  </si>
  <si>
    <t>T= Lean Traffic</t>
  </si>
  <si>
    <t>Opening of the road after complition</t>
  </si>
  <si>
    <t>AADT =</t>
  </si>
  <si>
    <r>
      <rPr>
        <sz val="12"/>
        <rFont val="Arial"/>
        <family val="2"/>
      </rPr>
      <t>(AADT * (1.06)</t>
    </r>
    <r>
      <rPr>
        <vertAlign val="superscript"/>
        <sz val="12"/>
        <rFont val="Arial"/>
        <family val="2"/>
      </rPr>
      <t>2</t>
    </r>
    <r>
      <rPr>
        <sz val="12"/>
        <rFont val="Arial"/>
        <family val="2"/>
      </rPr>
      <t>)</t>
    </r>
  </si>
  <si>
    <t>From the given traffic count data, proportions of</t>
  </si>
  <si>
    <t>MCV =</t>
  </si>
  <si>
    <t>(Laden Medium Commercial Vehicle)</t>
  </si>
  <si>
    <t>(Un Laden Medium Commercial Vehicle)</t>
  </si>
  <si>
    <t>CBR Value: 4</t>
  </si>
  <si>
    <t>(Over Laden Medium Commercial Vehicle)</t>
  </si>
  <si>
    <t>As per IRC SO 72-2015: T6 Curve (3 L to 6 L)</t>
  </si>
  <si>
    <t>HCV =</t>
  </si>
  <si>
    <t>(LadenHeavy Commercial Vehicle)</t>
  </si>
  <si>
    <t>(Unladen Heavy Commercial Vehicle)</t>
  </si>
  <si>
    <t>(Over Laden Heavy Commercial Vehicle)</t>
  </si>
  <si>
    <t>Cumulative ESAL applications for 10year with uniform growth rate @ 6%</t>
  </si>
  <si>
    <t>(VDF = Vehicle Damage Factor)</t>
  </si>
  <si>
    <t xml:space="preserve">Equivalent Standard Axle Load = </t>
  </si>
  <si>
    <t>ESAL = HCV x VDF+MCV x VDF</t>
  </si>
  <si>
    <t>Vehicle</t>
  </si>
  <si>
    <t>Laden</t>
  </si>
  <si>
    <t>Ov.Laden</t>
  </si>
  <si>
    <t>ESAL =</t>
  </si>
  <si>
    <t>HCV</t>
  </si>
  <si>
    <t>Nos/day</t>
  </si>
  <si>
    <t>MCV</t>
  </si>
  <si>
    <t xml:space="preserve">Cumulative ESAL Applications = </t>
  </si>
  <si>
    <t>N =</t>
  </si>
  <si>
    <t xml:space="preserve">    ( N = ESAL x 4811 x L)</t>
  </si>
  <si>
    <t>Where L= Lane distribution Factor = 1 for single lane)</t>
  </si>
  <si>
    <t>Asst. Engineer</t>
  </si>
  <si>
    <t>Dy.Executive Engineer</t>
  </si>
  <si>
    <t>6.82 msa</t>
  </si>
  <si>
    <t>State-</t>
  </si>
  <si>
    <t>Name of the Road</t>
  </si>
  <si>
    <t>District-</t>
  </si>
  <si>
    <t>Block-</t>
  </si>
  <si>
    <t>INPUT</t>
  </si>
  <si>
    <t>RESULT</t>
  </si>
  <si>
    <t>ADT</t>
  </si>
  <si>
    <t>AADT</t>
  </si>
  <si>
    <t>Traffic count</t>
  </si>
  <si>
    <t>VDF Values</t>
  </si>
  <si>
    <t>Total motorised Vehicle per Day</t>
  </si>
  <si>
    <t>(cars/vans/jeeps/  three wheelers)</t>
  </si>
  <si>
    <t xml:space="preserve">LCV </t>
  </si>
  <si>
    <t>Commercial vehicles per Day</t>
  </si>
  <si>
    <t>HCV (Truck/Buses)</t>
  </si>
  <si>
    <t>Before opening to traffic , AADT</t>
  </si>
  <si>
    <t>Over loaded</t>
  </si>
  <si>
    <t>MCV                               (Tractor/Trollies/  Mini-Buses)</t>
  </si>
  <si>
    <t>Final cumulative ESAL</t>
  </si>
  <si>
    <t>Traffic Category</t>
  </si>
  <si>
    <t>T</t>
  </si>
  <si>
    <t>Two wheelers</t>
  </si>
  <si>
    <t>Bicycles</t>
  </si>
  <si>
    <t xml:space="preserve">Bullock cart </t>
  </si>
  <si>
    <t>solid wheel</t>
  </si>
  <si>
    <t>Pnu. Tyres</t>
  </si>
  <si>
    <t>THICKNESS</t>
  </si>
  <si>
    <t>BITUMINOUS SURFACE TREATED WBM/CRMB</t>
  </si>
  <si>
    <t xml:space="preserve">Time after which road will be opened to Traffic (year) </t>
  </si>
  <si>
    <t>WBM/CRMB/ BASE OF GRAVEL</t>
  </si>
  <si>
    <t>GRAVEL BASE</t>
  </si>
  <si>
    <t>Traffic count during harvesting (yes/no)</t>
  </si>
  <si>
    <t>GRANULAR SUBASE</t>
  </si>
  <si>
    <t>No of Harvesting season</t>
  </si>
  <si>
    <t>IMPROVED SUBGRADE</t>
  </si>
  <si>
    <t>mm</t>
  </si>
  <si>
    <t>No of days in each Harvesting season</t>
  </si>
  <si>
    <t xml:space="preserve"> Value of n assumed</t>
  </si>
  <si>
    <t>CBR VALUE</t>
  </si>
  <si>
    <t>TOTAL THICKNESS</t>
  </si>
  <si>
    <t>Asst.  Engineer,</t>
  </si>
  <si>
    <t>District Panchayat Raj Engineer,</t>
  </si>
  <si>
    <t>(cars/vans/jeeps/  three wheelers</t>
  </si>
  <si>
    <t>MCV ( Tractor/Trollies/Mini-Buses)</t>
  </si>
  <si>
    <t>Bullock cart (solid wheeled)</t>
  </si>
  <si>
    <t xml:space="preserve">ADT                       </t>
  </si>
  <si>
    <t>Overloaded</t>
  </si>
  <si>
    <t>Number of harvesting season=</t>
  </si>
  <si>
    <t>Traffic count during harvesting</t>
  </si>
  <si>
    <t>value of n</t>
  </si>
  <si>
    <t>Duration of harvesting season</t>
  </si>
  <si>
    <t xml:space="preserve">Average Daily Traffic ( non- haresting/harvesting) </t>
  </si>
  <si>
    <t>AADT=</t>
  </si>
  <si>
    <t>Before opening to traffic , AADT=</t>
  </si>
  <si>
    <t xml:space="preserve">Proportion factor (AADT/ADT) = </t>
  </si>
  <si>
    <t>MCV ( Tractor/Trollies)</t>
  </si>
  <si>
    <t>VDF</t>
  </si>
  <si>
    <t>VDF values</t>
  </si>
  <si>
    <t>Calculated</t>
  </si>
  <si>
    <t>ESAL/per day</t>
  </si>
  <si>
    <t>Cumulative ESAL over 10 years</t>
  </si>
  <si>
    <t>Correction factor</t>
  </si>
  <si>
    <t>CASENO.</t>
  </si>
  <si>
    <t>PAVEMENT LAYERS</t>
  </si>
  <si>
    <t>correction factor interpolation</t>
  </si>
  <si>
    <t>Modified soil/improved subgrade</t>
  </si>
  <si>
    <t>Granular subbase</t>
  </si>
  <si>
    <t>WBM/CRMB</t>
  </si>
  <si>
    <t>Bituminous surface Treated WBM/CRMB</t>
  </si>
  <si>
    <t>CRR -2018-19</t>
  </si>
  <si>
    <t>Sanctioned Length</t>
  </si>
  <si>
    <t>PART-(A)</t>
  </si>
  <si>
    <t>Road Works</t>
  </si>
  <si>
    <t>Road Safety Interventions</t>
  </si>
  <si>
    <t>Add 0.8 times permit fee on Seign Charges</t>
  </si>
  <si>
    <t>Unforeseen, price escalation, Seinarage,  as per Govt. orders and rounding off</t>
  </si>
  <si>
    <t xml:space="preserve">Total  Amount (Part- A) </t>
  </si>
  <si>
    <t>PART- (B)</t>
  </si>
  <si>
    <t>Maintenance Estimate</t>
  </si>
  <si>
    <t>Routine Maintanance for 5 YEARS</t>
  </si>
  <si>
    <t>Add GST on Maintanence  @ 12.00%</t>
  </si>
  <si>
    <t>Add LS For U/F items</t>
  </si>
  <si>
    <t xml:space="preserve">Total  Part-B </t>
  </si>
  <si>
    <t xml:space="preserve">Total (Part- A+B) </t>
  </si>
  <si>
    <t>Assistant Engineer,</t>
  </si>
  <si>
    <t>Engineer-In-chief</t>
  </si>
  <si>
    <t>P.R, Hyderabad</t>
  </si>
  <si>
    <t>Sl. No.</t>
  </si>
  <si>
    <t>Description of work</t>
  </si>
  <si>
    <t>No.</t>
  </si>
  <si>
    <t>D</t>
  </si>
  <si>
    <t>x</t>
  </si>
  <si>
    <t>Deduct voids @40%</t>
  </si>
  <si>
    <t>rest</t>
  </si>
  <si>
    <t>2/00 to 4/970 KM</t>
  </si>
  <si>
    <t>0/0 to 1/1 km</t>
  </si>
  <si>
    <t>Tack Coat-1</t>
  </si>
  <si>
    <t>sqm</t>
  </si>
  <si>
    <t>Tack Coat-2</t>
  </si>
  <si>
    <t>ABSTRACT MAINTANANCE ESTIMATE</t>
  </si>
  <si>
    <t>Length of Road</t>
  </si>
  <si>
    <t>Total Estimate Cost Rs.</t>
  </si>
  <si>
    <t>Cost per Km</t>
  </si>
  <si>
    <t xml:space="preserve"> The routine meaintanance estimates is prepared for 5 years period, each 6 months period i.e. 6 months premonsoon and 6 months postmonsoon period. As per the estimates the following is the estimate cost for the years mentioned below.</t>
  </si>
  <si>
    <t>Cost of routine maintanance for 5 years  Rs</t>
  </si>
  <si>
    <t>Year</t>
  </si>
  <si>
    <t>Total Amount</t>
  </si>
  <si>
    <t>Generated %  Year wise</t>
  </si>
  <si>
    <t>Remarks 
per Km rate</t>
  </si>
  <si>
    <t>Actual Cost</t>
  </si>
  <si>
    <t>Total Cost of routine Maintenance cost Rs.</t>
  </si>
  <si>
    <t>Add 12% GST on Above amount</t>
  </si>
  <si>
    <t>LS Provision  for Emergency repairs due to floods , other natural calamities etc.,</t>
  </si>
  <si>
    <t>Total Maintenance Cost        Rs.</t>
  </si>
  <si>
    <t xml:space="preserve">Estimate for maintenance of BT work as per guidelines issued by NRRDA for 5 years </t>
  </si>
  <si>
    <t>Dia / Span of CD work</t>
  </si>
  <si>
    <t>Carriage way width</t>
  </si>
  <si>
    <t>Mtrs</t>
  </si>
  <si>
    <t>Rainfall</t>
  </si>
  <si>
    <t>Low-1</t>
  </si>
  <si>
    <t>Medium-2</t>
  </si>
  <si>
    <t>High-3</t>
  </si>
  <si>
    <t>Roadway Width</t>
  </si>
  <si>
    <t>Traffic CVPD</t>
  </si>
  <si>
    <t>Value of CPVD</t>
  </si>
  <si>
    <t>Sum of  vents of Pipe Culverts</t>
  </si>
  <si>
    <t>Shoulder width</t>
  </si>
  <si>
    <t>Total length</t>
  </si>
  <si>
    <t>Total Road dam/Cause way Lengths</t>
  </si>
  <si>
    <t>Per Km</t>
  </si>
  <si>
    <t>BT length</t>
  </si>
  <si>
    <t>Total No. of  Pipe Culverts</t>
  </si>
  <si>
    <t>No of equalent vents of 1000mm dia</t>
  </si>
  <si>
    <t>`Total equalent Pipe culvet Vents of 1000mm dia=</t>
  </si>
  <si>
    <t>CC length</t>
  </si>
  <si>
    <t>Total No. of  Slab  Culverts</t>
  </si>
  <si>
    <t>No of eqalent vents f 2.00m Span</t>
  </si>
  <si>
    <t>Sum of Total Spans</t>
  </si>
  <si>
    <t>Drain Length</t>
  </si>
  <si>
    <t>Guard stone Nos</t>
  </si>
  <si>
    <t>Total Nos Slab  Culvert Vents of 2m</t>
  </si>
  <si>
    <t>Total Nos Slab  Culvert Vents of 3m</t>
  </si>
  <si>
    <t>Details</t>
  </si>
  <si>
    <r>
      <rPr>
        <b/>
        <sz val="11"/>
        <color indexed="8"/>
        <rFont val="Calibri"/>
        <family val="2"/>
      </rPr>
      <t xml:space="preserve">L </t>
    </r>
    <r>
      <rPr>
        <sz val="10"/>
        <rFont val="Times New Roman"/>
        <family val="1"/>
      </rPr>
      <t>(m)</t>
    </r>
  </si>
  <si>
    <r>
      <rPr>
        <b/>
        <sz val="11"/>
        <color indexed="8"/>
        <rFont val="Calibri"/>
        <family val="2"/>
      </rPr>
      <t>B</t>
    </r>
    <r>
      <rPr>
        <sz val="10"/>
        <rFont val="Times New Roman"/>
        <family val="1"/>
      </rPr>
      <t>(m)</t>
    </r>
  </si>
  <si>
    <r>
      <rPr>
        <b/>
        <sz val="11"/>
        <color indexed="8"/>
        <rFont val="Calibri"/>
        <family val="2"/>
      </rPr>
      <t>D</t>
    </r>
    <r>
      <rPr>
        <sz val="10"/>
        <rFont val="Times New Roman"/>
        <family val="1"/>
      </rPr>
      <t>(m)</t>
    </r>
  </si>
  <si>
    <t>Percentage/Frequency</t>
  </si>
  <si>
    <t>Multiplying factor</t>
  </si>
  <si>
    <t xml:space="preserve">Quantity </t>
  </si>
  <si>
    <t>Unit</t>
  </si>
  <si>
    <t>As per SSR-Rates as per SSR 2016-17</t>
  </si>
  <si>
    <t>Total Nos Slab  Culvert Vents of 5m</t>
  </si>
  <si>
    <t xml:space="preserve">Rate </t>
  </si>
  <si>
    <t>`Total  Ventage in meters =</t>
  </si>
  <si>
    <t>`Total equalent 2.00m Vents  =</t>
  </si>
  <si>
    <t>Filling of Pot holes</t>
  </si>
  <si>
    <t>YEAR  WISE  BREAKUP FOR MTC. AMOUNT</t>
  </si>
  <si>
    <t xml:space="preserve">BT SURFACE </t>
  </si>
  <si>
    <t>year</t>
  </si>
  <si>
    <t>1 st year</t>
  </si>
  <si>
    <t>2nd year</t>
  </si>
  <si>
    <t>3 rd year</t>
  </si>
  <si>
    <t>4th year</t>
  </si>
  <si>
    <t>5th year</t>
  </si>
  <si>
    <t xml:space="preserve">1st year </t>
  </si>
  <si>
    <t xml:space="preserve">2nd year </t>
  </si>
  <si>
    <t xml:space="preserve">3rd year </t>
  </si>
  <si>
    <t xml:space="preserve">4th Year </t>
  </si>
  <si>
    <t xml:space="preserve">5th Year </t>
  </si>
  <si>
    <t>WBM TOP LAYER/WMM layer With B C</t>
  </si>
  <si>
    <t>Subtotal</t>
  </si>
  <si>
    <r>
      <rPr>
        <b/>
        <sz val="8"/>
        <color indexed="8"/>
        <rFont val="Calibri"/>
        <family val="2"/>
      </rPr>
      <t>Making up of berms/shoulders</t>
    </r>
    <r>
      <rPr>
        <sz val="8"/>
        <rFont val="Times New Roman"/>
        <family val="1"/>
      </rPr>
      <t xml:space="preserve"> stripping excesss soil from the shoulder surface to achieve the required level                                                      </t>
    </r>
  </si>
  <si>
    <t>Restoration of berms and raincuts in hard shoulders</t>
  </si>
  <si>
    <t>A- 50% by soil for embankment</t>
  </si>
  <si>
    <t>Subsub Total</t>
  </si>
  <si>
    <t>B-50% by hard shoulder</t>
  </si>
  <si>
    <t>SubTotal</t>
  </si>
  <si>
    <t>Labour for cleaning the shoulders one labour for 200m for one year</t>
  </si>
  <si>
    <t>exam. For 1 km length 5 labour hence for 5 year 5x5=25 man days</t>
  </si>
  <si>
    <t>man days</t>
  </si>
  <si>
    <t>Cleaning of CD opening and maintenance of CD pitchning etc 3 CD per KM two labour or one</t>
  </si>
  <si>
    <t>For 1 km length 6 labour hence for 5 year 5x6=30 man days</t>
  </si>
  <si>
    <r>
      <rPr>
        <b/>
        <u/>
        <sz val="9"/>
        <color indexed="8"/>
        <rFont val="Calibri"/>
        <family val="2"/>
      </rPr>
      <t xml:space="preserve">Maintenance of 200 m stones and Km stones </t>
    </r>
    <r>
      <rPr>
        <b/>
        <sz val="9"/>
        <rFont val="Times New Roman"/>
        <family val="1"/>
      </rPr>
      <t xml:space="preserve">  </t>
    </r>
    <r>
      <rPr>
        <sz val="9"/>
        <rFont val="Times New Roman"/>
        <family val="1"/>
      </rPr>
      <t>by way of refiting , repairing with cement mortar , cleaning and lettering as per drawing and technical specification clause 1912 (Clause 2.3 of OM for Frequency)</t>
    </r>
  </si>
  <si>
    <t xml:space="preserve"> Once  in year . 5 times in 5 years</t>
  </si>
  <si>
    <t>km</t>
  </si>
  <si>
    <r>
      <rPr>
        <u/>
        <sz val="9"/>
        <color indexed="8"/>
        <rFont val="Calibri"/>
        <family val="2"/>
      </rPr>
      <t xml:space="preserve">Maintenance of Drains   </t>
    </r>
    <r>
      <rPr>
        <sz val="9"/>
        <rFont val="Times New Roman"/>
        <family val="1"/>
      </rPr>
      <t xml:space="preserve">                                                  include erosion, repair, clearing,reshaping, regarding ,deeping of side drains as well as catch water drains as per clause 1907 of the specification. ( 50 % length  of drains , for </t>
    </r>
  </si>
  <si>
    <t>Twice in a year.For 5 years 10 times</t>
  </si>
  <si>
    <t>Rmt</t>
  </si>
  <si>
    <r>
      <rPr>
        <sz val="10"/>
        <rFont val="Arial"/>
        <family val="2"/>
      </rPr>
      <t>Clearing wild seasonal growth on berm/shoulders etc.</t>
    </r>
    <r>
      <rPr>
        <u/>
        <sz val="11"/>
        <color indexed="8"/>
        <rFont val="Calibri"/>
        <family val="2"/>
      </rPr>
      <t xml:space="preserve"> </t>
    </r>
    <r>
      <rPr>
        <sz val="10"/>
        <rFont val="Times New Roman"/>
        <family val="1"/>
      </rPr>
      <t xml:space="preserve">   ( 50 % area)</t>
    </r>
  </si>
  <si>
    <t>Once in a years 5 times in 5 year</t>
  </si>
  <si>
    <t>Cutting of Tree Branches ( assuming 10 trees in 1 km )</t>
  </si>
  <si>
    <t>White washing and Geo painting of Tree Trunks ( 0.5 sqm per tree)</t>
  </si>
  <si>
    <r>
      <rPr>
        <u/>
        <sz val="11"/>
        <color indexed="8"/>
        <rFont val="Calibri"/>
        <family val="2"/>
      </rPr>
      <t>Maintanence of Guard rails and parapet rails as per 1911 clause</t>
    </r>
    <r>
      <rPr>
        <sz val="10"/>
        <rFont val="Times New Roman"/>
        <family val="1"/>
      </rPr>
      <t xml:space="preserve">                 (considering 10 sqm area )</t>
    </r>
  </si>
  <si>
    <t>Once in a year 5 times in 5 year</t>
  </si>
  <si>
    <t>Maintenance of culverts and cause ways as per 1908 and 1909</t>
  </si>
  <si>
    <t>Pipe Culverts  / ASPER ACTUAL</t>
  </si>
  <si>
    <t>Twice in a year 10 times in 5 years</t>
  </si>
  <si>
    <t>per row of hume pipe</t>
  </si>
  <si>
    <t>Slab Culverts   ASPER ACTUAL</t>
  </si>
  <si>
    <t>Per Vent</t>
  </si>
  <si>
    <t>Cause way ( assuming 10 m causeway ) ASPER ACTUAL LENGTH</t>
  </si>
  <si>
    <t xml:space="preserve">RM </t>
  </si>
  <si>
    <t>White washing parapets of CD works</t>
  </si>
  <si>
    <t xml:space="preserve">                                                                                                                                                                                                                                                               </t>
  </si>
  <si>
    <t>Maintence of Road Furniture &amp; Signs</t>
  </si>
  <si>
    <t>Once in two years</t>
  </si>
  <si>
    <t>Maintence of Guard Stones</t>
  </si>
  <si>
    <t>Refixing of Guard Stones ( 20 % of total Numbers)</t>
  </si>
  <si>
    <t>White washing of Guard Stone</t>
  </si>
  <si>
    <t xml:space="preserve">Total </t>
  </si>
  <si>
    <t>Schedule A (Part -I)</t>
  </si>
  <si>
    <t>Schedule of Rates and Approximate Quantities</t>
  </si>
  <si>
    <t>Name of the work : -</t>
  </si>
  <si>
    <t>Estt.Cost Rs..</t>
  </si>
  <si>
    <t>A)</t>
  </si>
  <si>
    <t>The quanties here given are those upon which the lumpsum tender cost of work is based but they are subject to alteration, omissions, deductions, or additions as provided for in the conditions of this contract and do not necessarily show the actual quantities of work to be done.  The total contract value and unit rates noted below are those governing payment of extras or deductions for omissions according to the conditions to the contract as set forth in the preliminary specifications of the AP Standard Specifications and other conditions of specification of this contract.</t>
  </si>
  <si>
    <t>B)</t>
  </si>
  <si>
    <t>It is to be expressly understood that the measured work is to be taken net (not withstanding any custom or practice to the contrary) according to the actual quantities when in place and finished according to the drawings or as may be ordered from time to time by the Executive Engineer and the cost calculated by measurmeent or weight, at their respective rates wihtout any additional charge for any necessary or contingent works connected works connected therewith.  The total contract value is for works in situ and complete in every respect.</t>
  </si>
  <si>
    <t>C)</t>
  </si>
  <si>
    <t>Additions and alterations in the Schedule of quantities will disqualify the tender</t>
  </si>
  <si>
    <t>D)</t>
  </si>
  <si>
    <t>In case of discrepancies between the written description of the item in the Schedule 'A" and the detailed description in the specification of the same item, the latter shall be adopted.</t>
  </si>
  <si>
    <t xml:space="preserve">Probable quantity both in figures </t>
  </si>
  <si>
    <t>Description of works</t>
  </si>
  <si>
    <t>MoRD/ MoRT&amp;H specification</t>
  </si>
  <si>
    <t>Unit of Measurement in figures and words</t>
  </si>
  <si>
    <t>Rate in figures</t>
  </si>
  <si>
    <t>305.3.4 MoRTH</t>
  </si>
  <si>
    <t>305 MoRTH</t>
  </si>
  <si>
    <t>305.4.3 MoRTH</t>
  </si>
  <si>
    <t>404 MoRTH</t>
  </si>
  <si>
    <t>511 MoRTH</t>
  </si>
  <si>
    <t>513 MoRTH</t>
  </si>
  <si>
    <t>505 MoRTH</t>
  </si>
  <si>
    <t>503 MoRTH</t>
  </si>
  <si>
    <t>508 MoRTH</t>
  </si>
  <si>
    <t>304 MoRTH</t>
  </si>
  <si>
    <t>2504 MoRTH</t>
  </si>
  <si>
    <t>1 MT</t>
  </si>
  <si>
    <t>Each</t>
  </si>
  <si>
    <t>2200 MoRTH</t>
  </si>
  <si>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t>
  </si>
  <si>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t>
  </si>
  <si>
    <t>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t>
  </si>
  <si>
    <t>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t>
  </si>
  <si>
    <t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</si>
  <si>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t>
  </si>
  <si>
    <t>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t>
  </si>
  <si>
    <t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t>
  </si>
  <si>
    <t>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</si>
  <si>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</si>
  <si>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</si>
  <si>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</si>
  <si>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t>
  </si>
  <si>
    <t>Reinforced cement concrete M15 grade K.M stones of standard design as per IRC:8 fixing in position including painting and printing, etc as per drawing and Technical Specification Clause 804 MORTH ,including overhead charges &amp; Contractors profit ,But Exculding Seignarage charges. Ordinery KM Stone</t>
  </si>
  <si>
    <t>804 MoRTH</t>
  </si>
  <si>
    <t>Reinforced cement concrete M15 grade H.M stones of standard design as per IRC:8 fixing in position including painting and printing, etc as per drawing and Technical Specification Clause 804 MORTH ,including overhead charges &amp; Contractors profit ,But Exculding Seignarage charges. H.M Stone (200M)  Stone</t>
  </si>
  <si>
    <t>1701 MoRD</t>
  </si>
  <si>
    <t xml:space="preserve"> MORTH Section 803.4</t>
  </si>
  <si>
    <t>"APPROVED"</t>
  </si>
  <si>
    <t>Engineer - in - Chief</t>
  </si>
  <si>
    <t>Panchayat Raj, Hyderabad</t>
  </si>
  <si>
    <t>Schedule -A (Part-B)</t>
  </si>
  <si>
    <t>Details of amount reimbursseble to the Contractor</t>
  </si>
  <si>
    <t>Seigniorage Charges</t>
  </si>
  <si>
    <t>DMF Charges @ 30%  on Seigniorage Charge</t>
  </si>
  <si>
    <t>SMET Charges @ 2%  on Seigniorage Charge</t>
  </si>
  <si>
    <t>Towards GST @ 18%</t>
  </si>
  <si>
    <t>GST component loaded in Part ‘B’ of the estimate shall be reimbursed to the contractor upon producing the required document in support of payment of GST.
GST for the works contract shall be as per GST Act 2017 including amendments there on from time to time.</t>
  </si>
  <si>
    <t>OLD</t>
  </si>
  <si>
    <t xml:space="preserve">GST component loaded in Part ‘B’ of the estimate shall be reimbursed to the contractor upon producing the required document in support of payment of GST.
GST for the works contract shall be as per GST Act 2017 and amendments there on from time to time. For works contract, Tax deduction at source will be recovered from each bill of the contractor at 2% of bill amount.  The TDS for GST at 2% will be added and recovered on each work bill.
It is the liability of the contractor to pay GST at 12% on each bill of work done.   However 2% TDS recovered from each bill could be added in monthly returns submitted.  The contractors will be reimbursed of the balance GST paid i.e. (12%-2% already deducted as TDS) 10% of each bill amount provided in part “B” of the estimate.
</t>
  </si>
  <si>
    <t>MAINTENANCE OF ROADS DATA 2022-23</t>
  </si>
  <si>
    <t>Patch Repairs DATA</t>
  </si>
  <si>
    <t>RBR-MTRD-15</t>
  </si>
  <si>
    <t>Maintenance of WBM Road  / WMM</t>
  </si>
  <si>
    <t>Sr.NO 15.5, MORD Spec 1900 , Pg 15-7</t>
  </si>
  <si>
    <t>Maintenance of WBM road including filling up of pot holes, ruts and rectifying corrugated surface, damaged edges and raveling as per technical specification Clause 1906 MORD.</t>
  </si>
  <si>
    <t xml:space="preserve">Unit = Sqm        </t>
  </si>
  <si>
    <t>Output - Taking affected area @ 5% in 1 km = 1000 x 3.75 x 0.05 = 187.5 sqm</t>
  </si>
  <si>
    <t>Quantity 187.5 x 0.10 = 18.75 cum</t>
  </si>
  <si>
    <t xml:space="preserve"> as per MORD , QTY = 187.50 X 0.075 = 14.06 CUM</t>
  </si>
  <si>
    <t>Quantity 187.5 x 0.075 = 14.06 cum</t>
  </si>
  <si>
    <t>i.</t>
  </si>
  <si>
    <t>For grading I Material compacting with Smooth Wheel Roller 80-100 kN</t>
  </si>
  <si>
    <t>a) Rate as per item 4.7(3) of Chapter 4</t>
  </si>
  <si>
    <t>b) Add 50% for extra efforts involved as maintenance is to be done in small reaches</t>
  </si>
  <si>
    <t xml:space="preserve">Cost of 187.5 Sqm = a+b    </t>
  </si>
  <si>
    <t>Rate of per sqm  a+b/187.5  for 100mm thick</t>
  </si>
  <si>
    <t>per sqm</t>
  </si>
  <si>
    <t>For grading II Material compacting with Smooth Wheel Roller 80-100 kN</t>
  </si>
  <si>
    <t>iii.</t>
  </si>
  <si>
    <t>For grading III Material compacting with Smooth Wheel Roller 80-100 kN</t>
  </si>
  <si>
    <t>Sr.NO 15.3, MORD Spec 1900 , Pg 15-4 to 15-6</t>
  </si>
  <si>
    <t xml:space="preserve">Maintenance of Bituminous Surface road </t>
  </si>
  <si>
    <t>RBR-MTRD-3 (iii)</t>
  </si>
  <si>
    <r>
      <rPr>
        <sz val="10"/>
        <rFont val="Verdana"/>
        <family val="2"/>
      </rPr>
      <t xml:space="preserve">Repair to pot holes and removal of loose material, trimming of sides, cleaning of surface by providing </t>
    </r>
    <r>
      <rPr>
        <b/>
        <sz val="10"/>
        <rFont val="Verdana"/>
        <family val="2"/>
      </rPr>
      <t xml:space="preserve">tack coat, 20 mm thick pre-mix carpet and seal coat Type - B </t>
    </r>
    <r>
      <rPr>
        <sz val="10"/>
        <rFont val="Verdana"/>
        <family val="2"/>
      </rPr>
      <t>as per drawing and technical specification  Clause 1904.2 MORD, 503 and  508.1,  including overhead charges &amp; Contractor profit  but excluding GST and seignorage charges.</t>
    </r>
  </si>
  <si>
    <t>Unit = sqm</t>
  </si>
  <si>
    <t>Taking output = 200 sqm</t>
  </si>
  <si>
    <t>(a) Labour</t>
  </si>
  <si>
    <t>Mazdoor (Unskilled)</t>
  </si>
  <si>
    <t>Add  Muncipal area allowance</t>
  </si>
  <si>
    <t>(b)  Machinery</t>
  </si>
  <si>
    <t>Air compressor 210 cfm with tractor</t>
  </si>
  <si>
    <t>Bitumen pressure distributor</t>
  </si>
  <si>
    <t>Mixall 6/10t capacity</t>
  </si>
  <si>
    <t>Three wheeled 80-100 kN Static Roller</t>
  </si>
  <si>
    <t>(c) Materials</t>
  </si>
  <si>
    <t>t</t>
  </si>
  <si>
    <t>Bitumen for tack coat @ 3kg per 10 sqm 200 x 3 / 10 = 60 kg (RS1)</t>
  </si>
  <si>
    <t>Bitumen for pre-mix carpet @ 14.60 kg per 10 sqm = 200 x 14.6 / 10 = 292 kg (60/70)</t>
  </si>
  <si>
    <t>Bitumen for seal coat at 6.8kgs/10sqm(60/70) = 200x 6.8/10 = 136 kg</t>
  </si>
  <si>
    <t xml:space="preserve">Crushed stone aggregate 13.2 mm to 5.6 mm @ 0.27 cum per 10 sqm= 200x0.27/10=5.4cum </t>
  </si>
  <si>
    <t>Crushed sand passing 2.36 mm sieve and retained on 180 micron sieve @ 0.06 cum per 10 sqm
200 x 0.06 / 10 = 1.20 cum</t>
  </si>
  <si>
    <t>a+b+c=</t>
  </si>
  <si>
    <t>(d) Overhead charges on (a+b+c)</t>
  </si>
  <si>
    <t xml:space="preserve">(d)  contractors Profit </t>
  </si>
  <si>
    <t>Cost for 200 sqm = a+b+c+d+e</t>
  </si>
  <si>
    <t>Rate per sqm = a+b+c+d+e/200</t>
  </si>
  <si>
    <t xml:space="preserve">Rate per 1Sqm </t>
  </si>
  <si>
    <t>RBR-MTRD-3 (ii)</t>
  </si>
  <si>
    <r>
      <rPr>
        <sz val="10"/>
        <rFont val="Verdana"/>
        <family val="2"/>
      </rPr>
      <t xml:space="preserve">Patch repair on already filled pot holes with </t>
    </r>
    <r>
      <rPr>
        <b/>
        <sz val="10"/>
        <rFont val="Verdana"/>
        <family val="2"/>
      </rPr>
      <t>75 mm BM with 20 mm premix carpet</t>
    </r>
    <r>
      <rPr>
        <sz val="10"/>
        <rFont val="Verdana"/>
        <family val="2"/>
      </rPr>
      <t xml:space="preserve"> </t>
    </r>
    <r>
      <rPr>
        <b/>
        <sz val="10"/>
        <rFont val="Verdana"/>
        <family val="2"/>
      </rPr>
      <t xml:space="preserve">and  seal coat Type B </t>
    </r>
    <r>
      <rPr>
        <sz val="10"/>
        <rFont val="Verdana"/>
        <family val="2"/>
      </rPr>
      <t>as per drawings and technical specification Clause 1904.2 MORD  including overhead charges &amp; Contractor profit  but excluding GST and seignorage charges..</t>
    </r>
  </si>
  <si>
    <t xml:space="preserve">Mixall 6/10 tonne </t>
  </si>
  <si>
    <t>tonne</t>
  </si>
  <si>
    <t>Bitumen for pre-mix carpet @ 14.60 kg/10 sqm 200x14.60/10 =292 kg</t>
  </si>
  <si>
    <t>Bitumen for tack coat @2kg per 10sqm 200 x 2 / 10 =40kg</t>
  </si>
  <si>
    <t>Bitumen for seal coat @ 6.8 kg per 10 sqm
200 x 6.8 / 10 = 136 kg</t>
  </si>
  <si>
    <t>Crushed sand passing 2.36 mm sieve and retained on 180 micron sieve @ 0.06 cum per 10 sqm</t>
  </si>
  <si>
    <t>200 x 0.06 / 10 = 1.20 cum</t>
  </si>
  <si>
    <t>Cost of 200 sqm = a+b+c+d+e</t>
  </si>
  <si>
    <t>Rate/sqm = a+b+c+d+e/200</t>
  </si>
  <si>
    <t>Filling Pot-holes and Patch Repairs with open-Graded Premix surfacing, 20mm.</t>
  </si>
  <si>
    <t>MORTH 3004.2</t>
  </si>
  <si>
    <r>
      <rPr>
        <sz val="10"/>
        <rFont val="Verdana"/>
        <family val="2"/>
      </rPr>
      <t>Removal of all failed material,</t>
    </r>
    <r>
      <rPr>
        <b/>
        <sz val="10"/>
        <rFont val="Verdana"/>
        <family val="2"/>
      </rPr>
      <t>(Filling Pot-holes and Patch Repairs with open-Graded Premix surfacing, 20mm)</t>
    </r>
    <r>
      <rPr>
        <sz val="10"/>
        <rFont val="Verdana"/>
        <family val="2"/>
      </rPr>
      <t>.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 MORTHincluding overhead charges &amp; Contractor profit  but excluding GST and seignorage charges..</t>
    </r>
  </si>
  <si>
    <t>Unit = sq.m</t>
  </si>
  <si>
    <t>Taking output = 10250 sq.m (205 cu.m) (405 tonne)</t>
  </si>
  <si>
    <t>Mazdoor (skilled)</t>
  </si>
  <si>
    <t xml:space="preserve">Air compressor 210 cfm  </t>
  </si>
  <si>
    <t xml:space="preserve">HMP 100-110 TPH Capacity </t>
  </si>
  <si>
    <t>Tipper 10 tonnes capacity</t>
  </si>
  <si>
    <t>Smooth wheeled roller 8-10 tonnes</t>
  </si>
  <si>
    <t>cu.m</t>
  </si>
  <si>
    <t>Crushed stone aggregate 13.2 mm nominal size</t>
  </si>
  <si>
    <t>Crushed stone aggregate 11.2 mm nominal size</t>
  </si>
  <si>
    <t>Bitumen emulsion for tack coat including vertical sides of pot hole.</t>
  </si>
  <si>
    <t>Bitumen 60/70</t>
  </si>
  <si>
    <t>A+B+C</t>
  </si>
  <si>
    <t>Cost for 10250 sq.m = a+b+c+d</t>
  </si>
  <si>
    <t>Rate per 1 sq.m = (a+b+c+d) /10250</t>
  </si>
  <si>
    <t>Filling of Pot-holes and Patch Repairs with Bituminous concrete ,40mm</t>
  </si>
  <si>
    <t>Filling of Pot-holes and Patch Repairs with Bituminous concrete ,40mm Removal of all failed material ,trimming of completed excavation to provide firm vertical faces,cleaning of surface,painting of tack coat on the sides and base of excavation as per clause 503,back filling the pot holes with hot bituminous  concrete material  with batch type hot mix plant  75 tonne per hour as per clause 504,compacting,trimming and finishing the surface to form a smooth continuous surface, all as per Clause 3004.2 as per MORTH specification  complete in all respects</t>
  </si>
  <si>
    <t>Unit =sqm</t>
  </si>
  <si>
    <t>Page282,283 of MoRT&amp;H SDB</t>
  </si>
  <si>
    <t>Taking out put =4900 sqm(196cum) (450 tonne)</t>
  </si>
  <si>
    <t>nos.</t>
  </si>
  <si>
    <t>Air Compressor 250 cfm</t>
  </si>
  <si>
    <t>i) Batch type HMP 75 tonne per hour</t>
  </si>
  <si>
    <t xml:space="preserve">Smooth wheeled roller 8-10 tonnes for initial break down rolling </t>
  </si>
  <si>
    <t>Bitumen VG 30 @ 5% of weight of mix</t>
  </si>
  <si>
    <t>Bitumen emulsion for tack coat</t>
  </si>
  <si>
    <t>Aggregates</t>
  </si>
  <si>
    <t>Total weight of mix = 450 tonnes</t>
  </si>
  <si>
    <t>weight of bitumen = 22.50 tonnes</t>
  </si>
  <si>
    <t>Weight of aggregate = 450-22.50 = 427.5 tonnes</t>
  </si>
  <si>
    <t>Taking density of aggregate = 1.5 tonne/cum</t>
  </si>
  <si>
    <t>Volume of aggregate = 285.00 cum</t>
  </si>
  <si>
    <t xml:space="preserve"> Grading - II    (13 mm nominal size)</t>
  </si>
  <si>
    <t>13.20-10 mm IRC &amp; MORT&amp;H HBG Chips @ 30 %</t>
  </si>
  <si>
    <t>Average of 12 to 14mm,9.5 to 11.2mmIRC HBGM/C metal )</t>
  </si>
  <si>
    <t>10-5 mm IRC &amp; MORT&amp;H HBG Chips  @ 25%</t>
  </si>
  <si>
    <t>average of 10mm to 5 mm 25 per cent ,IRC HBGM/C metal )</t>
  </si>
  <si>
    <t>5 mm &amp; below IRC &amp; MORT&amp;H HBG Chips@ 43%</t>
  </si>
  <si>
    <t>average of 2.36 to 5mm&amp; 2.36mm and belowIRC HBGM/C metal )</t>
  </si>
  <si>
    <t>HBG chips 2.36mm &amp; below @ 2% filler</t>
  </si>
  <si>
    <t xml:space="preserve">Over head charges &amp; CP </t>
  </si>
  <si>
    <t>Over head charges and CP 13.615%  on (A) + (B)+(C)</t>
  </si>
  <si>
    <t>Cost per 196 cum</t>
  </si>
  <si>
    <t>Rate per 1 cum</t>
  </si>
  <si>
    <t>MORD</t>
  </si>
  <si>
    <r>
      <rPr>
        <sz val="10"/>
        <rFont val="Verdana"/>
        <family val="2"/>
      </rPr>
      <t xml:space="preserve"> Repair to pot holes by removal of failed material, trimming the sides to vertical and leveling the bottom, cleaning the same with compressed air or any appropriate method </t>
    </r>
    <r>
      <rPr>
        <b/>
        <sz val="10"/>
        <rFont val="Verdana"/>
        <family val="2"/>
      </rPr>
      <t>filled with 75mm B.M</t>
    </r>
    <r>
      <rPr>
        <sz val="10"/>
        <rFont val="Verdana"/>
        <family val="2"/>
      </rPr>
      <t>, after applying bitumen emulsion prime coat at the bottom and bitumen emulsion tack coat on sides and on bottom as per technical specifications Clauses 502 , 503 and1904 MORD  including overhead charges &amp; Contractor profit  but excluding GST and seignorage charges..</t>
    </r>
  </si>
  <si>
    <t>RBR-MTRD-3 (i)</t>
  </si>
  <si>
    <t>Taking output = 187.5x0.075 = 14.06 cum = (30.94 Tonne)</t>
  </si>
  <si>
    <t>(5% area of one km)</t>
  </si>
  <si>
    <t>Add Agency area allowance @ 0%</t>
  </si>
  <si>
    <t>Jack hammer 25 kg with tractor</t>
  </si>
  <si>
    <t>Compressor 210 cfm with tractor</t>
  </si>
  <si>
    <t xml:space="preserve">Emulsion pressure distributor </t>
  </si>
  <si>
    <t>Mixall 6/10 t capacity</t>
  </si>
  <si>
    <t>Primer with bitumen emulsion (SS-1)  @ 9 kg/10 sqm 187.5x9 = 168.75 kg.</t>
  </si>
  <si>
    <t>Tonne</t>
  </si>
  <si>
    <t>Tack coat with bitumen emulsion (RS-1) @ 3.0 kg/ 10 sqm</t>
  </si>
  <si>
    <t>Bottom = 187.5</t>
  </si>
  <si>
    <t>Sides = 28.27</t>
  </si>
  <si>
    <t>Total = 215.77</t>
  </si>
  <si>
    <t>Bitumen for BM @ 3.5% by weight of mix = 30.94 x 3.5 / 100 = 1.082</t>
  </si>
  <si>
    <t>Weight of mix (BM) 14.06 cum = (30.94 tonne)</t>
  </si>
  <si>
    <t>Weight of Bitumen = 1.082</t>
  </si>
  <si>
    <t xml:space="preserve">Weight of aggregate 30.94 -1.082 = 29.86 </t>
  </si>
  <si>
    <t>Taking density of aggregate 1.5 t per cum</t>
  </si>
  <si>
    <t xml:space="preserve">Volume of aggregate 29.86 / 1.5 = 19.90 cum </t>
  </si>
  <si>
    <t>Grading (1) (40 mm nominal size)</t>
  </si>
  <si>
    <t>37.5 - 25 mm 15%</t>
  </si>
  <si>
    <t>25 - 10 mm 45%</t>
  </si>
  <si>
    <t>10 - 5 mm 25%</t>
  </si>
  <si>
    <t>5 mm and below 15%</t>
  </si>
  <si>
    <t>Contractor profit</t>
  </si>
  <si>
    <t>Cost per 14.06 cum</t>
  </si>
  <si>
    <r>
      <rPr>
        <b/>
        <sz val="10"/>
        <rFont val="Verdana"/>
        <family val="2"/>
      </rPr>
      <t xml:space="preserve">Filling Pot-holes and Patch Repairs with Bituminous concrete, 40mm. Grading - I  19mm(Nominal size) </t>
    </r>
    <r>
      <rPr>
        <sz val="10"/>
        <rFont val="Verdana"/>
        <family val="2"/>
      </rPr>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r>
  </si>
  <si>
    <t>Page No : 282</t>
  </si>
  <si>
    <t>Taking out put = 4900 sqm (196 cum)(450 Tonnes)</t>
  </si>
  <si>
    <t>a)     Labour</t>
  </si>
  <si>
    <t>b)      Machinery</t>
  </si>
  <si>
    <t>Air compressor 250 cfm</t>
  </si>
  <si>
    <t>c)      Material</t>
  </si>
  <si>
    <t>I) Bitumen       60/70 Grade</t>
  </si>
  <si>
    <t>ii) Bitumen emulsion for tack coat . (RS)</t>
  </si>
  <si>
    <t>iii) Aggregates</t>
  </si>
  <si>
    <t>Grading I - 19mm(Nominal size)</t>
  </si>
  <si>
    <t xml:space="preserve">20-10mm 35 per cent </t>
  </si>
  <si>
    <t xml:space="preserve">10-5 mm 23 per cent </t>
  </si>
  <si>
    <t xml:space="preserve">5mm and below40 per cent </t>
  </si>
  <si>
    <t>Filler 2 per cent by weight of Aggregates</t>
  </si>
  <si>
    <t xml:space="preserve">Add 5 per cent  for wastage </t>
  </si>
  <si>
    <t>Over head charges &amp; CP</t>
  </si>
  <si>
    <t>Cost per 1.00 Sqm</t>
  </si>
  <si>
    <t>Total Rs.</t>
  </si>
  <si>
    <t>Restoration of Rain Cuts</t>
  </si>
  <si>
    <t>Restoration of rain cuts with soil, moorum, gravel or a mixture of these, clearing the loose soil, benching for 300 mm width, laying fresh material in layers not exceeding 250 mm and compacting with plate compactor or power rammers to restore the original alignment, levels and slopes</t>
  </si>
  <si>
    <t>Mechanical Means ( Page No 278 )</t>
  </si>
  <si>
    <t>Excavator1.0 cum bucket capacity @ 60 cum per hour</t>
  </si>
  <si>
    <t>tonne.km</t>
  </si>
  <si>
    <t>Tipper (12L -&gt; L is average lead in km for borrow earth =12x1=12 )</t>
  </si>
  <si>
    <t>Add 10 per cent  of cost of carriage towards loading and unloading charges.</t>
  </si>
  <si>
    <t>Plate compactor</t>
  </si>
  <si>
    <t>Cost per 1.00 Cum</t>
  </si>
  <si>
    <r>
      <rPr>
        <b/>
        <sz val="10"/>
        <rFont val="Verdana"/>
        <family val="2"/>
      </rPr>
      <t xml:space="preserve">Note : </t>
    </r>
    <r>
      <rPr>
        <sz val="10"/>
        <rFont val="Verdana"/>
        <family val="2"/>
      </rPr>
      <t>Only 75% of fresh material has been provided as 25% can be retrieved from site from earth i.e. flown down the slop in the form of slurry and deposited at the foot of rain cuts.</t>
    </r>
  </si>
  <si>
    <t>Maintenance of Earthen shoulder (filling with fresh selected soil)Making up loss of material/ irregularities on shoulder to the design level by adding fresh approved soil and compacting it with appropriate equipment.</t>
  </si>
  <si>
    <t>Page No 279</t>
  </si>
  <si>
    <t>Taking output = 100 sqm</t>
  </si>
  <si>
    <t>Assuming average thickness of filling to be 150 mm</t>
  </si>
  <si>
    <t>Quality of fresh material = 15 cum</t>
  </si>
  <si>
    <t>Tipper (24L -&gt; L is average lead in km for borrow earth =24x1=24 )</t>
  </si>
  <si>
    <t>Plate compactor @ 25 Sqm per hour</t>
  </si>
  <si>
    <r>
      <rPr>
        <b/>
        <sz val="10"/>
        <rFont val="Verdana"/>
        <family val="2"/>
      </rPr>
      <t xml:space="preserve">Maintenance of Earthen shoulder (stripping excess soil)  </t>
    </r>
    <r>
      <rPr>
        <sz val="10"/>
        <rFont val="Verdana"/>
        <family val="2"/>
      </rPr>
      <t>Stripping excess soil from the shoulder surface to achieve the approved level and compacting with plate compactor.</t>
    </r>
  </si>
  <si>
    <t>Page No 280</t>
  </si>
  <si>
    <t>Assuming average depth of stripping as 75mm</t>
  </si>
  <si>
    <t>Quality of eart cutting involved = 7.5 cum</t>
  </si>
  <si>
    <t>Total A</t>
  </si>
  <si>
    <t>Total B</t>
  </si>
  <si>
    <t>Total A +B</t>
  </si>
  <si>
    <t>DATA  FOR  MAINTENANCE OF ROADS SSR  2022-23</t>
  </si>
  <si>
    <t>Sl. No</t>
  </si>
  <si>
    <t>Sr. No</t>
  </si>
  <si>
    <t>Reference to MoRTH Specification</t>
  </si>
  <si>
    <t>Rate Rs.</t>
  </si>
  <si>
    <r>
      <rPr>
        <b/>
        <sz val="10"/>
        <rFont val="Times New Roman"/>
        <family val="1"/>
      </rPr>
      <t xml:space="preserve">Note : </t>
    </r>
    <r>
      <rPr>
        <sz val="10"/>
        <rFont val="Times New Roman"/>
        <family val="1"/>
      </rPr>
      <t>Only 75% of fresh material has been provided as 25% can be retrieved from site from earth i.e. flown down the slop in the form of slurry and deposited at the foot of rain cuts.</t>
    </r>
  </si>
  <si>
    <t>Maintenance of Earthen shoulder (filling with fresh selected soil)</t>
  </si>
  <si>
    <t>Making up loss of material/ irregularities on shoulder to the design level by adding fresh approved soil and compacting it with appropriate equipment.</t>
  </si>
  <si>
    <t>Removal of all failed material,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t>
  </si>
  <si>
    <t>Page No 281</t>
  </si>
  <si>
    <t>Unit =  Sqm</t>
  </si>
  <si>
    <t>Taking out put = 10250 sqm (205 cum)(405 tonne)</t>
  </si>
  <si>
    <t>Crushed stone aggregates nominal size 13.2mm @ 0.18 Cum / 10 Sqm</t>
  </si>
  <si>
    <t>Crushed stone aggregates nominal size 11.2mm @ 0.09 Cum / 10 Sqm</t>
  </si>
  <si>
    <t xml:space="preserve">Bitumen 60/70 @ 14.60 Cum / 10 Sqm </t>
  </si>
  <si>
    <t>Bitumen emulsion RS-1  for tack coat including vertical sides of pot hole.</t>
  </si>
  <si>
    <t>Filling Pot-holes and Patch Repairs with Bituminous concrete, 40mm.</t>
  </si>
  <si>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</si>
  <si>
    <t>The Data Sl.no (1- 25) only</t>
  </si>
  <si>
    <t>// Approved //</t>
  </si>
  <si>
    <t>Sl. 
No.</t>
  </si>
  <si>
    <t>Body Wall Foundation</t>
  </si>
  <si>
    <t>Under Pipes</t>
  </si>
  <si>
    <t>Head walls</t>
  </si>
  <si>
    <t>Body Wall Foundation below GL</t>
  </si>
  <si>
    <t>1x</t>
  </si>
  <si>
    <r>
      <t>1.25+1.0</t>
    </r>
    <r>
      <rPr>
        <sz val="11"/>
        <rFont val="Calibri"/>
        <family val="2"/>
        <scheme val="minor"/>
      </rPr>
      <t xml:space="preserve">
2</t>
    </r>
  </si>
  <si>
    <t>Body Wall Foundation above GL</t>
  </si>
  <si>
    <t>Parapet wall</t>
  </si>
  <si>
    <t>Deduct for pipe portion</t>
  </si>
  <si>
    <t>II/4</t>
  </si>
  <si>
    <r>
      <t>1.0+0.6</t>
    </r>
    <r>
      <rPr>
        <sz val="11"/>
        <rFont val="Calibri"/>
        <family val="2"/>
        <scheme val="minor"/>
      </rPr>
      <t xml:space="preserve">
2</t>
    </r>
  </si>
  <si>
    <t>1000mm dia NP4</t>
  </si>
  <si>
    <t xml:space="preserve">Total Amount </t>
  </si>
  <si>
    <t>Assistant  Engineer,</t>
  </si>
  <si>
    <t xml:space="preserve">Abutment, </t>
  </si>
  <si>
    <t>Wing walls</t>
  </si>
  <si>
    <r>
      <t>2.37+1.85</t>
    </r>
    <r>
      <rPr>
        <sz val="11"/>
        <rFont val="Calibri"/>
        <family val="2"/>
        <scheme val="minor"/>
      </rPr>
      <t xml:space="preserve">
2</t>
    </r>
  </si>
  <si>
    <t>For abutments</t>
  </si>
  <si>
    <t>for Piers, Abutments, wing walls, cut off walls etc., below bed level</t>
  </si>
  <si>
    <t>Abutment 1st steps</t>
  </si>
  <si>
    <t>,, 2nd step</t>
  </si>
  <si>
    <t>,, 3rd step</t>
  </si>
  <si>
    <t>,, tappered</t>
  </si>
  <si>
    <r>
      <t>2.50+2.10</t>
    </r>
    <r>
      <rPr>
        <sz val="11"/>
        <rFont val="Calibri"/>
        <family val="2"/>
        <scheme val="minor"/>
      </rPr>
      <t xml:space="preserve">
2</t>
    </r>
  </si>
  <si>
    <r>
      <t>2.17+1.65</t>
    </r>
    <r>
      <rPr>
        <sz val="11"/>
        <rFont val="Calibri"/>
        <family val="2"/>
        <scheme val="minor"/>
      </rPr>
      <t xml:space="preserve">
2</t>
    </r>
  </si>
  <si>
    <t xml:space="preserve">2nd </t>
  </si>
  <si>
    <r>
      <t>1.77+1.25</t>
    </r>
    <r>
      <rPr>
        <sz val="11"/>
        <rFont val="Calibri"/>
        <family val="2"/>
        <scheme val="minor"/>
      </rPr>
      <t xml:space="preserve">
2</t>
    </r>
  </si>
  <si>
    <t>tappered</t>
  </si>
  <si>
    <r>
      <t>1.57+1.05</t>
    </r>
    <r>
      <rPr>
        <sz val="11"/>
        <rFont val="Calibri"/>
        <family val="2"/>
        <scheme val="minor"/>
      </rPr>
      <t xml:space="preserve">
2</t>
    </r>
  </si>
  <si>
    <t>Abutment</t>
  </si>
  <si>
    <r>
      <t>2.10+1.30</t>
    </r>
    <r>
      <rPr>
        <sz val="11"/>
        <rFont val="Calibri"/>
        <family val="2"/>
        <scheme val="minor"/>
      </rPr>
      <t xml:space="preserve">
2</t>
    </r>
  </si>
  <si>
    <t>Abutment dirt wall</t>
  </si>
  <si>
    <t>Wing walls Tappered</t>
  </si>
  <si>
    <r>
      <t>0.935+0.50</t>
    </r>
    <r>
      <rPr>
        <sz val="11"/>
        <rFont val="Calibri"/>
        <family val="2"/>
        <scheme val="minor"/>
      </rPr>
      <t xml:space="preserve">
2</t>
    </r>
  </si>
  <si>
    <t>Bed blocks Over abutment</t>
  </si>
  <si>
    <t>Balance width</t>
  </si>
  <si>
    <t>Kerb  wall</t>
  </si>
  <si>
    <t>for deck slab</t>
  </si>
  <si>
    <t>for Deck slab</t>
  </si>
  <si>
    <t>For appraches</t>
  </si>
  <si>
    <r>
      <t xml:space="preserve">2.00+0.50
</t>
    </r>
    <r>
      <rPr>
        <sz val="11"/>
        <rFont val="Calibri"/>
        <family val="2"/>
        <scheme val="minor"/>
      </rPr>
      <t>2</t>
    </r>
  </si>
  <si>
    <t>Over deck slab</t>
  </si>
  <si>
    <t>For approaches</t>
  </si>
  <si>
    <r>
      <t>13.50+7.50</t>
    </r>
    <r>
      <rPr>
        <sz val="11"/>
        <rFont val="Calibri"/>
        <family val="2"/>
        <scheme val="minor"/>
      </rPr>
      <t xml:space="preserve">
2</t>
    </r>
  </si>
  <si>
    <r>
      <t>2.00+0.30</t>
    </r>
    <r>
      <rPr>
        <sz val="11"/>
        <rFont val="Calibri"/>
        <family val="2"/>
        <scheme val="minor"/>
      </rPr>
      <t xml:space="preserve">
2</t>
    </r>
  </si>
  <si>
    <t>1Cum</t>
  </si>
  <si>
    <t xml:space="preserve">approach </t>
  </si>
  <si>
    <t>Vent porton</t>
  </si>
  <si>
    <t>Up stream side</t>
  </si>
  <si>
    <t>Down stream side</t>
  </si>
  <si>
    <t>Asst. Exe. Engineer,</t>
  </si>
  <si>
    <t>Construction of 1 Vent of 6.00 x 2.00m span Slab Culverts- 1nos  at Km 0/400</t>
  </si>
  <si>
    <r>
      <t>2.38+1.85</t>
    </r>
    <r>
      <rPr>
        <sz val="11"/>
        <rFont val="Calibri"/>
        <family val="2"/>
        <scheme val="minor"/>
      </rPr>
      <t xml:space="preserve">
2</t>
    </r>
  </si>
  <si>
    <t>(2.50+ 2.10)/2</t>
  </si>
  <si>
    <t>Abutment up to GL</t>
  </si>
  <si>
    <t>(2.10+ 1.82)/2</t>
  </si>
  <si>
    <t>(2.13+ 1.73)/2</t>
  </si>
  <si>
    <t>Wing walls up to GL</t>
  </si>
  <si>
    <t>(1.73+ 1.38)/2</t>
  </si>
  <si>
    <t>(1.82+ 1.30)/2</t>
  </si>
  <si>
    <t>Wing walls above GL</t>
  </si>
  <si>
    <t>(1.38+ 0.50)/2</t>
  </si>
  <si>
    <t>Backing wall</t>
  </si>
  <si>
    <t>Over Approach slab</t>
  </si>
  <si>
    <r>
      <t>13.5+7.5</t>
    </r>
    <r>
      <rPr>
        <sz val="11"/>
        <rFont val="Calibri"/>
        <family val="2"/>
        <scheme val="minor"/>
      </rPr>
      <t xml:space="preserve">
2</t>
    </r>
  </si>
  <si>
    <r>
      <t>2.0+0.3</t>
    </r>
    <r>
      <rPr>
        <sz val="11"/>
        <rFont val="Calibri"/>
        <family val="2"/>
        <scheme val="minor"/>
      </rPr>
      <t xml:space="preserve">
2</t>
    </r>
  </si>
  <si>
    <t>District PR Engineer,</t>
  </si>
  <si>
    <t xml:space="preserve">  SUB-ESTIMATE FOR ROAD FURNITURE WITH SSR  2023-24</t>
  </si>
  <si>
    <t>Ordinery KM Stone</t>
  </si>
  <si>
    <t>/ No.</t>
  </si>
  <si>
    <t>H.M Stone (200M)  Stone</t>
  </si>
  <si>
    <t>Information Sign board</t>
  </si>
  <si>
    <t>1000x900mm size</t>
  </si>
  <si>
    <t>600mmx600mm size</t>
  </si>
  <si>
    <t>Supplying of hot applied thermoplastic road marking compound, 2.5mm thick including reflectorising glass beads @ 250gms with Reflectorising Glass Beads on Bituminous Surface at 250 gms per sqm area, thickness of 2.5mm is exclusive of surface applied glass bead as per MORTH Section 803.4 and IRC: 35-2015, the material should satisfy the requirements as per MORTH specifications 803.4 and must comply with the following: a) White index for the product should be in the range of 60-70 when measured against standard reference. The applied panel 7/8 number must be submitted for checking up the white index in the department lab. In case the department approves the white index of any vendor, the department engineer may carryout random checking of the applied products at site against the approved panel. In case of any major deviation, beyond</t>
  </si>
  <si>
    <t>ROAD SAFETY INTERVENTIONS  - SUB ESTIMATE</t>
  </si>
  <si>
    <t>Measurments</t>
  </si>
  <si>
    <t>Cost, supply and fixing on road of Reflective Studs - RMP (Twin Moulded Shanks) including cost and conveyance and all labour charges and including contractors profit &amp; Over head charges,  but excluding  GST etc,. Complete.</t>
  </si>
  <si>
    <t>At Junctions to be provided two rows of 0.5m spacing at Junction Start &amp; after Junctions</t>
  </si>
  <si>
    <t>Junctions</t>
  </si>
  <si>
    <t>At curves to be provided in both edges @ 1.00 mts intervals of curve potion</t>
  </si>
  <si>
    <t>curves</t>
  </si>
  <si>
    <t>/ Each</t>
  </si>
  <si>
    <t>Cost, supply and Painting on road of Thermoplastic Paint of 2.50 mm thick including cost and conveyance and all labour charges and including contractors profit &amp; Over head charges,  but excluding  GST etc,. Complete.</t>
  </si>
  <si>
    <t>Lenth of the road</t>
  </si>
  <si>
    <t xml:space="preserve">Both Sides of the road </t>
  </si>
  <si>
    <t>Center line</t>
  </si>
  <si>
    <t>/ Sqm</t>
  </si>
  <si>
    <t>Providing and erecting a "W" metal beam crash barrier comprising of 3mm thick corrugated sheet metal beam rail 70 cm above road/ground level, fixed on ISMC  series chennel verical post 150x75x5mm spaced 2.00m cente-to-centre, 1.80m high, 1.10m below ground/road level, all steel parts and fitiings to be galvanized by hot dip process, all fittings to confirm to IS:1367 and IS: 1364, metal beam rail to be fixed on vertical post with a spacer of chennel section 150x75x5mm, 330mm longs complete as per clause 810, including cost and conveyance and all labour charges and including contractors profit &amp; Over head charges,  but excluding  GST etc,. Complete.</t>
  </si>
  <si>
    <t>High Level Bridge / High Banking portion</t>
  </si>
  <si>
    <t xml:space="preserve">at </t>
  </si>
  <si>
    <t>/ Rm</t>
  </si>
  <si>
    <t>2.5mm thick in 3 layers</t>
  </si>
  <si>
    <t>1Sqm</t>
  </si>
  <si>
    <t>Piers</t>
  </si>
  <si>
    <t>Pier</t>
  </si>
  <si>
    <t>Semi circular portion</t>
  </si>
  <si>
    <t>II/8</t>
  </si>
  <si>
    <t>II/4*2</t>
  </si>
  <si>
    <t>Long wall</t>
  </si>
  <si>
    <t>Cross wall</t>
  </si>
  <si>
    <t>Under pipes</t>
  </si>
  <si>
    <t>Between road dam</t>
  </si>
  <si>
    <t>Level portion</t>
  </si>
  <si>
    <t>Between pipes</t>
  </si>
  <si>
    <t>Deduct pipe portion</t>
  </si>
  <si>
    <t>π/4</t>
  </si>
  <si>
    <t>Ramps</t>
  </si>
  <si>
    <t>Below bed level</t>
  </si>
  <si>
    <t>Above bed level</t>
  </si>
  <si>
    <t>(0.90+ 0.60)/2</t>
  </si>
  <si>
    <t>Long wall ramp</t>
  </si>
  <si>
    <t>(1.50+ 0.00)/2</t>
  </si>
  <si>
    <t>Pipes of 1000mm dia</t>
  </si>
  <si>
    <t>(1.275+ 0.00)/2</t>
  </si>
  <si>
    <t>Fill up</t>
  </si>
  <si>
    <t>From Km 3/060 to 3/080</t>
  </si>
  <si>
    <t>Foundation</t>
  </si>
  <si>
    <t>Ret Wall body wall</t>
  </si>
  <si>
    <r>
      <rPr>
        <u/>
        <sz val="10"/>
        <rFont val="Arial"/>
        <family val="2"/>
      </rPr>
      <t xml:space="preserve">1.30+0.90
</t>
    </r>
    <r>
      <rPr>
        <sz val="10"/>
        <rFont val="Arial"/>
        <family val="2"/>
      </rPr>
      <t>2</t>
    </r>
  </si>
  <si>
    <r>
      <rPr>
        <u/>
        <sz val="10"/>
        <rFont val="Arial"/>
        <family val="2"/>
      </rPr>
      <t xml:space="preserve">0.90+0.40
</t>
    </r>
    <r>
      <rPr>
        <sz val="10"/>
        <rFont val="Arial"/>
        <family val="2"/>
      </rPr>
      <t>2</t>
    </r>
  </si>
  <si>
    <t xml:space="preserve">  SUB-ESTIMATE FOR SIDE DRAINS WITH SSR 2021-22</t>
  </si>
  <si>
    <t>Construction of Village side drain for a length of 250 m</t>
  </si>
  <si>
    <t>In the village portion both sides (From Km 0/580 to 0/950)</t>
  </si>
  <si>
    <t>In the village portion of Sublaid</t>
  </si>
  <si>
    <t>From Km 0/000 to 0/840</t>
  </si>
  <si>
    <t>In the village portion of Sublaid (From Km 0/000 to 0/840)</t>
  </si>
  <si>
    <t>Drain body wall</t>
  </si>
  <si>
    <r>
      <rPr>
        <u/>
        <sz val="10"/>
        <rFont val="Arial"/>
        <family val="2"/>
      </rPr>
      <t xml:space="preserve">0.30+0.23
</t>
    </r>
    <r>
      <rPr>
        <sz val="10"/>
        <rFont val="Arial"/>
        <family val="2"/>
      </rPr>
      <t>2</t>
    </r>
  </si>
  <si>
    <t>Drain body wall road side</t>
  </si>
  <si>
    <t>Road Crossings</t>
  </si>
  <si>
    <t>SEIGNEORAGE CHARGES STATEMENT</t>
  </si>
  <si>
    <t>Description of item</t>
  </si>
  <si>
    <t>Qty</t>
  </si>
  <si>
    <t>Seignorage 
rate</t>
  </si>
  <si>
    <t>Earth work excavation for structures</t>
  </si>
  <si>
    <t>Filling sand</t>
  </si>
  <si>
    <t>PCC M15 grade for foundations</t>
  </si>
  <si>
    <t>PCC M15 grade for body walls</t>
  </si>
  <si>
    <t>PCC (1:3:6)</t>
  </si>
  <si>
    <t>RCC M25 grade for Bed blocks</t>
  </si>
  <si>
    <t>RCC M25 grade for Deckslab</t>
  </si>
  <si>
    <t>PCC M15 bed pitching</t>
  </si>
  <si>
    <t>PCC M30 Wearing coat</t>
  </si>
  <si>
    <t>RCC M25 grade for Guide stone</t>
  </si>
  <si>
    <t>Back filling</t>
  </si>
  <si>
    <t>Carted earth</t>
  </si>
  <si>
    <t>PCC M15 below approch slab</t>
  </si>
  <si>
    <t>PCC M30 Approch slab</t>
  </si>
  <si>
    <t>Boulder apron</t>
  </si>
  <si>
    <t>Filter media</t>
  </si>
  <si>
    <t>Protection walls</t>
  </si>
  <si>
    <t>PCC M10 grade for foundations</t>
  </si>
  <si>
    <t xml:space="preserve">Seigneorage Charges </t>
  </si>
  <si>
    <t>ASST.ENGINEER                   DY.EXECUTIVE ENGINEER                      DIST.PANCHAYAT RAJ ENGINEER                 SUPERINTENDING ENGINEER</t>
  </si>
  <si>
    <t>PR KAMALAPUR                    PR SD HANAMKONDA                             PR DIVN HANAMKONDA                                    PR CIRLCE WARANGAL</t>
  </si>
  <si>
    <t>LEAD CHART WITH SSR 2023-24</t>
  </si>
  <si>
    <t>road</t>
  </si>
  <si>
    <t>NAME OF WORK ::-</t>
  </si>
  <si>
    <t>Description of Metal</t>
  </si>
  <si>
    <t>Source of Supply</t>
  </si>
  <si>
    <t>Lead in Kms</t>
  </si>
  <si>
    <t xml:space="preserve">Conveyance </t>
  </si>
  <si>
    <t xml:space="preserve">Initial cost </t>
  </si>
  <si>
    <t>Blasting charges</t>
  </si>
  <si>
    <t>Machine crushing charges</t>
  </si>
  <si>
    <t>Deduct stacking charges for conveyance</t>
  </si>
  <si>
    <t>Toal Cost per Cum</t>
  </si>
  <si>
    <t>50  mm to 55 mm  Metal IRC and MORT&amp;H  HBG  M/C METALS</t>
  </si>
  <si>
    <t>40 to 45 mm IRC  and MoRTH
 HBG M/C metal</t>
  </si>
  <si>
    <t>25 to 27 mm IRC  and MoRTH
HBG M/C metal</t>
  </si>
  <si>
    <t>19 to 22 mm IRC  and MoRTH 
HBG M/C metal</t>
  </si>
  <si>
    <t>12 to 14 mm IRC  and MoRTH 
HBG M/C metal</t>
  </si>
  <si>
    <t>9.5 to 11.20 mm IRC  and MoRTH
 HBG M/C metal</t>
  </si>
  <si>
    <t>5 to 7 mm IRC  and MoRTH 
HBG M/C metal</t>
  </si>
  <si>
    <t>2.36 to 5 mm IRC  and MoRTH 
HBG M/C metal</t>
  </si>
  <si>
    <t>HBG Stone chips 2.36mm 
and below</t>
  </si>
  <si>
    <t>B) FOR C.D. WORKS</t>
  </si>
  <si>
    <t>40 mm SS-5   HBG M/C metal</t>
  </si>
  <si>
    <t>25 mm SS-5  HBG M/C metal</t>
  </si>
  <si>
    <t>20 mm SS-5  HBG M/C metal</t>
  </si>
  <si>
    <t>12 mm SS-5  HBG M/C metal</t>
  </si>
  <si>
    <t>10 mm SS-5  HBG M/C metal</t>
  </si>
  <si>
    <t>6 mm SS-5  HBG M/C metal</t>
  </si>
  <si>
    <t>40 to 45 mm IRC  and MoRTH
 HBG  metal ( Hand Broken)</t>
  </si>
  <si>
    <t>50  mm to 55 mm  Metal IRC and MORT&amp;H  HBG  METALS (Hand Broken )</t>
  </si>
  <si>
    <t>60  mm to 63 mm  Metal IRC and MORT&amp;H  HBG  METALS  (Hand Broken )</t>
  </si>
  <si>
    <t>SS 300mm (HBG) for revetment</t>
  </si>
  <si>
    <t>SS 450 mm (HBG) for revetment</t>
  </si>
  <si>
    <t>Quarry spall (field picked metal</t>
  </si>
  <si>
    <t>150 mm soling stone  HBG metal</t>
  </si>
  <si>
    <t>Stone crusher dust finer than 3mm with not more than 10% passing 0.075 sieve.</t>
  </si>
  <si>
    <t>Bond Stones</t>
  </si>
  <si>
    <t>Sand for Motor</t>
  </si>
  <si>
    <t>Sand for concrete</t>
  </si>
  <si>
    <t>Emulsion SS-1 (Bulk) -do-</t>
  </si>
  <si>
    <t>Rapid setting  Emulsion (RS) Bulk - do-</t>
  </si>
  <si>
    <t>Hume pipes 1200mm Dia., NP4</t>
  </si>
  <si>
    <t>Hume pipes 1000mm Dia., NP4</t>
  </si>
  <si>
    <t>Hume pipes 900mm Dia., NP4</t>
  </si>
  <si>
    <t>Hume pipes 800mm Dia., NP4</t>
  </si>
  <si>
    <t>Hume pipes 700mm Dia., NP4</t>
  </si>
  <si>
    <t>Hume pipes 600mm Dia., NP4</t>
  </si>
  <si>
    <t>Hume pipes 450mm Dia., NP4</t>
  </si>
  <si>
    <t>Hume pipes 300mm Dia., NP4</t>
  </si>
  <si>
    <t>Hume pipes Collers 1200mm Dia. NP4</t>
  </si>
  <si>
    <t>Hume pipes  Collers  1000mm Dia. NP4</t>
  </si>
  <si>
    <t>Hume pipes  Collers  900mm Dia. NP4</t>
  </si>
  <si>
    <t>Hume pipes Collers  800mm Dia. NP4</t>
  </si>
  <si>
    <t>Hume pipes  Collers 700mm Dia. NP4</t>
  </si>
  <si>
    <t>Hume pipes  Collers  600mm Dia. NP4</t>
  </si>
  <si>
    <t>Hume pipes  Collers 450mm Dia. NP4</t>
  </si>
  <si>
    <t>Hume pipes Collers  300mm Dia. NP4</t>
  </si>
  <si>
    <t>Certificates</t>
  </si>
  <si>
    <t>Certified that the leads are true and nearer to the site to the best of my Knowledge.</t>
  </si>
  <si>
    <t>Certified that the materials are sufficiently available in the above quarries</t>
  </si>
  <si>
    <t>Certified that the HBG metal obtained by Blasting.</t>
  </si>
  <si>
    <t>Water cost Allowed ( Y/N)</t>
  </si>
  <si>
    <t xml:space="preserve">Area Allowence allowed </t>
  </si>
  <si>
    <t>AA/ MAA</t>
  </si>
  <si>
    <t>AEE/AE</t>
  </si>
  <si>
    <t>ROAD - DATA  With SSR 2023-24</t>
  </si>
  <si>
    <t>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t>
  </si>
  <si>
    <t>Unit = 10 sqm</t>
  </si>
  <si>
    <t>Taking output = 1 hectare</t>
  </si>
  <si>
    <t>Hr</t>
  </si>
  <si>
    <t>Dozer 80 HP with attachment for removal of trees &amp; stumps</t>
  </si>
  <si>
    <t>Tractor with trolley 3t</t>
  </si>
  <si>
    <t xml:space="preserve">(C) </t>
  </si>
  <si>
    <t>Over head charges 4.615%  on (A) + (B)+( C)</t>
  </si>
  <si>
    <t>Cost  unit hectare</t>
  </si>
  <si>
    <t>Rate per Sqm (D/10000)</t>
  </si>
  <si>
    <t>Dismantling of flexible pavements (bituminous courses) by mechanical means and disposal of dismantled materials up to a lead of 1000 metres, stacking serviceable and unserviceable materials separately as per Drawings and Technical Specification Clause MoRT&amp;H 202 and as directed by the Engineer.</t>
  </si>
  <si>
    <t>Page 36 of MoRT&amp;H SDB</t>
  </si>
  <si>
    <t>Bituminous Concrete</t>
  </si>
  <si>
    <t>Farm tractor with ripper @ 60 cum per hour</t>
  </si>
  <si>
    <t xml:space="preserve">Cutting of trees, including cutting of trunks branches and removal of stumps,roots, stacking of serviceable material with al lifts and upto lead  of 1000m and earth filling in the dression/pit. </t>
  </si>
  <si>
    <t>Girth from 300mm to 600mm</t>
  </si>
  <si>
    <t>Unit : Each</t>
  </si>
  <si>
    <t>Page 19 of MoRT&amp;H SDB</t>
  </si>
  <si>
    <t>Tractor-Trolley</t>
  </si>
  <si>
    <t>Cost per Each</t>
  </si>
  <si>
    <t xml:space="preserve">Rate for each </t>
  </si>
  <si>
    <t>Girth from 600mm to 900mm</t>
  </si>
  <si>
    <t>Girth from 900mm to 1800mm</t>
  </si>
  <si>
    <r>
      <t>Earthwork excavation in soils upto SDR  by mechanical means  including trimming bottom and side slopes in accordance with requirements of lines, grades and cross sections etc.,  complete  including  for finished item of work for trench cutting as per MoRT&amp;H specification 301(5</t>
    </r>
    <r>
      <rPr>
        <vertAlign val="superscript"/>
        <sz val="11"/>
        <rFont val="Calibri"/>
        <family val="2"/>
        <scheme val="minor"/>
      </rPr>
      <t>th</t>
    </r>
    <r>
      <rPr>
        <sz val="11"/>
        <rFont val="Calibri"/>
        <family val="2"/>
        <scheme val="minor"/>
      </rPr>
      <t xml:space="preserve"> Revision)  and as directed by the Engineer-in-Charge.</t>
    </r>
  </si>
  <si>
    <t>Page 50 of MoRT&amp;H SDB</t>
  </si>
  <si>
    <t xml:space="preserve">Taking out put = 180 Cum </t>
  </si>
  <si>
    <t>Hydraulic Excavator</t>
  </si>
  <si>
    <t>Cost  per 180 cum</t>
  </si>
  <si>
    <t>say</t>
  </si>
  <si>
    <t>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t>
  </si>
  <si>
    <t>Municipal area allowance</t>
  </si>
  <si>
    <t>Dozer 80 HP for spreading @ 30 cum per hour</t>
  </si>
  <si>
    <t xml:space="preserve">Cost  per 100 cum </t>
  </si>
  <si>
    <r>
      <t xml:space="preserve">Forming embankment with excavated earth obtained from </t>
    </r>
    <r>
      <rPr>
        <b/>
        <sz val="11"/>
        <rFont val="Calibri"/>
        <family val="2"/>
        <scheme val="minor"/>
      </rPr>
      <t xml:space="preserve">roadway excavation for Embankment </t>
    </r>
    <r>
      <rPr>
        <sz val="11"/>
        <rFont val="Calibri"/>
        <family val="2"/>
        <scheme val="minor"/>
      </rPr>
      <t xml:space="preserve"> by mechanical means upto SDR including pre-watering of soil, removal of top soil, excavation of soils, depositing the soils on the embankment, spreading soil, breaking clods, sectioning, grading and consolidation with 8 to 10 Tonnes Vibratory Road Roller @ OMC to meet requirement of table 300-2 of MoRT&amp;H,  including  all hire and operational charges of T&amp;P  and  complete for finished item of work as per MoRT&amp;H specification 305 (5th revision).</t>
    </r>
  </si>
  <si>
    <t>Tractor with grader for grading @ 25 cum per hour</t>
  </si>
  <si>
    <t>Materils</t>
  </si>
  <si>
    <t>KL</t>
  </si>
  <si>
    <t>Cost of Water</t>
  </si>
  <si>
    <r>
      <t>Forming Embankment with material obtained from</t>
    </r>
    <r>
      <rPr>
        <b/>
        <sz val="11"/>
        <rFont val="Calibri"/>
        <family val="2"/>
        <scheme val="minor"/>
      </rPr>
      <t xml:space="preserve"> borrowed useful earth from outside road boundary </t>
    </r>
    <r>
      <rPr>
        <sz val="11"/>
        <rFont val="Calibri"/>
        <family val="2"/>
        <scheme val="minor"/>
      </rPr>
      <t>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
    </r>
    <r>
      <rPr>
        <vertAlign val="superscript"/>
        <sz val="11"/>
        <rFont val="Calibri"/>
        <family val="2"/>
        <scheme val="minor"/>
      </rPr>
      <t>th</t>
    </r>
    <r>
      <rPr>
        <sz val="11"/>
        <rFont val="Calibri"/>
        <family val="2"/>
        <scheme val="minor"/>
      </rPr>
      <t xml:space="preserve"> revision). (The soil CBR&gt;10%, PI&lt;18% &amp; MDD&gt;1.8 g/cc)</t>
    </r>
  </si>
  <si>
    <t>Page 68,69 of MoRT&amp;H SDB</t>
  </si>
  <si>
    <t>Compensation for earth from private land</t>
  </si>
  <si>
    <t>Cost  per 100 cum</t>
  </si>
  <si>
    <t>SUB-ANALYSIS</t>
  </si>
  <si>
    <t>Cost of Haulage Excluding Loading and Unloading</t>
  </si>
  <si>
    <t>Haulage of materials by tipper excluding cost of loading, unloading and stacking.</t>
  </si>
  <si>
    <t>unit = Cum</t>
  </si>
  <si>
    <t>Page 12 of MoRT&amp;H SDB</t>
  </si>
  <si>
    <t>Taking out put 10 tonnes laod and leas 10Km= 100 t.km</t>
  </si>
  <si>
    <t>CASE-I : Surface Road</t>
  </si>
  <si>
    <t>Speed with Laod     = 25 Km/Hour</t>
  </si>
  <si>
    <t>Speed while returing empty     =  35 Km/Hour</t>
  </si>
  <si>
    <t>A).Machinary</t>
  </si>
  <si>
    <t>i).Tipper 10 Tonnes capacity</t>
  </si>
  <si>
    <t>hours</t>
  </si>
  <si>
    <t>Time taken for onword haulage with load</t>
  </si>
  <si>
    <t>Time taken for empty return trip</t>
  </si>
  <si>
    <t>Cost  per  100t.km</t>
  </si>
  <si>
    <t>Rate per 1 tkm</t>
  </si>
  <si>
    <t>Hire charges Machinary S.No.06, Pg: 77 Tipper</t>
  </si>
  <si>
    <t>Compacting  original ground supporting subgrade. Loosening of the ground upto a level of 500 mm below the sub grade level, waterred, graded and compacted in layers to meet requirement of Table 300-2 for sub grade construction</t>
  </si>
  <si>
    <t>Page 72 of MoRT&amp;H SDB</t>
  </si>
  <si>
    <t>Taking output = 600 cum</t>
  </si>
  <si>
    <t>Tractor with ripper attachment @ 60 Cum per hr</t>
  </si>
  <si>
    <t>Cost  per 600 cum</t>
  </si>
  <si>
    <t>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t>
  </si>
  <si>
    <r>
      <t>Scarifying the granular surface  to a depth of 50 mm by Mechanical means and re-using the scarified material with all leads and lifts  as per MoRT&amp;H (5</t>
    </r>
    <r>
      <rPr>
        <vertAlign val="superscript"/>
        <sz val="11"/>
        <rFont val="Calibri"/>
        <family val="2"/>
        <scheme val="minor"/>
      </rPr>
      <t>th</t>
    </r>
    <r>
      <rPr>
        <sz val="11"/>
        <rFont val="Calibri"/>
        <family val="2"/>
        <scheme val="minor"/>
      </rPr>
      <t xml:space="preserve"> Revision) Specn. No.305.4.3    </t>
    </r>
  </si>
  <si>
    <t>Page 67,68 of MoRT&amp;H SDB</t>
  </si>
  <si>
    <t>Mazdoor including loading and unloading</t>
  </si>
  <si>
    <t>Cost per 100 sqm</t>
  </si>
  <si>
    <t>Rate per 1 sqm</t>
  </si>
  <si>
    <r>
      <t>Scarifying the existing bitumen surface  to a depth of 50 mm by Mechanical means and disposal of scarified material with all leads and lifts upto 1000 Mtrs as per MoRT&amp;H (5</t>
    </r>
    <r>
      <rPr>
        <vertAlign val="superscript"/>
        <sz val="11"/>
        <rFont val="Calibri"/>
        <family val="2"/>
        <scheme val="minor"/>
      </rPr>
      <t>th</t>
    </r>
    <r>
      <rPr>
        <sz val="11"/>
        <rFont val="Calibri"/>
        <family val="2"/>
        <scheme val="minor"/>
      </rPr>
      <t xml:space="preserve"> Revision) Specn. No.305.4.3    </t>
    </r>
  </si>
  <si>
    <t>Front end loader 1 Cum bucket capacity @ 25 Cum per hour</t>
  </si>
  <si>
    <t>Tipper 5.5 Cum capacity, 4 trips per hour</t>
  </si>
  <si>
    <t>Granular Sub-Base with Material confirming to Grading - VI (Table:- 400-1)</t>
  </si>
  <si>
    <t>By Mix in Place Method</t>
  </si>
  <si>
    <r>
      <t xml:space="preserve">Construction of Granular sub-base by providing   HBG material </t>
    </r>
    <r>
      <rPr>
        <b/>
        <sz val="11"/>
        <rFont val="Calibri"/>
        <family val="2"/>
        <scheme val="minor"/>
      </rPr>
      <t>confirming to Grading - VI</t>
    </r>
    <r>
      <rPr>
        <sz val="11"/>
        <rFont val="Calibri"/>
        <family val="2"/>
        <scheme val="minor"/>
      </rPr>
      <t xml:space="preserve">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t>
    </r>
  </si>
  <si>
    <t>Page 94 of MoRT&amp;H SDB</t>
  </si>
  <si>
    <t>Taking output = 300 cum</t>
  </si>
  <si>
    <t>Tractor with Rotavator</t>
  </si>
  <si>
    <r>
      <t xml:space="preserve">Granular sub-base Material as per table 400-1 </t>
    </r>
    <r>
      <rPr>
        <b/>
        <sz val="11"/>
        <rFont val="Calibri"/>
        <family val="2"/>
        <scheme val="minor"/>
      </rPr>
      <t>(Grading-VI) as per MoRTH</t>
    </r>
  </si>
  <si>
    <t>53 mm-9.50 mm IRC &amp; Moths HBG Chips @ 35% Avg. rate of (40-45),(25-27),(19-22),(12-14)&amp;(9.5-11)</t>
  </si>
  <si>
    <t>9.5mm to 4.75 mm @ 47.5% 
(Av. rate of 9.5-12mm , 5-7mm &amp; 2.36 - 5mm HBG M/C metal)</t>
  </si>
  <si>
    <t>2.36mm and below @ 17.5%
(Rate of 2.36mm &amp; below HBG metal)</t>
  </si>
  <si>
    <t>Cost  per 300 cum</t>
  </si>
  <si>
    <t>Water Bound Macadam - Grading-II</t>
  </si>
  <si>
    <t>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t>
  </si>
  <si>
    <t>By Mechanical Means:</t>
  </si>
  <si>
    <t>Page 106 of MoRT&amp;H SDB</t>
  </si>
  <si>
    <t>Taking output = 360 cum</t>
  </si>
  <si>
    <t>Vibratory roller 8-10 tonnes @ 60cum/hr.</t>
  </si>
  <si>
    <t>Grading-II</t>
  </si>
  <si>
    <t>Aggregate</t>
  </si>
  <si>
    <t>Material (Total Qty 435.60 Cum) Grading-II 63 mm to 45 mm /Grading-III 53 mm to 22.4 mm@ 0.91 cum per 10 sqm for compacted thickness of 75 mm</t>
  </si>
  <si>
    <t>60-63 mm IRC HBG Metal (50% of 435.60 cum)</t>
  </si>
  <si>
    <t>50-55 mm IRC HBG Metal (35% of 435.60 cum)</t>
  </si>
  <si>
    <t>40-45 mm IRC HBG  Metal (11% of 435.60 cum)</t>
  </si>
  <si>
    <t>19-22 mm IRC HBG Metal metal (4% of 435.60 cum)</t>
  </si>
  <si>
    <t xml:space="preserve"> Stone Screening</t>
  </si>
  <si>
    <t xml:space="preserve">Type B 11.2 mm for grading-II @ 0.20 cum per 10 sqm </t>
  </si>
  <si>
    <t>Binding material</t>
  </si>
  <si>
    <t>Binding Material @ 0.06cum per 10 sqm for grading II material</t>
  </si>
  <si>
    <t>Cost  per 360 cum</t>
  </si>
  <si>
    <t>Water Bound Macadam - Grading-III</t>
  </si>
  <si>
    <t>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t>
  </si>
  <si>
    <t>Grading-III</t>
  </si>
  <si>
    <t>Material (Total Qty 435.60 Cum) Grading-III 53 mm to 22.4 mm@ 0.91 cum per 10 sqm for compacted thickness of 75 mm</t>
  </si>
  <si>
    <t>40-45 mm IRC HBG  Metal M/C ( 82% of 435.60 Cum)</t>
  </si>
  <si>
    <t>19-22.40 mm IRC HBG M/C Metal ( 18% of 435.60 cum)</t>
  </si>
  <si>
    <t xml:space="preserve">Type B11.2 mm for grading-III @ 0.18 cum per 10 sqm </t>
  </si>
  <si>
    <t>Cost of water</t>
  </si>
  <si>
    <r>
      <t xml:space="preserve">Providing, laying, spreading and compacting graded stone aggregate to </t>
    </r>
    <r>
      <rPr>
        <b/>
        <sz val="11"/>
        <rFont val="Calibri"/>
        <family val="2"/>
        <scheme val="minor"/>
      </rPr>
      <t xml:space="preserve">Wet mix macadam </t>
    </r>
    <r>
      <rPr>
        <sz val="11"/>
        <rFont val="Calibri"/>
        <family val="2"/>
        <scheme val="minor"/>
      </rPr>
      <t>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t>
    </r>
  </si>
  <si>
    <t>Page 110,111 of MoRT&amp;H SDB</t>
  </si>
  <si>
    <t>Taking output = 225 cum</t>
  </si>
  <si>
    <t>Wet mix plant of 60 tonne hr. capacity</t>
  </si>
  <si>
    <t>Electric generating set 125 KVA</t>
  </si>
  <si>
    <t>front end loader 1 cum capacity</t>
  </si>
  <si>
    <t>Mechanical Paver finisher</t>
  </si>
  <si>
    <t>Vibratory roller 8-10 T</t>
  </si>
  <si>
    <t>Water tanker</t>
  </si>
  <si>
    <t>45 to 22.40mm IRC&amp;MoRT&amp;H HBG M/C metal@ 30%</t>
  </si>
  <si>
    <t>(Av. of 40-45, 25-27, 19-22mm )</t>
  </si>
  <si>
    <t>22.4 to 2.36mm IRC&amp;MoRT&amp;H HBG M/C metal@40%</t>
  </si>
  <si>
    <t>(Av. Of 19-22mm, 12-14mm, 9.5-11.2mm, 5-7mm, 
2.36  - 5mm )</t>
  </si>
  <si>
    <t>2.36mm to 75 micron @ 30% (2.36mm &amp; below)</t>
  </si>
  <si>
    <t>Cost per 225 cum</t>
  </si>
  <si>
    <t>Rate to be adopted per 1 cum</t>
  </si>
  <si>
    <t xml:space="preserve"> Cum</t>
  </si>
  <si>
    <r>
      <t xml:space="preserve">Providing and applying tack coat with Bitumen emulsion (RS-1)  using emulsion  distributor at the rate of 0.275 kg per sqm on the </t>
    </r>
    <r>
      <rPr>
        <b/>
        <sz val="11"/>
        <rFont val="Calibri"/>
        <family val="2"/>
        <scheme val="minor"/>
      </rPr>
      <t xml:space="preserve">prepared granular surfaces treated with primer </t>
    </r>
    <r>
      <rPr>
        <sz val="11"/>
        <rFont val="Calibri"/>
        <family val="2"/>
        <scheme val="minor"/>
      </rPr>
      <t>&amp; cleaned with Hydraulic broom,as directed by the Engineer-in-Charge and as per Technical Specification Clause 503 MoRT&amp;H (5th Revision), including overhead charges &amp; Contractors profit excluding Seignarage charges etc complete.</t>
    </r>
  </si>
  <si>
    <t>unit = sqm</t>
  </si>
  <si>
    <t>Page 124 of MoRT&amp;H SDB</t>
  </si>
  <si>
    <t>Taking output = 3500 sqm</t>
  </si>
  <si>
    <t>Mechanical broom Hydraulic @ 1250 sqm/hr.</t>
  </si>
  <si>
    <t>Emulsion pressure distributor @1750 sqm/hr</t>
  </si>
  <si>
    <t xml:space="preserve">Bitumen emulsion (RS-1)  @ 0.275 kg per sqm </t>
  </si>
  <si>
    <t>Cost per 3500 sqm</t>
  </si>
  <si>
    <r>
      <t xml:space="preserve">Providing and applying tack coat with Bitumen emulsion (RS-1)  using emulsion  distributor at the rate of 0.20 kg per sqm on the prepared </t>
    </r>
    <r>
      <rPr>
        <b/>
        <sz val="11"/>
        <rFont val="Calibri"/>
        <family val="2"/>
        <scheme val="minor"/>
      </rPr>
      <t>Bitumenus surfaces</t>
    </r>
    <r>
      <rPr>
        <sz val="11"/>
        <rFont val="Calibri"/>
        <family val="2"/>
        <scheme val="minor"/>
      </rPr>
      <t xml:space="preserve"> &amp; cleaned with Hydraulic broom,as directed by the Engineer-in-Charge and as per Technical Specification Clause 503 MoRT&amp;H (5th Revision), including overhead charges &amp; Contractors profit excluding Seignarage charges etc complete.</t>
    </r>
  </si>
  <si>
    <t xml:space="preserve">Bitumen emulsion (RS-1)  @ 0.2 kg per sqm </t>
  </si>
  <si>
    <t>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t>
  </si>
  <si>
    <t>Page 123 of MoRT&amp;H SDB</t>
  </si>
  <si>
    <t>Water tanker 6KL capacity @ one trip</t>
  </si>
  <si>
    <t>Bitumen  pressure distributor @1750 sqm/hr</t>
  </si>
  <si>
    <t>Bitumen emulsion (SS-1)  @ 0.600 kg per sqm</t>
  </si>
  <si>
    <t>Open - Graded Premix Surfacing</t>
  </si>
  <si>
    <t>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t>
  </si>
  <si>
    <t>Page 143 of MoRT&amp;H SDB</t>
  </si>
  <si>
    <t>Taking out put = 10250 Sqm (205 cum)</t>
  </si>
  <si>
    <t>Case - I: Mechanical method using Penetration grade Bitumen and HMP of appropriate capacity not less than 75 tonnes/hour .</t>
  </si>
  <si>
    <t>Mazdoor working with HMP, road sweeper, paver and roller</t>
  </si>
  <si>
    <t>Skilled mazdoor for checking line &amp; levels</t>
  </si>
  <si>
    <t xml:space="preserve">ii) Electric Generator Set 250 KVA </t>
  </si>
  <si>
    <t xml:space="preserve">iii) Front end loader 1 cum bucket capacity </t>
  </si>
  <si>
    <t>450xL</t>
  </si>
  <si>
    <t>t.Km</t>
  </si>
  <si>
    <t>iv) Tipper 10 tonne capacity</t>
  </si>
  <si>
    <t>Add 10  per cent  of cost of carriage to cover cost of loading and unloading</t>
  </si>
  <si>
    <t xml:space="preserve">v) Mechanical Paver finisher </t>
  </si>
  <si>
    <t>iv) Smooth wheeled/tandom roller 8-10 tonnes weight</t>
  </si>
  <si>
    <t>Bitumen-VG30(60/70)@ 14.60 kg per 10 sqm</t>
  </si>
  <si>
    <t>Crushed stone chipping , 13.2 mm to 5.60 mm @ 0.27cum per 10 sqm</t>
  </si>
  <si>
    <t>Cost per 10250 Sqm</t>
  </si>
  <si>
    <t>Rate per 1 Sqm</t>
  </si>
  <si>
    <t>xx</t>
  </si>
  <si>
    <t xml:space="preserve">Seal Coat -  :  Type A </t>
  </si>
  <si>
    <t>Providing and laying bituminous liquid seal coat (Type A) comprising of a layer of bituminous binder followed by a cover of stone chipping of grading as defined in table 500.16 of MOST at of Crushed stone chipping of 6.7 mm size 100% passing through 11.2mm sieve and retained on 2.36 mm sieve applied @ 0.09 cum per 10 sqm chips to be laid uniformly with the help of a mechanical chip spreader simultaneously along with the bituminous course using 9.80 kgs of bitumen 60/70 (VG30) grade for 10 sqm and rolling with power roller including of required line, level, grade to serve as wearing course on previously prepared surface and finishing to required level and grades including cost and conveyance of all materials from approved sources and stacking at site to departmental gauge for  premeasurements,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including contractors profit &amp; Over head charges excluding Seignarage charges etc complete using Mechanical means.</t>
  </si>
  <si>
    <t>Page 147 of MoRT&amp;H SDB</t>
  </si>
  <si>
    <t>Taking output = 10250 sqm (92.25 cum)</t>
  </si>
  <si>
    <t xml:space="preserve">Mate </t>
  </si>
  <si>
    <t>Mazdoor (un-skilled)</t>
  </si>
  <si>
    <t>Hydraulic self propelled chips spreader</t>
  </si>
  <si>
    <t>Tipper 5.5 cum capacity</t>
  </si>
  <si>
    <t>Front end loader 1 cum bucket capacity</t>
  </si>
  <si>
    <t>Bitumen pressure distributor @ 1750 Sqm per hour</t>
  </si>
  <si>
    <t xml:space="preserve">Smooth wheeled roller 80-100 kN </t>
  </si>
  <si>
    <t>Materials</t>
  </si>
  <si>
    <t>Bitumen@ 9.80 kg per 10 sqm</t>
  </si>
  <si>
    <t>Crushed stone chipping of 6.7 mm size 100% passing 11.20mm seive and retained on 2.36 mm sieve applied @ 0.09 cum per 10 sqm.</t>
  </si>
  <si>
    <t>Seal Coat -  :  Type B</t>
  </si>
  <si>
    <t>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t>
  </si>
  <si>
    <t>Taking output = 7858 sqm (47.16 cum)</t>
  </si>
  <si>
    <t xml:space="preserve">Electric Generator Set 250 KVA </t>
  </si>
  <si>
    <t xml:space="preserve">Front end loader 1 cum bucket capacity </t>
  </si>
  <si>
    <t>104 x 'L'</t>
  </si>
  <si>
    <t>Tipper 10 tonne capacity</t>
  </si>
  <si>
    <t xml:space="preserve">Mechanical Paver finisher </t>
  </si>
  <si>
    <t>Smooth wheeled 8-10 tonnes capacity</t>
  </si>
  <si>
    <t>Bitumen-VG30(60/70)@ 6.80 kg per 10 sqm</t>
  </si>
  <si>
    <t>Crushed stone chipping of 6.7 mm size 100% passing 11.20mm seive and retained on 2.36 mm sieve applied @ 0.06 cum per 10 sqm.</t>
  </si>
  <si>
    <t>Cost per 7858 Sqm</t>
  </si>
  <si>
    <r>
      <t xml:space="preserve">Construction of  dowel jointed un-reinforced, expansion and construction joint plain cement concrete pavement, thickness as per design, over a prepared sub base, with 43 grade cement or any other type as per Clause 1501.2.2 M30 (Grade), coarse and fine aggregates </t>
    </r>
    <r>
      <rPr>
        <b/>
        <sz val="11"/>
        <rFont val="Calibri"/>
        <family val="2"/>
        <scheme val="minor"/>
      </rPr>
      <t>(Natural sand 50%+Manufactured sand(Rock Sand)50% )</t>
    </r>
    <r>
      <rPr>
        <sz val="11"/>
        <rFont val="Calibri"/>
        <family val="2"/>
        <scheme val="minor"/>
      </rPr>
      <t xml:space="preserve">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t>
    </r>
  </si>
  <si>
    <t>Taking output = 75cum (172.50 t)</t>
  </si>
  <si>
    <t>(100x3.75 x 0.200)</t>
  </si>
  <si>
    <t>Mason (1st class)</t>
  </si>
  <si>
    <t>Mason (2nd class)</t>
  </si>
  <si>
    <t xml:space="preserve">Mazdoor (unskilled) </t>
  </si>
  <si>
    <t>Mazdoor(skilled)</t>
  </si>
  <si>
    <t>Surveyor</t>
  </si>
  <si>
    <t>Mazdoor (semi-skilled)</t>
  </si>
  <si>
    <t>Black smith for cutting of dowel bars including removal of burrs, fabrications &amp; fixing of dowel bars</t>
  </si>
  <si>
    <t>Add 10% MAA / AA</t>
  </si>
  <si>
    <t xml:space="preserve">Hour </t>
  </si>
  <si>
    <t>Concrete mixer 0.28/0.40 cum capacity ( 6 mixers) with weight batcher and suitable capacity calibrated water tank</t>
  </si>
  <si>
    <t>Needle vibrator</t>
  </si>
  <si>
    <t>Screed vibrator</t>
  </si>
  <si>
    <t>Plate vibrator</t>
  </si>
  <si>
    <t>Water tanker 6 Kl. Capacity</t>
  </si>
  <si>
    <t>Air compressor ( 1hour initial + 1 hour final)</t>
  </si>
  <si>
    <t>Crushed stone coarse aggregates, grading will be as per clause 1501.2.4.1 (Table 1500.1) of specifications @ 0.90 Cum/cum of concrete</t>
  </si>
  <si>
    <t>10mm</t>
  </si>
  <si>
    <t>50% Natural Sand as per IS:383 and conforming to clause 1500.2.4.2.</t>
  </si>
  <si>
    <t>50% Manufactured sand(Rock Sand)</t>
  </si>
  <si>
    <t>Cement @ 350 Kg/cum of concrete</t>
  </si>
  <si>
    <t>Polythene sheet 125 micron</t>
  </si>
  <si>
    <t>Mild steel dowel bar 25mm dia of grade S 240.500 mm long 20 Nos. at culvert/bridge slab and at construction joiont including 5 percent wastage</t>
  </si>
  <si>
    <t>(4x20x0.500) + 5 per cent wastage = 42m @3.854 Kg per m = 161.91 kg.</t>
  </si>
  <si>
    <t>Bitumen primer @ 200ml. Per joint for 23 joints</t>
  </si>
  <si>
    <t>Litre</t>
  </si>
  <si>
    <t>Bitumenous sealant 800 ml. Per joint for 23 joints</t>
  </si>
  <si>
    <t>m</t>
  </si>
  <si>
    <t>Jute rope 12mm dia including 5 per cent wastage</t>
  </si>
  <si>
    <t>Debonding strips 3.75m. (length) x 10mm (width) x 5 mm (thick) cut-out of rubber fillter board of similar material including 5 per cent wastage</t>
  </si>
  <si>
    <t>Polythene sheathing, covering 2/3rd dowel bars (20x23) and tight fit including 5 per cent wastage</t>
  </si>
  <si>
    <t>Plasticizer 0.4 per cent by weight of cement</t>
  </si>
  <si>
    <t>kl</t>
  </si>
  <si>
    <t>Water for curing</t>
  </si>
  <si>
    <t>Joint filler board 20mm thick as per IS:1838</t>
  </si>
  <si>
    <t>(4x3.75x0.200 = 3 sqm)</t>
  </si>
  <si>
    <t>Form work @ 3% on (a+b+c)</t>
  </si>
  <si>
    <t>Cost per 75 Cum</t>
  </si>
  <si>
    <t>Rate per 1 Cum</t>
  </si>
  <si>
    <t>Providing and laying surface dressing as wearing course using in single coat using 19 mm nominal size IRC HBG/HBT machine crushed stone aggregates @ 0.015 cum / sqm on a layer of bitumen binder of  Bitumen grade 60/70 @ 1.20 Kg/sqm including cost, (excluding  seigniorage) and conveyance of all materials to work site and laid on prepared surface and rolling with 8-10 T  Power Road Roller etc., complete for finished item of work as per MoRT&amp;H Specification 510 (5th Revision) and as directed by the Engineer-in-charge.</t>
  </si>
  <si>
    <t>Page 141 of MoRT&amp;H SDB</t>
  </si>
  <si>
    <t>Taking output =9000 Sqm</t>
  </si>
  <si>
    <t>Mazdoor working with HMP, Mechanical broom, paver,roller,asphalt cutter and assistance for setting outlines,levels and layout of construction.</t>
  </si>
  <si>
    <t>Skilled Mazdoor for checking line and levels.</t>
  </si>
  <si>
    <t>Machinary</t>
  </si>
  <si>
    <t>Mechanical broom @ 1250 sqm/hr.</t>
  </si>
  <si>
    <t>chip spreader @ 1500 sqm/hr.</t>
  </si>
  <si>
    <t>Tipper 10Tonne capacity for carriage of stone chips from stock pile on road side to chip spreader</t>
  </si>
  <si>
    <t>Front end loader 1 cum capacity</t>
  </si>
  <si>
    <t>Bitumen pressure distributor @1750 sqm/hr.</t>
  </si>
  <si>
    <t>Pneumatic Tyred Roller for intermediate rolling</t>
  </si>
  <si>
    <t>Bitumen-VG30(60/70) @1.2 Kg/sqm</t>
  </si>
  <si>
    <t xml:space="preserve">Crushed stone chippings 10 mm </t>
  </si>
  <si>
    <t>crushed stone chipping, nominal size of 19mm @0.015 cum/sqm</t>
  </si>
  <si>
    <t>Cost per 9000 sqm</t>
  </si>
  <si>
    <r>
      <t xml:space="preserve">Providing  and laying 50 mm thick of </t>
    </r>
    <r>
      <rPr>
        <b/>
        <sz val="11"/>
        <rFont val="Calibri"/>
        <family val="2"/>
        <scheme val="minor"/>
      </rPr>
      <t>Dense Graded Bituminous Macadam</t>
    </r>
    <r>
      <rPr>
        <sz val="11"/>
        <rFont val="Calibri"/>
        <family val="2"/>
        <scheme val="minor"/>
      </rPr>
      <t xml:space="preserve">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t>
    </r>
    <r>
      <rPr>
        <b/>
        <sz val="11"/>
        <rFont val="Calibri"/>
        <family val="2"/>
        <scheme val="minor"/>
      </rPr>
      <t xml:space="preserve">Mechanical Paver finisher </t>
    </r>
    <r>
      <rPr>
        <sz val="11"/>
        <rFont val="Calibri"/>
        <family val="2"/>
        <scheme val="min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</si>
  <si>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t>Page 132, 133 of MoRT&amp;H SDB</t>
  </si>
  <si>
    <t>Taking out put = 195 cum (450 tonne)</t>
  </si>
  <si>
    <t>Mazdoor working with HMP, mechanical broom, paver, roller, asphalt cutter and assistance for setting out lines, levels and layout of construction.</t>
  </si>
  <si>
    <t>Generator 250 KVA</t>
  </si>
  <si>
    <t>Vibratory roller 8 tonnes for intermediate rolling</t>
  </si>
  <si>
    <t>Finish rolling with 6-8 tonnes smooth wheeled tandem roller.</t>
  </si>
  <si>
    <t>Bitumen-VG30(60/70)@ 4.25% of weight of mix</t>
  </si>
  <si>
    <t xml:space="preserve"> Grading - II    (19 mm nominal size)</t>
  </si>
  <si>
    <t>25-10 mm IRC &amp; MORT&amp;H HBG Chips @ 30 %</t>
  </si>
  <si>
    <t>Avarage of 25-27mm,19 to 22mm,12 to 14mm,9.5 to 11.2mmIRC HBGM/C metal )</t>
  </si>
  <si>
    <t>10-5 mm IRC &amp; MORT&amp;H HBG Chips  @ 28 %</t>
  </si>
  <si>
    <t>Avarage of 10mm to 5 mm 28 per cent ,IRC HBGM/C metal )</t>
  </si>
  <si>
    <t>5 mm &amp; below IRC &amp; MORT&amp;H HBG Chips@ 40 %</t>
  </si>
  <si>
    <t>Avarage of 2.36 to 5mm&amp; 2.36mm and belowIRC HBGM/C metal )</t>
  </si>
  <si>
    <t>Cost per 195 cum</t>
  </si>
  <si>
    <r>
      <t xml:space="preserve">Providing  and laying 50 mm thick of </t>
    </r>
    <r>
      <rPr>
        <b/>
        <sz val="11"/>
        <rFont val="Calibri"/>
        <family val="2"/>
        <scheme val="minor"/>
      </rPr>
      <t>Bituminous Macadam</t>
    </r>
    <r>
      <rPr>
        <sz val="11"/>
        <rFont val="Calibri"/>
        <family val="2"/>
        <scheme val="minor"/>
      </rPr>
      <t xml:space="preserve"> with  100-120 TPH batch type  hot mix plant  using HBG crushed aggregates of Grading - II as per table 500-1 of MoRT&amp;H Specification 505 (5th revision) premixed with bitumen VG-30 grade (60/70)@ 3.3% of weight of total mixture, transported to site, laid over a previously prepared surface with </t>
    </r>
    <r>
      <rPr>
        <b/>
        <sz val="11"/>
        <rFont val="Calibri"/>
        <family val="2"/>
        <scheme val="minor"/>
      </rPr>
      <t xml:space="preserve">Mechanical Paver finisher </t>
    </r>
    <r>
      <rPr>
        <sz val="11"/>
        <rFont val="Calibri"/>
        <family val="2"/>
        <scheme val="min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</si>
  <si>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t>Page 125, 126 of MoRT&amp;H SDB</t>
  </si>
  <si>
    <t>Taking out put = 205 cum (450 tonne)</t>
  </si>
  <si>
    <t>Mazdoor working with HMP, paver, roller, asphalt cutter and assistance for setting out lines, levels and layout of construction.</t>
  </si>
  <si>
    <t>Mazdoor skilled for checking line and levels</t>
  </si>
  <si>
    <t>Mechanical broom hydraulic @ 1250 sqm per hour</t>
  </si>
  <si>
    <t>Bitumen-VG30(60/70)@ 3.3% of weight of mix</t>
  </si>
  <si>
    <t>Total weight of mix = 205x2.2 = 450 tonnes</t>
  </si>
  <si>
    <t>weight of bitumen - 14.85 tonnes</t>
  </si>
  <si>
    <t>Weight of aggregate = 450-14.85 = 435.15 tonnes</t>
  </si>
  <si>
    <t>Volume of aggregate = 290.1 cum</t>
  </si>
  <si>
    <t>25-10 mm IRC &amp; MORT&amp;H HBG Chips @ 40 %</t>
  </si>
  <si>
    <t>10-5 mm IRC &amp; MORT&amp;H HBG Chips  @ 40 %</t>
  </si>
  <si>
    <t>5 mm &amp; below IRC &amp; MORT&amp;H HBG Chips@ 20 %</t>
  </si>
  <si>
    <t>Cost per 205 cum</t>
  </si>
  <si>
    <r>
      <t xml:space="preserve">Providing and laying </t>
    </r>
    <r>
      <rPr>
        <b/>
        <sz val="11"/>
        <rFont val="Calibri"/>
        <family val="2"/>
        <scheme val="minor"/>
      </rPr>
      <t>bituminous concrete</t>
    </r>
    <r>
      <rPr>
        <sz val="11"/>
        <rFont val="Calibri"/>
        <family val="2"/>
        <scheme val="minor"/>
      </rPr>
      <t xml:space="preserv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t>
    </r>
  </si>
  <si>
    <t>Page 138, 139 of MoRT&amp;H SDB</t>
  </si>
  <si>
    <t>Taking out put = 191 cum (450 tonne)</t>
  </si>
  <si>
    <t>Avarage of 12 to 14mm,9.5 to 11.2mmIRC HBGM/C metal )</t>
  </si>
  <si>
    <t>Avarage of 10mm to 5 mm 25 per cent ,IRC HBGM/C metal )</t>
  </si>
  <si>
    <t>Cost per 191 cum</t>
  </si>
  <si>
    <t>Taking output = 195 cum (450 tonnes)</t>
  </si>
  <si>
    <t>a)    Labour</t>
  </si>
  <si>
    <t>Mazdoor working with HMP, mechanical broom, paver, roller, asphalt cutter and assistance for setting out lines, levels and layout of construction</t>
  </si>
  <si>
    <t>b)     Machinery</t>
  </si>
  <si>
    <t xml:space="preserve">Batch mix HMP @ 75 tonne per hour </t>
  </si>
  <si>
    <t>Smooth wheeled roller 8-10 tonnes for initial break down rolling.</t>
  </si>
  <si>
    <t>Vibratory roller 8 tonnes for intermediate rolling.</t>
  </si>
  <si>
    <t>Finish rolling with 6-8 tonnes smooth wheeled tandem roller</t>
  </si>
  <si>
    <t>c)     Material</t>
  </si>
  <si>
    <t>Grading II: 10 mm (Nominal Size)</t>
  </si>
  <si>
    <t>Bitumen-VG30(60/70)@ 5  per cent  of weight of mix</t>
  </si>
  <si>
    <t>weight of mix = 450 tonne</t>
  </si>
  <si>
    <t xml:space="preserve"> Aggregate</t>
  </si>
  <si>
    <t>Weight of bitumen = 22.5 tonnes</t>
  </si>
  <si>
    <t>Weight of aggregate = 450 -22.50 = 427.50 tonnes</t>
  </si>
  <si>
    <t>Taking density of aggregate = 1.5 ton/cum</t>
  </si>
  <si>
    <t>Volume of aggregate = 285 cum</t>
  </si>
  <si>
    <t xml:space="preserve">9.5 - 4.75 mm@ 57  per cent </t>
  </si>
  <si>
    <t xml:space="preserve">4.75 and below@ 41  per cent </t>
  </si>
  <si>
    <t>Filler @ 2  per cent  of weight of aggregates.</t>
  </si>
  <si>
    <t>Vibrated  cement concrete M 20 Grade Concrete using 40mm,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substructure Drain Wall.</t>
  </si>
  <si>
    <t>(c  )</t>
  </si>
  <si>
    <t>Formwork @ 4% on (A)+(B)+(C)</t>
  </si>
  <si>
    <t>Add for Over head charges &amp; CP @ 13.615% on (A)+(B)+( C)</t>
  </si>
  <si>
    <t>Cost per 15 cum</t>
  </si>
  <si>
    <t>Vibrated  Reinforced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cover slab over drain.</t>
  </si>
  <si>
    <t>Formwork @ 10% on (A)+(B)+(C)</t>
  </si>
  <si>
    <t>Excavation for roadway in ordinary rock with hydraulic excavator of 0.9 cum bucket capacity including cutting and loading in tippers, transporting to embankment site within all lifts and lead upto 1000 m, trimming bottom and side slopes in accordance with requirements of lines, grades and cross sections.</t>
  </si>
  <si>
    <t>Page 53 of MoRT&amp;H SDB</t>
  </si>
  <si>
    <t>hrs</t>
  </si>
  <si>
    <t>Hydraulic Excavator 0.90 cum bucket capacity @ 40 cum / hour</t>
  </si>
  <si>
    <t>Tipper 5.5 cum capacity, 4 trips per hour.</t>
  </si>
  <si>
    <t>Cost  per 240 cum</t>
  </si>
  <si>
    <t xml:space="preserve">Excavation for Roadway in ordinory rock by diploying a Dozer 80 HP including cutting and pushing the cut earth to site of embankment up to a distance of 100m (average lead of 50m),Trimming of bottom and side slopes in accordance with requirements of lines, grades and cross sections as per MoRT&amp;H specification 301(5th Revision)  and as directed by the Engineer-in-Charge </t>
  </si>
  <si>
    <t>Unit = Cum</t>
  </si>
  <si>
    <t>Taking output = 108 Cum</t>
  </si>
  <si>
    <t>Dozer 80 Hp @ 20 Cum per hour</t>
  </si>
  <si>
    <t>Cost per 1.25 Cum</t>
  </si>
  <si>
    <t>Stone masonry work in cement mortar 1:3 for substructure complete as per drawing and Technical Specifications</t>
  </si>
  <si>
    <t>Page 453 of MoRT&amp;H SDB</t>
  </si>
  <si>
    <t>Cement mortar 1:3 (Rate as in Item 12.6)</t>
  </si>
  <si>
    <t>Cement</t>
  </si>
  <si>
    <t>Taking output = 1 Cum</t>
  </si>
  <si>
    <t>Stone</t>
  </si>
  <si>
    <t>Through and bond stone</t>
  </si>
  <si>
    <t>Cement mortar 1:3</t>
  </si>
  <si>
    <t>Cost per 1cum</t>
  </si>
  <si>
    <t>DATA-PIPE CULVERTS with SSR 2023-24</t>
  </si>
  <si>
    <t>up to 3m depth</t>
  </si>
  <si>
    <t>Over Head Charges &amp; CP on (A+B)</t>
  </si>
  <si>
    <t>Cost per 240 cum</t>
  </si>
  <si>
    <t>up to 3m to 6m depth</t>
  </si>
  <si>
    <t xml:space="preserve">Taking out put = 210 Cum </t>
  </si>
  <si>
    <t>Cost per 210 cum</t>
  </si>
  <si>
    <t>above 6m depth</t>
  </si>
  <si>
    <t xml:space="preserve">Taking out put = 1Cum </t>
  </si>
  <si>
    <t>Cost per 1 cum</t>
  </si>
  <si>
    <t>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t>
  </si>
  <si>
    <t>Cost per 12.5 metre</t>
  </si>
  <si>
    <t>Page 272, 273 of MoRT&amp;H SDB</t>
  </si>
  <si>
    <t>900 mm Dia.,</t>
  </si>
  <si>
    <t>Cost of 900mm Dia., pipes</t>
  </si>
  <si>
    <t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t>
  </si>
  <si>
    <t>Cost of Selected Earth</t>
  </si>
  <si>
    <t xml:space="preserve">Over head charges @ 13.615% </t>
  </si>
  <si>
    <t>Cost per 10 cum</t>
  </si>
  <si>
    <t>Page 455 of MoRT&amp;H SDB</t>
  </si>
  <si>
    <t>Cost of 40mm SS-5 HBG M/C metal</t>
  </si>
  <si>
    <t>(C )</t>
  </si>
  <si>
    <t>Generator set 33 KVA</t>
  </si>
  <si>
    <t>Form work @10% on (A)+(B)+( C)</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</si>
  <si>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202 and as directed by the Engineer.Prestressed/ Reinforced cement concrete grade M-20 and above (by manual means)</t>
  </si>
  <si>
    <t>Over Head Charges &amp; CP</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</si>
  <si>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 (Mechanical Means)</t>
  </si>
  <si>
    <t>Air Compressor 250cfm with leads of pnumatic breaker @ 1.5 cum per hour</t>
  </si>
  <si>
    <t>Dismantling of Stone Masonary in cement mortar including disposing of resulting materials and/or salvaging useful materials up to a distance of 1 km from project road complete as per Drawings and Technical Specification Clause 202 and as directed by the Engineer.</t>
  </si>
  <si>
    <t>Removing all type of Hume Pipes and Stacking within a lead of 1000 metres including Earthwork and Dismantling of Masonry Works as per clause 202 of  MoRTH specifications.</t>
  </si>
  <si>
    <t>Taking output = 1 Meter</t>
  </si>
  <si>
    <t>Up to 600mm dia</t>
  </si>
  <si>
    <t>Up to 600mm to 900mm dia</t>
  </si>
  <si>
    <t>Above 900mm dia</t>
  </si>
  <si>
    <t>Dismantling of flexible pavements and disposal of dismantled materials up to a lead of 1000 metres, stacking serviceable and unserviceable materials separately</t>
  </si>
  <si>
    <t>Bituminous Courses</t>
  </si>
  <si>
    <t>Over Head Charges &amp; CP  on (A+B)</t>
  </si>
  <si>
    <t>Add for Over head charges @ 10% on (A)+(B)+(C)</t>
  </si>
  <si>
    <t>DATA-CD WORKS WITH SSR 2023-24</t>
  </si>
  <si>
    <t>FOUNDATIONS</t>
  </si>
  <si>
    <t>Page No.271 of MoRTH DB</t>
  </si>
  <si>
    <t>Form work @ 4% on (A)+(B)+( C)</t>
  </si>
  <si>
    <t>Taking output = 15cum</t>
  </si>
  <si>
    <t>Page 336 of MoRT&amp;H SDB</t>
  </si>
  <si>
    <t>(C) Over Head Charges &amp; CP on (A+B)</t>
  </si>
  <si>
    <t>SUB-STRUCTURES</t>
  </si>
  <si>
    <t>(C) Over Head Charges &amp; CP  on (A+B)</t>
  </si>
  <si>
    <t>Unit =  1no</t>
  </si>
  <si>
    <t>Page 461 of MoRT&amp;H SDB</t>
  </si>
  <si>
    <t>Taking output = 30 Nos</t>
  </si>
  <si>
    <t>Cost of AC pipe 100mm dia (inluding wastage @ 5%)</t>
  </si>
  <si>
    <t>MS Clamps</t>
  </si>
  <si>
    <t>Cost of Collar for AC Pipe</t>
  </si>
  <si>
    <t>Cement Mortar (1:3)</t>
  </si>
  <si>
    <t>Cost per 30nos (F)+(G)</t>
  </si>
  <si>
    <t>Rate for 1no.</t>
  </si>
  <si>
    <t>Add for Over head charges &amp; CP   on (A)+(B)+( C)</t>
  </si>
  <si>
    <t>SUPER STRUCTURE</t>
  </si>
  <si>
    <t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t>
  </si>
  <si>
    <t>Page 457 of MoRT&amp;H SDB</t>
  </si>
  <si>
    <t>Add for Over head charges &amp; CP on (A)+(B)+( C)</t>
  </si>
  <si>
    <t>Form work @ 20 on (A)+(B)+( C)</t>
  </si>
  <si>
    <t>Form work @ 0% on (A)+(B)+( C)</t>
  </si>
  <si>
    <t>Page 499 of MoRT&amp;H SDB</t>
  </si>
  <si>
    <t>corrosion resistanct structural steel including 5% wastage (M087, Pg.29 of SSR 2014-15)</t>
  </si>
  <si>
    <t>GI bolt 10mm Dia (M110, Pg.30 of SSR 2014-15)</t>
  </si>
  <si>
    <t>G I Pipe 100 mm dia B Class (Sl.32, Pg.18 of SSR 2016-17)</t>
  </si>
  <si>
    <t>Galvanised MS flat clamp</t>
  </si>
  <si>
    <t>Page 501 of MoRT&amp;H SDB</t>
  </si>
  <si>
    <t>Form work @2.0 on (A)+(B)+( C)</t>
  </si>
  <si>
    <t>Form work charges @ 0%</t>
  </si>
  <si>
    <t>Add for Over head charges @ 0% on (A)+(B)+(C)</t>
  </si>
  <si>
    <t>PROTECTION WORKS</t>
  </si>
  <si>
    <t>Add for Over head charges &amp; CP  on (A)+(B)+( C)</t>
  </si>
  <si>
    <t>Construction of RCC guide posts of 250 mm dia M25 grade cast-in-situ with 20 mm nominal size aggregate, true to line and grade, tolerance of vertical RCC posts not to exceed 1 in 500 as per drawing and Technical Specification Clause 1608.2</t>
  </si>
  <si>
    <t>Unit = No.</t>
  </si>
  <si>
    <t>As per MoRD Data</t>
  </si>
  <si>
    <t>Taking output = 1 No.</t>
  </si>
  <si>
    <t>Earth work in excavation for structures</t>
  </si>
  <si>
    <t>Rates as per item No. 1 of Chapter 11</t>
  </si>
  <si>
    <t>RCC M25 grade</t>
  </si>
  <si>
    <t>Rate as per item No. 4 (C) (i) of Chapter 11</t>
  </si>
  <si>
    <t>HYSD steel bars</t>
  </si>
  <si>
    <t>Unit = t</t>
  </si>
  <si>
    <t>Rate as per item No. 7 of Chapter 11</t>
  </si>
  <si>
    <t>Painting two coats including prime coat on new concrete surface</t>
  </si>
  <si>
    <t>Rate as per item No. 5 of Chapter 10</t>
  </si>
  <si>
    <t>Cost per 1 No.</t>
  </si>
  <si>
    <t>1 No.</t>
  </si>
  <si>
    <t>Unit = 10 Cum</t>
  </si>
  <si>
    <t>Selected Earth</t>
  </si>
  <si>
    <t>(c) Machinery</t>
  </si>
  <si>
    <t>Plate compactor / power rammer</t>
  </si>
  <si>
    <t>Water Tanker of 6 KL capacity</t>
  </si>
  <si>
    <t>Unit = 1 RM</t>
  </si>
  <si>
    <t>HAND RAILS WITHOUT  FOOT PATHS</t>
  </si>
  <si>
    <t>Taking output = 2 x 24 =</t>
  </si>
  <si>
    <t>mtrs</t>
  </si>
  <si>
    <t>a) Material</t>
  </si>
  <si>
    <t>No. of Vertical Posts (2 spans both sides) = (12+2)*2 =28 Nos</t>
  </si>
  <si>
    <t xml:space="preserve">Total concrete = </t>
  </si>
  <si>
    <t>A. RCC Grade M 25</t>
  </si>
  <si>
    <t>Case-I :Using Concrete Mixer</t>
  </si>
  <si>
    <t>Unit= 1cum                   Taking output = 15 cum</t>
  </si>
  <si>
    <t>a)Material</t>
  </si>
  <si>
    <t xml:space="preserve">12mm aggregate </t>
  </si>
  <si>
    <t xml:space="preserve">10mm aggregate </t>
  </si>
  <si>
    <t>b)Labour</t>
  </si>
  <si>
    <t>c)Machinery</t>
  </si>
  <si>
    <t>Concrete mixer  0.40 / 0.28 cum</t>
  </si>
  <si>
    <t xml:space="preserve">33 KVA  Generater set </t>
  </si>
  <si>
    <t>Rate per 15 cum</t>
  </si>
  <si>
    <t>Basic rate per cum</t>
  </si>
  <si>
    <t>Cost of 48 mts length</t>
  </si>
  <si>
    <t>Basic rate of concrete</t>
  </si>
  <si>
    <t>% add for form work for casting in casting yard</t>
  </si>
  <si>
    <t>% add Over Head charges &amp; Contractor profit</t>
  </si>
  <si>
    <t>% add Contractor's profit</t>
  </si>
  <si>
    <t>Cost for 48.00m</t>
  </si>
  <si>
    <t xml:space="preserve">Rate per metre </t>
  </si>
  <si>
    <t>Rate per 1Rm</t>
  </si>
  <si>
    <t>or say</t>
  </si>
  <si>
    <t xml:space="preserve">          DETAILED ESTIMATES FOR Traffic</t>
  </si>
  <si>
    <t>Name of   work :</t>
  </si>
  <si>
    <t xml:space="preserve">Widening and Raising of Madikonda village -Narayanagiri village road from Km 5/0 to 8/075 in Warangal District (Newly formed District Warangal Urban) </t>
  </si>
  <si>
    <t>Item Description</t>
  </si>
  <si>
    <t>Providing and laying of Hot Applied Thermoplastic compound 2.5 mm thick including reflecting glass beads on bituminous surface at 250 gms per sqm area, thickness of 2.5 mm is exclusive of surface applied glass bead as per IRC:35, the finished surface to be level, uniform and free from streaks and holes etc. complete for finished item of work (with all leads and Lifts).(Data communicate vide E-in-C(R&amp;B) SR, Circular Memo No. Road Signages/DCE(R)/EE2/ DEE7/ AEE(NGL)/2013-14;   Dt 15-05-2013)</t>
  </si>
  <si>
    <t>Providing and fixing Cautionary / Warning sign boards size 900 mm equilateral triangle made out of Type – XI of ASTMD 4956-09 wide angle cube cornered micro Prismatic  Retro reflective sheeting and confirming to IRC 67:2012 for full background of White colour and letters/logos done by screen printing in Black colour, boarders by screen printing in Red colour and fixed over 4MM Aluminium Composite Material sheet having minimum 0.5 mm thick Aluminium skin on both sides with back side painted grey colour and fixed over back support frame of M.S angle 25x25x3mm all round and fixing with 35x35x4mm and mounted on a MS angle post of size 75x75x6mm with clear height of not less than 2.1 m from the ground level  to the bottom of the board.  The signpost should be painted with one coat of red oxide paint and 2 coats of synthetic enamel paint Black and White colour with bands of 30cm of height.  The signpost shall be firmly fixed with MS base angle 35x35x4 mm  in to the ground by M-15 Concrete foundation of size 450x450x600mm including cost and conveyance of all materials ,equipment, machinery and labour with all leads and lift, loading chages necessary for satisfactory completion of the work as directed by Engineer -in-Charge.</t>
  </si>
  <si>
    <t>Supplying &amp; Fixing of Molded Shanks Raised Pavement Markers made of plastic body moulded from HIPS(HI-impact polysterene) or ABS or ASA(Acrylic strene Acrylonitrite) and reflective panels with micro prismatic lens capable of providing total internal reflection of the light entering the lens face and shall support a load of 16000 kg tested in accordance to ASTM D 4280 Type H and complying to Specifications of Category A of MORTH Circular No RW/NH/33023/10-97 – DO III Dt 11.06. 1997. The height, width and length shall not exceed 50 mm, 100 mm and 100 mm and with minimum reflective area of 13 Sqcm on each side and the slope to the base shall be 35 +/- 5 degree. The strength of detachment of the integrated cylindrical shanks, (of diameter not less than 19 +/- 2 mm and height not less than 30+/- 2 mm) from the body is to be a minimum value of 700 Kgs. Fixing will be by drilling holes on the road for the twin shanks to go inside, without nails and using epoxy resin based adhesive as per manufacturer’s recommendation and complete as directed by the engineer.</t>
  </si>
  <si>
    <t>Providing and erecting a "W" metal beam crash barrier comprising of 3mm thick corrugated sheet metal beam rail, 70 cm above road/ground level, fixed on ISMC series channel vertical post, 150X75X5mm spaced 2m centre-to-centre, 1.80m high, 1.1m below ground/road level, all steel parts and fitments to be galvanised by hot dip process, all fittings to conform to IS: 1367 and IS: 1364, metal beam rail to be fixed on the vertical post with a spacer of channel section 150X75X5mm, 330mm long complete as per Clause 810.</t>
  </si>
  <si>
    <t>Providing Guard stones (1200 x 200 X 200 mm)</t>
  </si>
  <si>
    <t>AEE1                 DEE 4                   EE (R)                  DCE(R)            ENC (R&amp;B) SR&amp; CRN</t>
  </si>
  <si>
    <t>W11</t>
  </si>
  <si>
    <t>DEE-III</t>
  </si>
  <si>
    <t>Tender Approval Date</t>
  </si>
  <si>
    <t xml:space="preserve">  Dt:  - 9-2018</t>
  </si>
  <si>
    <t>GoRT.No</t>
  </si>
  <si>
    <t>Date</t>
  </si>
  <si>
    <t>Circle</t>
  </si>
  <si>
    <t>Tender LR.No</t>
  </si>
  <si>
    <t>Lr.No.T3/737/CRR/Guntipally/2017-18, dt:  29.3.2018</t>
  </si>
  <si>
    <t>NIT.Ref</t>
  </si>
  <si>
    <t>NIT.No</t>
  </si>
  <si>
    <t>Paper Notifications</t>
  </si>
  <si>
    <t>Eenadu ( Telugu) dt: 22-8-2018 &amp; The Times of India (English) dt. 22-8-2018</t>
  </si>
  <si>
    <t>Contract period</t>
  </si>
  <si>
    <t>1st Call.</t>
  </si>
  <si>
    <t>TENDER NOTE FILE</t>
  </si>
  <si>
    <t>SSR-2018-19</t>
  </si>
  <si>
    <t>4). T/o memo no.W11/DEE-III/MBNR-CRR-Plain-GoRT.No.82-Sl.No-3/2017-Tender Dt:10-4-2018</t>
  </si>
  <si>
    <t>5. SE PRMBNR Lr.No.T3/CRR-Plain-GoRT.No 82/2017-18 dt: 18-4-2018</t>
  </si>
  <si>
    <t>6. EE PIU Wanaparhty Lr.No.DBII/CRR-2017-18 Grant/2018 dt: 16-4-2018</t>
  </si>
  <si>
    <t xml:space="preserve">                     Kindly peruse the references, in response to this office memo vide in the ref 4th cited the Superintending Engineer PR Mahabubnagar vide ref 5th cited has furnished the  concerned EEs Clarification vide ref 6th cited on distance of BT plant from work site and he has furnished  that the BT HoT Mix Plant is located within the 70kms from the work site. Based on recommendation of the Superintending Engineer PR Mahabubnagar and Executive Engineer PR Wanaparhty, the Bid evaluation submitted by the SE PR MBNR  is  considered for scrutiny.</t>
  </si>
  <si>
    <t>1. Schedule sale opening date    :</t>
  </si>
  <si>
    <t>PM</t>
  </si>
  <si>
    <t>2. Schedule sale closing date       :</t>
  </si>
  <si>
    <t xml:space="preserve">PM                            </t>
  </si>
  <si>
    <t>3. Bid submission closing date       :</t>
  </si>
  <si>
    <t>4. Technical bid opening date      :</t>
  </si>
  <si>
    <t>5. Price bid opening date              :</t>
  </si>
  <si>
    <t>6. Period of Contract                     :</t>
  </si>
  <si>
    <t xml:space="preserve">                                   </t>
  </si>
  <si>
    <t>Name of the Bidders</t>
  </si>
  <si>
    <t>Percentage Quoted</t>
  </si>
  <si>
    <t>Rating</t>
  </si>
  <si>
    <t>Sri.J.Aswarthulu</t>
  </si>
  <si>
    <t>Qualified</t>
  </si>
  <si>
    <t>6.78% Less</t>
  </si>
  <si>
    <t>L1</t>
  </si>
  <si>
    <t>Total Bids</t>
  </si>
  <si>
    <t>.</t>
  </si>
  <si>
    <t>Sri.M.Pandurangam</t>
  </si>
  <si>
    <t>2.20% Less</t>
  </si>
  <si>
    <t>L2</t>
  </si>
  <si>
    <t>Bids qualified</t>
  </si>
  <si>
    <t>Sri. M.Pandurangam</t>
  </si>
  <si>
    <t>3.10% less</t>
  </si>
  <si>
    <t>L3</t>
  </si>
  <si>
    <t>M/s Chandra Constructions</t>
  </si>
  <si>
    <t xml:space="preserve">Disqualified  as the firm has uploaded lapsed solvency certificate. </t>
  </si>
  <si>
    <t>8.89% less</t>
  </si>
  <si>
    <t>L4</t>
  </si>
  <si>
    <t>M/s Geninfra Constructions</t>
  </si>
  <si>
    <t>Disqualified</t>
  </si>
  <si>
    <t>M/s LKP Infra Projects</t>
  </si>
  <si>
    <t>0.99% less</t>
  </si>
  <si>
    <t>L6</t>
  </si>
  <si>
    <t>M/s Nanitha Construction</t>
  </si>
  <si>
    <t>2.70% less</t>
  </si>
  <si>
    <t>L7</t>
  </si>
  <si>
    <t>M/s Siddartha Constructions</t>
  </si>
  <si>
    <t>2.67% less</t>
  </si>
  <si>
    <t>L8</t>
  </si>
  <si>
    <t>VKA constructions</t>
  </si>
  <si>
    <t>0.13% Less</t>
  </si>
  <si>
    <t>L9</t>
  </si>
  <si>
    <t>Bids Dis Qualified</t>
  </si>
  <si>
    <t xml:space="preserve">Sinlge </t>
  </si>
  <si>
    <t>Lowest</t>
  </si>
  <si>
    <t>M/s Raam Infratech India Pvt. Limited</t>
  </si>
  <si>
    <t>Disqualified due to insufficient bid capacity</t>
  </si>
  <si>
    <t>Dis qualified</t>
  </si>
  <si>
    <t>Bidders- &gt;</t>
  </si>
  <si>
    <t>NIT requirement
 Class III and above</t>
  </si>
  <si>
    <t>Items
Registration</t>
  </si>
  <si>
    <t>1)  178, Irr (PW) Dept., dt. 27.09.1997 - Spl.Class</t>
  </si>
  <si>
    <t>Class of contractor</t>
  </si>
  <si>
    <t>Class-I Civil</t>
  </si>
  <si>
    <t>2)  132, T R&amp;B (R1) Dept., dt. 11.08.1998 - Spl.Class</t>
  </si>
  <si>
    <t>(Proc.No.COT/TS/FC/404/2016 dt: 14-12-2016 of CE,Normal, RWS&amp;S PR,Hyd-P.No-1-4</t>
  </si>
  <si>
    <t>3)  8, T,R&amp;B (Roads) Dept., dt. 8.1.2003 - Class- I</t>
  </si>
  <si>
    <t>4) 94, I&amp;CAD (PW-COD) Dept., dt. 01.07.2003 - Class- I</t>
  </si>
  <si>
    <t>5) 664, I&amp;CAD (Reforms) Dept., dt. 20.04.2015 - Class- III</t>
  </si>
  <si>
    <t>Online Payment through ICICI Bank
for Rs. 95400/-  Payment ID-153518 dt:16-3-18</t>
  </si>
  <si>
    <t>page-54</t>
  </si>
  <si>
    <t xml:space="preserve">Similar Nature of works </t>
  </si>
  <si>
    <t>Nil</t>
  </si>
  <si>
    <t>As per GO.66 dt:20.04.15</t>
  </si>
  <si>
    <t>Physical Quantities</t>
  </si>
  <si>
    <t>Liquid assets &amp; credit facilities</t>
  </si>
  <si>
    <t>Rs.505.00 Lakhs , Karnataka Bank Lts,Ananthapur  dt:29-4--2017</t>
  </si>
  <si>
    <t>page -44</t>
  </si>
  <si>
    <t>Key personal</t>
  </si>
  <si>
    <t>Graduate Engineer (civil)-1  Diploma Engineer (civil)-1</t>
  </si>
  <si>
    <t>Graduate Engineer (civil)-1
Diploma Engineer (civil)-1</t>
  </si>
  <si>
    <t>page-38-43</t>
  </si>
  <si>
    <t>The tenderer / bidder should own a B.T. Hot Mix plant or have a lease / hire agreement with a B.T. Hot Mix plant owner within 70 Km distance from the work spot should be given on non - judicial stamp paper of Rs. 100/- &amp; to be up loaded</t>
  </si>
  <si>
    <t>Mandatory</t>
  </si>
  <si>
    <t xml:space="preserve">Furnished </t>
  </si>
  <si>
    <t>Page- 35-36</t>
  </si>
  <si>
    <t>Copy of declaration on critical equipment owned or lease on non - judicial stamp paper of Rs. 100</t>
  </si>
  <si>
    <t>page-35-36</t>
  </si>
  <si>
    <t xml:space="preserve">PAN card </t>
  </si>
  <si>
    <t>Pan.No. AEBPJ3722K</t>
  </si>
  <si>
    <t>PAGE-6</t>
  </si>
  <si>
    <t>Latest saral form</t>
  </si>
  <si>
    <t>optional</t>
  </si>
  <si>
    <t>PAGE-7</t>
  </si>
  <si>
    <t>GST Registration Certificate with TIN NO.</t>
  </si>
  <si>
    <t>Furnished GST-No. 
36AEBPJ3722KI7M</t>
  </si>
  <si>
    <t>page-6</t>
  </si>
  <si>
    <t xml:space="preserve">Commercial tax clearance </t>
  </si>
  <si>
    <t xml:space="preserve">page </t>
  </si>
  <si>
    <t>Litigation History</t>
  </si>
  <si>
    <t>page-46</t>
  </si>
  <si>
    <t>Self declaration</t>
  </si>
  <si>
    <t>page-45</t>
  </si>
  <si>
    <t>Bid Capacity =2AN-B                            A=</t>
  </si>
  <si>
    <t>As per CA certificate  3089.48  lakhs in the year-2016-17 , updated to 2017-18 =1.10x997.98=Rs.1097.778 Lakhs)  page-17</t>
  </si>
  <si>
    <t xml:space="preserve">Bids submitted as  L1 </t>
  </si>
  <si>
    <t>slno</t>
  </si>
  <si>
    <t>NIT.Nos</t>
  </si>
  <si>
    <t>TCV in Lakhs</t>
  </si>
  <si>
    <t>NIT No</t>
  </si>
  <si>
    <t>L1  Bidder</t>
  </si>
  <si>
    <t>Naryanpet Divn</t>
  </si>
  <si>
    <t>Bids Submitted with L1  Total Rs.</t>
  </si>
  <si>
    <t>works on Hand</t>
  </si>
  <si>
    <r>
      <rPr>
        <sz val="8"/>
        <rFont val="Verdana"/>
        <family val="2"/>
      </rPr>
      <t xml:space="preserve">The agency has shown on hand works   asper upladed documentS &amp; as per SE's evaluation &amp; </t>
    </r>
    <r>
      <rPr>
        <b/>
        <sz val="8"/>
        <rFont val="Verdana"/>
        <family val="2"/>
      </rPr>
      <t>Page-48</t>
    </r>
  </si>
  <si>
    <t>296/2017-18</t>
  </si>
  <si>
    <t>Total B. Value</t>
  </si>
  <si>
    <t xml:space="preserve">                             Kindly peruse the ref 4th cited, where in Sri.Koram Kanakaiah Hon'ble MLA Yellandu has requested this office that the one of the contractor on this work ha not shown the on hand work while submitting the tender documents and he has misguiding the governamant , hence requested this office to take necessrya ction against him, the copy of representation is placed belwo for perusal and further  orders Sir,</t>
  </si>
  <si>
    <t>Submitted for perusal and orders for processing the tender Sir,</t>
  </si>
  <si>
    <t>``</t>
  </si>
  <si>
    <t>OFFICE OF THE  ENGINEER-IN-CHIEF,PANCHAYAT RAJ, HYDERABAD</t>
  </si>
  <si>
    <t>ST-SDF-Grant-2017-18 -Wanaparhty Dist - Providing B.T on R/F  R&amp;B Road To Sheripall of  Srirangapur (M) Estt.Cost Rs.70.00 Lakhs- approval of tender communicated - Reg.</t>
  </si>
  <si>
    <t>4). SE PRMBNR Lr.No.T3/CRR-Plain-GoRT.No 82/2017-18 dt: 18-4-2018</t>
  </si>
  <si>
    <t xml:space="preserve">                    The Superintending Engineer (PR) is requested to issue letter of acceptance of the tender duly stating that the tenderer should enter into the agreement with in 15 days from the receipt of the LOA or else the tender deemed to have been cancelled. The agreement includes routine maintenance of the work for 5 years in addition to the execution of work as per the conditions of the contract. </t>
  </si>
  <si>
    <t xml:space="preserve">                    A copy of approved tender comparative statement is here with communicated to the Superintending Engineer and he is requested to take further necessary action as per the following instructions.</t>
  </si>
  <si>
    <t>The balance EMD of 1½% of ECV or TCV whichever is greater shall be obtained from the tenderer as per the clause 29 of ITB.</t>
  </si>
  <si>
    <t>To confirm the genuinety of all the documents uploaded in e-procurement by the  tenderer  from the issuing authorities before entering into agreement. If the successful bidder fails to submit the original hard copies of uploaded certificates/documents, DD/BG towards EMD with in the stipulated time or if any variation is noticed between the uploaded documents and the hard copies submitted by the tenderer, the action shall be taken as per the clause 29.4 of ITB.</t>
  </si>
  <si>
    <t xml:space="preserve">The Time schedule for completion of the work should be obtained from the Agency and should be incorporated in agreement </t>
  </si>
  <si>
    <t>The work should be carried out as per the approved designs &amp; provisions and standard specifications duly conducting required tests prescribed by the Government as well as the Department.</t>
  </si>
  <si>
    <t>The quantity of earthwork is allowed based on the provision made by the SE. The SE is  requested to submit the   L.F books of Pre levels of EW cross sections and levels shall be verified by the EE/SE on LF Books for accurate assessment of Earth work widening quantity before grounding of the work.</t>
  </si>
  <si>
    <t>The existing crust details of the road shall be recorded in M.B and verified/ Test checked by the Executive Engineer before commencement of the work.</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</si>
  <si>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immediatly and shall be grounded only after approval of designs.</t>
  </si>
  <si>
    <t>If any deviations observed over the sanctioned estimate, the working estimate with inspection report of the SE concerned shall be submitted to this office within 1 month from the date of agreement/ grounding. The deviations should be taken up only after prior approval of the undersigned only.</t>
  </si>
  <si>
    <t>9).</t>
  </si>
  <si>
    <t>Get all the materials used for construction may be checked for quality control test.</t>
  </si>
  <si>
    <t>10).</t>
  </si>
  <si>
    <t>The progress of the work shall be updated regularly on the web site up to date.</t>
  </si>
  <si>
    <t>11).</t>
  </si>
  <si>
    <t>ASD for the tender quoated beyond 15% less shall be collected before concluding agreement.</t>
  </si>
  <si>
    <t xml:space="preserve">The receipt of the memo along with enclosures shall be acknowledged in the first instance.
</t>
  </si>
  <si>
    <t xml:space="preserve">Encl: 1. Copy of the approved Tender
          comparative Statement.
</t>
  </si>
  <si>
    <t>Sd/-xxx</t>
  </si>
  <si>
    <t xml:space="preserve"> Engineer-in-Chief</t>
  </si>
  <si>
    <t>Panchyat Raj Dept</t>
  </si>
  <si>
    <t>Hyderabad,Telangana state.</t>
  </si>
  <si>
    <t>Dy. Executive Engineer-III, PR</t>
  </si>
  <si>
    <t>TO BE WRITTEN ON TENDER COMPARTIVE STATE MENT MANUALLY WITH RED INK PEN AS FOLLOWS</t>
  </si>
  <si>
    <t>Index-code</t>
  </si>
  <si>
    <t>S. No</t>
  </si>
  <si>
    <t>Amount Rs.</t>
  </si>
  <si>
    <t xml:space="preserve">Allowances Made </t>
  </si>
  <si>
    <t xml:space="preserve">Over heads </t>
  </si>
  <si>
    <t>Contractor's Profit</t>
  </si>
  <si>
    <t>Sub Analysis</t>
  </si>
  <si>
    <t>RBR-FNDN-7</t>
  </si>
  <si>
    <t>Supplying, fitting and placing HYSD bar reinforcement in foundation complete as per drawings and technical specifications Clauses 1000 and 1202  &amp;1100, 1600 MORTH for Bars below 36 mm dia including over laps and wastage, where they are not welded.</t>
  </si>
  <si>
    <t>HYSD bars including 5 per cent for overlaps and wastage</t>
  </si>
  <si>
    <t>Binding wire</t>
  </si>
  <si>
    <t>kg</t>
  </si>
  <si>
    <t>(b) Labour for cutting, bending, shifting to site, tying and placing in position</t>
  </si>
  <si>
    <t>Blacksmith</t>
  </si>
  <si>
    <t>c&amp;d) Overheads &amp; Contractors Profit</t>
  </si>
  <si>
    <t>Rate per t = a+b+c+d</t>
  </si>
  <si>
    <t>RBR-FNDN-1</t>
  </si>
  <si>
    <t>Note : Classifications of Earth Work Specification are as per 302.2.1(a) of MORD and 301.2.1 of MORT&amp;H</t>
  </si>
  <si>
    <t>Ordinary soil</t>
  </si>
  <si>
    <t>Manual means</t>
  </si>
  <si>
    <t>Upto 3 m depth</t>
  </si>
  <si>
    <t>a)  Labour</t>
  </si>
  <si>
    <t>Seignorage Charges for earth</t>
  </si>
  <si>
    <t>Rate per cum = /10</t>
  </si>
  <si>
    <t>For Road Furniture Items</t>
  </si>
  <si>
    <t>RBR-FNDN-4</t>
  </si>
  <si>
    <t>For height upto 5 m</t>
  </si>
  <si>
    <t>P.C.C grade M 15</t>
  </si>
  <si>
    <t>Unit = 15 cum</t>
  </si>
  <si>
    <t>40 mm aggregate</t>
  </si>
  <si>
    <t>20 mm aggregate</t>
  </si>
  <si>
    <t>10 mm aggregate</t>
  </si>
  <si>
    <t xml:space="preserve">(b) Labour </t>
  </si>
  <si>
    <t>Mason (1st Class)</t>
  </si>
  <si>
    <t>Concrete mixer 0.4/0.28 cum capacity</t>
  </si>
  <si>
    <t>(d) Formwork @ 4% on cost of material, labour and machinery (a+b+c)</t>
  </si>
  <si>
    <t>e&amp;f) Overheads &amp; Contractors Profit</t>
  </si>
  <si>
    <t>Rate per cum = a+b+c+d+e+f</t>
  </si>
  <si>
    <t>XX</t>
  </si>
  <si>
    <t>Providing concrete for plain concrete (1:3:6)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 ,including overhead charges &amp; Contractors profit ,but excluding Seignarage charges.</t>
  </si>
  <si>
    <t>Nominal mix 1:3:6</t>
  </si>
  <si>
    <t>Water</t>
  </si>
  <si>
    <t>Mechanical concrete mixer 0.4/0.28 cum capacity fitted with water measuring device and preferably also with load cell.</t>
  </si>
  <si>
    <t>Water tanker 6 kl capacity</t>
  </si>
  <si>
    <t>MoRTH 801</t>
  </si>
  <si>
    <t>Printing New Letters and Figures of any Shade</t>
  </si>
  <si>
    <t>Printing new letter and figures of any shade with synthetic enamel paint black or any other approved colour to give an even shade as per drawings and Technical Specification Clause 1701 MORD / 801 MORTH ,including overhead charges &amp; Contractors profit ,but excluding Seignarage charges.</t>
  </si>
  <si>
    <t>(ii)</t>
  </si>
  <si>
    <t>English and Roman</t>
  </si>
  <si>
    <t xml:space="preserve">Hyphens, commas and the like not to be measured and paid for. </t>
  </si>
  <si>
    <t>Detail for 100 letters of 160 mm height, i.e. 1600 cm</t>
  </si>
  <si>
    <t>Unit = per cm height per letter</t>
  </si>
  <si>
    <t>Painter 1st Class</t>
  </si>
  <si>
    <t>Painter Assistant</t>
  </si>
  <si>
    <t>b) Material</t>
  </si>
  <si>
    <t>Paint</t>
  </si>
  <si>
    <t>litre</t>
  </si>
  <si>
    <t>Cost for 1600 cm = a+b+c+d</t>
  </si>
  <si>
    <t>Rate per cm height per letter = (a+b+c+d)/1600</t>
  </si>
  <si>
    <t>ROAD FURNITURE MAIN ANALYSIS</t>
  </si>
  <si>
    <t>RBR-TSRA-2</t>
  </si>
  <si>
    <t>Traffic Signs</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</si>
  <si>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</si>
  <si>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t>
  </si>
  <si>
    <t>Unit = Each</t>
  </si>
  <si>
    <t>Taking output = one traffic sign</t>
  </si>
  <si>
    <t>(i) Excavation but excluding for foundation</t>
  </si>
  <si>
    <t>As per item No. 1 of Chapter 11</t>
  </si>
  <si>
    <t>(ii) Cement concrete M15 grade</t>
  </si>
  <si>
    <t>As per item No. 4 (A) (iii) or (iv)  of Chapter 11</t>
  </si>
  <si>
    <t>(iii) Painting two coats including prime coat on concrete surface with Epoxy Paint as per specifications</t>
  </si>
  <si>
    <t>As per item No. 9 of this Chapter</t>
  </si>
  <si>
    <t>(a) labour (For fixing at site)</t>
  </si>
  <si>
    <t>Support of M.S. Sheet tube</t>
  </si>
  <si>
    <t>(I) 47 mm x 47 mm x 12 SWG Sheet 3050 mm long</t>
  </si>
  <si>
    <t>(II) Angle iron 50 x 50 x 6 mm for hold fast including 5% wastage</t>
  </si>
  <si>
    <t>Add 3% cost of MS Sheet tube 12 SWG and angle irons towards the cost of fabrication, drilling holes, nuts and bolts etc.</t>
  </si>
  <si>
    <t xml:space="preserve">(III) 1.5 mm thick M.S. Sheet duly painted with stove enameled paint including lettering, signs, border, message with reflective tape of engineering grade required size, shade and colour as per Technical Specifications </t>
  </si>
  <si>
    <t>(i) 900 mm equilateral triangle</t>
  </si>
  <si>
    <t>OR</t>
  </si>
  <si>
    <t>(ii) 600 mm equilateral triangle</t>
  </si>
  <si>
    <t>(iii) 600 mm circular</t>
  </si>
  <si>
    <t>(iv) 800 mm x 600 mm rectangular</t>
  </si>
  <si>
    <t>(v) 600 mm x 450 mm rectangular</t>
  </si>
  <si>
    <t>(0.36 Sqm. X 0.0015X7850 Kg/cum)</t>
  </si>
  <si>
    <t>(vi) 600 mm x 600 mm square</t>
  </si>
  <si>
    <t>(vii) 900 mm side octagon</t>
  </si>
  <si>
    <t>Tractor with trolley</t>
  </si>
  <si>
    <t xml:space="preserve">d&amp;e) Overheads </t>
  </si>
  <si>
    <t>Rate per traffic sign = (i+ii+iii+a+b+c+d+e)</t>
  </si>
  <si>
    <t>2. The rate for excavation, but excluding cement concrete M-15, and painting may be taken from respective Chapters.</t>
  </si>
  <si>
    <t>3. The depth of foundation and quantity of cement in the foundation are indicative. These may be increased for areas having higher wind velocities like in coastal area. This is applicable to all road signs and direction boards.</t>
  </si>
  <si>
    <t>RBR-TSRA-3</t>
  </si>
  <si>
    <t>Direction and Place Identification signs upto 0.9 sqm size board (1000x900mm size)</t>
  </si>
  <si>
    <t>Semi-Reflective Traffic signs</t>
  </si>
  <si>
    <t>Direction and place identification signs up to 0.9 sqm size board</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</si>
  <si>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t>
  </si>
  <si>
    <t>Unit = each</t>
  </si>
  <si>
    <t>Take Output = 0.9 sqm</t>
  </si>
  <si>
    <t>(iii) Painting on M.S. tube post with primer and two coat of epoxy paint as per specifications</t>
  </si>
  <si>
    <t>As per item No.9 of Chapter 10</t>
  </si>
  <si>
    <t>(i) Support of MS sheet tube</t>
  </si>
  <si>
    <t>47 mm x 47 mm of 12 SWG sheet 3050 mm long</t>
  </si>
  <si>
    <t>(ii) Angle iron 50 x 50 x 6 mm for lugs including 5% wastage</t>
  </si>
  <si>
    <t>(iii) 2 mm thick MS sheet strengthened by 25 mm x 5 mm MS flat iron &amp; painted with stove enameled paint including lettering, signs, message, border with reflective tape of engineering grade of required shade and colour as per Technical Specifications.</t>
  </si>
  <si>
    <t>(0.9 Sqmx0.002 mx7850 kg/cum)</t>
  </si>
  <si>
    <t>Add 3% cost of MS sheet angle iron towards the cost of fabrications, drilling, holes, nuts, bolts etc.</t>
  </si>
  <si>
    <t>Cost for 0.9 sqm = (i+ii+iii+a+b+c+d+e)</t>
  </si>
  <si>
    <t>Rate per (for sign having area upto 0.9 sqm) = (i+ii+iii+a+b+c+d+e)/ 1no</t>
  </si>
  <si>
    <t>RBR-TSRA-6</t>
  </si>
  <si>
    <t>Painting Two Coats on New Concrete Surfaces</t>
  </si>
  <si>
    <t>Painting two coats including primer coat after filling the surface with synthetic enamel paint in all shades on new, plastered / concrete surfaces as per drawing and Technical Specification Clause 1701MORD.,including overhead charges &amp; Contractors profit ,but excluding Seignarage charges.</t>
  </si>
  <si>
    <t>Taking output = 40 sqm</t>
  </si>
  <si>
    <t>Painter (1st Class)</t>
  </si>
  <si>
    <t>Cement Primer as per specifications</t>
  </si>
  <si>
    <t>Paint conforming to requirement of Clause 1701.3.8</t>
  </si>
  <si>
    <t>Add for scaffolding @ 1 per cent of labour cost where required</t>
  </si>
  <si>
    <t>Filling Material on Paint Cost</t>
  </si>
  <si>
    <t>Cost for 40 sqm = a+b+c+d</t>
  </si>
  <si>
    <t>Rate per sqm = (a+b+c+d)/40</t>
  </si>
  <si>
    <t>RBR-TSRA-9</t>
  </si>
  <si>
    <t>Painting on Concrete/Steel Surfaces with Epoxy</t>
  </si>
  <si>
    <t>Painting two coats including prime coat with epoxy paint of approved brand on concrete/steel surfaces after through cleaning of surface to give an even shade as per drawing and Technical Specification Clause 1701 MORD ,including overhead charges &amp; Contractors profit ,but excluding Seignarage charges.</t>
  </si>
  <si>
    <t>Taking output = 10 sqm</t>
  </si>
  <si>
    <t>Epoxy primer / Red-oxide</t>
  </si>
  <si>
    <t>Epoxy paint</t>
  </si>
  <si>
    <t>Add @ 1 per cent on cost of material for scaffolding wherever required</t>
  </si>
  <si>
    <t>Cost for 10 sqm = a+b+c+d</t>
  </si>
  <si>
    <t>Rate per sqm = (a+b+c+d)/10</t>
  </si>
  <si>
    <t>RBR-TSRA-13</t>
  </si>
  <si>
    <t>Kilometre Stone</t>
  </si>
  <si>
    <t>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t>
  </si>
  <si>
    <t>(i)</t>
  </si>
  <si>
    <t>5th Kilometre Stone (p )</t>
  </si>
  <si>
    <t>Taking output = 6 Nos.</t>
  </si>
  <si>
    <t>a) M-15 grade of concrete</t>
  </si>
  <si>
    <t>As per item No. 5 (i) or (ii) of Chapter 12</t>
  </si>
  <si>
    <t>b) Steel reinforcement @ 5 kg per sqm</t>
  </si>
  <si>
    <t>As per item No. 6 of Chapter 12</t>
  </si>
  <si>
    <t>c) Excavation but excluding in soil for foundation</t>
  </si>
  <si>
    <t>d) Painting two coats on concrete surface</t>
  </si>
  <si>
    <t>As per item No.5 of Chapter 10</t>
  </si>
  <si>
    <t>e) lettering on km post (average 30 letters of 10 cm height each)</t>
  </si>
  <si>
    <t>As per item No. 1 of Chapter 10</t>
  </si>
  <si>
    <t>per cm high per letter</t>
  </si>
  <si>
    <t>Transportation and fixing</t>
  </si>
  <si>
    <t>f)  Labour</t>
  </si>
  <si>
    <t>g) Machinery</t>
  </si>
  <si>
    <t>50 HP Tractor with trolley</t>
  </si>
  <si>
    <t>j )Cost for 6 Nos. 5th km stone = a+b+c+d+e+f+g+h+i</t>
  </si>
  <si>
    <t>Rate for each 5th km stone = j/6</t>
  </si>
  <si>
    <t>Ordinary Kilometer Stone (P )</t>
  </si>
  <si>
    <t>Taking output = 14 Nos.</t>
  </si>
  <si>
    <t>e) lettering on km post (average 12 letters of 10 cm height each)</t>
  </si>
  <si>
    <t>j) Cost for 14 Nos. ordinary km stone = (a+b+c+d+e+f+g+h+i)</t>
  </si>
  <si>
    <t>Rate for each ordinary km stone = j/ 14</t>
  </si>
  <si>
    <t>(iii)</t>
  </si>
  <si>
    <t>200 m / Hectometer stone (p )</t>
  </si>
  <si>
    <t>Taking output = 33 Nos.</t>
  </si>
  <si>
    <t>e) lettering on km post (average 1 letter of 10 cm height each)</t>
  </si>
  <si>
    <t>j) Cost for 33 Nos. 200 m stone = (a+b+c+d+e+f+g+h+i)</t>
  </si>
  <si>
    <t>Rate for each 200 m stone = j / 33</t>
  </si>
  <si>
    <t>RBR-TSRA-20</t>
  </si>
  <si>
    <t>Providing and Fixing ' CRR   Project  information &amp; Name Board</t>
  </si>
  <si>
    <t>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t>
  </si>
  <si>
    <t>Taking out put = one typical board</t>
  </si>
  <si>
    <t xml:space="preserve">i) Excavation but excluding for foundation </t>
  </si>
  <si>
    <t>(ii) Cement Concrete M15 grade</t>
  </si>
  <si>
    <t>As per item No. 4 (A) (iii) or (iv) of Chapter 11</t>
  </si>
  <si>
    <t>(iii) Painting on MS Steel tubes with primer and two coats of epoxy paint</t>
  </si>
  <si>
    <t>2x2.05x.30 = 1.23</t>
  </si>
  <si>
    <t>1x1.10x188 = 0.21</t>
  </si>
  <si>
    <t>As per item no. 9 of Chapter 10</t>
  </si>
  <si>
    <t>(iv) Printing new letters and figures of any shade with synthetic enamel paint black or any other  approved colour to give an even shade.</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</si>
  <si>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</si>
  <si>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</si>
  <si>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</si>
  <si>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</si>
  <si>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</si>
  <si>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</si>
  <si>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</si>
  <si>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</si>
  <si>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per cm height /  letter</t>
  </si>
  <si>
    <t>a) Labour (for fixing at site)</t>
  </si>
  <si>
    <t>2 nos. MS tubes 75mx75mm of 12 SWG sheet 2650 mm long</t>
  </si>
  <si>
    <t>1 No. MS tube 47mm x 47mm of 12 SWG 1100 mm long</t>
  </si>
  <si>
    <t>Angle iron 50mm x 50mm x 5 mm for lugs</t>
  </si>
  <si>
    <t xml:space="preserve">1.6 mm thick MS sheet strengthened by 25mm x 5 MS flat iron on logo and middle plate angle iron  25mm x 25mm x 5mm on bottom plate painting with stove enameled paint on both sides as per MORD specifications </t>
  </si>
  <si>
    <t>(1.44 sqmx0.0016mx7850 kg/cum)</t>
  </si>
  <si>
    <t>Add 3% cost of MS tube and angle iron towards the cost of fabrications, drilling holes, nuts, bolts, etc.</t>
  </si>
  <si>
    <t>c) Machinery</t>
  </si>
  <si>
    <t>Cost for one Board= (i+ii+iii+iv+a+b+c+d+e)</t>
  </si>
  <si>
    <t>LEAD CHARGES</t>
  </si>
  <si>
    <t>Cost of Materials, Labour</t>
  </si>
  <si>
    <t>pred</t>
  </si>
  <si>
    <t>Earth/Gravel/Sand</t>
  </si>
  <si>
    <t>Metal</t>
  </si>
  <si>
    <t>SSR 17-18</t>
  </si>
  <si>
    <t>SSR 21-22</t>
  </si>
  <si>
    <t>SSR 22-23</t>
  </si>
  <si>
    <t>SSR 23-24</t>
  </si>
  <si>
    <t>SSR-Ref</t>
  </si>
  <si>
    <t>loading</t>
  </si>
  <si>
    <t>Material Rates</t>
  </si>
  <si>
    <t>Distance</t>
  </si>
  <si>
    <t>Lead Charge for Earth/Sand/Gravel/Murrum/Lime/Surki/per cu.m</t>
  </si>
  <si>
    <t>Lead Charge for Rubble/size stones/cut stones/Coarse aggregare per cu.meter</t>
  </si>
  <si>
    <t>unloading</t>
  </si>
  <si>
    <t>60 to 63 mm IRC &amp; MoRTH HBG metal</t>
  </si>
  <si>
    <t>R-52</t>
  </si>
  <si>
    <t>stacking</t>
  </si>
  <si>
    <t>50 to 55 mm IRC &amp; MoRTH HBG metal</t>
  </si>
  <si>
    <t>R-51</t>
  </si>
  <si>
    <t>40 to 45 mm IRC &amp; MoRTH HBG metal</t>
  </si>
  <si>
    <t>R-50</t>
  </si>
  <si>
    <t>Roughstone 300mm (HBG)for revetment</t>
  </si>
  <si>
    <t>R-9</t>
  </si>
  <si>
    <t>Lead up to 1km</t>
  </si>
  <si>
    <t>Roughstone 225mm (HBG)for revetment</t>
  </si>
  <si>
    <t>R-8</t>
  </si>
  <si>
    <t>Lead up to 2km</t>
  </si>
  <si>
    <t xml:space="preserve">SS Revetment work 225mm </t>
  </si>
  <si>
    <t>R-2</t>
  </si>
  <si>
    <t>Lead up to 3km</t>
  </si>
  <si>
    <t xml:space="preserve">SS Revetment work 300mm </t>
  </si>
  <si>
    <t>R-3</t>
  </si>
  <si>
    <t>Lead up to 4km</t>
  </si>
  <si>
    <t xml:space="preserve">SS Revetment work 450mm </t>
  </si>
  <si>
    <t>R-4</t>
  </si>
  <si>
    <t>Lead up to 5km</t>
  </si>
  <si>
    <t xml:space="preserve">Laterite for Revetment  225mm </t>
  </si>
  <si>
    <t>R-6</t>
  </si>
  <si>
    <t>Lead from &gt;5 km  to 30km (every km)</t>
  </si>
  <si>
    <t xml:space="preserve">Laterite for Revetment  300mm </t>
  </si>
  <si>
    <t>R-7</t>
  </si>
  <si>
    <t>Lead from 30&gt; (for every km)</t>
  </si>
  <si>
    <t xml:space="preserve">Jeddy stone above 450mm to 600mm </t>
  </si>
  <si>
    <t>R-5</t>
  </si>
  <si>
    <t>Quarry spall(Field picked metal) 25mm</t>
  </si>
  <si>
    <t>R-83</t>
  </si>
  <si>
    <r>
      <rPr>
        <b/>
        <sz val="10"/>
        <rFont val="Arial"/>
        <family val="2"/>
      </rPr>
      <t>Note: The lead &amp; lift charges are</t>
    </r>
    <r>
      <rPr>
        <b/>
        <sz val="10"/>
        <color indexed="10"/>
        <rFont val="Arial"/>
        <family val="2"/>
      </rPr>
      <t xml:space="preserve"> inclusive of 13.615%</t>
    </r>
    <r>
      <rPr>
        <b/>
        <sz val="10"/>
        <rFont val="Arial"/>
        <family val="2"/>
      </rPr>
      <t xml:space="preserve"> Contractor Profit and Over Head Charges</t>
    </r>
  </si>
  <si>
    <t>R-78</t>
  </si>
  <si>
    <t>Loading</t>
  </si>
  <si>
    <t>40 to 45 mm IRC &amp; MoRTH HBG M/C metal</t>
  </si>
  <si>
    <t>Un-Loading</t>
  </si>
  <si>
    <t>25 to 27 mm IRC &amp; MoRTH HBG M/C metal</t>
  </si>
  <si>
    <t>R-49</t>
  </si>
  <si>
    <t>19 to 22 mm IRC &amp; MoRTH HBG M/C metal</t>
  </si>
  <si>
    <t>R-48</t>
  </si>
  <si>
    <t>OH&amp;CP Coefficent</t>
  </si>
  <si>
    <t>12 to 14 mm IRC &amp; MoRTH HBG M/C metal</t>
  </si>
  <si>
    <t>R-47</t>
  </si>
  <si>
    <t>9.5 to 11.20 mm IRC &amp; MoRTH HBG M/C metal</t>
  </si>
  <si>
    <t>R-46</t>
  </si>
  <si>
    <t>BT Conveyance charges</t>
  </si>
  <si>
    <t>Per Km per MT (round the trip)</t>
  </si>
  <si>
    <t>5 to 7 mm IRC &amp; MoRTH HBG M/C metal</t>
  </si>
  <si>
    <t>R-45b</t>
  </si>
  <si>
    <t>2.36 to 5 mm IRC &amp; MoRTH HBG M/C metal</t>
  </si>
  <si>
    <t>R-45a</t>
  </si>
  <si>
    <t>HBG Stone chips 2.36mm and below</t>
  </si>
  <si>
    <t>R-91</t>
  </si>
  <si>
    <t>R-89</t>
  </si>
  <si>
    <t>40 mm SS-5 m/c  HBG metal</t>
  </si>
  <si>
    <t>R-30</t>
  </si>
  <si>
    <t>25 mm SS-5 m/c HBG metal</t>
  </si>
  <si>
    <t>R-29</t>
  </si>
  <si>
    <t>20 mm SS-5 m/c HBG metal</t>
  </si>
  <si>
    <t>R-28</t>
  </si>
  <si>
    <t>12 mm SS-5 m/c HBG metal</t>
  </si>
  <si>
    <t>R-27</t>
  </si>
  <si>
    <t>10 mm SS-5 m/c HBG metal</t>
  </si>
  <si>
    <t>R-26</t>
  </si>
  <si>
    <t>6 mm SS-5 m/c HBG metal</t>
  </si>
  <si>
    <t>R-25</t>
  </si>
  <si>
    <t>Sand for Mortar</t>
  </si>
  <si>
    <t>R-92</t>
  </si>
  <si>
    <t>R-93</t>
  </si>
  <si>
    <t>R-94</t>
  </si>
  <si>
    <t>Polythene Sheet 125 micro</t>
  </si>
  <si>
    <t>R-274</t>
  </si>
  <si>
    <t>Bitumenous sealant</t>
  </si>
  <si>
    <t>R-273</t>
  </si>
  <si>
    <t xml:space="preserve">Jute rope </t>
  </si>
  <si>
    <t>R-271</t>
  </si>
  <si>
    <t>De bonding Strips</t>
  </si>
  <si>
    <t>R-272</t>
  </si>
  <si>
    <t>Tar felt Joint filler board 20mm</t>
  </si>
  <si>
    <t>IRR-MR-74</t>
  </si>
  <si>
    <t>Super Plastisizer</t>
  </si>
  <si>
    <t>IRR-MR-70</t>
  </si>
  <si>
    <t>R-79</t>
  </si>
  <si>
    <t>Blasting charges for rough stone</t>
  </si>
  <si>
    <t>R-55</t>
  </si>
  <si>
    <t>Seigniorage charges</t>
  </si>
  <si>
    <t>Gravel/earth</t>
  </si>
  <si>
    <t>Sand</t>
  </si>
  <si>
    <t>Labour Rates</t>
  </si>
  <si>
    <t>LR-11</t>
  </si>
  <si>
    <t>LR-35</t>
  </si>
  <si>
    <t>LR-4</t>
  </si>
  <si>
    <t>LR-2</t>
  </si>
  <si>
    <t>LR-</t>
  </si>
  <si>
    <t>70% of Mason Semi Skilled + 30% of Mason Skilled</t>
  </si>
  <si>
    <t>Machinery Rates</t>
  </si>
  <si>
    <t>Dozer (D 80)</t>
  </si>
  <si>
    <t>HC-8</t>
  </si>
  <si>
    <t xml:space="preserve">Motor grader </t>
  </si>
  <si>
    <t>HC-3</t>
  </si>
  <si>
    <t>Hydralic excavator</t>
  </si>
  <si>
    <t>HC-4</t>
  </si>
  <si>
    <t>HC-5</t>
  </si>
  <si>
    <t>Tipper 5.5 cum per Hour</t>
  </si>
  <si>
    <t>HC-6</t>
  </si>
  <si>
    <t>HC-7</t>
  </si>
  <si>
    <t>smooth wheeled roller 8 Ton</t>
  </si>
  <si>
    <t>HC-10</t>
  </si>
  <si>
    <t xml:space="preserve">Tractor </t>
  </si>
  <si>
    <t>HC-11</t>
  </si>
  <si>
    <t>Tractor with Rotavator/Grader</t>
  </si>
  <si>
    <t>HC-12</t>
  </si>
  <si>
    <t>Tractor with ripper attachment @ 60 cum per hour</t>
  </si>
  <si>
    <t>HC-13</t>
  </si>
  <si>
    <t xml:space="preserve">Air compressor </t>
  </si>
  <si>
    <t>HC-14</t>
  </si>
  <si>
    <t>Wet mix plant of 60 TPH</t>
  </si>
  <si>
    <t>HC-15</t>
  </si>
  <si>
    <t>Mechanical broom Hydraulic</t>
  </si>
  <si>
    <t>HC-16</t>
  </si>
  <si>
    <t>HC-17</t>
  </si>
  <si>
    <t>HC-18</t>
  </si>
  <si>
    <t>Hot mix/Batch Mix Plant 100 TPH</t>
  </si>
  <si>
    <t>HC-20</t>
  </si>
  <si>
    <t>Hot Mix Plat 75 TPH</t>
  </si>
  <si>
    <t>Hot mix/Batch Mix Plant 60 TPH</t>
  </si>
  <si>
    <t>HC-21</t>
  </si>
  <si>
    <t>HC-22</t>
  </si>
  <si>
    <t xml:space="preserve">Hydraulic  chip spreader </t>
  </si>
  <si>
    <t>HC-23</t>
  </si>
  <si>
    <t>Tandem road roller.</t>
  </si>
  <si>
    <t>Pneumatic road Roller</t>
  </si>
  <si>
    <t>HC-24</t>
  </si>
  <si>
    <t>GSB Plant 50 Cum</t>
  </si>
  <si>
    <t>HC-26</t>
  </si>
  <si>
    <t>HC-39</t>
  </si>
  <si>
    <t>Generator set 125 KVA</t>
  </si>
  <si>
    <t>HC-43</t>
  </si>
  <si>
    <t>Generator set 30 KVA</t>
  </si>
  <si>
    <t>Concrete mixer 0.28 cum</t>
  </si>
  <si>
    <t>HC-34</t>
  </si>
  <si>
    <t>Tipper 10t per tonne Km</t>
  </si>
  <si>
    <t>HC-41</t>
  </si>
  <si>
    <t>Tipper 10t cum per  Km</t>
  </si>
  <si>
    <t>Plate compactor/Power rammer</t>
  </si>
  <si>
    <t>HC-44</t>
  </si>
  <si>
    <t>Black Smith</t>
  </si>
  <si>
    <t>Binding Wire per kg</t>
  </si>
  <si>
    <t>IRR-MR-3</t>
  </si>
  <si>
    <t>Hydrostatic sensor paver 100 TPH</t>
  </si>
  <si>
    <t>IRR-MR-35</t>
  </si>
  <si>
    <t>Batching and Mixing Plant</t>
  </si>
  <si>
    <t>(a) 30 Cum capacity</t>
  </si>
  <si>
    <t>HC-28</t>
  </si>
  <si>
    <t>(b) 15 - 20 Cum capacity</t>
  </si>
  <si>
    <t>© 175 cum capacity</t>
  </si>
  <si>
    <t>Generator 100 kv</t>
  </si>
  <si>
    <t>Generator 250 kv</t>
  </si>
  <si>
    <t>Transit mixer</t>
  </si>
  <si>
    <t>HC-33</t>
  </si>
  <si>
    <t>Concrete pump of 45 and</t>
  </si>
  <si>
    <t>30 cum</t>
  </si>
  <si>
    <t>Concrete paver finisher with 40 HP motor</t>
  </si>
  <si>
    <t>HC-40</t>
  </si>
  <si>
    <t>Curing Compound</t>
  </si>
  <si>
    <t>IRR-MR-15</t>
  </si>
  <si>
    <t xml:space="preserve">Epoxy -primer </t>
  </si>
  <si>
    <t>IRR-MR-27</t>
  </si>
  <si>
    <t>plastisizer admixture</t>
  </si>
  <si>
    <t>BSSR-671</t>
  </si>
  <si>
    <t>water (urban)</t>
  </si>
  <si>
    <t>R-276</t>
  </si>
  <si>
    <t>water (rural)</t>
  </si>
  <si>
    <t>R-275</t>
  </si>
  <si>
    <t>LR-2b</t>
  </si>
  <si>
    <t>Kerb casting machine</t>
  </si>
  <si>
    <t>HC-37</t>
  </si>
  <si>
    <t>Concrete batching and mixing plant @ 15 cu,/hr</t>
  </si>
  <si>
    <t>IRR-10</t>
  </si>
  <si>
    <t xml:space="preserve">Chequered Tiles-IS:13801 300X300 of 25 mm thick </t>
  </si>
  <si>
    <t>BSSR-85</t>
  </si>
  <si>
    <t>Plumber</t>
  </si>
  <si>
    <t>LR-36</t>
  </si>
  <si>
    <t>unslaked lime</t>
  </si>
  <si>
    <t>R-101</t>
  </si>
  <si>
    <t>Quarry Rubbish</t>
  </si>
  <si>
    <t>R-90</t>
  </si>
  <si>
    <t>TBSC-G.I-05</t>
  </si>
  <si>
    <t>BSSR-86</t>
  </si>
  <si>
    <t>Earth cost or Compensation</t>
  </si>
  <si>
    <t>IRR-MR-102</t>
  </si>
  <si>
    <t>IRR-MR-94</t>
  </si>
  <si>
    <t>GI Pipe 100mm dia/meter</t>
  </si>
  <si>
    <t>I&amp;CAD Page-2 S.No.32</t>
  </si>
  <si>
    <t>G I Bolt 10mm dia</t>
  </si>
  <si>
    <t>Bond stones ( 600 x 200 x 200 mm )</t>
  </si>
  <si>
    <t>As per IS 458</t>
  </si>
  <si>
    <t>SSR  2022-23</t>
  </si>
  <si>
    <t>NP3 - RCC pipes made by Casting process</t>
  </si>
  <si>
    <t>Dia in mm</t>
  </si>
  <si>
    <t>Barrel 
thickness in mm</t>
  </si>
  <si>
    <t>Steel kgs/m</t>
  </si>
  <si>
    <t>CC qty in cum</t>
  </si>
  <si>
    <t>steel qty in kgs</t>
  </si>
  <si>
    <t>Cement Rate adopted</t>
  </si>
  <si>
    <t>Present Cement Rate</t>
  </si>
  <si>
    <t>Steel  Rate adopted</t>
  </si>
  <si>
    <t>Present steel Rate</t>
  </si>
  <si>
    <t>Variation in cost of Cement (S2-S1)/1000 X Ws</t>
  </si>
  <si>
    <t>Variation in cost of Steel (S2-S1)/1000 X Ws</t>
  </si>
  <si>
    <t>Total Variation</t>
  </si>
  <si>
    <t>Longi</t>
  </si>
  <si>
    <t>spiral</t>
  </si>
  <si>
    <t>Min. cement for NP3 pipes = 360 kg/ cum</t>
  </si>
  <si>
    <t xml:space="preserve">Cement Rate </t>
  </si>
  <si>
    <t>Plain Ended Pipes</t>
  </si>
  <si>
    <t>SSR  2022-23 Rates</t>
  </si>
  <si>
    <t>variation cost of cement and steel</t>
  </si>
  <si>
    <t>Final pipe rate</t>
  </si>
  <si>
    <t xml:space="preserve">1200mm Dia NP4 Class </t>
  </si>
  <si>
    <t>1200mm Dia Collar</t>
  </si>
  <si>
    <t xml:space="preserve">1000mm Dia NP4 Class </t>
  </si>
  <si>
    <t>1000mm Dia Collar</t>
  </si>
  <si>
    <t xml:space="preserve">900mm Dia NP4 Class </t>
  </si>
  <si>
    <t>900mm Dia Collar</t>
  </si>
  <si>
    <t xml:space="preserve">800mm Dia NP4 Class </t>
  </si>
  <si>
    <t>800mm Dia Collar</t>
  </si>
  <si>
    <t xml:space="preserve">700mm Dia NP4 Class </t>
  </si>
  <si>
    <t>700mm Dia Collar</t>
  </si>
  <si>
    <t xml:space="preserve">600mm Dia NP4 Class </t>
  </si>
  <si>
    <t>600mm Dia Collar</t>
  </si>
  <si>
    <t xml:space="preserve">450mm Dia NP4 Class </t>
  </si>
  <si>
    <t>450mm Dia Collar</t>
  </si>
  <si>
    <t xml:space="preserve">300mm Dia NP4 Class </t>
  </si>
  <si>
    <t>300mm Dia Collar</t>
  </si>
  <si>
    <t>With Cement rate Rs.</t>
  </si>
  <si>
    <t>With MS steel rate Rs</t>
  </si>
  <si>
    <t>NP3 - RCC Collars</t>
  </si>
  <si>
    <t>Caulking space in mm</t>
  </si>
  <si>
    <t>thickness in mm</t>
  </si>
  <si>
    <t>length in mm</t>
  </si>
  <si>
    <t>Steel</t>
  </si>
  <si>
    <t xml:space="preserve"> up to  2.00Cr  -&gt; 9 months
above 2.00 up to 5 Cr  12 months
 above 2.00 up to 5 Cr with major CD work  15 months
above 5.00 Cr -&gt;  15 months</t>
  </si>
  <si>
    <t>External area of Vertical posts</t>
  </si>
  <si>
    <t>0.25*0.275</t>
  </si>
  <si>
    <t>Concrete in Vertical posts</t>
  </si>
  <si>
    <t>0.069*28</t>
  </si>
  <si>
    <t>Hand rail in 3 tiers</t>
  </si>
  <si>
    <t>3*24</t>
  </si>
  <si>
    <t>Meters</t>
  </si>
  <si>
    <t xml:space="preserve">External area </t>
  </si>
  <si>
    <t>0.17*0.175</t>
  </si>
  <si>
    <t>Concrtete in hand rails= 0.03*72</t>
  </si>
  <si>
    <t>1.932+2.16</t>
  </si>
  <si>
    <t>HYSD Bar reinforcement</t>
  </si>
  <si>
    <t xml:space="preserve"> vide Lr.No.T4/CRR/Wanaparthy/22 Dt: 06.09.2022</t>
  </si>
  <si>
    <t xml:space="preserve">As per the content of G.O Ms.No.21 dt:31.03.2022 of Industries &amp; Commerce(Mines.I) Dept, Add 0.8 times permit fee on Seignorage Charges in the estimate  may be allowed to provide. </t>
  </si>
  <si>
    <t>BC Gr-II (30mm thick) aproved with (filler stone dust @2%) with 5.4% 60/70 Grade binder. Mechanical paver is provided instead of Hydrostatic sensor paver finisher in BC GrII data.</t>
  </si>
  <si>
    <t>For the Roads safety Interventions, the rates for items Thermoplastic paint for lane and edge marking(2.5mm thick in 1 layer), RPM (twin Moulded Shanks) , Rumble strips and Crash barrier are considered from Circular memo No. RSI/DCE ( R)/ Con.Er.(RS)/DEE(RS)/AEE(RS)/2022, dated23.11.2022 of O/o ENC State Roads &amp; CRN, Hyderabad of R&amp;B Department. As this is a finished item of work at site a direct approved rates adopted as per ENC, R&amp;B State Roads &amp; CRN on 23-11-2022 with out adding OH &amp; CP and Lead to site.</t>
  </si>
  <si>
    <t xml:space="preserve">HMP 60 TPH and HMP 100 TPH rates are interpolated to arrive HMP 75 TPH rate and the same was allowed as an economical criteria as 75HMP rates are not available in SSR  2023-24. </t>
  </si>
  <si>
    <t>As per the content of Minutes of the BOCEs meeting dated 28.02.2018 vide Lr.No.ENC/IW/P&amp;M/EE/DEE.2/AEE.5 /BOCE/61108/2018 dated: 08.03.2018, ENC (IW), Hyderabad and , the Government have instructed all the Engineering Department to deduct towards State Mineral Exploration Trust (SMET) Fund @ 2% &amp; District Mineral Fund (DMF) @ 30% from the works bills on the Seigniorage Charges respectivley in the estimate may be allowed to provide. Revised Segniorage charges are adopted as per G.O.Ms.No.18 Industries and Commerce (Mines-I) Department dated 31.03.2022</t>
  </si>
  <si>
    <t>Cost, supply and Painting on road for Rumble strips 7.5mm thick (in 3 layers each of 2.5mm thick)  including cost and conveyance and all labour charges and including contractors profit &amp; Over head charges,  but excluding  GST etc,. Complete.</t>
  </si>
  <si>
    <t xml:space="preserve">Day 1 
 From 0.00 Hrs To 24.00 Hrs     </t>
  </si>
  <si>
    <t xml:space="preserve">Day 2 
 From 0.00 Hrs To 24.00 Hrs     </t>
  </si>
  <si>
    <t xml:space="preserve">Day 3  From 0.00 Hrs To 24.00 Hrs     </t>
  </si>
  <si>
    <t xml:space="preserve">GENERAL ABSTRACT </t>
  </si>
  <si>
    <t>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t>
  </si>
  <si>
    <t xml:space="preserve">  SUB-ESTIMATE  FOR PIPE CULVERT WITH SSR  2023-24</t>
  </si>
  <si>
    <t xml:space="preserve">  SUB-ESTIMATE FOR SLAB CULVERT WITH SSR 2023-24</t>
  </si>
  <si>
    <t xml:space="preserve">    SUB-ESTIMATE FOR SLAB CULVERT WITH SSR 2023-24</t>
  </si>
  <si>
    <t>Groove cutting</t>
  </si>
  <si>
    <t>Meter</t>
  </si>
  <si>
    <t>weight of bitumen - 20.25 tonnes</t>
  </si>
  <si>
    <t>Weight of aggregate = 450-20.25 = 429.75 tonnes</t>
  </si>
  <si>
    <t>Volume of aggregate = 286.50 cum</t>
  </si>
  <si>
    <t xml:space="preserve"> 2% filler @ Stone dust</t>
  </si>
  <si>
    <t xml:space="preserve"> 2% filler with Stone Dust</t>
  </si>
  <si>
    <t>Present: Sri K.Raghuveera Reddy, B.Tech.</t>
  </si>
  <si>
    <t>Inspection report of the Superintending Engineer, PR, Region, Warangal</t>
  </si>
  <si>
    <t xml:space="preserve"> PR, Region, Warangal</t>
  </si>
  <si>
    <t>The crust design is provided for Flexible pavement as per IRC SP 72:2015 and for Rigid pavements as per  IRC SP 62:2014 based on the trafic calculations and CBR value submitted the SE PR Warangal. The necessary corrections in the crust design wll be made in case of eronous proposed from SE concerned.</t>
  </si>
  <si>
    <t xml:space="preserve">Subject to approval a draft memo to SE ,PR,Warangal for communication of Technical Sanction estimates along with the Schedules is placed below for perusal and approval please. On approval of the Schedules the same will be published on E-Procurement plotform </t>
  </si>
  <si>
    <t>The bitumen content in data for the item Bituminous Concrete as submitted by the Superintending Engineer, PR Warangal is considered as 5.4% with respect to the MoRTH 4th revision. The SE, PR, Warangal is requested to issue necessary intructions to the field staff/ Engineer-in-Charge to conduct tests for Bituminous Concrete in the reputed laboratories with respect to the available gradations and Job Mix Formulae to be approved by the concerned Executive Engineer well before grounding the work.</t>
  </si>
  <si>
    <t>SSR 2024-25</t>
  </si>
  <si>
    <t>The total length of the Road is 1.000 Km.   The total length is Earthen Surface.  The both sides of the road is of Wet Fields,  Hence Carted Earth is proposed.</t>
  </si>
  <si>
    <t>Provide  CC M30 with 200 mm thick From  Km 0/800 to 1/00 in Village Portion,with GSB 100mm and WMM 75mm thick as per SP 62-2014</t>
  </si>
  <si>
    <t>Provide  BT From Km 0/0 to 0/800 as per SP-72-2015 with GSB 175mm and Wmm 150mm as per traffic conditions</t>
  </si>
  <si>
    <t xml:space="preserve">                       The  estmate is prepared with MORTH Data duly adopting Cement and Steel rates of  June 2024 and BT rates are adopted as on       .2024</t>
  </si>
  <si>
    <t>0/800</t>
  </si>
  <si>
    <t>1/000</t>
  </si>
  <si>
    <t xml:space="preserve">Construction of 1 Vent of 5.00 x 2.00m span Slab Culverts- 1nos  at Km 2/100 </t>
  </si>
  <si>
    <t>SSR  2024-25</t>
  </si>
  <si>
    <t xml:space="preserve">                    Kindly peruse the ref. 2nd  cited where in the SE (PR) Warangal has submitted detailed estimates of  above subject work Sanctioned vide reference 1st  cited under -CRR-2024-25  grant and requested for according   technical sanction the details are as follows.</t>
  </si>
  <si>
    <t xml:space="preserve">  Dt:     -09-2024</t>
  </si>
  <si>
    <t>Coursed Rubble Stone</t>
  </si>
  <si>
    <t>as pre Calculation Sheet</t>
  </si>
  <si>
    <t>Construction of Retaining wall of 20.00m Length at Km 1/200</t>
  </si>
  <si>
    <t xml:space="preserve">DETAILED AND ABSTRACT  ESTIMATE FOR </t>
  </si>
  <si>
    <t>Vents</t>
  </si>
  <si>
    <t xml:space="preserve">  </t>
  </si>
  <si>
    <t>Extension of Existing 5V Pipe culvert @ Ch. 0/400</t>
  </si>
  <si>
    <t>Sl no</t>
  </si>
  <si>
    <t xml:space="preserve">Description of work      </t>
  </si>
  <si>
    <t>No.s</t>
  </si>
  <si>
    <t>Measurements</t>
  </si>
  <si>
    <t>Rate. Per</t>
  </si>
  <si>
    <t>at</t>
  </si>
  <si>
    <t>9</t>
  </si>
  <si>
    <t>No. of Vents &amp; Dia of Pipes</t>
  </si>
  <si>
    <t xml:space="preserve">V of </t>
  </si>
  <si>
    <t>mm Dia</t>
  </si>
  <si>
    <t>H= Distance between Road crust level to Bottom of pipe</t>
  </si>
  <si>
    <t>- 600 mm dia Pipes</t>
  </si>
  <si>
    <t>Body Wall Length.-&gt; L = (  2H  + (  ND + (N-1) D/2) + 0.60 ) =</t>
  </si>
  <si>
    <t>N= No.of Vents , Depth of Foun=1.00m</t>
  </si>
  <si>
    <t>- 900 mm dia Pipes</t>
  </si>
  <si>
    <t>C.C Bed Below Pipes -&gt; W = (  (  ND + (N-1) D/2) + 0.30 ) =</t>
  </si>
  <si>
    <t>D= Outer Dia of NP3 Pipes =Inner Dia+200mm</t>
  </si>
  <si>
    <t>- 1000 mm dia Pipes</t>
  </si>
  <si>
    <t>Body wall</t>
  </si>
  <si>
    <t>1 cum</t>
  </si>
  <si>
    <t>Body wall Foundation</t>
  </si>
  <si>
    <t>1cum</t>
  </si>
  <si>
    <t>Body wall below  GL</t>
  </si>
  <si>
    <t>1.25+1.00/2</t>
  </si>
  <si>
    <t>Body wall above GL</t>
  </si>
  <si>
    <t>1.05+0.40/2</t>
  </si>
  <si>
    <t>P.P walls</t>
  </si>
  <si>
    <t>Deduct Pipe Portion</t>
  </si>
  <si>
    <t>1.00+0.60/2</t>
  </si>
  <si>
    <t>Up stream Side</t>
  </si>
  <si>
    <t>Down stream Side</t>
  </si>
  <si>
    <t>( width equal to body wall length )</t>
  </si>
  <si>
    <t>TOTAL Rs..</t>
  </si>
  <si>
    <t xml:space="preserve">  SUB-ESTIMATE FOR SLAB CULVERT WITH SSR 2024-25</t>
  </si>
  <si>
    <t>SUB-ESTIMATE  FOR PIPE CULVERT WITH SSR  2024-25</t>
  </si>
  <si>
    <t xml:space="preserve">  ROAD PART ESTIMATE WITH SSR  2024-25</t>
  </si>
  <si>
    <t>0/000 to 1/220 km</t>
  </si>
  <si>
    <t>Deduction for CD at Ch 1/000</t>
  </si>
  <si>
    <t xml:space="preserve">  SUB-ESTIMATE FOR ROAD DAM WITH SSR 2024-25</t>
  </si>
  <si>
    <t>Bitumen-VG30(60/70)@ 5.4% of weight of mix</t>
  </si>
  <si>
    <t>weight of bitumen = 24.30 tonnes</t>
  </si>
  <si>
    <t>Weight of aggregate = 450-24.30 = 425.70 tonnes</t>
  </si>
  <si>
    <t>Volume of aggregate = 283.80 cum</t>
  </si>
  <si>
    <t xml:space="preserve">Body Wall Foundation </t>
  </si>
  <si>
    <r>
      <t>1.05+0.4</t>
    </r>
    <r>
      <rPr>
        <sz val="11"/>
        <rFont val="Calibri"/>
        <family val="2"/>
        <scheme val="minor"/>
      </rPr>
      <t xml:space="preserve">
2</t>
    </r>
  </si>
  <si>
    <t>TRAFFIC SIGNS, MARKINGS AND OTHER ROAD APPURTENANCES WITH SSR  2024-25</t>
  </si>
  <si>
    <t>Construction of HP Culvert 1V of 1000mm Dia.NP4 Pipes at Km 0/0,0/250,0/400,0/500,0/700,1/20 6 No's</t>
  </si>
  <si>
    <t>Construction of HP Culvert 2V of 1000mm Dia.NP4 Pipes at 0/300 Km</t>
  </si>
  <si>
    <t>Const. of 30 m Road  Dam with 6 vents of 1000mm Dia @ 1/000 Km</t>
  </si>
  <si>
    <t>Sand  Filling (Natural Sand 50% + Manufactured sand 50%) in foundation trenches as per drawing and technical specification Clause 304 of MORTH including overhead charges &amp; Contractors profit etc complete.</t>
  </si>
  <si>
    <t xml:space="preserve"> 50% Natural Sand  for filling</t>
  </si>
  <si>
    <t>50 % Manufactured Sand (Rock Sand)</t>
  </si>
  <si>
    <t>Sd/- (27.09.2024)</t>
  </si>
  <si>
    <t>2024-25</t>
  </si>
  <si>
    <t>Bridge items</t>
  </si>
  <si>
    <t>Bridge work</t>
  </si>
  <si>
    <t>DETAILED ESTIMATE FOR HLB WITH SSR 2024-25</t>
  </si>
  <si>
    <t xml:space="preserve">Vibrated reinforced cement concrete M30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Raft foundation)  </t>
  </si>
  <si>
    <t xml:space="preserve">Vibrated  cement concrete M20 Grade Concrete using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footing </t>
  </si>
  <si>
    <t>Abutment 1st Step</t>
  </si>
  <si>
    <t>2nd step</t>
  </si>
  <si>
    <t>3rd step</t>
  </si>
  <si>
    <t xml:space="preserve">                      The Estimate  is prepared with the SSR for  2024-25 and with above provisions and cost is worked out to Rs.  150 .00 lakhs and same is submitted for according early Sanction.</t>
  </si>
  <si>
    <t xml:space="preserve">The following provisions are made in the estimate </t>
  </si>
  <si>
    <t xml:space="preserve">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t>
  </si>
  <si>
    <t xml:space="preserve">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t>
  </si>
  <si>
    <t xml:space="preserve">Vibrated reinforced cement concrete M30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for Raft foundation)  </t>
  </si>
  <si>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for foundation.</t>
  </si>
  <si>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for Sub-structure.</t>
  </si>
  <si>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for Sub-structure.for  Bed blocks &amp; Backing walls</t>
  </si>
  <si>
    <t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t>
  </si>
  <si>
    <t xml:space="preserve">Back filling behind abutment, wing wall and return wall complete as per drawing and Technical Specification  </t>
  </si>
  <si>
    <t>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for Wearing Coat.</t>
  </si>
  <si>
    <t xml:space="preserve">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t>
  </si>
  <si>
    <t>Vibrated  cement concrete M 15 Grade Concrete using 40mm , 20mm and 10mm size HBG crushed stone aggregate (Coarse aggregate conforming to table 1000-1 and fine aggregate(Natural sand 50%+Manufactured sand(Rock Sand)50% ) conforming to table 1000-2) for levelling course.</t>
  </si>
  <si>
    <t>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for Approach slab.</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</si>
  <si>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t>
  </si>
  <si>
    <t xml:space="preserve">Providing and laying boulders apron for bed protection against scour with stone boulders weighing not less than 40kg each complete as per drawing and specification. </t>
  </si>
  <si>
    <t xml:space="preserve">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</si>
  <si>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 in sub-structure.</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</si>
  <si>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in super structure.</t>
  </si>
  <si>
    <t>KMM</t>
  </si>
  <si>
    <t>Bhadrachalam</t>
  </si>
  <si>
    <t>DPR Charges</t>
  </si>
  <si>
    <t>Bridge Portion</t>
  </si>
  <si>
    <t>1500 1600 1700 2702 MoRTH</t>
  </si>
  <si>
    <t>1500 1600 1700 2200 MoRTH</t>
  </si>
  <si>
    <t>1500 1700 2100 MoRTH</t>
  </si>
  <si>
    <t>1600 2200 MoRTH</t>
  </si>
  <si>
    <t>1500 1600 1700 2704 MoRTH</t>
  </si>
  <si>
    <t>1500 1600 1700 2703 MoRTH</t>
  </si>
  <si>
    <t>2706 2200 MoRTH</t>
  </si>
  <si>
    <t>Sd/- (27.11.2024)</t>
  </si>
  <si>
    <t>(1.4^2+0.76^2)/2</t>
  </si>
  <si>
    <t>Vikarabad</t>
  </si>
  <si>
    <t>Narayanpet</t>
  </si>
  <si>
    <t>Maddur</t>
  </si>
  <si>
    <t>Kosgi</t>
  </si>
  <si>
    <t>MBNR(Palkonda)</t>
  </si>
  <si>
    <t>Makthal(Warkur)</t>
  </si>
  <si>
    <t>28.11.2024</t>
  </si>
  <si>
    <t>Kotakota</t>
  </si>
  <si>
    <t>SDF</t>
  </si>
  <si>
    <t>NOV' 2024</t>
  </si>
  <si>
    <t>Till Nov same rates as sep phmed</t>
  </si>
  <si>
    <t>WORKING DETAILED ESTIMATE OF BRIDGE PORTION</t>
  </si>
  <si>
    <t>Index Code</t>
  </si>
  <si>
    <t>No's</t>
  </si>
  <si>
    <t>Length</t>
  </si>
  <si>
    <t>Width</t>
  </si>
  <si>
    <t>Depth</t>
  </si>
  <si>
    <t>Morth</t>
  </si>
  <si>
    <t>Earth work in excavation of foundation of structures as per drawing and technical specification, including settingout, construction of shoring and bracing, removal of stumps and other deleterious matter, dressing of sides and bottom and back filling with approved material as per MORT&amp;H specification no.304 in ordinary soils upto SDR soils using Machinery.</t>
  </si>
  <si>
    <t>Pier 1</t>
  </si>
  <si>
    <t>Cu.m</t>
  </si>
  <si>
    <t>(16.80+11.21)/2</t>
  </si>
  <si>
    <t>Pier 2</t>
  </si>
  <si>
    <t>(17.19+9.05)/2</t>
  </si>
  <si>
    <t>Pier 3</t>
  </si>
  <si>
    <t>(15.905+9.645)/2</t>
  </si>
  <si>
    <t>Pier 4</t>
  </si>
  <si>
    <t>(12.39+11.43)/2</t>
  </si>
  <si>
    <t>Pier 5</t>
  </si>
  <si>
    <t>(13.365+11.235)/2</t>
  </si>
  <si>
    <t>Pier 6</t>
  </si>
  <si>
    <t>(12.82+11.63)/2</t>
  </si>
  <si>
    <t>Pier 7</t>
  </si>
  <si>
    <t>(14.24+11.95)/2</t>
  </si>
  <si>
    <t>Pier 8</t>
  </si>
  <si>
    <t>(14.54+13.39)/2</t>
  </si>
  <si>
    <t>Pier 9</t>
  </si>
  <si>
    <t>(14.0+12.79)/2</t>
  </si>
  <si>
    <t>Pier 10</t>
  </si>
  <si>
    <t>(13.29+12.19)/2</t>
  </si>
  <si>
    <t>Pier 11</t>
  </si>
  <si>
    <t>(14.15+12.26)/2</t>
  </si>
  <si>
    <t>Pier 12</t>
  </si>
  <si>
    <t>(13.71+11.72)/2</t>
  </si>
  <si>
    <t>Pier 13</t>
  </si>
  <si>
    <t>(12.89+11.87)/2</t>
  </si>
  <si>
    <t>Pier 14</t>
  </si>
  <si>
    <t>(14.015+11.625)/2</t>
  </si>
  <si>
    <t>Pier 15</t>
  </si>
  <si>
    <t>(14.99+10.74)/2</t>
  </si>
  <si>
    <t>Abutment 1</t>
  </si>
  <si>
    <t>(26.525+14.475)/2</t>
  </si>
  <si>
    <t>(22.025+9.975)/2</t>
  </si>
  <si>
    <t>Abutment 2</t>
  </si>
  <si>
    <t>(20.56+15.85)/2</t>
  </si>
  <si>
    <t>(16.06+11.35)/2</t>
  </si>
  <si>
    <t xml:space="preserve">Excavation in Hard Rock (required blasting)  </t>
  </si>
  <si>
    <t>Earth work in excavation of foundation of structures as per drawing and technical specification, including settingout, construction of shoring and bracing, removal of stumps and other deleterious matter, dressing of sides and bottom and back filling with approved material as per MORT&amp;H specification no.304 in ordinary soils upto SDR soils using Machinery. - for In Hard rock requiring blasting.</t>
  </si>
  <si>
    <t>(11.21+8.0)/2</t>
  </si>
  <si>
    <t>(9.05+8.0)/2</t>
  </si>
  <si>
    <t>(9.645+8.0)/2</t>
  </si>
  <si>
    <t>(11.43+8.0)/2</t>
  </si>
  <si>
    <t>(11.235+8.0)/2</t>
  </si>
  <si>
    <t>(11..63+8.0)/2</t>
  </si>
  <si>
    <t>(11.95+8.0)/2</t>
  </si>
  <si>
    <t>(13.39+8.0)/2</t>
  </si>
  <si>
    <t>(12.79+8.0)/2</t>
  </si>
  <si>
    <t>(12.19+8.0)/2</t>
  </si>
  <si>
    <t>(12.26+8.0)/2</t>
  </si>
  <si>
    <t>(11.72+8.0)/2</t>
  </si>
  <si>
    <t>(11.87+8.0)/2</t>
  </si>
  <si>
    <t>(11.625+8.0)/2</t>
  </si>
  <si>
    <t>(10.74+8.0)/2</t>
  </si>
  <si>
    <t>(14.475+13.50)/2</t>
  </si>
  <si>
    <t>(9.975+9.0)/2</t>
  </si>
  <si>
    <t>(15.85+13.50)/2</t>
  </si>
  <si>
    <t>11.35+9.0)/2</t>
  </si>
  <si>
    <t>Sub Total</t>
  </si>
  <si>
    <t>PCC (1:3:6) mix using 40mm size HBG Machine crushed stone aggregate and fine aggregate conforming to table 1000-2 of MoRT&amp;H including cost and conveyance of all materials to site and labour charges for centering, machine mixing, laying,  Vibrating, curing etc., including all other incidental and operational charges of all T&amp;P  (excluding Seignorage charges) etc., complete for finished item of work as per MoRT&amp;H specification 1500,1700,  2100  (4th  Revision) and as directed by the Engineer-in-Charge for foundations for levelling course. - For Abutment, Piers and below approach slab.</t>
  </si>
  <si>
    <t>Below Piers</t>
  </si>
  <si>
    <t>Below Abutment foundations</t>
  </si>
  <si>
    <t>Below Approach slabs</t>
  </si>
  <si>
    <t>1500, 1700 &amp; 2100</t>
  </si>
  <si>
    <t>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for footings.</t>
  </si>
  <si>
    <t>Foundation of Piers</t>
  </si>
  <si>
    <t>Pier 1st step</t>
  </si>
  <si>
    <t>Pier 2nd step</t>
  </si>
  <si>
    <t>Pier 3rd step (Pedestal)</t>
  </si>
  <si>
    <t>Foundation of Abutments</t>
  </si>
  <si>
    <t xml:space="preserve">Abutment </t>
  </si>
  <si>
    <t>Abutment 2nd step (Pedestal)</t>
  </si>
  <si>
    <t>1500 &amp;1600 1700</t>
  </si>
  <si>
    <r>
      <t xml:space="preserve">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t>
    </r>
    <r>
      <rPr>
        <b/>
        <sz val="11"/>
        <rFont val="Arial"/>
        <family val="2"/>
      </rPr>
      <t xml:space="preserve">Sub structure.  </t>
    </r>
  </si>
  <si>
    <t>For Piers</t>
  </si>
  <si>
    <t>P1</t>
  </si>
  <si>
    <t>P2</t>
  </si>
  <si>
    <t>P3</t>
  </si>
  <si>
    <t>P4</t>
  </si>
  <si>
    <t>P5</t>
  </si>
  <si>
    <t>P6</t>
  </si>
  <si>
    <t>P7</t>
  </si>
  <si>
    <t>P8</t>
  </si>
  <si>
    <t>P9</t>
  </si>
  <si>
    <t>P10</t>
  </si>
  <si>
    <t>P11</t>
  </si>
  <si>
    <t>P12</t>
  </si>
  <si>
    <t>P13</t>
  </si>
  <si>
    <t>P14</t>
  </si>
  <si>
    <t>P15</t>
  </si>
  <si>
    <t>Abutments M25</t>
  </si>
  <si>
    <t>A1</t>
  </si>
  <si>
    <t>A2</t>
  </si>
  <si>
    <r>
      <t xml:space="preserve">Bedblocks </t>
    </r>
    <r>
      <rPr>
        <sz val="11"/>
        <color indexed="8"/>
        <rFont val="Arial"/>
        <family val="2"/>
      </rPr>
      <t>of Piers M25</t>
    </r>
  </si>
  <si>
    <t>Bedblocks of Abutments</t>
  </si>
  <si>
    <t>Pedestals of piers</t>
  </si>
  <si>
    <t>Pedestals of Abutments</t>
  </si>
  <si>
    <t>Dirtwall of abutment M25</t>
  </si>
  <si>
    <r>
      <t xml:space="preserve">Furnishing and Placing Reinforced/ Prestressed cement concrete in super-structure as per drawing and Technical Specification - </t>
    </r>
    <r>
      <rPr>
        <b/>
        <sz val="11"/>
        <rFont val="Arial"/>
        <family val="2"/>
      </rPr>
      <t>M25 GRADE</t>
    </r>
  </si>
  <si>
    <t xml:space="preserve">Hammer head </t>
  </si>
  <si>
    <r>
      <t xml:space="preserve">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For Super structure - for </t>
    </r>
    <r>
      <rPr>
        <b/>
        <sz val="11"/>
        <rFont val="Arial"/>
        <family val="2"/>
      </rPr>
      <t>Deck Slab.</t>
    </r>
  </si>
  <si>
    <r>
      <t xml:space="preserve">Vibrated reinforced cement concrete M.30 grade  using  20mm &amp; 10mm HBG crushed stone aggregate (Coarse aggregate conforming to table 1000-1 and fine aggregate conforming to table 1000-2) including cost,  conveyance of all materials to site and labour charges, centering, machine mixing, laying, vibrating, curing etc., including all other incidental and operational charges of all T&amp;P  etc., complete for finished item of work as per Approved drawing, excluding cost of steel  and its fabrication charges as per MoRT&amp;H specification   1500, 1600,1700,  &amp; 2704  (4th Revision) and  as directed by the Engineer-in-Charge for </t>
    </r>
    <r>
      <rPr>
        <b/>
        <sz val="11"/>
        <rFont val="Arial"/>
        <family val="2"/>
      </rPr>
      <t>Approach slab.</t>
    </r>
  </si>
  <si>
    <t>Approach slabs M30</t>
  </si>
  <si>
    <r>
      <t xml:space="preserve">Providing and laying of Cement concrete M 30 grade using  20mm &amp; 10mm  HBG crushed stone aggregate (Coarse aggregate conforming to table 1000-1 and fine aggregate conforming to table 1000-2) including cost,  conveyance of all materials to site and labour charges, centering, machine mixing, laying, vibrating, curing etc., including all other incidental and operational charges of all T&amp;P  etc., complete for finished item of work as per drawing  but excluding cost of steel  and its fabrication charges as per MoRT&amp;H specification   1500, 1600,1700,  &amp; 2702  (4th Revision) and  as directed by the Engineer-in-Charge for </t>
    </r>
    <r>
      <rPr>
        <b/>
        <sz val="11"/>
        <rFont val="Arial"/>
        <family val="2"/>
      </rPr>
      <t>wearing coat</t>
    </r>
    <r>
      <rPr>
        <sz val="11"/>
        <rFont val="Arial"/>
        <family val="2"/>
      </rPr>
      <t xml:space="preserve"> over Deck slab.</t>
    </r>
  </si>
  <si>
    <t>Wearing coat M30</t>
  </si>
  <si>
    <t>2703, 1500, 1600 &amp; 1700</t>
  </si>
  <si>
    <r>
      <t>Construction of precast</t>
    </r>
    <r>
      <rPr>
        <b/>
        <sz val="11"/>
        <rFont val="Arial"/>
        <family val="2"/>
      </rPr>
      <t xml:space="preserve"> RCC railing</t>
    </r>
    <r>
      <rPr>
        <sz val="11"/>
        <rFont val="Arial"/>
        <family val="2"/>
      </rPr>
      <t xml:space="preserve"> of M 20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t>
    </r>
  </si>
  <si>
    <t xml:space="preserve">Towards Pamapur Side </t>
  </si>
  <si>
    <t xml:space="preserve">Towards Veera Raghavapur Side </t>
  </si>
  <si>
    <t>Suplying ,fitting and fixing in position true to line and level elastomeric neoprene bearing confirming to IRC: 83 (Part -II ) ,section IX and Clause 2005 of MoRTH Specifications complete including all accessories as per drawing and Technical Specifications and MORTH Spn.2000 &amp; 2200 Bearing size 500x360x99mm</t>
  </si>
  <si>
    <t>Over Piers</t>
  </si>
  <si>
    <t>Over Abutments</t>
  </si>
  <si>
    <t xml:space="preserve">Providing and laying of a strip seal expansion joint to maximum horizontal movement upto 70 mm, including cost, conveyance of all materials to site and labour charges for cutting, fixing &amp; painting exposed surfaces of MS angles with anti corrosive paints etc., complete as per approved drawings and standard specifications to be installed by the manufacturer/supplier or authorised representative ensuring compliance to the manufacturer/supplier or authorised representative ensuring compliance to hte manufacturer's instructions for installation and as directed by the Engineer-in-charge. </t>
  </si>
  <si>
    <t>Providing weep holes in Brick Masonry/Plain/Reinforced concrete Abutments, Return walls and wing walls with 75mm Diameter PVC pipe  extending through the full width of the structure  with a lope of about 1V : 20H towards drawing face etc., complete as per drawing and Technical specification- MoRT&amp;H specification 2706 &amp; 2200  (4th Revision) ( As per Data communicated vide Circular Memo No. D&amp;P/Bridge work estimates/Non SSR Items/rates/2009-10 Dt 13-08-09 of the Chief Engineer (R&amp;B), Designs &amp; Planning wing,) Hyderabad.</t>
  </si>
  <si>
    <t>In Abutments</t>
  </si>
  <si>
    <t>For deck slabs</t>
  </si>
  <si>
    <t>For retaining walls</t>
  </si>
  <si>
    <t>For railing, Vertical posts</t>
  </si>
  <si>
    <t>16x20</t>
  </si>
  <si>
    <t>Horizontal posts</t>
  </si>
  <si>
    <t>16x18</t>
  </si>
  <si>
    <t>For Parapet wall over retaining walls</t>
  </si>
  <si>
    <t>RBR-SPST-2</t>
  </si>
  <si>
    <t>Providing HYSD bars (Fe-415)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(4th revision)   and as per  I.S.1786 of 1985 for Super structure of R.C.C items.</t>
  </si>
  <si>
    <t>Tonnes</t>
  </si>
  <si>
    <t>Providing HYSD bars (Fe-500)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(4th revision)   and as per  I.S.1786 of 1985 for Sub structure of R.C.C items.</t>
  </si>
  <si>
    <t>Providing HYSD bars (Fe-500D)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(4th revision)   and as per  I.S.1786 of 1985 for foundations of R.C.C items.</t>
  </si>
  <si>
    <t>Dy. Executive Engineer</t>
  </si>
  <si>
    <t>PR. Sub Div. Makthal</t>
  </si>
  <si>
    <t>PR Mahabubnagar</t>
  </si>
  <si>
    <t>WORKING ABSTRACT ESTIMATE OF BRIDGE PORTION</t>
  </si>
  <si>
    <t>Earth work in excavation of foundation of structures as per drawing and technical specification, including setting out, construction of shoring and bracing, removal of stumps and other deleterious matter, dressing of sides and bottom, backfilling the excavation earth to the extent required and utilising the remaining earth locally for road work - By Mechanical Means.</t>
  </si>
  <si>
    <t>V.Pg. No.34 of A/08/11-12</t>
  </si>
  <si>
    <t>Earth work in excavation of foundation of structures as per drawing and technical specification, including settingout, construction of shoring and bracing, removal of stumps and other deleterious matter, dressing of sides and bottom and back filling with approved material as per MORT&amp;H specification no.304 in ordinary soils upto SDR soils using Machinery. - for In Hard rock requiring blasting</t>
  </si>
  <si>
    <t>V.Pg. No. 35 A/08/11-12</t>
  </si>
  <si>
    <t>Piers and Abutments</t>
  </si>
  <si>
    <t>V.Pg. No. 39 of A/08/11-12</t>
  </si>
  <si>
    <t>Vibrated reinforced cement concrete M25 grade using 20mm and 10mm HBG crushed stone aggregate(Coarse aggregate confirming to table 1000-1 and fine aggregates confirming to table 1000-2)  Nominal graded size crushed granite metal as coarse aggregate, River sand as Fine aggregate and 43 grade OPC, mixing mechanically, placing and vibrating as per drawings and section 800,900, clauses 1202 &amp; 1203 of MoRD specifications for Rural roads including cost &amp; conveyance of all materials, form work charges, machinery hire charges ,labour charges, over head charges, contractor profit, VAT and Seigniorage charges etc., complete  ,  for Footings</t>
  </si>
  <si>
    <t>V.Pg. No. 01 of A/227/2015-16</t>
  </si>
  <si>
    <t>V.Pg. No. 06 of A/227/2015-16</t>
  </si>
  <si>
    <t>Abutments</t>
  </si>
  <si>
    <t>Vibrated reinforced cement concrete M25 grade using 20mm and 10mm HBG crushed stone aggregate(Coarse aggregate confirming to table 1000-1 and fine aggregates confirming to table 1000-2)  Nominal graded size crushed granite metal as coarse aggregate, River sand as Fine aggregate and 43 grade OPC, mixing mechanically, placing and vibrating as per drawings and section 800,900, clauses 1202 &amp; 1203 of MoRD specifications for Rural roads including cost &amp; conveyance of all materials, form work charges, machinery hire charges ,labour charges, over head charges, contractor profit, VAT and Seigniorage charges etc., complete  ,  for Sub structure.</t>
  </si>
  <si>
    <t>V.Pg. No. 11 of B/254/2015-16</t>
  </si>
  <si>
    <t>V.Pg. No. 09 of A/227/2015-16</t>
  </si>
  <si>
    <t>V.Pg. No. 20 of B/253/2015-16</t>
  </si>
  <si>
    <t>Dirt wall</t>
  </si>
  <si>
    <t>Hammer Head</t>
  </si>
  <si>
    <t>Bed Blocks,Pedastals</t>
  </si>
  <si>
    <r>
      <t>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For Super structure - for</t>
    </r>
    <r>
      <rPr>
        <b/>
        <sz val="11"/>
        <rFont val="Arial"/>
        <family val="2"/>
      </rPr>
      <t xml:space="preserve"> Deck Slab.</t>
    </r>
  </si>
  <si>
    <t>V.Pg. No. 28 of A/370/15-16</t>
  </si>
  <si>
    <r>
      <t>Vibrated reinforced cement concrete M.30 grade  using  20mm &amp; 10mm HBG crushed stone aggregate (Coarse aggregate conforming to table 1000-1 and fine aggregate conforming to table 1000-2) including cost,  conveyance of all materials to site and labour charges, centering, machine mixing, laying, vibrating, curing etc., including all other incidental and operational charges of all T&amp;P  etc., complete for finished item of work as per Approved drawing, excluding cost of steel  and its fabrication charges as per MoRT&amp;H specification   1500, 1600,1700,  &amp; 2704  (4th Revision) and  as directed by the Engineer-in-Charge for</t>
    </r>
    <r>
      <rPr>
        <b/>
        <sz val="11"/>
        <rFont val="Arial"/>
        <family val="2"/>
      </rPr>
      <t xml:space="preserve"> Approach slab.</t>
    </r>
  </si>
  <si>
    <t>V.Pg. No. 36 of A/370/15-16</t>
  </si>
  <si>
    <t>Construction of precast RCC railing of M 20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t>
  </si>
  <si>
    <t>V.Pg. No. 32 of A/370/15-16</t>
  </si>
  <si>
    <t>Back filling behind Abutments with carted gravel including cost and conveyance and   of all materials to site (Excluding seignorage charges) etc., complete  as per   Clause 710.1.4 of IRC : 78and as per  MoRT&amp;H Specification No. 2200 (4th Revision) and as per Drawing and technical specifications  for finished item of work</t>
  </si>
  <si>
    <t>V.Pg. No. 82 of A/372/15-16</t>
  </si>
  <si>
    <t>Supply and fixing of Drainage Spouts complete as per drawing and Technical specification No. 2705. (As per Data communicated vide Circular Memo No. D&amp;P/Bridge work estimates/Non SSR Items/rates/2009-1 Dt 13-08-09 of the Chief Engineer (R&amp;B), Designs &amp; Planning wing,) Hyderabad.</t>
  </si>
  <si>
    <t>V.Pg. No. 25 of A/370/15-16</t>
  </si>
  <si>
    <t>V.Pg. No. 37 of A/370/15-16</t>
  </si>
  <si>
    <t>V.Pg. No.85 of A/372/15-16</t>
  </si>
  <si>
    <t>V.Pg. No.31 of B/30/2011-12</t>
  </si>
  <si>
    <t>V.Pg. No.</t>
  </si>
  <si>
    <t>V.Pg. No. 35 of A/370/15-16</t>
  </si>
  <si>
    <t>Providing HYSD bars (Fe-500D)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(4th revision)   and as per  I.S.1786 of 1985 for Sub structure of R.C.C items.</t>
  </si>
  <si>
    <t>V.Pg. No. 18 of B/253/15-16</t>
  </si>
  <si>
    <t>V.Pg. No. 46 of A/108/11-12</t>
  </si>
  <si>
    <t>Provision for dewatering charges</t>
  </si>
  <si>
    <t>Provision for  other U/s items.</t>
  </si>
  <si>
    <t>Name of work:-</t>
  </si>
  <si>
    <t>E/C</t>
  </si>
  <si>
    <t>QTY</t>
  </si>
  <si>
    <t>per</t>
  </si>
  <si>
    <t>Asst Executive Engineer</t>
  </si>
  <si>
    <t>PR Div Narayanpet</t>
  </si>
  <si>
    <t xml:space="preserve"> DETAILED CUM  ABSTRACT SUB ESTIMATE FOR  APPROACHES</t>
  </si>
  <si>
    <t>APPROACHES</t>
  </si>
  <si>
    <t>Embankment up to RCL(A1)+102.946</t>
  </si>
  <si>
    <t>Embankment up to RCL(A2)+102.946</t>
  </si>
  <si>
    <t>Extra length for approaches</t>
  </si>
  <si>
    <t>A1 side</t>
  </si>
  <si>
    <t>A2 side</t>
  </si>
  <si>
    <t>`</t>
  </si>
  <si>
    <t>item</t>
  </si>
  <si>
    <t>cost</t>
  </si>
  <si>
    <t>EWE</t>
  </si>
  <si>
    <t>Revetment to Embankment up to RCL + 102.946 at A1 sides</t>
  </si>
  <si>
    <t>Revetment to Embankment up to RCL + 102.946 at A2 sides</t>
  </si>
  <si>
    <t>Sub structure</t>
  </si>
  <si>
    <t>At Fly wings</t>
  </si>
  <si>
    <t>Super structure</t>
  </si>
  <si>
    <t xml:space="preserve"> --do--</t>
  </si>
  <si>
    <t>Protection work</t>
  </si>
  <si>
    <t>Approaches</t>
  </si>
  <si>
    <t>Approaches A1 side</t>
  </si>
  <si>
    <t>Approaches A2 side</t>
  </si>
  <si>
    <t>SUB ESTIMATE FOR  FURNITURE</t>
  </si>
  <si>
    <r>
      <t>m</t>
    </r>
    <r>
      <rPr>
        <vertAlign val="superscript"/>
        <sz val="10"/>
        <rFont val="Cambria"/>
        <family val="1"/>
        <scheme val="major"/>
      </rPr>
      <t>3</t>
    </r>
  </si>
  <si>
    <r>
      <t xml:space="preserve">Providing, laying, spreading and compacting stone aggregates of specific sizes to </t>
    </r>
    <r>
      <rPr>
        <sz val="12"/>
        <color indexed="10"/>
        <rFont val="Cambria"/>
        <family val="1"/>
        <scheme val="major"/>
      </rPr>
      <t>water bound macadam</t>
    </r>
    <r>
      <rPr>
        <sz val="10"/>
        <rFont val="Cambria"/>
        <family val="1"/>
        <scheme val="major"/>
      </rPr>
      <t xml:space="preserve">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per Technical Specification Clause 405 MORD. For compacted thickness of 75 mm  including overhead charges &amp; Contractor profit,</t>
    </r>
    <r>
      <rPr>
        <sz val="12"/>
        <color indexed="10"/>
        <rFont val="Cambria"/>
        <family val="1"/>
        <scheme val="major"/>
      </rPr>
      <t xml:space="preserve"> for Gr-II</t>
    </r>
    <r>
      <rPr>
        <b/>
        <sz val="10"/>
        <rFont val="Cambria"/>
        <family val="1"/>
        <scheme val="major"/>
      </rPr>
      <t xml:space="preserve"> ( Hand Broken metal )</t>
    </r>
  </si>
  <si>
    <r>
      <t xml:space="preserve">Providing, laying, spreading and compacting stone aggregates of specific sizes to </t>
    </r>
    <r>
      <rPr>
        <sz val="12"/>
        <color indexed="10"/>
        <rFont val="Cambria"/>
        <family val="1"/>
        <scheme val="major"/>
      </rPr>
      <t xml:space="preserve">water bound macadam </t>
    </r>
    <r>
      <rPr>
        <sz val="10"/>
        <rFont val="Cambria"/>
        <family val="1"/>
        <scheme val="major"/>
      </rPr>
      <t>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per Technical Specification Clause 405 MORD/ MORTH 404. For compacted thickness of 75 mm, including overhead charges &amp; Contractor profit,,</t>
    </r>
    <r>
      <rPr>
        <sz val="12"/>
        <color indexed="10"/>
        <rFont val="Cambria"/>
        <family val="1"/>
        <scheme val="major"/>
      </rPr>
      <t xml:space="preserve"> for Gr-III</t>
    </r>
    <r>
      <rPr>
        <sz val="10"/>
        <rFont val="Cambria"/>
        <family val="1"/>
        <scheme val="major"/>
      </rPr>
      <t xml:space="preserve"> ( Machine Crushed )</t>
    </r>
  </si>
  <si>
    <r>
      <t>m</t>
    </r>
    <r>
      <rPr>
        <vertAlign val="superscript"/>
        <sz val="10"/>
        <rFont val="Cambria"/>
        <family val="1"/>
        <scheme val="major"/>
      </rPr>
      <t>2</t>
    </r>
  </si>
  <si>
    <r>
      <t xml:space="preserve">Construction of  un-reinforced, dowel jointed at expansion and construction joint only, </t>
    </r>
    <r>
      <rPr>
        <sz val="11"/>
        <color indexed="10"/>
        <rFont val="Cambria"/>
        <family val="1"/>
        <scheme val="major"/>
      </rPr>
      <t>plain cement concrete pavement</t>
    </r>
    <r>
      <rPr>
        <sz val="10"/>
        <rFont val="Cambria"/>
        <family val="1"/>
        <scheme val="major"/>
      </rPr>
      <t xml:space="preserve">, thickness as per design, over a prepared sub base, with 43 grade cement or any other type as per Clause 1501.2.2 </t>
    </r>
    <r>
      <rPr>
        <sz val="11"/>
        <color indexed="10"/>
        <rFont val="Cambria"/>
        <family val="1"/>
        <scheme val="major"/>
      </rPr>
      <t>M30 (Grade)</t>
    </r>
    <r>
      <rPr>
        <sz val="10"/>
        <rFont val="Cambria"/>
        <family val="1"/>
        <scheme val="major"/>
      </rPr>
      <t xml:space="preserve">, coarse and fine aggregates conforming to IS : 383, maximum in a concrete mixer of not less than 0.2 cum capacity and appropeiate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14- days, curing compound (where specified) and water finishing to lines and grade as per drawing  and Technical Specification Clause 1501 MORD including contractors </t>
    </r>
  </si>
  <si>
    <r>
      <t>3.0+0.8</t>
    </r>
    <r>
      <rPr>
        <sz val="11"/>
        <rFont val="Cambria"/>
        <family val="1"/>
        <scheme val="major"/>
      </rPr>
      <t xml:space="preserve">
2</t>
    </r>
  </si>
  <si>
    <r>
      <t>1.4+0.76</t>
    </r>
    <r>
      <rPr>
        <sz val="11"/>
        <rFont val="Cambria"/>
        <family val="1"/>
        <scheme val="major"/>
      </rPr>
      <t xml:space="preserve">
2</t>
    </r>
  </si>
  <si>
    <r>
      <t>13.50+7.50</t>
    </r>
    <r>
      <rPr>
        <sz val="11"/>
        <rFont val="Cambria"/>
        <family val="1"/>
        <scheme val="major"/>
      </rPr>
      <t xml:space="preserve">
2</t>
    </r>
  </si>
  <si>
    <t xml:space="preserve">Approach </t>
  </si>
  <si>
    <t>Pier Foundation</t>
  </si>
  <si>
    <t>Abutment Foundation</t>
  </si>
  <si>
    <r>
      <t>4.5.00+0.30</t>
    </r>
    <r>
      <rPr>
        <sz val="11"/>
        <rFont val="Cambria"/>
        <family val="1"/>
        <scheme val="major"/>
      </rPr>
      <t xml:space="preserve">
2</t>
    </r>
  </si>
  <si>
    <r>
      <t xml:space="preserve">4.50+0.50
</t>
    </r>
    <r>
      <rPr>
        <sz val="11"/>
        <rFont val="Cambria"/>
        <family val="1"/>
        <scheme val="major"/>
      </rPr>
      <t>2</t>
    </r>
  </si>
  <si>
    <r>
      <t>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foundation.</t>
    </r>
  </si>
  <si>
    <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foundation.</t>
    </r>
  </si>
  <si>
    <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foundation.</t>
    </r>
  </si>
  <si>
    <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Substructure.</t>
    </r>
  </si>
  <si>
    <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Sub-structure.</t>
    </r>
  </si>
  <si>
    <r>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mbria"/>
        <family val="1"/>
        <scheme val="major"/>
      </rPr>
      <t>th</t>
    </r>
    <r>
      <rPr>
        <sz val="12"/>
        <rFont val="Cambria"/>
        <family val="1"/>
        <scheme val="major"/>
      </rPr>
      <t xml:space="preserve">  Revision) and as directed by the Engineer-in-Charge for Sub-structure.for  Bed blocks &amp; Backing walls</t>
    </r>
  </si>
  <si>
    <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1"/>
        <rFont val="Cambria"/>
        <family val="1"/>
        <scheme val="major"/>
      </rPr>
      <t>th</t>
    </r>
    <r>
      <rPr>
        <sz val="11"/>
        <rFont val="Cambria"/>
        <family val="1"/>
        <scheme val="major"/>
      </rPr>
      <t xml:space="preserve"> Revision)  and as directed by the Engineer-in-Charge.</t>
    </r>
  </si>
  <si>
    <r>
      <t>Providing, laying Reinforced cement concrete Hume pipes of 1000 mm Dia.,</t>
    </r>
    <r>
      <rPr>
        <b/>
        <sz val="11"/>
        <rFont val="Cambria"/>
        <family val="1"/>
        <scheme val="major"/>
      </rPr>
      <t xml:space="preserve"> NP4</t>
    </r>
    <r>
      <rPr>
        <sz val="11"/>
        <rFont val="Cambria"/>
        <family val="1"/>
        <scheme val="major"/>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</si>
  <si>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r>
      <t>Providing, laying Reinforced cement concrete Hume pipes of 900 mm Dia.,</t>
    </r>
    <r>
      <rPr>
        <b/>
        <sz val="11"/>
        <rFont val="Cambria"/>
        <family val="1"/>
        <scheme val="major"/>
      </rPr>
      <t xml:space="preserve"> NP-4</t>
    </r>
    <r>
      <rPr>
        <sz val="11"/>
        <rFont val="Cambria"/>
        <family val="1"/>
        <scheme val="major"/>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</si>
  <si>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r>
      <t xml:space="preserve">Plain/reinforced cement concrete in </t>
    </r>
    <r>
      <rPr>
        <b/>
        <u/>
        <sz val="10"/>
        <rFont val="Cambria"/>
        <family val="1"/>
        <scheme val="major"/>
      </rPr>
      <t>Foundations</t>
    </r>
    <r>
      <rPr>
        <sz val="10"/>
        <rFont val="Cambria"/>
        <family val="1"/>
        <scheme val="major"/>
      </rPr>
      <t xml:space="preserve"> complete as per drawings and technical specification Clauses 802, 804, 805, 806, 807, 1202 and 1204 MORD and 1500, 1700 &amp; 2200 MORTH</t>
    </r>
  </si>
  <si>
    <r>
      <t>Note : Water for concrete :</t>
    </r>
    <r>
      <rPr>
        <sz val="10"/>
        <rFont val="Cambria"/>
        <family val="1"/>
        <scheme val="major"/>
      </rPr>
      <t xml:space="preserve"> A provision for cost of water may be added at 1.2 kl / 1 cum (including curing  purpose) keeping the site conditions</t>
    </r>
  </si>
  <si>
    <r>
      <t xml:space="preserve">Coarse Aggregate : </t>
    </r>
    <r>
      <rPr>
        <sz val="10"/>
        <rFont val="Cambria"/>
        <family val="1"/>
        <scheme val="major"/>
      </rPr>
      <t>Single grade nominal size can also be used instead of graded metal, keeping the site conditions in view</t>
    </r>
  </si>
  <si>
    <r>
      <t xml:space="preserve">Note : 1. </t>
    </r>
    <r>
      <rPr>
        <sz val="10"/>
        <rFont val="Cambria"/>
        <family val="1"/>
        <scheme val="major"/>
      </rPr>
      <t>Any one area of M.S. Sheet given at (i) to (viii) may be adopted as per site requirement and in accordance with IRC-67.</t>
    </r>
  </si>
  <si>
    <t>Linear Waterway Metre</t>
  </si>
  <si>
    <t>Approaches in metres</t>
  </si>
  <si>
    <t>Bijjaram</t>
  </si>
  <si>
    <t>Mirjapur</t>
  </si>
  <si>
    <t>C/o HLB on R/F Amlikunta to Gundumal of Gundumal Mandal of Narayanept District.</t>
  </si>
  <si>
    <t>Gundumal</t>
  </si>
  <si>
    <t>LS Amount</t>
  </si>
  <si>
    <t>Amlikunta</t>
  </si>
</sst>
</file>

<file path=xl/styles.xml><?xml version="1.0" encoding="utf-8"?>
<styleSheet xmlns="http://schemas.openxmlformats.org/spreadsheetml/2006/main" xmlns:mc="http://schemas.openxmlformats.org/markup-compatibility/2006" xmlns:x14ac="http://schemas.microsoft.com/office/spreadsheetml/2009/9/ac" mc:Ignorable="x14ac">
  <numFmts count="49">
    <numFmt numFmtId="44" formatCode="_(&quot;$&quot;* #,##0.00_);_(&quot;$&quot;* \(#,##0.00\);_(&quot;$&quot;* &quot;-&quot;??_);_(@_)"/>
    <numFmt numFmtId="43" formatCode="_(* #,##0.00_);_(* \(#,##0.00\);_(* &quot;-&quot;??_);_(@_)"/>
    <numFmt numFmtId="164" formatCode="_ * #,##0.00_ ;_ * \-#,##0.00_ ;_ * &quot;-&quot;??_ ;_ @_ "/>
    <numFmt numFmtId="165" formatCode="0.00&quot; Kms&quot;"/>
    <numFmt numFmtId="166" formatCode="0.00\ &quot; Lakhs&quot;"/>
    <numFmt numFmtId="167" formatCode="_([$€-2]* #,##0.00_);_([$€-2]* \(#,##0.00\);_([$€-2]* &quot;-&quot;??_)"/>
    <numFmt numFmtId="168" formatCode="[$-409]d/mmm/yy;@"/>
    <numFmt numFmtId="169" formatCode="0.00000"/>
    <numFmt numFmtId="170" formatCode="0&quot;-Months &quot;"/>
    <numFmt numFmtId="171" formatCode="0.0"/>
    <numFmt numFmtId="172" formatCode="0.00_);[Red]\(0.00\)"/>
    <numFmt numFmtId="173" formatCode="#,##0.000"/>
    <numFmt numFmtId="174" formatCode="##,##0.0_);"/>
    <numFmt numFmtId="175" formatCode="&quot;&gt; Rs.&quot;0.00&quot; Lakhs&quot;"/>
    <numFmt numFmtId="176" formatCode="0.00_)"/>
    <numFmt numFmtId="177" formatCode="#,##0.00;[Red]#,##0.00"/>
    <numFmt numFmtId="178" formatCode="0_ "/>
    <numFmt numFmtId="179" formatCode="_(* #,##0_);_(* \(#,##0\);_(* &quot;-&quot;??_);_(@_)"/>
    <numFmt numFmtId="180" formatCode="&quot;Estt.Cost.Rs.&quot;0.00&quot; Lakhs&quot;"/>
    <numFmt numFmtId="181" formatCode="0.0000"/>
    <numFmt numFmtId="182" formatCode="_-* #,##0_-;\-* #,##0_-;_-* &quot;-&quot;_-;_-@_-"/>
    <numFmt numFmtId="183" formatCode="\ 0.00\ &quot;X&quot;"/>
    <numFmt numFmtId="184" formatCode="0.000"/>
    <numFmt numFmtId="185" formatCode="0.00;[Red]0.00"/>
    <numFmt numFmtId="186" formatCode="##,##0_);"/>
    <numFmt numFmtId="187" formatCode="0.00&quot; Lakhs/Km&quot;"/>
    <numFmt numFmtId="188" formatCode="0.00_);\(0.00\)"/>
    <numFmt numFmtId="189" formatCode="_-* #,##0.00_-;\-* #,##0.00_-;_-* &quot;-&quot;??_-;_-@_-"/>
    <numFmt numFmtId="190" formatCode="mm/dd/yy"/>
    <numFmt numFmtId="191" formatCode="0.00&quot;Lakhs&quot;"/>
    <numFmt numFmtId="192" formatCode="&quot;Rs.&quot;0&quot; Lakhs&quot;"/>
    <numFmt numFmtId="193" formatCode="0.00&quot; Lakhs&quot;"/>
    <numFmt numFmtId="194" formatCode="0.00_ "/>
    <numFmt numFmtId="195" formatCode="\ 0.00\ &quot;Kms&quot;"/>
    <numFmt numFmtId="196" formatCode="&quot;Rs.&quot;0.00&quot; &quot;"/>
    <numFmt numFmtId="197" formatCode="0;[Red]0"/>
    <numFmt numFmtId="198" formatCode="0.000%"/>
    <numFmt numFmtId="199" formatCode="0.000;[Red]0.000"/>
    <numFmt numFmtId="200" formatCode="&quot;Rs.&quot;0.00&quot;  Lakhs.&quot;"/>
    <numFmt numFmtId="201" formatCode="#,##0.0000"/>
    <numFmt numFmtId="202" formatCode="0.000_);\(0.000\)"/>
    <numFmt numFmtId="203" formatCode="0.0;[Red]0.0"/>
    <numFmt numFmtId="204" formatCode="0.00&quot;-Kms&quot;"/>
    <numFmt numFmtId="205" formatCode="##,##0.00_);"/>
    <numFmt numFmtId="206" formatCode="&quot;Rs.&quot;0.00&quot; Lakhs&quot;"/>
    <numFmt numFmtId="207" formatCode="0.000&quot; Kms&quot;"/>
    <numFmt numFmtId="208" formatCode="0&quot;-Kms&quot;"/>
    <numFmt numFmtId="209" formatCode="[$-409]d/mmm/yyyy;@"/>
    <numFmt numFmtId="210" formatCode="0.0%"/>
  </numFmts>
  <fonts count="417">
    <font>
      <sz val="10"/>
      <name val="Arial"/>
      <charset val="13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10"/>
      <name val="Arial"/>
      <family val="2"/>
    </font>
    <font>
      <b/>
      <sz val="10"/>
      <name val="Arial"/>
      <family val="2"/>
    </font>
    <font>
      <b/>
      <sz val="14"/>
      <color rgb="FF0000FF"/>
      <name val="Times New Roman"/>
      <family val="1"/>
    </font>
    <font>
      <b/>
      <sz val="10"/>
      <color rgb="FF0000FF"/>
      <name val="Arial"/>
      <family val="2"/>
    </font>
    <font>
      <b/>
      <sz val="8"/>
      <name val="Arial"/>
      <family val="2"/>
    </font>
    <font>
      <sz val="10"/>
      <color rgb="FF0000FF"/>
      <name val="Arial"/>
      <family val="2"/>
    </font>
    <font>
      <b/>
      <sz val="12"/>
      <color rgb="FFFF0000"/>
      <name val="Arial"/>
      <family val="2"/>
    </font>
    <font>
      <sz val="9"/>
      <name val="Arial"/>
      <family val="2"/>
    </font>
    <font>
      <sz val="11"/>
      <color rgb="FFFF0000"/>
      <name val="Arial"/>
      <family val="2"/>
    </font>
    <font>
      <sz val="10"/>
      <color rgb="FFFF0000"/>
      <name val="Arial"/>
      <family val="2"/>
    </font>
    <font>
      <b/>
      <sz val="12"/>
      <color indexed="12"/>
      <name val="Arial"/>
      <family val="2"/>
    </font>
    <font>
      <sz val="10"/>
      <color indexed="12"/>
      <name val="Arial"/>
      <family val="2"/>
    </font>
    <font>
      <b/>
      <sz val="9"/>
      <name val="Arial"/>
      <family val="2"/>
    </font>
    <font>
      <sz val="8"/>
      <name val="Arial"/>
      <family val="2"/>
    </font>
    <font>
      <sz val="10"/>
      <color indexed="9"/>
      <name val="Arial"/>
      <family val="2"/>
    </font>
    <font>
      <sz val="10"/>
      <color indexed="10"/>
      <name val="Arial"/>
      <family val="2"/>
    </font>
    <font>
      <sz val="10"/>
      <color indexed="14"/>
      <name val="Arial"/>
      <family val="2"/>
    </font>
    <font>
      <sz val="10"/>
      <color rgb="FFFF0066"/>
      <name val="Arial"/>
      <family val="2"/>
    </font>
    <font>
      <b/>
      <sz val="10"/>
      <color rgb="FFFF00FF"/>
      <name val="Arial"/>
      <family val="2"/>
    </font>
    <font>
      <sz val="12"/>
      <name val="Arial Narrow"/>
      <family val="2"/>
    </font>
    <font>
      <sz val="12"/>
      <name val="Arial"/>
      <family val="2"/>
    </font>
    <font>
      <b/>
      <sz val="18"/>
      <name val="Arial"/>
      <family val="2"/>
    </font>
    <font>
      <sz val="12"/>
      <color rgb="FFFF0000"/>
      <name val="Arial"/>
      <family val="2"/>
    </font>
    <font>
      <sz val="12"/>
      <color rgb="FF00B050"/>
      <name val="Arial"/>
      <family val="2"/>
    </font>
    <font>
      <sz val="12"/>
      <color indexed="36"/>
      <name val="Arial"/>
      <family val="2"/>
    </font>
    <font>
      <b/>
      <sz val="14"/>
      <name val="Arial"/>
      <family val="2"/>
    </font>
    <font>
      <b/>
      <sz val="10"/>
      <color rgb="FFFF0000"/>
      <name val="Arial"/>
      <family val="2"/>
    </font>
    <font>
      <sz val="10"/>
      <color rgb="FF00B050"/>
      <name val="Arial"/>
      <family val="2"/>
    </font>
    <font>
      <b/>
      <sz val="12"/>
      <color indexed="8"/>
      <name val="Arial"/>
      <family val="2"/>
    </font>
    <font>
      <sz val="16"/>
      <color rgb="FFFF0000"/>
      <name val="Arial"/>
      <family val="2"/>
    </font>
    <font>
      <sz val="16"/>
      <name val="Arial"/>
      <family val="2"/>
    </font>
    <font>
      <sz val="11"/>
      <name val="Arial"/>
      <family val="2"/>
    </font>
    <font>
      <sz val="12"/>
      <name val="Tahoma"/>
      <family val="2"/>
    </font>
    <font>
      <b/>
      <sz val="10"/>
      <color indexed="10"/>
      <name val="Arial"/>
      <family val="2"/>
    </font>
    <font>
      <sz val="12"/>
      <color indexed="8"/>
      <name val="Arial"/>
      <family val="2"/>
    </font>
    <font>
      <sz val="10"/>
      <name val="Verdana"/>
      <family val="2"/>
    </font>
    <font>
      <sz val="10"/>
      <color rgb="FFFF0000"/>
      <name val="Verdana"/>
      <family val="2"/>
    </font>
    <font>
      <b/>
      <sz val="10"/>
      <name val="Verdana"/>
      <family val="2"/>
    </font>
    <font>
      <sz val="10"/>
      <name val="Century Gothic"/>
      <family val="2"/>
    </font>
    <font>
      <b/>
      <sz val="16"/>
      <name val="Verdana"/>
      <family val="2"/>
    </font>
    <font>
      <b/>
      <u/>
      <sz val="10"/>
      <name val="Verdana"/>
      <family val="2"/>
    </font>
    <font>
      <b/>
      <sz val="9"/>
      <name val="Verdana"/>
      <family val="2"/>
    </font>
    <font>
      <sz val="8"/>
      <name val="Verdana"/>
      <family val="2"/>
    </font>
    <font>
      <sz val="20"/>
      <name val="Verdana"/>
      <family val="2"/>
    </font>
    <font>
      <b/>
      <u/>
      <sz val="11"/>
      <name val="Verdana"/>
      <family val="2"/>
    </font>
    <font>
      <sz val="11"/>
      <color theme="1"/>
      <name val="Verdana"/>
      <family val="2"/>
    </font>
    <font>
      <sz val="10"/>
      <color rgb="FF0000FF"/>
      <name val="Verdana"/>
      <family val="2"/>
    </font>
    <font>
      <b/>
      <sz val="10"/>
      <color rgb="FF0000FF"/>
      <name val="Verdana"/>
      <family val="2"/>
    </font>
    <font>
      <sz val="8"/>
      <color rgb="FFFF0000"/>
      <name val="Verdana"/>
      <family val="2"/>
    </font>
    <font>
      <sz val="8"/>
      <color rgb="FF0000FF"/>
      <name val="Verdana"/>
      <family val="2"/>
    </font>
    <font>
      <sz val="10"/>
      <color theme="0"/>
      <name val="Verdana"/>
      <family val="2"/>
    </font>
    <font>
      <b/>
      <sz val="12"/>
      <name val="Verdana"/>
      <family val="2"/>
    </font>
    <font>
      <sz val="9"/>
      <name val="Verdana"/>
      <family val="2"/>
    </font>
    <font>
      <b/>
      <sz val="10"/>
      <color rgb="FFFF0000"/>
      <name val="Century Gothic"/>
      <family val="2"/>
    </font>
    <font>
      <sz val="9"/>
      <color rgb="FFFF0000"/>
      <name val="Verdana"/>
      <family val="2"/>
    </font>
    <font>
      <b/>
      <sz val="10"/>
      <color rgb="FFFF00FF"/>
      <name val="Verdana"/>
      <family val="2"/>
    </font>
    <font>
      <b/>
      <sz val="11"/>
      <color rgb="FF0000FF"/>
      <name val="Verdana"/>
      <family val="2"/>
    </font>
    <font>
      <b/>
      <sz val="10"/>
      <color rgb="FFFF0000"/>
      <name val="Verdana"/>
      <family val="2"/>
    </font>
    <font>
      <b/>
      <sz val="8"/>
      <color rgb="FF0000FF"/>
      <name val="Verdana"/>
      <family val="2"/>
    </font>
    <font>
      <b/>
      <sz val="7"/>
      <name val="Verdana"/>
      <family val="2"/>
    </font>
    <font>
      <b/>
      <sz val="9"/>
      <color rgb="FF0000FF"/>
      <name val="Verdana"/>
      <family val="2"/>
    </font>
    <font>
      <b/>
      <sz val="10"/>
      <color rgb="FF66FFFF"/>
      <name val="Verdana"/>
      <family val="2"/>
    </font>
    <font>
      <b/>
      <sz val="11"/>
      <name val="Verdana"/>
      <family val="2"/>
    </font>
    <font>
      <b/>
      <sz val="12"/>
      <color rgb="FF0000FF"/>
      <name val="Verdana"/>
      <family val="2"/>
    </font>
    <font>
      <b/>
      <sz val="11"/>
      <color indexed="10"/>
      <name val="Verdana"/>
      <family val="2"/>
    </font>
    <font>
      <b/>
      <sz val="11"/>
      <color theme="1"/>
      <name val="Verdana"/>
      <family val="2"/>
    </font>
    <font>
      <b/>
      <sz val="11"/>
      <color rgb="FF66FFFF"/>
      <name val="Verdana"/>
      <family val="2"/>
    </font>
    <font>
      <sz val="7"/>
      <name val="Verdana"/>
      <family val="2"/>
    </font>
    <font>
      <sz val="7"/>
      <color rgb="FFFF0000"/>
      <name val="Verdana"/>
      <family val="2"/>
    </font>
    <font>
      <b/>
      <sz val="10"/>
      <color theme="1"/>
      <name val="Verdana"/>
      <family val="2"/>
    </font>
    <font>
      <b/>
      <sz val="10"/>
      <color rgb="FFC00000"/>
      <name val="Verdana"/>
      <family val="2"/>
    </font>
    <font>
      <b/>
      <u/>
      <sz val="14"/>
      <name val="Verdana"/>
      <family val="2"/>
    </font>
    <font>
      <sz val="11"/>
      <name val="Verdana"/>
      <family val="2"/>
    </font>
    <font>
      <b/>
      <sz val="8"/>
      <color theme="1"/>
      <name val="Verdana"/>
      <family val="2"/>
    </font>
    <font>
      <sz val="10"/>
      <color theme="1"/>
      <name val="Verdana"/>
      <family val="2"/>
    </font>
    <font>
      <sz val="8"/>
      <color theme="1"/>
      <name val="Verdana"/>
      <family val="2"/>
    </font>
    <font>
      <sz val="7"/>
      <name val="Tahoma"/>
      <family val="2"/>
    </font>
    <font>
      <sz val="11"/>
      <name val="Tahoma"/>
      <family val="2"/>
    </font>
    <font>
      <sz val="11"/>
      <name val="Maiandra GD"/>
      <family val="2"/>
    </font>
    <font>
      <sz val="11"/>
      <color rgb="FFFF0000"/>
      <name val="Tahoma"/>
      <family val="2"/>
    </font>
    <font>
      <sz val="11"/>
      <color theme="0"/>
      <name val="Verdana"/>
      <family val="2"/>
    </font>
    <font>
      <b/>
      <sz val="11"/>
      <color rgb="FFFF0000"/>
      <name val="Verdana"/>
      <family val="2"/>
    </font>
    <font>
      <b/>
      <sz val="12"/>
      <name val="Tahoma"/>
      <family val="2"/>
    </font>
    <font>
      <b/>
      <u/>
      <sz val="12"/>
      <name val="Tahoma"/>
      <family val="2"/>
    </font>
    <font>
      <sz val="12"/>
      <name val="Calibri"/>
      <family val="2"/>
      <scheme val="minor"/>
    </font>
    <font>
      <b/>
      <sz val="12"/>
      <name val="Calibri"/>
      <family val="2"/>
      <scheme val="minor"/>
    </font>
    <font>
      <b/>
      <u/>
      <sz val="12"/>
      <name val="Calibri"/>
      <family val="2"/>
      <scheme val="minor"/>
    </font>
    <font>
      <sz val="11"/>
      <name val="Calibri"/>
      <family val="2"/>
    </font>
    <font>
      <b/>
      <sz val="11"/>
      <name val="Calibri"/>
      <family val="2"/>
    </font>
    <font>
      <sz val="11"/>
      <name val="Calibri"/>
      <family val="2"/>
      <scheme val="minor"/>
    </font>
    <font>
      <sz val="11"/>
      <name val="Calibri"/>
      <family val="2"/>
      <scheme val="minor"/>
    </font>
    <font>
      <b/>
      <sz val="11"/>
      <name val="Calibri"/>
      <family val="2"/>
      <scheme val="minor"/>
    </font>
    <font>
      <b/>
      <u/>
      <sz val="11"/>
      <name val="Calibri"/>
      <family val="2"/>
      <scheme val="minor"/>
    </font>
    <font>
      <b/>
      <sz val="11"/>
      <name val="Calibri"/>
      <family val="2"/>
      <scheme val="minor"/>
    </font>
    <font>
      <sz val="11"/>
      <name val="Calibri"/>
      <family val="2"/>
      <scheme val="minor"/>
    </font>
    <font>
      <b/>
      <i/>
      <sz val="11"/>
      <name val="Calibri"/>
      <family val="2"/>
      <scheme val="minor"/>
    </font>
    <font>
      <sz val="12"/>
      <color rgb="FFFF0000"/>
      <name val="Calibri"/>
      <family val="2"/>
      <scheme val="minor"/>
    </font>
    <font>
      <sz val="10"/>
      <name val="Times New Roman"/>
      <family val="1"/>
    </font>
    <font>
      <sz val="10"/>
      <color indexed="10"/>
      <name val="Times New Roman"/>
      <family val="1"/>
    </font>
    <font>
      <b/>
      <sz val="10"/>
      <name val="Times New Roman"/>
      <family val="1"/>
    </font>
    <font>
      <b/>
      <sz val="12"/>
      <name val="Times New Roman"/>
      <family val="1"/>
    </font>
    <font>
      <b/>
      <sz val="11"/>
      <name val="Times New Roman"/>
      <family val="1"/>
    </font>
    <font>
      <b/>
      <sz val="10"/>
      <color indexed="10"/>
      <name val="Times New Roman"/>
      <family val="1"/>
    </font>
    <font>
      <b/>
      <sz val="11"/>
      <name val="Tahoma"/>
      <family val="2"/>
    </font>
    <font>
      <b/>
      <sz val="11"/>
      <name val="Arial"/>
      <family val="2"/>
    </font>
    <font>
      <b/>
      <u/>
      <sz val="11"/>
      <name val="Tahoma"/>
      <family val="2"/>
    </font>
    <font>
      <b/>
      <sz val="10"/>
      <name val="Tahoma"/>
      <family val="2"/>
    </font>
    <font>
      <u/>
      <sz val="10"/>
      <name val="Arial"/>
      <family val="2"/>
    </font>
    <font>
      <b/>
      <u/>
      <sz val="11"/>
      <name val="Calibri"/>
      <family val="2"/>
      <scheme val="minor"/>
    </font>
    <font>
      <sz val="11"/>
      <color rgb="FFFF0000"/>
      <name val="Calibri"/>
      <family val="2"/>
      <scheme val="minor"/>
    </font>
    <font>
      <b/>
      <sz val="11"/>
      <color rgb="FFFF0000"/>
      <name val="Calibri"/>
      <family val="2"/>
      <scheme val="minor"/>
    </font>
    <font>
      <sz val="10"/>
      <name val="Calibri"/>
      <family val="2"/>
      <scheme val="minor"/>
    </font>
    <font>
      <sz val="11"/>
      <color indexed="10"/>
      <name val="Calibri"/>
      <family val="2"/>
      <scheme val="minor"/>
    </font>
    <font>
      <b/>
      <sz val="11"/>
      <color rgb="FFFF0000"/>
      <name val="Calibri"/>
      <family val="2"/>
      <scheme val="minor"/>
    </font>
    <font>
      <b/>
      <sz val="11"/>
      <color indexed="10"/>
      <name val="Calibri"/>
      <family val="2"/>
      <scheme val="minor"/>
    </font>
    <font>
      <sz val="10"/>
      <name val="Calibri"/>
      <family val="2"/>
      <scheme val="minor"/>
    </font>
    <font>
      <b/>
      <sz val="11"/>
      <name val="Calibri"/>
      <family val="2"/>
      <scheme val="minor"/>
    </font>
    <font>
      <u/>
      <sz val="11"/>
      <name val="Calibri"/>
      <family val="2"/>
      <scheme val="minor"/>
    </font>
    <font>
      <sz val="9"/>
      <name val="Calibri"/>
      <family val="2"/>
      <scheme val="minor"/>
    </font>
    <font>
      <b/>
      <sz val="10"/>
      <name val="Calibri"/>
      <family val="2"/>
      <scheme val="minor"/>
    </font>
    <font>
      <b/>
      <u/>
      <sz val="11"/>
      <name val="Calibri"/>
      <family val="2"/>
      <scheme val="minor"/>
    </font>
    <font>
      <u/>
      <sz val="11"/>
      <name val="Calibri"/>
      <family val="2"/>
      <scheme val="minor"/>
    </font>
    <font>
      <sz val="6"/>
      <name val="Times New Roman"/>
      <family val="1"/>
    </font>
    <font>
      <b/>
      <i/>
      <sz val="10"/>
      <name val="Times New Roman"/>
      <family val="1"/>
    </font>
    <font>
      <b/>
      <sz val="10"/>
      <color theme="0"/>
      <name val="Times New Roman"/>
      <family val="1"/>
    </font>
    <font>
      <sz val="10"/>
      <color theme="0"/>
      <name val="Times New Roman"/>
      <family val="1"/>
    </font>
    <font>
      <sz val="10"/>
      <color theme="1"/>
      <name val="Times New Roman"/>
      <family val="1"/>
    </font>
    <font>
      <sz val="10"/>
      <color rgb="FFC00000"/>
      <name val="Verdana"/>
      <family val="2"/>
    </font>
    <font>
      <b/>
      <u/>
      <sz val="10"/>
      <color rgb="FFC00000"/>
      <name val="Verdana"/>
      <family val="2"/>
    </font>
    <font>
      <b/>
      <i/>
      <sz val="10"/>
      <name val="Verdana"/>
      <family val="2"/>
    </font>
    <font>
      <sz val="11"/>
      <color rgb="FFFF0000"/>
      <name val="Calibri"/>
      <family val="2"/>
      <scheme val="minor"/>
    </font>
    <font>
      <b/>
      <sz val="10"/>
      <color rgb="FFFF0000"/>
      <name val="Calibri"/>
      <family val="2"/>
      <scheme val="minor"/>
    </font>
    <font>
      <sz val="10"/>
      <name val="Calibri"/>
      <family val="2"/>
      <scheme val="minor"/>
    </font>
    <font>
      <b/>
      <sz val="11"/>
      <color indexed="12"/>
      <name val="Calibri"/>
      <family val="2"/>
      <scheme val="minor"/>
    </font>
    <font>
      <b/>
      <sz val="11"/>
      <color rgb="FFFF0000"/>
      <name val="Calibri"/>
      <family val="2"/>
      <scheme val="minor"/>
    </font>
    <font>
      <sz val="11"/>
      <color indexed="10"/>
      <name val="Calibri"/>
      <family val="2"/>
    </font>
    <font>
      <b/>
      <sz val="14"/>
      <color indexed="8"/>
      <name val="Calibri"/>
      <family val="2"/>
    </font>
    <font>
      <b/>
      <sz val="11"/>
      <color indexed="8"/>
      <name val="Calibri"/>
      <family val="2"/>
    </font>
    <font>
      <b/>
      <sz val="11"/>
      <color rgb="FF0000FF"/>
      <name val="Calibri"/>
      <family val="2"/>
    </font>
    <font>
      <b/>
      <sz val="7"/>
      <color indexed="8"/>
      <name val="Calibri"/>
      <family val="2"/>
    </font>
    <font>
      <b/>
      <sz val="10"/>
      <color rgb="FF0000FF"/>
      <name val="Times New Roman"/>
      <family val="1"/>
    </font>
    <font>
      <b/>
      <sz val="8"/>
      <name val="Times New Roman"/>
      <family val="1"/>
    </font>
    <font>
      <b/>
      <sz val="10"/>
      <color rgb="FFFF0000"/>
      <name val="Times New Roman"/>
      <family val="1"/>
    </font>
    <font>
      <sz val="8"/>
      <name val="Times New Roman"/>
      <family val="1"/>
    </font>
    <font>
      <b/>
      <sz val="10"/>
      <color indexed="8"/>
      <name val="Calibri"/>
      <family val="2"/>
    </font>
    <font>
      <i/>
      <sz val="10"/>
      <name val="Arial"/>
      <family val="2"/>
    </font>
    <font>
      <u/>
      <sz val="11"/>
      <color indexed="8"/>
      <name val="Calibri"/>
      <family val="2"/>
    </font>
    <font>
      <b/>
      <u/>
      <sz val="10"/>
      <color indexed="8"/>
      <name val="Calibri"/>
      <family val="2"/>
    </font>
    <font>
      <b/>
      <u/>
      <sz val="11"/>
      <color indexed="8"/>
      <name val="Calibri"/>
      <family val="2"/>
    </font>
    <font>
      <b/>
      <u/>
      <sz val="11"/>
      <color rgb="FF0000FF"/>
      <name val="Calibri"/>
      <family val="2"/>
    </font>
    <font>
      <b/>
      <sz val="12"/>
      <color indexed="8"/>
      <name val="Calibri"/>
      <family val="2"/>
    </font>
    <font>
      <b/>
      <sz val="11"/>
      <color rgb="FFFF0000"/>
      <name val="Calibri"/>
      <family val="2"/>
    </font>
    <font>
      <b/>
      <sz val="10"/>
      <color rgb="FF000099"/>
      <name val="Times New Roman"/>
      <family val="1"/>
    </font>
    <font>
      <b/>
      <sz val="7"/>
      <name val="Times New Roman"/>
      <family val="1"/>
    </font>
    <font>
      <b/>
      <sz val="11"/>
      <name val="Calibri"/>
      <family val="2"/>
    </font>
    <font>
      <sz val="11"/>
      <color indexed="12"/>
      <name val="Calibri"/>
      <family val="2"/>
    </font>
    <font>
      <sz val="7"/>
      <name val="Times New Roman"/>
      <family val="1"/>
    </font>
    <font>
      <sz val="12"/>
      <color indexed="8"/>
      <name val="Calibri"/>
      <family val="2"/>
    </font>
    <font>
      <sz val="14"/>
      <color indexed="8"/>
      <name val="Calibri"/>
      <family val="2"/>
    </font>
    <font>
      <b/>
      <sz val="11"/>
      <color indexed="10"/>
      <name val="Calibri"/>
      <family val="2"/>
    </font>
    <font>
      <sz val="14"/>
      <name val="Times New Roman"/>
      <family val="1"/>
    </font>
    <font>
      <b/>
      <sz val="10"/>
      <color indexed="12"/>
      <name val="Arial"/>
      <family val="2"/>
    </font>
    <font>
      <b/>
      <sz val="8"/>
      <color indexed="12"/>
      <name val="Arial"/>
      <family val="2"/>
    </font>
    <font>
      <b/>
      <sz val="12"/>
      <color theme="0"/>
      <name val="Arial"/>
      <family val="2"/>
    </font>
    <font>
      <sz val="11"/>
      <color rgb="FFFF0000"/>
      <name val="Calibri"/>
      <family val="2"/>
    </font>
    <font>
      <b/>
      <sz val="11"/>
      <color rgb="FFFF0000"/>
      <name val="Calibri"/>
      <family val="2"/>
    </font>
    <font>
      <sz val="11"/>
      <color rgb="FF0000FF"/>
      <name val="Calibri"/>
      <family val="2"/>
    </font>
    <font>
      <sz val="10"/>
      <name val="CityBlueprint"/>
      <charset val="2"/>
    </font>
    <font>
      <b/>
      <sz val="24"/>
      <name val="Bernard MT Condensed"/>
      <family val="1"/>
    </font>
    <font>
      <b/>
      <sz val="20"/>
      <name val="Arial"/>
      <family val="2"/>
    </font>
    <font>
      <b/>
      <sz val="28"/>
      <color indexed="17"/>
      <name val="Swis721 BlkOul BT"/>
      <family val="5"/>
    </font>
    <font>
      <b/>
      <sz val="28"/>
      <color indexed="17"/>
      <name val="Arial"/>
      <family val="2"/>
    </font>
    <font>
      <sz val="20"/>
      <color indexed="18"/>
      <name val="Arial"/>
      <family val="2"/>
    </font>
    <font>
      <b/>
      <sz val="20"/>
      <color indexed="18"/>
      <name val="Arial"/>
      <family val="2"/>
    </font>
    <font>
      <sz val="18"/>
      <color indexed="18"/>
      <name val="Tahoma"/>
      <family val="2"/>
    </font>
    <font>
      <sz val="18"/>
      <color indexed="18"/>
      <name val="Arial"/>
      <family val="2"/>
    </font>
    <font>
      <b/>
      <sz val="16"/>
      <name val="Arial"/>
      <family val="2"/>
    </font>
    <font>
      <sz val="22"/>
      <color indexed="58"/>
      <name val="Arial"/>
      <family val="2"/>
    </font>
    <font>
      <sz val="14"/>
      <color indexed="18"/>
      <name val="Arial"/>
      <family val="2"/>
    </font>
    <font>
      <b/>
      <sz val="18"/>
      <name val="Engravers MT"/>
      <family val="1"/>
    </font>
    <font>
      <b/>
      <sz val="24"/>
      <name val="Arial"/>
      <family val="2"/>
    </font>
    <font>
      <sz val="14"/>
      <name val="Arial"/>
      <family val="2"/>
    </font>
    <font>
      <sz val="10"/>
      <name val="Elephant"/>
      <family val="1"/>
    </font>
    <font>
      <sz val="16"/>
      <name val="Times"/>
      <charset val="134"/>
    </font>
    <font>
      <sz val="20"/>
      <color indexed="18"/>
      <name val="Bernard MT Condensed"/>
      <family val="1"/>
    </font>
    <font>
      <b/>
      <sz val="20"/>
      <color indexed="18"/>
      <name val="Bernard MT Condensed"/>
      <family val="1"/>
    </font>
    <font>
      <b/>
      <sz val="16"/>
      <name val="Modern"/>
      <family val="3"/>
      <charset val="255"/>
    </font>
    <font>
      <b/>
      <sz val="12"/>
      <name val="Garamond"/>
      <family val="1"/>
    </font>
    <font>
      <sz val="22"/>
      <color indexed="58"/>
      <name val="Vineta BT"/>
      <family val="5"/>
    </font>
    <font>
      <u/>
      <sz val="8.8000000000000007"/>
      <color theme="10"/>
      <name val="Calibri"/>
      <family val="2"/>
    </font>
    <font>
      <b/>
      <sz val="18"/>
      <color indexed="8"/>
      <name val="Calibri"/>
      <family val="2"/>
    </font>
    <font>
      <sz val="16"/>
      <color indexed="8"/>
      <name val="Calibri"/>
      <family val="2"/>
    </font>
    <font>
      <sz val="10"/>
      <color indexed="8"/>
      <name val="Calibri"/>
      <family val="2"/>
    </font>
    <font>
      <b/>
      <sz val="16"/>
      <color indexed="8"/>
      <name val="Calibri"/>
      <family val="2"/>
    </font>
    <font>
      <sz val="9"/>
      <color indexed="8"/>
      <name val="Calibri"/>
      <family val="2"/>
    </font>
    <font>
      <sz val="9"/>
      <color indexed="10"/>
      <name val="Arial"/>
      <family val="2"/>
    </font>
    <font>
      <b/>
      <u/>
      <sz val="12"/>
      <name val="Arial"/>
      <family val="2"/>
    </font>
    <font>
      <b/>
      <sz val="7"/>
      <name val="Arial"/>
      <family val="2"/>
    </font>
    <font>
      <b/>
      <sz val="13.5"/>
      <name val="Arial"/>
      <family val="2"/>
    </font>
    <font>
      <b/>
      <u/>
      <sz val="10"/>
      <name val="Arial"/>
      <family val="2"/>
    </font>
    <font>
      <sz val="10"/>
      <color indexed="17"/>
      <name val="Arial"/>
      <family val="2"/>
    </font>
    <font>
      <b/>
      <u/>
      <sz val="10"/>
      <color indexed="10"/>
      <name val="Arial"/>
      <family val="2"/>
    </font>
    <font>
      <b/>
      <sz val="20"/>
      <name val="Times New Roman"/>
      <family val="1"/>
    </font>
    <font>
      <sz val="11"/>
      <name val="Times New Roman"/>
      <family val="1"/>
    </font>
    <font>
      <sz val="9"/>
      <name val="Times New Roman"/>
      <family val="1"/>
    </font>
    <font>
      <b/>
      <sz val="9"/>
      <name val="Times New Roman"/>
      <family val="1"/>
    </font>
    <font>
      <sz val="11"/>
      <color theme="1"/>
      <name val="Times New Roman"/>
      <family val="1"/>
    </font>
    <font>
      <sz val="14"/>
      <color theme="1"/>
      <name val="Times New Roman"/>
      <family val="1"/>
    </font>
    <font>
      <sz val="12"/>
      <color theme="1"/>
      <name val="Times New Roman"/>
      <family val="1"/>
    </font>
    <font>
      <b/>
      <sz val="11"/>
      <color theme="1"/>
      <name val="Times New Roman"/>
      <family val="1"/>
    </font>
    <font>
      <sz val="11"/>
      <name val="Calibri"/>
      <family val="2"/>
    </font>
    <font>
      <sz val="11"/>
      <color rgb="FFFF0000"/>
      <name val="Calibri"/>
      <family val="2"/>
    </font>
    <font>
      <sz val="11"/>
      <color theme="1"/>
      <name val="Calibri"/>
      <family val="2"/>
    </font>
    <font>
      <b/>
      <u/>
      <sz val="11"/>
      <name val="Calibri"/>
      <family val="2"/>
    </font>
    <font>
      <b/>
      <sz val="9"/>
      <name val="Century Gothic"/>
      <family val="2"/>
    </font>
    <font>
      <sz val="10"/>
      <name val="Calibri"/>
      <family val="2"/>
    </font>
    <font>
      <sz val="9"/>
      <name val="Century Gothic"/>
      <family val="2"/>
    </font>
    <font>
      <b/>
      <sz val="9"/>
      <color rgb="FFFF0000"/>
      <name val="Century Gothic"/>
      <family val="2"/>
    </font>
    <font>
      <sz val="12"/>
      <name val="Times New Roman"/>
      <family val="1"/>
    </font>
    <font>
      <b/>
      <sz val="11"/>
      <color theme="1"/>
      <name val="Calibri"/>
      <family val="2"/>
    </font>
    <font>
      <sz val="11"/>
      <color rgb="FF0000FF"/>
      <name val="Calibri"/>
      <family val="2"/>
    </font>
    <font>
      <b/>
      <sz val="11"/>
      <color rgb="FF0000FF"/>
      <name val="Calibri"/>
      <family val="2"/>
      <scheme val="minor"/>
    </font>
    <font>
      <b/>
      <sz val="11"/>
      <color rgb="FFFF00FF"/>
      <name val="Calibri"/>
      <family val="2"/>
    </font>
    <font>
      <b/>
      <sz val="11"/>
      <color theme="8" tint="0.59999389629810485"/>
      <name val="Calibri"/>
      <family val="2"/>
    </font>
    <font>
      <u/>
      <sz val="11"/>
      <name val="Calibri"/>
      <family val="2"/>
    </font>
    <font>
      <sz val="11"/>
      <color theme="0"/>
      <name val="Calibri"/>
      <family val="2"/>
    </font>
    <font>
      <sz val="10"/>
      <color theme="1"/>
      <name val="Century Gothic"/>
      <family val="2"/>
    </font>
    <font>
      <b/>
      <sz val="11"/>
      <color theme="1"/>
      <name val="Calibri"/>
      <family val="2"/>
      <scheme val="minor"/>
    </font>
    <font>
      <sz val="11"/>
      <name val="Calibri"/>
      <family val="2"/>
    </font>
    <font>
      <b/>
      <sz val="11"/>
      <color rgb="FFFF0066"/>
      <name val="Calibri"/>
      <family val="2"/>
    </font>
    <font>
      <sz val="12"/>
      <color theme="1"/>
      <name val="Calibri"/>
      <family val="2"/>
      <scheme val="minor"/>
    </font>
    <font>
      <sz val="11"/>
      <color theme="1"/>
      <name val="Century Gothic"/>
      <family val="2"/>
    </font>
    <font>
      <b/>
      <sz val="11"/>
      <color theme="0"/>
      <name val="Calibri"/>
      <family val="2"/>
    </font>
    <font>
      <b/>
      <sz val="12"/>
      <color rgb="FFFF0000"/>
      <name val="Calibri"/>
      <family val="2"/>
      <scheme val="minor"/>
    </font>
    <font>
      <sz val="12"/>
      <color indexed="18"/>
      <name val="Calibri"/>
      <family val="2"/>
      <scheme val="minor"/>
    </font>
    <font>
      <b/>
      <sz val="12"/>
      <color indexed="10"/>
      <name val="Calibri"/>
      <family val="2"/>
      <scheme val="minor"/>
    </font>
    <font>
      <b/>
      <sz val="12"/>
      <color rgb="FFFF0066"/>
      <name val="Calibri"/>
      <family val="2"/>
      <scheme val="minor"/>
    </font>
    <font>
      <b/>
      <sz val="12"/>
      <color rgb="FFFF00FF"/>
      <name val="Calibri"/>
      <family val="2"/>
      <scheme val="minor"/>
    </font>
    <font>
      <sz val="12"/>
      <color rgb="FF0000FF"/>
      <name val="Calibri"/>
      <family val="2"/>
      <scheme val="minor"/>
    </font>
    <font>
      <sz val="12"/>
      <color rgb="FFFF0066"/>
      <name val="Calibri"/>
      <family val="2"/>
      <scheme val="minor"/>
    </font>
    <font>
      <sz val="12"/>
      <color indexed="10"/>
      <name val="Calibri"/>
      <family val="2"/>
      <scheme val="minor"/>
    </font>
    <font>
      <b/>
      <sz val="12"/>
      <color rgb="FF0000FF"/>
      <name val="Calibri"/>
      <family val="2"/>
      <scheme val="minor"/>
    </font>
    <font>
      <b/>
      <sz val="14"/>
      <color rgb="FFFF0000"/>
      <name val="Times New Roman"/>
      <family val="1"/>
    </font>
    <font>
      <b/>
      <sz val="12"/>
      <color rgb="FF0000FF"/>
      <name val="Arial"/>
      <family val="2"/>
    </font>
    <font>
      <sz val="12"/>
      <color rgb="FFFF0000"/>
      <name val="Tahoma"/>
      <family val="2"/>
    </font>
    <font>
      <b/>
      <u/>
      <sz val="12"/>
      <color rgb="FFFF0000"/>
      <name val="Tahoma"/>
      <family val="2"/>
    </font>
    <font>
      <sz val="12"/>
      <color indexed="10"/>
      <name val="Tahoma"/>
      <family val="2"/>
    </font>
    <font>
      <sz val="12"/>
      <color indexed="12"/>
      <name val="Tahoma"/>
      <family val="2"/>
    </font>
    <font>
      <b/>
      <sz val="12"/>
      <color rgb="FFFF0000"/>
      <name val="Tahoma"/>
      <family val="2"/>
    </font>
    <font>
      <sz val="11"/>
      <color indexed="9"/>
      <name val="Calibri"/>
      <family val="2"/>
    </font>
    <font>
      <sz val="11"/>
      <color indexed="8"/>
      <name val="Calibri"/>
      <family val="2"/>
    </font>
    <font>
      <sz val="11"/>
      <color indexed="20"/>
      <name val="Calibri"/>
      <family val="2"/>
    </font>
    <font>
      <u/>
      <sz val="10"/>
      <color indexed="12"/>
      <name val="MS Sans Serif"/>
      <family val="2"/>
    </font>
    <font>
      <sz val="10"/>
      <name val="MS Serif"/>
      <family val="1"/>
    </font>
    <font>
      <sz val="10"/>
      <name val="Times New Roman"/>
      <family val="1"/>
    </font>
    <font>
      <b/>
      <sz val="11"/>
      <color indexed="56"/>
      <name val="Calibri"/>
      <family val="2"/>
    </font>
    <font>
      <b/>
      <sz val="12"/>
      <name val="MS Sans Serif"/>
      <family val="2"/>
    </font>
    <font>
      <sz val="10"/>
      <color indexed="8"/>
      <name val="Arial"/>
      <family val="2"/>
    </font>
    <font>
      <b/>
      <sz val="11"/>
      <color indexed="52"/>
      <name val="Calibri"/>
      <family val="2"/>
    </font>
    <font>
      <b/>
      <sz val="11"/>
      <color indexed="9"/>
      <name val="Calibri"/>
      <family val="2"/>
    </font>
    <font>
      <sz val="11"/>
      <color indexed="60"/>
      <name val="Calibri"/>
      <family val="2"/>
    </font>
    <font>
      <i/>
      <sz val="11"/>
      <color indexed="23"/>
      <name val="Calibri"/>
      <family val="2"/>
    </font>
    <font>
      <b/>
      <sz val="12"/>
      <name val="Courier New"/>
      <family val="3"/>
    </font>
    <font>
      <sz val="7"/>
      <name val="Small Fonts"/>
      <family val="2"/>
    </font>
    <font>
      <b/>
      <sz val="13"/>
      <color indexed="56"/>
      <name val="Calibri"/>
      <family val="2"/>
    </font>
    <font>
      <sz val="12"/>
      <name val="MS Sans Serif"/>
      <family val="2"/>
    </font>
    <font>
      <u/>
      <sz val="12"/>
      <name val="Verdana"/>
      <family val="2"/>
    </font>
    <font>
      <b/>
      <sz val="15"/>
      <color indexed="56"/>
      <name val="Calibri"/>
      <family val="2"/>
    </font>
    <font>
      <sz val="11"/>
      <color indexed="62"/>
      <name val="Calibri"/>
      <family val="2"/>
    </font>
    <font>
      <sz val="10"/>
      <color indexed="16"/>
      <name val="MS Serif"/>
      <family val="1"/>
    </font>
    <font>
      <sz val="11"/>
      <color indexed="17"/>
      <name val="Calibri"/>
      <family val="2"/>
    </font>
    <font>
      <sz val="11"/>
      <color indexed="52"/>
      <name val="Calibri"/>
      <family val="2"/>
    </font>
    <font>
      <b/>
      <sz val="18"/>
      <color indexed="56"/>
      <name val="Cambria"/>
      <family val="1"/>
    </font>
    <font>
      <sz val="10"/>
      <name val="Arial"/>
      <family val="2"/>
    </font>
    <font>
      <u/>
      <sz val="11"/>
      <color indexed="12"/>
      <name val="Calibri"/>
      <family val="2"/>
    </font>
    <font>
      <sz val="10"/>
      <name val="Book Antiqua"/>
      <family val="1"/>
    </font>
    <font>
      <b/>
      <sz val="18"/>
      <color indexed="62"/>
      <name val="Cambria"/>
      <family val="1"/>
    </font>
    <font>
      <sz val="8"/>
      <name val="Helv"/>
      <charset val="134"/>
    </font>
    <font>
      <sz val="10"/>
      <name val="Helv"/>
      <charset val="204"/>
    </font>
    <font>
      <b/>
      <sz val="8"/>
      <color indexed="8"/>
      <name val="Helv"/>
      <charset val="134"/>
    </font>
    <font>
      <u/>
      <sz val="11"/>
      <color indexed="12"/>
      <name val="Times New Roman"/>
      <family val="1"/>
    </font>
    <font>
      <b/>
      <sz val="11"/>
      <color indexed="63"/>
      <name val="Calibri"/>
      <family val="2"/>
    </font>
    <font>
      <sz val="11.5"/>
      <name val="Times New Roman"/>
      <family val="1"/>
    </font>
    <font>
      <b/>
      <sz val="8"/>
      <name val="Verdana"/>
      <family val="2"/>
    </font>
    <font>
      <vertAlign val="superscript"/>
      <sz val="11"/>
      <name val="Calibri"/>
      <family val="2"/>
      <scheme val="minor"/>
    </font>
    <font>
      <b/>
      <sz val="8"/>
      <color indexed="8"/>
      <name val="Calibri"/>
      <family val="2"/>
    </font>
    <font>
      <b/>
      <u/>
      <sz val="9"/>
      <color indexed="8"/>
      <name val="Calibri"/>
      <family val="2"/>
    </font>
    <font>
      <u/>
      <sz val="9"/>
      <color indexed="8"/>
      <name val="Calibri"/>
      <family val="2"/>
    </font>
    <font>
      <vertAlign val="superscript"/>
      <sz val="12"/>
      <name val="Arial"/>
      <family val="2"/>
    </font>
    <font>
      <vertAlign val="superscript"/>
      <sz val="12"/>
      <name val="Tahoma"/>
      <family val="2"/>
    </font>
    <font>
      <b/>
      <sz val="12"/>
      <name val="Arial"/>
      <family val="2"/>
    </font>
    <font>
      <b/>
      <sz val="9"/>
      <name val="Arial"/>
      <family val="2"/>
    </font>
    <font>
      <sz val="8"/>
      <name val="Arial"/>
      <family val="2"/>
    </font>
    <font>
      <sz val="12"/>
      <name val="Arial"/>
      <family val="2"/>
    </font>
    <font>
      <b/>
      <sz val="10"/>
      <name val="Times New Roman"/>
      <family val="1"/>
    </font>
    <font>
      <sz val="10"/>
      <name val="Times New Roman"/>
      <family val="1"/>
    </font>
    <font>
      <sz val="11"/>
      <name val="Times New Roman"/>
      <family val="1"/>
    </font>
    <font>
      <b/>
      <sz val="11"/>
      <name val="Times New Roman"/>
      <family val="1"/>
    </font>
    <font>
      <b/>
      <sz val="9"/>
      <name val="Verdana"/>
      <family val="2"/>
    </font>
    <font>
      <b/>
      <sz val="16"/>
      <name val="Arial"/>
      <family val="2"/>
    </font>
    <font>
      <sz val="11"/>
      <color indexed="10"/>
      <name val="Calibri"/>
      <family val="2"/>
    </font>
    <font>
      <b/>
      <sz val="11"/>
      <color indexed="8"/>
      <name val="Calibri"/>
      <family val="2"/>
    </font>
    <font>
      <u/>
      <sz val="8.8000000000000007"/>
      <color theme="10"/>
      <name val="Calibri"/>
      <family val="2"/>
    </font>
    <font>
      <b/>
      <sz val="8"/>
      <color indexed="10"/>
      <name val="Arial"/>
      <family val="2"/>
    </font>
    <font>
      <sz val="11"/>
      <color indexed="8"/>
      <name val="Calibri"/>
      <family val="2"/>
    </font>
    <font>
      <sz val="7"/>
      <name val="Small Fonts"/>
      <family val="2"/>
    </font>
    <font>
      <b/>
      <sz val="11"/>
      <color indexed="52"/>
      <name val="Calibri"/>
      <family val="2"/>
    </font>
    <font>
      <sz val="11"/>
      <color indexed="52"/>
      <name val="Calibri"/>
      <family val="2"/>
    </font>
    <font>
      <sz val="11"/>
      <color indexed="9"/>
      <name val="Calibri"/>
      <family val="2"/>
    </font>
    <font>
      <b/>
      <sz val="15"/>
      <color indexed="56"/>
      <name val="Calibri"/>
      <family val="2"/>
    </font>
    <font>
      <sz val="11"/>
      <color indexed="60"/>
      <name val="Calibri"/>
      <family val="2"/>
    </font>
    <font>
      <sz val="11"/>
      <color indexed="20"/>
      <name val="Calibri"/>
      <family val="2"/>
    </font>
    <font>
      <b/>
      <sz val="12"/>
      <name val="MS Sans Serif"/>
      <family val="2"/>
    </font>
    <font>
      <b/>
      <sz val="11"/>
      <color indexed="56"/>
      <name val="Calibri"/>
      <family val="2"/>
    </font>
    <font>
      <b/>
      <sz val="18"/>
      <color indexed="56"/>
      <name val="Cambria"/>
      <family val="1"/>
    </font>
    <font>
      <sz val="10"/>
      <color indexed="8"/>
      <name val="Arial"/>
      <family val="2"/>
    </font>
    <font>
      <i/>
      <sz val="11"/>
      <color indexed="23"/>
      <name val="Calibri"/>
      <family val="2"/>
    </font>
    <font>
      <u/>
      <sz val="11"/>
      <color indexed="12"/>
      <name val="Calibri"/>
      <family val="2"/>
    </font>
    <font>
      <sz val="12"/>
      <name val="MS Sans Serif"/>
      <family val="2"/>
    </font>
    <font>
      <b/>
      <sz val="13"/>
      <color indexed="56"/>
      <name val="Calibri"/>
      <family val="2"/>
    </font>
    <font>
      <b/>
      <sz val="11"/>
      <color indexed="9"/>
      <name val="Calibri"/>
      <family val="2"/>
    </font>
    <font>
      <b/>
      <sz val="11"/>
      <color indexed="63"/>
      <name val="Calibri"/>
      <family val="2"/>
    </font>
    <font>
      <b/>
      <sz val="12"/>
      <name val="Courier New"/>
      <family val="3"/>
    </font>
    <font>
      <sz val="10"/>
      <name val="MS Serif"/>
      <family val="1"/>
    </font>
    <font>
      <sz val="11"/>
      <color indexed="62"/>
      <name val="Calibri"/>
      <family val="2"/>
    </font>
    <font>
      <b/>
      <sz val="18"/>
      <color indexed="62"/>
      <name val="Cambria"/>
      <family val="1"/>
    </font>
    <font>
      <sz val="10"/>
      <color indexed="16"/>
      <name val="MS Serif"/>
      <family val="1"/>
    </font>
    <font>
      <sz val="11"/>
      <color indexed="17"/>
      <name val="Calibri"/>
      <family val="2"/>
    </font>
    <font>
      <u/>
      <sz val="11"/>
      <color indexed="12"/>
      <name val="Times New Roman"/>
      <family val="1"/>
    </font>
    <font>
      <sz val="10"/>
      <name val="Book Antiqua"/>
      <family val="1"/>
    </font>
    <font>
      <u/>
      <sz val="12"/>
      <name val="Verdana"/>
      <family val="2"/>
    </font>
    <font>
      <sz val="10"/>
      <name val="Arial"/>
      <family val="2"/>
    </font>
    <font>
      <sz val="11.5"/>
      <name val="Times New Roman"/>
      <family val="1"/>
    </font>
    <font>
      <b/>
      <sz val="11"/>
      <name val="Calibri"/>
      <family val="2"/>
      <scheme val="minor"/>
    </font>
    <font>
      <sz val="11"/>
      <name val="Calibri"/>
      <family val="2"/>
      <scheme val="minor"/>
    </font>
    <font>
      <u/>
      <sz val="16"/>
      <name val="Verdana"/>
      <family val="2"/>
    </font>
    <font>
      <sz val="10"/>
      <name val="Times New Roman"/>
      <family val="1"/>
      <charset val="1"/>
    </font>
    <font>
      <sz val="11"/>
      <color rgb="FF000000"/>
      <name val="Calibri"/>
      <family val="2"/>
    </font>
    <font>
      <sz val="11"/>
      <color rgb="FF000000"/>
      <name val="Calibri"/>
      <family val="2"/>
      <scheme val="minor"/>
    </font>
    <font>
      <sz val="10"/>
      <color rgb="FF000000"/>
      <name val="Arial"/>
      <family val="2"/>
    </font>
    <font>
      <sz val="10"/>
      <name val="Helv"/>
      <family val="2"/>
    </font>
    <font>
      <b/>
      <sz val="18"/>
      <color indexed="56"/>
      <name val="Cambria"/>
      <family val="2"/>
    </font>
    <font>
      <sz val="12"/>
      <name val="Arial"/>
      <family val="2"/>
    </font>
    <font>
      <sz val="12"/>
      <color rgb="FFFF0000"/>
      <name val="Arial"/>
      <family val="2"/>
    </font>
    <font>
      <b/>
      <sz val="12"/>
      <color rgb="FFFF0000"/>
      <name val="Arial"/>
      <family val="2"/>
    </font>
    <font>
      <b/>
      <sz val="12"/>
      <name val="Arial"/>
      <family val="2"/>
    </font>
    <font>
      <sz val="16"/>
      <name val="Arial"/>
      <family val="2"/>
    </font>
    <font>
      <sz val="10"/>
      <color theme="7" tint="-0.499984740745262"/>
      <name val="Arial"/>
      <family val="2"/>
    </font>
    <font>
      <sz val="10"/>
      <color indexed="14"/>
      <name val="Arial"/>
      <family val="2"/>
    </font>
    <font>
      <b/>
      <sz val="12"/>
      <color indexed="10"/>
      <name val="Arial"/>
      <family val="2"/>
    </font>
    <font>
      <b/>
      <sz val="12"/>
      <color rgb="FF002060"/>
      <name val="Arial"/>
      <family val="2"/>
    </font>
    <font>
      <sz val="6"/>
      <name val="Arial"/>
      <family val="2"/>
    </font>
    <font>
      <sz val="10"/>
      <color rgb="FF000099"/>
      <name val="Arial"/>
      <family val="2"/>
    </font>
    <font>
      <sz val="8"/>
      <color indexed="12"/>
      <name val="Arial"/>
      <family val="2"/>
    </font>
    <font>
      <sz val="7"/>
      <name val="Arial"/>
      <family val="2"/>
    </font>
    <font>
      <b/>
      <sz val="10"/>
      <color rgb="FFFF3300"/>
      <name val="Arial"/>
      <family val="2"/>
    </font>
    <font>
      <sz val="11"/>
      <color theme="0"/>
      <name val="Calibri"/>
      <family val="2"/>
      <scheme val="minor"/>
    </font>
    <font>
      <b/>
      <sz val="14"/>
      <color theme="1"/>
      <name val="Arial"/>
      <family val="2"/>
    </font>
    <font>
      <sz val="11"/>
      <color theme="1"/>
      <name val="Arial"/>
      <family val="2"/>
    </font>
    <font>
      <b/>
      <sz val="11"/>
      <color theme="1"/>
      <name val="Arial"/>
      <family val="2"/>
    </font>
    <font>
      <sz val="11"/>
      <color indexed="12"/>
      <name val="Arial"/>
      <family val="2"/>
    </font>
    <font>
      <sz val="11"/>
      <color indexed="8"/>
      <name val="Arial"/>
      <family val="2"/>
    </font>
    <font>
      <b/>
      <sz val="11"/>
      <color rgb="FFFF0000"/>
      <name val="Arial"/>
      <family val="2"/>
    </font>
    <font>
      <b/>
      <sz val="11"/>
      <color rgb="FFC00000"/>
      <name val="Arial"/>
      <family val="2"/>
    </font>
    <font>
      <sz val="10"/>
      <name val="Times New Roman"/>
      <family val="1"/>
    </font>
    <font>
      <sz val="10"/>
      <name val="Cambria"/>
      <family val="1"/>
      <scheme val="major"/>
    </font>
    <font>
      <sz val="10"/>
      <color indexed="10"/>
      <name val="Cambria"/>
      <family val="1"/>
      <scheme val="major"/>
    </font>
    <font>
      <sz val="10"/>
      <color indexed="12"/>
      <name val="Cambria"/>
      <family val="1"/>
      <scheme val="major"/>
    </font>
    <font>
      <sz val="8"/>
      <name val="Cambria"/>
      <family val="1"/>
      <scheme val="major"/>
    </font>
    <font>
      <sz val="11"/>
      <name val="Cambria"/>
      <family val="1"/>
      <scheme val="major"/>
    </font>
    <font>
      <sz val="12"/>
      <color indexed="18"/>
      <name val="Cambria"/>
      <family val="1"/>
      <scheme val="major"/>
    </font>
    <font>
      <vertAlign val="superscript"/>
      <sz val="10"/>
      <name val="Cambria"/>
      <family val="1"/>
      <scheme val="major"/>
    </font>
    <font>
      <sz val="12"/>
      <color indexed="10"/>
      <name val="Cambria"/>
      <family val="1"/>
      <scheme val="major"/>
    </font>
    <font>
      <b/>
      <sz val="10"/>
      <name val="Cambria"/>
      <family val="1"/>
      <scheme val="major"/>
    </font>
    <font>
      <sz val="11"/>
      <color indexed="10"/>
      <name val="Cambria"/>
      <family val="1"/>
      <scheme val="major"/>
    </font>
    <font>
      <sz val="14"/>
      <name val="Cambria"/>
      <family val="1"/>
      <scheme val="major"/>
    </font>
    <font>
      <b/>
      <sz val="11"/>
      <name val="Cambria"/>
      <family val="1"/>
      <scheme val="major"/>
    </font>
    <font>
      <b/>
      <u/>
      <sz val="11"/>
      <name val="Cambria"/>
      <family val="1"/>
      <scheme val="major"/>
    </font>
    <font>
      <u/>
      <sz val="11"/>
      <name val="Cambria"/>
      <family val="1"/>
      <scheme val="major"/>
    </font>
    <font>
      <sz val="12"/>
      <name val="Cambria"/>
      <family val="1"/>
      <scheme val="major"/>
    </font>
    <font>
      <b/>
      <sz val="12"/>
      <name val="Cambria"/>
      <family val="1"/>
      <scheme val="major"/>
    </font>
    <font>
      <b/>
      <u/>
      <sz val="12"/>
      <name val="Cambria"/>
      <family val="1"/>
      <scheme val="major"/>
    </font>
    <font>
      <vertAlign val="superscript"/>
      <sz val="12"/>
      <name val="Cambria"/>
      <family val="1"/>
      <scheme val="major"/>
    </font>
    <font>
      <b/>
      <i/>
      <sz val="12"/>
      <name val="Cambria"/>
      <family val="1"/>
      <scheme val="major"/>
    </font>
    <font>
      <sz val="12"/>
      <color theme="0"/>
      <name val="Cambria"/>
      <family val="1"/>
      <scheme val="major"/>
    </font>
    <font>
      <i/>
      <sz val="12"/>
      <name val="Cambria"/>
      <family val="1"/>
      <scheme val="major"/>
    </font>
    <font>
      <sz val="12"/>
      <color rgb="FFFF0000"/>
      <name val="Cambria"/>
      <family val="1"/>
      <scheme val="major"/>
    </font>
    <font>
      <sz val="12"/>
      <color rgb="FFFF00FF"/>
      <name val="Cambria"/>
      <family val="1"/>
      <scheme val="major"/>
    </font>
    <font>
      <b/>
      <i/>
      <u/>
      <sz val="12"/>
      <name val="Cambria"/>
      <family val="1"/>
      <scheme val="major"/>
    </font>
    <font>
      <vertAlign val="superscript"/>
      <sz val="11"/>
      <name val="Cambria"/>
      <family val="1"/>
      <scheme val="major"/>
    </font>
    <font>
      <b/>
      <i/>
      <sz val="11"/>
      <name val="Cambria"/>
      <family val="1"/>
      <scheme val="major"/>
    </font>
    <font>
      <b/>
      <sz val="10"/>
      <color indexed="10"/>
      <name val="Cambria"/>
      <family val="1"/>
      <scheme val="major"/>
    </font>
    <font>
      <b/>
      <u/>
      <sz val="10"/>
      <name val="Cambria"/>
      <family val="1"/>
      <scheme val="major"/>
    </font>
    <font>
      <b/>
      <sz val="10"/>
      <color indexed="12"/>
      <name val="Cambria"/>
      <family val="1"/>
      <scheme val="major"/>
    </font>
    <font>
      <sz val="10"/>
      <color indexed="9"/>
      <name val="Cambria"/>
      <family val="1"/>
      <scheme val="major"/>
    </font>
    <font>
      <b/>
      <sz val="10"/>
      <color indexed="9"/>
      <name val="Cambria"/>
      <family val="1"/>
      <scheme val="major"/>
    </font>
    <font>
      <b/>
      <sz val="24"/>
      <name val="Cambria"/>
      <family val="1"/>
      <scheme val="major"/>
    </font>
    <font>
      <sz val="20"/>
      <color indexed="18"/>
      <name val="Cambria"/>
      <family val="1"/>
      <scheme val="major"/>
    </font>
    <font>
      <b/>
      <sz val="28"/>
      <color indexed="17"/>
      <name val="Cambria"/>
      <family val="1"/>
      <scheme val="major"/>
    </font>
    <font>
      <b/>
      <sz val="20"/>
      <color indexed="18"/>
      <name val="Cambria"/>
      <family val="1"/>
      <scheme val="major"/>
    </font>
    <font>
      <sz val="18"/>
      <color indexed="18"/>
      <name val="Cambria"/>
      <family val="1"/>
      <scheme val="major"/>
    </font>
    <font>
      <b/>
      <sz val="14"/>
      <name val="Cambria"/>
      <family val="1"/>
      <scheme val="major"/>
    </font>
    <font>
      <b/>
      <sz val="16"/>
      <name val="Cambria"/>
      <family val="1"/>
      <scheme val="major"/>
    </font>
    <font>
      <sz val="14"/>
      <color indexed="18"/>
      <name val="Cambria"/>
      <family val="1"/>
      <scheme val="major"/>
    </font>
    <font>
      <b/>
      <sz val="18"/>
      <name val="Cambria"/>
      <family val="1"/>
      <scheme val="major"/>
    </font>
    <font>
      <sz val="14"/>
      <color rgb="FF0000FF"/>
      <name val="Cambria"/>
      <family val="1"/>
      <scheme val="major"/>
    </font>
    <font>
      <sz val="14"/>
      <color rgb="FFFF0000"/>
      <name val="Cambria"/>
      <family val="1"/>
      <scheme val="major"/>
    </font>
    <font>
      <sz val="14"/>
      <color theme="0"/>
      <name val="Cambria"/>
      <family val="1"/>
      <scheme val="major"/>
    </font>
    <font>
      <b/>
      <sz val="14"/>
      <color theme="0"/>
      <name val="Cambria"/>
      <family val="1"/>
      <scheme val="major"/>
    </font>
    <font>
      <b/>
      <sz val="9"/>
      <name val="Cambria"/>
      <family val="1"/>
      <scheme val="major"/>
    </font>
    <font>
      <b/>
      <sz val="9"/>
      <color theme="1"/>
      <name val="Cambria"/>
      <family val="1"/>
      <scheme val="major"/>
    </font>
  </fonts>
  <fills count="81">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indexed="13"/>
        <bgColor indexed="64"/>
      </patternFill>
    </fill>
    <fill>
      <patternFill patternType="solid">
        <fgColor rgb="FFCCECFF"/>
        <bgColor indexed="64"/>
      </patternFill>
    </fill>
    <fill>
      <patternFill patternType="solid">
        <fgColor rgb="FF92D050"/>
        <bgColor indexed="64"/>
      </patternFill>
    </fill>
    <fill>
      <patternFill patternType="solid">
        <fgColor theme="8" tint="0.79995117038483843"/>
        <bgColor indexed="64"/>
      </patternFill>
    </fill>
    <fill>
      <patternFill patternType="solid">
        <fgColor indexed="9"/>
        <bgColor indexed="64"/>
      </patternFill>
    </fill>
    <fill>
      <patternFill patternType="solid">
        <fgColor indexed="23"/>
        <bgColor indexed="64"/>
      </patternFill>
    </fill>
    <fill>
      <patternFill patternType="solid">
        <fgColor indexed="44"/>
        <bgColor indexed="64"/>
      </patternFill>
    </fill>
    <fill>
      <patternFill patternType="solid">
        <fgColor theme="5"/>
        <bgColor indexed="64"/>
      </patternFill>
    </fill>
    <fill>
      <patternFill patternType="solid">
        <fgColor indexed="51"/>
        <bgColor indexed="64"/>
      </patternFill>
    </fill>
    <fill>
      <patternFill patternType="solid">
        <fgColor indexed="47"/>
        <bgColor indexed="64"/>
      </patternFill>
    </fill>
    <fill>
      <patternFill patternType="solid">
        <fgColor indexed="31"/>
        <bgColor indexed="64"/>
      </patternFill>
    </fill>
    <fill>
      <patternFill patternType="solid">
        <fgColor indexed="29"/>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11"/>
        <bgColor indexed="64"/>
      </patternFill>
    </fill>
    <fill>
      <patternFill patternType="lightGrid">
        <bgColor indexed="31"/>
      </patternFill>
    </fill>
    <fill>
      <patternFill patternType="lightHorizontal">
        <bgColor indexed="45"/>
      </patternFill>
    </fill>
    <fill>
      <patternFill patternType="lightUp">
        <bgColor indexed="46"/>
      </patternFill>
    </fill>
    <fill>
      <patternFill patternType="lightVertical">
        <bgColor indexed="27"/>
      </patternFill>
    </fill>
    <fill>
      <patternFill patternType="solid">
        <fgColor theme="1"/>
        <bgColor indexed="64"/>
      </patternFill>
    </fill>
    <fill>
      <patternFill patternType="solid">
        <fgColor rgb="FF00B0F0"/>
        <bgColor indexed="64"/>
      </patternFill>
    </fill>
    <fill>
      <patternFill patternType="solid">
        <fgColor theme="9" tint="-0.249977111117893"/>
        <bgColor indexed="64"/>
      </patternFill>
    </fill>
    <fill>
      <patternFill patternType="lightGrid"/>
    </fill>
    <fill>
      <patternFill patternType="solid">
        <fgColor indexed="8"/>
        <bgColor indexed="64"/>
      </patternFill>
    </fill>
    <fill>
      <patternFill patternType="solid">
        <fgColor indexed="53"/>
        <bgColor indexed="64"/>
      </patternFill>
    </fill>
    <fill>
      <patternFill patternType="solid">
        <fgColor theme="0" tint="-0.499984740745262"/>
        <bgColor indexed="64"/>
      </patternFill>
    </fill>
    <fill>
      <patternFill patternType="solid">
        <fgColor indexed="22"/>
        <bgColor indexed="64"/>
      </patternFill>
    </fill>
    <fill>
      <patternFill patternType="solid">
        <fgColor indexed="26"/>
        <bgColor indexed="64"/>
      </patternFill>
    </fill>
    <fill>
      <patternFill patternType="solid">
        <fgColor indexed="49"/>
        <bgColor indexed="64"/>
      </patternFill>
    </fill>
    <fill>
      <patternFill patternType="solid">
        <fgColor indexed="42"/>
        <bgColor indexed="64"/>
      </patternFill>
    </fill>
    <fill>
      <patternFill patternType="solid">
        <fgColor indexed="30"/>
        <bgColor indexed="64"/>
      </patternFill>
    </fill>
    <fill>
      <patternFill patternType="solid">
        <fgColor indexed="22"/>
        <bgColor indexed="22"/>
      </patternFill>
    </fill>
    <fill>
      <patternFill patternType="solid">
        <fgColor indexed="36"/>
        <bgColor indexed="64"/>
      </patternFill>
    </fill>
    <fill>
      <patternFill patternType="solid">
        <fgColor indexed="26"/>
        <bgColor indexed="26"/>
      </patternFill>
    </fill>
    <fill>
      <patternFill patternType="lightUp">
        <fgColor indexed="9"/>
        <bgColor indexed="22"/>
      </patternFill>
    </fill>
    <fill>
      <patternFill patternType="solid">
        <fgColor indexed="31"/>
        <bgColor indexed="31"/>
      </patternFill>
    </fill>
    <fill>
      <patternFill patternType="solid">
        <fgColor indexed="27"/>
        <bgColor indexed="27"/>
      </patternFill>
    </fill>
    <fill>
      <patternFill patternType="solid">
        <fgColor indexed="10"/>
        <bgColor indexed="64"/>
      </patternFill>
    </fill>
    <fill>
      <patternFill patternType="solid">
        <fgColor indexed="47"/>
        <bgColor indexed="47"/>
      </patternFill>
    </fill>
    <fill>
      <patternFill patternType="solid">
        <fgColor indexed="55"/>
        <bgColor indexed="64"/>
      </patternFill>
    </fill>
    <fill>
      <patternFill patternType="solid">
        <fgColor indexed="43"/>
        <bgColor indexed="64"/>
      </patternFill>
    </fill>
    <fill>
      <patternFill patternType="lightUp">
        <fgColor indexed="9"/>
        <bgColor indexed="29"/>
      </patternFill>
    </fill>
    <fill>
      <patternFill patternType="solid">
        <fgColor indexed="57"/>
        <bgColor indexed="64"/>
      </patternFill>
    </fill>
    <fill>
      <patternFill patternType="solid">
        <fgColor indexed="52"/>
        <bgColor indexed="64"/>
      </patternFill>
    </fill>
    <fill>
      <patternFill patternType="solid">
        <fgColor indexed="44"/>
        <bgColor indexed="44"/>
      </patternFill>
    </fill>
    <fill>
      <patternFill patternType="solid">
        <fgColor indexed="62"/>
        <bgColor indexed="64"/>
      </patternFill>
    </fill>
    <fill>
      <patternFill patternType="solid">
        <fgColor indexed="55"/>
        <bgColor indexed="55"/>
      </patternFill>
    </fill>
    <fill>
      <patternFill patternType="solid">
        <fgColor indexed="42"/>
        <bgColor indexed="42"/>
      </patternFill>
    </fill>
    <fill>
      <patternFill patternType="lightUp">
        <fgColor indexed="9"/>
        <bgColor indexed="5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59999389629810485"/>
        <bgColor indexed="64"/>
      </patternFill>
    </fill>
    <fill>
      <patternFill patternType="solid">
        <fgColor theme="5" tint="0.39994506668294322"/>
        <bgColor indexed="64"/>
      </patternFill>
    </fill>
    <fill>
      <patternFill patternType="solid">
        <fgColor rgb="FF66FFFF"/>
        <bgColor indexed="64"/>
      </patternFill>
    </fill>
  </fills>
  <borders count="13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style="thin">
        <color auto="1"/>
      </right>
      <top style="thin">
        <color auto="1"/>
      </top>
      <bottom/>
      <diagonal/>
    </border>
    <border>
      <left/>
      <right style="thin">
        <color auto="1"/>
      </right>
      <top/>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diagonal/>
    </border>
    <border>
      <left style="medium">
        <color auto="1"/>
      </left>
      <right style="thin">
        <color auto="1"/>
      </right>
      <top style="medium">
        <color auto="1"/>
      </top>
      <bottom/>
      <diagonal/>
    </border>
    <border>
      <left style="thin">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thin">
        <color auto="1"/>
      </left>
      <right style="thin">
        <color auto="1"/>
      </right>
      <top style="thin">
        <color auto="1"/>
      </top>
      <bottom style="medium">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theme="0" tint="-0.34998626667073579"/>
      </right>
      <top/>
      <bottom style="thin">
        <color auto="1"/>
      </bottom>
      <diagonal/>
    </border>
    <border>
      <left style="thin">
        <color theme="0" tint="-0.34998626667073579"/>
      </left>
      <right style="thin">
        <color theme="0" tint="-0.34998626667073579"/>
      </right>
      <top/>
      <bottom style="thin">
        <color auto="1"/>
      </bottom>
      <diagonal/>
    </border>
    <border>
      <left style="thin">
        <color theme="0" tint="-0.34998626667073579"/>
      </left>
      <right style="thin">
        <color auto="1"/>
      </right>
      <top/>
      <bottom style="thin">
        <color auto="1"/>
      </bottom>
      <diagonal/>
    </border>
    <border>
      <left style="thin">
        <color auto="1"/>
      </left>
      <right style="hair">
        <color auto="1"/>
      </right>
      <top/>
      <bottom/>
      <diagonal/>
    </border>
    <border>
      <left style="hair">
        <color auto="1"/>
      </left>
      <right style="hair">
        <color auto="1"/>
      </right>
      <top/>
      <bottom/>
      <diagonal/>
    </border>
    <border>
      <left style="hair">
        <color auto="1"/>
      </left>
      <right style="thin">
        <color auto="1"/>
      </right>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right style="medium">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medium">
        <color auto="1"/>
      </top>
      <bottom style="medium">
        <color auto="1"/>
      </bottom>
      <diagonal/>
    </border>
    <border>
      <left style="medium">
        <color auto="1"/>
      </left>
      <right/>
      <top style="double">
        <color auto="1"/>
      </top>
      <bottom/>
      <diagonal/>
    </border>
    <border>
      <left/>
      <right/>
      <top style="double">
        <color auto="1"/>
      </top>
      <bottom/>
      <diagonal/>
    </border>
    <border>
      <left style="double">
        <color auto="1"/>
      </left>
      <right/>
      <top/>
      <bottom/>
      <diagonal/>
    </border>
    <border>
      <left style="double">
        <color auto="1"/>
      </left>
      <right/>
      <top/>
      <bottom style="double">
        <color auto="1"/>
      </bottom>
      <diagonal/>
    </border>
    <border>
      <left/>
      <right/>
      <top/>
      <bottom style="double">
        <color auto="1"/>
      </bottom>
      <diagonal/>
    </border>
    <border>
      <left/>
      <right style="double">
        <color auto="1"/>
      </right>
      <top style="double">
        <color auto="1"/>
      </top>
      <bottom/>
      <diagonal/>
    </border>
    <border>
      <left/>
      <right style="double">
        <color auto="1"/>
      </right>
      <top/>
      <bottom/>
      <diagonal/>
    </border>
    <border>
      <left/>
      <right style="double">
        <color auto="1"/>
      </right>
      <top/>
      <bottom style="double">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medium">
        <color auto="1"/>
      </right>
      <top style="medium">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dotted">
        <color auto="1"/>
      </left>
      <right style="dotted">
        <color auto="1"/>
      </right>
      <top style="dotted">
        <color auto="1"/>
      </top>
      <bottom style="dotted">
        <color auto="1"/>
      </bottom>
      <diagonal/>
    </border>
    <border>
      <left style="dotted">
        <color auto="1"/>
      </left>
      <right style="dotted">
        <color auto="1"/>
      </right>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auto="1"/>
      </left>
      <right style="thin">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s>
  <cellStyleXfs count="35085">
    <xf numFmtId="0" fontId="0" fillId="0" borderId="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4"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6" fillId="0" borderId="0"/>
    <xf numFmtId="0" fontId="6" fillId="0" borderId="0"/>
    <xf numFmtId="167" fontId="6" fillId="0" borderId="0" applyFont="0" applyFill="0" applyBorder="0" applyAlignment="0" applyProtection="0"/>
    <xf numFmtId="0" fontId="256" fillId="40" borderId="0" applyNumberFormat="0" applyBorder="0" applyAlignment="0" applyProtection="0"/>
    <xf numFmtId="0" fontId="6" fillId="0" borderId="0"/>
    <xf numFmtId="0" fontId="4" fillId="0" borderId="0"/>
    <xf numFmtId="43" fontId="6" fillId="0" borderId="0" applyFont="0" applyFill="0" applyBorder="0" applyAlignment="0" applyProtection="0"/>
    <xf numFmtId="0" fontId="103" fillId="0" borderId="0"/>
    <xf numFmtId="0" fontId="6" fillId="0" borderId="0"/>
    <xf numFmtId="0" fontId="6" fillId="0" borderId="0"/>
    <xf numFmtId="9" fontId="6" fillId="0" borderId="0" applyFont="0" applyFill="0" applyBorder="0" applyAlignment="0" applyProtection="0"/>
    <xf numFmtId="0" fontId="256" fillId="38" borderId="0" applyNumberFormat="0" applyBorder="0" applyAlignment="0" applyProtection="0"/>
    <xf numFmtId="0" fontId="6" fillId="0" borderId="0"/>
    <xf numFmtId="43" fontId="6" fillId="0" borderId="0" applyFont="0" applyFill="0" applyBorder="0" applyAlignment="0" applyProtection="0"/>
    <xf numFmtId="0" fontId="103" fillId="0" borderId="0"/>
    <xf numFmtId="0" fontId="195" fillId="0" borderId="0" applyNumberFormat="0" applyFill="0" applyBorder="0" applyAlignment="0" applyProtection="0">
      <alignment vertical="top"/>
      <protection locked="0"/>
    </xf>
    <xf numFmtId="44" fontId="6" fillId="0" borderId="0" applyFont="0" applyFill="0" applyBorder="0" applyAlignment="0" applyProtection="0"/>
    <xf numFmtId="0" fontId="6" fillId="0" borderId="0"/>
    <xf numFmtId="0" fontId="6" fillId="0" borderId="0"/>
    <xf numFmtId="0" fontId="261" fillId="0" borderId="98" applyNumberFormat="0" applyFill="0" applyAlignment="0" applyProtection="0"/>
    <xf numFmtId="0" fontId="256" fillId="36" borderId="0" applyNumberFormat="0" applyBorder="0" applyAlignment="0" applyProtection="0"/>
    <xf numFmtId="0" fontId="6" fillId="0" borderId="0"/>
    <xf numFmtId="0" fontId="6" fillId="0" borderId="0"/>
    <xf numFmtId="9" fontId="4" fillId="0" borderId="0" applyFont="0" applyFill="0" applyBorder="0" applyAlignment="0" applyProtection="0"/>
    <xf numFmtId="43" fontId="6" fillId="0" borderId="0" applyFont="0" applyFill="0" applyBorder="0" applyAlignment="0" applyProtection="0"/>
    <xf numFmtId="0" fontId="256" fillId="0" borderId="0"/>
    <xf numFmtId="0" fontId="6" fillId="0" borderId="0"/>
    <xf numFmtId="0" fontId="6" fillId="0" borderId="9">
      <alignment horizontal="center"/>
    </xf>
    <xf numFmtId="0" fontId="6" fillId="0" borderId="0"/>
    <xf numFmtId="0" fontId="6" fillId="0" borderId="9">
      <alignment horizontal="center"/>
    </xf>
    <xf numFmtId="9" fontId="4" fillId="0" borderId="0" applyFont="0" applyFill="0" applyBorder="0" applyAlignment="0" applyProtection="0"/>
    <xf numFmtId="0" fontId="6" fillId="0" borderId="0"/>
    <xf numFmtId="0" fontId="6" fillId="0" borderId="0"/>
    <xf numFmtId="0" fontId="256" fillId="40"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0" fontId="257" fillId="18" borderId="0" applyNumberFormat="0" applyBorder="0" applyAlignment="0" applyProtection="0"/>
    <xf numFmtId="0" fontId="6" fillId="0" borderId="0"/>
    <xf numFmtId="0" fontId="255" fillId="21" borderId="0" applyNumberFormat="0" applyBorder="0" applyAlignment="0" applyProtection="0"/>
    <xf numFmtId="0" fontId="256" fillId="43" borderId="0" applyNumberFormat="0" applyBorder="0" applyAlignment="0" applyProtection="0"/>
    <xf numFmtId="0" fontId="256" fillId="16" borderId="0" applyNumberFormat="0" applyBorder="0" applyAlignment="0" applyProtection="0"/>
    <xf numFmtId="43" fontId="6" fillId="0" borderId="0" applyFont="0" applyFill="0" applyBorder="0" applyAlignment="0" applyProtection="0"/>
    <xf numFmtId="0" fontId="4" fillId="0" borderId="0"/>
    <xf numFmtId="0" fontId="6" fillId="0" borderId="0"/>
    <xf numFmtId="0" fontId="6" fillId="0" borderId="0"/>
    <xf numFmtId="0" fontId="264" fillId="33" borderId="99" applyNumberFormat="0" applyAlignment="0" applyProtection="0"/>
    <xf numFmtId="0" fontId="6"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6" fillId="0" borderId="0"/>
    <xf numFmtId="0" fontId="263" fillId="0" borderId="0" applyFill="0" applyBorder="0" applyAlignment="0"/>
    <xf numFmtId="0" fontId="6" fillId="0" borderId="0"/>
    <xf numFmtId="0" fontId="6" fillId="0" borderId="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0" fontId="4" fillId="0" borderId="0"/>
    <xf numFmtId="0" fontId="256" fillId="36" borderId="0" applyNumberFormat="0" applyBorder="0" applyAlignment="0" applyProtection="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0" fontId="4" fillId="0" borderId="0"/>
    <xf numFmtId="0" fontId="6" fillId="0" borderId="0"/>
    <xf numFmtId="0" fontId="6" fillId="0" borderId="0"/>
    <xf numFmtId="0" fontId="6" fillId="0" borderId="0"/>
    <xf numFmtId="0" fontId="6" fillId="0" borderId="0"/>
    <xf numFmtId="0" fontId="255" fillId="31" borderId="0" applyNumberFormat="0" applyBorder="0" applyAlignment="0" applyProtection="0"/>
    <xf numFmtId="2" fontId="6" fillId="0" borderId="0" applyFont="0" applyFill="0" applyBorder="0" applyAlignment="0" applyProtection="0"/>
    <xf numFmtId="43" fontId="6" fillId="0" borderId="0" applyFont="0" applyFill="0" applyBorder="0" applyAlignment="0" applyProtection="0"/>
    <xf numFmtId="0" fontId="4" fillId="0" borderId="0"/>
    <xf numFmtId="0" fontId="4" fillId="0" borderId="0"/>
    <xf numFmtId="0" fontId="256" fillId="36" borderId="0" applyNumberFormat="0" applyBorder="0" applyAlignment="0" applyProtection="0"/>
    <xf numFmtId="0" fontId="6" fillId="0" borderId="0"/>
    <xf numFmtId="0" fontId="268" fillId="0" borderId="0">
      <alignment vertical="top"/>
    </xf>
    <xf numFmtId="0" fontId="261" fillId="0" borderId="98" applyNumberFormat="0" applyFill="0" applyAlignment="0" applyProtection="0"/>
    <xf numFmtId="43" fontId="6" fillId="0" borderId="0" applyFont="0" applyFill="0" applyBorder="0" applyAlignment="0" applyProtection="0"/>
    <xf numFmtId="0" fontId="256" fillId="36" borderId="0" applyNumberFormat="0" applyBorder="0" applyAlignment="0" applyProtection="0"/>
    <xf numFmtId="0" fontId="256" fillId="17"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270" fillId="0" borderId="101" applyNumberFormat="0" applyFill="0" applyAlignment="0" applyProtection="0"/>
    <xf numFmtId="0" fontId="6" fillId="0" borderId="0"/>
    <xf numFmtId="43" fontId="6" fillId="0" borderId="0" applyFont="0" applyFill="0" applyBorder="0" applyAlignment="0" applyProtection="0"/>
    <xf numFmtId="0" fontId="103" fillId="0" borderId="0"/>
    <xf numFmtId="0" fontId="4" fillId="0" borderId="0"/>
    <xf numFmtId="0" fontId="256" fillId="42" borderId="0" applyNumberFormat="0" applyBorder="0" applyAlignment="0" applyProtection="0"/>
    <xf numFmtId="0" fontId="265" fillId="46" borderId="100" applyNumberFormat="0" applyAlignment="0" applyProtection="0"/>
    <xf numFmtId="0" fontId="256" fillId="0" borderId="0"/>
    <xf numFmtId="43" fontId="6" fillId="0" borderId="0" applyFont="0" applyFill="0" applyBorder="0" applyAlignment="0" applyProtection="0"/>
    <xf numFmtId="0" fontId="6" fillId="0" borderId="0"/>
    <xf numFmtId="0" fontId="6" fillId="0" borderId="0"/>
    <xf numFmtId="0" fontId="6" fillId="0" borderId="0"/>
    <xf numFmtId="0" fontId="256" fillId="19" borderId="0" applyNumberFormat="0" applyBorder="0" applyAlignment="0" applyProtection="0"/>
    <xf numFmtId="0" fontId="255" fillId="49" borderId="0" applyNumberFormat="0" applyBorder="0" applyAlignment="0" applyProtection="0"/>
    <xf numFmtId="0" fontId="6" fillId="0" borderId="0"/>
    <xf numFmtId="0" fontId="6" fillId="0" borderId="0"/>
    <xf numFmtId="0" fontId="103" fillId="0" borderId="0"/>
    <xf numFmtId="1" fontId="6" fillId="0" borderId="0"/>
    <xf numFmtId="0" fontId="255" fillId="21" borderId="0" applyNumberFormat="0" applyBorder="0" applyAlignment="0" applyProtection="0"/>
    <xf numFmtId="9" fontId="6" fillId="0" borderId="0" applyFont="0" applyFill="0" applyBorder="0" applyAlignment="0" applyProtection="0"/>
    <xf numFmtId="0" fontId="103" fillId="0" borderId="0"/>
    <xf numFmtId="0" fontId="4" fillId="0" borderId="0"/>
    <xf numFmtId="182" fontId="6" fillId="0" borderId="0" applyFont="0" applyFill="0" applyBorder="0" applyAlignment="0" applyProtection="0"/>
    <xf numFmtId="0" fontId="4" fillId="0" borderId="0"/>
    <xf numFmtId="44" fontId="6" fillId="0" borderId="0" applyFont="0" applyFill="0" applyBorder="0" applyAlignment="0" applyProtection="0"/>
    <xf numFmtId="43" fontId="6" fillId="0" borderId="0" applyFont="0" applyFill="0" applyBorder="0" applyAlignment="0" applyProtection="0"/>
    <xf numFmtId="0" fontId="6" fillId="0" borderId="0"/>
    <xf numFmtId="0" fontId="256" fillId="15" borderId="0" applyNumberFormat="0" applyBorder="0" applyAlignment="0" applyProtection="0"/>
    <xf numFmtId="0" fontId="6" fillId="0" borderId="0"/>
    <xf numFmtId="0" fontId="6" fillId="0" borderId="0"/>
    <xf numFmtId="43" fontId="6" fillId="0" borderId="0" applyFont="0" applyFill="0" applyBorder="0" applyAlignment="0" applyProtection="0"/>
    <xf numFmtId="1" fontId="6" fillId="0" borderId="0"/>
    <xf numFmtId="0" fontId="4" fillId="0" borderId="0"/>
    <xf numFmtId="0" fontId="256" fillId="18"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9" fontId="4" fillId="0" borderId="0" applyFont="0" applyFill="0" applyBorder="0" applyAlignment="0" applyProtection="0"/>
    <xf numFmtId="0" fontId="6" fillId="0" borderId="0"/>
    <xf numFmtId="0" fontId="6" fillId="0" borderId="0"/>
    <xf numFmtId="0" fontId="256" fillId="18" borderId="0" applyNumberFormat="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0" fontId="103" fillId="0" borderId="0"/>
    <xf numFmtId="0" fontId="255" fillId="45" borderId="0" applyNumberFormat="0" applyBorder="0" applyAlignment="0" applyProtection="0"/>
    <xf numFmtId="0" fontId="6" fillId="0" borderId="0"/>
    <xf numFmtId="0" fontId="6" fillId="0" borderId="0"/>
    <xf numFmtId="0" fontId="4" fillId="0" borderId="0"/>
    <xf numFmtId="0" fontId="256" fillId="36" borderId="0" applyNumberFormat="0" applyBorder="0" applyAlignment="0" applyProtection="0"/>
    <xf numFmtId="176" fontId="103"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256" fillId="0" borderId="0"/>
    <xf numFmtId="0" fontId="5" fillId="0" borderId="14" applyNumberFormat="0" applyAlignment="0" applyProtection="0">
      <alignment horizontal="left" vertical="center"/>
    </xf>
    <xf numFmtId="0" fontId="6" fillId="0" borderId="0"/>
    <xf numFmtId="0" fontId="4" fillId="0" borderId="0"/>
    <xf numFmtId="43" fontId="6" fillId="0" borderId="0" applyFont="0" applyFill="0" applyBorder="0" applyAlignment="0" applyProtection="0"/>
    <xf numFmtId="9"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103" fillId="0" borderId="0"/>
    <xf numFmtId="0" fontId="4" fillId="0" borderId="0"/>
    <xf numFmtId="0" fontId="6" fillId="0" borderId="0"/>
    <xf numFmtId="43" fontId="6" fillId="0" borderId="0" applyFont="0" applyFill="0" applyBorder="0" applyAlignment="0" applyProtection="0"/>
    <xf numFmtId="0" fontId="6" fillId="0" borderId="0"/>
    <xf numFmtId="0" fontId="6" fillId="0" borderId="0"/>
    <xf numFmtId="0" fontId="5" fillId="0" borderId="14" applyNumberFormat="0" applyAlignment="0" applyProtection="0">
      <alignment horizontal="left" vertical="center"/>
    </xf>
    <xf numFmtId="0" fontId="6" fillId="0" borderId="0"/>
    <xf numFmtId="0" fontId="4" fillId="0" borderId="0"/>
    <xf numFmtId="43" fontId="6" fillId="0" borderId="0" applyFont="0" applyFill="0" applyBorder="0" applyAlignment="0" applyProtection="0"/>
    <xf numFmtId="0" fontId="6" fillId="0" borderId="0"/>
    <xf numFmtId="0" fontId="6" fillId="34" borderId="97" applyNumberFormat="0" applyFont="0" applyAlignment="0" applyProtection="0"/>
    <xf numFmtId="0" fontId="6" fillId="0" borderId="0"/>
    <xf numFmtId="0" fontId="258" fillId="0" borderId="0" applyNumberFormat="0" applyFill="0" applyBorder="0" applyAlignment="0" applyProtection="0"/>
    <xf numFmtId="0" fontId="6" fillId="0" borderId="0"/>
    <xf numFmtId="0" fontId="6"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37" fontId="269" fillId="0" borderId="0"/>
    <xf numFmtId="0" fontId="6" fillId="0" borderId="0"/>
    <xf numFmtId="0" fontId="6" fillId="0" borderId="0"/>
    <xf numFmtId="43" fontId="6" fillId="0" borderId="0" applyFont="0" applyFill="0" applyBorder="0" applyAlignment="0" applyProtection="0"/>
    <xf numFmtId="0" fontId="103" fillId="0" borderId="0"/>
    <xf numFmtId="0" fontId="4" fillId="0" borderId="0"/>
    <xf numFmtId="0" fontId="6" fillId="0" borderId="0"/>
    <xf numFmtId="0" fontId="6" fillId="0" borderId="0"/>
    <xf numFmtId="0" fontId="103" fillId="0" borderId="0"/>
    <xf numFmtId="0" fontId="255" fillId="45" borderId="0" applyNumberFormat="0" applyBorder="0" applyAlignment="0" applyProtection="0"/>
    <xf numFmtId="0" fontId="274" fillId="15" borderId="99" applyNumberFormat="0" applyAlignment="0" applyProtection="0"/>
    <xf numFmtId="0" fontId="6" fillId="0" borderId="0"/>
    <xf numFmtId="43" fontId="6" fillId="0" borderId="0" applyFont="0" applyFill="0" applyBorder="0" applyAlignment="0" applyProtection="0"/>
    <xf numFmtId="0" fontId="256" fillId="16" borderId="0" applyNumberFormat="0" applyBorder="0" applyAlignment="0" applyProtection="0"/>
    <xf numFmtId="0" fontId="4"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0" fontId="6" fillId="0" borderId="0"/>
    <xf numFmtId="0" fontId="4"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4" fillId="0" borderId="0"/>
    <xf numFmtId="0" fontId="6" fillId="0" borderId="0"/>
    <xf numFmtId="0" fontId="255" fillId="39" borderId="0" applyNumberFormat="0" applyBorder="0" applyAlignment="0" applyProtection="0"/>
    <xf numFmtId="43" fontId="6" fillId="0" borderId="0" applyFont="0" applyFill="0" applyBorder="0" applyAlignment="0" applyProtection="0"/>
    <xf numFmtId="9" fontId="256" fillId="0" borderId="0" applyFont="0" applyFill="0" applyBorder="0" applyAlignment="0" applyProtection="0"/>
    <xf numFmtId="0" fontId="255" fillId="44" borderId="0" applyNumberFormat="0" applyBorder="0" applyAlignment="0" applyProtection="0"/>
    <xf numFmtId="43" fontId="6" fillId="0" borderId="0" applyFont="0" applyFill="0" applyBorder="0" applyAlignment="0" applyProtection="0"/>
    <xf numFmtId="0" fontId="6" fillId="0" borderId="0"/>
    <xf numFmtId="0" fontId="6" fillId="0" borderId="0"/>
    <xf numFmtId="0" fontId="256" fillId="16" borderId="0" applyNumberFormat="0" applyBorder="0" applyAlignment="0" applyProtection="0"/>
    <xf numFmtId="0" fontId="256" fillId="42" borderId="0" applyNumberFormat="0" applyBorder="0" applyAlignment="0" applyProtection="0"/>
    <xf numFmtId="0" fontId="6" fillId="0" borderId="0"/>
    <xf numFmtId="0" fontId="6" fillId="0" borderId="0"/>
    <xf numFmtId="43" fontId="6" fillId="0" borderId="0" applyFont="0" applyFill="0" applyBorder="0" applyAlignment="0" applyProtection="0"/>
    <xf numFmtId="0" fontId="4" fillId="0" borderId="0"/>
    <xf numFmtId="0" fontId="256" fillId="16" borderId="0" applyNumberFormat="0" applyBorder="0" applyAlignment="0" applyProtection="0"/>
    <xf numFmtId="43" fontId="6" fillId="0" borderId="0" applyFont="0" applyFill="0" applyBorder="0" applyAlignment="0" applyProtection="0"/>
    <xf numFmtId="0" fontId="4" fillId="0" borderId="0"/>
    <xf numFmtId="0" fontId="4" fillId="0" borderId="0"/>
    <xf numFmtId="0" fontId="256" fillId="16" borderId="0" applyNumberFormat="0" applyBorder="0" applyAlignment="0" applyProtection="0"/>
    <xf numFmtId="0" fontId="256" fillId="42" borderId="0" applyNumberFormat="0" applyBorder="0" applyAlignment="0" applyProtection="0"/>
    <xf numFmtId="1" fontId="6" fillId="0" borderId="0"/>
    <xf numFmtId="0" fontId="256" fillId="18" borderId="0" applyNumberFormat="0" applyBorder="0" applyAlignment="0" applyProtection="0"/>
    <xf numFmtId="0" fontId="6" fillId="0" borderId="0"/>
    <xf numFmtId="0" fontId="6" fillId="0" borderId="0"/>
    <xf numFmtId="43" fontId="6" fillId="0" borderId="0" applyFont="0" applyFill="0" applyBorder="0" applyAlignment="0" applyProtection="0"/>
    <xf numFmtId="1" fontId="6" fillId="0" borderId="0"/>
    <xf numFmtId="0" fontId="256" fillId="18" borderId="0" applyNumberFormat="0" applyBorder="0" applyAlignment="0" applyProtection="0"/>
    <xf numFmtId="1" fontId="6" fillId="0" borderId="0"/>
    <xf numFmtId="0" fontId="256" fillId="18" borderId="0" applyNumberFormat="0" applyBorder="0" applyAlignment="0" applyProtection="0"/>
    <xf numFmtId="0" fontId="6" fillId="0" borderId="0"/>
    <xf numFmtId="43" fontId="6" fillId="0" borderId="0" applyFont="0" applyFill="0" applyBorder="0" applyAlignment="0" applyProtection="0"/>
    <xf numFmtId="0" fontId="4" fillId="0" borderId="0"/>
    <xf numFmtId="0" fontId="256" fillId="19" borderId="0" applyNumberFormat="0" applyBorder="0" applyAlignment="0" applyProtection="0"/>
    <xf numFmtId="0" fontId="4" fillId="0" borderId="0"/>
    <xf numFmtId="0" fontId="256" fillId="19" borderId="0" applyNumberFormat="0" applyBorder="0" applyAlignment="0" applyProtection="0"/>
    <xf numFmtId="0" fontId="4" fillId="0" borderId="0"/>
    <xf numFmtId="0" fontId="256" fillId="19" borderId="0" applyNumberFormat="0" applyBorder="0" applyAlignment="0" applyProtection="0"/>
    <xf numFmtId="0" fontId="4" fillId="0" borderId="0"/>
    <xf numFmtId="0" fontId="6" fillId="0" borderId="0"/>
    <xf numFmtId="0" fontId="6" fillId="0" borderId="0"/>
    <xf numFmtId="0" fontId="256" fillId="19" borderId="0" applyNumberFormat="0" applyBorder="0" applyAlignment="0" applyProtection="0"/>
    <xf numFmtId="0" fontId="6" fillId="0" borderId="0"/>
    <xf numFmtId="0" fontId="4" fillId="0" borderId="0"/>
    <xf numFmtId="0" fontId="256" fillId="19" borderId="0" applyNumberFormat="0" applyBorder="0" applyAlignment="0" applyProtection="0"/>
    <xf numFmtId="0" fontId="4" fillId="0" borderId="0"/>
    <xf numFmtId="43" fontId="6" fillId="0" borderId="0" applyFont="0" applyFill="0" applyBorder="0" applyAlignment="0" applyProtection="0"/>
    <xf numFmtId="0" fontId="256" fillId="20" borderId="0" applyNumberFormat="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256" fillId="20" borderId="0" applyNumberFormat="0" applyBorder="0" applyAlignment="0" applyProtection="0"/>
    <xf numFmtId="0" fontId="6" fillId="0" borderId="0"/>
    <xf numFmtId="43"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256" fillId="20" borderId="0" applyNumberFormat="0" applyBorder="0" applyAlignment="0" applyProtection="0"/>
    <xf numFmtId="0" fontId="6" fillId="0" borderId="0"/>
    <xf numFmtId="0" fontId="256" fillId="20" borderId="0" applyNumberFormat="0" applyBorder="0" applyAlignment="0" applyProtection="0"/>
    <xf numFmtId="43" fontId="6" fillId="0" borderId="0" applyFont="0" applyFill="0" applyBorder="0" applyAlignment="0" applyProtection="0"/>
    <xf numFmtId="0" fontId="256" fillId="20" borderId="0" applyNumberFormat="0" applyBorder="0" applyAlignment="0" applyProtection="0"/>
    <xf numFmtId="0" fontId="6" fillId="0" borderId="0"/>
    <xf numFmtId="0" fontId="6" fillId="0" borderId="0"/>
    <xf numFmtId="43" fontId="6" fillId="0" borderId="0" applyFont="0" applyFill="0" applyBorder="0" applyAlignment="0" applyProtection="0"/>
    <xf numFmtId="0" fontId="103" fillId="0" borderId="0"/>
    <xf numFmtId="0" fontId="256" fillId="15" borderId="0" applyNumberFormat="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9" fontId="6" fillId="0" borderId="0" applyFont="0" applyFill="0" applyBorder="0" applyAlignment="0" applyProtection="0"/>
    <xf numFmtId="0" fontId="103" fillId="0" borderId="0"/>
    <xf numFmtId="0" fontId="4" fillId="0" borderId="0"/>
    <xf numFmtId="44"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256" fillId="15" borderId="0" applyNumberFormat="0" applyBorder="0" applyAlignment="0" applyProtection="0"/>
    <xf numFmtId="0" fontId="6" fillId="34" borderId="97" applyNumberFormat="0" applyFont="0" applyAlignment="0" applyProtection="0"/>
    <xf numFmtId="0" fontId="6" fillId="0" borderId="0"/>
    <xf numFmtId="0" fontId="6" fillId="0" borderId="0"/>
    <xf numFmtId="0" fontId="6" fillId="0" borderId="0"/>
    <xf numFmtId="43" fontId="6" fillId="0" borderId="0" applyFont="0" applyFill="0" applyBorder="0" applyAlignment="0" applyProtection="0"/>
    <xf numFmtId="0" fontId="264" fillId="33" borderId="99" applyNumberFormat="0" applyAlignment="0" applyProtection="0"/>
    <xf numFmtId="37" fontId="269" fillId="0" borderId="0"/>
    <xf numFmtId="0" fontId="256" fillId="15" borderId="0" applyNumberFormat="0" applyBorder="0" applyAlignment="0" applyProtection="0"/>
    <xf numFmtId="0" fontId="6" fillId="34" borderId="97" applyNumberFormat="0" applyFont="0" applyAlignment="0" applyProtection="0"/>
    <xf numFmtId="0" fontId="6" fillId="0" borderId="0"/>
    <xf numFmtId="0" fontId="6" fillId="0" borderId="0"/>
    <xf numFmtId="0" fontId="256" fillId="15" borderId="0" applyNumberFormat="0" applyBorder="0" applyAlignment="0" applyProtection="0"/>
    <xf numFmtId="0" fontId="256" fillId="12" borderId="0" applyNumberFormat="0" applyBorder="0" applyAlignment="0" applyProtection="0"/>
    <xf numFmtId="0" fontId="4" fillId="0" borderId="0"/>
    <xf numFmtId="0" fontId="256" fillId="12" borderId="0" applyNumberFormat="0" applyBorder="0" applyAlignment="0" applyProtection="0"/>
    <xf numFmtId="0" fontId="6" fillId="0" borderId="0"/>
    <xf numFmtId="0" fontId="256" fillId="12" borderId="0" applyNumberFormat="0" applyBorder="0" applyAlignment="0" applyProtection="0"/>
    <xf numFmtId="43" fontId="6" fillId="0" borderId="0" applyFont="0" applyFill="0" applyBorder="0" applyAlignment="0" applyProtection="0"/>
    <xf numFmtId="0" fontId="256" fillId="12" borderId="0" applyNumberFormat="0" applyBorder="0" applyAlignment="0" applyProtection="0"/>
    <xf numFmtId="0" fontId="256" fillId="12" borderId="0" applyNumberFormat="0" applyBorder="0" applyAlignment="0" applyProtection="0"/>
    <xf numFmtId="0" fontId="256" fillId="17" borderId="0" applyNumberFormat="0" applyBorder="0" applyAlignment="0" applyProtection="0"/>
    <xf numFmtId="0" fontId="6" fillId="0" borderId="0"/>
    <xf numFmtId="0" fontId="6" fillId="0" borderId="0"/>
    <xf numFmtId="0" fontId="103" fillId="0" borderId="0"/>
    <xf numFmtId="0" fontId="256" fillId="17" borderId="0" applyNumberFormat="0" applyBorder="0" applyAlignment="0" applyProtection="0"/>
    <xf numFmtId="0" fontId="6" fillId="0" borderId="0"/>
    <xf numFmtId="0" fontId="6" fillId="0" borderId="0"/>
    <xf numFmtId="0" fontId="6" fillId="0" borderId="0"/>
    <xf numFmtId="0" fontId="103" fillId="0" borderId="0"/>
    <xf numFmtId="0" fontId="256" fillId="17" borderId="0" applyNumberFormat="0" applyBorder="0" applyAlignment="0" applyProtection="0"/>
    <xf numFmtId="43" fontId="6" fillId="0" borderId="0" applyFont="0" applyFill="0" applyBorder="0" applyAlignment="0" applyProtection="0"/>
    <xf numFmtId="0" fontId="256" fillId="17" borderId="0" applyNumberFormat="0" applyBorder="0" applyAlignment="0" applyProtection="0"/>
    <xf numFmtId="0" fontId="256" fillId="21" borderId="0" applyNumberFormat="0" applyBorder="0" applyAlignment="0" applyProtection="0"/>
    <xf numFmtId="0" fontId="255" fillId="51" borderId="0" applyNumberFormat="0" applyBorder="0" applyAlignment="0" applyProtection="0"/>
    <xf numFmtId="0" fontId="6" fillId="0" borderId="0"/>
    <xf numFmtId="0" fontId="6" fillId="0" borderId="0"/>
    <xf numFmtId="0" fontId="6" fillId="0" borderId="0"/>
    <xf numFmtId="0" fontId="256" fillId="21" borderId="0" applyNumberFormat="0" applyBorder="0" applyAlignment="0" applyProtection="0"/>
    <xf numFmtId="0" fontId="6" fillId="0" borderId="0"/>
    <xf numFmtId="0" fontId="6" fillId="0" borderId="0"/>
    <xf numFmtId="0" fontId="6" fillId="0" borderId="0"/>
    <xf numFmtId="0" fontId="256" fillId="21" borderId="0" applyNumberFormat="0" applyBorder="0" applyAlignment="0" applyProtection="0"/>
    <xf numFmtId="0" fontId="6" fillId="0" borderId="0"/>
    <xf numFmtId="1" fontId="6" fillId="0" borderId="0"/>
    <xf numFmtId="0" fontId="256" fillId="19" borderId="0" applyNumberFormat="0" applyBorder="0" applyAlignment="0" applyProtection="0"/>
    <xf numFmtId="0" fontId="6" fillId="0" borderId="0"/>
    <xf numFmtId="0" fontId="256" fillId="21" borderId="0" applyNumberFormat="0" applyBorder="0" applyAlignment="0" applyProtection="0"/>
    <xf numFmtId="0" fontId="256" fillId="21" borderId="0" applyNumberFormat="0" applyBorder="0" applyAlignment="0" applyProtection="0"/>
    <xf numFmtId="0" fontId="271" fillId="0" borderId="0" applyNumberFormat="0" applyFill="0">
      <alignment horizontal="left" vertical="center"/>
    </xf>
    <xf numFmtId="0" fontId="4" fillId="0" borderId="0"/>
    <xf numFmtId="0" fontId="6" fillId="0" borderId="0"/>
    <xf numFmtId="1" fontId="6" fillId="0" borderId="0"/>
    <xf numFmtId="0" fontId="256" fillId="19" borderId="0" applyNumberFormat="0" applyBorder="0" applyAlignment="0" applyProtection="0"/>
    <xf numFmtId="1" fontId="6" fillId="0" borderId="0"/>
    <xf numFmtId="0" fontId="256" fillId="19" borderId="0" applyNumberFormat="0" applyBorder="0" applyAlignment="0" applyProtection="0"/>
    <xf numFmtId="0" fontId="6" fillId="0" borderId="0"/>
    <xf numFmtId="1" fontId="6" fillId="0" borderId="0"/>
    <xf numFmtId="0" fontId="256" fillId="19" borderId="0" applyNumberFormat="0" applyBorder="0" applyAlignment="0" applyProtection="0"/>
    <xf numFmtId="0" fontId="6" fillId="0" borderId="0"/>
    <xf numFmtId="0" fontId="6" fillId="0" borderId="0"/>
    <xf numFmtId="0" fontId="256" fillId="45" borderId="0" applyNumberFormat="0" applyBorder="0" applyAlignment="0" applyProtection="0"/>
    <xf numFmtId="0" fontId="256" fillId="12" borderId="0" applyNumberFormat="0" applyBorder="0" applyAlignment="0" applyProtection="0"/>
    <xf numFmtId="0" fontId="6" fillId="0" borderId="0"/>
    <xf numFmtId="43" fontId="6" fillId="0" borderId="0" applyFont="0" applyFill="0" applyBorder="0" applyAlignment="0" applyProtection="0"/>
    <xf numFmtId="0" fontId="6" fillId="0" borderId="0"/>
    <xf numFmtId="40" fontId="107" fillId="0" borderId="0"/>
    <xf numFmtId="0" fontId="256" fillId="12" borderId="0" applyNumberFormat="0" applyBorder="0" applyAlignment="0" applyProtection="0"/>
    <xf numFmtId="0" fontId="6" fillId="0" borderId="0"/>
    <xf numFmtId="0" fontId="4" fillId="0" borderId="0"/>
    <xf numFmtId="0" fontId="6" fillId="0" borderId="0"/>
    <xf numFmtId="43" fontId="6" fillId="0" borderId="0" applyFont="0" applyFill="0" applyBorder="0" applyAlignment="0" applyProtection="0"/>
    <xf numFmtId="0" fontId="103" fillId="0" borderId="0"/>
    <xf numFmtId="10" fontId="19" fillId="34" borderId="1" applyNumberFormat="0" applyBorder="0" applyAlignment="0" applyProtection="0"/>
    <xf numFmtId="44" fontId="6" fillId="0" borderId="0" applyFont="0" applyFill="0" applyBorder="0" applyAlignment="0" applyProtection="0"/>
    <xf numFmtId="0" fontId="256" fillId="12" borderId="0" applyNumberFormat="0" applyBorder="0" applyAlignment="0" applyProtection="0"/>
    <xf numFmtId="0" fontId="6" fillId="0" borderId="0"/>
    <xf numFmtId="0" fontId="103" fillId="0" borderId="0"/>
    <xf numFmtId="0" fontId="256" fillId="12" borderId="0" applyNumberFormat="0" applyBorder="0" applyAlignment="0" applyProtection="0"/>
    <xf numFmtId="0" fontId="6" fillId="0" borderId="0"/>
    <xf numFmtId="0" fontId="255" fillId="52" borderId="0" applyNumberFormat="0" applyBorder="0" applyAlignment="0" applyProtection="0"/>
    <xf numFmtId="0" fontId="256" fillId="12" borderId="0" applyNumberFormat="0" applyBorder="0" applyAlignment="0" applyProtection="0"/>
    <xf numFmtId="9" fontId="4" fillId="0" borderId="0" applyFont="0" applyFill="0" applyBorder="0" applyAlignment="0" applyProtection="0"/>
    <xf numFmtId="0" fontId="256" fillId="14" borderId="0" applyNumberFormat="0" applyBorder="0" applyAlignment="0" applyProtection="0"/>
    <xf numFmtId="0" fontId="4" fillId="0" borderId="0"/>
    <xf numFmtId="0" fontId="255" fillId="37" borderId="0" applyNumberFormat="0" applyBorder="0" applyAlignment="0" applyProtection="0"/>
    <xf numFmtId="0" fontId="4" fillId="0" borderId="0"/>
    <xf numFmtId="0" fontId="6" fillId="0" borderId="0"/>
    <xf numFmtId="0" fontId="6" fillId="0" borderId="0"/>
    <xf numFmtId="43" fontId="6" fillId="0" borderId="0" applyFont="0" applyFill="0" applyBorder="0" applyAlignment="0" applyProtection="0"/>
    <xf numFmtId="0" fontId="6" fillId="0" borderId="0"/>
    <xf numFmtId="0" fontId="6" fillId="34" borderId="97" applyNumberFormat="0" applyFont="0" applyAlignment="0" applyProtection="0"/>
    <xf numFmtId="0" fontId="6" fillId="0" borderId="0"/>
    <xf numFmtId="0" fontId="6" fillId="0" borderId="0"/>
    <xf numFmtId="9" fontId="4" fillId="0" borderId="0" applyFont="0" applyFill="0" applyBorder="0" applyAlignment="0" applyProtection="0"/>
    <xf numFmtId="0" fontId="256" fillId="14" borderId="0" applyNumberFormat="0" applyBorder="0" applyAlignment="0" applyProtection="0"/>
    <xf numFmtId="0" fontId="6" fillId="0" borderId="0"/>
    <xf numFmtId="0" fontId="4" fillId="0" borderId="0"/>
    <xf numFmtId="0" fontId="6" fillId="0" borderId="0"/>
    <xf numFmtId="0" fontId="6" fillId="0" borderId="0"/>
    <xf numFmtId="43" fontId="6" fillId="0" borderId="0" applyFont="0" applyFill="0" applyBorder="0" applyAlignment="0" applyProtection="0"/>
    <xf numFmtId="0" fontId="6" fillId="0" borderId="0"/>
    <xf numFmtId="0" fontId="6" fillId="34" borderId="97" applyNumberFormat="0" applyFont="0" applyAlignment="0" applyProtection="0"/>
    <xf numFmtId="0" fontId="6" fillId="0" borderId="0"/>
    <xf numFmtId="0" fontId="6" fillId="0" borderId="0"/>
    <xf numFmtId="9" fontId="4" fillId="0" borderId="0" applyFont="0" applyFill="0" applyBorder="0" applyAlignment="0" applyProtection="0"/>
    <xf numFmtId="0" fontId="256" fillId="14" borderId="0" applyNumberFormat="0" applyBorder="0" applyAlignment="0" applyProtection="0"/>
    <xf numFmtId="0" fontId="6" fillId="0" borderId="0"/>
    <xf numFmtId="1" fontId="6" fillId="0" borderId="0"/>
    <xf numFmtId="43" fontId="6" fillId="0" borderId="0" applyFont="0" applyFill="0" applyBorder="0" applyAlignment="0" applyProtection="0"/>
    <xf numFmtId="0" fontId="255" fillId="39" borderId="0" applyNumberFormat="0" applyBorder="0" applyAlignment="0" applyProtection="0"/>
    <xf numFmtId="9" fontId="4" fillId="0" borderId="0" applyFont="0" applyFill="0" applyBorder="0" applyAlignment="0" applyProtection="0"/>
    <xf numFmtId="0" fontId="6" fillId="0" borderId="0"/>
    <xf numFmtId="0" fontId="256" fillId="14" borderId="0" applyNumberFormat="0" applyBorder="0" applyAlignment="0" applyProtection="0"/>
    <xf numFmtId="9" fontId="4" fillId="0" borderId="0" applyFont="0" applyFill="0" applyBorder="0" applyAlignment="0" applyProtection="0"/>
    <xf numFmtId="0" fontId="256" fillId="14" borderId="0" applyNumberFormat="0" applyBorder="0" applyAlignment="0" applyProtection="0"/>
    <xf numFmtId="9" fontId="4" fillId="0" borderId="0" applyFont="0" applyFill="0" applyBorder="0" applyAlignment="0" applyProtection="0"/>
    <xf numFmtId="184" fontId="103" fillId="0" borderId="0" applyFont="0" applyFill="0" applyBorder="0" applyAlignment="0" applyProtection="0"/>
    <xf numFmtId="0" fontId="4" fillId="0" borderId="0"/>
    <xf numFmtId="1" fontId="6" fillId="0" borderId="0"/>
    <xf numFmtId="0" fontId="255" fillId="37" borderId="0" applyNumberFormat="0" applyBorder="0" applyAlignment="0" applyProtection="0"/>
    <xf numFmtId="0" fontId="256" fillId="42" borderId="0" applyNumberFormat="0" applyBorder="0" applyAlignment="0" applyProtection="0"/>
    <xf numFmtId="0" fontId="4" fillId="0" borderId="0"/>
    <xf numFmtId="0" fontId="255" fillId="37" borderId="0" applyNumberFormat="0" applyBorder="0" applyAlignment="0" applyProtection="0"/>
    <xf numFmtId="0" fontId="4" fillId="0" borderId="0"/>
    <xf numFmtId="9" fontId="4" fillId="0" borderId="0" applyFont="0" applyFill="0" applyBorder="0" applyAlignment="0" applyProtection="0"/>
    <xf numFmtId="0" fontId="6" fillId="0" borderId="0"/>
    <xf numFmtId="0" fontId="255" fillId="53" borderId="0" applyNumberFormat="0" applyBorder="0" applyAlignment="0" applyProtection="0"/>
    <xf numFmtId="184" fontId="103" fillId="0" borderId="0" applyFont="0" applyFill="0" applyBorder="0" applyAlignment="0" applyProtection="0"/>
    <xf numFmtId="0" fontId="4" fillId="0" borderId="0"/>
    <xf numFmtId="1" fontId="6" fillId="0" borderId="0"/>
    <xf numFmtId="0" fontId="255" fillId="37" borderId="0" applyNumberFormat="0" applyBorder="0" applyAlignment="0" applyProtection="0"/>
    <xf numFmtId="1" fontId="6" fillId="0" borderId="0"/>
    <xf numFmtId="0" fontId="255" fillId="17" borderId="0" applyNumberFormat="0" applyBorder="0" applyAlignment="0" applyProtection="0"/>
    <xf numFmtId="0" fontId="6" fillId="0" borderId="0"/>
    <xf numFmtId="0" fontId="255" fillId="17" borderId="0" applyNumberFormat="0" applyBorder="0" applyAlignment="0" applyProtection="0"/>
    <xf numFmtId="0" fontId="6" fillId="0" borderId="0"/>
    <xf numFmtId="0" fontId="255" fillId="17" borderId="0" applyNumberFormat="0" applyBorder="0" applyAlignment="0" applyProtection="0"/>
    <xf numFmtId="9" fontId="4" fillId="0" borderId="0" applyFont="0" applyFill="0" applyBorder="0" applyAlignment="0" applyProtection="0"/>
    <xf numFmtId="0" fontId="6" fillId="0" borderId="0"/>
    <xf numFmtId="0" fontId="103" fillId="0" borderId="0"/>
    <xf numFmtId="1" fontId="6" fillId="0" borderId="0"/>
    <xf numFmtId="0" fontId="255" fillId="17" borderId="0" applyNumberFormat="0" applyBorder="0" applyAlignment="0" applyProtection="0"/>
    <xf numFmtId="0" fontId="257" fillId="18" borderId="0" applyNumberFormat="0" applyBorder="0" applyAlignment="0" applyProtection="0"/>
    <xf numFmtId="0" fontId="6" fillId="0" borderId="0"/>
    <xf numFmtId="0" fontId="255" fillId="21" borderId="0" applyNumberFormat="0" applyBorder="0" applyAlignment="0" applyProtection="0"/>
    <xf numFmtId="1" fontId="6" fillId="0" borderId="0"/>
    <xf numFmtId="0" fontId="255" fillId="21" borderId="0" applyNumberFormat="0" applyBorder="0" applyAlignment="0" applyProtection="0"/>
    <xf numFmtId="1" fontId="6" fillId="0" borderId="0"/>
    <xf numFmtId="43" fontId="6" fillId="0" borderId="0" applyFont="0" applyFill="0" applyBorder="0" applyAlignment="0" applyProtection="0"/>
    <xf numFmtId="0" fontId="255" fillId="39" borderId="0" applyNumberFormat="0" applyBorder="0" applyAlignment="0" applyProtection="0"/>
    <xf numFmtId="176" fontId="103" fillId="0" borderId="0" applyFont="0" applyFill="0" applyBorder="0" applyAlignment="0" applyProtection="0"/>
    <xf numFmtId="176" fontId="103" fillId="0" borderId="0" applyFont="0" applyFill="0" applyBorder="0" applyAlignment="0" applyProtection="0"/>
    <xf numFmtId="0" fontId="255" fillId="39" borderId="0" applyNumberFormat="0" applyBorder="0" applyAlignment="0" applyProtection="0"/>
    <xf numFmtId="176" fontId="103" fillId="0" borderId="0" applyFont="0" applyFill="0" applyBorder="0" applyAlignment="0" applyProtection="0"/>
    <xf numFmtId="176" fontId="103" fillId="0" borderId="0" applyFont="0" applyFill="0" applyBorder="0" applyAlignment="0" applyProtection="0"/>
    <xf numFmtId="1" fontId="6" fillId="0" borderId="0"/>
    <xf numFmtId="0" fontId="255" fillId="39" borderId="0" applyNumberFormat="0" applyBorder="0" applyAlignment="0" applyProtection="0"/>
    <xf numFmtId="1" fontId="6" fillId="0" borderId="0"/>
    <xf numFmtId="0" fontId="255" fillId="35" borderId="0" applyNumberFormat="0" applyBorder="0" applyAlignment="0" applyProtection="0"/>
    <xf numFmtId="0" fontId="255" fillId="35" borderId="0" applyNumberFormat="0" applyBorder="0" applyAlignment="0" applyProtection="0"/>
    <xf numFmtId="43" fontId="6" fillId="0" borderId="0" applyFont="0" applyFill="0" applyBorder="0" applyAlignment="0" applyProtection="0"/>
    <xf numFmtId="0" fontId="6" fillId="0" borderId="0"/>
    <xf numFmtId="0" fontId="270" fillId="0" borderId="101" applyNumberFormat="0" applyFill="0" applyAlignment="0" applyProtection="0"/>
    <xf numFmtId="0" fontId="255" fillId="35" borderId="0" applyNumberFormat="0" applyBorder="0" applyAlignment="0" applyProtection="0"/>
    <xf numFmtId="0" fontId="256" fillId="54" borderId="0" applyNumberFormat="0" applyBorder="0" applyAlignment="0" applyProtection="0"/>
    <xf numFmtId="43" fontId="6" fillId="0" borderId="0" applyFont="0" applyFill="0" applyBorder="0" applyAlignment="0" applyProtection="0"/>
    <xf numFmtId="0" fontId="6" fillId="0" borderId="0"/>
    <xf numFmtId="1" fontId="6" fillId="0" borderId="0"/>
    <xf numFmtId="0" fontId="255" fillId="35" borderId="0" applyNumberFormat="0" applyBorder="0" applyAlignment="0" applyProtection="0"/>
    <xf numFmtId="0" fontId="6" fillId="0" borderId="9">
      <alignment horizontal="center"/>
    </xf>
    <xf numFmtId="1" fontId="6" fillId="0" borderId="0"/>
    <xf numFmtId="0" fontId="255" fillId="50" borderId="0" applyNumberFormat="0" applyBorder="0" applyAlignment="0" applyProtection="0"/>
    <xf numFmtId="0" fontId="6" fillId="0" borderId="0"/>
    <xf numFmtId="43" fontId="6" fillId="0" borderId="0" applyFont="0" applyFill="0" applyBorder="0" applyAlignment="0" applyProtection="0"/>
    <xf numFmtId="0" fontId="6" fillId="0" borderId="0"/>
    <xf numFmtId="171" fontId="105" fillId="0" borderId="25">
      <alignment horizontal="right"/>
    </xf>
    <xf numFmtId="43" fontId="6" fillId="0" borderId="0" applyFont="0" applyFill="0" applyBorder="0" applyAlignment="0" applyProtection="0"/>
    <xf numFmtId="0" fontId="6" fillId="0" borderId="0"/>
    <xf numFmtId="0" fontId="255" fillId="50" borderId="0" applyNumberFormat="0" applyBorder="0" applyAlignment="0" applyProtection="0"/>
    <xf numFmtId="0" fontId="6" fillId="0" borderId="0"/>
    <xf numFmtId="0" fontId="255" fillId="50" borderId="0" applyNumberFormat="0" applyBorder="0" applyAlignment="0" applyProtection="0"/>
    <xf numFmtId="0" fontId="6" fillId="0" borderId="0"/>
    <xf numFmtId="0" fontId="103" fillId="0" borderId="0"/>
    <xf numFmtId="0" fontId="6" fillId="0" borderId="0"/>
    <xf numFmtId="1" fontId="6" fillId="0" borderId="0"/>
    <xf numFmtId="0" fontId="255" fillId="50" borderId="0" applyNumberFormat="0" applyBorder="0" applyAlignment="0" applyProtection="0"/>
    <xf numFmtId="0" fontId="6" fillId="0" borderId="0"/>
    <xf numFmtId="43" fontId="6" fillId="0" borderId="0" applyFont="0" applyFill="0" applyBorder="0" applyAlignment="0" applyProtection="0"/>
    <xf numFmtId="0" fontId="6" fillId="0" borderId="0"/>
    <xf numFmtId="0" fontId="256" fillId="42" borderId="0" applyNumberFormat="0" applyBorder="0" applyAlignment="0" applyProtection="0"/>
    <xf numFmtId="185" fontId="103" fillId="0" borderId="0" applyFont="0" applyFill="0" applyBorder="0" applyAlignment="0" applyProtection="0"/>
    <xf numFmtId="0" fontId="256" fillId="42" borderId="0" applyNumberFormat="0" applyBorder="0" applyAlignment="0" applyProtection="0"/>
    <xf numFmtId="0" fontId="6" fillId="0" borderId="0"/>
    <xf numFmtId="0" fontId="6" fillId="0" borderId="0"/>
    <xf numFmtId="0" fontId="256" fillId="42" borderId="0" applyNumberFormat="0" applyBorder="0" applyAlignment="0" applyProtection="0"/>
    <xf numFmtId="0" fontId="6" fillId="0" borderId="0"/>
    <xf numFmtId="0" fontId="4" fillId="0" borderId="0"/>
    <xf numFmtId="0" fontId="256" fillId="42" borderId="0" applyNumberFormat="0" applyBorder="0" applyAlignment="0" applyProtection="0"/>
    <xf numFmtId="0" fontId="6" fillId="0" borderId="0"/>
    <xf numFmtId="0" fontId="256" fillId="42"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34" borderId="97" applyNumberFormat="0" applyFont="0" applyAlignment="0" applyProtection="0"/>
    <xf numFmtId="0" fontId="6" fillId="0" borderId="0"/>
    <xf numFmtId="0" fontId="255" fillId="39" borderId="0" applyNumberFormat="0" applyBorder="0" applyAlignment="0" applyProtection="0"/>
    <xf numFmtId="9" fontId="6" fillId="0" borderId="0" applyFont="0" applyFill="0" applyBorder="0" applyAlignment="0" applyProtection="0"/>
    <xf numFmtId="0" fontId="255" fillId="31" borderId="0" applyNumberFormat="0" applyBorder="0" applyAlignment="0" applyProtection="0"/>
    <xf numFmtId="1" fontId="6" fillId="0" borderId="0"/>
    <xf numFmtId="0" fontId="255" fillId="51" borderId="0" applyNumberFormat="0" applyBorder="0" applyAlignment="0" applyProtection="0"/>
    <xf numFmtId="0" fontId="6" fillId="0" borderId="0"/>
    <xf numFmtId="0" fontId="6" fillId="0" borderId="0"/>
    <xf numFmtId="0" fontId="6" fillId="0" borderId="0"/>
    <xf numFmtId="0" fontId="255" fillId="51" borderId="0" applyNumberFormat="0" applyBorder="0" applyAlignment="0" applyProtection="0"/>
    <xf numFmtId="0" fontId="103" fillId="0" borderId="0"/>
    <xf numFmtId="0" fontId="6" fillId="0" borderId="0"/>
    <xf numFmtId="0" fontId="6" fillId="0" borderId="0"/>
    <xf numFmtId="0" fontId="255" fillId="51" borderId="0" applyNumberFormat="0" applyBorder="0" applyAlignment="0" applyProtection="0"/>
    <xf numFmtId="0" fontId="255" fillId="52" borderId="0" applyNumberFormat="0" applyBorder="0" applyAlignment="0" applyProtection="0"/>
    <xf numFmtId="43" fontId="6" fillId="0" borderId="0" applyFont="0" applyFill="0" applyBorder="0" applyAlignment="0" applyProtection="0"/>
    <xf numFmtId="0" fontId="6" fillId="0" borderId="0"/>
    <xf numFmtId="0" fontId="255" fillId="52" borderId="0" applyNumberFormat="0" applyBorder="0" applyAlignment="0" applyProtection="0"/>
    <xf numFmtId="0" fontId="255" fillId="52" borderId="0" applyNumberFormat="0" applyBorder="0" applyAlignment="0" applyProtection="0"/>
    <xf numFmtId="0" fontId="256" fillId="42" borderId="0" applyNumberFormat="0" applyBorder="0" applyAlignment="0" applyProtection="0"/>
    <xf numFmtId="43" fontId="6" fillId="0" borderId="0" applyFont="0" applyFill="0" applyBorder="0" applyAlignment="0" applyProtection="0"/>
    <xf numFmtId="0" fontId="256" fillId="40" borderId="0" applyNumberFormat="0" applyBorder="0" applyAlignment="0" applyProtection="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0" fontId="6" fillId="0" borderId="0"/>
    <xf numFmtId="167" fontId="6" fillId="0" borderId="0" applyFont="0" applyFill="0" applyBorder="0" applyAlignment="0" applyProtection="0"/>
    <xf numFmtId="0" fontId="256" fillId="40" borderId="0" applyNumberFormat="0" applyBorder="0" applyAlignment="0" applyProtection="0"/>
    <xf numFmtId="43" fontId="6" fillId="0" borderId="0" applyFont="0" applyFill="0" applyBorder="0" applyAlignment="0" applyProtection="0"/>
    <xf numFmtId="0" fontId="6" fillId="0" borderId="0"/>
    <xf numFmtId="0" fontId="6" fillId="0" borderId="0"/>
    <xf numFmtId="0" fontId="256" fillId="40" borderId="0" applyNumberFormat="0" applyBorder="0" applyAlignment="0" applyProtection="0"/>
    <xf numFmtId="0" fontId="280" fillId="0" borderId="0" applyNumberFormat="0" applyFill="0" applyBorder="0" applyAlignment="0" applyProtection="0">
      <alignment vertical="top"/>
      <protection locked="0"/>
    </xf>
    <xf numFmtId="0" fontId="6" fillId="0" borderId="0"/>
    <xf numFmtId="43" fontId="6" fillId="0" borderId="0" applyFont="0" applyFill="0" applyBorder="0" applyAlignment="0" applyProtection="0"/>
    <xf numFmtId="0" fontId="6" fillId="0" borderId="0"/>
    <xf numFmtId="0" fontId="256" fillId="38" borderId="0" applyNumberFormat="0" applyBorder="0" applyAlignment="0" applyProtection="0"/>
    <xf numFmtId="0" fontId="6" fillId="0" borderId="0"/>
    <xf numFmtId="0" fontId="6" fillId="0" borderId="0"/>
    <xf numFmtId="43" fontId="4"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256" fillId="38" borderId="0" applyNumberFormat="0" applyBorder="0" applyAlignment="0" applyProtection="0"/>
    <xf numFmtId="0" fontId="6" fillId="0" borderId="0"/>
    <xf numFmtId="1" fontId="6" fillId="0" borderId="0"/>
    <xf numFmtId="0" fontId="4" fillId="0" borderId="0"/>
    <xf numFmtId="0" fontId="4" fillId="0" borderId="0"/>
    <xf numFmtId="0" fontId="6" fillId="0" borderId="0"/>
    <xf numFmtId="0" fontId="256" fillId="38" borderId="0" applyNumberFormat="0" applyBorder="0" applyAlignment="0" applyProtection="0"/>
    <xf numFmtId="0" fontId="6" fillId="0" borderId="0"/>
    <xf numFmtId="0" fontId="255" fillId="53" borderId="0" applyNumberFormat="0" applyBorder="0" applyAlignment="0" applyProtection="0"/>
    <xf numFmtId="43" fontId="6" fillId="0" borderId="0" applyFont="0" applyFill="0" applyBorder="0" applyAlignment="0" applyProtection="0"/>
    <xf numFmtId="0" fontId="103" fillId="0" borderId="0"/>
    <xf numFmtId="0" fontId="6" fillId="0" borderId="0"/>
    <xf numFmtId="0" fontId="255" fillId="53" borderId="0" applyNumberFormat="0" applyBorder="0" applyAlignment="0" applyProtection="0"/>
    <xf numFmtId="179" fontId="6" fillId="0" borderId="0" applyFill="0" applyBorder="0" applyAlignment="0" applyProtection="0"/>
    <xf numFmtId="0" fontId="4" fillId="0" borderId="0"/>
    <xf numFmtId="1" fontId="6"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255" fillId="44" borderId="0" applyNumberFormat="0" applyBorder="0" applyAlignment="0" applyProtection="0"/>
    <xf numFmtId="9" fontId="256" fillId="0" borderId="0" applyFont="0" applyFill="0" applyBorder="0" applyAlignment="0" applyProtection="0"/>
    <xf numFmtId="0" fontId="255" fillId="44" borderId="0" applyNumberFormat="0" applyBorder="0" applyAlignment="0" applyProtection="0"/>
    <xf numFmtId="0" fontId="276" fillId="36" borderId="0" applyNumberFormat="0" applyBorder="0" applyAlignment="0" applyProtection="0"/>
    <xf numFmtId="43" fontId="6" fillId="0" borderId="0" applyFont="0" applyFill="0" applyBorder="0" applyAlignment="0" applyProtection="0"/>
    <xf numFmtId="0" fontId="255" fillId="44" borderId="0" applyNumberFormat="0" applyBorder="0" applyAlignment="0" applyProtection="0"/>
    <xf numFmtId="43" fontId="6" fillId="0" borderId="0" applyFont="0" applyFill="0" applyBorder="0" applyAlignment="0" applyProtection="0"/>
    <xf numFmtId="0" fontId="6" fillId="0" borderId="0"/>
    <xf numFmtId="0" fontId="4" fillId="0" borderId="0"/>
    <xf numFmtId="0" fontId="6" fillId="34" borderId="97" applyNumberFormat="0" applyFont="0" applyAlignment="0" applyProtection="0"/>
    <xf numFmtId="0" fontId="6" fillId="0" borderId="0"/>
    <xf numFmtId="0" fontId="6" fillId="0" borderId="0"/>
    <xf numFmtId="0" fontId="256" fillId="40" borderId="0" applyNumberFormat="0" applyBorder="0" applyAlignment="0" applyProtection="0"/>
    <xf numFmtId="9" fontId="6" fillId="0" borderId="0" applyFont="0" applyFill="0" applyBorder="0" applyAlignment="0" applyProtection="0"/>
    <xf numFmtId="0" fontId="6" fillId="0" borderId="0"/>
    <xf numFmtId="0" fontId="255" fillId="35" borderId="0" applyNumberFormat="0" applyBorder="0" applyAlignment="0" applyProtection="0"/>
    <xf numFmtId="0" fontId="6" fillId="0" borderId="0"/>
    <xf numFmtId="0" fontId="6" fillId="0" borderId="0"/>
    <xf numFmtId="9" fontId="4" fillId="0" borderId="0" applyFont="0" applyFill="0" applyBorder="0" applyAlignment="0" applyProtection="0"/>
    <xf numFmtId="0" fontId="256" fillId="40" borderId="0" applyNumberFormat="0" applyBorder="0" applyAlignment="0" applyProtection="0"/>
    <xf numFmtId="0" fontId="255" fillId="35" borderId="0" applyNumberFormat="0" applyBorder="0" applyAlignment="0" applyProtection="0"/>
    <xf numFmtId="0" fontId="6" fillId="0" borderId="0"/>
    <xf numFmtId="0" fontId="6" fillId="0" borderId="0"/>
    <xf numFmtId="9" fontId="4" fillId="0" borderId="0" applyFont="0" applyFill="0" applyBorder="0" applyAlignment="0" applyProtection="0"/>
    <xf numFmtId="0" fontId="256" fillId="40" borderId="0" applyNumberFormat="0" applyBorder="0" applyAlignment="0" applyProtection="0"/>
    <xf numFmtId="0" fontId="255" fillId="35" borderId="0" applyNumberFormat="0" applyBorder="0" applyAlignment="0" applyProtection="0"/>
    <xf numFmtId="0" fontId="103"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0" fontId="4" fillId="0" borderId="0"/>
    <xf numFmtId="0" fontId="256" fillId="54" borderId="0" applyNumberFormat="0" applyBorder="0" applyAlignment="0" applyProtection="0"/>
    <xf numFmtId="9" fontId="6" fillId="0" borderId="0" applyFont="0" applyFill="0" applyBorder="0" applyAlignment="0" applyProtection="0"/>
    <xf numFmtId="0" fontId="6" fillId="34" borderId="97" applyNumberFormat="0" applyFont="0" applyAlignment="0" applyProtection="0"/>
    <xf numFmtId="0" fontId="6" fillId="0" borderId="0"/>
    <xf numFmtId="0" fontId="256" fillId="54" borderId="0" applyNumberFormat="0" applyBorder="0" applyAlignment="0" applyProtection="0"/>
    <xf numFmtId="0" fontId="256" fillId="54" borderId="0" applyNumberFormat="0" applyBorder="0" applyAlignment="0" applyProtection="0"/>
    <xf numFmtId="0" fontId="4" fillId="0" borderId="0"/>
    <xf numFmtId="0" fontId="265" fillId="46" borderId="100" applyNumberFormat="0" applyAlignment="0" applyProtection="0"/>
    <xf numFmtId="0" fontId="255" fillId="38" borderId="0" applyNumberFormat="0" applyBorder="0" applyAlignment="0" applyProtection="0"/>
    <xf numFmtId="0" fontId="4" fillId="0" borderId="0"/>
    <xf numFmtId="182" fontId="6" fillId="0" borderId="0" applyFont="0" applyFill="0" applyBorder="0" applyAlignment="0" applyProtection="0"/>
    <xf numFmtId="0" fontId="4" fillId="0" borderId="0"/>
    <xf numFmtId="0" fontId="4" fillId="0" borderId="0"/>
    <xf numFmtId="0" fontId="4" fillId="0" borderId="0"/>
    <xf numFmtId="176" fontId="103" fillId="0" borderId="0" applyFont="0" applyFill="0" applyBorder="0" applyAlignment="0" applyProtection="0"/>
    <xf numFmtId="0" fontId="6" fillId="0" borderId="0"/>
    <xf numFmtId="43" fontId="6" fillId="0" borderId="0" applyFont="0" applyFill="0" applyBorder="0" applyAlignment="0" applyProtection="0"/>
    <xf numFmtId="0" fontId="103" fillId="0" borderId="0"/>
    <xf numFmtId="0" fontId="255" fillId="38" borderId="0" applyNumberFormat="0" applyBorder="0" applyAlignment="0" applyProtection="0"/>
    <xf numFmtId="0" fontId="143" fillId="0" borderId="102" applyNumberFormat="0" applyFill="0" applyAlignment="0" applyProtection="0"/>
    <xf numFmtId="0" fontId="6" fillId="34" borderId="97" applyNumberFormat="0" applyFont="0" applyAlignment="0" applyProtection="0"/>
    <xf numFmtId="0" fontId="6" fillId="0" borderId="0"/>
    <xf numFmtId="0" fontId="143" fillId="55" borderId="0" applyNumberFormat="0" applyBorder="0" applyAlignment="0" applyProtection="0"/>
    <xf numFmtId="0" fontId="6" fillId="0" borderId="0"/>
    <xf numFmtId="0" fontId="4" fillId="0" borderId="0"/>
    <xf numFmtId="43" fontId="6" fillId="0" borderId="0" applyFont="0" applyFill="0" applyBorder="0" applyAlignment="0" applyProtection="0"/>
    <xf numFmtId="0" fontId="4" fillId="0" borderId="0"/>
    <xf numFmtId="0" fontId="255" fillId="38" borderId="0" applyNumberFormat="0" applyBorder="0" applyAlignment="0" applyProtection="0"/>
    <xf numFmtId="43" fontId="6" fillId="0" borderId="0" applyFont="0" applyFill="0" applyBorder="0" applyAlignment="0" applyProtection="0"/>
    <xf numFmtId="0" fontId="4" fillId="0" borderId="0"/>
    <xf numFmtId="0" fontId="255" fillId="38" borderId="0" applyNumberFormat="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103" fillId="0" borderId="0"/>
    <xf numFmtId="0" fontId="4" fillId="0" borderId="0"/>
    <xf numFmtId="0" fontId="255" fillId="49" borderId="0" applyNumberFormat="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255" fillId="49" borderId="0" applyNumberFormat="0" applyBorder="0" applyAlignment="0" applyProtection="0"/>
    <xf numFmtId="0" fontId="255" fillId="49" borderId="0" applyNumberFormat="0" applyBorder="0" applyAlignment="0" applyProtection="0"/>
    <xf numFmtId="0" fontId="6" fillId="0" borderId="0"/>
    <xf numFmtId="183" fontId="103" fillId="0" borderId="0" applyFont="0" applyFill="0" applyBorder="0" applyAlignment="0" applyProtection="0"/>
    <xf numFmtId="0" fontId="6" fillId="0" borderId="0"/>
    <xf numFmtId="0" fontId="6" fillId="0" borderId="0"/>
    <xf numFmtId="0" fontId="256" fillId="42" borderId="0" applyNumberFormat="0" applyBorder="0" applyAlignment="0" applyProtection="0"/>
    <xf numFmtId="176" fontId="103" fillId="0" borderId="0" applyFont="0" applyFill="0" applyBorder="0" applyAlignment="0" applyProtection="0"/>
    <xf numFmtId="43" fontId="4" fillId="0" borderId="0" applyFont="0" applyFill="0" applyBorder="0" applyAlignment="0" applyProtection="0"/>
    <xf numFmtId="1" fontId="6" fillId="0" borderId="0"/>
    <xf numFmtId="0" fontId="256" fillId="42" borderId="0" applyNumberFormat="0" applyBorder="0" applyAlignment="0" applyProtection="0"/>
    <xf numFmtId="0" fontId="6" fillId="0" borderId="0"/>
    <xf numFmtId="0" fontId="4" fillId="0" borderId="0"/>
    <xf numFmtId="0" fontId="256" fillId="42" borderId="0" applyNumberFormat="0" applyBorder="0" applyAlignment="0" applyProtection="0"/>
    <xf numFmtId="0" fontId="4" fillId="0" borderId="0"/>
    <xf numFmtId="0" fontId="6" fillId="0" borderId="0"/>
    <xf numFmtId="43" fontId="6" fillId="0" borderId="0" applyFont="0" applyFill="0" applyBorder="0" applyAlignment="0" applyProtection="0"/>
    <xf numFmtId="0" fontId="4" fillId="0" borderId="0"/>
    <xf numFmtId="0" fontId="6" fillId="0" borderId="0"/>
    <xf numFmtId="9" fontId="6" fillId="0" borderId="0" applyFont="0" applyFill="0" applyBorder="0" applyAlignment="0" applyProtection="0"/>
    <xf numFmtId="0" fontId="256" fillId="38" borderId="0" applyNumberFormat="0" applyBorder="0" applyAlignment="0" applyProtection="0"/>
    <xf numFmtId="0" fontId="6" fillId="0" borderId="0"/>
    <xf numFmtId="0" fontId="256" fillId="45" borderId="0" applyNumberFormat="0" applyBorder="0" applyAlignment="0" applyProtection="0"/>
    <xf numFmtId="0" fontId="6" fillId="0" borderId="0"/>
    <xf numFmtId="0" fontId="6" fillId="0" borderId="0"/>
    <xf numFmtId="43" fontId="6" fillId="0" borderId="0" applyFont="0" applyFill="0" applyBorder="0" applyAlignment="0" applyProtection="0"/>
    <xf numFmtId="0" fontId="256" fillId="38" borderId="0" applyNumberFormat="0" applyBorder="0" applyAlignment="0" applyProtection="0"/>
    <xf numFmtId="0" fontId="6" fillId="0" borderId="0"/>
    <xf numFmtId="43" fontId="6" fillId="0" borderId="0" applyFont="0" applyFill="0" applyBorder="0" applyAlignment="0" applyProtection="0"/>
    <xf numFmtId="0" fontId="256" fillId="38" borderId="0" applyNumberFormat="0" applyBorder="0" applyAlignment="0" applyProtection="0"/>
    <xf numFmtId="0" fontId="6" fillId="0" borderId="0"/>
    <xf numFmtId="0" fontId="4" fillId="0" borderId="0"/>
    <xf numFmtId="0" fontId="4" fillId="0" borderId="0"/>
    <xf numFmtId="43" fontId="6" fillId="0" borderId="0" applyFont="0" applyFill="0" applyBorder="0" applyAlignment="0" applyProtection="0"/>
    <xf numFmtId="0" fontId="256" fillId="38" borderId="0" applyNumberFormat="0" applyBorder="0" applyAlignment="0" applyProtection="0"/>
    <xf numFmtId="0" fontId="6" fillId="0" borderId="0"/>
    <xf numFmtId="0" fontId="255" fillId="38" borderId="0" applyNumberFormat="0" applyBorder="0" applyAlignment="0" applyProtection="0"/>
    <xf numFmtId="0" fontId="4" fillId="0" borderId="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255" fillId="38" borderId="0" applyNumberFormat="0" applyBorder="0" applyAlignment="0" applyProtection="0"/>
    <xf numFmtId="0" fontId="4" fillId="0" borderId="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255" fillId="39" borderId="0" applyNumberFormat="0" applyBorder="0" applyAlignment="0" applyProtection="0"/>
    <xf numFmtId="9" fontId="6" fillId="0" borderId="0" applyFont="0" applyFill="0" applyBorder="0" applyAlignment="0" applyProtection="0"/>
    <xf numFmtId="0" fontId="255" fillId="31" borderId="0" applyNumberFormat="0" applyBorder="0" applyAlignment="0" applyProtection="0"/>
    <xf numFmtId="0" fontId="275" fillId="0" borderId="0" applyNumberFormat="0" applyAlignment="0">
      <alignment horizontal="left"/>
    </xf>
    <xf numFmtId="0" fontId="255" fillId="39" borderId="0" applyNumberFormat="0" applyBorder="0" applyAlignment="0" applyProtection="0"/>
    <xf numFmtId="0" fontId="4" fillId="0" borderId="0"/>
    <xf numFmtId="43" fontId="6" fillId="0" borderId="0" applyFont="0" applyFill="0" applyBorder="0" applyAlignment="0" applyProtection="0"/>
    <xf numFmtId="0" fontId="256" fillId="43" borderId="0" applyNumberFormat="0" applyBorder="0" applyAlignment="0" applyProtection="0"/>
    <xf numFmtId="0" fontId="4" fillId="0" borderId="0"/>
    <xf numFmtId="43" fontId="6" fillId="0" borderId="0" applyFont="0" applyFill="0" applyBorder="0" applyAlignment="0" applyProtection="0"/>
    <xf numFmtId="0" fontId="256" fillId="43" borderId="0" applyNumberFormat="0" applyBorder="0" applyAlignment="0" applyProtection="0"/>
    <xf numFmtId="0" fontId="256" fillId="43" borderId="0" applyNumberFormat="0" applyBorder="0" applyAlignment="0" applyProtection="0"/>
    <xf numFmtId="0" fontId="6" fillId="0" borderId="0"/>
    <xf numFmtId="43" fontId="6" fillId="0" borderId="0" applyFont="0" applyFill="0" applyBorder="0" applyAlignment="0" applyProtection="0"/>
    <xf numFmtId="0" fontId="103" fillId="0" borderId="0"/>
    <xf numFmtId="0" fontId="256" fillId="42" borderId="0" applyNumberFormat="0" applyBorder="0" applyAlignment="0" applyProtection="0"/>
    <xf numFmtId="0" fontId="6" fillId="0" borderId="0"/>
    <xf numFmtId="0" fontId="6" fillId="0" borderId="0"/>
    <xf numFmtId="0" fontId="256" fillId="42" borderId="0" applyNumberFormat="0" applyBorder="0" applyAlignment="0" applyProtection="0"/>
    <xf numFmtId="0" fontId="4" fillId="0" borderId="0"/>
    <xf numFmtId="0" fontId="6" fillId="0" borderId="0"/>
    <xf numFmtId="0" fontId="256" fillId="42" borderId="0" applyNumberFormat="0" applyBorder="0" applyAlignment="0" applyProtection="0"/>
    <xf numFmtId="0" fontId="255" fillId="51" borderId="0" applyNumberFormat="0" applyBorder="0" applyAlignment="0" applyProtection="0"/>
    <xf numFmtId="0" fontId="255" fillId="51" borderId="0" applyNumberFormat="0" applyBorder="0" applyAlignment="0" applyProtection="0"/>
    <xf numFmtId="0" fontId="6" fillId="0" borderId="0"/>
    <xf numFmtId="0" fontId="6" fillId="0" borderId="0"/>
    <xf numFmtId="9" fontId="6" fillId="0" borderId="0" applyFont="0" applyFill="0" applyBorder="0" applyAlignment="0" applyProtection="0"/>
    <xf numFmtId="0" fontId="6" fillId="0" borderId="0"/>
    <xf numFmtId="0" fontId="255" fillId="35" borderId="0" applyNumberFormat="0" applyBorder="0" applyAlignment="0" applyProtection="0"/>
    <xf numFmtId="9" fontId="4" fillId="0" borderId="0" applyFont="0" applyFill="0" applyBorder="0" applyAlignment="0" applyProtection="0"/>
    <xf numFmtId="0" fontId="256" fillId="40" borderId="0" applyNumberFormat="0" applyBorder="0" applyAlignment="0" applyProtection="0"/>
    <xf numFmtId="0" fontId="6" fillId="0" borderId="0"/>
    <xf numFmtId="9" fontId="4" fillId="0" borderId="0" applyFont="0" applyFill="0" applyBorder="0" applyAlignment="0" applyProtection="0"/>
    <xf numFmtId="0" fontId="47" fillId="0" borderId="1">
      <alignment wrapText="1"/>
    </xf>
    <xf numFmtId="0" fontId="6" fillId="0" borderId="0"/>
    <xf numFmtId="0" fontId="4" fillId="0" borderId="0"/>
    <xf numFmtId="0" fontId="6" fillId="0" borderId="0"/>
    <xf numFmtId="43" fontId="6" fillId="0" borderId="0" applyFont="0" applyFill="0" applyBorder="0" applyAlignment="0" applyProtection="0"/>
    <xf numFmtId="0" fontId="256" fillId="40" borderId="0" applyNumberFormat="0" applyBorder="0" applyAlignment="0" applyProtection="0"/>
    <xf numFmtId="0" fontId="6" fillId="34" borderId="97" applyNumberFormat="0" applyFont="0" applyAlignment="0" applyProtection="0"/>
    <xf numFmtId="0" fontId="6" fillId="0" borderId="0"/>
    <xf numFmtId="0" fontId="6" fillId="0" borderId="0"/>
    <xf numFmtId="9" fontId="4" fillId="0" borderId="0" applyFont="0" applyFill="0" applyBorder="0" applyAlignment="0" applyProtection="0"/>
    <xf numFmtId="0" fontId="6" fillId="0" borderId="0"/>
    <xf numFmtId="0" fontId="4"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256" fillId="40" borderId="0" applyNumberFormat="0" applyBorder="0" applyAlignment="0" applyProtection="0"/>
    <xf numFmtId="0" fontId="6" fillId="34" borderId="97" applyNumberFormat="0" applyFont="0" applyAlignment="0" applyProtection="0"/>
    <xf numFmtId="0" fontId="6" fillId="0" borderId="0"/>
    <xf numFmtId="0" fontId="6" fillId="0" borderId="0"/>
    <xf numFmtId="43" fontId="6" fillId="0" borderId="0" applyFont="0" applyFill="0" applyBorder="0" applyAlignment="0" applyProtection="0"/>
    <xf numFmtId="0" fontId="256" fillId="40" borderId="0" applyNumberFormat="0" applyBorder="0" applyAlignment="0" applyProtection="0"/>
    <xf numFmtId="0" fontId="256" fillId="45" borderId="0" applyNumberFormat="0" applyBorder="0" applyAlignment="0" applyProtection="0"/>
    <xf numFmtId="44"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9">
      <alignment horizontal="center"/>
    </xf>
    <xf numFmtId="0" fontId="263" fillId="0" borderId="0" applyFill="0" applyBorder="0" applyAlignment="0"/>
    <xf numFmtId="0" fontId="103" fillId="0" borderId="0"/>
    <xf numFmtId="0" fontId="256" fillId="45" borderId="0" applyNumberFormat="0" applyBorder="0" applyAlignment="0" applyProtection="0"/>
    <xf numFmtId="0" fontId="6" fillId="0" borderId="0"/>
    <xf numFmtId="44" fontId="6" fillId="0" borderId="0" applyFont="0" applyFill="0" applyBorder="0" applyAlignment="0" applyProtection="0"/>
    <xf numFmtId="0" fontId="6" fillId="0" borderId="0"/>
    <xf numFmtId="1" fontId="6" fillId="0" borderId="0"/>
    <xf numFmtId="0" fontId="255" fillId="45" borderId="0" applyNumberFormat="0" applyBorder="0" applyAlignment="0" applyProtection="0"/>
    <xf numFmtId="0" fontId="6" fillId="0" borderId="0"/>
    <xf numFmtId="0" fontId="6" fillId="0" borderId="0"/>
    <xf numFmtId="0" fontId="255" fillId="31" borderId="0" applyNumberFormat="0" applyBorder="0" applyAlignment="0" applyProtection="0"/>
    <xf numFmtId="0" fontId="257" fillId="18" borderId="0" applyNumberFormat="0" applyBorder="0" applyAlignment="0" applyProtection="0"/>
    <xf numFmtId="0" fontId="257" fillId="18" borderId="0" applyNumberFormat="0" applyBorder="0" applyAlignment="0" applyProtection="0"/>
    <xf numFmtId="0" fontId="271" fillId="0" borderId="0" applyNumberFormat="0" applyFill="0">
      <alignment horizontal="left" vertical="center"/>
    </xf>
    <xf numFmtId="0" fontId="256" fillId="0" borderId="0"/>
    <xf numFmtId="43" fontId="6" fillId="0" borderId="0" applyFont="0" applyFill="0" applyBorder="0" applyAlignment="0" applyProtection="0"/>
    <xf numFmtId="0" fontId="6" fillId="0" borderId="0"/>
    <xf numFmtId="0" fontId="6" fillId="0" borderId="0"/>
    <xf numFmtId="1" fontId="6" fillId="0" borderId="0"/>
    <xf numFmtId="0" fontId="6" fillId="0" borderId="0"/>
    <xf numFmtId="0" fontId="141" fillId="0" borderId="0" applyNumberFormat="0" applyFill="0" applyBorder="0" applyAlignment="0" applyProtection="0"/>
    <xf numFmtId="0" fontId="103" fillId="0" borderId="0"/>
    <xf numFmtId="0" fontId="263" fillId="0" borderId="0" applyFill="0" applyBorder="0" applyAlignment="0"/>
    <xf numFmtId="0" fontId="4" fillId="0" borderId="0"/>
    <xf numFmtId="0" fontId="264" fillId="33" borderId="99" applyNumberFormat="0" applyAlignment="0" applyProtection="0"/>
    <xf numFmtId="0" fontId="6" fillId="0" borderId="0"/>
    <xf numFmtId="0" fontId="6" fillId="0" borderId="0"/>
    <xf numFmtId="43" fontId="6" fillId="0" borderId="0" applyFont="0" applyFill="0" applyBorder="0" applyAlignment="0" applyProtection="0"/>
    <xf numFmtId="0" fontId="264" fillId="33" borderId="99" applyNumberFormat="0" applyAlignment="0" applyProtection="0"/>
    <xf numFmtId="0" fontId="6" fillId="0" borderId="0"/>
    <xf numFmtId="0" fontId="265" fillId="46" borderId="100" applyNumberFormat="0" applyAlignment="0" applyProtection="0"/>
    <xf numFmtId="38" fontId="19" fillId="33" borderId="0" applyNumberFormat="0" applyBorder="0" applyAlignment="0" applyProtection="0"/>
    <xf numFmtId="0" fontId="6" fillId="0" borderId="0"/>
    <xf numFmtId="0" fontId="265" fillId="46" borderId="100" applyNumberFormat="0" applyAlignment="0" applyProtection="0"/>
    <xf numFmtId="43" fontId="6" fillId="0" borderId="0" applyFont="0" applyFill="0" applyBorder="0" applyAlignment="0" applyProtection="0"/>
    <xf numFmtId="0" fontId="6" fillId="0" borderId="0"/>
    <xf numFmtId="0" fontId="4" fillId="0" borderId="0"/>
    <xf numFmtId="0" fontId="6" fillId="34" borderId="97" applyNumberFormat="0" applyFont="0" applyAlignment="0" applyProtection="0"/>
    <xf numFmtId="0" fontId="6"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6" fillId="0" borderId="0"/>
    <xf numFmtId="0" fontId="6" fillId="0" borderId="0"/>
    <xf numFmtId="0" fontId="4" fillId="0" borderId="0"/>
    <xf numFmtId="0" fontId="6" fillId="0" borderId="0"/>
    <xf numFmtId="0" fontId="4" fillId="0" borderId="0"/>
    <xf numFmtId="181" fontId="103"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256" fillId="0" borderId="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0" fontId="274" fillId="15" borderId="99" applyNumberFormat="0" applyAlignment="0" applyProtection="0"/>
    <xf numFmtId="43" fontId="6" fillId="0" borderId="0" applyFont="0" applyFill="0" applyBorder="0" applyAlignment="0" applyProtection="0"/>
    <xf numFmtId="0" fontId="6" fillId="0" borderId="0"/>
    <xf numFmtId="0" fontId="6" fillId="34" borderId="97" applyNumberFormat="0" applyFont="0" applyAlignment="0" applyProtection="0"/>
    <xf numFmtId="189" fontId="103"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47" fillId="0" borderId="1">
      <alignment wrapText="1"/>
    </xf>
    <xf numFmtId="0" fontId="274" fillId="15" borderId="99" applyNumberFormat="0" applyAlignment="0" applyProtection="0"/>
    <xf numFmtId="0" fontId="4"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44"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183" fontId="103" fillId="0" borderId="0" applyFont="0" applyFill="0" applyBorder="0" applyAlignment="0" applyProtection="0"/>
    <xf numFmtId="4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0" fontId="4" fillId="0" borderId="0"/>
    <xf numFmtId="0" fontId="266" fillId="47" borderId="0" applyNumberFormat="0" applyBorder="0" applyAlignment="0" applyProtection="0"/>
    <xf numFmtId="176" fontId="103"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103" fillId="0" borderId="0"/>
    <xf numFmtId="0" fontId="6" fillId="0" borderId="0"/>
    <xf numFmtId="0" fontId="182" fillId="0" borderId="0" applyProtection="0">
      <alignment horizontal="center" vertical="center"/>
    </xf>
    <xf numFmtId="43" fontId="6" fillId="0" borderId="0" applyFont="0" applyFill="0" applyBorder="0" applyAlignment="0" applyProtection="0"/>
    <xf numFmtId="0" fontId="103" fillId="0" borderId="0"/>
    <xf numFmtId="0" fontId="6" fillId="0" borderId="0"/>
    <xf numFmtId="0" fontId="4" fillId="0" borderId="0"/>
    <xf numFmtId="176" fontId="103" fillId="0" borderId="0" applyFont="0" applyFill="0" applyBorder="0" applyAlignment="0" applyProtection="0"/>
    <xf numFmtId="182" fontId="6" fillId="0" borderId="0" applyFont="0" applyFill="0" applyBorder="0" applyAlignment="0" applyProtection="0"/>
    <xf numFmtId="0" fontId="4" fillId="0" borderId="0"/>
    <xf numFmtId="0" fontId="4" fillId="0" borderId="0"/>
    <xf numFmtId="0" fontId="4" fillId="0" borderId="0"/>
    <xf numFmtId="176" fontId="103" fillId="0" borderId="0" applyFont="0" applyFill="0" applyBorder="0" applyAlignment="0" applyProtection="0"/>
    <xf numFmtId="0" fontId="4" fillId="0" borderId="0"/>
    <xf numFmtId="176" fontId="103" fillId="0" borderId="0" applyFont="0" applyFill="0" applyBorder="0" applyAlignment="0" applyProtection="0"/>
    <xf numFmtId="176" fontId="103" fillId="0" borderId="0" applyFont="0" applyFill="0" applyBorder="0" applyAlignment="0" applyProtection="0"/>
    <xf numFmtId="0" fontId="4" fillId="0" borderId="0"/>
    <xf numFmtId="176" fontId="103" fillId="0" borderId="0" applyFont="0" applyFill="0" applyBorder="0" applyAlignment="0" applyProtection="0"/>
    <xf numFmtId="176" fontId="103" fillId="0" borderId="0" applyFont="0" applyFill="0" applyBorder="0" applyAlignment="0" applyProtection="0"/>
    <xf numFmtId="0" fontId="4" fillId="0" borderId="0"/>
    <xf numFmtId="176" fontId="103" fillId="0" borderId="0" applyFont="0" applyFill="0" applyBorder="0" applyAlignment="0" applyProtection="0"/>
    <xf numFmtId="176" fontId="103" fillId="0" borderId="0" applyFont="0" applyFill="0" applyBorder="0" applyAlignment="0" applyProtection="0"/>
    <xf numFmtId="0" fontId="4" fillId="0" borderId="0"/>
    <xf numFmtId="187" fontId="103" fillId="0" borderId="0" applyFont="0" applyFill="0" applyBorder="0" applyAlignment="0" applyProtection="0"/>
    <xf numFmtId="166" fontId="103" fillId="0" borderId="0" applyFont="0" applyFill="0" applyBorder="0" applyAlignment="0" applyProtection="0"/>
    <xf numFmtId="38" fontId="19" fillId="33" borderId="0" applyNumberFormat="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4" fontId="6" fillId="0" borderId="0" applyFont="0" applyFill="0" applyBorder="0" applyAlignment="0" applyProtection="0"/>
    <xf numFmtId="0" fontId="4" fillId="0" borderId="0"/>
    <xf numFmtId="43" fontId="6" fillId="0" borderId="0" applyFont="0" applyFill="0" applyBorder="0" applyAlignment="0" applyProtection="0"/>
    <xf numFmtId="0" fontId="6" fillId="0" borderId="0"/>
    <xf numFmtId="0" fontId="4"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103"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0" fontId="6" fillId="0" borderId="0"/>
    <xf numFmtId="43" fontId="6" fillId="0" borderId="0" applyFont="0" applyFill="0" applyBorder="0" applyAlignment="0" applyProtection="0"/>
    <xf numFmtId="0" fontId="6" fillId="0" borderId="0"/>
    <xf numFmtId="0" fontId="4" fillId="0" borderId="0"/>
    <xf numFmtId="0" fontId="4"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9" fontId="6" fillId="0" borderId="0" applyFont="0" applyFill="0" applyBorder="0" applyAlignment="0" applyProtection="0"/>
    <xf numFmtId="0" fontId="103" fillId="0" borderId="0"/>
    <xf numFmtId="171" fontId="105" fillId="0" borderId="25">
      <alignment horizontal="right"/>
    </xf>
    <xf numFmtId="43" fontId="6" fillId="0" borderId="0" applyFont="0" applyFill="0" applyBorder="0" applyAlignment="0" applyProtection="0"/>
    <xf numFmtId="0" fontId="6" fillId="0" borderId="0"/>
    <xf numFmtId="171" fontId="105" fillId="0" borderId="25">
      <alignment horizontal="right"/>
    </xf>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103" fillId="0" borderId="0"/>
    <xf numFmtId="0" fontId="4" fillId="0" borderId="0"/>
    <xf numFmtId="0" fontId="6" fillId="0" borderId="0"/>
    <xf numFmtId="43" fontId="6" fillId="0" borderId="0" applyFont="0" applyFill="0" applyBorder="0" applyAlignment="0" applyProtection="0"/>
    <xf numFmtId="0" fontId="103" fillId="0" borderId="0"/>
    <xf numFmtId="0" fontId="6" fillId="0" borderId="0"/>
    <xf numFmtId="43" fontId="6" fillId="0" borderId="0" applyFont="0" applyFill="0" applyBorder="0" applyAlignment="0" applyProtection="0"/>
    <xf numFmtId="0" fontId="6" fillId="0" borderId="0"/>
    <xf numFmtId="0" fontId="103" fillId="0" borderId="0"/>
    <xf numFmtId="43" fontId="6" fillId="0" borderId="0" applyFont="0" applyFill="0" applyBorder="0" applyAlignment="0" applyProtection="0"/>
    <xf numFmtId="0" fontId="6" fillId="0" borderId="0"/>
    <xf numFmtId="0" fontId="103" fillId="0" borderId="0"/>
    <xf numFmtId="0" fontId="6" fillId="0" borderId="9">
      <alignment horizontal="center"/>
    </xf>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4" fillId="0" borderId="0"/>
    <xf numFmtId="0" fontId="6" fillId="0" borderId="0"/>
    <xf numFmtId="43" fontId="6" fillId="0" borderId="0" applyFont="0" applyFill="0" applyBorder="0" applyAlignment="0" applyProtection="0"/>
    <xf numFmtId="0" fontId="6" fillId="0" borderId="0"/>
    <xf numFmtId="0" fontId="6" fillId="0" borderId="0"/>
    <xf numFmtId="0" fontId="4" fillId="0" borderId="0"/>
    <xf numFmtId="0" fontId="6" fillId="0" borderId="0"/>
    <xf numFmtId="43" fontId="6" fillId="0" borderId="0" applyFont="0" applyFill="0" applyBorder="0" applyAlignment="0" applyProtection="0"/>
    <xf numFmtId="0" fontId="6" fillId="0" borderId="0"/>
    <xf numFmtId="0" fontId="25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4"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4"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4"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43"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267" fillId="0" borderId="0" applyNumberFormat="0" applyFill="0" applyBorder="0" applyAlignment="0" applyProtection="0"/>
    <xf numFmtId="0" fontId="6" fillId="0" borderId="0"/>
    <xf numFmtId="0" fontId="4" fillId="0" borderId="0"/>
    <xf numFmtId="43" fontId="6" fillId="0" borderId="0" applyFont="0" applyFill="0" applyBorder="0" applyAlignment="0" applyProtection="0"/>
    <xf numFmtId="0" fontId="6" fillId="34" borderId="97" applyNumberFormat="0" applyFont="0" applyAlignment="0" applyProtection="0"/>
    <xf numFmtId="43" fontId="6" fillId="0" borderId="0" applyFont="0" applyFill="0" applyBorder="0" applyAlignment="0" applyProtection="0"/>
    <xf numFmtId="0" fontId="6" fillId="0" borderId="0"/>
    <xf numFmtId="0" fontId="6" fillId="0" borderId="0"/>
    <xf numFmtId="0" fontId="6" fillId="34" borderId="97" applyNumberFormat="0" applyFont="0" applyAlignment="0" applyProtection="0"/>
    <xf numFmtId="43" fontId="6" fillId="0" borderId="0" applyFont="0" applyFill="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270" fillId="0" borderId="101" applyNumberFormat="0" applyFill="0" applyAlignment="0" applyProtection="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4" fillId="0" borderId="0" applyFont="0" applyFill="0" applyBorder="0" applyAlignment="0" applyProtection="0"/>
    <xf numFmtId="0" fontId="4" fillId="0" borderId="0"/>
    <xf numFmtId="1" fontId="6" fillId="0" borderId="0"/>
    <xf numFmtId="0" fontId="4" fillId="0" borderId="0"/>
    <xf numFmtId="0" fontId="6" fillId="0" borderId="0"/>
    <xf numFmtId="43" fontId="4" fillId="0" borderId="0" applyFont="0" applyFill="0" applyBorder="0" applyAlignment="0" applyProtection="0"/>
    <xf numFmtId="0" fontId="4" fillId="0" borderId="0"/>
    <xf numFmtId="0" fontId="6" fillId="0" borderId="0"/>
    <xf numFmtId="43" fontId="4" fillId="0" borderId="0" applyFont="0" applyFill="0" applyBorder="0" applyAlignment="0" applyProtection="0"/>
    <xf numFmtId="193" fontId="103" fillId="0" borderId="0" applyFont="0" applyFill="0" applyBorder="0" applyAlignment="0" applyProtection="0"/>
    <xf numFmtId="0" fontId="4"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4"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271" fillId="0" borderId="0" applyNumberFormat="0" applyFill="0">
      <alignment horizontal="left" vertical="center"/>
    </xf>
    <xf numFmtId="37" fontId="269"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103" fillId="0" borderId="0"/>
    <xf numFmtId="0" fontId="4" fillId="0" borderId="0"/>
    <xf numFmtId="0" fontId="256" fillId="0" borderId="0"/>
    <xf numFmtId="176" fontId="103"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5" fillId="0" borderId="10">
      <alignment horizontal="left" vertical="center"/>
    </xf>
    <xf numFmtId="0" fontId="6" fillId="0" borderId="0"/>
    <xf numFmtId="43" fontId="6" fillId="0" borderId="0" applyFont="0" applyFill="0" applyBorder="0" applyAlignment="0" applyProtection="0"/>
    <xf numFmtId="0" fontId="5" fillId="0" borderId="10">
      <alignment horizontal="left" vertical="center"/>
    </xf>
    <xf numFmtId="0" fontId="6" fillId="0" borderId="0"/>
    <xf numFmtId="43" fontId="6" fillId="0" borderId="0" applyFont="0" applyFill="0" applyBorder="0" applyAlignment="0" applyProtection="0"/>
    <xf numFmtId="43" fontId="6" fillId="0" borderId="0" applyFont="0" applyFill="0" applyBorder="0" applyAlignment="0" applyProtection="0"/>
    <xf numFmtId="0" fontId="274" fillId="15" borderId="99" applyNumberFormat="0" applyAlignment="0" applyProtection="0"/>
    <xf numFmtId="0" fontId="4" fillId="0" borderId="0"/>
    <xf numFmtId="0" fontId="6" fillId="0" borderId="0"/>
    <xf numFmtId="43" fontId="6" fillId="0" borderId="0" applyFont="0" applyFill="0" applyBorder="0" applyAlignment="0" applyProtection="0"/>
    <xf numFmtId="0" fontId="47" fillId="0" borderId="1">
      <alignment wrapText="1"/>
    </xf>
    <xf numFmtId="0"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261" fillId="0" borderId="98" applyNumberFormat="0" applyFill="0" applyAlignment="0" applyProtection="0"/>
    <xf numFmtId="0" fontId="6" fillId="0" borderId="0"/>
    <xf numFmtId="43" fontId="6" fillId="0" borderId="0" applyFont="0" applyFill="0" applyBorder="0" applyAlignment="0" applyProtection="0"/>
    <xf numFmtId="0" fontId="6" fillId="0" borderId="0"/>
    <xf numFmtId="0" fontId="4" fillId="0" borderId="0"/>
    <xf numFmtId="0" fontId="261" fillId="0" borderId="98" applyNumberFormat="0" applyFill="0" applyAlignment="0" applyProtection="0"/>
    <xf numFmtId="0" fontId="6" fillId="0" borderId="0"/>
    <xf numFmtId="43" fontId="6" fillId="0" borderId="0" applyFont="0" applyFill="0" applyBorder="0" applyAlignment="0" applyProtection="0"/>
    <xf numFmtId="0" fontId="103" fillId="0" borderId="0"/>
    <xf numFmtId="0" fontId="103" fillId="0" borderId="0"/>
    <xf numFmtId="0" fontId="266" fillId="47" borderId="0" applyNumberFormat="0" applyBorder="0" applyAlignment="0" applyProtection="0"/>
    <xf numFmtId="0" fontId="6" fillId="0" borderId="0"/>
    <xf numFmtId="43" fontId="6" fillId="0" borderId="0" applyFont="0" applyFill="0" applyBorder="0" applyAlignment="0" applyProtection="0"/>
    <xf numFmtId="0" fontId="103" fillId="0" borderId="0"/>
    <xf numFmtId="0" fontId="4" fillId="0" borderId="0"/>
    <xf numFmtId="183" fontId="103" fillId="0" borderId="0" applyFont="0" applyFill="0" applyBorder="0" applyAlignment="0" applyProtection="0"/>
    <xf numFmtId="0" fontId="6" fillId="0" borderId="0"/>
    <xf numFmtId="0" fontId="6" fillId="0" borderId="0"/>
    <xf numFmtId="183" fontId="103" fillId="0" borderId="0" applyFont="0" applyFill="0" applyBorder="0" applyAlignment="0" applyProtection="0"/>
    <xf numFmtId="0" fontId="6" fillId="0" borderId="0"/>
    <xf numFmtId="0" fontId="6" fillId="0" borderId="0"/>
    <xf numFmtId="183" fontId="103" fillId="0" borderId="0" applyFont="0" applyFill="0" applyBorder="0" applyAlignment="0" applyProtection="0"/>
    <xf numFmtId="43" fontId="6" fillId="0" borderId="0" applyFont="0" applyFill="0" applyBorder="0" applyAlignment="0" applyProtection="0"/>
    <xf numFmtId="185" fontId="103" fillId="0" borderId="0" applyFont="0" applyFill="0" applyBorder="0" applyAlignment="0" applyProtection="0"/>
    <xf numFmtId="0" fontId="6" fillId="0" borderId="0"/>
    <xf numFmtId="185" fontId="103"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183" fontId="103" fillId="0" borderId="0" applyFont="0" applyFill="0" applyBorder="0" applyAlignment="0" applyProtection="0"/>
    <xf numFmtId="0" fontId="6" fillId="0" borderId="0"/>
    <xf numFmtId="183" fontId="103" fillId="0" borderId="0" applyFont="0" applyFill="0" applyBorder="0" applyAlignment="0" applyProtection="0"/>
    <xf numFmtId="0" fontId="6" fillId="0" borderId="0"/>
    <xf numFmtId="183" fontId="103" fillId="0" borderId="0" applyFont="0" applyFill="0" applyBorder="0" applyAlignment="0" applyProtection="0"/>
    <xf numFmtId="183" fontId="103" fillId="0" borderId="0" applyFont="0" applyFill="0" applyBorder="0" applyAlignment="0" applyProtection="0"/>
    <xf numFmtId="0" fontId="261" fillId="0" borderId="0" applyNumberFormat="0" applyFill="0" applyBorder="0" applyAlignment="0" applyProtection="0"/>
    <xf numFmtId="183" fontId="103" fillId="0" borderId="0" applyFont="0" applyFill="0" applyBorder="0" applyAlignment="0" applyProtection="0"/>
    <xf numFmtId="43" fontId="6" fillId="0" borderId="0" applyFont="0" applyFill="0" applyBorder="0" applyAlignment="0" applyProtection="0"/>
    <xf numFmtId="1" fontId="6" fillId="0" borderId="0"/>
    <xf numFmtId="43" fontId="6" fillId="0" borderId="0" applyFont="0" applyFill="0" applyBorder="0" applyAlignment="0" applyProtection="0"/>
    <xf numFmtId="43" fontId="6" fillId="0" borderId="0" applyFont="0" applyFill="0" applyBorder="0" applyAlignment="0" applyProtection="0"/>
    <xf numFmtId="1" fontId="6" fillId="0" borderId="0"/>
    <xf numFmtId="43" fontId="6" fillId="0" borderId="0" applyFont="0" applyFill="0" applyBorder="0" applyAlignment="0" applyProtection="0"/>
    <xf numFmtId="1" fontId="6" fillId="0" borderId="0"/>
    <xf numFmtId="43" fontId="6" fillId="0" borderId="0" applyFont="0" applyFill="0" applyBorder="0" applyAlignment="0" applyProtection="0"/>
    <xf numFmtId="1" fontId="6" fillId="0" borderId="0"/>
    <xf numFmtId="43" fontId="6" fillId="0" borderId="0" applyFont="0" applyFill="0" applyBorder="0" applyAlignment="0" applyProtection="0"/>
    <xf numFmtId="1" fontId="6" fillId="0" borderId="0"/>
    <xf numFmtId="43" fontId="6" fillId="0" borderId="0" applyFont="0" applyFill="0" applyBorder="0" applyAlignment="0" applyProtection="0"/>
    <xf numFmtId="0" fontId="287" fillId="33" borderId="105" applyNumberFormat="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4" fillId="0" borderId="0"/>
    <xf numFmtId="43" fontId="6" fillId="0" borderId="0" applyFont="0" applyFill="0" applyBorder="0" applyAlignment="0" applyProtection="0"/>
    <xf numFmtId="0" fontId="6" fillId="0" borderId="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4" fillId="0" borderId="0"/>
    <xf numFmtId="1" fontId="6" fillId="0" borderId="0"/>
    <xf numFmtId="0" fontId="6" fillId="0" borderId="0"/>
    <xf numFmtId="0" fontId="6" fillId="0" borderId="0"/>
    <xf numFmtId="43" fontId="6" fillId="0" borderId="0" applyFont="0" applyFill="0" applyBorder="0" applyAlignment="0" applyProtection="0"/>
    <xf numFmtId="1" fontId="6" fillId="0" borderId="0"/>
    <xf numFmtId="0" fontId="259" fillId="0" borderId="0" applyNumberFormat="0" applyAlignment="0">
      <alignment horizontal="left"/>
    </xf>
    <xf numFmtId="0" fontId="6" fillId="0" borderId="0"/>
    <xf numFmtId="0" fontId="6" fillId="0" borderId="0"/>
    <xf numFmtId="43" fontId="6" fillId="0" borderId="0" applyFont="0" applyFill="0" applyBorder="0" applyAlignment="0" applyProtection="0"/>
    <xf numFmtId="2"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2"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10" fontId="19" fillId="34" borderId="1" applyNumberFormat="0" applyBorder="0" applyAlignment="0" applyProtection="0"/>
    <xf numFmtId="0" fontId="6" fillId="0" borderId="0"/>
    <xf numFmtId="43" fontId="6" fillId="0" borderId="0" applyFont="0" applyFill="0" applyBorder="0" applyAlignment="0" applyProtection="0"/>
    <xf numFmtId="0" fontId="4" fillId="0" borderId="0"/>
    <xf numFmtId="44"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44" fontId="25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 fontId="6" fillId="0" borderId="0"/>
    <xf numFmtId="0" fontId="6" fillId="0" borderId="0"/>
    <xf numFmtId="43" fontId="6" fillId="0" borderId="0" applyFont="0" applyFill="0" applyBorder="0" applyAlignment="0" applyProtection="0"/>
    <xf numFmtId="0" fontId="6" fillId="0" borderId="0"/>
    <xf numFmtId="1" fontId="6" fillId="0" borderId="0"/>
    <xf numFmtId="0" fontId="6" fillId="0" borderId="0"/>
    <xf numFmtId="43" fontId="6" fillId="0" borderId="0" applyFont="0" applyFill="0" applyBorder="0" applyAlignment="0" applyProtection="0"/>
    <xf numFmtId="0" fontId="6" fillId="0" borderId="0"/>
    <xf numFmtId="1" fontId="6" fillId="0" borderId="0"/>
    <xf numFmtId="0" fontId="6" fillId="0" borderId="0"/>
    <xf numFmtId="43" fontId="6" fillId="0" borderId="0" applyFont="0" applyFill="0" applyBorder="0" applyAlignment="0" applyProtection="0"/>
    <xf numFmtId="0" fontId="6" fillId="0" borderId="0"/>
    <xf numFmtId="0" fontId="276" fillId="36" borderId="0" applyNumberFormat="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0" fontId="287" fillId="33" borderId="105" applyNumberFormat="0" applyAlignment="0" applyProtection="0"/>
    <xf numFmtId="0" fontId="4"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4" fillId="0" borderId="0"/>
    <xf numFmtId="0" fontId="6" fillId="0" borderId="0"/>
    <xf numFmtId="0" fontId="4" fillId="0" borderId="0"/>
    <xf numFmtId="0" fontId="6" fillId="0" borderId="0"/>
    <xf numFmtId="43" fontId="6" fillId="0" borderId="0" applyFont="0" applyFill="0" applyBorder="0" applyAlignment="0" applyProtection="0"/>
    <xf numFmtId="0" fontId="103" fillId="0" borderId="0"/>
    <xf numFmtId="0" fontId="4" fillId="0" borderId="0"/>
    <xf numFmtId="0" fontId="6"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43" fontId="6" fillId="0" borderId="0" applyFont="0" applyFill="0" applyBorder="0" applyAlignment="0" applyProtection="0"/>
    <xf numFmtId="43" fontId="25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4"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43" fontId="256" fillId="0" borderId="0" applyFont="0" applyFill="0" applyBorder="0" applyAlignment="0" applyProtection="0"/>
    <xf numFmtId="0" fontId="4" fillId="0" borderId="0"/>
    <xf numFmtId="0" fontId="6" fillId="0" borderId="0"/>
    <xf numFmtId="0" fontId="6"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4" fillId="0" borderId="0"/>
    <xf numFmtId="184" fontId="103"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43" fontId="25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0" fontId="4"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259" fillId="0" borderId="0" applyNumberFormat="0" applyAlignment="0">
      <alignment horizontal="left"/>
    </xf>
    <xf numFmtId="0" fontId="259" fillId="0" borderId="0" applyNumberFormat="0" applyAlignment="0">
      <alignment horizontal="left"/>
    </xf>
    <xf numFmtId="0" fontId="103" fillId="0" borderId="0"/>
    <xf numFmtId="0" fontId="4" fillId="0" borderId="0"/>
    <xf numFmtId="43" fontId="6" fillId="0" borderId="0" applyFont="0" applyFill="0" applyBorder="0" applyAlignment="0" applyProtection="0"/>
    <xf numFmtId="0" fontId="6" fillId="0" borderId="0"/>
    <xf numFmtId="43" fontId="25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43" fontId="256" fillId="0" borderId="0" applyFont="0" applyFill="0" applyBorder="0" applyAlignment="0" applyProtection="0"/>
    <xf numFmtId="0" fontId="6" fillId="0" borderId="0"/>
    <xf numFmtId="43" fontId="6" fillId="0" borderId="0" applyFont="0" applyFill="0" applyBorder="0" applyAlignment="0" applyProtection="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0" fontId="4" fillId="0" borderId="0"/>
    <xf numFmtId="43" fontId="6" fillId="0" borderId="0" applyFont="0" applyFill="0" applyBorder="0" applyAlignment="0" applyProtection="0"/>
    <xf numFmtId="0" fontId="6" fillId="0" borderId="0"/>
    <xf numFmtId="1" fontId="6"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4" fillId="0" borderId="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43" fontId="6" fillId="0" borderId="0" applyFont="0" applyFill="0" applyBorder="0" applyAlignment="0" applyProtection="0"/>
    <xf numFmtId="184" fontId="103" fillId="0" borderId="0" applyFont="0" applyFill="0" applyBorder="0" applyAlignment="0" applyProtection="0"/>
    <xf numFmtId="43" fontId="4" fillId="0" borderId="0" applyFont="0" applyFill="0" applyBorder="0" applyAlignment="0" applyProtection="0"/>
    <xf numFmtId="0" fontId="4" fillId="0" borderId="0"/>
    <xf numFmtId="0" fontId="6" fillId="0" borderId="0"/>
    <xf numFmtId="0" fontId="6" fillId="0" borderId="0"/>
    <xf numFmtId="43" fontId="4" fillId="0" borderId="0" applyFont="0" applyFill="0" applyBorder="0" applyAlignment="0" applyProtection="0"/>
    <xf numFmtId="0" fontId="6" fillId="0" borderId="0"/>
    <xf numFmtId="0" fontId="4" fillId="0" borderId="0"/>
    <xf numFmtId="184" fontId="103" fillId="0" borderId="0" applyFont="0" applyFill="0" applyBorder="0" applyAlignment="0" applyProtection="0"/>
    <xf numFmtId="0" fontId="259" fillId="0" borderId="0" applyNumberFormat="0" applyAlignment="0">
      <alignment horizontal="left"/>
    </xf>
    <xf numFmtId="0" fontId="6" fillId="0" borderId="0"/>
    <xf numFmtId="0" fontId="4" fillId="0" borderId="0"/>
    <xf numFmtId="0" fontId="259" fillId="0" borderId="0" applyNumberFormat="0" applyAlignment="0">
      <alignment horizontal="left"/>
    </xf>
    <xf numFmtId="0" fontId="261" fillId="0" borderId="0" applyNumberFormat="0" applyFill="0" applyBorder="0" applyAlignment="0" applyProtection="0"/>
    <xf numFmtId="44" fontId="6" fillId="0" borderId="0" applyFont="0" applyFill="0" applyBorder="0" applyAlignment="0" applyProtection="0"/>
    <xf numFmtId="0" fontId="256" fillId="0" borderId="0"/>
    <xf numFmtId="0" fontId="6" fillId="0" borderId="0"/>
    <xf numFmtId="44" fontId="6" fillId="0" borderId="0" applyFont="0" applyFill="0" applyBorder="0" applyAlignment="0" applyProtection="0"/>
    <xf numFmtId="0" fontId="256" fillId="0" borderId="0"/>
    <xf numFmtId="0" fontId="6" fillId="0" borderId="0"/>
    <xf numFmtId="44" fontId="6" fillId="0" borderId="0" applyFont="0" applyFill="0" applyBorder="0" applyAlignment="0" applyProtection="0"/>
    <xf numFmtId="0" fontId="6" fillId="0" borderId="0"/>
    <xf numFmtId="44" fontId="6" fillId="0" borderId="0" applyFont="0" applyFill="0" applyBorder="0" applyAlignment="0" applyProtection="0"/>
    <xf numFmtId="0" fontId="275" fillId="0" borderId="0" applyNumberFormat="0" applyAlignment="0">
      <alignment horizontal="left"/>
    </xf>
    <xf numFmtId="0" fontId="6" fillId="0" borderId="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0" fontId="4" fillId="0" borderId="0"/>
    <xf numFmtId="44" fontId="6" fillId="0" borderId="0" applyFont="0" applyFill="0" applyBorder="0" applyAlignment="0" applyProtection="0"/>
    <xf numFmtId="44" fontId="6" fillId="0" borderId="0" applyFont="0" applyFill="0" applyBorder="0" applyAlignment="0" applyProtection="0"/>
    <xf numFmtId="0" fontId="6" fillId="0" borderId="0"/>
    <xf numFmtId="0" fontId="5" fillId="0" borderId="14" applyNumberFormat="0" applyAlignment="0" applyProtection="0">
      <alignment horizontal="left" vertical="center"/>
    </xf>
    <xf numFmtId="44" fontId="6" fillId="0" borderId="0" applyFont="0" applyFill="0" applyBorder="0" applyAlignment="0" applyProtection="0"/>
    <xf numFmtId="0" fontId="6" fillId="0" borderId="0"/>
    <xf numFmtId="0" fontId="5" fillId="0" borderId="10">
      <alignment horizontal="left" vertical="center"/>
    </xf>
    <xf numFmtId="44" fontId="6" fillId="0" borderId="0" applyFont="0" applyFill="0" applyBorder="0" applyAlignment="0" applyProtection="0"/>
    <xf numFmtId="0" fontId="6" fillId="0" borderId="0"/>
    <xf numFmtId="10" fontId="19" fillId="34" borderId="1" applyNumberFormat="0" applyBorder="0" applyAlignment="0" applyProtection="0"/>
    <xf numFmtId="4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0" fontId="6" fillId="0" borderId="0"/>
    <xf numFmtId="0" fontId="4" fillId="0" borderId="0"/>
    <xf numFmtId="44" fontId="6" fillId="0" borderId="0" applyFont="0" applyFill="0" applyBorder="0" applyAlignment="0" applyProtection="0"/>
    <xf numFmtId="0" fontId="143" fillId="55" borderId="0" applyNumberFormat="0" applyBorder="0" applyAlignment="0" applyProtection="0"/>
    <xf numFmtId="0" fontId="6" fillId="0" borderId="0"/>
    <xf numFmtId="0" fontId="143" fillId="55" borderId="0" applyNumberFormat="0" applyBorder="0" applyAlignment="0" applyProtection="0"/>
    <xf numFmtId="0" fontId="6" fillId="0" borderId="0"/>
    <xf numFmtId="0" fontId="143" fillId="48" borderId="0" applyNumberFormat="0" applyBorder="0" applyAlignment="0" applyProtection="0"/>
    <xf numFmtId="0" fontId="6" fillId="0" borderId="0"/>
    <xf numFmtId="0" fontId="6" fillId="0" borderId="9">
      <alignment horizontal="center"/>
    </xf>
    <xf numFmtId="0" fontId="143" fillId="48" borderId="0" applyNumberFormat="0" applyBorder="0" applyAlignment="0" applyProtection="0"/>
    <xf numFmtId="0" fontId="6" fillId="0" borderId="0"/>
    <xf numFmtId="0" fontId="6" fillId="0" borderId="0"/>
    <xf numFmtId="9" fontId="6" fillId="0" borderId="0" applyFont="0" applyFill="0" applyBorder="0" applyAlignment="0" applyProtection="0"/>
    <xf numFmtId="0" fontId="103" fillId="0" borderId="0"/>
    <xf numFmtId="0" fontId="6" fillId="0" borderId="0"/>
    <xf numFmtId="0" fontId="6" fillId="0" borderId="9">
      <alignment horizontal="center"/>
    </xf>
    <xf numFmtId="0" fontId="143" fillId="48" borderId="0" applyNumberFormat="0" applyBorder="0" applyAlignment="0" applyProtection="0"/>
    <xf numFmtId="0" fontId="6" fillId="0" borderId="0"/>
    <xf numFmtId="0" fontId="6" fillId="0" borderId="0"/>
    <xf numFmtId="9" fontId="6" fillId="0" borderId="0" applyFont="0" applyFill="0" applyBorder="0" applyAlignment="0" applyProtection="0"/>
    <xf numFmtId="0" fontId="103" fillId="0" borderId="0"/>
    <xf numFmtId="0" fontId="6" fillId="0" borderId="0"/>
    <xf numFmtId="0" fontId="103" fillId="0" borderId="0"/>
    <xf numFmtId="0" fontId="143" fillId="41" borderId="0" applyNumberFormat="0" applyBorder="0" applyAlignment="0" applyProtection="0"/>
    <xf numFmtId="0" fontId="143" fillId="41" borderId="0" applyNumberFormat="0" applyBorder="0" applyAlignment="0" applyProtection="0"/>
    <xf numFmtId="0" fontId="6" fillId="0" borderId="0"/>
    <xf numFmtId="0" fontId="6" fillId="0" borderId="0"/>
    <xf numFmtId="0" fontId="6" fillId="0" borderId="0"/>
    <xf numFmtId="171" fontId="105" fillId="0" borderId="25">
      <alignment horizontal="right"/>
    </xf>
    <xf numFmtId="0" fontId="6" fillId="0" borderId="0"/>
    <xf numFmtId="9" fontId="6" fillId="0" borderId="0" applyFont="0" applyFill="0" applyBorder="0" applyAlignment="0" applyProtection="0"/>
    <xf numFmtId="0" fontId="6" fillId="0" borderId="0"/>
    <xf numFmtId="0" fontId="143" fillId="41" borderId="0" applyNumberFormat="0" applyBorder="0" applyAlignment="0" applyProtection="0"/>
    <xf numFmtId="0" fontId="6" fillId="0" borderId="0"/>
    <xf numFmtId="0" fontId="6" fillId="0" borderId="0"/>
    <xf numFmtId="0" fontId="6" fillId="0" borderId="0"/>
    <xf numFmtId="0" fontId="275" fillId="0" borderId="0" applyNumberFormat="0" applyAlignment="0">
      <alignment horizontal="left"/>
    </xf>
    <xf numFmtId="0" fontId="275" fillId="0" borderId="0" applyNumberFormat="0" applyAlignment="0">
      <alignment horizontal="left"/>
    </xf>
    <xf numFmtId="0" fontId="6" fillId="0" borderId="0"/>
    <xf numFmtId="0" fontId="275" fillId="0" borderId="0" applyNumberFormat="0" applyAlignment="0">
      <alignment horizontal="left"/>
    </xf>
    <xf numFmtId="0" fontId="261" fillId="0" borderId="0" applyNumberFormat="0" applyFill="0" applyBorder="0" applyAlignment="0" applyProtection="0"/>
    <xf numFmtId="0" fontId="6" fillId="0" borderId="0"/>
    <xf numFmtId="167" fontId="6" fillId="0" borderId="0" applyFont="0" applyFill="0" applyBorder="0" applyAlignment="0" applyProtection="0"/>
    <xf numFmtId="0" fontId="4" fillId="0" borderId="0"/>
    <xf numFmtId="0" fontId="6" fillId="0" borderId="0"/>
    <xf numFmtId="167" fontId="6" fillId="0" borderId="0" applyFont="0" applyFill="0" applyBorder="0" applyAlignment="0" applyProtection="0"/>
    <xf numFmtId="0" fontId="284" fillId="0" borderId="0"/>
    <xf numFmtId="0" fontId="6" fillId="0" borderId="0"/>
    <xf numFmtId="167" fontId="6" fillId="0" borderId="0" applyFont="0" applyFill="0" applyBorder="0" applyAlignment="0" applyProtection="0"/>
    <xf numFmtId="0" fontId="262" fillId="0" borderId="1">
      <alignment horizontal="center"/>
    </xf>
    <xf numFmtId="0" fontId="6" fillId="0" borderId="0"/>
    <xf numFmtId="167" fontId="6" fillId="0" borderId="0" applyFont="0" applyFill="0" applyBorder="0" applyAlignment="0" applyProtection="0"/>
    <xf numFmtId="0" fontId="262" fillId="0" borderId="1">
      <alignment horizontal="center"/>
    </xf>
    <xf numFmtId="0" fontId="6" fillId="0" borderId="0"/>
    <xf numFmtId="167" fontId="6" fillId="0" borderId="0" applyFont="0" applyFill="0" applyBorder="0" applyAlignment="0" applyProtection="0"/>
    <xf numFmtId="167" fontId="6" fillId="0" borderId="0" applyFont="0" applyFill="0" applyBorder="0" applyAlignment="0" applyProtection="0"/>
    <xf numFmtId="0" fontId="4" fillId="0" borderId="0"/>
    <xf numFmtId="0" fontId="256" fillId="0" borderId="0"/>
    <xf numFmtId="0" fontId="6" fillId="0" borderId="0"/>
    <xf numFmtId="0" fontId="4" fillId="0" borderId="0"/>
    <xf numFmtId="0" fontId="256" fillId="0" borderId="0"/>
    <xf numFmtId="0" fontId="6" fillId="0" borderId="0"/>
    <xf numFmtId="0" fontId="6" fillId="0" borderId="0"/>
    <xf numFmtId="0" fontId="267" fillId="0" borderId="0" applyNumberFormat="0" applyFill="0" applyBorder="0" applyAlignment="0" applyProtection="0"/>
    <xf numFmtId="0" fontId="6" fillId="0" borderId="0"/>
    <xf numFmtId="1" fontId="6" fillId="0" borderId="0"/>
    <xf numFmtId="0" fontId="267" fillId="0" borderId="0" applyNumberFormat="0" applyFill="0" applyBorder="0" applyAlignment="0" applyProtection="0"/>
    <xf numFmtId="0" fontId="6" fillId="0" borderId="0"/>
    <xf numFmtId="0" fontId="267" fillId="0" borderId="0" applyNumberFormat="0" applyFill="0" applyBorder="0" applyAlignment="0" applyProtection="0"/>
    <xf numFmtId="0" fontId="6" fillId="0" borderId="0"/>
    <xf numFmtId="1" fontId="6" fillId="0" borderId="0"/>
    <xf numFmtId="0" fontId="4" fillId="0" borderId="0"/>
    <xf numFmtId="1" fontId="6" fillId="0" borderId="0"/>
    <xf numFmtId="0" fontId="4"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0" fontId="6" fillId="0" borderId="0"/>
    <xf numFmtId="1" fontId="6" fillId="0" borderId="0"/>
    <xf numFmtId="1" fontId="6" fillId="0" borderId="0"/>
    <xf numFmtId="0" fontId="6" fillId="0" borderId="0"/>
    <xf numFmtId="1" fontId="6" fillId="0" borderId="0"/>
    <xf numFmtId="0" fontId="6" fillId="0" borderId="0"/>
    <xf numFmtId="1"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4" fillId="0" borderId="0"/>
    <xf numFmtId="1" fontId="6" fillId="0" borderId="0"/>
    <xf numFmtId="1" fontId="6" fillId="0" borderId="0"/>
    <xf numFmtId="1" fontId="6" fillId="0" borderId="0"/>
    <xf numFmtId="1" fontId="6" fillId="0" borderId="0"/>
    <xf numFmtId="1" fontId="6" fillId="0" borderId="0"/>
    <xf numFmtId="1" fontId="6" fillId="0" borderId="0"/>
    <xf numFmtId="10" fontId="6" fillId="0" borderId="0" applyFont="0" applyFill="0" applyBorder="0" applyAlignment="0" applyProtection="0"/>
    <xf numFmtId="1" fontId="6" fillId="0" borderId="0"/>
    <xf numFmtId="10" fontId="6" fillId="0" borderId="0" applyFont="0" applyFill="0" applyBorder="0" applyAlignment="0" applyProtection="0"/>
    <xf numFmtId="1" fontId="6" fillId="0" borderId="0"/>
    <xf numFmtId="0" fontId="6" fillId="0" borderId="0"/>
    <xf numFmtId="38" fontId="19" fillId="33" borderId="0" applyNumberFormat="0" applyBorder="0" applyAlignment="0" applyProtection="0"/>
    <xf numFmtId="10" fontId="6" fillId="0" borderId="0" applyFont="0" applyFill="0" applyBorder="0" applyAlignment="0" applyProtection="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0" fontId="4"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0" fontId="6" fillId="0" borderId="0"/>
    <xf numFmtId="0" fontId="276" fillId="36" borderId="0" applyNumberFormat="0" applyBorder="0" applyAlignment="0" applyProtection="0"/>
    <xf numFmtId="0" fontId="6" fillId="0" borderId="0"/>
    <xf numFmtId="0" fontId="276" fillId="36" borderId="0" applyNumberFormat="0" applyBorder="0" applyAlignment="0" applyProtection="0"/>
    <xf numFmtId="9" fontId="4" fillId="0" borderId="0" applyFont="0" applyFill="0" applyBorder="0" applyAlignment="0" applyProtection="0"/>
    <xf numFmtId="0" fontId="266" fillId="47" borderId="0" applyNumberFormat="0" applyBorder="0" applyAlignment="0" applyProtection="0"/>
    <xf numFmtId="38" fontId="19" fillId="33" borderId="0" applyNumberFormat="0" applyBorder="0" applyAlignment="0" applyProtection="0"/>
    <xf numFmtId="0" fontId="103" fillId="0" borderId="0"/>
    <xf numFmtId="0" fontId="4" fillId="0" borderId="0"/>
    <xf numFmtId="0" fontId="6" fillId="0" borderId="0"/>
    <xf numFmtId="0" fontId="273" fillId="0" borderId="103" applyNumberFormat="0" applyFill="0" applyAlignment="0" applyProtection="0"/>
    <xf numFmtId="0" fontId="6" fillId="0" borderId="0"/>
    <xf numFmtId="0" fontId="273" fillId="0" borderId="103" applyNumberFormat="0" applyFill="0" applyAlignment="0" applyProtection="0"/>
    <xf numFmtId="0" fontId="6" fillId="0" borderId="0"/>
    <xf numFmtId="0" fontId="273" fillId="0" borderId="103" applyNumberFormat="0" applyFill="0" applyAlignment="0" applyProtection="0"/>
    <xf numFmtId="0" fontId="273" fillId="0" borderId="103" applyNumberFormat="0" applyFill="0" applyAlignment="0" applyProtection="0"/>
    <xf numFmtId="0" fontId="270" fillId="0" borderId="101" applyNumberFormat="0" applyFill="0" applyAlignment="0" applyProtection="0"/>
    <xf numFmtId="0" fontId="261" fillId="0" borderId="0" applyNumberFormat="0" applyFill="0" applyBorder="0" applyAlignment="0" applyProtection="0"/>
    <xf numFmtId="0" fontId="6" fillId="0" borderId="0"/>
    <xf numFmtId="9" fontId="6" fillId="0" borderId="0" applyFont="0" applyFill="0" applyBorder="0" applyAlignment="0" applyProtection="0"/>
    <xf numFmtId="0" fontId="286" fillId="0" borderId="0" applyNumberFormat="0" applyFill="0" applyBorder="0" applyAlignment="0" applyProtection="0">
      <alignment vertical="top"/>
      <protection locked="0"/>
    </xf>
    <xf numFmtId="0" fontId="6" fillId="0" borderId="0"/>
    <xf numFmtId="9" fontId="6" fillId="0" borderId="0" applyFont="0" applyFill="0" applyBorder="0" applyAlignment="0" applyProtection="0"/>
    <xf numFmtId="0" fontId="280" fillId="0" borderId="0" applyNumberFormat="0" applyFill="0" applyBorder="0" applyAlignment="0" applyProtection="0">
      <alignment vertical="top"/>
      <protection locked="0"/>
    </xf>
    <xf numFmtId="9" fontId="4" fillId="0" borderId="0" applyFont="0" applyFill="0" applyBorder="0" applyAlignment="0" applyProtection="0"/>
    <xf numFmtId="10" fontId="19" fillId="34" borderId="1" applyNumberFormat="0" applyBorder="0" applyAlignment="0" applyProtection="0"/>
    <xf numFmtId="0" fontId="6" fillId="34" borderId="97" applyNumberFormat="0" applyFont="0" applyAlignment="0" applyProtection="0"/>
    <xf numFmtId="0" fontId="6" fillId="0" borderId="0"/>
    <xf numFmtId="0" fontId="6" fillId="0" borderId="0"/>
    <xf numFmtId="0" fontId="4" fillId="0" borderId="0"/>
    <xf numFmtId="0" fontId="277" fillId="0" borderId="104" applyNumberFormat="0" applyFill="0" applyAlignment="0" applyProtection="0"/>
    <xf numFmtId="0" fontId="4" fillId="0" borderId="0"/>
    <xf numFmtId="0" fontId="277" fillId="0" borderId="104" applyNumberFormat="0" applyFill="0" applyAlignment="0" applyProtection="0"/>
    <xf numFmtId="0" fontId="4" fillId="0" borderId="0"/>
    <xf numFmtId="0" fontId="277" fillId="0" borderId="104" applyNumberFormat="0" applyFill="0" applyAlignment="0" applyProtection="0"/>
    <xf numFmtId="0" fontId="4" fillId="0" borderId="0"/>
    <xf numFmtId="0" fontId="277" fillId="0" borderId="104" applyNumberFormat="0" applyFill="0" applyAlignment="0" applyProtection="0"/>
    <xf numFmtId="0" fontId="6" fillId="0" borderId="0"/>
    <xf numFmtId="0" fontId="182" fillId="0" borderId="0" applyProtection="0">
      <alignment horizontal="center" vertical="center"/>
    </xf>
    <xf numFmtId="0" fontId="6" fillId="0" borderId="0"/>
    <xf numFmtId="0" fontId="182" fillId="0" borderId="0" applyProtection="0">
      <alignment horizontal="center" vertical="center"/>
    </xf>
    <xf numFmtId="0" fontId="6" fillId="0" borderId="0"/>
    <xf numFmtId="0" fontId="6" fillId="0" borderId="0"/>
    <xf numFmtId="0" fontId="182" fillId="0" borderId="0" applyProtection="0">
      <alignment horizontal="center" vertical="center"/>
    </xf>
    <xf numFmtId="171" fontId="105" fillId="0" borderId="25">
      <alignment horizontal="right"/>
    </xf>
    <xf numFmtId="0" fontId="266" fillId="47" borderId="0" applyNumberFormat="0" applyBorder="0" applyAlignment="0" applyProtection="0"/>
    <xf numFmtId="0" fontId="4" fillId="0" borderId="0"/>
    <xf numFmtId="0" fontId="6" fillId="0" borderId="0"/>
    <xf numFmtId="0" fontId="271" fillId="0" borderId="0" applyNumberFormat="0" applyFill="0">
      <alignment horizontal="left" vertical="center"/>
    </xf>
    <xf numFmtId="37" fontId="269" fillId="0" borderId="0"/>
    <xf numFmtId="0" fontId="6" fillId="0" borderId="0"/>
    <xf numFmtId="37" fontId="269" fillId="0" borderId="0"/>
    <xf numFmtId="0" fontId="6" fillId="0" borderId="0"/>
    <xf numFmtId="37" fontId="269" fillId="0" borderId="0"/>
    <xf numFmtId="0" fontId="6" fillId="0" borderId="0"/>
    <xf numFmtId="37" fontId="26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25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0" borderId="0"/>
    <xf numFmtId="9" fontId="6" fillId="0" borderId="0" applyFont="0" applyFill="0" applyBorder="0" applyAlignment="0" applyProtection="0"/>
    <xf numFmtId="0" fontId="6" fillId="34" borderId="97" applyNumberFormat="0" applyFont="0" applyAlignment="0" applyProtection="0"/>
    <xf numFmtId="0" fontId="6" fillId="0" borderId="0"/>
    <xf numFmtId="9" fontId="6" fillId="0" borderId="0" applyFont="0" applyFill="0" applyBorder="0" applyAlignment="0" applyProtection="0"/>
    <xf numFmtId="0" fontId="6" fillId="34" borderId="97" applyNumberFormat="0" applyFont="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143" fillId="0" borderId="102" applyNumberFormat="0" applyFill="0" applyAlignment="0" applyProtection="0"/>
    <xf numFmtId="0" fontId="6" fillId="34" borderId="97"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9" fontId="4" fillId="0" borderId="0" applyFont="0" applyFill="0" applyBorder="0" applyAlignment="0" applyProtection="0"/>
    <xf numFmtId="0" fontId="103" fillId="0" borderId="0"/>
    <xf numFmtId="0" fontId="6" fillId="0" borderId="0"/>
    <xf numFmtId="0" fontId="6" fillId="0" borderId="0"/>
    <xf numFmtId="9" fontId="4"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6" fillId="0" borderId="0"/>
    <xf numFmtId="0" fontId="4"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40" fontId="107" fillId="0" borderId="0"/>
    <xf numFmtId="0" fontId="6" fillId="0" borderId="0"/>
    <xf numFmtId="0" fontId="6" fillId="0" borderId="0"/>
    <xf numFmtId="40" fontId="10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5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9" fontId="4" fillId="0" borderId="0" applyFont="0" applyFill="0" applyBorder="0" applyAlignment="0" applyProtection="0"/>
    <xf numFmtId="0" fontId="6" fillId="0" borderId="0"/>
    <xf numFmtId="9" fontId="4"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4" fillId="0" borderId="0" applyFont="0" applyFill="0" applyBorder="0" applyAlignment="0" applyProtection="0"/>
    <xf numFmtId="0" fontId="6" fillId="0" borderId="0"/>
    <xf numFmtId="9" fontId="4" fillId="0" borderId="0" applyFont="0" applyFill="0" applyBorder="0" applyAlignment="0" applyProtection="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9" fontId="6" fillId="0" borderId="0" applyFont="0" applyFill="0" applyBorder="0" applyAlignment="0" applyProtection="0"/>
    <xf numFmtId="0" fontId="103" fillId="0" borderId="0"/>
    <xf numFmtId="0" fontId="6" fillId="0" borderId="9">
      <alignment horizontal="center"/>
    </xf>
    <xf numFmtId="0" fontId="6" fillId="0" borderId="0"/>
    <xf numFmtId="0" fontId="6" fillId="0" borderId="0"/>
    <xf numFmtId="9" fontId="6" fillId="0" borderId="0" applyFont="0" applyFill="0" applyBorder="0" applyAlignment="0" applyProtection="0"/>
    <xf numFmtId="0" fontId="103" fillId="0" borderId="0"/>
    <xf numFmtId="0" fontId="6" fillId="0" borderId="9">
      <alignment horizontal="center"/>
    </xf>
    <xf numFmtId="0" fontId="6" fillId="0" borderId="0"/>
    <xf numFmtId="0" fontId="6" fillId="0" borderId="0"/>
    <xf numFmtId="0" fontId="4"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90" fontId="283" fillId="0" borderId="0" applyNumberFormat="0" applyFill="0" applyBorder="0" applyAlignment="0" applyProtection="0">
      <alignment horizontal="left"/>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9" fontId="6" fillId="0" borderId="0" applyFont="0" applyFill="0" applyBorder="0" applyAlignment="0" applyProtection="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6" fillId="0" borderId="0"/>
    <xf numFmtId="0" fontId="6" fillId="0" borderId="0"/>
    <xf numFmtId="0" fontId="6" fillId="0" borderId="0"/>
    <xf numFmtId="0" fontId="6" fillId="0" borderId="0"/>
    <xf numFmtId="0" fontId="271" fillId="0" borderId="0" applyNumberFormat="0" applyFill="0">
      <alignment horizontal="left" vertical="center"/>
    </xf>
    <xf numFmtId="0" fontId="6" fillId="0" borderId="0"/>
    <xf numFmtId="0" fontId="271" fillId="0" borderId="0" applyNumberFormat="0" applyFill="0">
      <alignment horizontal="left" vertical="center"/>
    </xf>
    <xf numFmtId="0" fontId="6" fillId="0" borderId="0"/>
    <xf numFmtId="0" fontId="271" fillId="0" borderId="0" applyNumberFormat="0" applyFill="0">
      <alignment horizontal="lef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4" fillId="0" borderId="0" applyFont="0" applyFill="0" applyBorder="0" applyAlignment="0" applyProtection="0"/>
    <xf numFmtId="0" fontId="6" fillId="0" borderId="0"/>
    <xf numFmtId="0" fontId="4" fillId="0" borderId="0"/>
    <xf numFmtId="0" fontId="6" fillId="0" borderId="0"/>
    <xf numFmtId="9" fontId="4"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
      <alignment horizontal="center" vertical="center" wrapText="1"/>
    </xf>
    <xf numFmtId="0" fontId="6" fillId="0" borderId="0"/>
    <xf numFmtId="0" fontId="6" fillId="0" borderId="0"/>
    <xf numFmtId="0" fontId="6" fillId="0" borderId="0"/>
    <xf numFmtId="0" fontId="6" fillId="0" borderId="0"/>
    <xf numFmtId="0" fontId="6" fillId="0" borderId="0"/>
    <xf numFmtId="0" fontId="6" fillId="0" borderId="0"/>
    <xf numFmtId="0" fontId="256" fillId="0" borderId="0"/>
    <xf numFmtId="0" fontId="4" fillId="0" borderId="0"/>
    <xf numFmtId="0" fontId="4" fillId="0" borderId="0"/>
    <xf numFmtId="0" fontId="6" fillId="0" borderId="0"/>
    <xf numFmtId="0" fontId="4" fillId="0" borderId="0"/>
    <xf numFmtId="0" fontId="4" fillId="0" borderId="0"/>
    <xf numFmtId="0" fontId="6" fillId="0" borderId="0"/>
    <xf numFmtId="0" fontId="4" fillId="0" borderId="0"/>
    <xf numFmtId="0" fontId="4" fillId="0" borderId="0"/>
    <xf numFmtId="0" fontId="6" fillId="0" borderId="0"/>
    <xf numFmtId="0" fontId="6" fillId="0" borderId="0"/>
    <xf numFmtId="0" fontId="6" fillId="0" borderId="0"/>
    <xf numFmtId="0" fontId="4" fillId="0" borderId="0"/>
    <xf numFmtId="0" fontId="256" fillId="0" borderId="0"/>
    <xf numFmtId="0" fontId="6" fillId="0" borderId="0"/>
    <xf numFmtId="0" fontId="6" fillId="0" borderId="0"/>
    <xf numFmtId="9" fontId="6" fillId="0" borderId="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2" fillId="0" borderId="0">
      <alignment horizontal="center"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4" fillId="0" borderId="0"/>
    <xf numFmtId="0" fontId="278" fillId="0" borderId="0" applyNumberFormat="0" applyFill="0" applyBorder="0" applyAlignment="0" applyProtection="0"/>
    <xf numFmtId="0" fontId="4" fillId="0" borderId="0"/>
    <xf numFmtId="0" fontId="278"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9" fontId="4" fillId="0" borderId="0" applyFont="0" applyFill="0" applyBorder="0" applyAlignment="0" applyProtection="0"/>
    <xf numFmtId="0" fontId="6" fillId="0" borderId="0"/>
    <xf numFmtId="9" fontId="4" fillId="0" borderId="0" applyFont="0" applyFill="0" applyBorder="0" applyAlignment="0" applyProtection="0"/>
    <xf numFmtId="0" fontId="4" fillId="0" borderId="0"/>
    <xf numFmtId="0" fontId="6" fillId="0" borderId="0"/>
    <xf numFmtId="0" fontId="103" fillId="0" borderId="0"/>
    <xf numFmtId="0" fontId="4"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281"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103" fillId="0" borderId="0"/>
    <xf numFmtId="0" fontId="6" fillId="0" borderId="0"/>
    <xf numFmtId="0" fontId="4" fillId="0" borderId="0"/>
    <xf numFmtId="0" fontId="6" fillId="0" borderId="0"/>
    <xf numFmtId="0" fontId="6" fillId="0" borderId="0"/>
    <xf numFmtId="0" fontId="103" fillId="0" borderId="0"/>
    <xf numFmtId="0" fontId="4" fillId="0" borderId="0"/>
    <xf numFmtId="0" fontId="6" fillId="0" borderId="0"/>
    <xf numFmtId="0" fontId="103"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103" fillId="0" borderId="0"/>
    <xf numFmtId="0" fontId="103" fillId="0" borderId="0"/>
    <xf numFmtId="0" fontId="4" fillId="0" borderId="0"/>
    <xf numFmtId="0" fontId="6" fillId="0" borderId="0"/>
    <xf numFmtId="0" fontId="103" fillId="0" borderId="0"/>
    <xf numFmtId="0" fontId="6" fillId="0" borderId="0"/>
    <xf numFmtId="0" fontId="103" fillId="0" borderId="0"/>
    <xf numFmtId="0" fontId="6" fillId="0" borderId="0"/>
    <xf numFmtId="0" fontId="6" fillId="0" borderId="0"/>
    <xf numFmtId="0" fontId="6" fillId="0" borderId="0"/>
    <xf numFmtId="0" fontId="6" fillId="0" borderId="9">
      <alignment horizontal="center"/>
    </xf>
    <xf numFmtId="0" fontId="4"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103"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103" fillId="0" borderId="0"/>
    <xf numFmtId="0" fontId="6" fillId="0" borderId="0"/>
    <xf numFmtId="0" fontId="103" fillId="0" borderId="0"/>
    <xf numFmtId="0" fontId="6" fillId="0" borderId="0"/>
    <xf numFmtId="0" fontId="4" fillId="0" borderId="0"/>
    <xf numFmtId="0" fontId="103" fillId="0" borderId="0"/>
    <xf numFmtId="0" fontId="4" fillId="0" borderId="0"/>
    <xf numFmtId="0" fontId="103"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9"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4" fillId="0" borderId="0"/>
    <xf numFmtId="0" fontId="6" fillId="0" borderId="0"/>
    <xf numFmtId="0" fontId="103" fillId="0" borderId="0"/>
    <xf numFmtId="0" fontId="6" fillId="0" borderId="0"/>
    <xf numFmtId="0" fontId="6" fillId="0" borderId="0"/>
    <xf numFmtId="0" fontId="25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4" fillId="0" borderId="0"/>
    <xf numFmtId="0" fontId="103" fillId="0" borderId="0"/>
    <xf numFmtId="0" fontId="4" fillId="0" borderId="0"/>
    <xf numFmtId="0" fontId="4"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4" fillId="0" borderId="0"/>
    <xf numFmtId="0" fontId="4" fillId="0" borderId="0"/>
    <xf numFmtId="0" fontId="4" fillId="0" borderId="0"/>
    <xf numFmtId="9" fontId="6" fillId="0" borderId="0" applyFont="0" applyFill="0" applyBorder="0" applyAlignment="0" applyProtection="0"/>
    <xf numFmtId="0" fontId="4" fillId="0" borderId="0"/>
    <xf numFmtId="0" fontId="4" fillId="0" borderId="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6" fillId="0" borderId="0"/>
    <xf numFmtId="0" fontId="4" fillId="0" borderId="0"/>
    <xf numFmtId="0" fontId="4" fillId="0" borderId="0"/>
    <xf numFmtId="0" fontId="6"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6" fillId="0" borderId="0" applyFill="0" applyBorder="0" applyAlignment="0" applyProtection="0"/>
    <xf numFmtId="0" fontId="6" fillId="0" borderId="0"/>
    <xf numFmtId="0" fontId="4" fillId="0" borderId="0"/>
    <xf numFmtId="9" fontId="4"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34" borderId="97" applyNumberFormat="0" applyFont="0" applyAlignment="0" applyProtection="0"/>
    <xf numFmtId="0" fontId="6" fillId="0" borderId="0"/>
    <xf numFmtId="0" fontId="4" fillId="0" borderId="0"/>
    <xf numFmtId="0" fontId="6" fillId="34" borderId="97" applyNumberFormat="0" applyFont="0" applyAlignment="0" applyProtection="0"/>
    <xf numFmtId="0" fontId="6"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256"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6" fillId="0" borderId="0"/>
    <xf numFmtId="0" fontId="6" fillId="0" borderId="0"/>
    <xf numFmtId="0" fontId="256" fillId="0" borderId="0"/>
    <xf numFmtId="0" fontId="4" fillId="0" borderId="0"/>
    <xf numFmtId="0" fontId="4" fillId="0" borderId="0"/>
    <xf numFmtId="0" fontId="4" fillId="0" borderId="0"/>
    <xf numFmtId="0" fontId="4" fillId="0" borderId="0"/>
    <xf numFmtId="0" fontId="6" fillId="34" borderId="97" applyNumberFormat="0" applyFont="0" applyAlignment="0" applyProtection="0"/>
    <xf numFmtId="0" fontId="6" fillId="0" borderId="0"/>
    <xf numFmtId="0" fontId="25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6" fillId="0" borderId="0"/>
    <xf numFmtId="0" fontId="6" fillId="0" borderId="0"/>
    <xf numFmtId="0" fontId="4" fillId="0" borderId="0"/>
    <xf numFmtId="0" fontId="6" fillId="0" borderId="0"/>
    <xf numFmtId="0" fontId="287" fillId="33" borderId="105" applyNumberFormat="0" applyAlignment="0" applyProtection="0"/>
    <xf numFmtId="0" fontId="6" fillId="0" borderId="0"/>
    <xf numFmtId="0" fontId="287" fillId="33" borderId="105" applyNumberFormat="0" applyAlignment="0" applyProtection="0"/>
    <xf numFmtId="0" fontId="6" fillId="0" borderId="0"/>
    <xf numFmtId="0" fontId="6" fillId="0" borderId="0"/>
    <xf numFmtId="0" fontId="6" fillId="0" borderId="0"/>
    <xf numFmtId="0" fontId="262" fillId="0" borderId="1">
      <alignment horizontal="center"/>
    </xf>
    <xf numFmtId="0" fontId="6" fillId="0" borderId="0"/>
    <xf numFmtId="0" fontId="6" fillId="0" borderId="0"/>
    <xf numFmtId="0" fontId="28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4" fillId="0" borderId="0"/>
    <xf numFmtId="0" fontId="4" fillId="0" borderId="0"/>
    <xf numFmtId="9" fontId="6" fillId="0" borderId="0" applyFont="0" applyFill="0" applyBorder="0" applyAlignment="0" applyProtection="0"/>
    <xf numFmtId="0" fontId="4" fillId="0" borderId="0"/>
    <xf numFmtId="9" fontId="256" fillId="0" borderId="0" applyFont="0" applyFill="0" applyBorder="0" applyAlignment="0" applyProtection="0"/>
    <xf numFmtId="0" fontId="4" fillId="0" borderId="0"/>
    <xf numFmtId="9" fontId="103"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6" fillId="0" borderId="0"/>
    <xf numFmtId="0" fontId="6" fillId="0" borderId="0"/>
    <xf numFmtId="0" fontId="6" fillId="0" borderId="0"/>
    <xf numFmtId="0" fontId="103" fillId="0" borderId="0"/>
    <xf numFmtId="0" fontId="103" fillId="0" borderId="0"/>
    <xf numFmtId="0" fontId="141" fillId="0" borderId="0" applyNumberFormat="0" applyFill="0" applyBorder="0" applyAlignment="0" applyProtection="0"/>
    <xf numFmtId="0" fontId="103" fillId="0" borderId="0"/>
    <xf numFmtId="0" fontId="4" fillId="0" borderId="0"/>
    <xf numFmtId="0" fontId="103" fillId="0" borderId="0"/>
    <xf numFmtId="0" fontId="4" fillId="0" borderId="0"/>
    <xf numFmtId="0" fontId="103" fillId="0" borderId="0"/>
    <xf numFmtId="0" fontId="25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262" fillId="0" borderId="1">
      <alignment horizontal="center"/>
    </xf>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34" borderId="97" applyNumberFormat="0" applyFont="0" applyAlignment="0" applyProtection="0"/>
    <xf numFmtId="0" fontId="4" fillId="0" borderId="0"/>
    <xf numFmtId="0" fontId="6" fillId="34" borderId="97" applyNumberFormat="0" applyFont="0" applyAlignment="0" applyProtection="0"/>
    <xf numFmtId="0" fontId="4" fillId="0" borderId="0"/>
    <xf numFmtId="0" fontId="4" fillId="0" borderId="0"/>
    <xf numFmtId="0" fontId="6" fillId="34" borderId="97" applyNumberFormat="0" applyFont="0" applyAlignment="0" applyProtection="0"/>
    <xf numFmtId="0" fontId="4" fillId="0" borderId="0"/>
    <xf numFmtId="0" fontId="6" fillId="0" borderId="0"/>
    <xf numFmtId="0" fontId="4" fillId="0" borderId="0"/>
    <xf numFmtId="0" fontId="4" fillId="0" borderId="0"/>
    <xf numFmtId="0" fontId="6" fillId="34" borderId="97" applyNumberFormat="0" applyFont="0" applyAlignment="0" applyProtection="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6" fillId="0" borderId="9">
      <alignment horizontal="center"/>
    </xf>
    <xf numFmtId="0" fontId="4" fillId="0" borderId="0"/>
    <xf numFmtId="0" fontId="4" fillId="0" borderId="0"/>
    <xf numFmtId="0" fontId="4" fillId="0" borderId="0"/>
    <xf numFmtId="0" fontId="4" fillId="0" borderId="0"/>
    <xf numFmtId="0" fontId="4" fillId="0" borderId="0"/>
    <xf numFmtId="0" fontId="4" fillId="0" borderId="0"/>
    <xf numFmtId="0" fontId="10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9" fontId="4" fillId="0" borderId="0" applyFont="0" applyFill="0" applyBorder="0" applyAlignment="0" applyProtection="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4" fillId="0" borderId="0" applyFont="0" applyFill="0" applyBorder="0" applyAlignment="0" applyProtection="0"/>
    <xf numFmtId="0" fontId="6" fillId="0" borderId="0"/>
    <xf numFmtId="0" fontId="6" fillId="34" borderId="97" applyNumberFormat="0" applyFont="0" applyAlignment="0" applyProtection="0"/>
    <xf numFmtId="0" fontId="6" fillId="0" borderId="0"/>
    <xf numFmtId="0" fontId="6" fillId="0" borderId="9">
      <alignment horizontal="center"/>
    </xf>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34" borderId="97" applyNumberFormat="0" applyFont="0" applyAlignment="0" applyProtection="0"/>
    <xf numFmtId="0" fontId="6" fillId="0" borderId="0"/>
    <xf numFmtId="0" fontId="6" fillId="34" borderId="97" applyNumberFormat="0" applyFont="0" applyAlignment="0" applyProtection="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34" borderId="97" applyNumberFormat="0" applyFont="0" applyAlignment="0" applyProtection="0"/>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9">
      <alignment horizontal="center"/>
    </xf>
    <xf numFmtId="9" fontId="4" fillId="0" borderId="0" applyFont="0" applyFill="0" applyBorder="0" applyAlignment="0" applyProtection="0"/>
    <xf numFmtId="0" fontId="6" fillId="0" borderId="0"/>
    <xf numFmtId="0" fontId="6" fillId="0" borderId="0"/>
    <xf numFmtId="0" fontId="6" fillId="0" borderId="0"/>
    <xf numFmtId="0" fontId="6" fillId="0" borderId="0"/>
    <xf numFmtId="0" fontId="6" fillId="34" borderId="97" applyNumberFormat="0" applyFont="0" applyAlignment="0" applyProtection="0"/>
    <xf numFmtId="0" fontId="6" fillId="0" borderId="0"/>
    <xf numFmtId="0" fontId="6" fillId="0" borderId="0"/>
    <xf numFmtId="0" fontId="6" fillId="34" borderId="97" applyNumberFormat="0" applyFont="0" applyAlignment="0" applyProtection="0"/>
    <xf numFmtId="0" fontId="6" fillId="0" borderId="0"/>
    <xf numFmtId="0" fontId="6" fillId="0" borderId="9">
      <alignment horizontal="center"/>
    </xf>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9" fontId="4" fillId="0" borderId="0" applyFont="0" applyFill="0" applyBorder="0" applyAlignment="0" applyProtection="0"/>
    <xf numFmtId="0" fontId="6" fillId="0" borderId="0"/>
    <xf numFmtId="0" fontId="6" fillId="0" borderId="9">
      <alignment horizontal="center"/>
    </xf>
    <xf numFmtId="9" fontId="4"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284" fillId="0" borderId="0"/>
    <xf numFmtId="0" fontId="6" fillId="0" borderId="0"/>
    <xf numFmtId="0" fontId="6" fillId="0" borderId="9">
      <alignment horizontal="center"/>
    </xf>
    <xf numFmtId="0" fontId="284" fillId="0" borderId="0"/>
    <xf numFmtId="0" fontId="6" fillId="0" borderId="0"/>
    <xf numFmtId="0" fontId="6" fillId="0" borderId="9">
      <alignment horizontal="center"/>
    </xf>
    <xf numFmtId="0" fontId="6" fillId="0" borderId="0"/>
    <xf numFmtId="0" fontId="6" fillId="0" borderId="9">
      <alignment horizontal="center"/>
    </xf>
    <xf numFmtId="9" fontId="4" fillId="0" borderId="0" applyFont="0" applyFill="0" applyBorder="0" applyAlignment="0" applyProtection="0"/>
    <xf numFmtId="0" fontId="6" fillId="0" borderId="0"/>
    <xf numFmtId="0" fontId="6" fillId="0" borderId="9">
      <alignment horizontal="center"/>
    </xf>
    <xf numFmtId="9" fontId="4" fillId="0" borderId="0" applyFont="0" applyFill="0" applyBorder="0" applyAlignment="0" applyProtection="0"/>
    <xf numFmtId="0" fontId="6" fillId="0" borderId="0"/>
    <xf numFmtId="9" fontId="6" fillId="0" borderId="0" applyFont="0" applyFill="0" applyBorder="0" applyAlignment="0" applyProtection="0"/>
    <xf numFmtId="0" fontId="4"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262" fillId="0" borderId="1">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9" fontId="6" fillId="0" borderId="0" applyFont="0" applyFill="0" applyBorder="0" applyAlignment="0" applyProtection="0"/>
    <xf numFmtId="0" fontId="4"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9" fontId="4" fillId="0" borderId="0" applyFont="0" applyFill="0" applyBorder="0" applyAlignment="0" applyProtection="0"/>
    <xf numFmtId="0" fontId="6" fillId="0" borderId="0"/>
    <xf numFmtId="0" fontId="6" fillId="0" borderId="9">
      <alignment horizontal="center"/>
    </xf>
    <xf numFmtId="9" fontId="4"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34" borderId="97" applyNumberFormat="0" applyFont="0" applyAlignment="0" applyProtection="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4"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9" fontId="6" fillId="0" borderId="0" applyFont="0" applyFill="0" applyBorder="0" applyAlignment="0" applyProtection="0"/>
    <xf numFmtId="0" fontId="4" fillId="0" borderId="0"/>
    <xf numFmtId="0" fontId="4" fillId="0" borderId="0"/>
    <xf numFmtId="0" fontId="4" fillId="0" borderId="0"/>
    <xf numFmtId="0" fontId="28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2" fontId="6" fillId="0" borderId="0" applyFont="0" applyFill="0" applyBorder="0" applyAlignment="0" applyProtection="0"/>
    <xf numFmtId="0" fontId="4" fillId="0" borderId="0"/>
    <xf numFmtId="182"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256" fillId="0" borderId="0" applyFont="0" applyFill="0" applyBorder="0" applyAlignment="0" applyProtection="0"/>
    <xf numFmtId="0" fontId="4" fillId="0" borderId="0"/>
    <xf numFmtId="9" fontId="256" fillId="0" borderId="0" applyFont="0" applyFill="0" applyBorder="0" applyAlignment="0" applyProtection="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9" fontId="6" fillId="0" borderId="0" applyFont="0" applyFill="0" applyBorder="0" applyAlignment="0" applyProtection="0"/>
    <xf numFmtId="0" fontId="4" fillId="0" borderId="0"/>
    <xf numFmtId="0" fontId="4" fillId="0" borderId="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0" fontId="6" fillId="0" borderId="0"/>
    <xf numFmtId="0" fontId="6" fillId="0" borderId="0"/>
    <xf numFmtId="0" fontId="4"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1" fillId="0" borderId="0" applyNumberFormat="0" applyFill="0" applyBorder="0" applyAlignment="0" applyProtection="0"/>
    <xf numFmtId="0" fontId="6" fillId="0" borderId="0"/>
    <xf numFmtId="0" fontId="141" fillId="0" borderId="0" applyNumberFormat="0" applyFill="0" applyBorder="0" applyAlignment="0" applyProtection="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143" fillId="0" borderId="102" applyNumberFormat="0" applyFill="0" applyAlignment="0" applyProtection="0"/>
    <xf numFmtId="0" fontId="6" fillId="0" borderId="0"/>
    <xf numFmtId="0" fontId="143" fillId="0" borderId="102"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2" fillId="0" borderId="0">
      <alignment horizontal="center" vertical="center"/>
    </xf>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103" fillId="0" borderId="0"/>
    <xf numFmtId="0" fontId="6" fillId="0" borderId="0"/>
    <xf numFmtId="0" fontId="6" fillId="0" borderId="0"/>
    <xf numFmtId="0" fontId="6" fillId="0" borderId="0"/>
    <xf numFmtId="0" fontId="2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
      <alignment horizontal="center" vertical="center" wrapText="1"/>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
      <alignment horizontal="center" vertical="center" wrapText="1"/>
    </xf>
    <xf numFmtId="0" fontId="6" fillId="0" borderId="0"/>
    <xf numFmtId="9" fontId="4" fillId="0" borderId="0" applyFont="0" applyFill="0" applyBorder="0" applyAlignment="0" applyProtection="0"/>
    <xf numFmtId="0" fontId="6" fillId="0" borderId="0"/>
    <xf numFmtId="9" fontId="4" fillId="0" borderId="0" applyFont="0" applyFill="0" applyBorder="0" applyAlignment="0" applyProtection="0"/>
    <xf numFmtId="0" fontId="6" fillId="0" borderId="0"/>
    <xf numFmtId="9" fontId="4" fillId="0" borderId="0" applyFont="0" applyFill="0" applyBorder="0" applyAlignment="0" applyProtection="0"/>
    <xf numFmtId="9" fontId="4" fillId="0" borderId="0" applyFont="0" applyFill="0" applyBorder="0" applyAlignment="0" applyProtection="0"/>
    <xf numFmtId="0" fontId="6" fillId="0" borderId="0"/>
    <xf numFmtId="9" fontId="4" fillId="0" borderId="0" applyFont="0" applyFill="0" applyBorder="0" applyAlignment="0" applyProtection="0"/>
    <xf numFmtId="9" fontId="4" fillId="0" borderId="0" applyFont="0" applyFill="0" applyBorder="0" applyAlignment="0" applyProtection="0"/>
    <xf numFmtId="0" fontId="6" fillId="0" borderId="0"/>
    <xf numFmtId="9" fontId="4" fillId="0" borderId="0" applyFont="0" applyFill="0" applyBorder="0" applyAlignment="0" applyProtection="0"/>
    <xf numFmtId="0" fontId="6" fillId="0" borderId="0"/>
    <xf numFmtId="0" fontId="6" fillId="0" borderId="0"/>
    <xf numFmtId="0" fontId="278" fillId="0" borderId="0" applyNumberFormat="0" applyFill="0" applyBorder="0" applyAlignment="0" applyProtection="0"/>
    <xf numFmtId="0" fontId="6" fillId="0" borderId="1">
      <alignment vertical="center" wrapText="1" shrinkToFit="1"/>
    </xf>
    <xf numFmtId="0" fontId="6" fillId="0" borderId="1">
      <alignment vertical="center" wrapText="1" shrinkToFit="1"/>
    </xf>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279" fillId="0" borderId="0"/>
    <xf numFmtId="0" fontId="6" fillId="0" borderId="0"/>
    <xf numFmtId="0" fontId="6" fillId="0" borderId="0"/>
    <xf numFmtId="0" fontId="6" fillId="0" borderId="0"/>
    <xf numFmtId="0" fontId="6" fillId="0" borderId="0">
      <alignment wrapText="1"/>
    </xf>
    <xf numFmtId="0" fontId="6" fillId="0" borderId="0"/>
    <xf numFmtId="0" fontId="6" fillId="34" borderId="97" applyNumberFormat="0" applyFont="0" applyAlignment="0" applyProtection="0"/>
    <xf numFmtId="9" fontId="6" fillId="0" borderId="0" applyFont="0" applyFill="0" applyBorder="0" applyAlignment="0" applyProtection="0"/>
    <xf numFmtId="0" fontId="6" fillId="34" borderId="97" applyNumberFormat="0" applyFont="0" applyAlignment="0" applyProtection="0"/>
    <xf numFmtId="9" fontId="6" fillId="0" borderId="0" applyFont="0" applyFill="0" applyBorder="0" applyAlignment="0" applyProtection="0"/>
    <xf numFmtId="0" fontId="6" fillId="34" borderId="97" applyNumberFormat="0" applyFont="0" applyAlignment="0" applyProtection="0"/>
    <xf numFmtId="9" fontId="6" fillId="0" borderId="0" applyFont="0" applyFill="0" applyBorder="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260" fillId="0" borderId="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0" fontId="6" fillId="34" borderId="97" applyNumberFormat="0" applyFont="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0" fontId="285" fillId="0" borderId="0" applyBorder="0">
      <alignment horizontal="right"/>
    </xf>
    <xf numFmtId="9" fontId="4" fillId="0" borderId="0" applyFont="0" applyFill="0" applyBorder="0" applyAlignment="0" applyProtection="0"/>
    <xf numFmtId="40" fontId="285" fillId="0" borderId="0" applyBorder="0">
      <alignment horizontal="right"/>
    </xf>
    <xf numFmtId="9" fontId="4" fillId="0" borderId="0" applyFont="0" applyFill="0" applyBorder="0" applyAlignment="0" applyProtection="0"/>
    <xf numFmtId="40" fontId="285" fillId="0" borderId="0" applyBorder="0">
      <alignment horizontal="right"/>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90" fontId="283" fillId="0" borderId="0" applyNumberFormat="0" applyFill="0" applyBorder="0" applyAlignment="0" applyProtection="0">
      <alignment horizontal="left"/>
    </xf>
    <xf numFmtId="190" fontId="283" fillId="0" borderId="0" applyNumberFormat="0" applyFill="0" applyBorder="0" applyAlignment="0" applyProtection="0">
      <alignment horizontal="left"/>
    </xf>
    <xf numFmtId="0" fontId="262" fillId="0" borderId="1">
      <alignment horizontal="center"/>
    </xf>
    <xf numFmtId="0" fontId="262" fillId="0" borderId="1">
      <alignment horizontal="center"/>
    </xf>
    <xf numFmtId="0" fontId="262" fillId="0" borderId="0">
      <alignment horizontal="center" vertical="center"/>
    </xf>
    <xf numFmtId="49" fontId="6" fillId="0" borderId="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8" fillId="0" borderId="0" applyNumberFormat="0" applyFill="0" applyBorder="0" applyAlignment="0" applyProtection="0"/>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103" fillId="0" borderId="0"/>
    <xf numFmtId="0" fontId="6"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4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10" fillId="40" borderId="0" applyNumberFormat="0" applyBorder="0" applyAlignment="0" applyProtection="0"/>
    <xf numFmtId="167" fontId="337" fillId="0" borderId="0" applyFont="0" applyFill="0" applyBorder="0" applyAlignment="0" applyProtection="0"/>
    <xf numFmtId="164" fontId="337" fillId="0" borderId="0" applyFont="0" applyFill="0" applyBorder="0" applyAlignment="0" applyProtection="0"/>
    <xf numFmtId="0" fontId="3" fillId="0" borderId="0"/>
    <xf numFmtId="9" fontId="337" fillId="0" borderId="0" applyFont="0" applyFill="0" applyBorder="0" applyAlignment="0" applyProtection="0"/>
    <xf numFmtId="0" fontId="337" fillId="0" borderId="0"/>
    <xf numFmtId="0" fontId="337" fillId="0" borderId="0"/>
    <xf numFmtId="44" fontId="337" fillId="0" borderId="0" applyFont="0" applyFill="0" applyBorder="0" applyAlignment="0" applyProtection="0"/>
    <xf numFmtId="0" fontId="308" fillId="0" borderId="0" applyNumberFormat="0" applyFill="0" applyBorder="0" applyAlignment="0" applyProtection="0">
      <alignment vertical="top"/>
      <protection locked="0"/>
    </xf>
    <xf numFmtId="0" fontId="301" fillId="0" borderId="0"/>
    <xf numFmtId="0" fontId="337" fillId="0" borderId="0"/>
    <xf numFmtId="164" fontId="337" fillId="0" borderId="0" applyFont="0" applyFill="0" applyBorder="0" applyAlignment="0" applyProtection="0"/>
    <xf numFmtId="0" fontId="310" fillId="38" borderId="0" applyNumberFormat="0" applyBorder="0" applyAlignment="0" applyProtection="0"/>
    <xf numFmtId="9" fontId="3"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10" fillId="0" borderId="0"/>
    <xf numFmtId="0" fontId="337" fillId="0" borderId="0"/>
    <xf numFmtId="0" fontId="337" fillId="0" borderId="9">
      <alignment horizontal="center"/>
    </xf>
    <xf numFmtId="9" fontId="3" fillId="0" borderId="0" applyFont="0" applyFill="0" applyBorder="0" applyAlignment="0" applyProtection="0"/>
    <xf numFmtId="0" fontId="337" fillId="0" borderId="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14" fillId="21" borderId="0" applyNumberFormat="0" applyBorder="0" applyAlignment="0" applyProtection="0"/>
    <xf numFmtId="0" fontId="317" fillId="18" borderId="0" applyNumberFormat="0" applyBorder="0" applyAlignment="0" applyProtection="0"/>
    <xf numFmtId="164" fontId="337" fillId="0" borderId="0" applyFont="0" applyFill="0" applyBorder="0" applyAlignment="0" applyProtection="0"/>
    <xf numFmtId="0" fontId="337" fillId="0" borderId="0"/>
    <xf numFmtId="0" fontId="3" fillId="0" borderId="0"/>
    <xf numFmtId="0" fontId="337" fillId="0" borderId="0"/>
    <xf numFmtId="0" fontId="312" fillId="33" borderId="99" applyNumberFormat="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0" fontId="321" fillId="0" borderId="0" applyFill="0" applyBorder="0" applyAlignment="0"/>
    <xf numFmtId="0" fontId="337" fillId="0" borderId="0"/>
    <xf numFmtId="0" fontId="337" fillId="0" borderId="0"/>
    <xf numFmtId="0" fontId="337" fillId="0" borderId="0"/>
    <xf numFmtId="0" fontId="3" fillId="0" borderId="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 fillId="0" borderId="0"/>
    <xf numFmtId="0" fontId="310" fillId="36" borderId="0" applyNumberFormat="0" applyBorder="0" applyAlignment="0" applyProtection="0"/>
    <xf numFmtId="0" fontId="337" fillId="0" borderId="0"/>
    <xf numFmtId="0" fontId="3" fillId="0" borderId="0"/>
    <xf numFmtId="0" fontId="310" fillId="36" borderId="0" applyNumberFormat="0" applyBorder="0" applyAlignment="0" applyProtection="0"/>
    <xf numFmtId="2" fontId="337" fillId="0" borderId="0" applyFont="0" applyFill="0" applyBorder="0" applyAlignment="0" applyProtection="0"/>
    <xf numFmtId="164" fontId="337" fillId="0" borderId="0" applyFont="0" applyFill="0" applyBorder="0" applyAlignment="0" applyProtection="0"/>
    <xf numFmtId="0" fontId="3" fillId="0" borderId="0"/>
    <xf numFmtId="0" fontId="314" fillId="31" borderId="0" applyNumberFormat="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0" fontId="310" fillId="42" borderId="0" applyNumberFormat="0" applyBorder="0" applyAlignment="0" applyProtection="0"/>
    <xf numFmtId="0" fontId="301" fillId="0" borderId="0"/>
    <xf numFmtId="0" fontId="3" fillId="0" borderId="0"/>
    <xf numFmtId="0" fontId="325" fillId="0" borderId="101" applyNumberFormat="0" applyFill="0" applyAlignment="0" applyProtection="0"/>
    <xf numFmtId="0" fontId="337" fillId="0" borderId="0"/>
    <xf numFmtId="164" fontId="337" fillId="0" borderId="0" applyFont="0" applyFill="0" applyBorder="0" applyAlignment="0" applyProtection="0"/>
    <xf numFmtId="0" fontId="310" fillId="0" borderId="0"/>
    <xf numFmtId="0" fontId="326" fillId="46" borderId="100" applyNumberFormat="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01" fillId="0" borderId="0"/>
    <xf numFmtId="0" fontId="314" fillId="49" borderId="0" applyNumberFormat="0" applyBorder="0" applyAlignment="0" applyProtection="0"/>
    <xf numFmtId="1" fontId="337" fillId="0" borderId="0"/>
    <xf numFmtId="0" fontId="314" fillId="21" borderId="0" applyNumberFormat="0" applyBorder="0" applyAlignment="0" applyProtection="0"/>
    <xf numFmtId="0" fontId="337" fillId="0" borderId="0"/>
    <xf numFmtId="164" fontId="337" fillId="0" borderId="0" applyFont="0" applyFill="0" applyBorder="0" applyAlignment="0" applyProtection="0"/>
    <xf numFmtId="0" fontId="310" fillId="15" borderId="0" applyNumberFormat="0" applyBorder="0" applyAlignment="0" applyProtection="0"/>
    <xf numFmtId="0" fontId="337" fillId="0" borderId="0"/>
    <xf numFmtId="182" fontId="337" fillId="0" borderId="0" applyFont="0" applyFill="0" applyBorder="0" applyAlignment="0" applyProtection="0"/>
    <xf numFmtId="0" fontId="3" fillId="0" borderId="0"/>
    <xf numFmtId="44" fontId="337" fillId="0" borderId="0" applyFont="0" applyFill="0" applyBorder="0" applyAlignment="0" applyProtection="0"/>
    <xf numFmtId="9" fontId="337" fillId="0" borderId="0" applyFont="0" applyFill="0" applyBorder="0" applyAlignment="0" applyProtection="0"/>
    <xf numFmtId="0" fontId="301" fillId="0" borderId="0"/>
    <xf numFmtId="0" fontId="3" fillId="0" borderId="0"/>
    <xf numFmtId="164" fontId="337" fillId="0" borderId="0" applyFont="0" applyFill="0" applyBorder="0" applyAlignment="0" applyProtection="0"/>
    <xf numFmtId="0" fontId="337" fillId="0" borderId="0"/>
    <xf numFmtId="9" fontId="3" fillId="0" borderId="0" applyFont="0" applyFill="0" applyBorder="0" applyAlignment="0" applyProtection="0"/>
    <xf numFmtId="0" fontId="337" fillId="0" borderId="0"/>
    <xf numFmtId="164" fontId="337" fillId="0" borderId="0" applyFont="0" applyFill="0" applyBorder="0" applyAlignment="0" applyProtection="0"/>
    <xf numFmtId="0" fontId="314" fillId="45" borderId="0" applyNumberFormat="0" applyBorder="0" applyAlignment="0" applyProtection="0"/>
    <xf numFmtId="0" fontId="337" fillId="0" borderId="0"/>
    <xf numFmtId="0" fontId="337" fillId="0" borderId="0"/>
    <xf numFmtId="0" fontId="301" fillId="0" borderId="0"/>
    <xf numFmtId="164" fontId="337" fillId="0" borderId="0" applyFont="0" applyFill="0" applyBorder="0" applyAlignment="0" applyProtection="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296" fillId="0" borderId="14" applyNumberFormat="0" applyAlignment="0" applyProtection="0">
      <alignment horizontal="left" vertical="center"/>
    </xf>
    <xf numFmtId="0" fontId="337" fillId="0" borderId="0"/>
    <xf numFmtId="0" fontId="3" fillId="0" borderId="0"/>
    <xf numFmtId="164" fontId="337" fillId="0" borderId="0" applyFont="0" applyFill="0" applyBorder="0" applyAlignment="0" applyProtection="0"/>
    <xf numFmtId="0" fontId="301" fillId="0" borderId="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296" fillId="0" borderId="14" applyNumberFormat="0" applyAlignment="0" applyProtection="0">
      <alignment horizontal="left" vertical="center"/>
    </xf>
    <xf numFmtId="0" fontId="337" fillId="0" borderId="0"/>
    <xf numFmtId="0" fontId="3" fillId="0" borderId="0"/>
    <xf numFmtId="164" fontId="337" fillId="0" borderId="0" applyFont="0" applyFill="0" applyBorder="0" applyAlignment="0" applyProtection="0"/>
    <xf numFmtId="0" fontId="3" fillId="0" borderId="0"/>
    <xf numFmtId="0" fontId="3" fillId="0" borderId="0"/>
    <xf numFmtId="0" fontId="337"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01" fillId="0" borderId="0"/>
    <xf numFmtId="0" fontId="3" fillId="0" borderId="0"/>
    <xf numFmtId="0" fontId="314" fillId="45" borderId="0" applyNumberFormat="0" applyBorder="0" applyAlignment="0" applyProtection="0"/>
    <xf numFmtId="0" fontId="337" fillId="0" borderId="0"/>
    <xf numFmtId="0" fontId="337" fillId="0" borderId="0"/>
    <xf numFmtId="0" fontId="301" fillId="0" borderId="0"/>
    <xf numFmtId="0" fontId="337" fillId="0" borderId="0"/>
    <xf numFmtId="164" fontId="337" fillId="0" borderId="0" applyFont="0" applyFill="0" applyBorder="0" applyAlignment="0" applyProtection="0"/>
    <xf numFmtId="0" fontId="337" fillId="0" borderId="0"/>
    <xf numFmtId="0" fontId="3"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 fillId="0" borderId="0"/>
    <xf numFmtId="0" fontId="3" fillId="0" borderId="0"/>
    <xf numFmtId="164" fontId="337" fillId="0" borderId="0" applyFont="0" applyFill="0" applyBorder="0" applyAlignment="0" applyProtection="0"/>
    <xf numFmtId="0" fontId="337" fillId="0" borderId="0"/>
    <xf numFmtId="0" fontId="337" fillId="0" borderId="0"/>
    <xf numFmtId="0" fontId="337" fillId="0" borderId="0"/>
    <xf numFmtId="0" fontId="314" fillId="39" borderId="0" applyNumberFormat="0" applyBorder="0" applyAlignment="0" applyProtection="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9" fontId="310" fillId="0" borderId="0" applyFont="0" applyFill="0" applyBorder="0" applyAlignment="0" applyProtection="0"/>
    <xf numFmtId="0" fontId="314" fillId="44" borderId="0" applyNumberFormat="0" applyBorder="0" applyAlignment="0" applyProtection="0"/>
    <xf numFmtId="0" fontId="319" fillId="0" borderId="98" applyNumberFormat="0" applyFill="0" applyAlignment="0" applyProtection="0"/>
    <xf numFmtId="0" fontId="337" fillId="0" borderId="0"/>
    <xf numFmtId="0" fontId="310" fillId="36" borderId="0" applyNumberFormat="0" applyBorder="0" applyAlignment="0" applyProtection="0"/>
    <xf numFmtId="0" fontId="310" fillId="16" borderId="0" applyNumberFormat="0" applyBorder="0" applyAlignment="0" applyProtection="0"/>
    <xf numFmtId="0" fontId="310" fillId="43" borderId="0" applyNumberFormat="0" applyBorder="0" applyAlignment="0" applyProtection="0"/>
    <xf numFmtId="0" fontId="337" fillId="0" borderId="0"/>
    <xf numFmtId="0" fontId="328" fillId="0" borderId="0">
      <alignment vertical="top"/>
    </xf>
    <xf numFmtId="0" fontId="319" fillId="0" borderId="98" applyNumberFormat="0" applyFill="0" applyAlignment="0" applyProtection="0"/>
    <xf numFmtId="0" fontId="337" fillId="0" borderId="0"/>
    <xf numFmtId="0" fontId="310" fillId="36" borderId="0" applyNumberFormat="0" applyBorder="0" applyAlignment="0" applyProtection="0"/>
    <xf numFmtId="164" fontId="337" fillId="0" borderId="0" applyFont="0" applyFill="0" applyBorder="0" applyAlignment="0" applyProtection="0"/>
    <xf numFmtId="1" fontId="337" fillId="0" borderId="0"/>
    <xf numFmtId="164" fontId="337" fillId="0" borderId="0" applyFont="0" applyFill="0" applyBorder="0" applyAlignment="0" applyProtection="0"/>
    <xf numFmtId="0" fontId="3" fillId="0" borderId="0"/>
    <xf numFmtId="0" fontId="310" fillId="18" borderId="0" applyNumberFormat="0" applyBorder="0" applyAlignment="0" applyProtection="0"/>
    <xf numFmtId="0" fontId="337" fillId="0" borderId="0"/>
    <xf numFmtId="0" fontId="3" fillId="0" borderId="0"/>
    <xf numFmtId="176" fontId="301"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10" fillId="0" borderId="0"/>
    <xf numFmtId="0" fontId="310" fillId="16" borderId="0" applyNumberFormat="0" applyBorder="0" applyAlignment="0" applyProtection="0"/>
    <xf numFmtId="0" fontId="330" fillId="15" borderId="99" applyNumberFormat="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0" fontId="310" fillId="16" borderId="0" applyNumberFormat="0" applyBorder="0" applyAlignment="0" applyProtection="0"/>
    <xf numFmtId="0" fontId="310" fillId="42" borderId="0" applyNumberFormat="0" applyBorder="0" applyAlignment="0" applyProtection="0"/>
    <xf numFmtId="0" fontId="337" fillId="0" borderId="0"/>
    <xf numFmtId="0" fontId="3" fillId="0" borderId="0"/>
    <xf numFmtId="0" fontId="310" fillId="16" borderId="0" applyNumberFormat="0" applyBorder="0" applyAlignment="0" applyProtection="0"/>
    <xf numFmtId="0" fontId="310" fillId="42" borderId="0" applyNumberFormat="0" applyBorder="0" applyAlignment="0" applyProtection="0"/>
    <xf numFmtId="164" fontId="337" fillId="0" borderId="0" applyFont="0" applyFill="0" applyBorder="0" applyAlignment="0" applyProtection="0"/>
    <xf numFmtId="0" fontId="3" fillId="0" borderId="0"/>
    <xf numFmtId="1" fontId="337" fillId="0" borderId="0"/>
    <xf numFmtId="0" fontId="337" fillId="0" borderId="0"/>
    <xf numFmtId="164" fontId="337" fillId="0" borderId="0" applyFont="0" applyFill="0" applyBorder="0" applyAlignment="0" applyProtection="0"/>
    <xf numFmtId="0" fontId="310" fillId="18" borderId="0" applyNumberFormat="0" applyBorder="0" applyAlignment="0" applyProtection="0"/>
    <xf numFmtId="0" fontId="337" fillId="0" borderId="0"/>
    <xf numFmtId="1" fontId="337" fillId="0" borderId="0"/>
    <xf numFmtId="0" fontId="310" fillId="18" borderId="0" applyNumberFormat="0" applyBorder="0" applyAlignment="0" applyProtection="0"/>
    <xf numFmtId="1" fontId="337" fillId="0" borderId="0"/>
    <xf numFmtId="0" fontId="310" fillId="18" borderId="0" applyNumberFormat="0" applyBorder="0" applyAlignment="0" applyProtection="0"/>
    <xf numFmtId="0" fontId="310" fillId="19" borderId="0" applyNumberFormat="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10" fillId="19" borderId="0" applyNumberFormat="0" applyBorder="0" applyAlignment="0" applyProtection="0"/>
    <xf numFmtId="0" fontId="3" fillId="0" borderId="0"/>
    <xf numFmtId="0" fontId="310" fillId="19" borderId="0" applyNumberFormat="0" applyBorder="0" applyAlignment="0" applyProtection="0"/>
    <xf numFmtId="0" fontId="3" fillId="0" borderId="0"/>
    <xf numFmtId="0" fontId="337" fillId="0" borderId="0"/>
    <xf numFmtId="0" fontId="337" fillId="0" borderId="0"/>
    <xf numFmtId="0" fontId="337" fillId="0" borderId="0"/>
    <xf numFmtId="164" fontId="337" fillId="0" borderId="0" applyFont="0" applyFill="0" applyBorder="0" applyAlignment="0" applyProtection="0"/>
    <xf numFmtId="0" fontId="3" fillId="0" borderId="0"/>
    <xf numFmtId="0" fontId="310" fillId="19" borderId="0" applyNumberFormat="0" applyBorder="0" applyAlignment="0" applyProtection="0"/>
    <xf numFmtId="0" fontId="3" fillId="0" borderId="0"/>
    <xf numFmtId="0" fontId="337" fillId="0" borderId="0"/>
    <xf numFmtId="0" fontId="337" fillId="0" borderId="0"/>
    <xf numFmtId="164" fontId="337" fillId="0" borderId="0" applyFont="0" applyFill="0" applyBorder="0" applyAlignment="0" applyProtection="0"/>
    <xf numFmtId="0" fontId="310" fillId="20" borderId="0" applyNumberFormat="0" applyBorder="0" applyAlignment="0" applyProtection="0"/>
    <xf numFmtId="0" fontId="337" fillId="0" borderId="0"/>
    <xf numFmtId="0" fontId="310" fillId="20" borderId="0" applyNumberFormat="0" applyBorder="0" applyAlignment="0" applyProtection="0"/>
    <xf numFmtId="0" fontId="337" fillId="0" borderId="0"/>
    <xf numFmtId="0" fontId="337" fillId="0" borderId="0"/>
    <xf numFmtId="164" fontId="337" fillId="0" borderId="0" applyFont="0" applyFill="0" applyBorder="0" applyAlignment="0" applyProtection="0"/>
    <xf numFmtId="0" fontId="310" fillId="20" borderId="0" applyNumberFormat="0" applyBorder="0" applyAlignment="0" applyProtection="0"/>
    <xf numFmtId="0" fontId="337" fillId="0" borderId="0"/>
    <xf numFmtId="0" fontId="337" fillId="0" borderId="0"/>
    <xf numFmtId="164" fontId="3"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10" fillId="20" borderId="0" applyNumberFormat="0" applyBorder="0" applyAlignment="0" applyProtection="0"/>
    <xf numFmtId="0" fontId="337" fillId="0" borderId="0"/>
    <xf numFmtId="44" fontId="337" fillId="0" borderId="0" applyFont="0" applyFill="0" applyBorder="0" applyAlignment="0" applyProtection="0"/>
    <xf numFmtId="9" fontId="337" fillId="0" borderId="0" applyFont="0" applyFill="0" applyBorder="0" applyAlignment="0" applyProtection="0"/>
    <xf numFmtId="0" fontId="301" fillId="0" borderId="0"/>
    <xf numFmtId="0" fontId="3" fillId="0" borderId="0"/>
    <xf numFmtId="164" fontId="337" fillId="0" borderId="0" applyFont="0" applyFill="0" applyBorder="0" applyAlignment="0" applyProtection="0"/>
    <xf numFmtId="0" fontId="337" fillId="0" borderId="0"/>
    <xf numFmtId="0" fontId="337" fillId="0" borderId="0"/>
    <xf numFmtId="0" fontId="337" fillId="0" borderId="0"/>
    <xf numFmtId="164" fontId="337" fillId="0" borderId="0" applyFont="0" applyFill="0" applyBorder="0" applyAlignment="0" applyProtection="0"/>
    <xf numFmtId="0" fontId="310" fillId="15" borderId="0" applyNumberFormat="0" applyBorder="0" applyAlignment="0" applyProtection="0"/>
    <xf numFmtId="164" fontId="337" fillId="0" borderId="0" applyFont="0" applyFill="0" applyBorder="0" applyAlignment="0" applyProtection="0"/>
    <xf numFmtId="0" fontId="337" fillId="0" borderId="0"/>
    <xf numFmtId="0" fontId="337" fillId="34" borderId="97" applyNumberFormat="0" applyFont="0" applyAlignment="0" applyProtection="0"/>
    <xf numFmtId="0" fontId="337" fillId="0" borderId="0"/>
    <xf numFmtId="0" fontId="337" fillId="0" borderId="0"/>
    <xf numFmtId="0" fontId="310" fillId="15" borderId="0" applyNumberFormat="0" applyBorder="0" applyAlignment="0" applyProtection="0"/>
    <xf numFmtId="0" fontId="337" fillId="0" borderId="0"/>
    <xf numFmtId="164" fontId="337" fillId="0" borderId="0" applyFont="0" applyFill="0" applyBorder="0" applyAlignment="0" applyProtection="0"/>
    <xf numFmtId="0" fontId="337" fillId="34" borderId="97" applyNumberFormat="0" applyFont="0" applyAlignment="0" applyProtection="0"/>
    <xf numFmtId="0" fontId="337" fillId="0" borderId="0"/>
    <xf numFmtId="0" fontId="337" fillId="0" borderId="0"/>
    <xf numFmtId="37" fontId="311" fillId="0" borderId="0"/>
    <xf numFmtId="0" fontId="310" fillId="15" borderId="0" applyNumberFormat="0" applyBorder="0" applyAlignment="0" applyProtection="0"/>
    <xf numFmtId="0" fontId="312" fillId="33" borderId="99" applyNumberFormat="0" applyAlignment="0" applyProtection="0"/>
    <xf numFmtId="0" fontId="337" fillId="0" borderId="0"/>
    <xf numFmtId="164" fontId="337" fillId="0" borderId="0" applyFont="0" applyFill="0" applyBorder="0" applyAlignment="0" applyProtection="0"/>
    <xf numFmtId="0" fontId="310" fillId="12" borderId="0" applyNumberFormat="0" applyBorder="0" applyAlignment="0" applyProtection="0"/>
    <xf numFmtId="0" fontId="3" fillId="0" borderId="0"/>
    <xf numFmtId="0" fontId="310" fillId="12" borderId="0" applyNumberFormat="0" applyBorder="0" applyAlignment="0" applyProtection="0"/>
    <xf numFmtId="0" fontId="337" fillId="0" borderId="0"/>
    <xf numFmtId="0" fontId="310" fillId="12" borderId="0" applyNumberFormat="0" applyBorder="0" applyAlignment="0" applyProtection="0"/>
    <xf numFmtId="164" fontId="337" fillId="0" borderId="0" applyFont="0" applyFill="0" applyBorder="0" applyAlignment="0" applyProtection="0"/>
    <xf numFmtId="0" fontId="310" fillId="12" borderId="0" applyNumberFormat="0" applyBorder="0" applyAlignment="0" applyProtection="0"/>
    <xf numFmtId="0" fontId="310" fillId="17" borderId="0" applyNumberFormat="0" applyBorder="0" applyAlignment="0" applyProtection="0"/>
    <xf numFmtId="0" fontId="310" fillId="17" borderId="0" applyNumberFormat="0" applyBorder="0" applyAlignment="0" applyProtection="0"/>
    <xf numFmtId="0" fontId="337" fillId="0" borderId="0"/>
    <xf numFmtId="0" fontId="337" fillId="0" borderId="0"/>
    <xf numFmtId="0" fontId="301" fillId="0" borderId="0"/>
    <xf numFmtId="0" fontId="337" fillId="0" borderId="0"/>
    <xf numFmtId="0" fontId="310" fillId="17" borderId="0" applyNumberFormat="0" applyBorder="0" applyAlignment="0" applyProtection="0"/>
    <xf numFmtId="0" fontId="337" fillId="0" borderId="0"/>
    <xf numFmtId="0" fontId="301" fillId="0" borderId="0"/>
    <xf numFmtId="0" fontId="337" fillId="0" borderId="0"/>
    <xf numFmtId="164" fontId="337" fillId="0" borderId="0" applyFont="0" applyFill="0" applyBorder="0" applyAlignment="0" applyProtection="0"/>
    <xf numFmtId="0" fontId="310" fillId="17" borderId="0" applyNumberFormat="0" applyBorder="0" applyAlignment="0" applyProtection="0"/>
    <xf numFmtId="0" fontId="310" fillId="21" borderId="0" applyNumberFormat="0" applyBorder="0" applyAlignment="0" applyProtection="0"/>
    <xf numFmtId="0" fontId="337" fillId="0" borderId="0"/>
    <xf numFmtId="0" fontId="310" fillId="21" borderId="0" applyNumberFormat="0" applyBorder="0" applyAlignment="0" applyProtection="0"/>
    <xf numFmtId="0" fontId="314" fillId="51" borderId="0" applyNumberFormat="0" applyBorder="0" applyAlignment="0" applyProtection="0"/>
    <xf numFmtId="0" fontId="337" fillId="0" borderId="0"/>
    <xf numFmtId="0" fontId="337" fillId="0" borderId="0"/>
    <xf numFmtId="0" fontId="337" fillId="0" borderId="0"/>
    <xf numFmtId="0" fontId="310" fillId="21" borderId="0" applyNumberFormat="0" applyBorder="0" applyAlignment="0" applyProtection="0"/>
    <xf numFmtId="0" fontId="337" fillId="0" borderId="0"/>
    <xf numFmtId="0" fontId="337" fillId="0" borderId="0"/>
    <xf numFmtId="0" fontId="337" fillId="0" borderId="0"/>
    <xf numFmtId="0" fontId="337" fillId="0" borderId="0"/>
    <xf numFmtId="1" fontId="337" fillId="0" borderId="0"/>
    <xf numFmtId="0" fontId="310" fillId="19" borderId="0" applyNumberFormat="0" applyBorder="0" applyAlignment="0" applyProtection="0"/>
    <xf numFmtId="0" fontId="310" fillId="21" borderId="0" applyNumberFormat="0" applyBorder="0" applyAlignment="0" applyProtection="0"/>
    <xf numFmtId="0" fontId="3" fillId="0" borderId="0"/>
    <xf numFmtId="0" fontId="337" fillId="0" borderId="0"/>
    <xf numFmtId="1" fontId="337" fillId="0" borderId="0"/>
    <xf numFmtId="0" fontId="310" fillId="19" borderId="0" applyNumberFormat="0" applyBorder="0" applyAlignment="0" applyProtection="0"/>
    <xf numFmtId="1" fontId="337" fillId="0" borderId="0"/>
    <xf numFmtId="0" fontId="310" fillId="19" borderId="0" applyNumberFormat="0" applyBorder="0" applyAlignment="0" applyProtection="0"/>
    <xf numFmtId="0" fontId="337" fillId="0" borderId="0"/>
    <xf numFmtId="1" fontId="337" fillId="0" borderId="0"/>
    <xf numFmtId="0" fontId="310" fillId="19" borderId="0" applyNumberFormat="0" applyBorder="0" applyAlignment="0" applyProtection="0"/>
    <xf numFmtId="0" fontId="337" fillId="0" borderId="0"/>
    <xf numFmtId="0" fontId="310" fillId="12" borderId="0" applyNumberFormat="0" applyBorder="0" applyAlignment="0" applyProtection="0"/>
    <xf numFmtId="0" fontId="337" fillId="0" borderId="0"/>
    <xf numFmtId="40" fontId="303" fillId="0" borderId="0"/>
    <xf numFmtId="0" fontId="310" fillId="12" borderId="0" applyNumberFormat="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0" fontId="298" fillId="34" borderId="1" applyNumberFormat="0" applyBorder="0" applyAlignment="0" applyProtection="0"/>
    <xf numFmtId="44" fontId="337" fillId="0" borderId="0" applyFont="0" applyFill="0" applyBorder="0" applyAlignment="0" applyProtection="0"/>
    <xf numFmtId="0" fontId="310" fillId="12" borderId="0" applyNumberFormat="0" applyBorder="0" applyAlignment="0" applyProtection="0"/>
    <xf numFmtId="0" fontId="337" fillId="0" borderId="0"/>
    <xf numFmtId="0" fontId="3" fillId="0" borderId="0"/>
    <xf numFmtId="0" fontId="337" fillId="0" borderId="0"/>
    <xf numFmtId="164" fontId="337" fillId="0" borderId="0" applyFont="0" applyFill="0" applyBorder="0" applyAlignment="0" applyProtection="0"/>
    <xf numFmtId="0" fontId="301" fillId="0" borderId="0"/>
    <xf numFmtId="0" fontId="301" fillId="0" borderId="0"/>
    <xf numFmtId="0" fontId="337" fillId="0" borderId="0"/>
    <xf numFmtId="0" fontId="314" fillId="52" borderId="0" applyNumberFormat="0" applyBorder="0" applyAlignment="0" applyProtection="0"/>
    <xf numFmtId="0" fontId="310" fillId="12" borderId="0" applyNumberFormat="0" applyBorder="0" applyAlignment="0" applyProtection="0"/>
    <xf numFmtId="9" fontId="3" fillId="0" borderId="0" applyFont="0" applyFill="0" applyBorder="0" applyAlignment="0" applyProtection="0"/>
    <xf numFmtId="0" fontId="310" fillId="14" borderId="0" applyNumberFormat="0" applyBorder="0" applyAlignment="0" applyProtection="0"/>
    <xf numFmtId="0" fontId="3" fillId="0" borderId="0"/>
    <xf numFmtId="0" fontId="314" fillId="37" borderId="0" applyNumberFormat="0" applyBorder="0" applyAlignment="0" applyProtection="0"/>
    <xf numFmtId="0" fontId="3" fillId="0" borderId="0"/>
    <xf numFmtId="9" fontId="3" fillId="0" borderId="0" applyFont="0" applyFill="0" applyBorder="0" applyAlignment="0" applyProtection="0"/>
    <xf numFmtId="0" fontId="310" fillId="14" borderId="0" applyNumberFormat="0" applyBorder="0" applyAlignment="0" applyProtection="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9" fontId="3" fillId="0" borderId="0" applyFont="0" applyFill="0" applyBorder="0" applyAlignment="0" applyProtection="0"/>
    <xf numFmtId="0" fontId="310" fillId="14" borderId="0" applyNumberFormat="0" applyBorder="0" applyAlignment="0" applyProtection="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 fillId="0" borderId="0"/>
    <xf numFmtId="0" fontId="337" fillId="0" borderId="0"/>
    <xf numFmtId="0" fontId="337" fillId="0" borderId="0"/>
    <xf numFmtId="164" fontId="337" fillId="0" borderId="0" applyFont="0" applyFill="0" applyBorder="0" applyAlignment="0" applyProtection="0"/>
    <xf numFmtId="1" fontId="337" fillId="0" borderId="0"/>
    <xf numFmtId="164" fontId="337" fillId="0" borderId="0" applyFont="0" applyFill="0" applyBorder="0" applyAlignment="0" applyProtection="0"/>
    <xf numFmtId="0" fontId="314" fillId="39" borderId="0" applyNumberFormat="0" applyBorder="0" applyAlignment="0" applyProtection="0"/>
    <xf numFmtId="9" fontId="3" fillId="0" borderId="0" applyFont="0" applyFill="0" applyBorder="0" applyAlignment="0" applyProtection="0"/>
    <xf numFmtId="0" fontId="337" fillId="0" borderId="0"/>
    <xf numFmtId="9" fontId="3" fillId="0" borderId="0" applyFont="0" applyFill="0" applyBorder="0" applyAlignment="0" applyProtection="0"/>
    <xf numFmtId="0" fontId="310" fillId="14" borderId="0" applyNumberFormat="0" applyBorder="0" applyAlignment="0" applyProtection="0"/>
    <xf numFmtId="0" fontId="310" fillId="42" borderId="0" applyNumberFormat="0" applyBorder="0" applyAlignment="0" applyProtection="0"/>
    <xf numFmtId="0" fontId="3" fillId="0" borderId="0"/>
    <xf numFmtId="1" fontId="337" fillId="0" borderId="0"/>
    <xf numFmtId="0" fontId="314" fillId="37" borderId="0" applyNumberFormat="0" applyBorder="0" applyAlignment="0" applyProtection="0"/>
    <xf numFmtId="9" fontId="3" fillId="0" borderId="0" applyFont="0" applyFill="0" applyBorder="0" applyAlignment="0" applyProtection="0"/>
    <xf numFmtId="184" fontId="301" fillId="0" borderId="0" applyFont="0" applyFill="0" applyBorder="0" applyAlignment="0" applyProtection="0"/>
    <xf numFmtId="0" fontId="3" fillId="0" borderId="0"/>
    <xf numFmtId="0" fontId="314" fillId="37" borderId="0" applyNumberFormat="0" applyBorder="0" applyAlignment="0" applyProtection="0"/>
    <xf numFmtId="0" fontId="3" fillId="0" borderId="0"/>
    <xf numFmtId="0" fontId="3" fillId="0" borderId="0"/>
    <xf numFmtId="1" fontId="337" fillId="0" borderId="0"/>
    <xf numFmtId="0" fontId="314" fillId="37" borderId="0" applyNumberFormat="0" applyBorder="0" applyAlignment="0" applyProtection="0"/>
    <xf numFmtId="9" fontId="3" fillId="0" borderId="0" applyFont="0" applyFill="0" applyBorder="0" applyAlignment="0" applyProtection="0"/>
    <xf numFmtId="0" fontId="337" fillId="0" borderId="0"/>
    <xf numFmtId="0" fontId="314" fillId="53" borderId="0" applyNumberFormat="0" applyBorder="0" applyAlignment="0" applyProtection="0"/>
    <xf numFmtId="184" fontId="301" fillId="0" borderId="0" applyFont="0" applyFill="0" applyBorder="0" applyAlignment="0" applyProtection="0"/>
    <xf numFmtId="1" fontId="337" fillId="0" borderId="0"/>
    <xf numFmtId="0" fontId="314" fillId="17" borderId="0" applyNumberFormat="0" applyBorder="0" applyAlignment="0" applyProtection="0"/>
    <xf numFmtId="0" fontId="314" fillId="17" borderId="0" applyNumberFormat="0" applyBorder="0" applyAlignment="0" applyProtection="0"/>
    <xf numFmtId="0" fontId="337" fillId="0" borderId="0"/>
    <xf numFmtId="0" fontId="314" fillId="17" borderId="0" applyNumberFormat="0" applyBorder="0" applyAlignment="0" applyProtection="0"/>
    <xf numFmtId="0" fontId="337" fillId="0" borderId="0"/>
    <xf numFmtId="1" fontId="337" fillId="0" borderId="0"/>
    <xf numFmtId="0" fontId="314" fillId="17" borderId="0" applyNumberFormat="0" applyBorder="0" applyAlignment="0" applyProtection="0"/>
    <xf numFmtId="9" fontId="3" fillId="0" borderId="0" applyFont="0" applyFill="0" applyBorder="0" applyAlignment="0" applyProtection="0"/>
    <xf numFmtId="0" fontId="337" fillId="0" borderId="0"/>
    <xf numFmtId="0" fontId="301" fillId="0" borderId="0"/>
    <xf numFmtId="0" fontId="337" fillId="0" borderId="0"/>
    <xf numFmtId="0" fontId="314" fillId="21" borderId="0" applyNumberFormat="0" applyBorder="0" applyAlignment="0" applyProtection="0"/>
    <xf numFmtId="0" fontId="317" fillId="18" borderId="0" applyNumberFormat="0" applyBorder="0" applyAlignment="0" applyProtection="0"/>
    <xf numFmtId="1" fontId="337" fillId="0" borderId="0"/>
    <xf numFmtId="0" fontId="314" fillId="21" borderId="0" applyNumberFormat="0" applyBorder="0" applyAlignment="0" applyProtection="0"/>
    <xf numFmtId="1" fontId="337" fillId="0" borderId="0"/>
    <xf numFmtId="164" fontId="337" fillId="0" borderId="0" applyFont="0" applyFill="0" applyBorder="0" applyAlignment="0" applyProtection="0"/>
    <xf numFmtId="0" fontId="314" fillId="39" borderId="0" applyNumberFormat="0" applyBorder="0" applyAlignment="0" applyProtection="0"/>
    <xf numFmtId="0" fontId="314" fillId="39" borderId="0" applyNumberFormat="0" applyBorder="0" applyAlignment="0" applyProtection="0"/>
    <xf numFmtId="176" fontId="301" fillId="0" borderId="0" applyFont="0" applyFill="0" applyBorder="0" applyAlignment="0" applyProtection="0"/>
    <xf numFmtId="176" fontId="301" fillId="0" borderId="0" applyFont="0" applyFill="0" applyBorder="0" applyAlignment="0" applyProtection="0"/>
    <xf numFmtId="1" fontId="337" fillId="0" borderId="0"/>
    <xf numFmtId="0" fontId="314" fillId="39" borderId="0" applyNumberFormat="0" applyBorder="0" applyAlignment="0" applyProtection="0"/>
    <xf numFmtId="176" fontId="301" fillId="0" borderId="0" applyFont="0" applyFill="0" applyBorder="0" applyAlignment="0" applyProtection="0"/>
    <xf numFmtId="176" fontId="301" fillId="0" borderId="0" applyFont="0" applyFill="0" applyBorder="0" applyAlignment="0" applyProtection="0"/>
    <xf numFmtId="1" fontId="337" fillId="0" borderId="0"/>
    <xf numFmtId="0" fontId="314" fillId="35" borderId="0" applyNumberFormat="0" applyBorder="0" applyAlignment="0" applyProtection="0"/>
    <xf numFmtId="0" fontId="337" fillId="0" borderId="0"/>
    <xf numFmtId="0" fontId="314" fillId="35" borderId="0" applyNumberFormat="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14" fillId="35" borderId="0" applyNumberFormat="0" applyBorder="0" applyAlignment="0" applyProtection="0"/>
    <xf numFmtId="0" fontId="325" fillId="0" borderId="101" applyNumberFormat="0" applyFill="0" applyAlignment="0" applyProtection="0"/>
    <xf numFmtId="0" fontId="337" fillId="0" borderId="0"/>
    <xf numFmtId="0" fontId="314" fillId="35" borderId="0" applyNumberFormat="0" applyBorder="0" applyAlignment="0" applyProtection="0"/>
    <xf numFmtId="1" fontId="337" fillId="0" borderId="0"/>
    <xf numFmtId="0" fontId="337" fillId="0" borderId="0"/>
    <xf numFmtId="164" fontId="337" fillId="0" borderId="0" applyFont="0" applyFill="0" applyBorder="0" applyAlignment="0" applyProtection="0"/>
    <xf numFmtId="0" fontId="337" fillId="0" borderId="0"/>
    <xf numFmtId="0" fontId="314" fillId="50" borderId="0" applyNumberFormat="0" applyBorder="0" applyAlignment="0" applyProtection="0"/>
    <xf numFmtId="1" fontId="337" fillId="0" borderId="0"/>
    <xf numFmtId="164" fontId="337" fillId="0" borderId="0" applyFont="0" applyFill="0" applyBorder="0" applyAlignment="0" applyProtection="0"/>
    <xf numFmtId="171" fontId="300" fillId="0" borderId="25">
      <alignment horizontal="right"/>
    </xf>
    <xf numFmtId="0" fontId="337" fillId="0" borderId="0"/>
    <xf numFmtId="0" fontId="337" fillId="0" borderId="0"/>
    <xf numFmtId="0" fontId="314" fillId="50" borderId="0" applyNumberFormat="0" applyBorder="0" applyAlignment="0" applyProtection="0"/>
    <xf numFmtId="0" fontId="301" fillId="0" borderId="0"/>
    <xf numFmtId="0" fontId="337" fillId="0" borderId="0"/>
    <xf numFmtId="0" fontId="314" fillId="50" borderId="0" applyNumberFormat="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14" fillId="50" borderId="0" applyNumberFormat="0" applyBorder="0" applyAlignment="0" applyProtection="0"/>
    <xf numFmtId="1" fontId="337" fillId="0" borderId="0"/>
    <xf numFmtId="185" fontId="301" fillId="0" borderId="0" applyFont="0" applyFill="0" applyBorder="0" applyAlignment="0" applyProtection="0"/>
    <xf numFmtId="0" fontId="310" fillId="42" borderId="0" applyNumberFormat="0" applyBorder="0" applyAlignment="0" applyProtection="0"/>
    <xf numFmtId="0" fontId="337" fillId="0" borderId="0"/>
    <xf numFmtId="0" fontId="310" fillId="42" borderId="0" applyNumberFormat="0" applyBorder="0" applyAlignment="0" applyProtection="0"/>
    <xf numFmtId="0" fontId="337" fillId="0" borderId="0"/>
    <xf numFmtId="0" fontId="337" fillId="0" borderId="0"/>
    <xf numFmtId="0" fontId="337" fillId="0" borderId="0"/>
    <xf numFmtId="0" fontId="310" fillId="42" borderId="0" applyNumberFormat="0" applyBorder="0" applyAlignment="0" applyProtection="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14" fillId="31" borderId="0" applyNumberFormat="0" applyBorder="0" applyAlignment="0" applyProtection="0"/>
    <xf numFmtId="9" fontId="337" fillId="0" borderId="0" applyFont="0" applyFill="0" applyBorder="0" applyAlignment="0" applyProtection="0"/>
    <xf numFmtId="0" fontId="314" fillId="39" borderId="0" applyNumberFormat="0" applyBorder="0" applyAlignment="0" applyProtection="0"/>
    <xf numFmtId="0" fontId="337" fillId="0" borderId="0"/>
    <xf numFmtId="0" fontId="337" fillId="34" borderId="97" applyNumberFormat="0" applyFont="0" applyAlignment="0" applyProtection="0"/>
    <xf numFmtId="0" fontId="337" fillId="0" borderId="0"/>
    <xf numFmtId="0" fontId="314" fillId="51" borderId="0" applyNumberFormat="0" applyBorder="0" applyAlignment="0" applyProtection="0"/>
    <xf numFmtId="1" fontId="337" fillId="0" borderId="0"/>
    <xf numFmtId="0" fontId="337" fillId="0" borderId="0"/>
    <xf numFmtId="0" fontId="337" fillId="0" borderId="0"/>
    <xf numFmtId="0" fontId="314" fillId="51" borderId="0" applyNumberFormat="0" applyBorder="0" applyAlignment="0" applyProtection="0"/>
    <xf numFmtId="0" fontId="337" fillId="0" borderId="0"/>
    <xf numFmtId="0" fontId="337" fillId="0" borderId="0"/>
    <xf numFmtId="0" fontId="314" fillId="51" borderId="0" applyNumberFormat="0" applyBorder="0" applyAlignment="0" applyProtection="0"/>
    <xf numFmtId="0" fontId="337" fillId="0" borderId="0"/>
    <xf numFmtId="164" fontId="337" fillId="0" borderId="0" applyFont="0" applyFill="0" applyBorder="0" applyAlignment="0" applyProtection="0"/>
    <xf numFmtId="0" fontId="314" fillId="52" borderId="0" applyNumberFormat="0" applyBorder="0" applyAlignment="0" applyProtection="0"/>
    <xf numFmtId="0" fontId="314" fillId="52" borderId="0" applyNumberFormat="0" applyBorder="0" applyAlignment="0" applyProtection="0"/>
    <xf numFmtId="164" fontId="337" fillId="0" borderId="0" applyFont="0" applyFill="0" applyBorder="0" applyAlignment="0" applyProtection="0"/>
    <xf numFmtId="0" fontId="314" fillId="52" borderId="0" applyNumberFormat="0" applyBorder="0" applyAlignment="0" applyProtection="0"/>
    <xf numFmtId="0" fontId="337" fillId="0" borderId="0"/>
    <xf numFmtId="0" fontId="310" fillId="40" borderId="0" applyNumberFormat="0" applyBorder="0" applyAlignment="0" applyProtection="0"/>
    <xf numFmtId="164" fontId="337" fillId="0" borderId="0" applyFont="0" applyFill="0" applyBorder="0" applyAlignment="0" applyProtection="0"/>
    <xf numFmtId="2" fontId="337" fillId="0" borderId="0" applyFont="0" applyFill="0" applyBorder="0" applyAlignment="0" applyProtection="0"/>
    <xf numFmtId="0" fontId="337" fillId="0" borderId="0"/>
    <xf numFmtId="0" fontId="337" fillId="0" borderId="0"/>
    <xf numFmtId="0" fontId="310" fillId="40" borderId="0" applyNumberFormat="0" applyBorder="0" applyAlignment="0" applyProtection="0"/>
    <xf numFmtId="167"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23" fillId="0" borderId="0" applyNumberFormat="0" applyFill="0" applyBorder="0" applyAlignment="0" applyProtection="0">
      <alignment vertical="top"/>
      <protection locked="0"/>
    </xf>
    <xf numFmtId="0" fontId="337" fillId="0" borderId="0"/>
    <xf numFmtId="0" fontId="310" fillId="38" borderId="0" applyNumberFormat="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 fillId="0" borderId="0" applyFont="0" applyFill="0" applyBorder="0" applyAlignment="0" applyProtection="0"/>
    <xf numFmtId="0" fontId="337" fillId="0" borderId="0"/>
    <xf numFmtId="0" fontId="310" fillId="38" borderId="0" applyNumberFormat="0" applyBorder="0" applyAlignment="0" applyProtection="0"/>
    <xf numFmtId="0" fontId="337" fillId="0" borderId="0"/>
    <xf numFmtId="0" fontId="3" fillId="0" borderId="0"/>
    <xf numFmtId="0" fontId="3" fillId="0" borderId="0"/>
    <xf numFmtId="1" fontId="337" fillId="0" borderId="0"/>
    <xf numFmtId="0" fontId="301" fillId="0" borderId="0"/>
    <xf numFmtId="164" fontId="337" fillId="0" borderId="0" applyFont="0" applyFill="0" applyBorder="0" applyAlignment="0" applyProtection="0"/>
    <xf numFmtId="0" fontId="314" fillId="53" borderId="0" applyNumberFormat="0" applyBorder="0" applyAlignment="0" applyProtection="0"/>
    <xf numFmtId="0" fontId="337" fillId="0" borderId="0"/>
    <xf numFmtId="179" fontId="337" fillId="0" borderId="0" applyFill="0" applyBorder="0" applyAlignment="0" applyProtection="0"/>
    <xf numFmtId="0" fontId="314" fillId="53" borderId="0" applyNumberFormat="0" applyBorder="0" applyAlignment="0" applyProtection="0"/>
    <xf numFmtId="0" fontId="337" fillId="0" borderId="0"/>
    <xf numFmtId="1" fontId="337" fillId="0" borderId="0"/>
    <xf numFmtId="0" fontId="3" fillId="0" borderId="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14" fillId="44" borderId="0" applyNumberFormat="0" applyBorder="0" applyAlignment="0" applyProtection="0"/>
    <xf numFmtId="0" fontId="314" fillId="44" borderId="0" applyNumberFormat="0" applyBorder="0" applyAlignment="0" applyProtection="0"/>
    <xf numFmtId="9" fontId="310" fillId="0" borderId="0" applyFont="0" applyFill="0" applyBorder="0" applyAlignment="0" applyProtection="0"/>
    <xf numFmtId="164" fontId="337" fillId="0" borderId="0" applyFont="0" applyFill="0" applyBorder="0" applyAlignment="0" applyProtection="0"/>
    <xf numFmtId="0" fontId="333" fillId="36" borderId="0" applyNumberFormat="0" applyBorder="0" applyAlignment="0" applyProtection="0"/>
    <xf numFmtId="0" fontId="314" fillId="44" borderId="0" applyNumberFormat="0" applyBorder="0" applyAlignment="0" applyProtection="0"/>
    <xf numFmtId="0" fontId="3" fillId="0" borderId="0"/>
    <xf numFmtId="0" fontId="337" fillId="0" borderId="0"/>
    <xf numFmtId="164" fontId="337" fillId="0" borderId="0" applyFont="0" applyFill="0" applyBorder="0" applyAlignment="0" applyProtection="0"/>
    <xf numFmtId="0" fontId="314" fillId="35" borderId="0" applyNumberFormat="0" applyBorder="0" applyAlignment="0" applyProtection="0"/>
    <xf numFmtId="0" fontId="337" fillId="0" borderId="0"/>
    <xf numFmtId="9" fontId="337" fillId="0" borderId="0" applyFont="0" applyFill="0" applyBorder="0" applyAlignment="0" applyProtection="0"/>
    <xf numFmtId="0" fontId="337" fillId="0" borderId="0"/>
    <xf numFmtId="0" fontId="337" fillId="0" borderId="0"/>
    <xf numFmtId="0" fontId="337" fillId="34" borderId="97" applyNumberFormat="0" applyFont="0" applyAlignment="0" applyProtection="0"/>
    <xf numFmtId="0" fontId="310" fillId="40" borderId="0" applyNumberFormat="0" applyBorder="0" applyAlignment="0" applyProtection="0"/>
    <xf numFmtId="0" fontId="314" fillId="35" borderId="0" applyNumberFormat="0" applyBorder="0" applyAlignment="0" applyProtection="0"/>
    <xf numFmtId="0" fontId="337" fillId="0" borderId="0"/>
    <xf numFmtId="0" fontId="337" fillId="0" borderId="0"/>
    <xf numFmtId="0" fontId="310" fillId="40" borderId="0" applyNumberFormat="0" applyBorder="0" applyAlignment="0" applyProtection="0"/>
    <xf numFmtId="9" fontId="3" fillId="0" borderId="0" applyFont="0" applyFill="0" applyBorder="0" applyAlignment="0" applyProtection="0"/>
    <xf numFmtId="0" fontId="314" fillId="35" borderId="0" applyNumberFormat="0" applyBorder="0" applyAlignment="0" applyProtection="0"/>
    <xf numFmtId="0" fontId="337" fillId="0" borderId="0"/>
    <xf numFmtId="0" fontId="337" fillId="0" borderId="0"/>
    <xf numFmtId="0" fontId="310" fillId="40" borderId="0" applyNumberFormat="0" applyBorder="0" applyAlignment="0" applyProtection="0"/>
    <xf numFmtId="9" fontId="3"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01" fillId="0" borderId="0"/>
    <xf numFmtId="0" fontId="3" fillId="0" borderId="0"/>
    <xf numFmtId="0" fontId="3" fillId="0" borderId="0"/>
    <xf numFmtId="0" fontId="310" fillId="54" borderId="0" applyNumberFormat="0" applyBorder="0" applyAlignment="0" applyProtection="0"/>
    <xf numFmtId="0" fontId="337" fillId="0" borderId="0"/>
    <xf numFmtId="0" fontId="337" fillId="34" borderId="97" applyNumberFormat="0" applyFont="0" applyAlignment="0" applyProtection="0"/>
    <xf numFmtId="9" fontId="337" fillId="0" borderId="0" applyFont="0" applyFill="0" applyBorder="0" applyAlignment="0" applyProtection="0"/>
    <xf numFmtId="0" fontId="310" fillId="54" borderId="0" applyNumberFormat="0" applyBorder="0" applyAlignment="0" applyProtection="0"/>
    <xf numFmtId="0" fontId="326" fillId="46" borderId="100" applyNumberFormat="0" applyAlignment="0" applyProtection="0"/>
    <xf numFmtId="0" fontId="3" fillId="0" borderId="0"/>
    <xf numFmtId="0" fontId="310" fillId="54" borderId="0" applyNumberFormat="0" applyBorder="0" applyAlignment="0" applyProtection="0"/>
    <xf numFmtId="0" fontId="3" fillId="0" borderId="0"/>
    <xf numFmtId="0" fontId="314" fillId="38" borderId="0" applyNumberFormat="0" applyBorder="0" applyAlignment="0" applyProtection="0"/>
    <xf numFmtId="0" fontId="301" fillId="0" borderId="0"/>
    <xf numFmtId="164" fontId="337" fillId="0" borderId="0" applyFont="0" applyFill="0" applyBorder="0" applyAlignment="0" applyProtection="0"/>
    <xf numFmtId="0" fontId="337" fillId="0" borderId="0"/>
    <xf numFmtId="0" fontId="3" fillId="0" borderId="0"/>
    <xf numFmtId="0" fontId="3" fillId="0" borderId="0"/>
    <xf numFmtId="182" fontId="337" fillId="0" borderId="0" applyFont="0" applyFill="0" applyBorder="0" applyAlignment="0" applyProtection="0"/>
    <xf numFmtId="176" fontId="301" fillId="0" borderId="0" applyFont="0" applyFill="0" applyBorder="0" applyAlignment="0" applyProtection="0"/>
    <xf numFmtId="0" fontId="3" fillId="0" borderId="0"/>
    <xf numFmtId="0" fontId="337" fillId="0" borderId="0"/>
    <xf numFmtId="0" fontId="307" fillId="55" borderId="0" applyNumberFormat="0" applyBorder="0" applyAlignment="0" applyProtection="0"/>
    <xf numFmtId="0" fontId="314" fillId="38" borderId="0" applyNumberFormat="0" applyBorder="0" applyAlignment="0" applyProtection="0"/>
    <xf numFmtId="0" fontId="337" fillId="0" borderId="0"/>
    <xf numFmtId="0" fontId="337" fillId="34" borderId="97" applyNumberFormat="0" applyFont="0" applyAlignment="0" applyProtection="0"/>
    <xf numFmtId="0" fontId="307" fillId="0" borderId="102" applyNumberFormat="0" applyFill="0" applyAlignment="0" applyProtection="0"/>
    <xf numFmtId="0" fontId="3" fillId="0" borderId="0"/>
    <xf numFmtId="164" fontId="337" fillId="0" borderId="0" applyFont="0" applyFill="0" applyBorder="0" applyAlignment="0" applyProtection="0"/>
    <xf numFmtId="0" fontId="3" fillId="0" borderId="0"/>
    <xf numFmtId="0" fontId="314" fillId="38" borderId="0" applyNumberFormat="0" applyBorder="0" applyAlignment="0" applyProtection="0"/>
    <xf numFmtId="0" fontId="3" fillId="0" borderId="0"/>
    <xf numFmtId="164" fontId="337" fillId="0" borderId="0" applyFont="0" applyFill="0" applyBorder="0" applyAlignment="0" applyProtection="0"/>
    <xf numFmtId="0" fontId="314" fillId="38" borderId="0" applyNumberFormat="0" applyBorder="0" applyAlignment="0" applyProtection="0"/>
    <xf numFmtId="0" fontId="3" fillId="0" borderId="0"/>
    <xf numFmtId="0" fontId="301" fillId="0" borderId="0"/>
    <xf numFmtId="0" fontId="337" fillId="0" borderId="0"/>
    <xf numFmtId="164" fontId="337" fillId="0" borderId="0" applyFont="0" applyFill="0" applyBorder="0" applyAlignment="0" applyProtection="0"/>
    <xf numFmtId="0" fontId="337" fillId="0" borderId="0"/>
    <xf numFmtId="0" fontId="337" fillId="0" borderId="0"/>
    <xf numFmtId="0" fontId="314" fillId="49" borderId="0" applyNumberFormat="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14" fillId="49" borderId="0" applyNumberFormat="0" applyBorder="0" applyAlignment="0" applyProtection="0"/>
    <xf numFmtId="0" fontId="314" fillId="49" borderId="0" applyNumberFormat="0" applyBorder="0" applyAlignment="0" applyProtection="0"/>
    <xf numFmtId="0" fontId="337" fillId="0" borderId="0"/>
    <xf numFmtId="0" fontId="310" fillId="42" borderId="0" applyNumberFormat="0" applyBorder="0" applyAlignment="0" applyProtection="0"/>
    <xf numFmtId="0" fontId="337" fillId="0" borderId="0"/>
    <xf numFmtId="183" fontId="301" fillId="0" borderId="0" applyFont="0" applyFill="0" applyBorder="0" applyAlignment="0" applyProtection="0"/>
    <xf numFmtId="164" fontId="3" fillId="0" borderId="0" applyFont="0" applyFill="0" applyBorder="0" applyAlignment="0" applyProtection="0"/>
    <xf numFmtId="176" fontId="301" fillId="0" borderId="0" applyFont="0" applyFill="0" applyBorder="0" applyAlignment="0" applyProtection="0"/>
    <xf numFmtId="1" fontId="337" fillId="0" borderId="0"/>
    <xf numFmtId="0" fontId="310" fillId="42" borderId="0" applyNumberFormat="0" applyBorder="0" applyAlignment="0" applyProtection="0"/>
    <xf numFmtId="0" fontId="3" fillId="0" borderId="0"/>
    <xf numFmtId="0" fontId="337" fillId="0" borderId="0"/>
    <xf numFmtId="0" fontId="337" fillId="0" borderId="0"/>
    <xf numFmtId="0" fontId="310" fillId="38" borderId="0" applyNumberFormat="0" applyBorder="0" applyAlignment="0" applyProtection="0"/>
    <xf numFmtId="9" fontId="337" fillId="0" borderId="0" applyFont="0" applyFill="0" applyBorder="0" applyAlignment="0" applyProtection="0"/>
    <xf numFmtId="0" fontId="337" fillId="0" borderId="0"/>
    <xf numFmtId="0" fontId="3" fillId="0" borderId="0"/>
    <xf numFmtId="0" fontId="337" fillId="0" borderId="0"/>
    <xf numFmtId="0" fontId="3" fillId="0" borderId="0"/>
    <xf numFmtId="164" fontId="337" fillId="0" borderId="0" applyFont="0" applyFill="0" applyBorder="0" applyAlignment="0" applyProtection="0"/>
    <xf numFmtId="0" fontId="337" fillId="0" borderId="0"/>
    <xf numFmtId="0" fontId="310" fillId="45" borderId="0" applyNumberFormat="0" applyBorder="0" applyAlignment="0" applyProtection="0"/>
    <xf numFmtId="0" fontId="337" fillId="0" borderId="0"/>
    <xf numFmtId="0" fontId="337" fillId="0" borderId="0"/>
    <xf numFmtId="0" fontId="310" fillId="38" borderId="0" applyNumberFormat="0" applyBorder="0" applyAlignment="0" applyProtection="0"/>
    <xf numFmtId="164" fontId="337" fillId="0" borderId="0" applyFont="0" applyFill="0" applyBorder="0" applyAlignment="0" applyProtection="0"/>
    <xf numFmtId="0" fontId="337" fillId="0" borderId="0"/>
    <xf numFmtId="0" fontId="310" fillId="38" borderId="0" applyNumberFormat="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 fillId="0" borderId="0"/>
    <xf numFmtId="0" fontId="337" fillId="0" borderId="0"/>
    <xf numFmtId="0" fontId="3" fillId="0" borderId="0"/>
    <xf numFmtId="0" fontId="314" fillId="38" borderId="0" applyNumberFormat="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 fillId="0" borderId="0"/>
    <xf numFmtId="0" fontId="314" fillId="38" borderId="0" applyNumberFormat="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14" fillId="31" borderId="0" applyNumberFormat="0" applyBorder="0" applyAlignment="0" applyProtection="0"/>
    <xf numFmtId="9" fontId="337" fillId="0" borderId="0" applyFont="0" applyFill="0" applyBorder="0" applyAlignment="0" applyProtection="0"/>
    <xf numFmtId="0" fontId="332" fillId="0" borderId="0" applyNumberFormat="0" applyAlignment="0">
      <alignment horizontal="left"/>
    </xf>
    <xf numFmtId="0" fontId="314" fillId="39" borderId="0" applyNumberFormat="0" applyBorder="0" applyAlignment="0" applyProtection="0"/>
    <xf numFmtId="0" fontId="337" fillId="0" borderId="0"/>
    <xf numFmtId="0" fontId="314" fillId="39" borderId="0" applyNumberFormat="0" applyBorder="0" applyAlignment="0" applyProtection="0"/>
    <xf numFmtId="164" fontId="337" fillId="0" borderId="0" applyFont="0" applyFill="0" applyBorder="0" applyAlignment="0" applyProtection="0"/>
    <xf numFmtId="0" fontId="3" fillId="0" borderId="0"/>
    <xf numFmtId="0" fontId="310" fillId="43" borderId="0" applyNumberFormat="0" applyBorder="0" applyAlignment="0" applyProtection="0"/>
    <xf numFmtId="164" fontId="337" fillId="0" borderId="0" applyFont="0" applyFill="0" applyBorder="0" applyAlignment="0" applyProtection="0"/>
    <xf numFmtId="0" fontId="3" fillId="0" borderId="0"/>
    <xf numFmtId="0" fontId="310" fillId="43" borderId="0" applyNumberFormat="0" applyBorder="0" applyAlignment="0" applyProtection="0"/>
    <xf numFmtId="0" fontId="301" fillId="0" borderId="0"/>
    <xf numFmtId="164" fontId="337" fillId="0" borderId="0" applyFont="0" applyFill="0" applyBorder="0" applyAlignment="0" applyProtection="0"/>
    <xf numFmtId="0" fontId="337" fillId="0" borderId="0"/>
    <xf numFmtId="0" fontId="310" fillId="42" borderId="0" applyNumberFormat="0" applyBorder="0" applyAlignment="0" applyProtection="0"/>
    <xf numFmtId="0" fontId="337" fillId="0" borderId="0"/>
    <xf numFmtId="0" fontId="310" fillId="42" borderId="0" applyNumberFormat="0" applyBorder="0" applyAlignment="0" applyProtection="0"/>
    <xf numFmtId="0" fontId="337" fillId="0" borderId="0"/>
    <xf numFmtId="0" fontId="310" fillId="42" borderId="0" applyNumberFormat="0" applyBorder="0" applyAlignment="0" applyProtection="0"/>
    <xf numFmtId="0" fontId="337" fillId="0" borderId="0"/>
    <xf numFmtId="0" fontId="3" fillId="0" borderId="0"/>
    <xf numFmtId="0" fontId="314" fillId="51" borderId="0" applyNumberFormat="0" applyBorder="0" applyAlignment="0" applyProtection="0"/>
    <xf numFmtId="0" fontId="314" fillId="51" borderId="0" applyNumberFormat="0" applyBorder="0" applyAlignment="0" applyProtection="0"/>
    <xf numFmtId="0" fontId="314" fillId="35" borderId="0" applyNumberFormat="0" applyBorder="0" applyAlignment="0" applyProtection="0"/>
    <xf numFmtId="0" fontId="337" fillId="0" borderId="0"/>
    <xf numFmtId="9" fontId="337" fillId="0" borderId="0" applyFont="0" applyFill="0" applyBorder="0" applyAlignment="0" applyProtection="0"/>
    <xf numFmtId="0" fontId="337" fillId="0" borderId="0"/>
    <xf numFmtId="0" fontId="337" fillId="0" borderId="0"/>
    <xf numFmtId="0" fontId="310" fillId="40" borderId="0" applyNumberFormat="0" applyBorder="0" applyAlignment="0" applyProtection="0"/>
    <xf numFmtId="9" fontId="3" fillId="0" borderId="0" applyFont="0" applyFill="0" applyBorder="0" applyAlignment="0" applyProtection="0"/>
    <xf numFmtId="0" fontId="337" fillId="0" borderId="0"/>
    <xf numFmtId="0" fontId="337" fillId="0" borderId="0"/>
    <xf numFmtId="0" fontId="304" fillId="0" borderId="1">
      <alignment wrapText="1"/>
    </xf>
    <xf numFmtId="9" fontId="3"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0" fontId="310" fillId="40" borderId="0" applyNumberFormat="0" applyBorder="0" applyAlignment="0" applyProtection="0"/>
    <xf numFmtId="0" fontId="337" fillId="0" borderId="0"/>
    <xf numFmtId="0" fontId="337" fillId="0" borderId="0"/>
    <xf numFmtId="0" fontId="337" fillId="34" borderId="97" applyNumberFormat="0" applyFont="0" applyAlignment="0" applyProtection="0"/>
    <xf numFmtId="0" fontId="337" fillId="0" borderId="0"/>
    <xf numFmtId="9" fontId="3"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0" fontId="310" fillId="40" borderId="0" applyNumberFormat="0" applyBorder="0" applyAlignment="0" applyProtection="0"/>
    <xf numFmtId="0" fontId="337" fillId="0" borderId="0"/>
    <xf numFmtId="0" fontId="337" fillId="0" borderId="0"/>
    <xf numFmtId="0" fontId="337" fillId="34" borderId="97" applyNumberFormat="0" applyFont="0" applyAlignment="0" applyProtection="0"/>
    <xf numFmtId="164" fontId="337" fillId="0" borderId="0" applyFont="0" applyFill="0" applyBorder="0" applyAlignment="0" applyProtection="0"/>
    <xf numFmtId="0" fontId="310" fillId="45" borderId="0" applyNumberFormat="0" applyBorder="0" applyAlignment="0" applyProtection="0"/>
    <xf numFmtId="44" fontId="337" fillId="0" borderId="0" applyFont="0" applyFill="0" applyBorder="0" applyAlignment="0" applyProtection="0"/>
    <xf numFmtId="0" fontId="337" fillId="0" borderId="0"/>
    <xf numFmtId="0" fontId="321" fillId="0" borderId="0" applyFill="0" applyBorder="0" applyAlignment="0"/>
    <xf numFmtId="0" fontId="337" fillId="0" borderId="9">
      <alignment horizontal="center"/>
    </xf>
    <xf numFmtId="164" fontId="337" fillId="0" borderId="0" applyFont="0" applyFill="0" applyBorder="0" applyAlignment="0" applyProtection="0"/>
    <xf numFmtId="0" fontId="337" fillId="0" borderId="0"/>
    <xf numFmtId="0" fontId="337" fillId="0" borderId="0"/>
    <xf numFmtId="0" fontId="310" fillId="45" borderId="0" applyNumberFormat="0" applyBorder="0" applyAlignment="0" applyProtection="0"/>
    <xf numFmtId="0" fontId="301" fillId="0" borderId="0"/>
    <xf numFmtId="44" fontId="337" fillId="0" borderId="0" applyFont="0" applyFill="0" applyBorder="0" applyAlignment="0" applyProtection="0"/>
    <xf numFmtId="0" fontId="337" fillId="0" borderId="0"/>
    <xf numFmtId="0" fontId="314" fillId="45" borderId="0" applyNumberFormat="0" applyBorder="0" applyAlignment="0" applyProtection="0"/>
    <xf numFmtId="1" fontId="337" fillId="0" borderId="0"/>
    <xf numFmtId="0" fontId="337" fillId="0" borderId="0"/>
    <xf numFmtId="0" fontId="337" fillId="0" borderId="0"/>
    <xf numFmtId="0" fontId="314" fillId="31" borderId="0" applyNumberFormat="0" applyBorder="0" applyAlignment="0" applyProtection="0"/>
    <xf numFmtId="0" fontId="317" fillId="18" borderId="0" applyNumberFormat="0" applyBorder="0" applyAlignment="0" applyProtection="0"/>
    <xf numFmtId="0" fontId="317" fillId="18" borderId="0" applyNumberFormat="0" applyBorder="0" applyAlignment="0" applyProtection="0"/>
    <xf numFmtId="0" fontId="337" fillId="0" borderId="0"/>
    <xf numFmtId="0" fontId="337" fillId="0" borderId="0"/>
    <xf numFmtId="164" fontId="337" fillId="0" borderId="0" applyFont="0" applyFill="0" applyBorder="0" applyAlignment="0" applyProtection="0"/>
    <xf numFmtId="0" fontId="310" fillId="0" borderId="0"/>
    <xf numFmtId="0" fontId="324" fillId="0" borderId="0" applyNumberFormat="0" applyFill="0">
      <alignment horizontal="left" vertical="center"/>
    </xf>
    <xf numFmtId="0" fontId="321" fillId="0" borderId="0" applyFill="0" applyBorder="0" applyAlignment="0"/>
    <xf numFmtId="0" fontId="301" fillId="0" borderId="0"/>
    <xf numFmtId="0" fontId="306" fillId="0" borderId="0" applyNumberFormat="0" applyFill="0" applyBorder="0" applyAlignment="0" applyProtection="0"/>
    <xf numFmtId="1" fontId="337" fillId="0" borderId="0"/>
    <xf numFmtId="0" fontId="337" fillId="0" borderId="0"/>
    <xf numFmtId="0" fontId="337" fillId="0" borderId="0"/>
    <xf numFmtId="0" fontId="312" fillId="33" borderId="99" applyNumberFormat="0" applyAlignment="0" applyProtection="0"/>
    <xf numFmtId="0" fontId="3" fillId="0" borderId="0"/>
    <xf numFmtId="164" fontId="337" fillId="0" borderId="0" applyFont="0" applyFill="0" applyBorder="0" applyAlignment="0" applyProtection="0"/>
    <xf numFmtId="0" fontId="337" fillId="0" borderId="0"/>
    <xf numFmtId="0" fontId="312" fillId="33" borderId="99" applyNumberFormat="0" applyAlignment="0" applyProtection="0"/>
    <xf numFmtId="0" fontId="326" fillId="46" borderId="100" applyNumberFormat="0" applyAlignment="0" applyProtection="0"/>
    <xf numFmtId="0" fontId="337" fillId="0" borderId="0"/>
    <xf numFmtId="0" fontId="326" fillId="46" borderId="100" applyNumberFormat="0" applyAlignment="0" applyProtection="0"/>
    <xf numFmtId="0" fontId="337" fillId="0" borderId="0"/>
    <xf numFmtId="38" fontId="298" fillId="33" borderId="0" applyNumberFormat="0" applyBorder="0" applyAlignment="0" applyProtection="0"/>
    <xf numFmtId="0" fontId="3"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0" fontId="337" fillId="0" borderId="0"/>
    <xf numFmtId="0" fontId="3" fillId="0" borderId="0"/>
    <xf numFmtId="0" fontId="337" fillId="0" borderId="0"/>
    <xf numFmtId="181" fontId="301" fillId="0" borderId="0" applyFont="0" applyFill="0" applyBorder="0" applyAlignment="0" applyProtection="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10" fillId="0" borderId="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0" fillId="15" borderId="99" applyNumberFormat="0" applyAlignment="0" applyProtection="0"/>
    <xf numFmtId="0" fontId="337" fillId="0" borderId="0"/>
    <xf numFmtId="0" fontId="3" fillId="0" borderId="0"/>
    <xf numFmtId="0" fontId="337" fillId="34" borderId="97" applyNumberFormat="0" applyFont="0" applyAlignment="0" applyProtection="0"/>
    <xf numFmtId="0" fontId="330" fillId="15" borderId="99" applyNumberFormat="0" applyAlignment="0" applyProtection="0"/>
    <xf numFmtId="164" fontId="337" fillId="0" borderId="0" applyFont="0" applyFill="0" applyBorder="0" applyAlignment="0" applyProtection="0"/>
    <xf numFmtId="0" fontId="304" fillId="0" borderId="1">
      <alignment wrapText="1"/>
    </xf>
    <xf numFmtId="0" fontId="337" fillId="0" borderId="0"/>
    <xf numFmtId="0" fontId="3"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44" fontId="337" fillId="0" borderId="0" applyFont="0" applyFill="0" applyBorder="0" applyAlignment="0" applyProtection="0"/>
    <xf numFmtId="164" fontId="337" fillId="0" borderId="0" applyFont="0" applyFill="0" applyBorder="0" applyAlignment="0" applyProtection="0"/>
    <xf numFmtId="0" fontId="337" fillId="0" borderId="0"/>
    <xf numFmtId="44" fontId="337" fillId="0" borderId="0" applyFont="0" applyFill="0" applyBorder="0" applyAlignment="0" applyProtection="0"/>
    <xf numFmtId="0" fontId="337" fillId="0" borderId="0"/>
    <xf numFmtId="44" fontId="337" fillId="0" borderId="0" applyFont="0" applyFill="0" applyBorder="0" applyAlignment="0" applyProtection="0"/>
    <xf numFmtId="0" fontId="301" fillId="0" borderId="0"/>
    <xf numFmtId="0" fontId="337" fillId="0" borderId="0"/>
    <xf numFmtId="164" fontId="337" fillId="0" borderId="0" applyFont="0" applyFill="0" applyBorder="0" applyAlignment="0" applyProtection="0"/>
    <xf numFmtId="0" fontId="337" fillId="0" borderId="0"/>
    <xf numFmtId="176" fontId="301" fillId="0" borderId="0" applyFont="0" applyFill="0" applyBorder="0" applyAlignment="0" applyProtection="0"/>
    <xf numFmtId="0" fontId="316" fillId="47" borderId="0" applyNumberFormat="0" applyBorder="0" applyAlignment="0" applyProtection="0"/>
    <xf numFmtId="0" fontId="3" fillId="0" borderId="0"/>
    <xf numFmtId="176" fontId="301" fillId="0" borderId="0" applyFont="0" applyFill="0" applyBorder="0" applyAlignment="0" applyProtection="0"/>
    <xf numFmtId="0" fontId="3" fillId="0" borderId="0"/>
    <xf numFmtId="0" fontId="337" fillId="0" borderId="0"/>
    <xf numFmtId="0" fontId="301" fillId="0" borderId="0"/>
    <xf numFmtId="164" fontId="337" fillId="0" borderId="0" applyFont="0" applyFill="0" applyBorder="0" applyAlignment="0" applyProtection="0"/>
    <xf numFmtId="0" fontId="305" fillId="0" borderId="0" applyProtection="0">
      <alignment horizontal="center" vertical="center"/>
    </xf>
    <xf numFmtId="0" fontId="337" fillId="0" borderId="0"/>
    <xf numFmtId="0" fontId="3" fillId="0" borderId="0"/>
    <xf numFmtId="0" fontId="3" fillId="0" borderId="0"/>
    <xf numFmtId="182" fontId="337" fillId="0" borderId="0" applyFont="0" applyFill="0" applyBorder="0" applyAlignment="0" applyProtection="0"/>
    <xf numFmtId="176" fontId="301" fillId="0" borderId="0" applyFont="0" applyFill="0" applyBorder="0" applyAlignment="0" applyProtection="0"/>
    <xf numFmtId="0" fontId="3" fillId="0" borderId="0"/>
    <xf numFmtId="176" fontId="301" fillId="0" borderId="0" applyFont="0" applyFill="0" applyBorder="0" applyAlignment="0" applyProtection="0"/>
    <xf numFmtId="176" fontId="301" fillId="0" borderId="0" applyFont="0" applyFill="0" applyBorder="0" applyAlignment="0" applyProtection="0"/>
    <xf numFmtId="0" fontId="3" fillId="0" borderId="0"/>
    <xf numFmtId="0" fontId="3" fillId="0" borderId="0"/>
    <xf numFmtId="176" fontId="301" fillId="0" borderId="0" applyFont="0" applyFill="0" applyBorder="0" applyAlignment="0" applyProtection="0"/>
    <xf numFmtId="176" fontId="301" fillId="0" borderId="0" applyFont="0" applyFill="0" applyBorder="0" applyAlignment="0" applyProtection="0"/>
    <xf numFmtId="0" fontId="3" fillId="0" borderId="0"/>
    <xf numFmtId="0" fontId="3" fillId="0" borderId="0"/>
    <xf numFmtId="176" fontId="301" fillId="0" borderId="0" applyFont="0" applyFill="0" applyBorder="0" applyAlignment="0" applyProtection="0"/>
    <xf numFmtId="176" fontId="301" fillId="0" borderId="0" applyFont="0" applyFill="0" applyBorder="0" applyAlignment="0" applyProtection="0"/>
    <xf numFmtId="187" fontId="301" fillId="0" borderId="0" applyFont="0" applyFill="0" applyBorder="0" applyAlignment="0" applyProtection="0"/>
    <xf numFmtId="166" fontId="301" fillId="0" borderId="0" applyFont="0" applyFill="0" applyBorder="0" applyAlignment="0" applyProtection="0"/>
    <xf numFmtId="38" fontId="298" fillId="33" borderId="0" applyNumberFormat="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 fillId="0" borderId="0"/>
    <xf numFmtId="44" fontId="337" fillId="0" borderId="0" applyFont="0" applyFill="0" applyBorder="0" applyAlignment="0" applyProtection="0"/>
    <xf numFmtId="0" fontId="301"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4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0" fontId="3" fillId="0" borderId="0"/>
    <xf numFmtId="0" fontId="3"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9" fontId="337" fillId="0" borderId="0" applyFont="0" applyFill="0" applyBorder="0" applyAlignment="0" applyProtection="0"/>
    <xf numFmtId="0" fontId="301" fillId="0" borderId="0"/>
    <xf numFmtId="171" fontId="300" fillId="0" borderId="25">
      <alignment horizontal="right"/>
    </xf>
    <xf numFmtId="164" fontId="337" fillId="0" borderId="0" applyFont="0" applyFill="0" applyBorder="0" applyAlignment="0" applyProtection="0"/>
    <xf numFmtId="0" fontId="337" fillId="0" borderId="0"/>
    <xf numFmtId="171" fontId="300" fillId="0" borderId="25">
      <alignment horizontal="right"/>
    </xf>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01" fillId="0" borderId="0"/>
    <xf numFmtId="0" fontId="3" fillId="0" borderId="0"/>
    <xf numFmtId="0" fontId="337" fillId="0" borderId="0"/>
    <xf numFmtId="164" fontId="337" fillId="0" borderId="0" applyFont="0" applyFill="0" applyBorder="0" applyAlignment="0" applyProtection="0"/>
    <xf numFmtId="0" fontId="301" fillId="0" borderId="0"/>
    <xf numFmtId="0" fontId="337" fillId="0" borderId="0"/>
    <xf numFmtId="164" fontId="337" fillId="0" borderId="0" applyFont="0" applyFill="0" applyBorder="0" applyAlignment="0" applyProtection="0"/>
    <xf numFmtId="0" fontId="337" fillId="0" borderId="0"/>
    <xf numFmtId="0" fontId="301" fillId="0" borderId="0"/>
    <xf numFmtId="164" fontId="337" fillId="0" borderId="0" applyFont="0" applyFill="0" applyBorder="0" applyAlignment="0" applyProtection="0"/>
    <xf numFmtId="0" fontId="337" fillId="0" borderId="0"/>
    <xf numFmtId="0" fontId="301" fillId="0" borderId="0"/>
    <xf numFmtId="0" fontId="337" fillId="0" borderId="9">
      <alignment horizontal="center"/>
    </xf>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 fillId="0" borderId="0"/>
    <xf numFmtId="0" fontId="337" fillId="0" borderId="0"/>
    <xf numFmtId="164" fontId="337" fillId="0" borderId="0" applyFont="0" applyFill="0" applyBorder="0" applyAlignment="0" applyProtection="0"/>
    <xf numFmtId="0" fontId="337" fillId="0" borderId="0"/>
    <xf numFmtId="0" fontId="337" fillId="0" borderId="0"/>
    <xf numFmtId="0" fontId="3" fillId="0" borderId="0"/>
    <xf numFmtId="0" fontId="337" fillId="0" borderId="0"/>
    <xf numFmtId="164" fontId="337" fillId="0" borderId="0" applyFont="0" applyFill="0" applyBorder="0" applyAlignment="0" applyProtection="0"/>
    <xf numFmtId="0" fontId="337" fillId="0" borderId="0"/>
    <xf numFmtId="0" fontId="310"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164" fontId="3"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22" fillId="0" borderId="0" applyNumberFormat="0" applyFill="0" applyBorder="0" applyAlignment="0" applyProtection="0"/>
    <xf numFmtId="0" fontId="337" fillId="0" borderId="0"/>
    <xf numFmtId="0" fontId="337" fillId="0" borderId="0"/>
    <xf numFmtId="0" fontId="337" fillId="34" borderId="97" applyNumberFormat="0" applyFont="0" applyAlignment="0" applyProtection="0"/>
    <xf numFmtId="164" fontId="337" fillId="0" borderId="0" applyFont="0" applyFill="0" applyBorder="0" applyAlignment="0" applyProtection="0"/>
    <xf numFmtId="0" fontId="337" fillId="0" borderId="0"/>
    <xf numFmtId="0" fontId="337" fillId="0" borderId="0"/>
    <xf numFmtId="0" fontId="337" fillId="34" borderId="97" applyNumberFormat="0" applyFont="0" applyAlignment="0" applyProtection="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0" fontId="325" fillId="0" borderId="101" applyNumberFormat="0" applyFill="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0" fontId="3" fillId="0" borderId="0"/>
    <xf numFmtId="1" fontId="337" fillId="0" borderId="0"/>
    <xf numFmtId="0" fontId="337" fillId="0" borderId="0"/>
    <xf numFmtId="164" fontId="3" fillId="0" borderId="0" applyFont="0" applyFill="0" applyBorder="0" applyAlignment="0" applyProtection="0"/>
    <xf numFmtId="164" fontId="3" fillId="0" borderId="0" applyFont="0" applyFill="0" applyBorder="0" applyAlignment="0" applyProtection="0"/>
    <xf numFmtId="0" fontId="3" fillId="0" borderId="0"/>
    <xf numFmtId="0" fontId="337" fillId="0" borderId="0"/>
    <xf numFmtId="164" fontId="3" fillId="0" borderId="0" applyFont="0" applyFill="0" applyBorder="0" applyAlignment="0" applyProtection="0"/>
    <xf numFmtId="0" fontId="3" fillId="0" borderId="0"/>
    <xf numFmtId="0" fontId="337" fillId="0" borderId="0"/>
    <xf numFmtId="193" fontId="301" fillId="0" borderId="0" applyFont="0" applyFill="0" applyBorder="0" applyAlignment="0" applyProtection="0"/>
    <xf numFmtId="0" fontId="3"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37" fillId="0" borderId="0"/>
    <xf numFmtId="164" fontId="337" fillId="0" borderId="0" applyFont="0" applyFill="0" applyBorder="0" applyAlignment="0" applyProtection="0"/>
    <xf numFmtId="0" fontId="324" fillId="0" borderId="0" applyNumberFormat="0" applyFill="0">
      <alignment horizontal="left" vertical="center"/>
    </xf>
    <xf numFmtId="37" fontId="311" fillId="0" borderId="0"/>
    <xf numFmtId="0" fontId="337" fillId="0" borderId="0"/>
    <xf numFmtId="0" fontId="337" fillId="0" borderId="0"/>
    <xf numFmtId="0" fontId="337" fillId="0" borderId="0"/>
    <xf numFmtId="164" fontId="337" fillId="0" borderId="0" applyFont="0" applyFill="0" applyBorder="0" applyAlignment="0" applyProtection="0"/>
    <xf numFmtId="0" fontId="337" fillId="0" borderId="0"/>
    <xf numFmtId="0" fontId="301" fillId="0" borderId="0"/>
    <xf numFmtId="0" fontId="3" fillId="0" borderId="0"/>
    <xf numFmtId="0" fontId="310" fillId="0" borderId="0"/>
    <xf numFmtId="176" fontId="301"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296" fillId="0" borderId="10">
      <alignment horizontal="left" vertical="center"/>
    </xf>
    <xf numFmtId="0" fontId="337" fillId="0" borderId="0"/>
    <xf numFmtId="164" fontId="337" fillId="0" borderId="0" applyFont="0" applyFill="0" applyBorder="0" applyAlignment="0" applyProtection="0"/>
    <xf numFmtId="0" fontId="296" fillId="0" borderId="10">
      <alignment horizontal="left" vertical="center"/>
    </xf>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0" fillId="15" borderId="99" applyNumberFormat="0" applyAlignment="0" applyProtection="0"/>
    <xf numFmtId="0" fontId="3"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04" fillId="0" borderId="1">
      <alignment wrapText="1"/>
    </xf>
    <xf numFmtId="0" fontId="337" fillId="0" borderId="0"/>
    <xf numFmtId="0" fontId="337" fillId="0" borderId="0"/>
    <xf numFmtId="164" fontId="337" fillId="0" borderId="0" applyFont="0" applyFill="0" applyBorder="0" applyAlignment="0" applyProtection="0"/>
    <xf numFmtId="0" fontId="319" fillId="0" borderId="98" applyNumberFormat="0" applyFill="0" applyAlignment="0" applyProtection="0"/>
    <xf numFmtId="0" fontId="337" fillId="0" borderId="0"/>
    <xf numFmtId="164" fontId="337" fillId="0" borderId="0" applyFont="0" applyFill="0" applyBorder="0" applyAlignment="0" applyProtection="0"/>
    <xf numFmtId="0" fontId="337" fillId="0" borderId="0"/>
    <xf numFmtId="0" fontId="3" fillId="0" borderId="0"/>
    <xf numFmtId="0" fontId="319" fillId="0" borderId="98" applyNumberFormat="0" applyFill="0" applyAlignment="0" applyProtection="0"/>
    <xf numFmtId="0" fontId="337" fillId="0" borderId="0"/>
    <xf numFmtId="164" fontId="337" fillId="0" borderId="0" applyFont="0" applyFill="0" applyBorder="0" applyAlignment="0" applyProtection="0"/>
    <xf numFmtId="0" fontId="301" fillId="0" borderId="0"/>
    <xf numFmtId="0" fontId="301" fillId="0" borderId="0"/>
    <xf numFmtId="0" fontId="316" fillId="47" borderId="0" applyNumberFormat="0" applyBorder="0" applyAlignment="0" applyProtection="0"/>
    <xf numFmtId="0" fontId="337" fillId="0" borderId="0"/>
    <xf numFmtId="164" fontId="337" fillId="0" borderId="0" applyFont="0" applyFill="0" applyBorder="0" applyAlignment="0" applyProtection="0"/>
    <xf numFmtId="0" fontId="301" fillId="0" borderId="0"/>
    <xf numFmtId="0" fontId="3" fillId="0" borderId="0"/>
    <xf numFmtId="183" fontId="301" fillId="0" borderId="0" applyFont="0" applyFill="0" applyBorder="0" applyAlignment="0" applyProtection="0"/>
    <xf numFmtId="183" fontId="301" fillId="0" borderId="0" applyFont="0" applyFill="0" applyBorder="0" applyAlignment="0" applyProtection="0"/>
    <xf numFmtId="0" fontId="337" fillId="0" borderId="0"/>
    <xf numFmtId="0" fontId="337" fillId="0" borderId="0"/>
    <xf numFmtId="183" fontId="301"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185" fontId="301" fillId="0" borderId="0" applyFont="0" applyFill="0" applyBorder="0" applyAlignment="0" applyProtection="0"/>
    <xf numFmtId="0" fontId="337" fillId="0" borderId="0"/>
    <xf numFmtId="185" fontId="301"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183" fontId="301" fillId="0" borderId="0" applyFont="0" applyFill="0" applyBorder="0" applyAlignment="0" applyProtection="0"/>
    <xf numFmtId="0" fontId="337" fillId="0" borderId="0"/>
    <xf numFmtId="183" fontId="301" fillId="0" borderId="0" applyFont="0" applyFill="0" applyBorder="0" applyAlignment="0" applyProtection="0"/>
    <xf numFmtId="0" fontId="337" fillId="0" borderId="0"/>
    <xf numFmtId="183" fontId="301" fillId="0" borderId="0" applyFont="0" applyFill="0" applyBorder="0" applyAlignment="0" applyProtection="0"/>
    <xf numFmtId="183" fontId="301" fillId="0" borderId="0" applyFont="0" applyFill="0" applyBorder="0" applyAlignment="0" applyProtection="0"/>
    <xf numFmtId="0" fontId="319" fillId="0" borderId="0" applyNumberFormat="0" applyFill="0" applyBorder="0" applyAlignment="0" applyProtection="0"/>
    <xf numFmtId="183" fontId="301" fillId="0" borderId="0" applyFont="0" applyFill="0" applyBorder="0" applyAlignment="0" applyProtection="0"/>
    <xf numFmtId="164" fontId="337" fillId="0" borderId="0" applyFont="0" applyFill="0" applyBorder="0" applyAlignment="0" applyProtection="0"/>
    <xf numFmtId="1" fontId="337" fillId="0" borderId="0"/>
    <xf numFmtId="164" fontId="337" fillId="0" borderId="0" applyFont="0" applyFill="0" applyBorder="0" applyAlignment="0" applyProtection="0"/>
    <xf numFmtId="164" fontId="337" fillId="0" borderId="0" applyFont="0" applyFill="0" applyBorder="0" applyAlignment="0" applyProtection="0"/>
    <xf numFmtId="1" fontId="337" fillId="0" borderId="0"/>
    <xf numFmtId="164" fontId="337" fillId="0" borderId="0" applyFont="0" applyFill="0" applyBorder="0" applyAlignment="0" applyProtection="0"/>
    <xf numFmtId="1" fontId="337" fillId="0" borderId="0"/>
    <xf numFmtId="164" fontId="337" fillId="0" borderId="0" applyFont="0" applyFill="0" applyBorder="0" applyAlignment="0" applyProtection="0"/>
    <xf numFmtId="1" fontId="337" fillId="0" borderId="0"/>
    <xf numFmtId="164" fontId="337" fillId="0" borderId="0" applyFont="0" applyFill="0" applyBorder="0" applyAlignment="0" applyProtection="0"/>
    <xf numFmtId="1" fontId="337" fillId="0" borderId="0"/>
    <xf numFmtId="164" fontId="337" fillId="0" borderId="0" applyFont="0" applyFill="0" applyBorder="0" applyAlignment="0" applyProtection="0"/>
    <xf numFmtId="0" fontId="327" fillId="33" borderId="105" applyNumberFormat="0" applyAlignment="0" applyProtection="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0" fontId="3" fillId="0" borderId="0"/>
    <xf numFmtId="164" fontId="337" fillId="0" borderId="0" applyFont="0" applyFill="0" applyBorder="0" applyAlignment="0" applyProtection="0"/>
    <xf numFmtId="0" fontId="337" fillId="0" borderId="0"/>
    <xf numFmtId="0" fontId="337" fillId="0" borderId="0"/>
    <xf numFmtId="0" fontId="3"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0" fontId="3" fillId="0" borderId="0"/>
    <xf numFmtId="1" fontId="337" fillId="0" borderId="0"/>
    <xf numFmtId="0" fontId="337" fillId="0" borderId="0"/>
    <xf numFmtId="164" fontId="337" fillId="0" borderId="0" applyFont="0" applyFill="0" applyBorder="0" applyAlignment="0" applyProtection="0"/>
    <xf numFmtId="0" fontId="337" fillId="0" borderId="0"/>
    <xf numFmtId="1" fontId="337" fillId="0" borderId="0"/>
    <xf numFmtId="0" fontId="337" fillId="0" borderId="0"/>
    <xf numFmtId="164" fontId="337" fillId="0" borderId="0" applyFont="0" applyFill="0" applyBorder="0" applyAlignment="0" applyProtection="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37" fillId="0" borderId="0"/>
    <xf numFmtId="0" fontId="337" fillId="0" borderId="0"/>
    <xf numFmtId="2"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0" fontId="298" fillId="34" borderId="1" applyNumberFormat="0" applyBorder="0" applyAlignment="0" applyProtection="0"/>
    <xf numFmtId="0" fontId="3" fillId="0" borderId="0"/>
    <xf numFmtId="4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44" fontId="310"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1" fontId="337" fillId="0" borderId="0"/>
    <xf numFmtId="0" fontId="337" fillId="0" borderId="0"/>
    <xf numFmtId="164" fontId="337" fillId="0" borderId="0" applyFont="0" applyFill="0" applyBorder="0" applyAlignment="0" applyProtection="0"/>
    <xf numFmtId="0" fontId="337" fillId="0" borderId="0"/>
    <xf numFmtId="1" fontId="337" fillId="0" borderId="0"/>
    <xf numFmtId="0" fontId="337" fillId="0" borderId="0"/>
    <xf numFmtId="164" fontId="337" fillId="0" borderId="0" applyFont="0" applyFill="0" applyBorder="0" applyAlignment="0" applyProtection="0"/>
    <xf numFmtId="0" fontId="337" fillId="0" borderId="0"/>
    <xf numFmtId="1" fontId="337" fillId="0" borderId="0"/>
    <xf numFmtId="0" fontId="337" fillId="0" borderId="0"/>
    <xf numFmtId="164" fontId="337" fillId="0" borderId="0" applyFont="0" applyFill="0" applyBorder="0" applyAlignment="0" applyProtection="0"/>
    <xf numFmtId="0" fontId="337" fillId="0" borderId="0"/>
    <xf numFmtId="0" fontId="333" fillId="36" borderId="0" applyNumberFormat="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 fillId="0" borderId="0"/>
    <xf numFmtId="164" fontId="337" fillId="0" borderId="0" applyFont="0" applyFill="0" applyBorder="0" applyAlignment="0" applyProtection="0"/>
    <xf numFmtId="0" fontId="327" fillId="33" borderId="105" applyNumberFormat="0" applyAlignment="0" applyProtection="0"/>
    <xf numFmtId="0" fontId="3" fillId="0" borderId="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 fillId="0" borderId="0"/>
    <xf numFmtId="0" fontId="337" fillId="0" borderId="0"/>
    <xf numFmtId="0" fontId="3" fillId="0" borderId="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10"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10"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184" fontId="301"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164" fontId="310" fillId="0" borderId="0" applyFont="0" applyFill="0" applyBorder="0" applyAlignment="0" applyProtection="0"/>
    <xf numFmtId="0" fontId="337"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0" fontId="329" fillId="0" borderId="0" applyNumberFormat="0" applyAlignment="0">
      <alignment horizontal="left"/>
    </xf>
    <xf numFmtId="164" fontId="337" fillId="0" borderId="0" applyFont="0" applyFill="0" applyBorder="0" applyAlignment="0" applyProtection="0"/>
    <xf numFmtId="164" fontId="337" fillId="0" borderId="0" applyFont="0" applyFill="0" applyBorder="0" applyAlignment="0" applyProtection="0"/>
    <xf numFmtId="0" fontId="329" fillId="0" borderId="0" applyNumberFormat="0" applyAlignment="0">
      <alignment horizontal="left"/>
    </xf>
    <xf numFmtId="0" fontId="301" fillId="0" borderId="0"/>
    <xf numFmtId="0" fontId="3" fillId="0" borderId="0"/>
    <xf numFmtId="164" fontId="310"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0" fontId="3" fillId="0" borderId="0"/>
    <xf numFmtId="164" fontId="310" fillId="0" borderId="0" applyFont="0" applyFill="0" applyBorder="0" applyAlignment="0" applyProtection="0"/>
    <xf numFmtId="0" fontId="337"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0" fontId="337" fillId="0" borderId="0"/>
    <xf numFmtId="0" fontId="3" fillId="0" borderId="0"/>
    <xf numFmtId="164" fontId="337" fillId="0" borderId="0" applyFont="0" applyFill="0" applyBorder="0" applyAlignment="0" applyProtection="0"/>
    <xf numFmtId="0" fontId="337" fillId="0" borderId="0"/>
    <xf numFmtId="0" fontId="3" fillId="0" borderId="0"/>
    <xf numFmtId="1" fontId="337"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 fillId="0" borderId="0"/>
    <xf numFmtId="0" fontId="337" fillId="0" borderId="0"/>
    <xf numFmtId="164" fontId="337" fillId="0" borderId="0" applyFont="0" applyFill="0" applyBorder="0" applyAlignment="0" applyProtection="0"/>
    <xf numFmtId="0" fontId="337" fillId="0" borderId="0"/>
    <xf numFmtId="164" fontId="337" fillId="0" borderId="0" applyFont="0" applyFill="0" applyBorder="0" applyAlignment="0" applyProtection="0"/>
    <xf numFmtId="0" fontId="337" fillId="0" borderId="0"/>
    <xf numFmtId="184" fontId="301" fillId="0" borderId="0" applyFont="0" applyFill="0" applyBorder="0" applyAlignment="0" applyProtection="0"/>
    <xf numFmtId="0" fontId="337" fillId="0" borderId="0"/>
    <xf numFmtId="164" fontId="3" fillId="0" borderId="0" applyFont="0" applyFill="0" applyBorder="0" applyAlignment="0" applyProtection="0"/>
    <xf numFmtId="0" fontId="3" fillId="0" borderId="0"/>
    <xf numFmtId="0" fontId="337" fillId="0" borderId="0"/>
    <xf numFmtId="164" fontId="3" fillId="0" borderId="0" applyFont="0" applyFill="0" applyBorder="0" applyAlignment="0" applyProtection="0"/>
    <xf numFmtId="0" fontId="337" fillId="0" borderId="0"/>
    <xf numFmtId="0" fontId="3" fillId="0" borderId="0"/>
    <xf numFmtId="184" fontId="301" fillId="0" borderId="0" applyFont="0" applyFill="0" applyBorder="0" applyAlignment="0" applyProtection="0"/>
    <xf numFmtId="0" fontId="329" fillId="0" borderId="0" applyNumberFormat="0" applyAlignment="0">
      <alignment horizontal="left"/>
    </xf>
    <xf numFmtId="0" fontId="337" fillId="0" borderId="0"/>
    <xf numFmtId="0" fontId="3" fillId="0" borderId="0"/>
    <xf numFmtId="0" fontId="329" fillId="0" borderId="0" applyNumberFormat="0" applyAlignment="0">
      <alignment horizontal="left"/>
    </xf>
    <xf numFmtId="0" fontId="319" fillId="0" borderId="0" applyNumberForma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0" fontId="310" fillId="0" borderId="0"/>
    <xf numFmtId="0" fontId="337" fillId="0" borderId="0"/>
    <xf numFmtId="44" fontId="337" fillId="0" borderId="0" applyFont="0" applyFill="0" applyBorder="0" applyAlignment="0" applyProtection="0"/>
    <xf numFmtId="0" fontId="310" fillId="0" borderId="0"/>
    <xf numFmtId="0" fontId="337" fillId="0" borderId="0"/>
    <xf numFmtId="44" fontId="337" fillId="0" borderId="0" applyFont="0" applyFill="0" applyBorder="0" applyAlignment="0" applyProtection="0"/>
    <xf numFmtId="0" fontId="337" fillId="0" borderId="0"/>
    <xf numFmtId="44" fontId="337" fillId="0" borderId="0" applyFont="0" applyFill="0" applyBorder="0" applyAlignment="0" applyProtection="0"/>
    <xf numFmtId="0" fontId="332" fillId="0" borderId="0" applyNumberFormat="0" applyAlignment="0">
      <alignment horizontal="left"/>
    </xf>
    <xf numFmtId="0" fontId="337" fillId="0" borderId="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0" fontId="3" fillId="0" borderId="0"/>
    <xf numFmtId="44" fontId="337" fillId="0" borderId="0" applyFont="0" applyFill="0" applyBorder="0" applyAlignment="0" applyProtection="0"/>
    <xf numFmtId="44" fontId="337" fillId="0" borderId="0" applyFont="0" applyFill="0" applyBorder="0" applyAlignment="0" applyProtection="0"/>
    <xf numFmtId="0" fontId="337" fillId="0" borderId="0"/>
    <xf numFmtId="0" fontId="296" fillId="0" borderId="14" applyNumberFormat="0" applyAlignment="0" applyProtection="0">
      <alignment horizontal="left" vertical="center"/>
    </xf>
    <xf numFmtId="44" fontId="337" fillId="0" borderId="0" applyFont="0" applyFill="0" applyBorder="0" applyAlignment="0" applyProtection="0"/>
    <xf numFmtId="0" fontId="337" fillId="0" borderId="0"/>
    <xf numFmtId="0" fontId="296" fillId="0" borderId="10">
      <alignment horizontal="left" vertical="center"/>
    </xf>
    <xf numFmtId="44" fontId="337" fillId="0" borderId="0" applyFont="0" applyFill="0" applyBorder="0" applyAlignment="0" applyProtection="0"/>
    <xf numFmtId="0" fontId="337" fillId="0" borderId="0"/>
    <xf numFmtId="10" fontId="298" fillId="34" borderId="1" applyNumberFormat="0" applyBorder="0" applyAlignment="0" applyProtection="0"/>
    <xf numFmtId="44" fontId="337" fillId="0" borderId="0" applyFont="0" applyFill="0" applyBorder="0" applyAlignment="0" applyProtection="0"/>
    <xf numFmtId="0" fontId="337" fillId="0" borderId="0"/>
    <xf numFmtId="44" fontId="337" fillId="0" borderId="0" applyFont="0" applyFill="0" applyBorder="0" applyAlignment="0" applyProtection="0"/>
    <xf numFmtId="0" fontId="337" fillId="0" borderId="0"/>
    <xf numFmtId="0" fontId="337" fillId="0" borderId="0"/>
    <xf numFmtId="44" fontId="337" fillId="0" borderId="0" applyFont="0" applyFill="0" applyBorder="0" applyAlignment="0" applyProtection="0"/>
    <xf numFmtId="0" fontId="337" fillId="0" borderId="0"/>
    <xf numFmtId="44" fontId="337" fillId="0" borderId="0" applyFont="0" applyFill="0" applyBorder="0" applyAlignment="0" applyProtection="0"/>
    <xf numFmtId="0" fontId="337" fillId="0" borderId="0"/>
    <xf numFmtId="0" fontId="337" fillId="0" borderId="0"/>
    <xf numFmtId="44" fontId="337" fillId="0" borderId="0" applyFont="0" applyFill="0" applyBorder="0" applyAlignment="0" applyProtection="0"/>
    <xf numFmtId="0" fontId="337" fillId="0" borderId="0"/>
    <xf numFmtId="0" fontId="337" fillId="0" borderId="0"/>
    <xf numFmtId="0" fontId="3" fillId="0" borderId="0"/>
    <xf numFmtId="44" fontId="337" fillId="0" borderId="0" applyFont="0" applyFill="0" applyBorder="0" applyAlignment="0" applyProtection="0"/>
    <xf numFmtId="0" fontId="307" fillId="55" borderId="0" applyNumberFormat="0" applyBorder="0" applyAlignment="0" applyProtection="0"/>
    <xf numFmtId="0" fontId="337" fillId="0" borderId="0"/>
    <xf numFmtId="0" fontId="307" fillId="55" borderId="0" applyNumberFormat="0" applyBorder="0" applyAlignment="0" applyProtection="0"/>
    <xf numFmtId="0" fontId="337" fillId="0" borderId="0"/>
    <xf numFmtId="0" fontId="307" fillId="48" borderId="0" applyNumberFormat="0" applyBorder="0" applyAlignment="0" applyProtection="0"/>
    <xf numFmtId="0" fontId="337" fillId="0" borderId="0"/>
    <xf numFmtId="9" fontId="337" fillId="0" borderId="0" applyFont="0" applyFill="0" applyBorder="0" applyAlignment="0" applyProtection="0"/>
    <xf numFmtId="0" fontId="301" fillId="0" borderId="0"/>
    <xf numFmtId="0" fontId="337" fillId="0" borderId="9">
      <alignment horizontal="center"/>
    </xf>
    <xf numFmtId="0" fontId="307" fillId="48" borderId="0" applyNumberFormat="0" applyBorder="0" applyAlignment="0" applyProtection="0"/>
    <xf numFmtId="0" fontId="337" fillId="0" borderId="0"/>
    <xf numFmtId="0" fontId="337" fillId="0" borderId="0"/>
    <xf numFmtId="0" fontId="337" fillId="0" borderId="0"/>
    <xf numFmtId="9" fontId="337" fillId="0" borderId="0" applyFont="0" applyFill="0" applyBorder="0" applyAlignment="0" applyProtection="0"/>
    <xf numFmtId="0" fontId="301" fillId="0" borderId="0"/>
    <xf numFmtId="0" fontId="337" fillId="0" borderId="9">
      <alignment horizontal="center"/>
    </xf>
    <xf numFmtId="0" fontId="307" fillId="48" borderId="0" applyNumberFormat="0" applyBorder="0" applyAlignment="0" applyProtection="0"/>
    <xf numFmtId="0" fontId="337" fillId="0" borderId="0"/>
    <xf numFmtId="0" fontId="337" fillId="0" borderId="0"/>
    <xf numFmtId="0" fontId="307" fillId="41" borderId="0" applyNumberFormat="0" applyBorder="0" applyAlignment="0" applyProtection="0"/>
    <xf numFmtId="0" fontId="307" fillId="41" borderId="0" applyNumberFormat="0" applyBorder="0" applyAlignment="0" applyProtection="0"/>
    <xf numFmtId="0" fontId="337" fillId="0" borderId="0"/>
    <xf numFmtId="0" fontId="337" fillId="0" borderId="0"/>
    <xf numFmtId="171" fontId="300" fillId="0" borderId="25">
      <alignment horizontal="right"/>
    </xf>
    <xf numFmtId="0" fontId="337" fillId="0" borderId="0"/>
    <xf numFmtId="0" fontId="337" fillId="0" borderId="0"/>
    <xf numFmtId="0" fontId="307" fillId="41" borderId="0" applyNumberFormat="0" applyBorder="0" applyAlignment="0" applyProtection="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2" fillId="0" borderId="0" applyNumberFormat="0" applyAlignment="0">
      <alignment horizontal="left"/>
    </xf>
    <xf numFmtId="0" fontId="332" fillId="0" borderId="0" applyNumberFormat="0" applyAlignment="0">
      <alignment horizontal="left"/>
    </xf>
    <xf numFmtId="0" fontId="337" fillId="0" borderId="0"/>
    <xf numFmtId="0" fontId="319" fillId="0" borderId="0" applyNumberFormat="0" applyFill="0" applyBorder="0" applyAlignment="0" applyProtection="0"/>
    <xf numFmtId="167" fontId="337" fillId="0" borderId="0" applyFont="0" applyFill="0" applyBorder="0" applyAlignment="0" applyProtection="0"/>
    <xf numFmtId="0" fontId="337" fillId="0" borderId="0"/>
    <xf numFmtId="167" fontId="337" fillId="0" borderId="0" applyFont="0" applyFill="0" applyBorder="0" applyAlignment="0" applyProtection="0"/>
    <xf numFmtId="0" fontId="3" fillId="0" borderId="0"/>
    <xf numFmtId="0" fontId="337" fillId="0" borderId="0"/>
    <xf numFmtId="167" fontId="337" fillId="0" borderId="0" applyFont="0" applyFill="0" applyBorder="0" applyAlignment="0" applyProtection="0"/>
    <xf numFmtId="0" fontId="337" fillId="0" borderId="0"/>
    <xf numFmtId="167" fontId="337" fillId="0" borderId="0" applyFont="0" applyFill="0" applyBorder="0" applyAlignment="0" applyProtection="0"/>
    <xf numFmtId="0" fontId="318" fillId="0" borderId="1">
      <alignment horizontal="center"/>
    </xf>
    <xf numFmtId="0" fontId="337" fillId="0" borderId="0"/>
    <xf numFmtId="167" fontId="337" fillId="0" borderId="0" applyFont="0" applyFill="0" applyBorder="0" applyAlignment="0" applyProtection="0"/>
    <xf numFmtId="0" fontId="318" fillId="0" borderId="1">
      <alignment horizontal="center"/>
    </xf>
    <xf numFmtId="0" fontId="337" fillId="0" borderId="0"/>
    <xf numFmtId="167" fontId="337" fillId="0" borderId="0" applyFont="0" applyFill="0" applyBorder="0" applyAlignment="0" applyProtection="0"/>
    <xf numFmtId="0" fontId="3" fillId="0" borderId="0"/>
    <xf numFmtId="0" fontId="310" fillId="0" borderId="0"/>
    <xf numFmtId="0" fontId="337" fillId="0" borderId="0"/>
    <xf numFmtId="0" fontId="337" fillId="0" borderId="0"/>
    <xf numFmtId="0" fontId="3" fillId="0" borderId="0"/>
    <xf numFmtId="0" fontId="310" fillId="0" borderId="0"/>
    <xf numFmtId="0" fontId="337" fillId="0" borderId="0"/>
    <xf numFmtId="1" fontId="337" fillId="0" borderId="0"/>
    <xf numFmtId="0" fontId="322" fillId="0" borderId="0" applyNumberFormat="0" applyFill="0" applyBorder="0" applyAlignment="0" applyProtection="0"/>
    <xf numFmtId="0" fontId="337" fillId="0" borderId="0"/>
    <xf numFmtId="0" fontId="322" fillId="0" borderId="0" applyNumberFormat="0" applyFill="0" applyBorder="0" applyAlignment="0" applyProtection="0"/>
    <xf numFmtId="0" fontId="337" fillId="0" borderId="0"/>
    <xf numFmtId="1" fontId="337" fillId="0" borderId="0"/>
    <xf numFmtId="0" fontId="322" fillId="0" borderId="0" applyNumberFormat="0" applyFill="0" applyBorder="0" applyAlignment="0" applyProtection="0"/>
    <xf numFmtId="0" fontId="337" fillId="0" borderId="0"/>
    <xf numFmtId="0" fontId="3" fillId="0" borderId="0"/>
    <xf numFmtId="1" fontId="337" fillId="0" borderId="0"/>
    <xf numFmtId="0" fontId="337" fillId="0" borderId="0"/>
    <xf numFmtId="0" fontId="3"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0" fontId="337" fillId="0" borderId="0"/>
    <xf numFmtId="1" fontId="337" fillId="0" borderId="0"/>
    <xf numFmtId="1" fontId="337" fillId="0" borderId="0"/>
    <xf numFmtId="1"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 fillId="0" borderId="0"/>
    <xf numFmtId="1" fontId="337" fillId="0" borderId="0"/>
    <xf numFmtId="1" fontId="337" fillId="0" borderId="0"/>
    <xf numFmtId="1" fontId="337" fillId="0" borderId="0"/>
    <xf numFmtId="1" fontId="337" fillId="0" borderId="0"/>
    <xf numFmtId="1" fontId="337" fillId="0" borderId="0"/>
    <xf numFmtId="1" fontId="337" fillId="0" borderId="0"/>
    <xf numFmtId="10" fontId="337" fillId="0" borderId="0" applyFont="0" applyFill="0" applyBorder="0" applyAlignment="0" applyProtection="0"/>
    <xf numFmtId="1" fontId="337" fillId="0" borderId="0"/>
    <xf numFmtId="10" fontId="337" fillId="0" borderId="0" applyFont="0" applyFill="0" applyBorder="0" applyAlignment="0" applyProtection="0"/>
    <xf numFmtId="1" fontId="337" fillId="0" borderId="0"/>
    <xf numFmtId="0" fontId="337" fillId="0" borderId="0"/>
    <xf numFmtId="38" fontId="298" fillId="33" borderId="0" applyNumberFormat="0" applyBorder="0" applyAlignment="0" applyProtection="0"/>
    <xf numFmtId="10" fontId="337" fillId="0" borderId="0" applyFont="0" applyFill="0" applyBorder="0" applyAlignment="0" applyProtection="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0" fontId="3"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1" fontId="337" fillId="0" borderId="0"/>
    <xf numFmtId="0" fontId="337" fillId="0" borderId="0"/>
    <xf numFmtId="0" fontId="337" fillId="0" borderId="0"/>
    <xf numFmtId="0" fontId="333" fillId="36" borderId="0" applyNumberFormat="0" applyBorder="0" applyAlignment="0" applyProtection="0"/>
    <xf numFmtId="0" fontId="337" fillId="0" borderId="0"/>
    <xf numFmtId="0" fontId="333" fillId="36" borderId="0" applyNumberFormat="0" applyBorder="0" applyAlignment="0" applyProtection="0"/>
    <xf numFmtId="9" fontId="3" fillId="0" borderId="0" applyFont="0" applyFill="0" applyBorder="0" applyAlignment="0" applyProtection="0"/>
    <xf numFmtId="0" fontId="316" fillId="47" borderId="0" applyNumberFormat="0" applyBorder="0" applyAlignment="0" applyProtection="0"/>
    <xf numFmtId="0" fontId="337" fillId="0" borderId="0"/>
    <xf numFmtId="0" fontId="301" fillId="0" borderId="0"/>
    <xf numFmtId="0" fontId="3" fillId="0" borderId="0"/>
    <xf numFmtId="0" fontId="315" fillId="0" borderId="103" applyNumberFormat="0" applyFill="0" applyAlignment="0" applyProtection="0"/>
    <xf numFmtId="0" fontId="337" fillId="0" borderId="0"/>
    <xf numFmtId="0" fontId="315" fillId="0" borderId="103" applyNumberFormat="0" applyFill="0" applyAlignment="0" applyProtection="0"/>
    <xf numFmtId="0" fontId="337" fillId="0" borderId="0"/>
    <xf numFmtId="0" fontId="315" fillId="0" borderId="103" applyNumberFormat="0" applyFill="0" applyAlignment="0" applyProtection="0"/>
    <xf numFmtId="0" fontId="315" fillId="0" borderId="103" applyNumberFormat="0" applyFill="0" applyAlignment="0" applyProtection="0"/>
    <xf numFmtId="0" fontId="325" fillId="0" borderId="101" applyNumberFormat="0" applyFill="0" applyAlignment="0" applyProtection="0"/>
    <xf numFmtId="0" fontId="319" fillId="0" borderId="0" applyNumberFormat="0" applyFill="0" applyBorder="0" applyAlignment="0" applyProtection="0"/>
    <xf numFmtId="0" fontId="337" fillId="0" borderId="0"/>
    <xf numFmtId="9" fontId="337" fillId="0" borderId="0" applyFont="0" applyFill="0" applyBorder="0" applyAlignment="0" applyProtection="0"/>
    <xf numFmtId="0" fontId="334" fillId="0" borderId="0" applyNumberFormat="0" applyFill="0" applyBorder="0" applyAlignment="0" applyProtection="0">
      <alignment vertical="top"/>
      <protection locked="0"/>
    </xf>
    <xf numFmtId="0" fontId="337" fillId="0" borderId="0"/>
    <xf numFmtId="9" fontId="337" fillId="0" borderId="0" applyFont="0" applyFill="0" applyBorder="0" applyAlignment="0" applyProtection="0"/>
    <xf numFmtId="0" fontId="323" fillId="0" borderId="0" applyNumberFormat="0" applyFill="0" applyBorder="0" applyAlignment="0" applyProtection="0">
      <alignment vertical="top"/>
      <protection locked="0"/>
    </xf>
    <xf numFmtId="0" fontId="337" fillId="34" borderId="97" applyNumberFormat="0" applyFont="0" applyAlignment="0" applyProtection="0"/>
    <xf numFmtId="0" fontId="337" fillId="0" borderId="0"/>
    <xf numFmtId="0" fontId="337" fillId="0" borderId="0"/>
    <xf numFmtId="9" fontId="3" fillId="0" borderId="0" applyFont="0" applyFill="0" applyBorder="0" applyAlignment="0" applyProtection="0"/>
    <xf numFmtId="0" fontId="3" fillId="0" borderId="0"/>
    <xf numFmtId="0" fontId="313" fillId="0" borderId="104" applyNumberFormat="0" applyFill="0" applyAlignment="0" applyProtection="0"/>
    <xf numFmtId="0" fontId="3" fillId="0" borderId="0"/>
    <xf numFmtId="0" fontId="313" fillId="0" borderId="104" applyNumberFormat="0" applyFill="0" applyAlignment="0" applyProtection="0"/>
    <xf numFmtId="0" fontId="3" fillId="0" borderId="0"/>
    <xf numFmtId="0" fontId="313" fillId="0" borderId="104" applyNumberFormat="0" applyFill="0" applyAlignment="0" applyProtection="0"/>
    <xf numFmtId="0" fontId="3" fillId="0" borderId="0"/>
    <xf numFmtId="0" fontId="313" fillId="0" borderId="104" applyNumberFormat="0" applyFill="0" applyAlignment="0" applyProtection="0"/>
    <xf numFmtId="0" fontId="305" fillId="0" borderId="0" applyProtection="0">
      <alignment horizontal="center" vertical="center"/>
    </xf>
    <xf numFmtId="0" fontId="337" fillId="0" borderId="0"/>
    <xf numFmtId="0" fontId="305" fillId="0" borderId="0" applyProtection="0">
      <alignment horizontal="center" vertical="center"/>
    </xf>
    <xf numFmtId="0" fontId="337" fillId="0" borderId="0"/>
    <xf numFmtId="0" fontId="337" fillId="0" borderId="0"/>
    <xf numFmtId="0" fontId="305" fillId="0" borderId="0" applyProtection="0">
      <alignment horizontal="center" vertical="center"/>
    </xf>
    <xf numFmtId="0" fontId="337" fillId="0" borderId="0"/>
    <xf numFmtId="171" fontId="300" fillId="0" borderId="25">
      <alignment horizontal="right"/>
    </xf>
    <xf numFmtId="0" fontId="316" fillId="47" borderId="0" applyNumberFormat="0" applyBorder="0" applyAlignment="0" applyProtection="0"/>
    <xf numFmtId="0" fontId="324" fillId="0" borderId="0" applyNumberFormat="0" applyFill="0">
      <alignment horizontal="left" vertical="center"/>
    </xf>
    <xf numFmtId="37" fontId="311" fillId="0" borderId="0"/>
    <xf numFmtId="0" fontId="3" fillId="0" borderId="0"/>
    <xf numFmtId="0" fontId="337" fillId="0" borderId="0"/>
    <xf numFmtId="37" fontId="311" fillId="0" borderId="0"/>
    <xf numFmtId="0" fontId="337" fillId="0" borderId="0"/>
    <xf numFmtId="37" fontId="311" fillId="0" borderId="0"/>
    <xf numFmtId="0" fontId="337" fillId="0" borderId="0"/>
    <xf numFmtId="37" fontId="31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0" borderId="0"/>
    <xf numFmtId="9" fontId="337" fillId="0" borderId="0" applyFont="0" applyFill="0" applyBorder="0" applyAlignment="0" applyProtection="0"/>
    <xf numFmtId="0" fontId="337" fillId="34" borderId="97" applyNumberFormat="0" applyFont="0" applyAlignment="0" applyProtection="0"/>
    <xf numFmtId="0" fontId="337" fillId="0" borderId="0"/>
    <xf numFmtId="9" fontId="337" fillId="0" borderId="0" applyFont="0" applyFill="0" applyBorder="0" applyAlignment="0" applyProtection="0"/>
    <xf numFmtId="0" fontId="337" fillId="34" borderId="97" applyNumberFormat="0" applyFont="0" applyAlignment="0" applyProtection="0"/>
    <xf numFmtId="0" fontId="337" fillId="0" borderId="0"/>
    <xf numFmtId="9" fontId="337" fillId="0" borderId="0" applyFont="0" applyFill="0" applyBorder="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07" fillId="0" borderId="102" applyNumberFormat="0" applyFill="0" applyAlignment="0" applyProtection="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01"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40" fontId="303" fillId="0" borderId="0"/>
    <xf numFmtId="0" fontId="337" fillId="0" borderId="0"/>
    <xf numFmtId="0" fontId="337" fillId="0" borderId="0"/>
    <xf numFmtId="40" fontId="30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10"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9" fontId="3" fillId="0" borderId="0" applyFont="0" applyFill="0" applyBorder="0" applyAlignment="0" applyProtection="0"/>
    <xf numFmtId="0" fontId="3" fillId="0" borderId="0"/>
    <xf numFmtId="0" fontId="337" fillId="0" borderId="0"/>
    <xf numFmtId="0" fontId="337" fillId="0" borderId="0"/>
    <xf numFmtId="9" fontId="3" fillId="0" borderId="0" applyFont="0" applyFill="0" applyBorder="0" applyAlignment="0" applyProtection="0"/>
    <xf numFmtId="0" fontId="3" fillId="0" borderId="0"/>
    <xf numFmtId="0" fontId="337" fillId="0" borderId="0"/>
    <xf numFmtId="0" fontId="337" fillId="0" borderId="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9">
      <alignment horizontal="center"/>
    </xf>
    <xf numFmtId="0" fontId="337" fillId="0" borderId="0"/>
    <xf numFmtId="0" fontId="337" fillId="0" borderId="0"/>
    <xf numFmtId="0" fontId="337" fillId="0" borderId="9">
      <alignment horizontal="center"/>
    </xf>
    <xf numFmtId="0" fontId="301"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01"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01"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01" fillId="0" borderId="0"/>
    <xf numFmtId="9" fontId="337" fillId="0" borderId="0" applyFont="0" applyFill="0" applyBorder="0" applyAlignment="0" applyProtection="0"/>
    <xf numFmtId="0" fontId="301"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18" fillId="0" borderId="0">
      <alignment horizontal="center" vertical="center"/>
    </xf>
    <xf numFmtId="0" fontId="337" fillId="0" borderId="0"/>
    <xf numFmtId="0" fontId="318" fillId="0" borderId="0">
      <alignment horizontal="center" vertical="center"/>
    </xf>
    <xf numFmtId="0" fontId="337" fillId="0" borderId="0"/>
    <xf numFmtId="0" fontId="318" fillId="0" borderId="0">
      <alignment horizontal="center" vertical="center"/>
    </xf>
    <xf numFmtId="0" fontId="337" fillId="0" borderId="0"/>
    <xf numFmtId="0" fontId="318" fillId="0" borderId="0">
      <alignment horizontal="center" vertical="center"/>
    </xf>
    <xf numFmtId="0" fontId="337" fillId="0" borderId="0"/>
    <xf numFmtId="0" fontId="337" fillId="0" borderId="0"/>
    <xf numFmtId="0" fontId="337" fillId="0" borderId="0"/>
    <xf numFmtId="0" fontId="337" fillId="0" borderId="0"/>
    <xf numFmtId="0" fontId="337" fillId="0" borderId="0"/>
    <xf numFmtId="0" fontId="324" fillId="0" borderId="0" applyNumberFormat="0" applyFill="0">
      <alignment horizontal="left" vertical="center"/>
    </xf>
    <xf numFmtId="0" fontId="337" fillId="0" borderId="0"/>
    <xf numFmtId="0" fontId="324" fillId="0" borderId="0" applyNumberFormat="0" applyFill="0">
      <alignment horizontal="left" vertical="center"/>
    </xf>
    <xf numFmtId="0" fontId="337" fillId="0" borderId="0"/>
    <xf numFmtId="0" fontId="324" fillId="0" borderId="0" applyNumberFormat="0" applyFill="0">
      <alignment horizontal="left" vertic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9" fontId="3" fillId="0" borderId="0" applyFont="0" applyFill="0" applyBorder="0" applyAlignment="0" applyProtection="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1" fillId="0" borderId="0" applyNumberForma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6" fillId="0" borderId="1">
      <alignment horizontal="center" vertical="center" wrapText="1"/>
    </xf>
    <xf numFmtId="0" fontId="337" fillId="0" borderId="0"/>
    <xf numFmtId="0" fontId="337" fillId="0" borderId="0"/>
    <xf numFmtId="0" fontId="337" fillId="0" borderId="0"/>
    <xf numFmtId="0" fontId="337" fillId="0" borderId="0"/>
    <xf numFmtId="0" fontId="310" fillId="0" borderId="0"/>
    <xf numFmtId="0" fontId="337" fillId="0" borderId="0"/>
    <xf numFmtId="0" fontId="3" fillId="0" borderId="0"/>
    <xf numFmtId="0" fontId="3" fillId="0" borderId="0"/>
    <xf numFmtId="0" fontId="337" fillId="0" borderId="0"/>
    <xf numFmtId="0" fontId="3" fillId="0" borderId="0"/>
    <xf numFmtId="0" fontId="3" fillId="0" borderId="0"/>
    <xf numFmtId="0" fontId="3" fillId="0" borderId="0"/>
    <xf numFmtId="0" fontId="337" fillId="0" borderId="0"/>
    <xf numFmtId="0" fontId="3" fillId="0" borderId="0"/>
    <xf numFmtId="0" fontId="337" fillId="0" borderId="0"/>
    <xf numFmtId="0" fontId="337" fillId="0" borderId="0"/>
    <xf numFmtId="0" fontId="3" fillId="0" borderId="0"/>
    <xf numFmtId="0" fontId="31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18" fillId="0" borderId="0">
      <alignment horizontal="center" vertic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 fillId="0" borderId="0"/>
    <xf numFmtId="0" fontId="3" fillId="0" borderId="0"/>
    <xf numFmtId="0" fontId="320" fillId="0" borderId="0" applyNumberFormat="0" applyFill="0" applyBorder="0" applyAlignment="0" applyProtection="0"/>
    <xf numFmtId="0" fontId="3" fillId="0" borderId="0"/>
    <xf numFmtId="0" fontId="320"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9" fontId="3" fillId="0" borderId="0" applyFont="0" applyFill="0" applyBorder="0" applyAlignment="0" applyProtection="0"/>
    <xf numFmtId="0" fontId="337" fillId="0" borderId="0"/>
    <xf numFmtId="0" fontId="3" fillId="0" borderId="0"/>
    <xf numFmtId="9" fontId="3" fillId="0" borderId="0" applyFont="0" applyFill="0" applyBorder="0" applyAlignment="0" applyProtection="0"/>
    <xf numFmtId="0" fontId="3" fillId="0" borderId="0"/>
    <xf numFmtId="0" fontId="301"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5"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01" fillId="0" borderId="0"/>
    <xf numFmtId="0" fontId="3" fillId="0" borderId="0"/>
    <xf numFmtId="0" fontId="337" fillId="0" borderId="0"/>
    <xf numFmtId="0" fontId="337" fillId="0" borderId="0"/>
    <xf numFmtId="0" fontId="337" fillId="0" borderId="0"/>
    <xf numFmtId="0" fontId="3" fillId="0" borderId="0"/>
    <xf numFmtId="0" fontId="301" fillId="0" borderId="0"/>
    <xf numFmtId="0" fontId="337" fillId="0" borderId="0"/>
    <xf numFmtId="0" fontId="3" fillId="0" borderId="0"/>
    <xf numFmtId="0" fontId="301" fillId="0" borderId="0"/>
    <xf numFmtId="0" fontId="337" fillId="0" borderId="0"/>
    <xf numFmtId="0" fontId="3"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01"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01" fillId="0" borderId="0"/>
    <xf numFmtId="0" fontId="3" fillId="0" borderId="0"/>
    <xf numFmtId="0" fontId="301" fillId="0" borderId="0"/>
    <xf numFmtId="0" fontId="301"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9">
      <alignment horizontal="center"/>
    </xf>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01" fillId="0" borderId="0"/>
    <xf numFmtId="0" fontId="337" fillId="0" borderId="0"/>
    <xf numFmtId="0" fontId="301" fillId="0" borderId="0"/>
    <xf numFmtId="0" fontId="301"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01" fillId="0" borderId="0"/>
    <xf numFmtId="0" fontId="337" fillId="0" borderId="0"/>
    <xf numFmtId="0" fontId="301" fillId="0" borderId="0"/>
    <xf numFmtId="0" fontId="301" fillId="0" borderId="0"/>
    <xf numFmtId="0" fontId="337" fillId="0" borderId="0"/>
    <xf numFmtId="0" fontId="301" fillId="0" borderId="0"/>
    <xf numFmtId="0" fontId="3" fillId="0" borderId="0"/>
    <xf numFmtId="0" fontId="337" fillId="0" borderId="0"/>
    <xf numFmtId="0" fontId="301" fillId="0" borderId="0"/>
    <xf numFmtId="0" fontId="3"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2"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01" fillId="0" borderId="0"/>
    <xf numFmtId="0" fontId="337" fillId="0" borderId="0"/>
    <xf numFmtId="0" fontId="301" fillId="0" borderId="0"/>
    <xf numFmtId="0" fontId="337" fillId="0" borderId="0"/>
    <xf numFmtId="0" fontId="3" fillId="0" borderId="0"/>
    <xf numFmtId="0" fontId="337" fillId="0" borderId="0"/>
    <xf numFmtId="0" fontId="337" fillId="0" borderId="0"/>
    <xf numFmtId="0" fontId="337" fillId="0" borderId="0"/>
    <xf numFmtId="0" fontId="31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37" fillId="0" borderId="0"/>
    <xf numFmtId="0" fontId="301" fillId="0" borderId="0"/>
    <xf numFmtId="0" fontId="3" fillId="0" borderId="0"/>
    <xf numFmtId="0" fontId="3" fillId="0" borderId="0"/>
    <xf numFmtId="0" fontId="3"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9" fontId="337" fillId="0" borderId="0" applyFont="0" applyFill="0" applyBorder="0" applyAlignment="0" applyProtection="0"/>
    <xf numFmtId="0" fontId="3" fillId="0" borderId="0"/>
    <xf numFmtId="0" fontId="3" fillId="0" borderId="0"/>
    <xf numFmtId="0" fontId="3" fillId="0" borderId="0"/>
    <xf numFmtId="9" fontId="337" fillId="0" borderId="0" applyFont="0" applyFill="0" applyBorder="0" applyAlignment="0" applyProtection="0"/>
    <xf numFmtId="0" fontId="3" fillId="0" borderId="0"/>
    <xf numFmtId="0" fontId="3" fillId="0" borderId="0"/>
    <xf numFmtId="9" fontId="33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 fillId="0" borderId="0"/>
    <xf numFmtId="0" fontId="337" fillId="0" borderId="0"/>
    <xf numFmtId="0" fontId="3" fillId="0" borderId="0"/>
    <xf numFmtId="0" fontId="3" fillId="0" borderId="0"/>
    <xf numFmtId="0" fontId="337"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9" fontId="337" fillId="0" borderId="0" applyFill="0" applyBorder="0" applyAlignment="0" applyProtection="0"/>
    <xf numFmtId="0" fontId="3" fillId="0" borderId="0"/>
    <xf numFmtId="0" fontId="337"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34" borderId="97" applyNumberFormat="0" applyFont="0" applyAlignment="0" applyProtection="0"/>
    <xf numFmtId="0" fontId="3" fillId="0" borderId="0"/>
    <xf numFmtId="0" fontId="337" fillId="0" borderId="0"/>
    <xf numFmtId="0" fontId="337" fillId="34" borderId="97" applyNumberFormat="0" applyFont="0" applyAlignment="0" applyProtection="0"/>
    <xf numFmtId="0" fontId="3"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10" fillId="0" borderId="0"/>
    <xf numFmtId="0" fontId="3" fillId="0" borderId="0"/>
    <xf numFmtId="0" fontId="3" fillId="0" borderId="0"/>
    <xf numFmtId="0" fontId="3" fillId="0" borderId="0"/>
    <xf numFmtId="0" fontId="3" fillId="0" borderId="0"/>
    <xf numFmtId="0" fontId="337" fillId="0" borderId="0"/>
    <xf numFmtId="0" fontId="337" fillId="34" borderId="97"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 fillId="0" borderId="0"/>
    <xf numFmtId="0" fontId="337" fillId="0" borderId="0"/>
    <xf numFmtId="0" fontId="327" fillId="33" borderId="105" applyNumberFormat="0" applyAlignment="0" applyProtection="0"/>
    <xf numFmtId="0" fontId="337" fillId="0" borderId="0"/>
    <xf numFmtId="0" fontId="327" fillId="33" borderId="105" applyNumberFormat="0" applyAlignment="0" applyProtection="0"/>
    <xf numFmtId="0" fontId="337" fillId="0" borderId="0"/>
    <xf numFmtId="0" fontId="337" fillId="0" borderId="0"/>
    <xf numFmtId="0" fontId="337" fillId="0" borderId="0"/>
    <xf numFmtId="0" fontId="318" fillId="0" borderId="1">
      <alignment horizont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 fillId="0" borderId="0"/>
    <xf numFmtId="0" fontId="3" fillId="0" borderId="0"/>
    <xf numFmtId="0" fontId="3" fillId="0" borderId="0"/>
    <xf numFmtId="9" fontId="337" fillId="0" borderId="0" applyFont="0" applyFill="0" applyBorder="0" applyAlignment="0" applyProtection="0"/>
    <xf numFmtId="0" fontId="3" fillId="0" borderId="0"/>
    <xf numFmtId="9" fontId="310" fillId="0" borderId="0" applyFont="0" applyFill="0" applyBorder="0" applyAlignment="0" applyProtection="0"/>
    <xf numFmtId="0" fontId="3" fillId="0" borderId="0"/>
    <xf numFmtId="9" fontId="301"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 fillId="0" borderId="0" applyFont="0" applyFill="0" applyBorder="0" applyAlignment="0" applyProtection="0"/>
    <xf numFmtId="0" fontId="337" fillId="0" borderId="0"/>
    <xf numFmtId="0" fontId="337" fillId="0" borderId="0"/>
    <xf numFmtId="0" fontId="301" fillId="0" borderId="0"/>
    <xf numFmtId="0" fontId="337" fillId="0" borderId="0"/>
    <xf numFmtId="0" fontId="301" fillId="0" borderId="0"/>
    <xf numFmtId="0" fontId="301" fillId="0" borderId="0"/>
    <xf numFmtId="0" fontId="306" fillId="0" borderId="0" applyNumberFormat="0" applyFill="0" applyBorder="0" applyAlignment="0" applyProtection="0"/>
    <xf numFmtId="0" fontId="301" fillId="0" borderId="0"/>
    <xf numFmtId="0" fontId="3" fillId="0" borderId="0"/>
    <xf numFmtId="0" fontId="301" fillId="0" borderId="0"/>
    <xf numFmtId="0" fontId="3" fillId="0" borderId="0"/>
    <xf numFmtId="0" fontId="31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1" fillId="0" borderId="0" applyNumberFormat="0" applyFill="0" applyBorder="0" applyAlignment="0" applyProtection="0"/>
    <xf numFmtId="0" fontId="337" fillId="0" borderId="0"/>
    <xf numFmtId="0" fontId="337" fillId="0" borderId="0"/>
    <xf numFmtId="0" fontId="337" fillId="0" borderId="0"/>
    <xf numFmtId="0" fontId="337"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0"/>
    <xf numFmtId="0" fontId="3" fillId="0" borderId="0"/>
    <xf numFmtId="0" fontId="337" fillId="0" borderId="0"/>
    <xf numFmtId="0" fontId="3" fillId="0" borderId="0"/>
    <xf numFmtId="0" fontId="337" fillId="0" borderId="0"/>
    <xf numFmtId="0" fontId="3"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1" fillId="0" borderId="0" applyNumberForma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9" fontId="33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34" borderId="97" applyNumberFormat="0" applyFont="0" applyAlignment="0" applyProtection="0"/>
    <xf numFmtId="0" fontId="3" fillId="0" borderId="0"/>
    <xf numFmtId="0" fontId="337" fillId="34" borderId="97" applyNumberFormat="0" applyFont="0" applyAlignment="0" applyProtection="0"/>
    <xf numFmtId="0" fontId="3" fillId="0" borderId="0"/>
    <xf numFmtId="0" fontId="3" fillId="0" borderId="0"/>
    <xf numFmtId="0" fontId="337" fillId="34" borderId="97" applyNumberFormat="0" applyFont="0" applyAlignment="0" applyProtection="0"/>
    <xf numFmtId="0" fontId="3" fillId="0" borderId="0"/>
    <xf numFmtId="0" fontId="337" fillId="0" borderId="0"/>
    <xf numFmtId="0" fontId="3" fillId="0" borderId="0"/>
    <xf numFmtId="0" fontId="3" fillId="0" borderId="0"/>
    <xf numFmtId="0" fontId="337" fillId="34" borderId="97" applyNumberFormat="0" applyFont="0" applyAlignment="0" applyProtection="0"/>
    <xf numFmtId="0" fontId="3" fillId="0" borderId="0"/>
    <xf numFmtId="0" fontId="3" fillId="0" borderId="0"/>
    <xf numFmtId="0" fontId="3"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9">
      <alignment horizontal="center"/>
    </xf>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34" borderId="97" applyNumberFormat="0" applyFont="0" applyAlignment="0" applyProtection="0"/>
    <xf numFmtId="0" fontId="337" fillId="0" borderId="0"/>
    <xf numFmtId="0" fontId="337" fillId="0" borderId="9">
      <alignment horizontal="center"/>
    </xf>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34" borderId="97" applyNumberFormat="0" applyFont="0" applyAlignment="0" applyProtection="0"/>
    <xf numFmtId="0" fontId="337" fillId="0" borderId="0"/>
    <xf numFmtId="0" fontId="337" fillId="0" borderId="9">
      <alignment horizontal="center"/>
    </xf>
    <xf numFmtId="0" fontId="337" fillId="0" borderId="0"/>
    <xf numFmtId="0" fontId="337" fillId="0" borderId="0"/>
    <xf numFmtId="0" fontId="337" fillId="0" borderId="0"/>
    <xf numFmtId="0" fontId="337" fillId="0" borderId="0"/>
    <xf numFmtId="0" fontId="337" fillId="0" borderId="9">
      <alignment horizontal="center"/>
    </xf>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9" fontId="3" fillId="0" borderId="0" applyFont="0" applyFill="0" applyBorder="0" applyAlignment="0" applyProtection="0"/>
    <xf numFmtId="0" fontId="337" fillId="0" borderId="9">
      <alignment horizontal="center"/>
    </xf>
    <xf numFmtId="0" fontId="337" fillId="0" borderId="0"/>
    <xf numFmtId="0" fontId="337" fillId="0" borderId="0"/>
    <xf numFmtId="0" fontId="337" fillId="0" borderId="0"/>
    <xf numFmtId="0" fontId="337" fillId="0" borderId="0"/>
    <xf numFmtId="0" fontId="337" fillId="34" borderId="97" applyNumberFormat="0" applyFont="0" applyAlignment="0" applyProtection="0"/>
    <xf numFmtId="0" fontId="337" fillId="0" borderId="0"/>
    <xf numFmtId="0" fontId="337" fillId="0" borderId="0"/>
    <xf numFmtId="0" fontId="337" fillId="34" borderId="97" applyNumberFormat="0" applyFont="0" applyAlignment="0" applyProtection="0"/>
    <xf numFmtId="0" fontId="337" fillId="0" borderId="0"/>
    <xf numFmtId="0" fontId="337" fillId="0" borderId="9">
      <alignment horizontal="center"/>
    </xf>
    <xf numFmtId="0" fontId="337" fillId="0" borderId="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0" fontId="3"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18" fillId="0" borderId="1">
      <alignment horizontal="center"/>
    </xf>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9" fontId="3" fillId="0" borderId="0" applyFont="0" applyFill="0" applyBorder="0" applyAlignment="0" applyProtection="0"/>
    <xf numFmtId="0" fontId="337" fillId="0" borderId="9">
      <alignment horizontal="center"/>
    </xf>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9">
      <alignment horizontal="center"/>
    </xf>
    <xf numFmtId="0" fontId="337" fillId="0" borderId="0"/>
    <xf numFmtId="0" fontId="337" fillId="0" borderId="0"/>
    <xf numFmtId="0" fontId="337" fillId="0" borderId="9">
      <alignment horizontal="center"/>
    </xf>
    <xf numFmtId="0" fontId="337" fillId="0" borderId="0"/>
    <xf numFmtId="0" fontId="337" fillId="0" borderId="0"/>
    <xf numFmtId="0" fontId="337" fillId="0" borderId="9">
      <alignment horizontal="center"/>
    </xf>
    <xf numFmtId="0" fontId="337" fillId="0" borderId="0"/>
    <xf numFmtId="0" fontId="337" fillId="0" borderId="0"/>
    <xf numFmtId="0" fontId="337" fillId="0" borderId="9">
      <alignment horizontal="center"/>
    </xf>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9" fontId="337" fillId="0" borderId="0" applyFont="0" applyFill="0" applyBorder="0" applyAlignment="0" applyProtection="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0"/>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9">
      <alignment horizont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9" fontId="3"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9" fontId="337" fillId="0" borderId="0" applyFont="0" applyFill="0" applyBorder="0" applyAlignment="0" applyProtection="0"/>
    <xf numFmtId="0" fontId="3" fillId="0" borderId="0"/>
    <xf numFmtId="0" fontId="3" fillId="0" borderId="0"/>
    <xf numFmtId="0" fontId="33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82" fontId="337" fillId="0" borderId="0" applyFont="0" applyFill="0" applyBorder="0" applyAlignment="0" applyProtection="0"/>
    <xf numFmtId="0" fontId="3" fillId="0" borderId="0"/>
    <xf numFmtId="182" fontId="33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10" fillId="0" borderId="0" applyFont="0" applyFill="0" applyBorder="0" applyAlignment="0" applyProtection="0"/>
    <xf numFmtId="0" fontId="3" fillId="0" borderId="0"/>
    <xf numFmtId="9" fontId="310"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9" fontId="337" fillId="0" borderId="0" applyFont="0" applyFill="0" applyBorder="0" applyAlignment="0" applyProtection="0"/>
    <xf numFmtId="0" fontId="3" fillId="0" borderId="0"/>
    <xf numFmtId="0" fontId="3" fillId="0" borderId="0"/>
    <xf numFmtId="9" fontId="33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37" fillId="0" borderId="0"/>
    <xf numFmtId="0" fontId="337" fillId="0" borderId="0"/>
    <xf numFmtId="0" fontId="3" fillId="0" borderId="0"/>
    <xf numFmtId="0" fontId="337" fillId="0" borderId="0"/>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6" fillId="0" borderId="0" applyNumberFormat="0" applyFill="0" applyBorder="0" applyAlignment="0" applyProtection="0"/>
    <xf numFmtId="0" fontId="337" fillId="0" borderId="0"/>
    <xf numFmtId="0" fontId="306" fillId="0" borderId="0" applyNumberFormat="0" applyFill="0" applyBorder="0" applyAlignment="0" applyProtection="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07" fillId="0" borderId="102" applyNumberFormat="0" applyFill="0" applyAlignment="0" applyProtection="0"/>
    <xf numFmtId="0" fontId="337" fillId="0" borderId="0"/>
    <xf numFmtId="0" fontId="307" fillId="0" borderId="102" applyNumberFormat="0" applyFill="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01" fillId="0" borderId="0"/>
    <xf numFmtId="9" fontId="337" fillId="0" borderId="0" applyFont="0" applyFill="0" applyBorder="0" applyAlignment="0" applyProtection="0"/>
    <xf numFmtId="0" fontId="301" fillId="0" borderId="0"/>
    <xf numFmtId="9" fontId="337" fillId="0" borderId="0" applyFont="0" applyFill="0" applyBorder="0" applyAlignment="0" applyProtection="0"/>
    <xf numFmtId="0" fontId="301" fillId="0" borderId="0"/>
    <xf numFmtId="9" fontId="337" fillId="0" borderId="0" applyFont="0" applyFill="0" applyBorder="0" applyAlignment="0" applyProtection="0"/>
    <xf numFmtId="0" fontId="301" fillId="0" borderId="0"/>
    <xf numFmtId="9" fontId="337" fillId="0" borderId="0" applyFont="0" applyFill="0" applyBorder="0" applyAlignment="0" applyProtection="0"/>
    <xf numFmtId="0" fontId="337" fillId="0" borderId="0"/>
    <xf numFmtId="0" fontId="337" fillId="0" borderId="0"/>
    <xf numFmtId="0" fontId="337" fillId="0" borderId="0"/>
    <xf numFmtId="0" fontId="299"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9" fontId="337" fillId="0" borderId="0" applyFont="0" applyFill="0" applyBorder="0" applyAlignment="0" applyProtection="0"/>
    <xf numFmtId="0" fontId="337" fillId="0" borderId="0"/>
    <xf numFmtId="9" fontId="337" fillId="0" borderId="0" applyFont="0" applyFill="0" applyBorder="0" applyAlignment="0" applyProtection="0"/>
    <xf numFmtId="0" fontId="337" fillId="0" borderId="0"/>
    <xf numFmtId="9" fontId="337" fillId="0" borderId="0" applyFont="0" applyFill="0" applyBorder="0" applyAlignment="0" applyProtection="0"/>
    <xf numFmtId="0" fontId="337" fillId="0" borderId="0"/>
    <xf numFmtId="9" fontId="337" fillId="0" borderId="0" applyFont="0" applyFill="0" applyBorder="0" applyAlignment="0" applyProtection="0"/>
    <xf numFmtId="0" fontId="337" fillId="0" borderId="0"/>
    <xf numFmtId="9"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6" fillId="0" borderId="1">
      <alignment horizontal="center" vertical="center" wrapText="1"/>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6" fillId="0" borderId="1">
      <alignment horizontal="center" vertical="center" wrapText="1"/>
    </xf>
    <xf numFmtId="0" fontId="337" fillId="0" borderId="0"/>
    <xf numFmtId="9" fontId="3" fillId="0" borderId="0" applyFont="0" applyFill="0" applyBorder="0" applyAlignment="0" applyProtection="0"/>
    <xf numFmtId="0" fontId="337" fillId="0" borderId="0"/>
    <xf numFmtId="9" fontId="3" fillId="0" borderId="0" applyFont="0" applyFill="0" applyBorder="0" applyAlignment="0" applyProtection="0"/>
    <xf numFmtId="0" fontId="337" fillId="0" borderId="0"/>
    <xf numFmtId="9" fontId="3" fillId="0" borderId="0" applyFont="0" applyFill="0" applyBorder="0" applyAlignment="0" applyProtection="0"/>
    <xf numFmtId="9" fontId="3" fillId="0" borderId="0" applyFont="0" applyFill="0" applyBorder="0" applyAlignment="0" applyProtection="0"/>
    <xf numFmtId="0" fontId="337" fillId="0" borderId="0"/>
    <xf numFmtId="9" fontId="3" fillId="0" borderId="0" applyFont="0" applyFill="0" applyBorder="0" applyAlignment="0" applyProtection="0"/>
    <xf numFmtId="9" fontId="3" fillId="0" borderId="0" applyFont="0" applyFill="0" applyBorder="0" applyAlignment="0" applyProtection="0"/>
    <xf numFmtId="0" fontId="337" fillId="0" borderId="0"/>
    <xf numFmtId="9" fontId="3" fillId="0" borderId="0" applyFont="0" applyFill="0" applyBorder="0" applyAlignment="0" applyProtection="0"/>
    <xf numFmtId="0" fontId="320" fillId="0" borderId="0" applyNumberForma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0" fontId="337" fillId="34" borderId="97" applyNumberFormat="0" applyFont="0" applyAlignment="0" applyProtection="0"/>
    <xf numFmtId="0" fontId="337" fillId="34" borderId="97" applyNumberFormat="0" applyFont="0" applyAlignment="0" applyProtection="0"/>
    <xf numFmtId="9" fontId="337" fillId="0" borderId="0" applyFont="0" applyFill="0" applyBorder="0" applyAlignment="0" applyProtection="0"/>
    <xf numFmtId="0" fontId="337" fillId="34" borderId="97" applyNumberFormat="0" applyFont="0" applyAlignment="0" applyProtection="0"/>
    <xf numFmtId="9" fontId="337" fillId="0" borderId="0" applyFont="0" applyFill="0" applyBorder="0" applyAlignment="0" applyProtection="0"/>
    <xf numFmtId="0" fontId="337" fillId="34" borderId="97" applyNumberFormat="0" applyFont="0" applyAlignment="0" applyProtection="0"/>
    <xf numFmtId="9" fontId="337" fillId="0" borderId="0" applyFont="0" applyFill="0" applyBorder="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0" fontId="337" fillId="34" borderId="97" applyNumberFormat="0" applyFont="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10" fillId="0" borderId="0" applyFont="0" applyFill="0" applyBorder="0" applyAlignment="0" applyProtection="0"/>
    <xf numFmtId="9" fontId="310"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10" fillId="0" borderId="0" applyFont="0" applyFill="0" applyBorder="0" applyAlignment="0" applyProtection="0"/>
    <xf numFmtId="9" fontId="310" fillId="0" borderId="0" applyFont="0" applyFill="0" applyBorder="0" applyAlignment="0" applyProtection="0"/>
    <xf numFmtId="9" fontId="310" fillId="0" borderId="0" applyFont="0" applyFill="0" applyBorder="0" applyAlignment="0" applyProtection="0"/>
    <xf numFmtId="9" fontId="310"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0" fontId="318" fillId="0" borderId="1">
      <alignment horizontal="center"/>
    </xf>
    <xf numFmtId="0" fontId="318" fillId="0" borderId="1">
      <alignment horizontal="center"/>
    </xf>
    <xf numFmtId="0" fontId="318" fillId="0" borderId="0">
      <alignment horizontal="center" vertical="center"/>
    </xf>
    <xf numFmtId="49" fontId="337" fillId="0" borderId="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20" fillId="0" borderId="0" applyNumberFormat="0" applyFill="0" applyBorder="0" applyAlignment="0" applyProtection="0"/>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0"/>
    <xf numFmtId="0" fontId="301" fillId="0" borderId="0"/>
    <xf numFmtId="0" fontId="337" fillId="0" borderId="0"/>
    <xf numFmtId="0" fontId="310" fillId="56" borderId="0" applyNumberFormat="0" applyBorder="0" applyAlignment="0" applyProtection="0"/>
    <xf numFmtId="0" fontId="310" fillId="56" borderId="0" applyNumberFormat="0" applyBorder="0" applyAlignment="0" applyProtection="0"/>
    <xf numFmtId="0" fontId="310" fillId="56" borderId="0" applyNumberFormat="0" applyBorder="0" applyAlignment="0" applyProtection="0"/>
    <xf numFmtId="0" fontId="310" fillId="57" borderId="0" applyNumberFormat="0" applyBorder="0" applyAlignment="0" applyProtection="0"/>
    <xf numFmtId="0" fontId="310" fillId="57" borderId="0" applyNumberFormat="0" applyBorder="0" applyAlignment="0" applyProtection="0"/>
    <xf numFmtId="0" fontId="310" fillId="57" borderId="0" applyNumberFormat="0" applyBorder="0" applyAlignment="0" applyProtection="0"/>
    <xf numFmtId="0" fontId="310" fillId="58" borderId="0" applyNumberFormat="0" applyBorder="0" applyAlignment="0" applyProtection="0"/>
    <xf numFmtId="0" fontId="310" fillId="58" borderId="0" applyNumberFormat="0" applyBorder="0" applyAlignment="0" applyProtection="0"/>
    <xf numFmtId="0" fontId="310" fillId="58" borderId="0" applyNumberFormat="0" applyBorder="0" applyAlignment="0" applyProtection="0"/>
    <xf numFmtId="0" fontId="310" fillId="59" borderId="0" applyNumberFormat="0" applyBorder="0" applyAlignment="0" applyProtection="0"/>
    <xf numFmtId="0" fontId="310" fillId="59" borderId="0" applyNumberFormat="0" applyBorder="0" applyAlignment="0" applyProtection="0"/>
    <xf numFmtId="0" fontId="310" fillId="59" borderId="0" applyNumberFormat="0" applyBorder="0" applyAlignment="0" applyProtection="0"/>
    <xf numFmtId="0" fontId="310" fillId="60" borderId="0" applyNumberFormat="0" applyBorder="0" applyAlignment="0" applyProtection="0"/>
    <xf numFmtId="0" fontId="310" fillId="60" borderId="0" applyNumberFormat="0" applyBorder="0" applyAlignment="0" applyProtection="0"/>
    <xf numFmtId="0" fontId="310" fillId="60" borderId="0" applyNumberFormat="0" applyBorder="0" applyAlignment="0" applyProtection="0"/>
    <xf numFmtId="0" fontId="310" fillId="61" borderId="0" applyNumberFormat="0" applyBorder="0" applyAlignment="0" applyProtection="0"/>
    <xf numFmtId="0" fontId="310" fillId="61" borderId="0" applyNumberFormat="0" applyBorder="0" applyAlignment="0" applyProtection="0"/>
    <xf numFmtId="0" fontId="310" fillId="61" borderId="0" applyNumberFormat="0" applyBorder="0" applyAlignment="0" applyProtection="0"/>
    <xf numFmtId="0" fontId="310" fillId="62" borderId="0" applyNumberFormat="0" applyBorder="0" applyAlignment="0" applyProtection="0"/>
    <xf numFmtId="0" fontId="310" fillId="62" borderId="0" applyNumberFormat="0" applyBorder="0" applyAlignment="0" applyProtection="0"/>
    <xf numFmtId="0" fontId="310" fillId="62" borderId="0" applyNumberFormat="0" applyBorder="0" applyAlignment="0" applyProtection="0"/>
    <xf numFmtId="0" fontId="310" fillId="63" borderId="0" applyNumberFormat="0" applyBorder="0" applyAlignment="0" applyProtection="0"/>
    <xf numFmtId="0" fontId="310" fillId="63" borderId="0" applyNumberFormat="0" applyBorder="0" applyAlignment="0" applyProtection="0"/>
    <xf numFmtId="0" fontId="310" fillId="63" borderId="0" applyNumberFormat="0" applyBorder="0" applyAlignment="0" applyProtection="0"/>
    <xf numFmtId="0" fontId="310" fillId="64" borderId="0" applyNumberFormat="0" applyBorder="0" applyAlignment="0" applyProtection="0"/>
    <xf numFmtId="0" fontId="310" fillId="64" borderId="0" applyNumberFormat="0" applyBorder="0" applyAlignment="0" applyProtection="0"/>
    <xf numFmtId="0" fontId="310" fillId="64" borderId="0" applyNumberFormat="0" applyBorder="0" applyAlignment="0" applyProtection="0"/>
    <xf numFmtId="0" fontId="310" fillId="59" borderId="0" applyNumberFormat="0" applyBorder="0" applyAlignment="0" applyProtection="0"/>
    <xf numFmtId="0" fontId="310" fillId="59" borderId="0" applyNumberFormat="0" applyBorder="0" applyAlignment="0" applyProtection="0"/>
    <xf numFmtId="0" fontId="310" fillId="59" borderId="0" applyNumberFormat="0" applyBorder="0" applyAlignment="0" applyProtection="0"/>
    <xf numFmtId="0" fontId="310" fillId="62" borderId="0" applyNumberFormat="0" applyBorder="0" applyAlignment="0" applyProtection="0"/>
    <xf numFmtId="0" fontId="310" fillId="62" borderId="0" applyNumberFormat="0" applyBorder="0" applyAlignment="0" applyProtection="0"/>
    <xf numFmtId="0" fontId="310" fillId="62" borderId="0" applyNumberFormat="0" applyBorder="0" applyAlignment="0" applyProtection="0"/>
    <xf numFmtId="0" fontId="310" fillId="65" borderId="0" applyNumberFormat="0" applyBorder="0" applyAlignment="0" applyProtection="0"/>
    <xf numFmtId="0" fontId="310" fillId="65" borderId="0" applyNumberFormat="0" applyBorder="0" applyAlignment="0" applyProtection="0"/>
    <xf numFmtId="0" fontId="310" fillId="65" borderId="0" applyNumberFormat="0" applyBorder="0" applyAlignment="0" applyProtection="0"/>
    <xf numFmtId="0" fontId="314" fillId="66" borderId="0" applyNumberFormat="0" applyBorder="0" applyAlignment="0" applyProtection="0"/>
    <xf numFmtId="0" fontId="314" fillId="66" borderId="0" applyNumberFormat="0" applyBorder="0" applyAlignment="0" applyProtection="0"/>
    <xf numFmtId="0" fontId="314" fillId="63" borderId="0" applyNumberFormat="0" applyBorder="0" applyAlignment="0" applyProtection="0"/>
    <xf numFmtId="0" fontId="314" fillId="63" borderId="0" applyNumberFormat="0" applyBorder="0" applyAlignment="0" applyProtection="0"/>
    <xf numFmtId="0" fontId="314" fillId="64" borderId="0" applyNumberFormat="0" applyBorder="0" applyAlignment="0" applyProtection="0"/>
    <xf numFmtId="0" fontId="314" fillId="64"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9" borderId="0" applyNumberFormat="0" applyBorder="0" applyAlignment="0" applyProtection="0"/>
    <xf numFmtId="0" fontId="314" fillId="69"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0"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1"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72"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7"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68"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4" fillId="73" borderId="0" applyNumberFormat="0" applyBorder="0" applyAlignment="0" applyProtection="0"/>
    <xf numFmtId="0" fontId="317" fillId="57" borderId="0" applyNumberFormat="0" applyBorder="0" applyAlignment="0" applyProtection="0"/>
    <xf numFmtId="0" fontId="317" fillId="57" borderId="0" applyNumberFormat="0" applyBorder="0" applyAlignment="0" applyProtection="0"/>
    <xf numFmtId="0" fontId="312" fillId="74" borderId="99" applyNumberFormat="0" applyAlignment="0" applyProtection="0"/>
    <xf numFmtId="0" fontId="312" fillId="74" borderId="99" applyNumberFormat="0" applyAlignment="0" applyProtection="0"/>
    <xf numFmtId="0" fontId="326" fillId="75" borderId="100" applyNumberFormat="0" applyAlignment="0" applyProtection="0"/>
    <xf numFmtId="0" fontId="326" fillId="75" borderId="100" applyNumberFormat="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83" fontId="301" fillId="0" borderId="0" applyFont="0" applyFill="0" applyBorder="0" applyAlignment="0" applyProtection="0"/>
    <xf numFmtId="183" fontId="301" fillId="0" borderId="0" applyFont="0" applyFill="0" applyBorder="0" applyAlignment="0" applyProtection="0"/>
    <xf numFmtId="185" fontId="301"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89" fontId="301" fillId="0" borderId="0" applyFont="0" applyFill="0" applyBorder="0" applyAlignment="0" applyProtection="0"/>
    <xf numFmtId="183" fontId="301"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37"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9" fontId="301" fillId="0" borderId="0" applyFont="0" applyFill="0" applyBorder="0" applyAlignment="0" applyProtection="0"/>
    <xf numFmtId="189" fontId="301"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44"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167" fontId="337" fillId="0" borderId="0" applyFont="0" applyFill="0" applyBorder="0" applyAlignment="0" applyProtection="0"/>
    <xf numFmtId="0" fontId="310" fillId="0" borderId="0"/>
    <xf numFmtId="0" fontId="322" fillId="0" borderId="0" applyNumberFormat="0" applyFill="0" applyBorder="0" applyAlignment="0" applyProtection="0"/>
    <xf numFmtId="0" fontId="322" fillId="0" borderId="0" applyNumberForma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2" fontId="337" fillId="0" borderId="0" applyFont="0" applyFill="0" applyBorder="0" applyAlignment="0" applyProtection="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1" fontId="337" fillId="0" borderId="0"/>
    <xf numFmtId="0" fontId="333" fillId="58" borderId="0" applyNumberFormat="0" applyBorder="0" applyAlignment="0" applyProtection="0"/>
    <xf numFmtId="0" fontId="333" fillId="58" borderId="0" applyNumberFormat="0" applyBorder="0" applyAlignment="0" applyProtection="0"/>
    <xf numFmtId="0" fontId="315" fillId="0" borderId="103" applyNumberFormat="0" applyFill="0" applyAlignment="0" applyProtection="0"/>
    <xf numFmtId="0" fontId="315" fillId="0" borderId="103" applyNumberFormat="0" applyFill="0" applyAlignment="0" applyProtection="0"/>
    <xf numFmtId="0" fontId="325" fillId="0" borderId="101" applyNumberFormat="0" applyFill="0" applyAlignment="0" applyProtection="0"/>
    <xf numFmtId="0" fontId="325" fillId="0" borderId="101" applyNumberFormat="0" applyFill="0" applyAlignment="0" applyProtection="0"/>
    <xf numFmtId="0" fontId="319" fillId="0" borderId="98" applyNumberFormat="0" applyFill="0" applyAlignment="0" applyProtection="0"/>
    <xf numFmtId="0" fontId="319" fillId="0" borderId="98" applyNumberFormat="0" applyFill="0" applyAlignment="0" applyProtection="0"/>
    <xf numFmtId="0" fontId="319" fillId="0" borderId="0" applyNumberFormat="0" applyFill="0" applyBorder="0" applyAlignment="0" applyProtection="0"/>
    <xf numFmtId="0" fontId="319" fillId="0" borderId="0" applyNumberFormat="0" applyFill="0" applyBorder="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30" fillId="61" borderId="99" applyNumberFormat="0" applyAlignment="0" applyProtection="0"/>
    <xf numFmtId="0" fontId="313" fillId="0" borderId="104" applyNumberFormat="0" applyFill="0" applyAlignment="0" applyProtection="0"/>
    <xf numFmtId="0" fontId="313" fillId="0" borderId="104" applyNumberFormat="0" applyFill="0" applyAlignment="0" applyProtection="0"/>
    <xf numFmtId="0" fontId="341" fillId="0" borderId="106">
      <alignment horizontal="center" vertical="center" wrapText="1"/>
    </xf>
    <xf numFmtId="0" fontId="316" fillId="76" borderId="0" applyNumberFormat="0" applyBorder="0" applyAlignment="0" applyProtection="0"/>
    <xf numFmtId="0" fontId="316" fillId="76" borderId="0" applyNumberFormat="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1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0" fillId="0" borderId="0"/>
    <xf numFmtId="0" fontId="342"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01" fillId="0" borderId="0"/>
    <xf numFmtId="0" fontId="301" fillId="0" borderId="0"/>
    <xf numFmtId="0" fontId="337"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01"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2"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2"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01" fillId="0" borderId="0"/>
    <xf numFmtId="0" fontId="301" fillId="0" borderId="0"/>
    <xf numFmtId="0" fontId="3" fillId="0" borderId="0"/>
    <xf numFmtId="0" fontId="3" fillId="0" borderId="0"/>
    <xf numFmtId="0" fontId="301" fillId="0" borderId="0"/>
    <xf numFmtId="0" fontId="301" fillId="0" borderId="0"/>
    <xf numFmtId="0" fontId="337" fillId="0" borderId="0"/>
    <xf numFmtId="0" fontId="337" fillId="0" borderId="0"/>
    <xf numFmtId="0" fontId="343" fillId="0" borderId="0"/>
    <xf numFmtId="0" fontId="34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01" fillId="0" borderId="0"/>
    <xf numFmtId="0" fontId="301" fillId="0" borderId="0"/>
    <xf numFmtId="0" fontId="337" fillId="0" borderId="0"/>
    <xf numFmtId="0" fontId="310"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01" fillId="0" borderId="0"/>
    <xf numFmtId="0" fontId="301"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1"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 fillId="0" borderId="0"/>
    <xf numFmtId="0" fontId="3"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0"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4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01" fillId="0" borderId="0"/>
    <xf numFmtId="0" fontId="301" fillId="0" borderId="0"/>
    <xf numFmtId="0" fontId="3" fillId="0" borderId="0"/>
    <xf numFmtId="0" fontId="3" fillId="0" borderId="0"/>
    <xf numFmtId="0" fontId="3" fillId="0" borderId="0"/>
    <xf numFmtId="0" fontId="3" fillId="0" borderId="0"/>
    <xf numFmtId="0" fontId="3" fillId="0" borderId="0"/>
    <xf numFmtId="0" fontId="345" fillId="0" borderId="0"/>
    <xf numFmtId="0" fontId="301" fillId="0" borderId="0"/>
    <xf numFmtId="0" fontId="3" fillId="0" borderId="0"/>
    <xf numFmtId="0" fontId="301" fillId="0" borderId="0"/>
    <xf numFmtId="0" fontId="337" fillId="0" borderId="0"/>
    <xf numFmtId="0" fontId="3" fillId="0" borderId="0"/>
    <xf numFmtId="0" fontId="301" fillId="0" borderId="0"/>
    <xf numFmtId="0" fontId="3" fillId="0" borderId="0"/>
    <xf numFmtId="0" fontId="301" fillId="0" borderId="0"/>
    <xf numFmtId="0" fontId="337" fillId="0" borderId="0"/>
    <xf numFmtId="0" fontId="301" fillId="0" borderId="0"/>
    <xf numFmtId="0" fontId="301" fillId="0" borderId="0"/>
    <xf numFmtId="0" fontId="301" fillId="0" borderId="0"/>
    <xf numFmtId="0" fontId="301" fillId="0" borderId="0"/>
    <xf numFmtId="0" fontId="301" fillId="0" borderId="0"/>
    <xf numFmtId="0" fontId="335" fillId="0" borderId="0"/>
    <xf numFmtId="0" fontId="337" fillId="0" borderId="0"/>
    <xf numFmtId="0" fontId="301"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37" fillId="77" borderId="97" applyNumberFormat="0" applyFont="0" applyAlignment="0" applyProtection="0"/>
    <xf numFmtId="0" fontId="327" fillId="74" borderId="105" applyNumberFormat="0" applyAlignment="0" applyProtection="0"/>
    <xf numFmtId="0" fontId="327" fillId="74" borderId="105" applyNumberFormat="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10"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10"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10"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37" fillId="0" borderId="0" applyFont="0" applyFill="0" applyBorder="0" applyAlignment="0" applyProtection="0"/>
    <xf numFmtId="9" fontId="301" fillId="0" borderId="0" applyFont="0" applyFill="0" applyBorder="0" applyAlignment="0" applyProtection="0"/>
    <xf numFmtId="9" fontId="301" fillId="0" borderId="0" applyFont="0" applyFill="0" applyBorder="0" applyAlignment="0" applyProtection="0"/>
    <xf numFmtId="0" fontId="346" fillId="0" borderId="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182" fontId="337" fillId="0" borderId="0" applyFont="0" applyFill="0" applyBorder="0" applyAlignment="0" applyProtection="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47" fillId="0" borderId="0" applyNumberFormat="0" applyFill="0" applyBorder="0" applyAlignment="0" applyProtection="0"/>
    <xf numFmtId="0" fontId="347" fillId="0" borderId="0" applyNumberFormat="0" applyFill="0" applyBorder="0" applyAlignment="0" applyProtection="0"/>
    <xf numFmtId="0" fontId="307" fillId="0" borderId="102" applyNumberFormat="0" applyFill="0" applyAlignment="0" applyProtection="0"/>
    <xf numFmtId="0" fontId="307" fillId="0" borderId="102" applyNumberFormat="0" applyFill="0" applyAlignment="0" applyProtection="0"/>
    <xf numFmtId="2" fontId="337" fillId="0" borderId="0">
      <alignment horizontal="center" vertical="center"/>
    </xf>
    <xf numFmtId="176" fontId="297" fillId="0" borderId="106">
      <alignment horizontal="center" vertical="center"/>
    </xf>
    <xf numFmtId="176" fontId="297" fillId="0" borderId="106">
      <alignment horizontal="center" vertical="center"/>
    </xf>
    <xf numFmtId="176" fontId="297" fillId="0" borderId="106">
      <alignment horizontal="center" vertical="center"/>
    </xf>
    <xf numFmtId="176" fontId="297" fillId="0" borderId="106">
      <alignment horizontal="center" vertical="center"/>
    </xf>
    <xf numFmtId="176" fontId="297" fillId="0" borderId="106">
      <alignment horizontal="center" vertic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37" fillId="0" borderId="9">
      <alignment horizontal="center"/>
    </xf>
    <xf numFmtId="0" fontId="306" fillId="0" borderId="0" applyNumberFormat="0" applyFill="0" applyBorder="0" applyAlignment="0" applyProtection="0"/>
    <xf numFmtId="0" fontId="306" fillId="0" borderId="0" applyNumberFormat="0" applyFill="0" applyBorder="0" applyAlignment="0" applyProtection="0"/>
    <xf numFmtId="0" fontId="337" fillId="0" borderId="0"/>
    <xf numFmtId="9" fontId="337" fillId="0" borderId="0" applyFont="0" applyFill="0" applyBorder="0" applyAlignment="0" applyProtection="0"/>
    <xf numFmtId="0" fontId="3" fillId="0" borderId="0"/>
    <xf numFmtId="0" fontId="6" fillId="0" borderId="0"/>
    <xf numFmtId="204" fontId="6" fillId="0" borderId="0" applyFont="0" applyFill="0" applyBorder="0" applyAlignment="0" applyProtection="0"/>
    <xf numFmtId="0" fontId="103"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64" fillId="33" borderId="111" applyNumberFormat="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9" fontId="2"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9" fontId="2"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74" fillId="15" borderId="111" applyNumberFormat="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0" fontId="264" fillId="33" borderId="111" applyNumberFormat="0" applyAlignment="0" applyProtection="0"/>
    <xf numFmtId="0" fontId="6" fillId="34" borderId="110" applyNumberFormat="0" applyFont="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0" fontId="19" fillId="34" borderId="106" applyNumberFormat="0" applyBorder="0" applyAlignment="0" applyProtection="0"/>
    <xf numFmtId="9" fontId="2"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6" fillId="34" borderId="110" applyNumberFormat="0" applyFont="0" applyAlignment="0" applyProtection="0"/>
    <xf numFmtId="9" fontId="2" fillId="0" borderId="0" applyFont="0" applyFill="0" applyBorder="0" applyAlignment="0" applyProtection="0"/>
    <xf numFmtId="0" fontId="2" fillId="0" borderId="0"/>
    <xf numFmtId="164" fontId="6" fillId="0" borderId="0" applyFont="0" applyFill="0" applyBorder="0" applyAlignment="0" applyProtection="0"/>
    <xf numFmtId="0" fontId="6" fillId="34" borderId="110" applyNumberFormat="0" applyFont="0" applyAlignment="0" applyProtection="0"/>
    <xf numFmtId="9" fontId="2" fillId="0" borderId="0" applyFont="0" applyFill="0" applyBorder="0" applyAlignment="0" applyProtection="0"/>
    <xf numFmtId="164"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6" fillId="34" borderId="11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164" fontId="6" fillId="0" borderId="0" applyFont="0" applyFill="0" applyBorder="0" applyAlignment="0" applyProtection="0"/>
    <xf numFmtId="0" fontId="143" fillId="0" borderId="112" applyNumberFormat="0" applyFill="0" applyAlignment="0" applyProtection="0"/>
    <xf numFmtId="0" fontId="6" fillId="34" borderId="110" applyNumberFormat="0" applyFont="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0" fontId="47" fillId="0" borderId="106">
      <alignment wrapText="1"/>
    </xf>
    <xf numFmtId="0" fontId="2" fillId="0" borderId="0"/>
    <xf numFmtId="164" fontId="6" fillId="0" borderId="0" applyFont="0" applyFill="0" applyBorder="0" applyAlignment="0" applyProtection="0"/>
    <xf numFmtId="0" fontId="6" fillId="34" borderId="110" applyNumberFormat="0" applyFont="0" applyAlignment="0" applyProtection="0"/>
    <xf numFmtId="9" fontId="2"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64" fillId="33" borderId="111" applyNumberFormat="0" applyAlignment="0" applyProtection="0"/>
    <xf numFmtId="164" fontId="6" fillId="0" borderId="0" applyFont="0" applyFill="0" applyBorder="0" applyAlignment="0" applyProtection="0"/>
    <xf numFmtId="0" fontId="264" fillId="33" borderId="111" applyNumberFormat="0" applyAlignment="0" applyProtection="0"/>
    <xf numFmtId="164" fontId="6" fillId="0" borderId="0" applyFont="0" applyFill="0" applyBorder="0" applyAlignment="0" applyProtection="0"/>
    <xf numFmtId="0" fontId="2" fillId="0" borderId="0"/>
    <xf numFmtId="0" fontId="6" fillId="34" borderId="110" applyNumberFormat="0" applyFont="0" applyAlignment="0" applyProtection="0"/>
    <xf numFmtId="0" fontId="2" fillId="0" borderId="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74" fillId="15" borderId="111" applyNumberFormat="0" applyAlignment="0" applyProtection="0"/>
    <xf numFmtId="164" fontId="6" fillId="0" borderId="0" applyFont="0" applyFill="0" applyBorder="0" applyAlignment="0" applyProtection="0"/>
    <xf numFmtId="0" fontId="6" fillId="34" borderId="110" applyNumberFormat="0" applyFont="0" applyAlignment="0" applyProtection="0"/>
    <xf numFmtId="0" fontId="2" fillId="0" borderId="0"/>
    <xf numFmtId="164" fontId="6" fillId="0" borderId="0" applyFont="0" applyFill="0" applyBorder="0" applyAlignment="0" applyProtection="0"/>
    <xf numFmtId="0" fontId="47" fillId="0" borderId="106">
      <alignment wrapText="1"/>
    </xf>
    <xf numFmtId="0" fontId="274" fillId="15" borderId="111" applyNumberFormat="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0" fontId="6" fillId="34" borderId="110" applyNumberFormat="0" applyFon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5" fillId="0" borderId="108">
      <alignment horizontal="left" vertical="center"/>
    </xf>
    <xf numFmtId="164" fontId="6" fillId="0" borderId="0" applyFont="0" applyFill="0" applyBorder="0" applyAlignment="0" applyProtection="0"/>
    <xf numFmtId="0" fontId="5" fillId="0" borderId="108">
      <alignment horizontal="left" vertical="center"/>
    </xf>
    <xf numFmtId="164" fontId="6" fillId="0" borderId="0" applyFont="0" applyFill="0" applyBorder="0" applyAlignment="0" applyProtection="0"/>
    <xf numFmtId="164" fontId="6" fillId="0" borderId="0" applyFont="0" applyFill="0" applyBorder="0" applyAlignment="0" applyProtection="0"/>
    <xf numFmtId="0" fontId="274" fillId="15" borderId="111" applyNumberFormat="0" applyAlignment="0" applyProtection="0"/>
    <xf numFmtId="0" fontId="2" fillId="0" borderId="0"/>
    <xf numFmtId="164" fontId="6" fillId="0" borderId="0" applyFont="0" applyFill="0" applyBorder="0" applyAlignment="0" applyProtection="0"/>
    <xf numFmtId="0" fontId="47" fillId="0" borderId="106">
      <alignment wrapText="1"/>
    </xf>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87" fillId="33" borderId="113"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0" fontId="19" fillId="34" borderId="106" applyNumberFormat="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87" fillId="33" borderId="113" applyNumberFormat="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25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25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25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256" fillId="0" borderId="0" applyFont="0" applyFill="0" applyBorder="0" applyAlignment="0" applyProtection="0"/>
    <xf numFmtId="0" fontId="2" fillId="0" borderId="0"/>
    <xf numFmtId="164" fontId="6" fillId="0" borderId="0" applyFont="0" applyFill="0" applyBorder="0" applyAlignment="0" applyProtection="0"/>
    <xf numFmtId="164" fontId="25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5" fillId="0" borderId="108">
      <alignment horizontal="left" vertical="center"/>
    </xf>
    <xf numFmtId="10" fontId="19" fillId="34" borderId="106" applyNumberFormat="0" applyBorder="0" applyAlignment="0" applyProtection="0"/>
    <xf numFmtId="0" fontId="2" fillId="0" borderId="0"/>
    <xf numFmtId="0" fontId="2" fillId="0" borderId="0"/>
    <xf numFmtId="0" fontId="262" fillId="0" borderId="106">
      <alignment horizontal="center"/>
    </xf>
    <xf numFmtId="0" fontId="262" fillId="0" borderId="106">
      <alignment horizontal="center"/>
    </xf>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143" fillId="0" borderId="112" applyNumberFormat="0" applyFill="0" applyAlignment="0" applyProtection="0"/>
    <xf numFmtId="0" fontId="6" fillId="34" borderId="110" applyNumberFormat="0" applyFont="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272" fillId="0" borderId="106">
      <alignment horizontal="center" vertical="center" wrapText="1"/>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6" fillId="34" borderId="110" applyNumberFormat="0" applyFont="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7" fillId="33" borderId="113" applyNumberFormat="0" applyAlignment="0" applyProtection="0"/>
    <xf numFmtId="0" fontId="287" fillId="33" borderId="113" applyNumberFormat="0" applyAlignment="0" applyProtection="0"/>
    <xf numFmtId="0" fontId="262" fillId="0" borderId="106">
      <alignment horizont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6" fillId="34" borderId="110" applyNumberFormat="0" applyFont="0" applyAlignment="0" applyProtection="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9" fontId="2"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62" fillId="0" borderId="106">
      <alignment horizontal="center"/>
    </xf>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3" fillId="0" borderId="112" applyNumberFormat="0" applyFill="0" applyAlignment="0" applyProtection="0"/>
    <xf numFmtId="0" fontId="143" fillId="0" borderId="112" applyNumberFormat="0" applyFill="0" applyAlignment="0" applyProtection="0"/>
    <xf numFmtId="0" fontId="272" fillId="0" borderId="106">
      <alignment horizontal="center" vertical="center" wrapText="1"/>
    </xf>
    <xf numFmtId="0" fontId="272" fillId="0" borderId="106">
      <alignment horizontal="center" vertical="center" wrapText="1"/>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103" fillId="0" borderId="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62" fillId="0" borderId="106">
      <alignment horizontal="center"/>
    </xf>
    <xf numFmtId="0" fontId="262" fillId="0" borderId="106">
      <alignment horizontal="center"/>
    </xf>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4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256" fillId="40" borderId="0" applyNumberFormat="0" applyBorder="0" applyAlignment="0" applyProtection="0"/>
    <xf numFmtId="167" fontId="6" fillId="0" borderId="0" applyFont="0" applyFill="0" applyBorder="0" applyAlignment="0" applyProtection="0"/>
    <xf numFmtId="164" fontId="6" fillId="0" borderId="0" applyFont="0" applyFill="0" applyBorder="0" applyAlignment="0" applyProtection="0"/>
    <xf numFmtId="0" fontId="2" fillId="0" borderId="0"/>
    <xf numFmtId="9"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195" fillId="0" borderId="0" applyNumberFormat="0" applyFill="0" applyBorder="0" applyAlignment="0" applyProtection="0">
      <alignment vertical="top"/>
      <protection locked="0"/>
    </xf>
    <xf numFmtId="0" fontId="103" fillId="0" borderId="0"/>
    <xf numFmtId="0" fontId="6" fillId="0" borderId="0"/>
    <xf numFmtId="164" fontId="6" fillId="0" borderId="0" applyFont="0" applyFill="0" applyBorder="0" applyAlignment="0" applyProtection="0"/>
    <xf numFmtId="0" fontId="256" fillId="38" borderId="0" applyNumberFormat="0" applyBorder="0" applyAlignment="0" applyProtection="0"/>
    <xf numFmtId="9" fontId="2"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256" fillId="0" borderId="0"/>
    <xf numFmtId="0" fontId="6" fillId="0" borderId="0"/>
    <xf numFmtId="0" fontId="6" fillId="0" borderId="9">
      <alignment horizontal="center"/>
    </xf>
    <xf numFmtId="9" fontId="2" fillId="0" borderId="0" applyFont="0" applyFill="0" applyBorder="0" applyAlignment="0" applyProtection="0"/>
    <xf numFmtId="0" fontId="6" fillId="0" borderId="0"/>
    <xf numFmtId="0" fontId="6" fillId="0" borderId="0"/>
    <xf numFmtId="2"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255" fillId="21" borderId="0" applyNumberFormat="0" applyBorder="0" applyAlignment="0" applyProtection="0"/>
    <xf numFmtId="0" fontId="257" fillId="18" borderId="0" applyNumberFormat="0" applyBorder="0" applyAlignment="0" applyProtection="0"/>
    <xf numFmtId="164" fontId="6" fillId="0" borderId="0" applyFont="0" applyFill="0" applyBorder="0" applyAlignment="0" applyProtection="0"/>
    <xf numFmtId="0" fontId="6" fillId="0" borderId="0"/>
    <xf numFmtId="0" fontId="2" fillId="0" borderId="0"/>
    <xf numFmtId="0" fontId="6" fillId="0" borderId="0"/>
    <xf numFmtId="0" fontId="264" fillId="33" borderId="111" applyNumberFormat="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0" fontId="263" fillId="0" borderId="0" applyFill="0" applyBorder="0" applyAlignment="0"/>
    <xf numFmtId="0" fontId="6" fillId="0" borderId="0"/>
    <xf numFmtId="0" fontId="6" fillId="0" borderId="0"/>
    <xf numFmtId="0" fontId="6" fillId="0" borderId="0"/>
    <xf numFmtId="0" fontId="2" fillId="0" borderId="0"/>
    <xf numFmtId="0" fontId="6" fillId="0" borderId="0"/>
    <xf numFmtId="2"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6" fillId="0" borderId="0"/>
    <xf numFmtId="0" fontId="6" fillId="0" borderId="0"/>
    <xf numFmtId="2" fontId="6" fillId="0" borderId="0" applyFont="0" applyFill="0" applyBorder="0" applyAlignment="0" applyProtection="0"/>
    <xf numFmtId="164" fontId="6" fillId="0" borderId="0" applyFont="0" applyFill="0" applyBorder="0" applyAlignment="0" applyProtection="0"/>
    <xf numFmtId="0" fontId="2" fillId="0" borderId="0"/>
    <xf numFmtId="0" fontId="256" fillId="36" borderId="0" applyNumberFormat="0" applyBorder="0" applyAlignment="0" applyProtection="0"/>
    <xf numFmtId="0" fontId="6" fillId="0" borderId="0"/>
    <xf numFmtId="0" fontId="2" fillId="0" borderId="0"/>
    <xf numFmtId="0" fontId="256" fillId="36" borderId="0" applyNumberFormat="0" applyBorder="0" applyAlignment="0" applyProtection="0"/>
    <xf numFmtId="2" fontId="6" fillId="0" borderId="0" applyFont="0" applyFill="0" applyBorder="0" applyAlignment="0" applyProtection="0"/>
    <xf numFmtId="164" fontId="6" fillId="0" borderId="0" applyFont="0" applyFill="0" applyBorder="0" applyAlignment="0" applyProtection="0"/>
    <xf numFmtId="0" fontId="2" fillId="0" borderId="0"/>
    <xf numFmtId="0" fontId="255"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0" fontId="256" fillId="42" borderId="0" applyNumberFormat="0" applyBorder="0" applyAlignment="0" applyProtection="0"/>
    <xf numFmtId="0" fontId="103" fillId="0" borderId="0"/>
    <xf numFmtId="0" fontId="2" fillId="0" borderId="0"/>
    <xf numFmtId="0" fontId="270" fillId="0" borderId="101" applyNumberFormat="0" applyFill="0" applyAlignment="0" applyProtection="0"/>
    <xf numFmtId="0" fontId="6" fillId="0" borderId="0"/>
    <xf numFmtId="164" fontId="6" fillId="0" borderId="0" applyFont="0" applyFill="0" applyBorder="0" applyAlignment="0" applyProtection="0"/>
    <xf numFmtId="0" fontId="256" fillId="0" borderId="0"/>
    <xf numFmtId="0" fontId="265" fillId="46" borderId="100" applyNumberFormat="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103" fillId="0" borderId="0"/>
    <xf numFmtId="0" fontId="255" fillId="49" borderId="0" applyNumberFormat="0" applyBorder="0" applyAlignment="0" applyProtection="0"/>
    <xf numFmtId="1" fontId="6" fillId="0" borderId="0"/>
    <xf numFmtId="0" fontId="255" fillId="21" borderId="0" applyNumberFormat="0" applyBorder="0" applyAlignment="0" applyProtection="0"/>
    <xf numFmtId="0" fontId="6" fillId="0" borderId="0"/>
    <xf numFmtId="164" fontId="6" fillId="0" borderId="0" applyFont="0" applyFill="0" applyBorder="0" applyAlignment="0" applyProtection="0"/>
    <xf numFmtId="0" fontId="256" fillId="15" borderId="0" applyNumberFormat="0" applyBorder="0" applyAlignment="0" applyProtection="0"/>
    <xf numFmtId="0" fontId="6" fillId="0" borderId="0"/>
    <xf numFmtId="182" fontId="6" fillId="0" borderId="0" applyFont="0" applyFill="0" applyBorder="0" applyAlignment="0" applyProtection="0"/>
    <xf numFmtId="0" fontId="2" fillId="0" borderId="0"/>
    <xf numFmtId="44" fontId="6" fillId="0" borderId="0" applyFont="0" applyFill="0" applyBorder="0" applyAlignment="0" applyProtection="0"/>
    <xf numFmtId="9" fontId="6" fillId="0" borderId="0" applyFont="0" applyFill="0" applyBorder="0" applyAlignment="0" applyProtection="0"/>
    <xf numFmtId="0" fontId="103" fillId="0" borderId="0"/>
    <xf numFmtId="0" fontId="2" fillId="0" borderId="0"/>
    <xf numFmtId="164" fontId="6" fillId="0" borderId="0" applyFont="0" applyFill="0" applyBorder="0" applyAlignment="0" applyProtection="0"/>
    <xf numFmtId="0" fontId="6" fillId="0" borderId="0"/>
    <xf numFmtId="9" fontId="2" fillId="0" borderId="0" applyFont="0" applyFill="0" applyBorder="0" applyAlignment="0" applyProtection="0"/>
    <xf numFmtId="0" fontId="6" fillId="0" borderId="0"/>
    <xf numFmtId="164" fontId="6" fillId="0" borderId="0" applyFont="0" applyFill="0" applyBorder="0" applyAlignment="0" applyProtection="0"/>
    <xf numFmtId="0" fontId="255" fillId="45" borderId="0" applyNumberFormat="0" applyBorder="0" applyAlignment="0" applyProtection="0"/>
    <xf numFmtId="0" fontId="6" fillId="0" borderId="0"/>
    <xf numFmtId="0" fontId="6" fillId="0" borderId="0"/>
    <xf numFmtId="0" fontId="103" fillId="0" borderId="0"/>
    <xf numFmtId="164" fontId="6" fillId="0" borderId="0" applyFont="0" applyFill="0" applyBorder="0" applyAlignment="0" applyProtection="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5" fillId="0" borderId="14" applyNumberFormat="0" applyAlignment="0" applyProtection="0">
      <alignment horizontal="left" vertical="center"/>
    </xf>
    <xf numFmtId="0" fontId="6" fillId="0" borderId="0"/>
    <xf numFmtId="0" fontId="2" fillId="0" borderId="0"/>
    <xf numFmtId="164" fontId="6" fillId="0" borderId="0" applyFont="0" applyFill="0" applyBorder="0" applyAlignment="0" applyProtection="0"/>
    <xf numFmtId="0" fontId="103" fillId="0" borderId="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5" fillId="0" borderId="14" applyNumberFormat="0" applyAlignment="0" applyProtection="0">
      <alignment horizontal="left" vertical="center"/>
    </xf>
    <xf numFmtId="0" fontId="6" fillId="0" borderId="0"/>
    <xf numFmtId="0" fontId="2" fillId="0" borderId="0"/>
    <xf numFmtId="164" fontId="6" fillId="0" borderId="0" applyFont="0" applyFill="0" applyBorder="0" applyAlignment="0" applyProtection="0"/>
    <xf numFmtId="0" fontId="2" fillId="0" borderId="0"/>
    <xf numFmtId="0" fontId="2" fillId="0" borderId="0"/>
    <xf numFmtId="0" fontId="6"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103" fillId="0" borderId="0"/>
    <xf numFmtId="0" fontId="2" fillId="0" borderId="0"/>
    <xf numFmtId="0" fontId="255" fillId="45" borderId="0" applyNumberFormat="0" applyBorder="0" applyAlignment="0" applyProtection="0"/>
    <xf numFmtId="0" fontId="6" fillId="0" borderId="0"/>
    <xf numFmtId="0" fontId="6" fillId="0" borderId="0"/>
    <xf numFmtId="0" fontId="103" fillId="0" borderId="0"/>
    <xf numFmtId="0" fontId="6" fillId="0" borderId="0"/>
    <xf numFmtId="164" fontId="6" fillId="0" borderId="0" applyFont="0" applyFill="0" applyBorder="0" applyAlignment="0" applyProtection="0"/>
    <xf numFmtId="0" fontId="6" fillId="0" borderId="0"/>
    <xf numFmtId="0" fontId="2"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 fillId="0" borderId="0"/>
    <xf numFmtId="0" fontId="2" fillId="0" borderId="0"/>
    <xf numFmtId="164" fontId="6" fillId="0" borderId="0" applyFont="0" applyFill="0" applyBorder="0" applyAlignment="0" applyProtection="0"/>
    <xf numFmtId="0" fontId="6" fillId="0" borderId="0"/>
    <xf numFmtId="0" fontId="6" fillId="0" borderId="0"/>
    <xf numFmtId="0" fontId="6" fillId="0" borderId="0"/>
    <xf numFmtId="0" fontId="255" fillId="39" borderId="0" applyNumberFormat="0" applyBorder="0" applyAlignment="0" applyProtection="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9" fontId="256" fillId="0" borderId="0" applyFont="0" applyFill="0" applyBorder="0" applyAlignment="0" applyProtection="0"/>
    <xf numFmtId="0" fontId="255" fillId="44" borderId="0" applyNumberFormat="0" applyBorder="0" applyAlignment="0" applyProtection="0"/>
    <xf numFmtId="0" fontId="261" fillId="0" borderId="98" applyNumberFormat="0" applyFill="0" applyAlignment="0" applyProtection="0"/>
    <xf numFmtId="0" fontId="6" fillId="0" borderId="0"/>
    <xf numFmtId="0" fontId="256" fillId="36" borderId="0" applyNumberFormat="0" applyBorder="0" applyAlignment="0" applyProtection="0"/>
    <xf numFmtId="0" fontId="256" fillId="16" borderId="0" applyNumberFormat="0" applyBorder="0" applyAlignment="0" applyProtection="0"/>
    <xf numFmtId="0" fontId="256" fillId="43" borderId="0" applyNumberFormat="0" applyBorder="0" applyAlignment="0" applyProtection="0"/>
    <xf numFmtId="0" fontId="6" fillId="0" borderId="0"/>
    <xf numFmtId="0" fontId="268" fillId="0" borderId="0">
      <alignment vertical="top"/>
    </xf>
    <xf numFmtId="0" fontId="261" fillId="0" borderId="98" applyNumberFormat="0" applyFill="0" applyAlignment="0" applyProtection="0"/>
    <xf numFmtId="0" fontId="6" fillId="0" borderId="0"/>
    <xf numFmtId="0" fontId="256" fillId="36" borderId="0" applyNumberFormat="0" applyBorder="0" applyAlignment="0" applyProtection="0"/>
    <xf numFmtId="164" fontId="6" fillId="0" borderId="0" applyFont="0" applyFill="0" applyBorder="0" applyAlignment="0" applyProtection="0"/>
    <xf numFmtId="1" fontId="6" fillId="0" borderId="0"/>
    <xf numFmtId="164" fontId="6" fillId="0" borderId="0" applyFont="0" applyFill="0" applyBorder="0" applyAlignment="0" applyProtection="0"/>
    <xf numFmtId="0" fontId="2" fillId="0" borderId="0"/>
    <xf numFmtId="0" fontId="256" fillId="18" borderId="0" applyNumberFormat="0" applyBorder="0" applyAlignment="0" applyProtection="0"/>
    <xf numFmtId="0" fontId="6" fillId="0" borderId="0"/>
    <xf numFmtId="0" fontId="2" fillId="0" borderId="0"/>
    <xf numFmtId="176" fontId="103"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256" fillId="0" borderId="0"/>
    <xf numFmtId="0" fontId="256" fillId="16" borderId="0" applyNumberFormat="0" applyBorder="0" applyAlignment="0" applyProtection="0"/>
    <xf numFmtId="0" fontId="274" fillId="15" borderId="111" applyNumberFormat="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0" fontId="256" fillId="16" borderId="0" applyNumberFormat="0" applyBorder="0" applyAlignment="0" applyProtection="0"/>
    <xf numFmtId="0" fontId="256" fillId="42" borderId="0" applyNumberFormat="0" applyBorder="0" applyAlignment="0" applyProtection="0"/>
    <xf numFmtId="0" fontId="6" fillId="0" borderId="0"/>
    <xf numFmtId="0" fontId="2" fillId="0" borderId="0"/>
    <xf numFmtId="0" fontId="256" fillId="16" borderId="0" applyNumberFormat="0" applyBorder="0" applyAlignment="0" applyProtection="0"/>
    <xf numFmtId="0" fontId="256" fillId="42" borderId="0" applyNumberFormat="0" applyBorder="0" applyAlignment="0" applyProtection="0"/>
    <xf numFmtId="164" fontId="6" fillId="0" borderId="0" applyFont="0" applyFill="0" applyBorder="0" applyAlignment="0" applyProtection="0"/>
    <xf numFmtId="0" fontId="2" fillId="0" borderId="0"/>
    <xf numFmtId="1" fontId="6" fillId="0" borderId="0"/>
    <xf numFmtId="0" fontId="6" fillId="0" borderId="0"/>
    <xf numFmtId="164" fontId="6" fillId="0" borderId="0" applyFont="0" applyFill="0" applyBorder="0" applyAlignment="0" applyProtection="0"/>
    <xf numFmtId="0" fontId="256" fillId="18" borderId="0" applyNumberFormat="0" applyBorder="0" applyAlignment="0" applyProtection="0"/>
    <xf numFmtId="0" fontId="6" fillId="0" borderId="0"/>
    <xf numFmtId="1" fontId="6" fillId="0" borderId="0"/>
    <xf numFmtId="0" fontId="256" fillId="18" borderId="0" applyNumberFormat="0" applyBorder="0" applyAlignment="0" applyProtection="0"/>
    <xf numFmtId="1" fontId="6" fillId="0" borderId="0"/>
    <xf numFmtId="0" fontId="256" fillId="18" borderId="0" applyNumberFormat="0" applyBorder="0" applyAlignment="0" applyProtection="0"/>
    <xf numFmtId="0" fontId="256" fillId="19" borderId="0" applyNumberFormat="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256" fillId="19" borderId="0" applyNumberFormat="0" applyBorder="0" applyAlignment="0" applyProtection="0"/>
    <xf numFmtId="0" fontId="2" fillId="0" borderId="0"/>
    <xf numFmtId="0" fontId="256" fillId="19" borderId="0" applyNumberFormat="0" applyBorder="0" applyAlignment="0" applyProtection="0"/>
    <xf numFmtId="0" fontId="2" fillId="0" borderId="0"/>
    <xf numFmtId="0" fontId="6" fillId="0" borderId="0"/>
    <xf numFmtId="0" fontId="6" fillId="0" borderId="0"/>
    <xf numFmtId="0" fontId="6" fillId="0" borderId="0"/>
    <xf numFmtId="164" fontId="6" fillId="0" borderId="0" applyFont="0" applyFill="0" applyBorder="0" applyAlignment="0" applyProtection="0"/>
    <xf numFmtId="0" fontId="2" fillId="0" borderId="0"/>
    <xf numFmtId="0" fontId="256" fillId="19" borderId="0" applyNumberFormat="0" applyBorder="0" applyAlignment="0" applyProtection="0"/>
    <xf numFmtId="0" fontId="2" fillId="0" borderId="0"/>
    <xf numFmtId="0" fontId="6" fillId="0" borderId="0"/>
    <xf numFmtId="0" fontId="6" fillId="0" borderId="0"/>
    <xf numFmtId="164" fontId="6" fillId="0" borderId="0" applyFont="0" applyFill="0" applyBorder="0" applyAlignment="0" applyProtection="0"/>
    <xf numFmtId="0" fontId="256" fillId="20" borderId="0" applyNumberFormat="0" applyBorder="0" applyAlignment="0" applyProtection="0"/>
    <xf numFmtId="0" fontId="6" fillId="0" borderId="0"/>
    <xf numFmtId="0" fontId="256" fillId="20" borderId="0" applyNumberFormat="0" applyBorder="0" applyAlignment="0" applyProtection="0"/>
    <xf numFmtId="0" fontId="6" fillId="0" borderId="0"/>
    <xf numFmtId="0" fontId="6" fillId="0" borderId="0"/>
    <xf numFmtId="164" fontId="6" fillId="0" borderId="0" applyFont="0" applyFill="0" applyBorder="0" applyAlignment="0" applyProtection="0"/>
    <xf numFmtId="0" fontId="256" fillId="20" borderId="0" applyNumberFormat="0" applyBorder="0" applyAlignment="0" applyProtection="0"/>
    <xf numFmtId="0" fontId="6" fillId="0" borderId="0"/>
    <xf numFmtId="0" fontId="6" fillId="0" borderId="0"/>
    <xf numFmtId="164" fontId="2"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56" fillId="20" borderId="0" applyNumberFormat="0" applyBorder="0" applyAlignment="0" applyProtection="0"/>
    <xf numFmtId="0" fontId="6" fillId="0" borderId="0"/>
    <xf numFmtId="44" fontId="6" fillId="0" borderId="0" applyFont="0" applyFill="0" applyBorder="0" applyAlignment="0" applyProtection="0"/>
    <xf numFmtId="9" fontId="6" fillId="0" borderId="0" applyFont="0" applyFill="0" applyBorder="0" applyAlignment="0" applyProtection="0"/>
    <xf numFmtId="0" fontId="103" fillId="0" borderId="0"/>
    <xf numFmtId="0" fontId="2" fillId="0" borderId="0"/>
    <xf numFmtId="164" fontId="6" fillId="0" borderId="0" applyFont="0" applyFill="0" applyBorder="0" applyAlignment="0" applyProtection="0"/>
    <xf numFmtId="0" fontId="6" fillId="0" borderId="0"/>
    <xf numFmtId="0" fontId="6" fillId="0" borderId="0"/>
    <xf numFmtId="0" fontId="6" fillId="0" borderId="0"/>
    <xf numFmtId="164" fontId="6" fillId="0" borderId="0" applyFont="0" applyFill="0" applyBorder="0" applyAlignment="0" applyProtection="0"/>
    <xf numFmtId="0" fontId="256" fillId="15" borderId="0" applyNumberFormat="0" applyBorder="0" applyAlignment="0" applyProtection="0"/>
    <xf numFmtId="164" fontId="6" fillId="0" borderId="0" applyFont="0" applyFill="0" applyBorder="0" applyAlignment="0" applyProtection="0"/>
    <xf numFmtId="0" fontId="6" fillId="0" borderId="0"/>
    <xf numFmtId="0" fontId="6" fillId="34" borderId="110" applyNumberFormat="0" applyFont="0" applyAlignment="0" applyProtection="0"/>
    <xf numFmtId="0" fontId="6" fillId="0" borderId="0"/>
    <xf numFmtId="0" fontId="6" fillId="0" borderId="0"/>
    <xf numFmtId="0" fontId="256" fillId="15" borderId="0" applyNumberFormat="0" applyBorder="0" applyAlignment="0" applyProtection="0"/>
    <xf numFmtId="0" fontId="6" fillId="0" borderId="0"/>
    <xf numFmtId="164" fontId="6" fillId="0" borderId="0" applyFont="0" applyFill="0" applyBorder="0" applyAlignment="0" applyProtection="0"/>
    <xf numFmtId="0" fontId="6" fillId="34" borderId="110" applyNumberFormat="0" applyFont="0" applyAlignment="0" applyProtection="0"/>
    <xf numFmtId="0" fontId="6" fillId="0" borderId="0"/>
    <xf numFmtId="0" fontId="6" fillId="0" borderId="0"/>
    <xf numFmtId="37" fontId="269" fillId="0" borderId="0"/>
    <xf numFmtId="0" fontId="256" fillId="15" borderId="0" applyNumberFormat="0" applyBorder="0" applyAlignment="0" applyProtection="0"/>
    <xf numFmtId="0" fontId="264" fillId="33" borderId="111" applyNumberFormat="0" applyAlignment="0" applyProtection="0"/>
    <xf numFmtId="0" fontId="6" fillId="0" borderId="0"/>
    <xf numFmtId="164" fontId="6" fillId="0" borderId="0" applyFont="0" applyFill="0" applyBorder="0" applyAlignment="0" applyProtection="0"/>
    <xf numFmtId="0" fontId="256" fillId="12" borderId="0" applyNumberFormat="0" applyBorder="0" applyAlignment="0" applyProtection="0"/>
    <xf numFmtId="0" fontId="2" fillId="0" borderId="0"/>
    <xf numFmtId="0" fontId="256" fillId="12" borderId="0" applyNumberFormat="0" applyBorder="0" applyAlignment="0" applyProtection="0"/>
    <xf numFmtId="0" fontId="6" fillId="0" borderId="0"/>
    <xf numFmtId="0" fontId="256" fillId="12" borderId="0" applyNumberFormat="0" applyBorder="0" applyAlignment="0" applyProtection="0"/>
    <xf numFmtId="164" fontId="6" fillId="0" borderId="0" applyFont="0" applyFill="0" applyBorder="0" applyAlignment="0" applyProtection="0"/>
    <xf numFmtId="0" fontId="256" fillId="12" borderId="0" applyNumberFormat="0" applyBorder="0" applyAlignment="0" applyProtection="0"/>
    <xf numFmtId="0" fontId="256" fillId="17" borderId="0" applyNumberFormat="0" applyBorder="0" applyAlignment="0" applyProtection="0"/>
    <xf numFmtId="0" fontId="256" fillId="17" borderId="0" applyNumberFormat="0" applyBorder="0" applyAlignment="0" applyProtection="0"/>
    <xf numFmtId="0" fontId="6" fillId="0" borderId="0"/>
    <xf numFmtId="0" fontId="6" fillId="0" borderId="0"/>
    <xf numFmtId="0" fontId="103" fillId="0" borderId="0"/>
    <xf numFmtId="0" fontId="6" fillId="0" borderId="0"/>
    <xf numFmtId="0" fontId="256" fillId="17" borderId="0" applyNumberFormat="0" applyBorder="0" applyAlignment="0" applyProtection="0"/>
    <xf numFmtId="0" fontId="6" fillId="0" borderId="0"/>
    <xf numFmtId="0" fontId="103" fillId="0" borderId="0"/>
    <xf numFmtId="0" fontId="6" fillId="0" borderId="0"/>
    <xf numFmtId="164" fontId="6" fillId="0" borderId="0" applyFont="0" applyFill="0" applyBorder="0" applyAlignment="0" applyProtection="0"/>
    <xf numFmtId="0" fontId="256" fillId="17" borderId="0" applyNumberFormat="0" applyBorder="0" applyAlignment="0" applyProtection="0"/>
    <xf numFmtId="0" fontId="256" fillId="21" borderId="0" applyNumberFormat="0" applyBorder="0" applyAlignment="0" applyProtection="0"/>
    <xf numFmtId="0" fontId="6" fillId="0" borderId="0"/>
    <xf numFmtId="0" fontId="256" fillId="21" borderId="0" applyNumberFormat="0" applyBorder="0" applyAlignment="0" applyProtection="0"/>
    <xf numFmtId="0" fontId="255" fillId="51" borderId="0" applyNumberFormat="0" applyBorder="0" applyAlignment="0" applyProtection="0"/>
    <xf numFmtId="0" fontId="6" fillId="0" borderId="0"/>
    <xf numFmtId="0" fontId="6" fillId="0" borderId="0"/>
    <xf numFmtId="0" fontId="6" fillId="0" borderId="0"/>
    <xf numFmtId="0" fontId="256" fillId="21" borderId="0" applyNumberFormat="0" applyBorder="0" applyAlignment="0" applyProtection="0"/>
    <xf numFmtId="0" fontId="6" fillId="0" borderId="0"/>
    <xf numFmtId="0" fontId="6" fillId="0" borderId="0"/>
    <xf numFmtId="0" fontId="6" fillId="0" borderId="0"/>
    <xf numFmtId="0" fontId="6" fillId="0" borderId="0"/>
    <xf numFmtId="1" fontId="6" fillId="0" borderId="0"/>
    <xf numFmtId="0" fontId="256" fillId="19" borderId="0" applyNumberFormat="0" applyBorder="0" applyAlignment="0" applyProtection="0"/>
    <xf numFmtId="0" fontId="256" fillId="21" borderId="0" applyNumberFormat="0" applyBorder="0" applyAlignment="0" applyProtection="0"/>
    <xf numFmtId="0" fontId="2" fillId="0" borderId="0"/>
    <xf numFmtId="0" fontId="6" fillId="0" borderId="0"/>
    <xf numFmtId="1" fontId="6" fillId="0" borderId="0"/>
    <xf numFmtId="0" fontId="256" fillId="19" borderId="0" applyNumberFormat="0" applyBorder="0" applyAlignment="0" applyProtection="0"/>
    <xf numFmtId="1" fontId="6" fillId="0" borderId="0"/>
    <xf numFmtId="0" fontId="256" fillId="19" borderId="0" applyNumberFormat="0" applyBorder="0" applyAlignment="0" applyProtection="0"/>
    <xf numFmtId="0" fontId="6" fillId="0" borderId="0"/>
    <xf numFmtId="1" fontId="6" fillId="0" borderId="0"/>
    <xf numFmtId="0" fontId="256" fillId="19" borderId="0" applyNumberFormat="0" applyBorder="0" applyAlignment="0" applyProtection="0"/>
    <xf numFmtId="0" fontId="6" fillId="0" borderId="0"/>
    <xf numFmtId="0" fontId="256" fillId="12" borderId="0" applyNumberFormat="0" applyBorder="0" applyAlignment="0" applyProtection="0"/>
    <xf numFmtId="0" fontId="6" fillId="0" borderId="0"/>
    <xf numFmtId="40" fontId="107" fillId="0" borderId="0"/>
    <xf numFmtId="0" fontId="256" fillId="12" borderId="0" applyNumberFormat="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0" fontId="19" fillId="34" borderId="106" applyNumberFormat="0" applyBorder="0" applyAlignment="0" applyProtection="0"/>
    <xf numFmtId="44" fontId="6" fillId="0" borderId="0" applyFont="0" applyFill="0" applyBorder="0" applyAlignment="0" applyProtection="0"/>
    <xf numFmtId="0" fontId="256" fillId="12" borderId="0" applyNumberFormat="0" applyBorder="0" applyAlignment="0" applyProtection="0"/>
    <xf numFmtId="0" fontId="6" fillId="0" borderId="0"/>
    <xf numFmtId="0" fontId="2" fillId="0" borderId="0"/>
    <xf numFmtId="0" fontId="6" fillId="0" borderId="0"/>
    <xf numFmtId="164" fontId="6" fillId="0" borderId="0" applyFont="0" applyFill="0" applyBorder="0" applyAlignment="0" applyProtection="0"/>
    <xf numFmtId="0" fontId="103" fillId="0" borderId="0"/>
    <xf numFmtId="0" fontId="103" fillId="0" borderId="0"/>
    <xf numFmtId="0" fontId="6" fillId="0" borderId="0"/>
    <xf numFmtId="0" fontId="255" fillId="52" borderId="0" applyNumberFormat="0" applyBorder="0" applyAlignment="0" applyProtection="0"/>
    <xf numFmtId="0" fontId="256" fillId="12" borderId="0" applyNumberFormat="0" applyBorder="0" applyAlignment="0" applyProtection="0"/>
    <xf numFmtId="9" fontId="2" fillId="0" borderId="0" applyFont="0" applyFill="0" applyBorder="0" applyAlignment="0" applyProtection="0"/>
    <xf numFmtId="0" fontId="256" fillId="14" borderId="0" applyNumberFormat="0" applyBorder="0" applyAlignment="0" applyProtection="0"/>
    <xf numFmtId="0" fontId="2" fillId="0" borderId="0"/>
    <xf numFmtId="0" fontId="255" fillId="37" borderId="0" applyNumberFormat="0" applyBorder="0" applyAlignment="0" applyProtection="0"/>
    <xf numFmtId="0" fontId="2" fillId="0" borderId="0"/>
    <xf numFmtId="9" fontId="2" fillId="0" borderId="0" applyFont="0" applyFill="0" applyBorder="0" applyAlignment="0" applyProtection="0"/>
    <xf numFmtId="0" fontId="256" fillId="14" borderId="0" applyNumberFormat="0" applyBorder="0" applyAlignment="0" applyProtection="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0" borderId="0"/>
    <xf numFmtId="164" fontId="6" fillId="0" borderId="0" applyFont="0" applyFill="0" applyBorder="0" applyAlignment="0" applyProtection="0"/>
    <xf numFmtId="9" fontId="2" fillId="0" borderId="0" applyFont="0" applyFill="0" applyBorder="0" applyAlignment="0" applyProtection="0"/>
    <xf numFmtId="0" fontId="256" fillId="14" borderId="0" applyNumberFormat="0" applyBorder="0" applyAlignment="0" applyProtection="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2" fillId="0" borderId="0"/>
    <xf numFmtId="0" fontId="6" fillId="0" borderId="0"/>
    <xf numFmtId="0" fontId="6" fillId="0" borderId="0"/>
    <xf numFmtId="164" fontId="6" fillId="0" borderId="0" applyFont="0" applyFill="0" applyBorder="0" applyAlignment="0" applyProtection="0"/>
    <xf numFmtId="1" fontId="6" fillId="0" borderId="0"/>
    <xf numFmtId="164" fontId="6" fillId="0" borderId="0" applyFont="0" applyFill="0" applyBorder="0" applyAlignment="0" applyProtection="0"/>
    <xf numFmtId="0" fontId="255" fillId="39" borderId="0" applyNumberFormat="0" applyBorder="0" applyAlignment="0" applyProtection="0"/>
    <xf numFmtId="9" fontId="2" fillId="0" borderId="0" applyFont="0" applyFill="0" applyBorder="0" applyAlignment="0" applyProtection="0"/>
    <xf numFmtId="0" fontId="6" fillId="0" borderId="0"/>
    <xf numFmtId="9" fontId="2" fillId="0" borderId="0" applyFont="0" applyFill="0" applyBorder="0" applyAlignment="0" applyProtection="0"/>
    <xf numFmtId="0" fontId="256" fillId="14" borderId="0" applyNumberFormat="0" applyBorder="0" applyAlignment="0" applyProtection="0"/>
    <xf numFmtId="0" fontId="256" fillId="42" borderId="0" applyNumberFormat="0" applyBorder="0" applyAlignment="0" applyProtection="0"/>
    <xf numFmtId="0" fontId="2" fillId="0" borderId="0"/>
    <xf numFmtId="1" fontId="6" fillId="0" borderId="0"/>
    <xf numFmtId="0" fontId="255" fillId="37" borderId="0" applyNumberFormat="0" applyBorder="0" applyAlignment="0" applyProtection="0"/>
    <xf numFmtId="9" fontId="2" fillId="0" borderId="0" applyFont="0" applyFill="0" applyBorder="0" applyAlignment="0" applyProtection="0"/>
    <xf numFmtId="184" fontId="103" fillId="0" borderId="0" applyFont="0" applyFill="0" applyBorder="0" applyAlignment="0" applyProtection="0"/>
    <xf numFmtId="0" fontId="2" fillId="0" borderId="0"/>
    <xf numFmtId="0" fontId="255" fillId="37" borderId="0" applyNumberFormat="0" applyBorder="0" applyAlignment="0" applyProtection="0"/>
    <xf numFmtId="0" fontId="2" fillId="0" borderId="0"/>
    <xf numFmtId="0" fontId="2" fillId="0" borderId="0"/>
    <xf numFmtId="1" fontId="6" fillId="0" borderId="0"/>
    <xf numFmtId="0" fontId="255" fillId="37" borderId="0" applyNumberFormat="0" applyBorder="0" applyAlignment="0" applyProtection="0"/>
    <xf numFmtId="9" fontId="2" fillId="0" borderId="0" applyFont="0" applyFill="0" applyBorder="0" applyAlignment="0" applyProtection="0"/>
    <xf numFmtId="0" fontId="6" fillId="0" borderId="0"/>
    <xf numFmtId="0" fontId="255" fillId="53" borderId="0" applyNumberFormat="0" applyBorder="0" applyAlignment="0" applyProtection="0"/>
    <xf numFmtId="184" fontId="103" fillId="0" borderId="0" applyFont="0" applyFill="0" applyBorder="0" applyAlignment="0" applyProtection="0"/>
    <xf numFmtId="1" fontId="6" fillId="0" borderId="0"/>
    <xf numFmtId="0" fontId="255" fillId="17" borderId="0" applyNumberFormat="0" applyBorder="0" applyAlignment="0" applyProtection="0"/>
    <xf numFmtId="0" fontId="255" fillId="17" borderId="0" applyNumberFormat="0" applyBorder="0" applyAlignment="0" applyProtection="0"/>
    <xf numFmtId="0" fontId="6" fillId="0" borderId="0"/>
    <xf numFmtId="0" fontId="255" fillId="17" borderId="0" applyNumberFormat="0" applyBorder="0" applyAlignment="0" applyProtection="0"/>
    <xf numFmtId="0" fontId="6" fillId="0" borderId="0"/>
    <xf numFmtId="1" fontId="6" fillId="0" borderId="0"/>
    <xf numFmtId="0" fontId="255" fillId="17" borderId="0" applyNumberFormat="0" applyBorder="0" applyAlignment="0" applyProtection="0"/>
    <xf numFmtId="9" fontId="2" fillId="0" borderId="0" applyFont="0" applyFill="0" applyBorder="0" applyAlignment="0" applyProtection="0"/>
    <xf numFmtId="0" fontId="6" fillId="0" borderId="0"/>
    <xf numFmtId="0" fontId="103" fillId="0" borderId="0"/>
    <xf numFmtId="0" fontId="6" fillId="0" borderId="0"/>
    <xf numFmtId="0" fontId="255" fillId="21" borderId="0" applyNumberFormat="0" applyBorder="0" applyAlignment="0" applyProtection="0"/>
    <xf numFmtId="0" fontId="257" fillId="18" borderId="0" applyNumberFormat="0" applyBorder="0" applyAlignment="0" applyProtection="0"/>
    <xf numFmtId="1" fontId="6" fillId="0" borderId="0"/>
    <xf numFmtId="0" fontId="255" fillId="21" borderId="0" applyNumberFormat="0" applyBorder="0" applyAlignment="0" applyProtection="0"/>
    <xf numFmtId="1" fontId="6" fillId="0" borderId="0"/>
    <xf numFmtId="164" fontId="6" fillId="0" borderId="0" applyFont="0" applyFill="0" applyBorder="0" applyAlignment="0" applyProtection="0"/>
    <xf numFmtId="0" fontId="255" fillId="39" borderId="0" applyNumberFormat="0" applyBorder="0" applyAlignment="0" applyProtection="0"/>
    <xf numFmtId="0" fontId="255" fillId="39" borderId="0" applyNumberFormat="0" applyBorder="0" applyAlignment="0" applyProtection="0"/>
    <xf numFmtId="176" fontId="103" fillId="0" borderId="0" applyFont="0" applyFill="0" applyBorder="0" applyAlignment="0" applyProtection="0"/>
    <xf numFmtId="176" fontId="103" fillId="0" borderId="0" applyFont="0" applyFill="0" applyBorder="0" applyAlignment="0" applyProtection="0"/>
    <xf numFmtId="1" fontId="6" fillId="0" borderId="0"/>
    <xf numFmtId="0" fontId="255" fillId="39" borderId="0" applyNumberFormat="0" applyBorder="0" applyAlignment="0" applyProtection="0"/>
    <xf numFmtId="176" fontId="103" fillId="0" borderId="0" applyFont="0" applyFill="0" applyBorder="0" applyAlignment="0" applyProtection="0"/>
    <xf numFmtId="176" fontId="103" fillId="0" borderId="0" applyFont="0" applyFill="0" applyBorder="0" applyAlignment="0" applyProtection="0"/>
    <xf numFmtId="1" fontId="6" fillId="0" borderId="0"/>
    <xf numFmtId="0" fontId="255" fillId="35" borderId="0" applyNumberFormat="0" applyBorder="0" applyAlignment="0" applyProtection="0"/>
    <xf numFmtId="0" fontId="6" fillId="0" borderId="0"/>
    <xf numFmtId="0" fontId="255" fillId="35"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55" fillId="35" borderId="0" applyNumberFormat="0" applyBorder="0" applyAlignment="0" applyProtection="0"/>
    <xf numFmtId="0" fontId="270" fillId="0" borderId="101" applyNumberFormat="0" applyFill="0" applyAlignment="0" applyProtection="0"/>
    <xf numFmtId="0" fontId="6" fillId="0" borderId="0"/>
    <xf numFmtId="0" fontId="255" fillId="35" borderId="0" applyNumberFormat="0" applyBorder="0" applyAlignment="0" applyProtection="0"/>
    <xf numFmtId="1" fontId="6" fillId="0" borderId="0"/>
    <xf numFmtId="0" fontId="6" fillId="0" borderId="0"/>
    <xf numFmtId="164" fontId="6" fillId="0" borderId="0" applyFont="0" applyFill="0" applyBorder="0" applyAlignment="0" applyProtection="0"/>
    <xf numFmtId="0" fontId="6" fillId="0" borderId="0"/>
    <xf numFmtId="0" fontId="255" fillId="50" borderId="0" applyNumberFormat="0" applyBorder="0" applyAlignment="0" applyProtection="0"/>
    <xf numFmtId="1" fontId="6" fillId="0" borderId="0"/>
    <xf numFmtId="164" fontId="6" fillId="0" borderId="0" applyFont="0" applyFill="0" applyBorder="0" applyAlignment="0" applyProtection="0"/>
    <xf numFmtId="171" fontId="105" fillId="0" borderId="25">
      <alignment horizontal="right"/>
    </xf>
    <xf numFmtId="0" fontId="6" fillId="0" borderId="0"/>
    <xf numFmtId="0" fontId="6" fillId="0" borderId="0"/>
    <xf numFmtId="0" fontId="255" fillId="50" borderId="0" applyNumberFormat="0" applyBorder="0" applyAlignment="0" applyProtection="0"/>
    <xf numFmtId="0" fontId="103" fillId="0" borderId="0"/>
    <xf numFmtId="0" fontId="6" fillId="0" borderId="0"/>
    <xf numFmtId="0" fontId="255" fillId="50" borderId="0" applyNumberFormat="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55" fillId="50" borderId="0" applyNumberFormat="0" applyBorder="0" applyAlignment="0" applyProtection="0"/>
    <xf numFmtId="1" fontId="6" fillId="0" borderId="0"/>
    <xf numFmtId="185" fontId="103" fillId="0" borderId="0" applyFont="0" applyFill="0" applyBorder="0" applyAlignment="0" applyProtection="0"/>
    <xf numFmtId="0" fontId="256" fillId="42" borderId="0" applyNumberFormat="0" applyBorder="0" applyAlignment="0" applyProtection="0"/>
    <xf numFmtId="0" fontId="6" fillId="0" borderId="0"/>
    <xf numFmtId="0" fontId="256" fillId="42" borderId="0" applyNumberFormat="0" applyBorder="0" applyAlignment="0" applyProtection="0"/>
    <xf numFmtId="0" fontId="6" fillId="0" borderId="0"/>
    <xf numFmtId="0" fontId="6" fillId="0" borderId="0"/>
    <xf numFmtId="0" fontId="6" fillId="0" borderId="0"/>
    <xf numFmtId="0" fontId="256" fillId="42" borderId="0" applyNumberFormat="0" applyBorder="0" applyAlignment="0" applyProtection="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255" fillId="31" borderId="0" applyNumberFormat="0" applyBorder="0" applyAlignment="0" applyProtection="0"/>
    <xf numFmtId="9" fontId="6" fillId="0" borderId="0" applyFont="0" applyFill="0" applyBorder="0" applyAlignment="0" applyProtection="0"/>
    <xf numFmtId="0" fontId="255" fillId="39" borderId="0" applyNumberFormat="0" applyBorder="0" applyAlignment="0" applyProtection="0"/>
    <xf numFmtId="0" fontId="6" fillId="0" borderId="0"/>
    <xf numFmtId="0" fontId="6" fillId="34" borderId="110" applyNumberFormat="0" applyFont="0" applyAlignment="0" applyProtection="0"/>
    <xf numFmtId="0" fontId="6" fillId="0" borderId="0"/>
    <xf numFmtId="0" fontId="255" fillId="51" borderId="0" applyNumberFormat="0" applyBorder="0" applyAlignment="0" applyProtection="0"/>
    <xf numFmtId="1" fontId="6" fillId="0" borderId="0"/>
    <xf numFmtId="0" fontId="6" fillId="0" borderId="0"/>
    <xf numFmtId="0" fontId="6" fillId="0" borderId="0"/>
    <xf numFmtId="0" fontId="255" fillId="51" borderId="0" applyNumberFormat="0" applyBorder="0" applyAlignment="0" applyProtection="0"/>
    <xf numFmtId="0" fontId="6" fillId="0" borderId="0"/>
    <xf numFmtId="0" fontId="6" fillId="0" borderId="0"/>
    <xf numFmtId="0" fontId="255" fillId="51" borderId="0" applyNumberFormat="0" applyBorder="0" applyAlignment="0" applyProtection="0"/>
    <xf numFmtId="0" fontId="6" fillId="0" borderId="0"/>
    <xf numFmtId="164" fontId="6" fillId="0" borderId="0" applyFont="0" applyFill="0" applyBorder="0" applyAlignment="0" applyProtection="0"/>
    <xf numFmtId="0" fontId="255" fillId="52" borderId="0" applyNumberFormat="0" applyBorder="0" applyAlignment="0" applyProtection="0"/>
    <xf numFmtId="0" fontId="255" fillId="52" borderId="0" applyNumberFormat="0" applyBorder="0" applyAlignment="0" applyProtection="0"/>
    <xf numFmtId="164" fontId="6" fillId="0" borderId="0" applyFont="0" applyFill="0" applyBorder="0" applyAlignment="0" applyProtection="0"/>
    <xf numFmtId="0" fontId="255" fillId="52" borderId="0" applyNumberFormat="0" applyBorder="0" applyAlignment="0" applyProtection="0"/>
    <xf numFmtId="0" fontId="6" fillId="0" borderId="0"/>
    <xf numFmtId="0" fontId="256" fillId="40" borderId="0" applyNumberFormat="0" applyBorder="0" applyAlignment="0" applyProtection="0"/>
    <xf numFmtId="164" fontId="6" fillId="0" borderId="0" applyFont="0" applyFill="0" applyBorder="0" applyAlignment="0" applyProtection="0"/>
    <xf numFmtId="2" fontId="6" fillId="0" borderId="0" applyFont="0" applyFill="0" applyBorder="0" applyAlignment="0" applyProtection="0"/>
    <xf numFmtId="0" fontId="6" fillId="0" borderId="0"/>
    <xf numFmtId="0" fontId="6" fillId="0" borderId="0"/>
    <xf numFmtId="0" fontId="256" fillId="40" borderId="0" applyNumberFormat="0" applyBorder="0" applyAlignment="0" applyProtection="0"/>
    <xf numFmtId="167"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80" fillId="0" borderId="0" applyNumberFormat="0" applyFill="0" applyBorder="0" applyAlignment="0" applyProtection="0">
      <alignment vertical="top"/>
      <protection locked="0"/>
    </xf>
    <xf numFmtId="0" fontId="6" fillId="0" borderId="0"/>
    <xf numFmtId="0" fontId="256" fillId="38" borderId="0" applyNumberFormat="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2" fillId="0" borderId="0" applyFont="0" applyFill="0" applyBorder="0" applyAlignment="0" applyProtection="0"/>
    <xf numFmtId="0" fontId="6" fillId="0" borderId="0"/>
    <xf numFmtId="0" fontId="256" fillId="38" borderId="0" applyNumberFormat="0" applyBorder="0" applyAlignment="0" applyProtection="0"/>
    <xf numFmtId="0" fontId="6" fillId="0" borderId="0"/>
    <xf numFmtId="0" fontId="2" fillId="0" borderId="0"/>
    <xf numFmtId="0" fontId="2" fillId="0" borderId="0"/>
    <xf numFmtId="1" fontId="6" fillId="0" borderId="0"/>
    <xf numFmtId="0" fontId="103" fillId="0" borderId="0"/>
    <xf numFmtId="164" fontId="6" fillId="0" borderId="0" applyFont="0" applyFill="0" applyBorder="0" applyAlignment="0" applyProtection="0"/>
    <xf numFmtId="0" fontId="255" fillId="53" borderId="0" applyNumberFormat="0" applyBorder="0" applyAlignment="0" applyProtection="0"/>
    <xf numFmtId="0" fontId="6" fillId="0" borderId="0"/>
    <xf numFmtId="179" fontId="6" fillId="0" borderId="0" applyFill="0" applyBorder="0" applyAlignment="0" applyProtection="0"/>
    <xf numFmtId="0" fontId="255" fillId="53" borderId="0" applyNumberFormat="0" applyBorder="0" applyAlignment="0" applyProtection="0"/>
    <xf numFmtId="0" fontId="6" fillId="0" borderId="0"/>
    <xf numFmtId="1" fontId="6" fillId="0" borderId="0"/>
    <xf numFmtId="0" fontId="2" fillId="0" borderId="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255" fillId="44" borderId="0" applyNumberFormat="0" applyBorder="0" applyAlignment="0" applyProtection="0"/>
    <xf numFmtId="0" fontId="255" fillId="44" borderId="0" applyNumberFormat="0" applyBorder="0" applyAlignment="0" applyProtection="0"/>
    <xf numFmtId="9" fontId="256" fillId="0" borderId="0" applyFont="0" applyFill="0" applyBorder="0" applyAlignment="0" applyProtection="0"/>
    <xf numFmtId="164" fontId="6" fillId="0" borderId="0" applyFont="0" applyFill="0" applyBorder="0" applyAlignment="0" applyProtection="0"/>
    <xf numFmtId="0" fontId="276" fillId="36" borderId="0" applyNumberFormat="0" applyBorder="0" applyAlignment="0" applyProtection="0"/>
    <xf numFmtId="0" fontId="255" fillId="44" borderId="0" applyNumberFormat="0" applyBorder="0" applyAlignment="0" applyProtection="0"/>
    <xf numFmtId="0" fontId="2" fillId="0" borderId="0"/>
    <xf numFmtId="0" fontId="6" fillId="0" borderId="0"/>
    <xf numFmtId="164" fontId="6" fillId="0" borderId="0" applyFont="0" applyFill="0" applyBorder="0" applyAlignment="0" applyProtection="0"/>
    <xf numFmtId="0" fontId="255" fillId="35" borderId="0" applyNumberFormat="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34" borderId="110" applyNumberFormat="0" applyFont="0" applyAlignment="0" applyProtection="0"/>
    <xf numFmtId="0" fontId="256" fillId="40" borderId="0" applyNumberFormat="0" applyBorder="0" applyAlignment="0" applyProtection="0"/>
    <xf numFmtId="0" fontId="255" fillId="35" borderId="0" applyNumberFormat="0" applyBorder="0" applyAlignment="0" applyProtection="0"/>
    <xf numFmtId="0" fontId="6" fillId="0" borderId="0"/>
    <xf numFmtId="0" fontId="6" fillId="0" borderId="0"/>
    <xf numFmtId="0" fontId="256" fillId="40" borderId="0" applyNumberFormat="0" applyBorder="0" applyAlignment="0" applyProtection="0"/>
    <xf numFmtId="9" fontId="2" fillId="0" borderId="0" applyFont="0" applyFill="0" applyBorder="0" applyAlignment="0" applyProtection="0"/>
    <xf numFmtId="0" fontId="255" fillId="35" borderId="0" applyNumberFormat="0" applyBorder="0" applyAlignment="0" applyProtection="0"/>
    <xf numFmtId="0" fontId="6" fillId="0" borderId="0"/>
    <xf numFmtId="0" fontId="6" fillId="0" borderId="0"/>
    <xf numFmtId="0" fontId="256" fillId="40" borderId="0" applyNumberFormat="0" applyBorder="0" applyAlignment="0" applyProtection="0"/>
    <xf numFmtId="9" fontId="2"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2" fillId="0" borderId="0"/>
    <xf numFmtId="0" fontId="256" fillId="54" borderId="0" applyNumberFormat="0" applyBorder="0" applyAlignment="0" applyProtection="0"/>
    <xf numFmtId="0" fontId="6" fillId="0" borderId="0"/>
    <xf numFmtId="0" fontId="6" fillId="34" borderId="110" applyNumberFormat="0" applyFont="0" applyAlignment="0" applyProtection="0"/>
    <xf numFmtId="9" fontId="6" fillId="0" borderId="0" applyFont="0" applyFill="0" applyBorder="0" applyAlignment="0" applyProtection="0"/>
    <xf numFmtId="0" fontId="256" fillId="54" borderId="0" applyNumberFormat="0" applyBorder="0" applyAlignment="0" applyProtection="0"/>
    <xf numFmtId="0" fontId="265" fillId="46" borderId="100" applyNumberFormat="0" applyAlignment="0" applyProtection="0"/>
    <xf numFmtId="0" fontId="2" fillId="0" borderId="0"/>
    <xf numFmtId="0" fontId="256" fillId="54" borderId="0" applyNumberFormat="0" applyBorder="0" applyAlignment="0" applyProtection="0"/>
    <xf numFmtId="0" fontId="2" fillId="0" borderId="0"/>
    <xf numFmtId="0" fontId="255" fillId="38" borderId="0" applyNumberFormat="0" applyBorder="0" applyAlignment="0" applyProtection="0"/>
    <xf numFmtId="0" fontId="103" fillId="0" borderId="0"/>
    <xf numFmtId="164" fontId="6" fillId="0" borderId="0" applyFont="0" applyFill="0" applyBorder="0" applyAlignment="0" applyProtection="0"/>
    <xf numFmtId="0" fontId="6" fillId="0" borderId="0"/>
    <xf numFmtId="0" fontId="2" fillId="0" borderId="0"/>
    <xf numFmtId="0" fontId="2" fillId="0" borderId="0"/>
    <xf numFmtId="182" fontId="6" fillId="0" borderId="0" applyFont="0" applyFill="0" applyBorder="0" applyAlignment="0" applyProtection="0"/>
    <xf numFmtId="176" fontId="103" fillId="0" borderId="0" applyFont="0" applyFill="0" applyBorder="0" applyAlignment="0" applyProtection="0"/>
    <xf numFmtId="0" fontId="2" fillId="0" borderId="0"/>
    <xf numFmtId="0" fontId="6" fillId="0" borderId="0"/>
    <xf numFmtId="0" fontId="143" fillId="55" borderId="0" applyNumberFormat="0" applyBorder="0" applyAlignment="0" applyProtection="0"/>
    <xf numFmtId="0" fontId="255" fillId="38" borderId="0" applyNumberFormat="0" applyBorder="0" applyAlignment="0" applyProtection="0"/>
    <xf numFmtId="0" fontId="6" fillId="0" borderId="0"/>
    <xf numFmtId="0" fontId="6" fillId="34" borderId="110" applyNumberFormat="0" applyFont="0" applyAlignment="0" applyProtection="0"/>
    <xf numFmtId="0" fontId="143" fillId="0" borderId="112" applyNumberFormat="0" applyFill="0" applyAlignment="0" applyProtection="0"/>
    <xf numFmtId="0" fontId="2" fillId="0" borderId="0"/>
    <xf numFmtId="164" fontId="6" fillId="0" borderId="0" applyFont="0" applyFill="0" applyBorder="0" applyAlignment="0" applyProtection="0"/>
    <xf numFmtId="0" fontId="2" fillId="0" borderId="0"/>
    <xf numFmtId="0" fontId="255" fillId="38" borderId="0" applyNumberFormat="0" applyBorder="0" applyAlignment="0" applyProtection="0"/>
    <xf numFmtId="0" fontId="2" fillId="0" borderId="0"/>
    <xf numFmtId="164" fontId="6" fillId="0" borderId="0" applyFont="0" applyFill="0" applyBorder="0" applyAlignment="0" applyProtection="0"/>
    <xf numFmtId="0" fontId="255" fillId="38" borderId="0" applyNumberFormat="0" applyBorder="0" applyAlignment="0" applyProtection="0"/>
    <xf numFmtId="0" fontId="2" fillId="0" borderId="0"/>
    <xf numFmtId="0" fontId="103" fillId="0" borderId="0"/>
    <xf numFmtId="0" fontId="6" fillId="0" borderId="0"/>
    <xf numFmtId="164" fontId="6" fillId="0" borderId="0" applyFont="0" applyFill="0" applyBorder="0" applyAlignment="0" applyProtection="0"/>
    <xf numFmtId="0" fontId="6" fillId="0" borderId="0"/>
    <xf numFmtId="0" fontId="6" fillId="0" borderId="0"/>
    <xf numFmtId="0" fontId="255" fillId="49" borderId="0" applyNumberFormat="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55" fillId="49" borderId="0" applyNumberFormat="0" applyBorder="0" applyAlignment="0" applyProtection="0"/>
    <xf numFmtId="0" fontId="255" fillId="49" borderId="0" applyNumberFormat="0" applyBorder="0" applyAlignment="0" applyProtection="0"/>
    <xf numFmtId="0" fontId="6" fillId="0" borderId="0"/>
    <xf numFmtId="0" fontId="256" fillId="42" borderId="0" applyNumberFormat="0" applyBorder="0" applyAlignment="0" applyProtection="0"/>
    <xf numFmtId="0" fontId="6" fillId="0" borderId="0"/>
    <xf numFmtId="183" fontId="103" fillId="0" borderId="0" applyFont="0" applyFill="0" applyBorder="0" applyAlignment="0" applyProtection="0"/>
    <xf numFmtId="164" fontId="2" fillId="0" borderId="0" applyFont="0" applyFill="0" applyBorder="0" applyAlignment="0" applyProtection="0"/>
    <xf numFmtId="176" fontId="103" fillId="0" borderId="0" applyFont="0" applyFill="0" applyBorder="0" applyAlignment="0" applyProtection="0"/>
    <xf numFmtId="1" fontId="6" fillId="0" borderId="0"/>
    <xf numFmtId="0" fontId="256" fillId="42" borderId="0" applyNumberFormat="0" applyBorder="0" applyAlignment="0" applyProtection="0"/>
    <xf numFmtId="0" fontId="2" fillId="0" borderId="0"/>
    <xf numFmtId="0" fontId="6" fillId="0" borderId="0"/>
    <xf numFmtId="0" fontId="6" fillId="0" borderId="0"/>
    <xf numFmtId="0" fontId="256" fillId="38" borderId="0" applyNumberFormat="0" applyBorder="0" applyAlignment="0" applyProtection="0"/>
    <xf numFmtId="9" fontId="6" fillId="0" borderId="0" applyFont="0" applyFill="0" applyBorder="0" applyAlignment="0" applyProtection="0"/>
    <xf numFmtId="0" fontId="6" fillId="0" borderId="0"/>
    <xf numFmtId="0" fontId="2" fillId="0" borderId="0"/>
    <xf numFmtId="0" fontId="6" fillId="0" borderId="0"/>
    <xf numFmtId="0" fontId="2" fillId="0" borderId="0"/>
    <xf numFmtId="164" fontId="6" fillId="0" borderId="0" applyFont="0" applyFill="0" applyBorder="0" applyAlignment="0" applyProtection="0"/>
    <xf numFmtId="0" fontId="6" fillId="0" borderId="0"/>
    <xf numFmtId="0" fontId="256" fillId="45" borderId="0" applyNumberFormat="0" applyBorder="0" applyAlignment="0" applyProtection="0"/>
    <xf numFmtId="0" fontId="6" fillId="0" borderId="0"/>
    <xf numFmtId="0" fontId="6" fillId="0" borderId="0"/>
    <xf numFmtId="0" fontId="256" fillId="38" borderId="0" applyNumberFormat="0" applyBorder="0" applyAlignment="0" applyProtection="0"/>
    <xf numFmtId="164" fontId="6" fillId="0" borderId="0" applyFont="0" applyFill="0" applyBorder="0" applyAlignment="0" applyProtection="0"/>
    <xf numFmtId="0" fontId="6" fillId="0" borderId="0"/>
    <xf numFmtId="0" fontId="256" fillId="38"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6" fillId="0" borderId="0"/>
    <xf numFmtId="0" fontId="2" fillId="0" borderId="0"/>
    <xf numFmtId="0" fontId="255" fillId="38"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2" fillId="0" borderId="0"/>
    <xf numFmtId="0" fontId="255" fillId="38"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55" fillId="31" borderId="0" applyNumberFormat="0" applyBorder="0" applyAlignment="0" applyProtection="0"/>
    <xf numFmtId="9" fontId="6" fillId="0" borderId="0" applyFont="0" applyFill="0" applyBorder="0" applyAlignment="0" applyProtection="0"/>
    <xf numFmtId="0" fontId="275" fillId="0" borderId="0" applyNumberFormat="0" applyAlignment="0">
      <alignment horizontal="left"/>
    </xf>
    <xf numFmtId="0" fontId="255" fillId="39" borderId="0" applyNumberFormat="0" applyBorder="0" applyAlignment="0" applyProtection="0"/>
    <xf numFmtId="0" fontId="6" fillId="0" borderId="0"/>
    <xf numFmtId="0" fontId="255" fillId="39" borderId="0" applyNumberFormat="0" applyBorder="0" applyAlignment="0" applyProtection="0"/>
    <xf numFmtId="164" fontId="6" fillId="0" borderId="0" applyFont="0" applyFill="0" applyBorder="0" applyAlignment="0" applyProtection="0"/>
    <xf numFmtId="0" fontId="2" fillId="0" borderId="0"/>
    <xf numFmtId="0" fontId="256" fillId="43" borderId="0" applyNumberFormat="0" applyBorder="0" applyAlignment="0" applyProtection="0"/>
    <xf numFmtId="164" fontId="6" fillId="0" borderId="0" applyFont="0" applyFill="0" applyBorder="0" applyAlignment="0" applyProtection="0"/>
    <xf numFmtId="0" fontId="2" fillId="0" borderId="0"/>
    <xf numFmtId="0" fontId="256" fillId="43" borderId="0" applyNumberFormat="0" applyBorder="0" applyAlignment="0" applyProtection="0"/>
    <xf numFmtId="0" fontId="103" fillId="0" borderId="0"/>
    <xf numFmtId="164" fontId="6" fillId="0" borderId="0" applyFont="0" applyFill="0" applyBorder="0" applyAlignment="0" applyProtection="0"/>
    <xf numFmtId="0" fontId="6" fillId="0" borderId="0"/>
    <xf numFmtId="0" fontId="256" fillId="42" borderId="0" applyNumberFormat="0" applyBorder="0" applyAlignment="0" applyProtection="0"/>
    <xf numFmtId="0" fontId="6" fillId="0" borderId="0"/>
    <xf numFmtId="0" fontId="256" fillId="42" borderId="0" applyNumberFormat="0" applyBorder="0" applyAlignment="0" applyProtection="0"/>
    <xf numFmtId="0" fontId="6" fillId="0" borderId="0"/>
    <xf numFmtId="0" fontId="256" fillId="42" borderId="0" applyNumberFormat="0" applyBorder="0" applyAlignment="0" applyProtection="0"/>
    <xf numFmtId="0" fontId="6" fillId="0" borderId="0"/>
    <xf numFmtId="0" fontId="2" fillId="0" borderId="0"/>
    <xf numFmtId="0" fontId="255" fillId="51" borderId="0" applyNumberFormat="0" applyBorder="0" applyAlignment="0" applyProtection="0"/>
    <xf numFmtId="0" fontId="255" fillId="51" borderId="0" applyNumberFormat="0" applyBorder="0" applyAlignment="0" applyProtection="0"/>
    <xf numFmtId="0" fontId="255" fillId="35" borderId="0" applyNumberFormat="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256" fillId="40" borderId="0" applyNumberFormat="0" applyBorder="0" applyAlignment="0" applyProtection="0"/>
    <xf numFmtId="9" fontId="2" fillId="0" borderId="0" applyFont="0" applyFill="0" applyBorder="0" applyAlignment="0" applyProtection="0"/>
    <xf numFmtId="0" fontId="6" fillId="0" borderId="0"/>
    <xf numFmtId="0" fontId="6" fillId="0" borderId="0"/>
    <xf numFmtId="0" fontId="47" fillId="0" borderId="106">
      <alignment wrapText="1"/>
    </xf>
    <xf numFmtId="9" fontId="2"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0" fontId="256" fillId="40" borderId="0" applyNumberFormat="0" applyBorder="0" applyAlignment="0" applyProtection="0"/>
    <xf numFmtId="0" fontId="6" fillId="0" borderId="0"/>
    <xf numFmtId="0" fontId="6" fillId="0" borderId="0"/>
    <xf numFmtId="0" fontId="6" fillId="34" borderId="110" applyNumberFormat="0" applyFont="0" applyAlignment="0" applyProtection="0"/>
    <xf numFmtId="0" fontId="6" fillId="0" borderId="0"/>
    <xf numFmtId="9"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0" fontId="256" fillId="40" borderId="0" applyNumberFormat="0" applyBorder="0" applyAlignment="0" applyProtection="0"/>
    <xf numFmtId="0" fontId="6" fillId="0" borderId="0"/>
    <xf numFmtId="0" fontId="6" fillId="0" borderId="0"/>
    <xf numFmtId="0" fontId="6" fillId="34" borderId="110" applyNumberFormat="0" applyFont="0" applyAlignment="0" applyProtection="0"/>
    <xf numFmtId="164" fontId="6" fillId="0" borderId="0" applyFont="0" applyFill="0" applyBorder="0" applyAlignment="0" applyProtection="0"/>
    <xf numFmtId="0" fontId="256" fillId="45" borderId="0" applyNumberFormat="0" applyBorder="0" applyAlignment="0" applyProtection="0"/>
    <xf numFmtId="44" fontId="6" fillId="0" borderId="0" applyFont="0" applyFill="0" applyBorder="0" applyAlignment="0" applyProtection="0"/>
    <xf numFmtId="0" fontId="6" fillId="0" borderId="0"/>
    <xf numFmtId="0" fontId="263" fillId="0" borderId="0" applyFill="0" applyBorder="0" applyAlignment="0"/>
    <xf numFmtId="0" fontId="6" fillId="0" borderId="9">
      <alignment horizontal="center"/>
    </xf>
    <xf numFmtId="164" fontId="6" fillId="0" borderId="0" applyFont="0" applyFill="0" applyBorder="0" applyAlignment="0" applyProtection="0"/>
    <xf numFmtId="0" fontId="6" fillId="0" borderId="0"/>
    <xf numFmtId="0" fontId="6" fillId="0" borderId="0"/>
    <xf numFmtId="0" fontId="256" fillId="45" borderId="0" applyNumberFormat="0" applyBorder="0" applyAlignment="0" applyProtection="0"/>
    <xf numFmtId="0" fontId="103" fillId="0" borderId="0"/>
    <xf numFmtId="44" fontId="6" fillId="0" borderId="0" applyFont="0" applyFill="0" applyBorder="0" applyAlignment="0" applyProtection="0"/>
    <xf numFmtId="0" fontId="6" fillId="0" borderId="0"/>
    <xf numFmtId="0" fontId="255" fillId="45" borderId="0" applyNumberFormat="0" applyBorder="0" applyAlignment="0" applyProtection="0"/>
    <xf numFmtId="1" fontId="6" fillId="0" borderId="0"/>
    <xf numFmtId="0" fontId="6" fillId="0" borderId="0"/>
    <xf numFmtId="0" fontId="6" fillId="0" borderId="0"/>
    <xf numFmtId="0" fontId="255" fillId="31" borderId="0" applyNumberFormat="0" applyBorder="0" applyAlignment="0" applyProtection="0"/>
    <xf numFmtId="0" fontId="257" fillId="18" borderId="0" applyNumberFormat="0" applyBorder="0" applyAlignment="0" applyProtection="0"/>
    <xf numFmtId="0" fontId="257" fillId="18" borderId="0" applyNumberFormat="0" applyBorder="0" applyAlignment="0" applyProtection="0"/>
    <xf numFmtId="0" fontId="6" fillId="0" borderId="0"/>
    <xf numFmtId="0" fontId="6" fillId="0" borderId="0"/>
    <xf numFmtId="164" fontId="6" fillId="0" borderId="0" applyFont="0" applyFill="0" applyBorder="0" applyAlignment="0" applyProtection="0"/>
    <xf numFmtId="0" fontId="256" fillId="0" borderId="0"/>
    <xf numFmtId="0" fontId="271" fillId="0" borderId="0" applyNumberFormat="0" applyFill="0">
      <alignment horizontal="left" vertical="center"/>
    </xf>
    <xf numFmtId="0" fontId="263" fillId="0" borderId="0" applyFill="0" applyBorder="0" applyAlignment="0"/>
    <xf numFmtId="0" fontId="103" fillId="0" borderId="0"/>
    <xf numFmtId="0" fontId="141" fillId="0" borderId="0" applyNumberFormat="0" applyFill="0" applyBorder="0" applyAlignment="0" applyProtection="0"/>
    <xf numFmtId="1" fontId="6" fillId="0" borderId="0"/>
    <xf numFmtId="0" fontId="6" fillId="0" borderId="0"/>
    <xf numFmtId="0" fontId="6" fillId="0" borderId="0"/>
    <xf numFmtId="0" fontId="264" fillId="33" borderId="111" applyNumberFormat="0" applyAlignment="0" applyProtection="0"/>
    <xf numFmtId="0" fontId="2" fillId="0" borderId="0"/>
    <xf numFmtId="164" fontId="6" fillId="0" borderId="0" applyFont="0" applyFill="0" applyBorder="0" applyAlignment="0" applyProtection="0"/>
    <xf numFmtId="0" fontId="6" fillId="0" borderId="0"/>
    <xf numFmtId="0" fontId="264" fillId="33" borderId="111" applyNumberFormat="0" applyAlignment="0" applyProtection="0"/>
    <xf numFmtId="0" fontId="265" fillId="46" borderId="100" applyNumberFormat="0" applyAlignment="0" applyProtection="0"/>
    <xf numFmtId="0" fontId="6" fillId="0" borderId="0"/>
    <xf numFmtId="0" fontId="265" fillId="46" borderId="100" applyNumberFormat="0" applyAlignment="0" applyProtection="0"/>
    <xf numFmtId="0" fontId="6" fillId="0" borderId="0"/>
    <xf numFmtId="38" fontId="19" fillId="33" borderId="0" applyNumberFormat="0" applyBorder="0" applyAlignment="0" applyProtection="0"/>
    <xf numFmtId="0" fontId="2" fillId="0" borderId="0"/>
    <xf numFmtId="0" fontId="6" fillId="0" borderId="0"/>
    <xf numFmtId="164" fontId="6" fillId="0" borderId="0" applyFont="0" applyFill="0" applyBorder="0" applyAlignment="0" applyProtection="0"/>
    <xf numFmtId="0" fontId="6" fillId="0" borderId="0"/>
    <xf numFmtId="0" fontId="6" fillId="0" borderId="0"/>
    <xf numFmtId="0" fontId="6" fillId="34" borderId="110" applyNumberFormat="0" applyFont="0" applyAlignment="0" applyProtection="0"/>
    <xf numFmtId="0" fontId="6"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0" fontId="6" fillId="0" borderId="0"/>
    <xf numFmtId="0" fontId="2" fillId="0" borderId="0"/>
    <xf numFmtId="0" fontId="6" fillId="0" borderId="0"/>
    <xf numFmtId="181" fontId="103" fillId="0" borderId="0" applyFont="0" applyFill="0" applyBorder="0" applyAlignment="0" applyProtection="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56" fillId="0" borderId="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274" fillId="15" borderId="111" applyNumberFormat="0" applyAlignment="0" applyProtection="0"/>
    <xf numFmtId="0" fontId="6" fillId="0" borderId="0"/>
    <xf numFmtId="0" fontId="2" fillId="0" borderId="0"/>
    <xf numFmtId="0" fontId="6" fillId="34" borderId="110" applyNumberFormat="0" applyFont="0" applyAlignment="0" applyProtection="0"/>
    <xf numFmtId="0" fontId="274" fillId="15" borderId="111" applyNumberFormat="0" applyAlignment="0" applyProtection="0"/>
    <xf numFmtId="164" fontId="6" fillId="0" borderId="0" applyFont="0" applyFill="0" applyBorder="0" applyAlignment="0" applyProtection="0"/>
    <xf numFmtId="0" fontId="47" fillId="0" borderId="106">
      <alignment wrapText="1"/>
    </xf>
    <xf numFmtId="0" fontId="6" fillId="0" borderId="0"/>
    <xf numFmtId="0" fontId="2"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44" fontId="6" fillId="0" borderId="0" applyFont="0" applyFill="0" applyBorder="0" applyAlignment="0" applyProtection="0"/>
    <xf numFmtId="16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44" fontId="6" fillId="0" borderId="0" applyFont="0" applyFill="0" applyBorder="0" applyAlignment="0" applyProtection="0"/>
    <xf numFmtId="0" fontId="103" fillId="0" borderId="0"/>
    <xf numFmtId="0" fontId="6" fillId="0" borderId="0"/>
    <xf numFmtId="164" fontId="6" fillId="0" borderId="0" applyFont="0" applyFill="0" applyBorder="0" applyAlignment="0" applyProtection="0"/>
    <xf numFmtId="0" fontId="6" fillId="0" borderId="0"/>
    <xf numFmtId="176" fontId="103" fillId="0" borderId="0" applyFont="0" applyFill="0" applyBorder="0" applyAlignment="0" applyProtection="0"/>
    <xf numFmtId="0" fontId="266" fillId="47" borderId="0" applyNumberFormat="0" applyBorder="0" applyAlignment="0" applyProtection="0"/>
    <xf numFmtId="0" fontId="2" fillId="0" borderId="0"/>
    <xf numFmtId="176" fontId="103" fillId="0" borderId="0" applyFont="0" applyFill="0" applyBorder="0" applyAlignment="0" applyProtection="0"/>
    <xf numFmtId="0" fontId="2" fillId="0" borderId="0"/>
    <xf numFmtId="0" fontId="6" fillId="0" borderId="0"/>
    <xf numFmtId="0" fontId="103" fillId="0" borderId="0"/>
    <xf numFmtId="164" fontId="6" fillId="0" borderId="0" applyFont="0" applyFill="0" applyBorder="0" applyAlignment="0" applyProtection="0"/>
    <xf numFmtId="0" fontId="182" fillId="0" borderId="0" applyProtection="0">
      <alignment horizontal="center" vertical="center"/>
    </xf>
    <xf numFmtId="0" fontId="6" fillId="0" borderId="0"/>
    <xf numFmtId="0" fontId="2" fillId="0" borderId="0"/>
    <xf numFmtId="0" fontId="2" fillId="0" borderId="0"/>
    <xf numFmtId="182" fontId="6" fillId="0" borderId="0" applyFont="0" applyFill="0" applyBorder="0" applyAlignment="0" applyProtection="0"/>
    <xf numFmtId="176" fontId="103" fillId="0" borderId="0" applyFont="0" applyFill="0" applyBorder="0" applyAlignment="0" applyProtection="0"/>
    <xf numFmtId="0" fontId="2" fillId="0" borderId="0"/>
    <xf numFmtId="176" fontId="103" fillId="0" borderId="0" applyFont="0" applyFill="0" applyBorder="0" applyAlignment="0" applyProtection="0"/>
    <xf numFmtId="176" fontId="103" fillId="0" borderId="0" applyFont="0" applyFill="0" applyBorder="0" applyAlignment="0" applyProtection="0"/>
    <xf numFmtId="0" fontId="2" fillId="0" borderId="0"/>
    <xf numFmtId="0" fontId="2" fillId="0" borderId="0"/>
    <xf numFmtId="176" fontId="103" fillId="0" borderId="0" applyFont="0" applyFill="0" applyBorder="0" applyAlignment="0" applyProtection="0"/>
    <xf numFmtId="176" fontId="103" fillId="0" borderId="0" applyFont="0" applyFill="0" applyBorder="0" applyAlignment="0" applyProtection="0"/>
    <xf numFmtId="0" fontId="2" fillId="0" borderId="0"/>
    <xf numFmtId="0" fontId="2" fillId="0" borderId="0"/>
    <xf numFmtId="176" fontId="103" fillId="0" borderId="0" applyFont="0" applyFill="0" applyBorder="0" applyAlignment="0" applyProtection="0"/>
    <xf numFmtId="176" fontId="103" fillId="0" borderId="0" applyFont="0" applyFill="0" applyBorder="0" applyAlignment="0" applyProtection="0"/>
    <xf numFmtId="187" fontId="103" fillId="0" borderId="0" applyFont="0" applyFill="0" applyBorder="0" applyAlignment="0" applyProtection="0"/>
    <xf numFmtId="166" fontId="103" fillId="0" borderId="0" applyFont="0" applyFill="0" applyBorder="0" applyAlignment="0" applyProtection="0"/>
    <xf numFmtId="38" fontId="19" fillId="33" borderId="0" applyNumberFormat="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2" fillId="0" borderId="0"/>
    <xf numFmtId="44" fontId="6" fillId="0" borderId="0" applyFont="0" applyFill="0" applyBorder="0" applyAlignment="0" applyProtection="0"/>
    <xf numFmtId="0" fontId="103"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4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0" fontId="2" fillId="0" borderId="0"/>
    <xf numFmtId="0" fontId="2"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9" fontId="6" fillId="0" borderId="0" applyFont="0" applyFill="0" applyBorder="0" applyAlignment="0" applyProtection="0"/>
    <xf numFmtId="0" fontId="103" fillId="0" borderId="0"/>
    <xf numFmtId="171" fontId="105" fillId="0" borderId="25">
      <alignment horizontal="right"/>
    </xf>
    <xf numFmtId="164" fontId="6" fillId="0" borderId="0" applyFont="0" applyFill="0" applyBorder="0" applyAlignment="0" applyProtection="0"/>
    <xf numFmtId="0" fontId="6" fillId="0" borderId="0"/>
    <xf numFmtId="171" fontId="105" fillId="0" borderId="25">
      <alignment horizontal="right"/>
    </xf>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103" fillId="0" borderId="0"/>
    <xf numFmtId="0" fontId="2" fillId="0" borderId="0"/>
    <xf numFmtId="0" fontId="6" fillId="0" borderId="0"/>
    <xf numFmtId="164" fontId="6" fillId="0" borderId="0" applyFont="0" applyFill="0" applyBorder="0" applyAlignment="0" applyProtection="0"/>
    <xf numFmtId="0" fontId="103" fillId="0" borderId="0"/>
    <xf numFmtId="0" fontId="6" fillId="0" borderId="0"/>
    <xf numFmtId="164" fontId="6" fillId="0" borderId="0" applyFont="0" applyFill="0" applyBorder="0" applyAlignment="0" applyProtection="0"/>
    <xf numFmtId="0" fontId="6" fillId="0" borderId="0"/>
    <xf numFmtId="0" fontId="103" fillId="0" borderId="0"/>
    <xf numFmtId="164" fontId="6" fillId="0" borderId="0" applyFont="0" applyFill="0" applyBorder="0" applyAlignment="0" applyProtection="0"/>
    <xf numFmtId="0" fontId="6" fillId="0" borderId="0"/>
    <xf numFmtId="0" fontId="103" fillId="0" borderId="0"/>
    <xf numFmtId="0" fontId="6" fillId="0" borderId="9">
      <alignment horizontal="center"/>
    </xf>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 fillId="0" borderId="0"/>
    <xf numFmtId="0" fontId="6" fillId="0" borderId="0"/>
    <xf numFmtId="164" fontId="6" fillId="0" borderId="0" applyFont="0" applyFill="0" applyBorder="0" applyAlignment="0" applyProtection="0"/>
    <xf numFmtId="0" fontId="6" fillId="0" borderId="0"/>
    <xf numFmtId="0" fontId="6" fillId="0" borderId="0"/>
    <xf numFmtId="0" fontId="2" fillId="0" borderId="0"/>
    <xf numFmtId="0" fontId="6" fillId="0" borderId="0"/>
    <xf numFmtId="164" fontId="6" fillId="0" borderId="0" applyFont="0" applyFill="0" applyBorder="0" applyAlignment="0" applyProtection="0"/>
    <xf numFmtId="0" fontId="6" fillId="0" borderId="0"/>
    <xf numFmtId="0" fontId="256"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164" fontId="6" fillId="0" borderId="0" applyFont="0" applyFill="0" applyBorder="0" applyAlignment="0" applyProtection="0"/>
    <xf numFmtId="0" fontId="6" fillId="0" borderId="0"/>
    <xf numFmtId="164" fontId="2"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2"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2"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267" fillId="0" borderId="0" applyNumberFormat="0" applyFill="0" applyBorder="0" applyAlignment="0" applyProtection="0"/>
    <xf numFmtId="0" fontId="6" fillId="0" borderId="0"/>
    <xf numFmtId="0" fontId="6" fillId="0" borderId="0"/>
    <xf numFmtId="0" fontId="6" fillId="34" borderId="110" applyNumberFormat="0" applyFont="0" applyAlignment="0" applyProtection="0"/>
    <xf numFmtId="164" fontId="6" fillId="0" borderId="0" applyFont="0" applyFill="0" applyBorder="0" applyAlignment="0" applyProtection="0"/>
    <xf numFmtId="0" fontId="6" fillId="0" borderId="0"/>
    <xf numFmtId="0" fontId="6" fillId="0" borderId="0"/>
    <xf numFmtId="0" fontId="6" fillId="34" borderId="110" applyNumberFormat="0" applyFont="0" applyAlignment="0" applyProtection="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2"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0" fontId="270" fillId="0" borderId="101" applyNumberFormat="0" applyFill="0" applyAlignment="0" applyProtection="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2" fillId="0" borderId="0"/>
    <xf numFmtId="1" fontId="6" fillId="0" borderId="0"/>
    <xf numFmtId="0" fontId="6" fillId="0" borderId="0"/>
    <xf numFmtId="164" fontId="2" fillId="0" borderId="0" applyFont="0" applyFill="0" applyBorder="0" applyAlignment="0" applyProtection="0"/>
    <xf numFmtId="164" fontId="2" fillId="0" borderId="0" applyFont="0" applyFill="0" applyBorder="0" applyAlignment="0" applyProtection="0"/>
    <xf numFmtId="0" fontId="2" fillId="0" borderId="0"/>
    <xf numFmtId="0" fontId="6" fillId="0" borderId="0"/>
    <xf numFmtId="164" fontId="2" fillId="0" borderId="0" applyFont="0" applyFill="0" applyBorder="0" applyAlignment="0" applyProtection="0"/>
    <xf numFmtId="0" fontId="2" fillId="0" borderId="0"/>
    <xf numFmtId="0" fontId="6" fillId="0" borderId="0"/>
    <xf numFmtId="193" fontId="103" fillId="0" borderId="0" applyFont="0" applyFill="0" applyBorder="0" applyAlignment="0" applyProtection="0"/>
    <xf numFmtId="0" fontId="2"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6" fillId="0" borderId="0"/>
    <xf numFmtId="164" fontId="6" fillId="0" borderId="0" applyFont="0" applyFill="0" applyBorder="0" applyAlignment="0" applyProtection="0"/>
    <xf numFmtId="0" fontId="271" fillId="0" borderId="0" applyNumberFormat="0" applyFill="0">
      <alignment horizontal="left" vertical="center"/>
    </xf>
    <xf numFmtId="37" fontId="269"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103" fillId="0" borderId="0"/>
    <xf numFmtId="0" fontId="2" fillId="0" borderId="0"/>
    <xf numFmtId="0" fontId="256" fillId="0" borderId="0"/>
    <xf numFmtId="176" fontId="103"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5" fillId="0" borderId="108">
      <alignment horizontal="left" vertical="center"/>
    </xf>
    <xf numFmtId="0" fontId="6" fillId="0" borderId="0"/>
    <xf numFmtId="164" fontId="6" fillId="0" borderId="0" applyFont="0" applyFill="0" applyBorder="0" applyAlignment="0" applyProtection="0"/>
    <xf numFmtId="0" fontId="5" fillId="0" borderId="108">
      <alignment horizontal="left" vertical="center"/>
    </xf>
    <xf numFmtId="0" fontId="6" fillId="0" borderId="0"/>
    <xf numFmtId="164" fontId="6" fillId="0" borderId="0" applyFont="0" applyFill="0" applyBorder="0" applyAlignment="0" applyProtection="0"/>
    <xf numFmtId="164" fontId="6" fillId="0" borderId="0" applyFont="0" applyFill="0" applyBorder="0" applyAlignment="0" applyProtection="0"/>
    <xf numFmtId="0" fontId="274" fillId="15" borderId="111" applyNumberFormat="0" applyAlignment="0" applyProtection="0"/>
    <xf numFmtId="0" fontId="2"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47" fillId="0" borderId="106">
      <alignment wrapText="1"/>
    </xf>
    <xf numFmtId="0" fontId="6" fillId="0" borderId="0"/>
    <xf numFmtId="0" fontId="6" fillId="0" borderId="0"/>
    <xf numFmtId="164" fontId="6" fillId="0" borderId="0" applyFont="0" applyFill="0" applyBorder="0" applyAlignment="0" applyProtection="0"/>
    <xf numFmtId="0" fontId="261" fillId="0" borderId="98" applyNumberFormat="0" applyFill="0" applyAlignment="0" applyProtection="0"/>
    <xf numFmtId="0" fontId="6" fillId="0" borderId="0"/>
    <xf numFmtId="164" fontId="6" fillId="0" borderId="0" applyFont="0" applyFill="0" applyBorder="0" applyAlignment="0" applyProtection="0"/>
    <xf numFmtId="0" fontId="6" fillId="0" borderId="0"/>
    <xf numFmtId="0" fontId="2" fillId="0" borderId="0"/>
    <xf numFmtId="0" fontId="261" fillId="0" borderId="98" applyNumberFormat="0" applyFill="0" applyAlignment="0" applyProtection="0"/>
    <xf numFmtId="0" fontId="6" fillId="0" borderId="0"/>
    <xf numFmtId="164" fontId="6" fillId="0" borderId="0" applyFont="0" applyFill="0" applyBorder="0" applyAlignment="0" applyProtection="0"/>
    <xf numFmtId="0" fontId="103" fillId="0" borderId="0"/>
    <xf numFmtId="0" fontId="103" fillId="0" borderId="0"/>
    <xf numFmtId="0" fontId="266" fillId="47" borderId="0" applyNumberFormat="0" applyBorder="0" applyAlignment="0" applyProtection="0"/>
    <xf numFmtId="0" fontId="6" fillId="0" borderId="0"/>
    <xf numFmtId="164" fontId="6" fillId="0" borderId="0" applyFont="0" applyFill="0" applyBorder="0" applyAlignment="0" applyProtection="0"/>
    <xf numFmtId="0" fontId="103" fillId="0" borderId="0"/>
    <xf numFmtId="0" fontId="2" fillId="0" borderId="0"/>
    <xf numFmtId="183" fontId="103" fillId="0" borderId="0" applyFont="0" applyFill="0" applyBorder="0" applyAlignment="0" applyProtection="0"/>
    <xf numFmtId="183" fontId="103" fillId="0" borderId="0" applyFont="0" applyFill="0" applyBorder="0" applyAlignment="0" applyProtection="0"/>
    <xf numFmtId="0" fontId="6" fillId="0" borderId="0"/>
    <xf numFmtId="0" fontId="6" fillId="0" borderId="0"/>
    <xf numFmtId="183" fontId="103"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85" fontId="103" fillId="0" borderId="0" applyFont="0" applyFill="0" applyBorder="0" applyAlignment="0" applyProtection="0"/>
    <xf numFmtId="0" fontId="6" fillId="0" borderId="0"/>
    <xf numFmtId="185" fontId="103"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183" fontId="103" fillId="0" borderId="0" applyFont="0" applyFill="0" applyBorder="0" applyAlignment="0" applyProtection="0"/>
    <xf numFmtId="0" fontId="6" fillId="0" borderId="0"/>
    <xf numFmtId="183" fontId="103" fillId="0" borderId="0" applyFont="0" applyFill="0" applyBorder="0" applyAlignment="0" applyProtection="0"/>
    <xf numFmtId="0" fontId="6" fillId="0" borderId="0"/>
    <xf numFmtId="183" fontId="103" fillId="0" borderId="0" applyFont="0" applyFill="0" applyBorder="0" applyAlignment="0" applyProtection="0"/>
    <xf numFmtId="183" fontId="103" fillId="0" borderId="0" applyFont="0" applyFill="0" applyBorder="0" applyAlignment="0" applyProtection="0"/>
    <xf numFmtId="0" fontId="261" fillId="0" borderId="0" applyNumberFormat="0" applyFill="0" applyBorder="0" applyAlignment="0" applyProtection="0"/>
    <xf numFmtId="183" fontId="103" fillId="0" borderId="0" applyFont="0" applyFill="0" applyBorder="0" applyAlignment="0" applyProtection="0"/>
    <xf numFmtId="164" fontId="6" fillId="0" borderId="0" applyFont="0" applyFill="0" applyBorder="0" applyAlignment="0" applyProtection="0"/>
    <xf numFmtId="1" fontId="6" fillId="0" borderId="0"/>
    <xf numFmtId="164" fontId="6" fillId="0" borderId="0" applyFont="0" applyFill="0" applyBorder="0" applyAlignment="0" applyProtection="0"/>
    <xf numFmtId="164" fontId="6" fillId="0" borderId="0" applyFont="0" applyFill="0" applyBorder="0" applyAlignment="0" applyProtection="0"/>
    <xf numFmtId="1" fontId="6" fillId="0" borderId="0"/>
    <xf numFmtId="164" fontId="6" fillId="0" borderId="0" applyFont="0" applyFill="0" applyBorder="0" applyAlignment="0" applyProtection="0"/>
    <xf numFmtId="1" fontId="6" fillId="0" borderId="0"/>
    <xf numFmtId="164" fontId="6" fillId="0" borderId="0" applyFont="0" applyFill="0" applyBorder="0" applyAlignment="0" applyProtection="0"/>
    <xf numFmtId="1" fontId="6" fillId="0" borderId="0"/>
    <xf numFmtId="164" fontId="6" fillId="0" borderId="0" applyFont="0" applyFill="0" applyBorder="0" applyAlignment="0" applyProtection="0"/>
    <xf numFmtId="1" fontId="6" fillId="0" borderId="0"/>
    <xf numFmtId="164" fontId="6" fillId="0" borderId="0" applyFont="0" applyFill="0" applyBorder="0" applyAlignment="0" applyProtection="0"/>
    <xf numFmtId="0" fontId="287" fillId="33" borderId="113"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0" fontId="2" fillId="0" borderId="0"/>
    <xf numFmtId="164" fontId="6" fillId="0" borderId="0" applyFont="0" applyFill="0" applyBorder="0" applyAlignment="0" applyProtection="0"/>
    <xf numFmtId="0" fontId="6" fillId="0" borderId="0"/>
    <xf numFmtId="0" fontId="6" fillId="0" borderId="0"/>
    <xf numFmtId="0" fontId="2"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0" fontId="2" fillId="0" borderId="0"/>
    <xf numFmtId="1" fontId="6" fillId="0" borderId="0"/>
    <xf numFmtId="0" fontId="6" fillId="0" borderId="0"/>
    <xf numFmtId="164" fontId="6" fillId="0" borderId="0" applyFont="0" applyFill="0" applyBorder="0" applyAlignment="0" applyProtection="0"/>
    <xf numFmtId="0" fontId="6" fillId="0" borderId="0"/>
    <xf numFmtId="1" fontId="6" fillId="0" borderId="0"/>
    <xf numFmtId="0" fontId="6" fillId="0" borderId="0"/>
    <xf numFmtId="164" fontId="6" fillId="0" borderId="0" applyFont="0" applyFill="0" applyBorder="0" applyAlignment="0" applyProtection="0"/>
    <xf numFmtId="0" fontId="6" fillId="0" borderId="0"/>
    <xf numFmtId="2"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2" fontId="6" fillId="0" borderId="0" applyFont="0" applyFill="0" applyBorder="0" applyAlignment="0" applyProtection="0"/>
    <xf numFmtId="164" fontId="6" fillId="0" borderId="0" applyFont="0" applyFill="0" applyBorder="0" applyAlignment="0" applyProtection="0"/>
    <xf numFmtId="0" fontId="6" fillId="0" borderId="0"/>
    <xf numFmtId="0" fontId="6" fillId="0" borderId="0"/>
    <xf numFmtId="2"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0" fontId="19" fillId="34" borderId="106" applyNumberFormat="0" applyBorder="0" applyAlignment="0" applyProtection="0"/>
    <xf numFmtId="0" fontId="2" fillId="0" borderId="0"/>
    <xf numFmtId="4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44" fontId="25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1" fontId="6" fillId="0" borderId="0"/>
    <xf numFmtId="0" fontId="6" fillId="0" borderId="0"/>
    <xf numFmtId="164" fontId="6" fillId="0" borderId="0" applyFont="0" applyFill="0" applyBorder="0" applyAlignment="0" applyProtection="0"/>
    <xf numFmtId="0" fontId="6" fillId="0" borderId="0"/>
    <xf numFmtId="1" fontId="6" fillId="0" borderId="0"/>
    <xf numFmtId="0" fontId="6" fillId="0" borderId="0"/>
    <xf numFmtId="164" fontId="6" fillId="0" borderId="0" applyFont="0" applyFill="0" applyBorder="0" applyAlignment="0" applyProtection="0"/>
    <xf numFmtId="0" fontId="6" fillId="0" borderId="0"/>
    <xf numFmtId="1" fontId="6" fillId="0" borderId="0"/>
    <xf numFmtId="0" fontId="6" fillId="0" borderId="0"/>
    <xf numFmtId="164" fontId="6" fillId="0" borderId="0" applyFont="0" applyFill="0" applyBorder="0" applyAlignment="0" applyProtection="0"/>
    <xf numFmtId="0" fontId="6" fillId="0" borderId="0"/>
    <xf numFmtId="0" fontId="276" fillId="36" borderId="0" applyNumberFormat="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2" fillId="0" borderId="0"/>
    <xf numFmtId="164" fontId="6" fillId="0" borderId="0" applyFont="0" applyFill="0" applyBorder="0" applyAlignment="0" applyProtection="0"/>
    <xf numFmtId="0" fontId="287" fillId="33" borderId="113" applyNumberFormat="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0" fontId="2" fillId="0" borderId="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2" fillId="0" borderId="0"/>
    <xf numFmtId="0" fontId="6" fillId="0" borderId="0"/>
    <xf numFmtId="0" fontId="2" fillId="0" borderId="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25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2"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25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84" fontId="103"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164" fontId="256" fillId="0" borderId="0" applyFont="0" applyFill="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0" fontId="259" fillId="0" borderId="0" applyNumberFormat="0" applyAlignment="0">
      <alignment horizontal="left"/>
    </xf>
    <xf numFmtId="164" fontId="6" fillId="0" borderId="0" applyFont="0" applyFill="0" applyBorder="0" applyAlignment="0" applyProtection="0"/>
    <xf numFmtId="164" fontId="6" fillId="0" borderId="0" applyFont="0" applyFill="0" applyBorder="0" applyAlignment="0" applyProtection="0"/>
    <xf numFmtId="0" fontId="259" fillId="0" borderId="0" applyNumberFormat="0" applyAlignment="0">
      <alignment horizontal="left"/>
    </xf>
    <xf numFmtId="0" fontId="103" fillId="0" borderId="0"/>
    <xf numFmtId="0" fontId="2" fillId="0" borderId="0"/>
    <xf numFmtId="164" fontId="25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0" fontId="2" fillId="0" borderId="0"/>
    <xf numFmtId="164" fontId="25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xf numFmtId="0" fontId="2" fillId="0" borderId="0"/>
    <xf numFmtId="164" fontId="6" fillId="0" borderId="0" applyFont="0" applyFill="0" applyBorder="0" applyAlignment="0" applyProtection="0"/>
    <xf numFmtId="0" fontId="6" fillId="0" borderId="0"/>
    <xf numFmtId="0" fontId="2" fillId="0" borderId="0"/>
    <xf numFmtId="1" fontId="6"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2" fillId="0" borderId="0"/>
    <xf numFmtId="0" fontId="6" fillId="0" borderId="0"/>
    <xf numFmtId="164" fontId="6" fillId="0" borderId="0" applyFont="0" applyFill="0" applyBorder="0" applyAlignment="0" applyProtection="0"/>
    <xf numFmtId="0" fontId="6" fillId="0" borderId="0"/>
    <xf numFmtId="164" fontId="6" fillId="0" borderId="0" applyFont="0" applyFill="0" applyBorder="0" applyAlignment="0" applyProtection="0"/>
    <xf numFmtId="0" fontId="6" fillId="0" borderId="0"/>
    <xf numFmtId="184" fontId="103" fillId="0" borderId="0" applyFont="0" applyFill="0" applyBorder="0" applyAlignment="0" applyProtection="0"/>
    <xf numFmtId="0" fontId="6" fillId="0" borderId="0"/>
    <xf numFmtId="164" fontId="2" fillId="0" borderId="0" applyFont="0" applyFill="0" applyBorder="0" applyAlignment="0" applyProtection="0"/>
    <xf numFmtId="0" fontId="2" fillId="0" borderId="0"/>
    <xf numFmtId="0" fontId="6" fillId="0" borderId="0"/>
    <xf numFmtId="164" fontId="2" fillId="0" borderId="0" applyFont="0" applyFill="0" applyBorder="0" applyAlignment="0" applyProtection="0"/>
    <xf numFmtId="0" fontId="6" fillId="0" borderId="0"/>
    <xf numFmtId="0" fontId="2" fillId="0" borderId="0"/>
    <xf numFmtId="184" fontId="103" fillId="0" borderId="0" applyFont="0" applyFill="0" applyBorder="0" applyAlignment="0" applyProtection="0"/>
    <xf numFmtId="0" fontId="259" fillId="0" borderId="0" applyNumberFormat="0" applyAlignment="0">
      <alignment horizontal="left"/>
    </xf>
    <xf numFmtId="0" fontId="6" fillId="0" borderId="0"/>
    <xf numFmtId="0" fontId="2" fillId="0" borderId="0"/>
    <xf numFmtId="0" fontId="259" fillId="0" borderId="0" applyNumberFormat="0" applyAlignment="0">
      <alignment horizontal="left"/>
    </xf>
    <xf numFmtId="0" fontId="261" fillId="0" borderId="0" applyNumberForma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0" fontId="256" fillId="0" borderId="0"/>
    <xf numFmtId="0" fontId="6" fillId="0" borderId="0"/>
    <xf numFmtId="44" fontId="6" fillId="0" borderId="0" applyFont="0" applyFill="0" applyBorder="0" applyAlignment="0" applyProtection="0"/>
    <xf numFmtId="0" fontId="256" fillId="0" borderId="0"/>
    <xf numFmtId="0" fontId="6" fillId="0" borderId="0"/>
    <xf numFmtId="44" fontId="6" fillId="0" borderId="0" applyFont="0" applyFill="0" applyBorder="0" applyAlignment="0" applyProtection="0"/>
    <xf numFmtId="0" fontId="6" fillId="0" borderId="0"/>
    <xf numFmtId="44" fontId="6" fillId="0" borderId="0" applyFont="0" applyFill="0" applyBorder="0" applyAlignment="0" applyProtection="0"/>
    <xf numFmtId="0" fontId="275" fillId="0" borderId="0" applyNumberFormat="0" applyAlignment="0">
      <alignment horizontal="left"/>
    </xf>
    <xf numFmtId="0" fontId="6" fillId="0" borderId="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0" fontId="2" fillId="0" borderId="0"/>
    <xf numFmtId="44" fontId="6" fillId="0" borderId="0" applyFont="0" applyFill="0" applyBorder="0" applyAlignment="0" applyProtection="0"/>
    <xf numFmtId="44" fontId="6" fillId="0" borderId="0" applyFont="0" applyFill="0" applyBorder="0" applyAlignment="0" applyProtection="0"/>
    <xf numFmtId="0" fontId="6" fillId="0" borderId="0"/>
    <xf numFmtId="0" fontId="5" fillId="0" borderId="14" applyNumberFormat="0" applyAlignment="0" applyProtection="0">
      <alignment horizontal="left" vertical="center"/>
    </xf>
    <xf numFmtId="44" fontId="6" fillId="0" borderId="0" applyFont="0" applyFill="0" applyBorder="0" applyAlignment="0" applyProtection="0"/>
    <xf numFmtId="0" fontId="6" fillId="0" borderId="0"/>
    <xf numFmtId="0" fontId="5" fillId="0" borderId="108">
      <alignment horizontal="left" vertical="center"/>
    </xf>
    <xf numFmtId="44" fontId="6" fillId="0" borderId="0" applyFont="0" applyFill="0" applyBorder="0" applyAlignment="0" applyProtection="0"/>
    <xf numFmtId="0" fontId="6" fillId="0" borderId="0"/>
    <xf numFmtId="10" fontId="19" fillId="34" borderId="106" applyNumberFormat="0" applyBorder="0" applyAlignment="0" applyProtection="0"/>
    <xf numFmtId="4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44"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0" fontId="6" fillId="0" borderId="0"/>
    <xf numFmtId="0" fontId="2" fillId="0" borderId="0"/>
    <xf numFmtId="44" fontId="6" fillId="0" borderId="0" applyFont="0" applyFill="0" applyBorder="0" applyAlignment="0" applyProtection="0"/>
    <xf numFmtId="0" fontId="143" fillId="55" borderId="0" applyNumberFormat="0" applyBorder="0" applyAlignment="0" applyProtection="0"/>
    <xf numFmtId="0" fontId="6" fillId="0" borderId="0"/>
    <xf numFmtId="0" fontId="143" fillId="55" borderId="0" applyNumberFormat="0" applyBorder="0" applyAlignment="0" applyProtection="0"/>
    <xf numFmtId="0" fontId="6" fillId="0" borderId="0"/>
    <xf numFmtId="0" fontId="143" fillId="48" borderId="0" applyNumberFormat="0" applyBorder="0" applyAlignment="0" applyProtection="0"/>
    <xf numFmtId="0" fontId="6" fillId="0" borderId="0"/>
    <xf numFmtId="9" fontId="6" fillId="0" borderId="0" applyFont="0" applyFill="0" applyBorder="0" applyAlignment="0" applyProtection="0"/>
    <xf numFmtId="0" fontId="103" fillId="0" borderId="0"/>
    <xf numFmtId="0" fontId="6" fillId="0" borderId="9">
      <alignment horizontal="center"/>
    </xf>
    <xf numFmtId="0" fontId="143" fillId="48" borderId="0" applyNumberFormat="0" applyBorder="0" applyAlignment="0" applyProtection="0"/>
    <xf numFmtId="0" fontId="6" fillId="0" borderId="0"/>
    <xf numFmtId="0" fontId="6" fillId="0" borderId="0"/>
    <xf numFmtId="0" fontId="6" fillId="0" borderId="0"/>
    <xf numFmtId="9" fontId="6" fillId="0" borderId="0" applyFont="0" applyFill="0" applyBorder="0" applyAlignment="0" applyProtection="0"/>
    <xf numFmtId="0" fontId="103" fillId="0" borderId="0"/>
    <xf numFmtId="0" fontId="6" fillId="0" borderId="9">
      <alignment horizontal="center"/>
    </xf>
    <xf numFmtId="0" fontId="143" fillId="48" borderId="0" applyNumberFormat="0" applyBorder="0" applyAlignment="0" applyProtection="0"/>
    <xf numFmtId="0" fontId="6" fillId="0" borderId="0"/>
    <xf numFmtId="0" fontId="6" fillId="0" borderId="0"/>
    <xf numFmtId="0" fontId="143" fillId="41" borderId="0" applyNumberFormat="0" applyBorder="0" applyAlignment="0" applyProtection="0"/>
    <xf numFmtId="0" fontId="143" fillId="41" borderId="0" applyNumberFormat="0" applyBorder="0" applyAlignment="0" applyProtection="0"/>
    <xf numFmtId="0" fontId="6" fillId="0" borderId="0"/>
    <xf numFmtId="0" fontId="6" fillId="0" borderId="0"/>
    <xf numFmtId="171" fontId="105" fillId="0" borderId="25">
      <alignment horizontal="right"/>
    </xf>
    <xf numFmtId="0" fontId="6" fillId="0" borderId="0"/>
    <xf numFmtId="0" fontId="6" fillId="0" borderId="0"/>
    <xf numFmtId="0" fontId="143" fillId="41" borderId="0" applyNumberFormat="0" applyBorder="0" applyAlignment="0" applyProtection="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275" fillId="0" borderId="0" applyNumberFormat="0" applyAlignment="0">
      <alignment horizontal="left"/>
    </xf>
    <xf numFmtId="0" fontId="275" fillId="0" borderId="0" applyNumberFormat="0" applyAlignment="0">
      <alignment horizontal="left"/>
    </xf>
    <xf numFmtId="0" fontId="6" fillId="0" borderId="0"/>
    <xf numFmtId="0" fontId="261" fillId="0" borderId="0" applyNumberFormat="0" applyFill="0" applyBorder="0" applyAlignment="0" applyProtection="0"/>
    <xf numFmtId="167" fontId="6" fillId="0" borderId="0" applyFont="0" applyFill="0" applyBorder="0" applyAlignment="0" applyProtection="0"/>
    <xf numFmtId="0" fontId="6" fillId="0" borderId="0"/>
    <xf numFmtId="167" fontId="6" fillId="0" borderId="0" applyFont="0" applyFill="0" applyBorder="0" applyAlignment="0" applyProtection="0"/>
    <xf numFmtId="0" fontId="2" fillId="0" borderId="0"/>
    <xf numFmtId="0" fontId="6" fillId="0" borderId="0"/>
    <xf numFmtId="167" fontId="6" fillId="0" borderId="0" applyFont="0" applyFill="0" applyBorder="0" applyAlignment="0" applyProtection="0"/>
    <xf numFmtId="0" fontId="6" fillId="0" borderId="0"/>
    <xf numFmtId="167" fontId="6" fillId="0" borderId="0" applyFont="0" applyFill="0" applyBorder="0" applyAlignment="0" applyProtection="0"/>
    <xf numFmtId="0" fontId="262" fillId="0" borderId="106">
      <alignment horizontal="center"/>
    </xf>
    <xf numFmtId="0" fontId="6" fillId="0" borderId="0"/>
    <xf numFmtId="167" fontId="6" fillId="0" borderId="0" applyFont="0" applyFill="0" applyBorder="0" applyAlignment="0" applyProtection="0"/>
    <xf numFmtId="0" fontId="262" fillId="0" borderId="106">
      <alignment horizontal="center"/>
    </xf>
    <xf numFmtId="0" fontId="6" fillId="0" borderId="0"/>
    <xf numFmtId="167" fontId="6" fillId="0" borderId="0" applyFont="0" applyFill="0" applyBorder="0" applyAlignment="0" applyProtection="0"/>
    <xf numFmtId="0" fontId="2" fillId="0" borderId="0"/>
    <xf numFmtId="0" fontId="256" fillId="0" borderId="0"/>
    <xf numFmtId="0" fontId="6" fillId="0" borderId="0"/>
    <xf numFmtId="0" fontId="6" fillId="0" borderId="0"/>
    <xf numFmtId="0" fontId="2" fillId="0" borderId="0"/>
    <xf numFmtId="0" fontId="256" fillId="0" borderId="0"/>
    <xf numFmtId="0" fontId="6" fillId="0" borderId="0"/>
    <xf numFmtId="1" fontId="6" fillId="0" borderId="0"/>
    <xf numFmtId="0" fontId="267" fillId="0" borderId="0" applyNumberFormat="0" applyFill="0" applyBorder="0" applyAlignment="0" applyProtection="0"/>
    <xf numFmtId="0" fontId="6" fillId="0" borderId="0"/>
    <xf numFmtId="0" fontId="267" fillId="0" borderId="0" applyNumberFormat="0" applyFill="0" applyBorder="0" applyAlignment="0" applyProtection="0"/>
    <xf numFmtId="0" fontId="6" fillId="0" borderId="0"/>
    <xf numFmtId="1" fontId="6" fillId="0" borderId="0"/>
    <xf numFmtId="0" fontId="267" fillId="0" borderId="0" applyNumberFormat="0" applyFill="0" applyBorder="0" applyAlignment="0" applyProtection="0"/>
    <xf numFmtId="0" fontId="6" fillId="0" borderId="0"/>
    <xf numFmtId="0" fontId="2" fillId="0" borderId="0"/>
    <xf numFmtId="1" fontId="6" fillId="0" borderId="0"/>
    <xf numFmtId="0" fontId="6" fillId="0" borderId="0"/>
    <xf numFmtId="0" fontId="2"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0" fontId="6" fillId="0" borderId="0"/>
    <xf numFmtId="1" fontId="6" fillId="0" borderId="0"/>
    <xf numFmtId="1" fontId="6" fillId="0" borderId="0"/>
    <xf numFmtId="1"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2" fillId="0" borderId="0"/>
    <xf numFmtId="1" fontId="6" fillId="0" borderId="0"/>
    <xf numFmtId="1" fontId="6" fillId="0" borderId="0"/>
    <xf numFmtId="1" fontId="6" fillId="0" borderId="0"/>
    <xf numFmtId="1" fontId="6" fillId="0" borderId="0"/>
    <xf numFmtId="1" fontId="6" fillId="0" borderId="0"/>
    <xf numFmtId="1" fontId="6" fillId="0" borderId="0"/>
    <xf numFmtId="10" fontId="6" fillId="0" borderId="0" applyFont="0" applyFill="0" applyBorder="0" applyAlignment="0" applyProtection="0"/>
    <xf numFmtId="1" fontId="6" fillId="0" borderId="0"/>
    <xf numFmtId="10" fontId="6" fillId="0" borderId="0" applyFont="0" applyFill="0" applyBorder="0" applyAlignment="0" applyProtection="0"/>
    <xf numFmtId="1" fontId="6" fillId="0" borderId="0"/>
    <xf numFmtId="0" fontId="6" fillId="0" borderId="0"/>
    <xf numFmtId="38" fontId="19" fillId="33" borderId="0" applyNumberFormat="0" applyBorder="0" applyAlignment="0" applyProtection="0"/>
    <xf numFmtId="10" fontId="6" fillId="0" borderId="0" applyFont="0" applyFill="0" applyBorder="0" applyAlignment="0" applyProtection="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0" fontId="2"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1" fontId="6" fillId="0" borderId="0"/>
    <xf numFmtId="0" fontId="6" fillId="0" borderId="0"/>
    <xf numFmtId="0" fontId="6" fillId="0" borderId="0"/>
    <xf numFmtId="0" fontId="276" fillId="36" borderId="0" applyNumberFormat="0" applyBorder="0" applyAlignment="0" applyProtection="0"/>
    <xf numFmtId="0" fontId="6" fillId="0" borderId="0"/>
    <xf numFmtId="0" fontId="276" fillId="36" borderId="0" applyNumberFormat="0" applyBorder="0" applyAlignment="0" applyProtection="0"/>
    <xf numFmtId="9" fontId="2" fillId="0" borderId="0" applyFont="0" applyFill="0" applyBorder="0" applyAlignment="0" applyProtection="0"/>
    <xf numFmtId="0" fontId="266" fillId="47" borderId="0" applyNumberFormat="0" applyBorder="0" applyAlignment="0" applyProtection="0"/>
    <xf numFmtId="0" fontId="6" fillId="0" borderId="0"/>
    <xf numFmtId="0" fontId="103" fillId="0" borderId="0"/>
    <xf numFmtId="0" fontId="2" fillId="0" borderId="0"/>
    <xf numFmtId="0" fontId="273" fillId="0" borderId="103" applyNumberFormat="0" applyFill="0" applyAlignment="0" applyProtection="0"/>
    <xf numFmtId="0" fontId="6" fillId="0" borderId="0"/>
    <xf numFmtId="0" fontId="273" fillId="0" borderId="103" applyNumberFormat="0" applyFill="0" applyAlignment="0" applyProtection="0"/>
    <xf numFmtId="0" fontId="6" fillId="0" borderId="0"/>
    <xf numFmtId="0" fontId="273" fillId="0" borderId="103" applyNumberFormat="0" applyFill="0" applyAlignment="0" applyProtection="0"/>
    <xf numFmtId="0" fontId="273" fillId="0" borderId="103" applyNumberFormat="0" applyFill="0" applyAlignment="0" applyProtection="0"/>
    <xf numFmtId="0" fontId="270" fillId="0" borderId="101" applyNumberFormat="0" applyFill="0" applyAlignment="0" applyProtection="0"/>
    <xf numFmtId="0" fontId="261" fillId="0" borderId="0" applyNumberFormat="0" applyFill="0" applyBorder="0" applyAlignment="0" applyProtection="0"/>
    <xf numFmtId="0" fontId="6" fillId="0" borderId="0"/>
    <xf numFmtId="9" fontId="6" fillId="0" borderId="0" applyFont="0" applyFill="0" applyBorder="0" applyAlignment="0" applyProtection="0"/>
    <xf numFmtId="0" fontId="286" fillId="0" borderId="0" applyNumberFormat="0" applyFill="0" applyBorder="0" applyAlignment="0" applyProtection="0">
      <alignment vertical="top"/>
      <protection locked="0"/>
    </xf>
    <xf numFmtId="0" fontId="6" fillId="0" borderId="0"/>
    <xf numFmtId="9" fontId="6" fillId="0" borderId="0" applyFont="0" applyFill="0" applyBorder="0" applyAlignment="0" applyProtection="0"/>
    <xf numFmtId="0" fontId="280" fillId="0" borderId="0" applyNumberFormat="0" applyFill="0" applyBorder="0" applyAlignment="0" applyProtection="0">
      <alignment vertical="top"/>
      <protection locked="0"/>
    </xf>
    <xf numFmtId="0" fontId="6" fillId="34" borderId="110" applyNumberFormat="0" applyFont="0" applyAlignment="0" applyProtection="0"/>
    <xf numFmtId="0" fontId="6" fillId="0" borderId="0"/>
    <xf numFmtId="0" fontId="6" fillId="0" borderId="0"/>
    <xf numFmtId="9" fontId="2" fillId="0" borderId="0" applyFont="0" applyFill="0" applyBorder="0" applyAlignment="0" applyProtection="0"/>
    <xf numFmtId="0" fontId="2" fillId="0" borderId="0"/>
    <xf numFmtId="0" fontId="277" fillId="0" borderId="104" applyNumberFormat="0" applyFill="0" applyAlignment="0" applyProtection="0"/>
    <xf numFmtId="0" fontId="2" fillId="0" borderId="0"/>
    <xf numFmtId="0" fontId="277" fillId="0" borderId="104" applyNumberFormat="0" applyFill="0" applyAlignment="0" applyProtection="0"/>
    <xf numFmtId="0" fontId="2" fillId="0" borderId="0"/>
    <xf numFmtId="0" fontId="277" fillId="0" borderId="104" applyNumberFormat="0" applyFill="0" applyAlignment="0" applyProtection="0"/>
    <xf numFmtId="0" fontId="2" fillId="0" borderId="0"/>
    <xf numFmtId="0" fontId="277" fillId="0" borderId="104" applyNumberFormat="0" applyFill="0" applyAlignment="0" applyProtection="0"/>
    <xf numFmtId="0" fontId="182" fillId="0" borderId="0" applyProtection="0">
      <alignment horizontal="center" vertical="center"/>
    </xf>
    <xf numFmtId="0" fontId="6" fillId="0" borderId="0"/>
    <xf numFmtId="0" fontId="182" fillId="0" borderId="0" applyProtection="0">
      <alignment horizontal="center" vertical="center"/>
    </xf>
    <xf numFmtId="0" fontId="6" fillId="0" borderId="0"/>
    <xf numFmtId="0" fontId="6" fillId="0" borderId="0"/>
    <xf numFmtId="0" fontId="182" fillId="0" borderId="0" applyProtection="0">
      <alignment horizontal="center" vertical="center"/>
    </xf>
    <xf numFmtId="0" fontId="6" fillId="0" borderId="0"/>
    <xf numFmtId="171" fontId="105" fillId="0" borderId="25">
      <alignment horizontal="right"/>
    </xf>
    <xf numFmtId="0" fontId="266" fillId="47" borderId="0" applyNumberFormat="0" applyBorder="0" applyAlignment="0" applyProtection="0"/>
    <xf numFmtId="0" fontId="271" fillId="0" borderId="0" applyNumberFormat="0" applyFill="0">
      <alignment horizontal="left" vertical="center"/>
    </xf>
    <xf numFmtId="37" fontId="269" fillId="0" borderId="0"/>
    <xf numFmtId="0" fontId="2" fillId="0" borderId="0"/>
    <xf numFmtId="0" fontId="6" fillId="0" borderId="0"/>
    <xf numFmtId="37" fontId="269" fillId="0" borderId="0"/>
    <xf numFmtId="0" fontId="6" fillId="0" borderId="0"/>
    <xf numFmtId="37" fontId="269" fillId="0" borderId="0"/>
    <xf numFmtId="0" fontId="6" fillId="0" borderId="0"/>
    <xf numFmtId="37" fontId="26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0" borderId="0"/>
    <xf numFmtId="9" fontId="6" fillId="0" borderId="0" applyFont="0" applyFill="0" applyBorder="0" applyAlignment="0" applyProtection="0"/>
    <xf numFmtId="0" fontId="6" fillId="34" borderId="110" applyNumberFormat="0" applyFont="0" applyAlignment="0" applyProtection="0"/>
    <xf numFmtId="0" fontId="6" fillId="0" borderId="0"/>
    <xf numFmtId="9" fontId="6" fillId="0" borderId="0" applyFont="0" applyFill="0" applyBorder="0" applyAlignment="0" applyProtection="0"/>
    <xf numFmtId="0" fontId="6" fillId="34" borderId="110" applyNumberFormat="0" applyFont="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143" fillId="0" borderId="112" applyNumberFormat="0" applyFill="0" applyAlignment="0" applyProtection="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6" fillId="0" borderId="0"/>
    <xf numFmtId="0" fontId="2"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40" fontId="107" fillId="0" borderId="0"/>
    <xf numFmtId="0" fontId="6" fillId="0" borderId="0"/>
    <xf numFmtId="0" fontId="6" fillId="0" borderId="0"/>
    <xf numFmtId="40" fontId="10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56" fillId="0" borderId="0"/>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2" fillId="0" borderId="0" applyFont="0" applyFill="0" applyBorder="0" applyAlignment="0" applyProtection="0"/>
    <xf numFmtId="0" fontId="2" fillId="0" borderId="0"/>
    <xf numFmtId="0" fontId="6" fillId="0" borderId="0"/>
    <xf numFmtId="0" fontId="6" fillId="0" borderId="0"/>
    <xf numFmtId="9" fontId="2" fillId="0" borderId="0" applyFont="0" applyFill="0" applyBorder="0" applyAlignment="0" applyProtection="0"/>
    <xf numFmtId="0" fontId="2"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103"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103"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103"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103" fillId="0" borderId="0"/>
    <xf numFmtId="9" fontId="6" fillId="0" borderId="0" applyFont="0" applyFill="0" applyBorder="0" applyAlignment="0" applyProtection="0"/>
    <xf numFmtId="0" fontId="103"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262" fillId="0" borderId="0">
      <alignment horizontal="center" vertical="center"/>
    </xf>
    <xf numFmtId="0" fontId="6" fillId="0" borderId="0"/>
    <xf numFmtId="0" fontId="6" fillId="0" borderId="0"/>
    <xf numFmtId="0" fontId="6" fillId="0" borderId="0"/>
    <xf numFmtId="0" fontId="6" fillId="0" borderId="0"/>
    <xf numFmtId="0" fontId="6" fillId="0" borderId="0"/>
    <xf numFmtId="0" fontId="271" fillId="0" borderId="0" applyNumberFormat="0" applyFill="0">
      <alignment horizontal="left" vertical="center"/>
    </xf>
    <xf numFmtId="0" fontId="6" fillId="0" borderId="0"/>
    <xf numFmtId="0" fontId="271" fillId="0" borderId="0" applyNumberFormat="0" applyFill="0">
      <alignment horizontal="left" vertical="center"/>
    </xf>
    <xf numFmtId="0" fontId="6" fillId="0" borderId="0"/>
    <xf numFmtId="0" fontId="271" fillId="0" borderId="0" applyNumberFormat="0" applyFill="0">
      <alignment horizontal="lef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9" fontId="2" fillId="0" borderId="0" applyFont="0" applyFill="0" applyBorder="0" applyAlignment="0" applyProtection="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06">
      <alignment horizontal="center" vertical="center" wrapText="1"/>
    </xf>
    <xf numFmtId="0" fontId="6" fillId="0" borderId="0"/>
    <xf numFmtId="0" fontId="6" fillId="0" borderId="0"/>
    <xf numFmtId="0" fontId="6" fillId="0" borderId="0"/>
    <xf numFmtId="0" fontId="6" fillId="0" borderId="0"/>
    <xf numFmtId="0" fontId="256" fillId="0" borderId="0"/>
    <xf numFmtId="0" fontId="6" fillId="0" borderId="0"/>
    <xf numFmtId="0" fontId="2" fillId="0" borderId="0"/>
    <xf numFmtId="0" fontId="2" fillId="0" borderId="0"/>
    <xf numFmtId="0" fontId="6" fillId="0" borderId="0"/>
    <xf numFmtId="0" fontId="2" fillId="0" borderId="0"/>
    <xf numFmtId="0" fontId="2" fillId="0" borderId="0"/>
    <xf numFmtId="0" fontId="2" fillId="0" borderId="0"/>
    <xf numFmtId="0" fontId="6" fillId="0" borderId="0"/>
    <xf numFmtId="0" fontId="2" fillId="0" borderId="0"/>
    <xf numFmtId="0" fontId="6" fillId="0" borderId="0"/>
    <xf numFmtId="0" fontId="6" fillId="0" borderId="0"/>
    <xf numFmtId="0" fontId="2" fillId="0" borderId="0"/>
    <xf numFmtId="0" fontId="25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2" fillId="0" borderId="0">
      <alignment horizontal="center"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2" fillId="0" borderId="0"/>
    <xf numFmtId="0" fontId="2" fillId="0" borderId="0"/>
    <xf numFmtId="0" fontId="278" fillId="0" borderId="0" applyNumberFormat="0" applyFill="0" applyBorder="0" applyAlignment="0" applyProtection="0"/>
    <xf numFmtId="0" fontId="2" fillId="0" borderId="0"/>
    <xf numFmtId="0" fontId="278"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9" fontId="2" fillId="0" borderId="0" applyFont="0" applyFill="0" applyBorder="0" applyAlignment="0" applyProtection="0"/>
    <xf numFmtId="0" fontId="6" fillId="0" borderId="0"/>
    <xf numFmtId="0" fontId="2" fillId="0" borderId="0"/>
    <xf numFmtId="9" fontId="2" fillId="0" borderId="0" applyFont="0" applyFill="0" applyBorder="0" applyAlignment="0" applyProtection="0"/>
    <xf numFmtId="0" fontId="2" fillId="0" borderId="0"/>
    <xf numFmtId="0" fontId="103"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281"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103" fillId="0" borderId="0"/>
    <xf numFmtId="0" fontId="2" fillId="0" borderId="0"/>
    <xf numFmtId="0" fontId="6" fillId="0" borderId="0"/>
    <xf numFmtId="0" fontId="6" fillId="0" borderId="0"/>
    <xf numFmtId="0" fontId="6" fillId="0" borderId="0"/>
    <xf numFmtId="0" fontId="2" fillId="0" borderId="0"/>
    <xf numFmtId="0" fontId="103" fillId="0" borderId="0"/>
    <xf numFmtId="0" fontId="6" fillId="0" borderId="0"/>
    <xf numFmtId="0" fontId="2" fillId="0" borderId="0"/>
    <xf numFmtId="0" fontId="103" fillId="0" borderId="0"/>
    <xf numFmtId="0" fontId="6" fillId="0" borderId="0"/>
    <xf numFmtId="0" fontId="2" fillId="0" borderId="0"/>
    <xf numFmtId="0" fontId="6" fillId="0" borderId="0"/>
    <xf numFmtId="0" fontId="6" fillId="0" borderId="0"/>
    <xf numFmtId="0" fontId="6" fillId="0" borderId="0"/>
    <xf numFmtId="0" fontId="103" fillId="0" borderId="0"/>
    <xf numFmtId="0" fontId="6" fillId="0" borderId="0"/>
    <xf numFmtId="0" fontId="6" fillId="0" borderId="0"/>
    <xf numFmtId="0" fontId="103"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6" fillId="0" borderId="0"/>
    <xf numFmtId="0" fontId="103" fillId="0" borderId="0"/>
    <xf numFmtId="0" fontId="2" fillId="0" borderId="0"/>
    <xf numFmtId="0" fontId="103" fillId="0" borderId="0"/>
    <xf numFmtId="0" fontId="103"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9">
      <alignment horizontal="center"/>
    </xf>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103" fillId="0" borderId="0"/>
    <xf numFmtId="0" fontId="6" fillId="0" borderId="0"/>
    <xf numFmtId="0" fontId="103" fillId="0" borderId="0"/>
    <xf numFmtId="0" fontId="103"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6" fillId="0" borderId="0"/>
    <xf numFmtId="0" fontId="103" fillId="0" borderId="0"/>
    <xf numFmtId="0" fontId="103" fillId="0" borderId="0"/>
    <xf numFmtId="0" fontId="6" fillId="0" borderId="0"/>
    <xf numFmtId="0" fontId="103" fillId="0" borderId="0"/>
    <xf numFmtId="0" fontId="2" fillId="0" borderId="0"/>
    <xf numFmtId="0" fontId="6" fillId="0" borderId="0"/>
    <xf numFmtId="0" fontId="103" fillId="0" borderId="0"/>
    <xf numFmtId="0" fontId="2"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9"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6" fillId="0" borderId="0"/>
    <xf numFmtId="0" fontId="103" fillId="0" borderId="0"/>
    <xf numFmtId="0" fontId="6" fillId="0" borderId="0"/>
    <xf numFmtId="0" fontId="2" fillId="0" borderId="0"/>
    <xf numFmtId="0" fontId="6" fillId="0" borderId="0"/>
    <xf numFmtId="0" fontId="6" fillId="0" borderId="0"/>
    <xf numFmtId="0" fontId="6" fillId="0" borderId="0"/>
    <xf numFmtId="0" fontId="25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2" fillId="0" borderId="0"/>
    <xf numFmtId="0" fontId="103"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6" fillId="0" borderId="0"/>
    <xf numFmtId="0" fontId="103" fillId="0" borderId="0"/>
    <xf numFmtId="0" fontId="2" fillId="0" borderId="0"/>
    <xf numFmtId="0" fontId="2" fillId="0" borderId="0"/>
    <xf numFmtId="0" fontId="2"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2" fillId="0" borderId="0"/>
    <xf numFmtId="0" fontId="6" fillId="0" borderId="0"/>
    <xf numFmtId="0" fontId="2"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9" fontId="6" fillId="0" borderId="0" applyFont="0" applyFill="0" applyBorder="0" applyAlignment="0" applyProtection="0"/>
    <xf numFmtId="0" fontId="2" fillId="0" borderId="0"/>
    <xf numFmtId="0" fontId="2" fillId="0" borderId="0"/>
    <xf numFmtId="0" fontId="2" fillId="0" borderId="0"/>
    <xf numFmtId="9" fontId="6" fillId="0" borderId="0" applyFont="0" applyFill="0" applyBorder="0" applyAlignment="0" applyProtection="0"/>
    <xf numFmtId="0" fontId="2" fillId="0" borderId="0"/>
    <xf numFmtId="0" fontId="2" fillId="0" borderId="0"/>
    <xf numFmtId="9"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6" fillId="0" borderId="0"/>
    <xf numFmtId="0" fontId="2" fillId="0" borderId="0"/>
    <xf numFmtId="0" fontId="2" fillId="0" borderId="0"/>
    <xf numFmtId="0" fontId="6"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9" fontId="6" fillId="0" borderId="0" applyFill="0" applyBorder="0" applyAlignment="0" applyProtection="0"/>
    <xf numFmtId="0" fontId="2" fillId="0" borderId="0"/>
    <xf numFmtId="0" fontId="6"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6" fillId="0" borderId="0"/>
    <xf numFmtId="0" fontId="6" fillId="34" borderId="110" applyNumberFormat="0" applyFont="0" applyAlignment="0" applyProtection="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56" fillId="0" borderId="0"/>
    <xf numFmtId="0" fontId="2" fillId="0" borderId="0"/>
    <xf numFmtId="0" fontId="2" fillId="0" borderId="0"/>
    <xf numFmtId="0" fontId="2" fillId="0" borderId="0"/>
    <xf numFmtId="0" fontId="2" fillId="0" borderId="0"/>
    <xf numFmtId="0" fontId="6" fillId="0" borderId="0"/>
    <xf numFmtId="0" fontId="6" fillId="34" borderId="11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5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6" fillId="0" borderId="0"/>
    <xf numFmtId="0" fontId="287" fillId="33" borderId="113" applyNumberFormat="0" applyAlignment="0" applyProtection="0"/>
    <xf numFmtId="0" fontId="6" fillId="0" borderId="0"/>
    <xf numFmtId="0" fontId="287" fillId="33" borderId="113" applyNumberFormat="0" applyAlignment="0" applyProtection="0"/>
    <xf numFmtId="0" fontId="6" fillId="0" borderId="0"/>
    <xf numFmtId="0" fontId="6" fillId="0" borderId="0"/>
    <xf numFmtId="0" fontId="6" fillId="0" borderId="0"/>
    <xf numFmtId="0" fontId="262" fillId="0" borderId="106">
      <alignment horizont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9" fontId="6" fillId="0" borderId="0" applyFont="0" applyFill="0" applyBorder="0" applyAlignment="0" applyProtection="0"/>
    <xf numFmtId="0" fontId="2" fillId="0" borderId="0"/>
    <xf numFmtId="9" fontId="256" fillId="0" borderId="0" applyFont="0" applyFill="0" applyBorder="0" applyAlignment="0" applyProtection="0"/>
    <xf numFmtId="0" fontId="2" fillId="0" borderId="0"/>
    <xf numFmtId="9" fontId="103"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2" fillId="0" borderId="0" applyFont="0" applyFill="0" applyBorder="0" applyAlignment="0" applyProtection="0"/>
    <xf numFmtId="0" fontId="6" fillId="0" borderId="0"/>
    <xf numFmtId="0" fontId="6" fillId="0" borderId="0"/>
    <xf numFmtId="0" fontId="103" fillId="0" borderId="0"/>
    <xf numFmtId="0" fontId="6" fillId="0" borderId="0"/>
    <xf numFmtId="0" fontId="103" fillId="0" borderId="0"/>
    <xf numFmtId="0" fontId="103" fillId="0" borderId="0"/>
    <xf numFmtId="0" fontId="141" fillId="0" borderId="0" applyNumberFormat="0" applyFill="0" applyBorder="0" applyAlignment="0" applyProtection="0"/>
    <xf numFmtId="0" fontId="103" fillId="0" borderId="0"/>
    <xf numFmtId="0" fontId="2" fillId="0" borderId="0"/>
    <xf numFmtId="0" fontId="103" fillId="0" borderId="0"/>
    <xf numFmtId="0" fontId="2" fillId="0" borderId="0"/>
    <xf numFmtId="0" fontId="25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6" fillId="0" borderId="0"/>
    <xf numFmtId="0" fontId="2" fillId="0" borderId="0"/>
    <xf numFmtId="0" fontId="6" fillId="0" borderId="0"/>
    <xf numFmtId="0" fontId="2"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82"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34" borderId="110" applyNumberFormat="0" applyFont="0" applyAlignment="0" applyProtection="0"/>
    <xf numFmtId="0" fontId="2" fillId="0" borderId="0"/>
    <xf numFmtId="0" fontId="6" fillId="34" borderId="110" applyNumberFormat="0" applyFont="0" applyAlignment="0" applyProtection="0"/>
    <xf numFmtId="0" fontId="2" fillId="0" borderId="0"/>
    <xf numFmtId="0" fontId="2" fillId="0" borderId="0"/>
    <xf numFmtId="0" fontId="6" fillId="34" borderId="110" applyNumberFormat="0" applyFont="0" applyAlignment="0" applyProtection="0"/>
    <xf numFmtId="0" fontId="2" fillId="0" borderId="0"/>
    <xf numFmtId="0" fontId="6" fillId="0" borderId="0"/>
    <xf numFmtId="0" fontId="2" fillId="0" borderId="0"/>
    <xf numFmtId="0" fontId="2" fillId="0" borderId="0"/>
    <xf numFmtId="0" fontId="6" fillId="34" borderId="110" applyNumberFormat="0" applyFont="0" applyAlignment="0" applyProtection="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9">
      <alignment horizontal="center"/>
    </xf>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34" borderId="110" applyNumberFormat="0" applyFont="0" applyAlignment="0" applyProtection="0"/>
    <xf numFmtId="0" fontId="6" fillId="0" borderId="0"/>
    <xf numFmtId="0" fontId="6" fillId="0" borderId="9">
      <alignment horizontal="center"/>
    </xf>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34" borderId="110" applyNumberFormat="0" applyFont="0" applyAlignment="0" applyProtection="0"/>
    <xf numFmtId="0" fontId="6" fillId="0" borderId="0"/>
    <xf numFmtId="0" fontId="6" fillId="34" borderId="110" applyNumberFormat="0" applyFont="0" applyAlignment="0" applyProtection="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34" borderId="110" applyNumberFormat="0" applyFont="0" applyAlignment="0" applyProtection="0"/>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9" fontId="2" fillId="0" borderId="0" applyFont="0" applyFill="0" applyBorder="0" applyAlignment="0" applyProtection="0"/>
    <xf numFmtId="0" fontId="6" fillId="0" borderId="9">
      <alignment horizontal="center"/>
    </xf>
    <xf numFmtId="0" fontId="6" fillId="0" borderId="0"/>
    <xf numFmtId="0" fontId="6" fillId="0" borderId="0"/>
    <xf numFmtId="0" fontId="6" fillId="0" borderId="0"/>
    <xf numFmtId="0" fontId="6" fillId="0" borderId="0"/>
    <xf numFmtId="0" fontId="6" fillId="34" borderId="110" applyNumberFormat="0" applyFont="0" applyAlignment="0" applyProtection="0"/>
    <xf numFmtId="0" fontId="6" fillId="0" borderId="0"/>
    <xf numFmtId="0" fontId="6" fillId="0" borderId="0"/>
    <xf numFmtId="0" fontId="6" fillId="34" borderId="110" applyNumberFormat="0" applyFont="0" applyAlignment="0" applyProtection="0"/>
    <xf numFmtId="0" fontId="6" fillId="0" borderId="0"/>
    <xf numFmtId="0" fontId="6" fillId="0" borderId="9">
      <alignment horizontal="center"/>
    </xf>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0" fontId="2"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262" fillId="0" borderId="106">
      <alignment horizontal="center"/>
    </xf>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2"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9" fontId="2" fillId="0" borderId="0" applyFont="0" applyFill="0" applyBorder="0" applyAlignment="0" applyProtection="0"/>
    <xf numFmtId="0" fontId="6" fillId="0" borderId="9">
      <alignment horizontal="center"/>
    </xf>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9" fontId="6" fillId="0" borderId="0" applyFont="0" applyFill="0" applyBorder="0" applyAlignment="0" applyProtection="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9">
      <alignment horizont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2"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2"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9" fontId="6" fillId="0" borderId="0" applyFont="0" applyFill="0" applyBorder="0" applyAlignment="0" applyProtection="0"/>
    <xf numFmtId="0" fontId="2" fillId="0" borderId="0"/>
    <xf numFmtId="0" fontId="2" fillId="0" borderId="0"/>
    <xf numFmtId="0" fontId="28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82" fontId="6" fillId="0" borderId="0" applyFont="0" applyFill="0" applyBorder="0" applyAlignment="0" applyProtection="0"/>
    <xf numFmtId="0" fontId="2" fillId="0" borderId="0"/>
    <xf numFmtId="182"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56" fillId="0" borderId="0" applyFont="0" applyFill="0" applyBorder="0" applyAlignment="0" applyProtection="0"/>
    <xf numFmtId="0" fontId="2" fillId="0" borderId="0"/>
    <xf numFmtId="9" fontId="256"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9" fontId="6" fillId="0" borderId="0" applyFont="0" applyFill="0" applyBorder="0" applyAlignment="0" applyProtection="0"/>
    <xf numFmtId="0" fontId="2" fillId="0" borderId="0"/>
    <xf numFmtId="0" fontId="2" fillId="0" borderId="0"/>
    <xf numFmtId="9"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6" fillId="0" borderId="0"/>
    <xf numFmtId="0" fontId="6" fillId="0" borderId="0"/>
    <xf numFmtId="0" fontId="2"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1" fillId="0" borderId="0" applyNumberFormat="0" applyFill="0" applyBorder="0" applyAlignment="0" applyProtection="0"/>
    <xf numFmtId="0" fontId="6" fillId="0" borderId="0"/>
    <xf numFmtId="0" fontId="141" fillId="0" borderId="0" applyNumberFormat="0" applyFill="0" applyBorder="0" applyAlignment="0" applyProtection="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143" fillId="0" borderId="112" applyNumberFormat="0" applyFill="0" applyAlignment="0" applyProtection="0"/>
    <xf numFmtId="0" fontId="6" fillId="0" borderId="0"/>
    <xf numFmtId="0" fontId="143" fillId="0" borderId="112" applyNumberFormat="0" applyFill="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103" fillId="0" borderId="0"/>
    <xf numFmtId="9" fontId="6" fillId="0" borderId="0" applyFont="0" applyFill="0" applyBorder="0" applyAlignment="0" applyProtection="0"/>
    <xf numFmtId="0" fontId="6" fillId="0" borderId="0"/>
    <xf numFmtId="0" fontId="6" fillId="0" borderId="0"/>
    <xf numFmtId="0" fontId="6" fillId="0" borderId="0"/>
    <xf numFmtId="0" fontId="2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06">
      <alignment horizontal="center" vertical="center" wrapText="1"/>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2" fillId="0" borderId="106">
      <alignment horizontal="center" vertical="center" wrapText="1"/>
    </xf>
    <xf numFmtId="0" fontId="6" fillId="0" borderId="0"/>
    <xf numFmtId="9" fontId="2" fillId="0" borderId="0" applyFont="0" applyFill="0" applyBorder="0" applyAlignment="0" applyProtection="0"/>
    <xf numFmtId="0" fontId="6" fillId="0" borderId="0"/>
    <xf numFmtId="9" fontId="2" fillId="0" borderId="0" applyFont="0" applyFill="0" applyBorder="0" applyAlignment="0" applyProtection="0"/>
    <xf numFmtId="0" fontId="6" fillId="0" borderId="0"/>
    <xf numFmtId="9" fontId="2" fillId="0" borderId="0" applyFont="0" applyFill="0" applyBorder="0" applyAlignment="0" applyProtection="0"/>
    <xf numFmtId="9" fontId="2" fillId="0" borderId="0" applyFont="0" applyFill="0" applyBorder="0" applyAlignment="0" applyProtection="0"/>
    <xf numFmtId="0" fontId="6" fillId="0" borderId="0"/>
    <xf numFmtId="9" fontId="2" fillId="0" borderId="0" applyFont="0" applyFill="0" applyBorder="0" applyAlignment="0" applyProtection="0"/>
    <xf numFmtId="9" fontId="2" fillId="0" borderId="0" applyFont="0" applyFill="0" applyBorder="0" applyAlignment="0" applyProtection="0"/>
    <xf numFmtId="0" fontId="6" fillId="0" borderId="0"/>
    <xf numFmtId="9" fontId="2" fillId="0" borderId="0" applyFont="0" applyFill="0" applyBorder="0" applyAlignment="0" applyProtection="0"/>
    <xf numFmtId="0" fontId="278" fillId="0" borderId="0" applyNumberForma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9" fontId="6" fillId="0" borderId="0" applyFont="0" applyFill="0" applyBorder="0" applyAlignment="0" applyProtection="0"/>
    <xf numFmtId="0" fontId="6" fillId="34" borderId="110" applyNumberFormat="0" applyFont="0" applyAlignment="0" applyProtection="0"/>
    <xf numFmtId="9" fontId="6" fillId="0" borderId="0" applyFont="0" applyFill="0" applyBorder="0" applyAlignment="0" applyProtection="0"/>
    <xf numFmtId="0" fontId="6" fillId="34" borderId="110" applyNumberFormat="0" applyFont="0" applyAlignment="0" applyProtection="0"/>
    <xf numFmtId="9" fontId="6" fillId="0" borderId="0" applyFont="0" applyFill="0" applyBorder="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0" fontId="6" fillId="34" borderId="110" applyNumberFormat="0" applyFont="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25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262" fillId="0" borderId="106">
      <alignment horizontal="center"/>
    </xf>
    <xf numFmtId="0" fontId="262" fillId="0" borderId="106">
      <alignment horizontal="center"/>
    </xf>
    <xf numFmtId="0" fontId="262" fillId="0" borderId="0">
      <alignment horizontal="center" vertical="center"/>
    </xf>
    <xf numFmtId="49" fontId="6" fillId="0" borderId="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78" fillId="0" borderId="0" applyNumberFormat="0" applyFill="0" applyBorder="0" applyAlignment="0" applyProtection="0"/>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0"/>
    <xf numFmtId="0" fontId="103" fillId="0" borderId="0"/>
    <xf numFmtId="0" fontId="6" fillId="0" borderId="0"/>
    <xf numFmtId="0" fontId="256" fillId="56" borderId="0" applyNumberFormat="0" applyBorder="0" applyAlignment="0" applyProtection="0"/>
    <xf numFmtId="0" fontId="256" fillId="56" borderId="0" applyNumberFormat="0" applyBorder="0" applyAlignment="0" applyProtection="0"/>
    <xf numFmtId="0" fontId="256" fillId="56" borderId="0" applyNumberFormat="0" applyBorder="0" applyAlignment="0" applyProtection="0"/>
    <xf numFmtId="0" fontId="256" fillId="57" borderId="0" applyNumberFormat="0" applyBorder="0" applyAlignment="0" applyProtection="0"/>
    <xf numFmtId="0" fontId="256" fillId="57" borderId="0" applyNumberFormat="0" applyBorder="0" applyAlignment="0" applyProtection="0"/>
    <xf numFmtId="0" fontId="256" fillId="57" borderId="0" applyNumberFormat="0" applyBorder="0" applyAlignment="0" applyProtection="0"/>
    <xf numFmtId="0" fontId="256" fillId="58" borderId="0" applyNumberFormat="0" applyBorder="0" applyAlignment="0" applyProtection="0"/>
    <xf numFmtId="0" fontId="256" fillId="58" borderId="0" applyNumberFormat="0" applyBorder="0" applyAlignment="0" applyProtection="0"/>
    <xf numFmtId="0" fontId="256" fillId="58" borderId="0" applyNumberFormat="0" applyBorder="0" applyAlignment="0" applyProtection="0"/>
    <xf numFmtId="0" fontId="256" fillId="59" borderId="0" applyNumberFormat="0" applyBorder="0" applyAlignment="0" applyProtection="0"/>
    <xf numFmtId="0" fontId="256" fillId="59" borderId="0" applyNumberFormat="0" applyBorder="0" applyAlignment="0" applyProtection="0"/>
    <xf numFmtId="0" fontId="256" fillId="59" borderId="0" applyNumberFormat="0" applyBorder="0" applyAlignment="0" applyProtection="0"/>
    <xf numFmtId="0" fontId="256" fillId="60" borderId="0" applyNumberFormat="0" applyBorder="0" applyAlignment="0" applyProtection="0"/>
    <xf numFmtId="0" fontId="256" fillId="60" borderId="0" applyNumberFormat="0" applyBorder="0" applyAlignment="0" applyProtection="0"/>
    <xf numFmtId="0" fontId="256" fillId="60" borderId="0" applyNumberFormat="0" applyBorder="0" applyAlignment="0" applyProtection="0"/>
    <xf numFmtId="0" fontId="256" fillId="61" borderId="0" applyNumberFormat="0" applyBorder="0" applyAlignment="0" applyProtection="0"/>
    <xf numFmtId="0" fontId="256" fillId="61" borderId="0" applyNumberFormat="0" applyBorder="0" applyAlignment="0" applyProtection="0"/>
    <xf numFmtId="0" fontId="256" fillId="61" borderId="0" applyNumberFormat="0" applyBorder="0" applyAlignment="0" applyProtection="0"/>
    <xf numFmtId="0" fontId="256" fillId="62" borderId="0" applyNumberFormat="0" applyBorder="0" applyAlignment="0" applyProtection="0"/>
    <xf numFmtId="0" fontId="256" fillId="62" borderId="0" applyNumberFormat="0" applyBorder="0" applyAlignment="0" applyProtection="0"/>
    <xf numFmtId="0" fontId="256" fillId="62" borderId="0" applyNumberFormat="0" applyBorder="0" applyAlignment="0" applyProtection="0"/>
    <xf numFmtId="0" fontId="256" fillId="63" borderId="0" applyNumberFormat="0" applyBorder="0" applyAlignment="0" applyProtection="0"/>
    <xf numFmtId="0" fontId="256" fillId="63" borderId="0" applyNumberFormat="0" applyBorder="0" applyAlignment="0" applyProtection="0"/>
    <xf numFmtId="0" fontId="256" fillId="63" borderId="0" applyNumberFormat="0" applyBorder="0" applyAlignment="0" applyProtection="0"/>
    <xf numFmtId="0" fontId="256" fillId="64" borderId="0" applyNumberFormat="0" applyBorder="0" applyAlignment="0" applyProtection="0"/>
    <xf numFmtId="0" fontId="256" fillId="64" borderId="0" applyNumberFormat="0" applyBorder="0" applyAlignment="0" applyProtection="0"/>
    <xf numFmtId="0" fontId="256" fillId="64" borderId="0" applyNumberFormat="0" applyBorder="0" applyAlignment="0" applyProtection="0"/>
    <xf numFmtId="0" fontId="256" fillId="59" borderId="0" applyNumberFormat="0" applyBorder="0" applyAlignment="0" applyProtection="0"/>
    <xf numFmtId="0" fontId="256" fillId="59" borderId="0" applyNumberFormat="0" applyBorder="0" applyAlignment="0" applyProtection="0"/>
    <xf numFmtId="0" fontId="256" fillId="59" borderId="0" applyNumberFormat="0" applyBorder="0" applyAlignment="0" applyProtection="0"/>
    <xf numFmtId="0" fontId="256" fillId="62" borderId="0" applyNumberFormat="0" applyBorder="0" applyAlignment="0" applyProtection="0"/>
    <xf numFmtId="0" fontId="256" fillId="62" borderId="0" applyNumberFormat="0" applyBorder="0" applyAlignment="0" applyProtection="0"/>
    <xf numFmtId="0" fontId="256" fillId="62" borderId="0" applyNumberFormat="0" applyBorder="0" applyAlignment="0" applyProtection="0"/>
    <xf numFmtId="0" fontId="256" fillId="65" borderId="0" applyNumberFormat="0" applyBorder="0" applyAlignment="0" applyProtection="0"/>
    <xf numFmtId="0" fontId="256" fillId="65" borderId="0" applyNumberFormat="0" applyBorder="0" applyAlignment="0" applyProtection="0"/>
    <xf numFmtId="0" fontId="256" fillId="65" borderId="0" applyNumberFormat="0" applyBorder="0" applyAlignment="0" applyProtection="0"/>
    <xf numFmtId="0" fontId="255" fillId="66" borderId="0" applyNumberFormat="0" applyBorder="0" applyAlignment="0" applyProtection="0"/>
    <xf numFmtId="0" fontId="255" fillId="66" borderId="0" applyNumberFormat="0" applyBorder="0" applyAlignment="0" applyProtection="0"/>
    <xf numFmtId="0" fontId="255" fillId="63" borderId="0" applyNumberFormat="0" applyBorder="0" applyAlignment="0" applyProtection="0"/>
    <xf numFmtId="0" fontId="255" fillId="63" borderId="0" applyNumberFormat="0" applyBorder="0" applyAlignment="0" applyProtection="0"/>
    <xf numFmtId="0" fontId="255" fillId="64" borderId="0" applyNumberFormat="0" applyBorder="0" applyAlignment="0" applyProtection="0"/>
    <xf numFmtId="0" fontId="255" fillId="64"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9" borderId="0" applyNumberFormat="0" applyBorder="0" applyAlignment="0" applyProtection="0"/>
    <xf numFmtId="0" fontId="255" fillId="69"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0"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1"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72"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7"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68"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5" fillId="73"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64" fillId="74" borderId="111" applyNumberFormat="0" applyAlignment="0" applyProtection="0"/>
    <xf numFmtId="0" fontId="264" fillId="74" borderId="111" applyNumberFormat="0" applyAlignment="0" applyProtection="0"/>
    <xf numFmtId="0" fontId="265" fillId="75" borderId="100" applyNumberFormat="0" applyAlignment="0" applyProtection="0"/>
    <xf numFmtId="0" fontId="265" fillId="75" borderId="100"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83" fontId="103" fillId="0" borderId="0" applyFont="0" applyFill="0" applyBorder="0" applyAlignment="0" applyProtection="0"/>
    <xf numFmtId="183" fontId="103" fillId="0" borderId="0" applyFont="0" applyFill="0" applyBorder="0" applyAlignment="0" applyProtection="0"/>
    <xf numFmtId="185" fontId="10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89" fontId="10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89" fontId="103" fillId="0" borderId="0" applyFont="0" applyFill="0" applyBorder="0" applyAlignment="0" applyProtection="0"/>
    <xf numFmtId="189" fontId="10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0" fontId="267" fillId="0" borderId="0" applyNumberFormat="0" applyFill="0" applyBorder="0" applyAlignment="0" applyProtection="0"/>
    <xf numFmtId="0" fontId="267" fillId="0" borderId="0" applyNumberForma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1" fontId="6" fillId="0" borderId="0"/>
    <xf numFmtId="0" fontId="276" fillId="58" borderId="0" applyNumberFormat="0" applyBorder="0" applyAlignment="0" applyProtection="0"/>
    <xf numFmtId="0" fontId="276" fillId="58" borderId="0" applyNumberFormat="0" applyBorder="0" applyAlignment="0" applyProtection="0"/>
    <xf numFmtId="0" fontId="273" fillId="0" borderId="103" applyNumberFormat="0" applyFill="0" applyAlignment="0" applyProtection="0"/>
    <xf numFmtId="0" fontId="273" fillId="0" borderId="103" applyNumberFormat="0" applyFill="0" applyAlignment="0" applyProtection="0"/>
    <xf numFmtId="0" fontId="270" fillId="0" borderId="101" applyNumberFormat="0" applyFill="0" applyAlignment="0" applyProtection="0"/>
    <xf numFmtId="0" fontId="270" fillId="0" borderId="101" applyNumberFormat="0" applyFill="0" applyAlignment="0" applyProtection="0"/>
    <xf numFmtId="0" fontId="261" fillId="0" borderId="98" applyNumberFormat="0" applyFill="0" applyAlignment="0" applyProtection="0"/>
    <xf numFmtId="0" fontId="261" fillId="0" borderId="98" applyNumberFormat="0" applyFill="0" applyAlignment="0" applyProtection="0"/>
    <xf numFmtId="0" fontId="261" fillId="0" borderId="0" applyNumberFormat="0" applyFill="0" applyBorder="0" applyAlignment="0" applyProtection="0"/>
    <xf numFmtId="0" fontId="261" fillId="0" borderId="0" applyNumberFormat="0" applyFill="0" applyBorder="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4" fillId="61" borderId="111" applyNumberFormat="0" applyAlignment="0" applyProtection="0"/>
    <xf numFmtId="0" fontId="277" fillId="0" borderId="104" applyNumberFormat="0" applyFill="0" applyAlignment="0" applyProtection="0"/>
    <xf numFmtId="0" fontId="277" fillId="0" borderId="104" applyNumberFormat="0" applyFill="0" applyAlignment="0" applyProtection="0"/>
    <xf numFmtId="0" fontId="266" fillId="76" borderId="0" applyNumberFormat="0" applyBorder="0" applyAlignment="0" applyProtection="0"/>
    <xf numFmtId="0" fontId="266" fillId="76"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103" fillId="0" borderId="0"/>
    <xf numFmtId="0" fontId="103" fillId="0" borderId="0"/>
    <xf numFmtId="0" fontId="6"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103" fillId="0" borderId="0"/>
    <xf numFmtId="0" fontId="2" fillId="0" borderId="0"/>
    <xf numFmtId="0" fontId="2" fillId="0" borderId="0"/>
    <xf numFmtId="0" fontId="103" fillId="0" borderId="0"/>
    <xf numFmtId="0" fontId="103"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103"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103"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10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5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3" fillId="0" borderId="0"/>
    <xf numFmtId="0" fontId="2" fillId="0" borderId="0"/>
    <xf numFmtId="0" fontId="2" fillId="0" borderId="0"/>
    <xf numFmtId="0" fontId="2" fillId="0" borderId="0"/>
    <xf numFmtId="0" fontId="2" fillId="0" borderId="0"/>
    <xf numFmtId="0" fontId="2" fillId="0" borderId="0"/>
    <xf numFmtId="0" fontId="103" fillId="0" borderId="0"/>
    <xf numFmtId="0" fontId="2" fillId="0" borderId="0"/>
    <xf numFmtId="0" fontId="103" fillId="0" borderId="0"/>
    <xf numFmtId="0" fontId="6" fillId="0" borderId="0"/>
    <xf numFmtId="0" fontId="2" fillId="0" borderId="0"/>
    <xf numFmtId="0" fontId="103" fillId="0" borderId="0"/>
    <xf numFmtId="0" fontId="2" fillId="0" borderId="0"/>
    <xf numFmtId="0" fontId="103" fillId="0" borderId="0"/>
    <xf numFmtId="0" fontId="6" fillId="0" borderId="0"/>
    <xf numFmtId="0" fontId="103" fillId="0" borderId="0"/>
    <xf numFmtId="0" fontId="103" fillId="0" borderId="0"/>
    <xf numFmtId="0" fontId="103" fillId="0" borderId="0"/>
    <xf numFmtId="0" fontId="103" fillId="0" borderId="0"/>
    <xf numFmtId="0" fontId="10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6" fillId="77" borderId="110" applyNumberFormat="0" applyFont="0" applyAlignment="0" applyProtection="0"/>
    <xf numFmtId="0" fontId="287" fillId="74" borderId="113" applyNumberFormat="0" applyAlignment="0" applyProtection="0"/>
    <xf numFmtId="0" fontId="287" fillId="74" borderId="113" applyNumberFormat="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10"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5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5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3" fillId="0" borderId="0" applyFont="0" applyFill="0" applyBorder="0" applyAlignment="0" applyProtection="0"/>
    <xf numFmtId="9" fontId="103"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3" fillId="0" borderId="112" applyNumberFormat="0" applyFill="0" applyAlignment="0" applyProtection="0"/>
    <xf numFmtId="0" fontId="143" fillId="0" borderId="112" applyNumberFormat="0" applyFill="0" applyAlignment="0" applyProtection="0"/>
    <xf numFmtId="2" fontId="6" fillId="0" borderId="0">
      <alignment horizontal="center" vertical="center"/>
    </xf>
    <xf numFmtId="176" fontId="18" fillId="0" borderId="114">
      <alignment horizontal="center" vertical="center"/>
    </xf>
    <xf numFmtId="176" fontId="18" fillId="0" borderId="114">
      <alignment horizontal="center" vertical="center"/>
    </xf>
    <xf numFmtId="176" fontId="18" fillId="0" borderId="114">
      <alignment horizontal="center" vertical="center"/>
    </xf>
    <xf numFmtId="176" fontId="18" fillId="0" borderId="114">
      <alignment horizontal="center" vertical="center"/>
    </xf>
    <xf numFmtId="176" fontId="18" fillId="0" borderId="114">
      <alignment horizontal="center" vertic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6" fillId="0" borderId="9">
      <alignment horizontal="center"/>
    </xf>
    <xf numFmtId="0" fontId="141" fillId="0" borderId="0" applyNumberFormat="0" applyFill="0" applyBorder="0" applyAlignment="0" applyProtection="0"/>
    <xf numFmtId="0" fontId="141" fillId="0" borderId="0" applyNumberFormat="0" applyFill="0" applyBorder="0" applyAlignment="0" applyProtection="0"/>
    <xf numFmtId="0" fontId="6" fillId="0" borderId="0"/>
    <xf numFmtId="9" fontId="6" fillId="0" borderId="0" applyFont="0" applyFill="0" applyBorder="0" applyAlignment="0" applyProtection="0"/>
    <xf numFmtId="0" fontId="2" fillId="0" borderId="0"/>
    <xf numFmtId="0" fontId="1" fillId="0" borderId="0"/>
    <xf numFmtId="0" fontId="6" fillId="0" borderId="0"/>
    <xf numFmtId="0" fontId="6" fillId="0" borderId="0"/>
    <xf numFmtId="182" fontId="6" fillId="0" borderId="0" applyFont="0" applyFill="0" applyBorder="0" applyAlignment="0" applyProtection="0"/>
    <xf numFmtId="0" fontId="103" fillId="0" borderId="0"/>
    <xf numFmtId="0" fontId="370" fillId="0" borderId="0"/>
    <xf numFmtId="0" fontId="103" fillId="0" borderId="0"/>
  </cellStyleXfs>
  <cellXfs count="4244">
    <xf numFmtId="0" fontId="0" fillId="0" borderId="0" xfId="0"/>
    <xf numFmtId="0" fontId="4" fillId="0" borderId="0" xfId="3473"/>
    <xf numFmtId="0" fontId="5" fillId="2" borderId="1" xfId="2438" applyFont="1" applyFill="1" applyBorder="1" applyAlignment="1">
      <alignment horizontal="center" vertical="center" wrapText="1"/>
    </xf>
    <xf numFmtId="0" fontId="6" fillId="0" borderId="0" xfId="2438"/>
    <xf numFmtId="180" fontId="5" fillId="2" borderId="1" xfId="2438" applyNumberFormat="1" applyFont="1" applyFill="1" applyBorder="1" applyAlignment="1">
      <alignment horizontal="center" vertical="center" wrapText="1"/>
    </xf>
    <xf numFmtId="0" fontId="7" fillId="0" borderId="2" xfId="2438" applyFont="1" applyBorder="1" applyAlignment="1">
      <alignment wrapText="1"/>
    </xf>
    <xf numFmtId="2" fontId="8" fillId="2" borderId="2" xfId="2438" applyNumberFormat="1" applyFont="1" applyFill="1" applyBorder="1"/>
    <xf numFmtId="1" fontId="9" fillId="0" borderId="3" xfId="2438" applyNumberFormat="1" applyFont="1" applyBorder="1" applyAlignment="1">
      <alignment horizontal="center" wrapText="1"/>
    </xf>
    <xf numFmtId="10" fontId="6" fillId="0" borderId="2" xfId="2438" applyNumberFormat="1" applyBorder="1" applyAlignment="1">
      <alignment horizontal="center" wrapText="1"/>
    </xf>
    <xf numFmtId="0" fontId="6" fillId="0" borderId="0" xfId="2438" applyAlignment="1">
      <alignment wrapText="1"/>
    </xf>
    <xf numFmtId="0" fontId="7" fillId="0" borderId="0" xfId="2438" applyFont="1" applyAlignment="1">
      <alignment wrapText="1"/>
    </xf>
    <xf numFmtId="2" fontId="7" fillId="0" borderId="0" xfId="2438" applyNumberFormat="1" applyFont="1" applyAlignment="1">
      <alignment horizontal="center" wrapText="1"/>
    </xf>
    <xf numFmtId="3" fontId="9" fillId="0" borderId="0" xfId="2438" applyNumberFormat="1" applyFont="1" applyAlignment="1">
      <alignment horizontal="center" wrapText="1"/>
    </xf>
    <xf numFmtId="4" fontId="6" fillId="0" borderId="1" xfId="2438" applyNumberFormat="1" applyBorder="1" applyAlignment="1">
      <alignment horizontal="center" wrapText="1"/>
    </xf>
    <xf numFmtId="10" fontId="7" fillId="0" borderId="0" xfId="2438" applyNumberFormat="1" applyFont="1" applyAlignment="1">
      <alignment vertical="center" wrapText="1"/>
    </xf>
    <xf numFmtId="10" fontId="10" fillId="0" borderId="0" xfId="2438" applyNumberFormat="1" applyFont="1" applyAlignment="1">
      <alignment horizontal="center" vertical="center" wrapText="1"/>
    </xf>
    <xf numFmtId="4" fontId="10" fillId="0" borderId="0" xfId="2438" applyNumberFormat="1" applyFont="1" applyAlignment="1">
      <alignment wrapText="1"/>
    </xf>
    <xf numFmtId="4" fontId="11" fillId="0" borderId="1" xfId="2438" applyNumberFormat="1" applyFont="1" applyBorder="1" applyAlignment="1">
      <alignment horizontal="center" vertical="center" wrapText="1"/>
    </xf>
    <xf numFmtId="4" fontId="9" fillId="0" borderId="1" xfId="2438" applyNumberFormat="1" applyFont="1" applyBorder="1" applyAlignment="1">
      <alignment horizontal="center" vertical="center" wrapText="1"/>
    </xf>
    <xf numFmtId="4" fontId="6" fillId="0" borderId="1" xfId="2438" applyNumberFormat="1" applyBorder="1" applyAlignment="1">
      <alignment wrapText="1"/>
    </xf>
    <xf numFmtId="0" fontId="7" fillId="0" borderId="1" xfId="2438" applyFont="1" applyBorder="1" applyAlignment="1">
      <alignment vertical="center" wrapText="1"/>
    </xf>
    <xf numFmtId="1" fontId="12" fillId="0" borderId="1" xfId="2438" applyNumberFormat="1" applyFont="1" applyBorder="1" applyAlignment="1">
      <alignment horizontal="center" vertical="center" wrapText="1"/>
    </xf>
    <xf numFmtId="4" fontId="7" fillId="3" borderId="4" xfId="2438" applyNumberFormat="1" applyFont="1" applyFill="1" applyBorder="1" applyAlignment="1">
      <alignment vertical="center" wrapText="1"/>
    </xf>
    <xf numFmtId="0" fontId="6" fillId="0" borderId="1" xfId="2438" applyBorder="1" applyAlignment="1">
      <alignment wrapText="1"/>
    </xf>
    <xf numFmtId="0" fontId="13" fillId="0" borderId="1" xfId="2438" applyFont="1" applyBorder="1" applyAlignment="1">
      <alignment vertical="center" wrapText="1"/>
    </xf>
    <xf numFmtId="1" fontId="9" fillId="0" borderId="1" xfId="2438" applyNumberFormat="1" applyFont="1" applyBorder="1" applyAlignment="1">
      <alignment horizontal="center" vertical="center" wrapText="1"/>
    </xf>
    <xf numFmtId="0" fontId="7" fillId="0" borderId="5" xfId="2438" applyFont="1" applyBorder="1" applyAlignment="1">
      <alignment horizontal="center" vertical="center" wrapText="1"/>
    </xf>
    <xf numFmtId="195" fontId="9" fillId="0" borderId="1" xfId="2438" applyNumberFormat="1" applyFont="1" applyBorder="1" applyAlignment="1">
      <alignment horizontal="center" vertical="center" wrapText="1"/>
    </xf>
    <xf numFmtId="2" fontId="9" fillId="0" borderId="1" xfId="2438" applyNumberFormat="1" applyFont="1" applyBorder="1" applyAlignment="1">
      <alignment horizontal="center" vertical="center" wrapText="1"/>
    </xf>
    <xf numFmtId="0" fontId="6" fillId="0" borderId="1" xfId="2438" applyBorder="1" applyAlignment="1">
      <alignment vertical="center" wrapText="1"/>
    </xf>
    <xf numFmtId="0" fontId="7" fillId="0" borderId="1" xfId="2438" applyFont="1" applyBorder="1" applyAlignment="1">
      <alignment horizontal="center" vertical="center" wrapText="1"/>
    </xf>
    <xf numFmtId="0" fontId="6" fillId="0" borderId="2" xfId="2438" applyBorder="1" applyAlignment="1">
      <alignment wrapText="1"/>
    </xf>
    <xf numFmtId="2" fontId="7" fillId="0" borderId="1" xfId="2438" applyNumberFormat="1" applyFont="1" applyBorder="1" applyAlignment="1">
      <alignment horizontal="right" vertical="center" wrapText="1"/>
    </xf>
    <xf numFmtId="0" fontId="7" fillId="0" borderId="1" xfId="2438" applyFont="1" applyBorder="1" applyAlignment="1">
      <alignment wrapText="1"/>
    </xf>
    <xf numFmtId="2" fontId="14" fillId="2" borderId="1" xfId="3758" applyNumberFormat="1" applyFont="1" applyFill="1" applyBorder="1" applyAlignment="1">
      <alignment horizontal="center"/>
    </xf>
    <xf numFmtId="2" fontId="9" fillId="0" borderId="1" xfId="2438" applyNumberFormat="1" applyFont="1" applyBorder="1" applyAlignment="1">
      <alignment wrapText="1"/>
    </xf>
    <xf numFmtId="4" fontId="15" fillId="2" borderId="1" xfId="2438" applyNumberFormat="1" applyFont="1" applyFill="1" applyBorder="1" applyAlignment="1">
      <alignment horizontal="center" wrapText="1"/>
    </xf>
    <xf numFmtId="0" fontId="7" fillId="0" borderId="0" xfId="2438" applyFont="1"/>
    <xf numFmtId="2" fontId="6" fillId="0" borderId="0" xfId="2438" applyNumberFormat="1"/>
    <xf numFmtId="0" fontId="6" fillId="0" borderId="1" xfId="2438" applyBorder="1"/>
    <xf numFmtId="43" fontId="9" fillId="0" borderId="0" xfId="655" applyFont="1" applyAlignment="1">
      <alignment horizontal="center"/>
    </xf>
    <xf numFmtId="179" fontId="6" fillId="0" borderId="0" xfId="2438" applyNumberFormat="1"/>
    <xf numFmtId="2" fontId="6" fillId="0" borderId="0" xfId="2438" applyNumberFormat="1" applyAlignment="1">
      <alignment wrapText="1"/>
    </xf>
    <xf numFmtId="0" fontId="7" fillId="0" borderId="1" xfId="2438" applyFont="1" applyBorder="1" applyAlignment="1">
      <alignment horizontal="right"/>
    </xf>
    <xf numFmtId="43" fontId="6" fillId="0" borderId="0" xfId="2438" applyNumberFormat="1" applyAlignment="1">
      <alignment wrapText="1"/>
    </xf>
    <xf numFmtId="0" fontId="6" fillId="0" borderId="1" xfId="2438" applyBorder="1" applyAlignment="1">
      <alignment vertical="top" wrapText="1"/>
    </xf>
    <xf numFmtId="43" fontId="11" fillId="0" borderId="1" xfId="655" applyFont="1" applyBorder="1" applyAlignment="1">
      <alignment horizontal="center"/>
    </xf>
    <xf numFmtId="43" fontId="6" fillId="0" borderId="0" xfId="2438" applyNumberFormat="1"/>
    <xf numFmtId="0" fontId="11" fillId="0" borderId="1" xfId="2438" applyFont="1" applyBorder="1" applyAlignment="1">
      <alignment horizontal="center"/>
    </xf>
    <xf numFmtId="1" fontId="11" fillId="0" borderId="1" xfId="2438" applyNumberFormat="1" applyFont="1" applyBorder="1" applyAlignment="1">
      <alignment horizontal="center"/>
    </xf>
    <xf numFmtId="0" fontId="6" fillId="0" borderId="0" xfId="2438" applyAlignment="1">
      <alignment horizontal="right"/>
    </xf>
    <xf numFmtId="0" fontId="6" fillId="0" borderId="1" xfId="2438" applyBorder="1" applyAlignment="1">
      <alignment horizontal="center"/>
    </xf>
    <xf numFmtId="0" fontId="11" fillId="0" borderId="0" xfId="2438" applyFont="1" applyAlignment="1">
      <alignment horizontal="center"/>
    </xf>
    <xf numFmtId="43" fontId="7" fillId="0" borderId="1" xfId="2438" applyNumberFormat="1" applyFont="1" applyBorder="1"/>
    <xf numFmtId="0" fontId="0" fillId="0" borderId="0" xfId="3470" applyFont="1"/>
    <xf numFmtId="0" fontId="16" fillId="0" borderId="0" xfId="3470" applyFont="1"/>
    <xf numFmtId="0" fontId="0" fillId="0" borderId="1" xfId="3470" applyFont="1" applyBorder="1" applyAlignment="1">
      <alignment horizontal="center" wrapText="1"/>
    </xf>
    <xf numFmtId="0" fontId="0" fillId="0" borderId="1" xfId="3470" applyFont="1" applyBorder="1" applyAlignment="1">
      <alignment horizontal="center"/>
    </xf>
    <xf numFmtId="0" fontId="7" fillId="0" borderId="0" xfId="3470" applyFont="1"/>
    <xf numFmtId="2" fontId="0" fillId="0" borderId="1" xfId="3470" applyNumberFormat="1" applyFont="1" applyBorder="1" applyAlignment="1">
      <alignment horizontal="center"/>
    </xf>
    <xf numFmtId="0" fontId="0" fillId="0" borderId="0" xfId="3470" applyFont="1" applyAlignment="1">
      <alignment vertical="center"/>
    </xf>
    <xf numFmtId="0" fontId="13" fillId="0" borderId="0" xfId="3470" applyFont="1" applyAlignment="1">
      <alignment vertical="top"/>
    </xf>
    <xf numFmtId="169" fontId="0" fillId="0" borderId="1" xfId="3470" applyNumberFormat="1" applyFont="1" applyBorder="1" applyAlignment="1">
      <alignment horizontal="center"/>
    </xf>
    <xf numFmtId="184" fontId="0" fillId="0" borderId="1" xfId="3470" applyNumberFormat="1" applyFont="1" applyBorder="1" applyAlignment="1">
      <alignment horizontal="center"/>
    </xf>
    <xf numFmtId="1" fontId="11" fillId="0" borderId="1" xfId="3470" applyNumberFormat="1" applyFont="1" applyBorder="1" applyAlignment="1">
      <alignment horizontal="center"/>
    </xf>
    <xf numFmtId="2" fontId="11" fillId="0" borderId="1" xfId="3470" applyNumberFormat="1" applyFont="1" applyBorder="1" applyAlignment="1">
      <alignment horizontal="center"/>
    </xf>
    <xf numFmtId="2" fontId="17" fillId="0" borderId="1" xfId="3470" applyNumberFormat="1" applyFont="1" applyBorder="1" applyAlignment="1">
      <alignment horizontal="center"/>
    </xf>
    <xf numFmtId="0" fontId="0" fillId="0" borderId="1" xfId="3470" applyFont="1" applyBorder="1" applyAlignment="1">
      <alignment vertical="center"/>
    </xf>
    <xf numFmtId="0" fontId="0" fillId="0" borderId="1" xfId="3470" applyFont="1" applyBorder="1"/>
    <xf numFmtId="0" fontId="13" fillId="0" borderId="1" xfId="3470" applyFont="1" applyBorder="1" applyAlignment="1">
      <alignment vertical="top"/>
    </xf>
    <xf numFmtId="0" fontId="18" fillId="0" borderId="1" xfId="3747" applyFont="1" applyAlignment="1">
      <alignment horizontal="center" vertical="top" wrapText="1" shrinkToFit="1"/>
    </xf>
    <xf numFmtId="0" fontId="13" fillId="0" borderId="1" xfId="3470" applyFont="1" applyBorder="1" applyAlignment="1">
      <alignment horizontal="center" vertical="top" wrapText="1"/>
    </xf>
    <xf numFmtId="0" fontId="0" fillId="0" borderId="1" xfId="3747" applyFont="1" applyAlignment="1">
      <alignment horizontal="center" vertical="top" wrapText="1" shrinkToFit="1"/>
    </xf>
    <xf numFmtId="0" fontId="19" fillId="0" borderId="1" xfId="3747" applyFont="1" applyAlignment="1">
      <alignment vertical="top" wrapText="1" shrinkToFit="1"/>
    </xf>
    <xf numFmtId="0" fontId="20" fillId="0" borderId="1" xfId="3747" applyFont="1" applyAlignment="1">
      <alignment vertical="top" wrapText="1" shrinkToFit="1"/>
    </xf>
    <xf numFmtId="2" fontId="21" fillId="0" borderId="1" xfId="3747" applyNumberFormat="1" applyFont="1" applyAlignment="1">
      <alignment vertical="top" wrapText="1" shrinkToFit="1"/>
    </xf>
    <xf numFmtId="2" fontId="0" fillId="0" borderId="1" xfId="3747" applyNumberFormat="1" applyFont="1" applyAlignment="1">
      <alignment vertical="top" wrapText="1" shrinkToFit="1"/>
    </xf>
    <xf numFmtId="2" fontId="17" fillId="0" borderId="1" xfId="3747" applyNumberFormat="1" applyFont="1" applyAlignment="1">
      <alignment vertical="top" wrapText="1" shrinkToFit="1"/>
    </xf>
    <xf numFmtId="2" fontId="0" fillId="0" borderId="1" xfId="3747" applyNumberFormat="1" applyFont="1" applyAlignment="1">
      <alignment horizontal="center" vertical="top" wrapText="1" shrinkToFit="1"/>
    </xf>
    <xf numFmtId="2" fontId="22" fillId="0" borderId="1" xfId="3748" applyNumberFormat="1" applyFont="1" applyAlignment="1">
      <alignment vertical="top" wrapText="1" shrinkToFit="1"/>
    </xf>
    <xf numFmtId="2" fontId="23" fillId="0" borderId="1" xfId="3747" applyNumberFormat="1" applyFont="1" applyAlignment="1">
      <alignment vertical="top"/>
    </xf>
    <xf numFmtId="2" fontId="23" fillId="0" borderId="1" xfId="3747" applyNumberFormat="1" applyFont="1" applyAlignment="1">
      <alignment vertical="top" wrapText="1" shrinkToFit="1"/>
    </xf>
    <xf numFmtId="0" fontId="24" fillId="0" borderId="0" xfId="3470" applyFont="1"/>
    <xf numFmtId="0" fontId="0" fillId="0" borderId="0" xfId="3470" applyFont="1" applyAlignment="1">
      <alignment horizontal="center" wrapText="1"/>
    </xf>
    <xf numFmtId="0" fontId="0" fillId="3" borderId="0" xfId="3470" applyFont="1" applyFill="1" applyAlignment="1">
      <alignment horizontal="center"/>
    </xf>
    <xf numFmtId="181" fontId="0" fillId="0" borderId="0" xfId="3470" applyNumberFormat="1" applyFont="1"/>
    <xf numFmtId="2" fontId="25" fillId="0" borderId="1" xfId="3747" applyNumberFormat="1" applyFont="1" applyAlignment="1">
      <alignment horizontal="center" vertical="top" wrapText="1" shrinkToFit="1"/>
    </xf>
    <xf numFmtId="2" fontId="7" fillId="0" borderId="1" xfId="3747" applyNumberFormat="1" applyFont="1" applyAlignment="1">
      <alignment vertical="top" wrapText="1" shrinkToFit="1"/>
    </xf>
    <xf numFmtId="0" fontId="7" fillId="0" borderId="0" xfId="0" applyFont="1" applyAlignment="1">
      <alignment horizontal="center"/>
    </xf>
    <xf numFmtId="0" fontId="6" fillId="0" borderId="0" xfId="0" applyFont="1"/>
    <xf numFmtId="0" fontId="0" fillId="0" borderId="0" xfId="0" applyAlignment="1">
      <alignment horizontal="center"/>
    </xf>
    <xf numFmtId="0" fontId="0" fillId="0" borderId="0" xfId="0" applyAlignment="1">
      <alignment wrapText="1"/>
    </xf>
    <xf numFmtId="2" fontId="0" fillId="0" borderId="0" xfId="0" applyNumberFormat="1" applyAlignment="1">
      <alignment horizontal="center"/>
    </xf>
    <xf numFmtId="0" fontId="5" fillId="0" borderId="1" xfId="0" applyFont="1" applyBorder="1" applyAlignment="1">
      <alignment horizontal="center"/>
    </xf>
    <xf numFmtId="0" fontId="26" fillId="0" borderId="0" xfId="0" applyFont="1" applyAlignment="1">
      <alignment horizontal="center"/>
    </xf>
    <xf numFmtId="0" fontId="26" fillId="0" borderId="1" xfId="0" applyFont="1" applyBorder="1" applyAlignment="1">
      <alignment horizontal="center"/>
    </xf>
    <xf numFmtId="0" fontId="26" fillId="0" borderId="1" xfId="0" applyFont="1" applyBorder="1" applyAlignment="1">
      <alignment horizontal="center" wrapText="1"/>
    </xf>
    <xf numFmtId="0" fontId="27" fillId="0" borderId="2" xfId="0" applyFont="1" applyBorder="1" applyAlignment="1">
      <alignment horizontal="center" wrapText="1"/>
    </xf>
    <xf numFmtId="0" fontId="27" fillId="0" borderId="0" xfId="0" applyFont="1" applyAlignment="1">
      <alignment horizontal="center" wrapText="1"/>
    </xf>
    <xf numFmtId="2" fontId="5" fillId="0" borderId="2" xfId="0" applyNumberFormat="1" applyFont="1" applyBorder="1" applyAlignment="1">
      <alignment horizontal="center" wrapText="1"/>
    </xf>
    <xf numFmtId="2" fontId="26" fillId="0" borderId="1" xfId="0" applyNumberFormat="1" applyFont="1" applyBorder="1"/>
    <xf numFmtId="0" fontId="5" fillId="3" borderId="1" xfId="0" applyFont="1" applyFill="1" applyBorder="1" applyAlignment="1">
      <alignment horizontal="center" vertical="center" wrapText="1"/>
    </xf>
    <xf numFmtId="0" fontId="5" fillId="0" borderId="1" xfId="0" applyFont="1" applyBorder="1" applyAlignment="1">
      <alignment wrapText="1"/>
    </xf>
    <xf numFmtId="2" fontId="26" fillId="3" borderId="1" xfId="0" applyNumberFormat="1" applyFont="1" applyFill="1" applyBorder="1" applyAlignment="1">
      <alignment horizontal="center"/>
    </xf>
    <xf numFmtId="2" fontId="26" fillId="0" borderId="4" xfId="0" applyNumberFormat="1" applyFont="1" applyBorder="1"/>
    <xf numFmtId="0" fontId="26" fillId="0" borderId="4" xfId="0" applyFont="1" applyBorder="1" applyAlignment="1">
      <alignment horizontal="center"/>
    </xf>
    <xf numFmtId="0" fontId="26" fillId="0" borderId="1" xfId="0" applyFont="1" applyBorder="1" applyAlignment="1">
      <alignment wrapText="1"/>
    </xf>
    <xf numFmtId="2" fontId="28" fillId="0" borderId="1" xfId="0" applyNumberFormat="1" applyFont="1" applyBorder="1" applyAlignment="1">
      <alignment horizontal="center" wrapText="1"/>
    </xf>
    <xf numFmtId="2" fontId="26" fillId="0" borderId="1" xfId="0" applyNumberFormat="1" applyFont="1" applyBorder="1" applyAlignment="1">
      <alignment horizontal="center" wrapText="1"/>
    </xf>
    <xf numFmtId="2" fontId="29" fillId="0" borderId="1" xfId="0" applyNumberFormat="1" applyFont="1" applyBorder="1" applyAlignment="1">
      <alignment horizontal="center" wrapText="1"/>
    </xf>
    <xf numFmtId="0" fontId="30" fillId="0" borderId="1" xfId="0" applyFont="1" applyBorder="1" applyAlignment="1">
      <alignment horizontal="left" wrapText="1"/>
    </xf>
    <xf numFmtId="2" fontId="28" fillId="3" borderId="1" xfId="0" applyNumberFormat="1" applyFont="1" applyFill="1" applyBorder="1" applyAlignment="1">
      <alignment horizontal="center" wrapText="1"/>
    </xf>
    <xf numFmtId="0" fontId="28" fillId="0" borderId="1" xfId="0" applyFont="1" applyBorder="1" applyAlignment="1">
      <alignment horizontal="center"/>
    </xf>
    <xf numFmtId="2" fontId="28" fillId="0" borderId="1" xfId="0" applyNumberFormat="1" applyFont="1" applyBorder="1" applyAlignment="1">
      <alignment horizontal="center"/>
    </xf>
    <xf numFmtId="2" fontId="26" fillId="0" borderId="1" xfId="0" applyNumberFormat="1" applyFont="1" applyBorder="1" applyAlignment="1">
      <alignment horizontal="center"/>
    </xf>
    <xf numFmtId="2" fontId="29" fillId="0" borderId="1" xfId="0" applyNumberFormat="1" applyFont="1" applyBorder="1" applyAlignment="1">
      <alignment horizontal="center"/>
    </xf>
    <xf numFmtId="0" fontId="26" fillId="0" borderId="1" xfId="0" applyFont="1" applyBorder="1" applyAlignment="1">
      <alignment horizontal="left" wrapText="1"/>
    </xf>
    <xf numFmtId="0" fontId="12" fillId="0" borderId="1" xfId="0" applyFont="1" applyBorder="1" applyAlignment="1">
      <alignment horizontal="center"/>
    </xf>
    <xf numFmtId="2" fontId="12" fillId="0" borderId="1" xfId="0" applyNumberFormat="1" applyFont="1" applyBorder="1" applyAlignment="1">
      <alignment horizontal="center"/>
    </xf>
    <xf numFmtId="0" fontId="9" fillId="0" borderId="1" xfId="0" applyFont="1" applyBorder="1" applyAlignment="1">
      <alignment horizontal="center"/>
    </xf>
    <xf numFmtId="0" fontId="31" fillId="0" borderId="0" xfId="0" applyFont="1"/>
    <xf numFmtId="0" fontId="7" fillId="3" borderId="1" xfId="0" applyFont="1" applyFill="1" applyBorder="1" applyAlignment="1">
      <alignment horizontal="center"/>
    </xf>
    <xf numFmtId="2" fontId="32" fillId="0" borderId="1" xfId="0" applyNumberFormat="1" applyFont="1" applyBorder="1" applyAlignment="1">
      <alignment horizontal="center" wrapText="1"/>
    </xf>
    <xf numFmtId="0" fontId="26" fillId="0" borderId="1" xfId="0" applyFont="1" applyBorder="1"/>
    <xf numFmtId="0" fontId="0" fillId="0" borderId="1" xfId="0" applyBorder="1" applyAlignment="1">
      <alignment horizontal="center"/>
    </xf>
    <xf numFmtId="0" fontId="6" fillId="0" borderId="1" xfId="0" applyFont="1" applyBorder="1"/>
    <xf numFmtId="169" fontId="12" fillId="0" borderId="1" xfId="0" applyNumberFormat="1" applyFont="1" applyBorder="1" applyAlignment="1">
      <alignment horizontal="center"/>
    </xf>
    <xf numFmtId="0" fontId="6" fillId="3" borderId="1" xfId="0" applyFont="1" applyFill="1" applyBorder="1"/>
    <xf numFmtId="0" fontId="0" fillId="0" borderId="1" xfId="0" applyBorder="1"/>
    <xf numFmtId="0" fontId="7" fillId="0" borderId="1" xfId="0" applyFont="1" applyBorder="1" applyAlignment="1">
      <alignment horizontal="center" vertical="center"/>
    </xf>
    <xf numFmtId="169" fontId="5" fillId="3" borderId="1" xfId="0" applyNumberFormat="1" applyFont="1" applyFill="1" applyBorder="1" applyAlignment="1">
      <alignment horizontal="center" vertical="center"/>
    </xf>
    <xf numFmtId="169" fontId="12" fillId="3" borderId="1" xfId="0" applyNumberFormat="1" applyFont="1" applyFill="1" applyBorder="1" applyAlignment="1">
      <alignment horizontal="center"/>
    </xf>
    <xf numFmtId="0" fontId="7" fillId="0" borderId="0" xfId="0" applyFont="1"/>
    <xf numFmtId="0" fontId="7" fillId="0" borderId="0" xfId="0" applyFont="1" applyAlignment="1">
      <alignment wrapText="1"/>
    </xf>
    <xf numFmtId="0" fontId="7" fillId="0" borderId="1" xfId="0" applyFont="1" applyBorder="1" applyAlignment="1">
      <alignment vertical="center"/>
    </xf>
    <xf numFmtId="196" fontId="7" fillId="0" borderId="1" xfId="0" applyNumberFormat="1" applyFont="1" applyBorder="1" applyAlignment="1">
      <alignment vertical="center" wrapText="1"/>
    </xf>
    <xf numFmtId="0" fontId="7" fillId="0" borderId="1" xfId="0" applyFont="1" applyBorder="1" applyAlignment="1">
      <alignment vertical="center" wrapText="1"/>
    </xf>
    <xf numFmtId="0" fontId="26" fillId="0" borderId="0" xfId="0" applyFont="1"/>
    <xf numFmtId="2" fontId="26" fillId="0" borderId="0" xfId="0" applyNumberFormat="1" applyFont="1" applyAlignment="1">
      <alignment horizontal="center" wrapText="1"/>
    </xf>
    <xf numFmtId="2" fontId="0" fillId="0" borderId="0" xfId="0" applyNumberFormat="1"/>
    <xf numFmtId="0" fontId="32" fillId="0" borderId="1" xfId="0" applyFont="1" applyBorder="1" applyAlignment="1">
      <alignment horizontal="center"/>
    </xf>
    <xf numFmtId="171" fontId="0" fillId="0" borderId="0" xfId="0" applyNumberFormat="1"/>
    <xf numFmtId="2" fontId="32" fillId="0" borderId="1" xfId="0" applyNumberFormat="1" applyFont="1" applyBorder="1" applyAlignment="1">
      <alignment horizontal="center"/>
    </xf>
    <xf numFmtId="2" fontId="26" fillId="4" borderId="1" xfId="0" applyNumberFormat="1" applyFont="1" applyFill="1" applyBorder="1" applyAlignment="1">
      <alignment horizontal="center"/>
    </xf>
    <xf numFmtId="1" fontId="0" fillId="0" borderId="0" xfId="0" applyNumberFormat="1"/>
    <xf numFmtId="0" fontId="20" fillId="0" borderId="0" xfId="0" applyFont="1"/>
    <xf numFmtId="0" fontId="25" fillId="0" borderId="1" xfId="0" applyFont="1" applyBorder="1" applyAlignment="1">
      <alignment horizontal="left" wrapText="1"/>
    </xf>
    <xf numFmtId="0" fontId="6" fillId="0" borderId="1" xfId="0" applyFont="1" applyBorder="1" applyAlignment="1">
      <alignment horizontal="left" wrapText="1"/>
    </xf>
    <xf numFmtId="2" fontId="33" fillId="0" borderId="1" xfId="0" applyNumberFormat="1" applyFont="1" applyBorder="1" applyAlignment="1">
      <alignment horizontal="center"/>
    </xf>
    <xf numFmtId="0" fontId="34" fillId="0" borderId="1" xfId="0" applyFont="1" applyBorder="1" applyAlignment="1">
      <alignment horizontal="left" vertical="center" wrapText="1"/>
    </xf>
    <xf numFmtId="2" fontId="5" fillId="0" borderId="1" xfId="0" applyNumberFormat="1" applyFont="1" applyBorder="1" applyAlignment="1">
      <alignment horizontal="center"/>
    </xf>
    <xf numFmtId="2" fontId="35" fillId="0" borderId="1" xfId="0" applyNumberFormat="1" applyFont="1" applyBorder="1" applyAlignment="1">
      <alignment horizontal="center"/>
    </xf>
    <xf numFmtId="2" fontId="36" fillId="3" borderId="1" xfId="0" applyNumberFormat="1" applyFont="1" applyFill="1" applyBorder="1" applyAlignment="1">
      <alignment horizontal="center"/>
    </xf>
    <xf numFmtId="0" fontId="29" fillId="0" borderId="1" xfId="0" applyFont="1" applyBorder="1" applyAlignment="1">
      <alignment horizontal="center"/>
    </xf>
    <xf numFmtId="171" fontId="29" fillId="0" borderId="1" xfId="0" applyNumberFormat="1" applyFont="1" applyBorder="1" applyAlignment="1">
      <alignment horizontal="center"/>
    </xf>
    <xf numFmtId="2" fontId="26" fillId="5" borderId="1" xfId="0" applyNumberFormat="1" applyFont="1" applyFill="1" applyBorder="1" applyAlignment="1">
      <alignment horizontal="center"/>
    </xf>
    <xf numFmtId="0" fontId="37" fillId="0" borderId="1" xfId="3757" applyFont="1" applyBorder="1" applyAlignment="1">
      <alignment horizontal="justify" wrapText="1"/>
    </xf>
    <xf numFmtId="0" fontId="26" fillId="0" borderId="0" xfId="0" applyFont="1" applyAlignment="1">
      <alignment wrapText="1"/>
    </xf>
    <xf numFmtId="2" fontId="26" fillId="5" borderId="0" xfId="0" applyNumberFormat="1" applyFont="1" applyFill="1" applyAlignment="1">
      <alignment horizontal="center"/>
    </xf>
    <xf numFmtId="2" fontId="28" fillId="5" borderId="0" xfId="0" applyNumberFormat="1" applyFont="1" applyFill="1" applyAlignment="1">
      <alignment horizontal="center"/>
    </xf>
    <xf numFmtId="0" fontId="38" fillId="0" borderId="0" xfId="0" applyFont="1" applyAlignment="1">
      <alignment vertical="center"/>
    </xf>
    <xf numFmtId="2" fontId="38" fillId="0" borderId="0" xfId="0" applyNumberFormat="1" applyFont="1" applyAlignment="1">
      <alignment vertical="center"/>
    </xf>
    <xf numFmtId="0" fontId="6" fillId="0" borderId="0" xfId="0" applyFont="1" applyAlignment="1">
      <alignment horizontal="right"/>
    </xf>
    <xf numFmtId="2" fontId="39" fillId="0" borderId="0" xfId="0" applyNumberFormat="1" applyFont="1"/>
    <xf numFmtId="2" fontId="39" fillId="0" borderId="6" xfId="0" applyNumberFormat="1" applyFont="1" applyBorder="1"/>
    <xf numFmtId="2" fontId="32" fillId="0" borderId="0" xfId="0" applyNumberFormat="1" applyFont="1"/>
    <xf numFmtId="0" fontId="40" fillId="0" borderId="0" xfId="0" applyFont="1"/>
    <xf numFmtId="2" fontId="26" fillId="3" borderId="1" xfId="0" applyNumberFormat="1" applyFont="1" applyFill="1" applyBorder="1" applyAlignment="1">
      <alignment horizontal="center" wrapText="1"/>
    </xf>
    <xf numFmtId="2" fontId="7" fillId="0" borderId="1" xfId="0" applyNumberFormat="1" applyFont="1" applyBorder="1" applyAlignment="1">
      <alignment horizontal="center"/>
    </xf>
    <xf numFmtId="0" fontId="32" fillId="0" borderId="0" xfId="0" applyFont="1" applyAlignment="1">
      <alignment horizontal="center"/>
    </xf>
    <xf numFmtId="2" fontId="26" fillId="0" borderId="1" xfId="0" applyNumberFormat="1" applyFont="1" applyBorder="1" applyAlignment="1" applyProtection="1">
      <alignment horizontal="right" vertical="center" wrapText="1"/>
      <protection locked="0"/>
    </xf>
    <xf numFmtId="2" fontId="28" fillId="0" borderId="0" xfId="0" applyNumberFormat="1" applyFont="1" applyAlignment="1">
      <alignment horizontal="center"/>
    </xf>
    <xf numFmtId="2" fontId="26" fillId="0" borderId="0" xfId="0" applyNumberFormat="1" applyFont="1" applyAlignment="1">
      <alignment horizontal="center"/>
    </xf>
    <xf numFmtId="0" fontId="41" fillId="0" borderId="0" xfId="598" applyFont="1" applyAlignment="1">
      <alignment vertical="top"/>
    </xf>
    <xf numFmtId="0" fontId="41" fillId="0" borderId="0" xfId="598" applyFont="1" applyAlignment="1">
      <alignment vertical="center"/>
    </xf>
    <xf numFmtId="0" fontId="42" fillId="0" borderId="0" xfId="598" applyFont="1" applyAlignment="1">
      <alignment vertical="top"/>
    </xf>
    <xf numFmtId="0" fontId="43" fillId="0" borderId="0" xfId="598" applyFont="1" applyAlignment="1">
      <alignment vertical="top"/>
    </xf>
    <xf numFmtId="0" fontId="41" fillId="3" borderId="0" xfId="598" applyFont="1" applyFill="1" applyAlignment="1">
      <alignment vertical="top"/>
    </xf>
    <xf numFmtId="0" fontId="44" fillId="0" borderId="0" xfId="598" applyFont="1" applyAlignment="1">
      <alignment vertical="top"/>
    </xf>
    <xf numFmtId="0" fontId="41" fillId="0" borderId="0" xfId="598" applyFont="1" applyAlignment="1">
      <alignment vertical="top" wrapText="1"/>
    </xf>
    <xf numFmtId="0" fontId="41" fillId="0" borderId="0" xfId="598" applyFont="1" applyAlignment="1">
      <alignment horizontal="center" vertical="top"/>
    </xf>
    <xf numFmtId="0" fontId="43" fillId="0" borderId="0" xfId="598" applyFont="1" applyAlignment="1">
      <alignment vertical="top" wrapText="1"/>
    </xf>
    <xf numFmtId="0" fontId="41" fillId="0" borderId="0" xfId="598" applyFont="1" applyAlignment="1">
      <alignment horizontal="justify" vertical="top" wrapText="1"/>
    </xf>
    <xf numFmtId="0" fontId="47" fillId="0" borderId="0" xfId="598" applyFont="1" applyAlignment="1">
      <alignment horizontal="center" vertical="top"/>
    </xf>
    <xf numFmtId="0" fontId="41" fillId="0" borderId="0" xfId="598" applyFont="1" applyAlignment="1">
      <alignment horizontal="center" vertical="top" wrapText="1"/>
    </xf>
    <xf numFmtId="0" fontId="43" fillId="0" borderId="0" xfId="598" applyFont="1" applyAlignment="1">
      <alignment horizontal="left" vertical="top"/>
    </xf>
    <xf numFmtId="0" fontId="51" fillId="0" borderId="1" xfId="3472" applyFont="1" applyBorder="1" applyAlignment="1">
      <alignment horizontal="left" vertical="top"/>
    </xf>
    <xf numFmtId="0" fontId="51" fillId="0" borderId="1" xfId="3472" applyFont="1" applyBorder="1" applyAlignment="1">
      <alignment vertical="top"/>
    </xf>
    <xf numFmtId="0" fontId="41" fillId="0" borderId="1" xfId="598" applyFont="1" applyBorder="1" applyAlignment="1">
      <alignment vertical="top" wrapText="1"/>
    </xf>
    <xf numFmtId="2" fontId="42" fillId="0" borderId="1" xfId="598" applyNumberFormat="1" applyFont="1" applyBorder="1" applyAlignment="1">
      <alignment vertical="top" wrapText="1"/>
    </xf>
    <xf numFmtId="0" fontId="41" fillId="0" borderId="1" xfId="598" applyFont="1" applyBorder="1" applyAlignment="1">
      <alignment vertical="top"/>
    </xf>
    <xf numFmtId="0" fontId="41" fillId="0" borderId="0" xfId="598" applyFont="1" applyAlignment="1">
      <alignment horizontal="center" vertical="center"/>
    </xf>
    <xf numFmtId="0" fontId="41" fillId="0" borderId="0" xfId="598" applyFont="1" applyAlignment="1">
      <alignment horizontal="justify" vertical="center" wrapText="1"/>
    </xf>
    <xf numFmtId="0" fontId="41" fillId="0" borderId="1" xfId="3472" applyFont="1" applyBorder="1" applyAlignment="1">
      <alignment horizontal="center" vertical="top" wrapText="1"/>
    </xf>
    <xf numFmtId="0" fontId="41" fillId="0" borderId="1" xfId="3472" applyFont="1" applyBorder="1" applyAlignment="1">
      <alignment horizontal="center" vertical="center" wrapText="1"/>
    </xf>
    <xf numFmtId="0" fontId="54" fillId="0" borderId="1" xfId="3472" applyFont="1" applyBorder="1" applyAlignment="1">
      <alignment horizontal="center" vertical="center" wrapText="1"/>
    </xf>
    <xf numFmtId="0" fontId="42" fillId="0" borderId="1" xfId="3472" applyFont="1" applyBorder="1" applyAlignment="1">
      <alignment horizontal="center" vertical="top" wrapText="1"/>
    </xf>
    <xf numFmtId="0" fontId="54" fillId="0" borderId="1" xfId="3472" applyFont="1" applyBorder="1" applyAlignment="1">
      <alignment horizontal="center" vertical="top" wrapText="1"/>
    </xf>
    <xf numFmtId="0" fontId="56" fillId="0" borderId="0" xfId="598" applyFont="1" applyAlignment="1">
      <alignment horizontal="center" vertical="top"/>
    </xf>
    <xf numFmtId="0" fontId="58" fillId="0" borderId="1" xfId="3472" applyFont="1" applyBorder="1" applyAlignment="1">
      <alignment vertical="center"/>
    </xf>
    <xf numFmtId="0" fontId="58" fillId="0" borderId="1" xfId="3472" applyFont="1" applyBorder="1" applyAlignment="1">
      <alignment vertical="center" wrapText="1"/>
    </xf>
    <xf numFmtId="0" fontId="41" fillId="0" borderId="4" xfId="3472" applyFont="1" applyBorder="1" applyAlignment="1">
      <alignment vertical="top"/>
    </xf>
    <xf numFmtId="0" fontId="58" fillId="0" borderId="1" xfId="3472" applyFont="1" applyBorder="1" applyAlignment="1">
      <alignment horizontal="left" vertical="top" wrapText="1"/>
    </xf>
    <xf numFmtId="0" fontId="41" fillId="0" borderId="9" xfId="598" applyFont="1" applyBorder="1" applyAlignment="1">
      <alignment horizontal="center" vertical="top"/>
    </xf>
    <xf numFmtId="0" fontId="60" fillId="0" borderId="4" xfId="3472" applyFont="1" applyBorder="1" applyAlignment="1">
      <alignment horizontal="left" vertical="top" wrapText="1"/>
    </xf>
    <xf numFmtId="0" fontId="58" fillId="0" borderId="4" xfId="3472" applyFont="1" applyBorder="1" applyAlignment="1">
      <alignment horizontal="left" vertical="top" wrapText="1"/>
    </xf>
    <xf numFmtId="0" fontId="61" fillId="0" borderId="1" xfId="598" applyFont="1" applyBorder="1" applyAlignment="1">
      <alignment horizontal="center" vertical="top"/>
    </xf>
    <xf numFmtId="0" fontId="43" fillId="0" borderId="1" xfId="598" applyFont="1" applyBorder="1" applyAlignment="1">
      <alignment vertical="top"/>
    </xf>
    <xf numFmtId="0" fontId="52" fillId="0" borderId="1" xfId="598" applyFont="1" applyBorder="1" applyAlignment="1">
      <alignment vertical="top"/>
    </xf>
    <xf numFmtId="14" fontId="61" fillId="0" borderId="7" xfId="598" applyNumberFormat="1" applyFont="1" applyBorder="1" applyAlignment="1">
      <alignment vertical="top"/>
    </xf>
    <xf numFmtId="0" fontId="41" fillId="0" borderId="1" xfId="598" applyFont="1" applyBorder="1" applyAlignment="1">
      <alignment horizontal="center" vertical="top" wrapText="1"/>
    </xf>
    <xf numFmtId="0" fontId="62" fillId="0" borderId="13" xfId="982" applyFont="1" applyBorder="1" applyAlignment="1">
      <alignment horizontal="left" vertical="top"/>
    </xf>
    <xf numFmtId="0" fontId="41" fillId="0" borderId="13" xfId="598" applyFont="1" applyBorder="1" applyAlignment="1">
      <alignment vertical="top"/>
    </xf>
    <xf numFmtId="0" fontId="41" fillId="0" borderId="14" xfId="598" applyFont="1" applyBorder="1" applyAlignment="1">
      <alignment vertical="top"/>
    </xf>
    <xf numFmtId="192" fontId="53" fillId="0" borderId="15" xfId="598" applyNumberFormat="1" applyFont="1" applyBorder="1" applyAlignment="1">
      <alignment horizontal="center" vertical="top"/>
    </xf>
    <xf numFmtId="0" fontId="63" fillId="0" borderId="2" xfId="598" applyFont="1" applyBorder="1" applyAlignment="1">
      <alignment horizontal="center" vertical="top"/>
    </xf>
    <xf numFmtId="0" fontId="53" fillId="0" borderId="2" xfId="598" applyFont="1" applyBorder="1" applyAlignment="1">
      <alignment vertical="top"/>
    </xf>
    <xf numFmtId="0" fontId="41" fillId="0" borderId="2" xfId="598" applyFont="1" applyBorder="1" applyAlignment="1">
      <alignment vertical="top"/>
    </xf>
    <xf numFmtId="0" fontId="64" fillId="0" borderId="5" xfId="598" applyFont="1" applyBorder="1" applyAlignment="1">
      <alignment horizontal="center" vertical="top"/>
    </xf>
    <xf numFmtId="0" fontId="65" fillId="0" borderId="1" xfId="598" applyFont="1" applyBorder="1" applyAlignment="1">
      <alignment horizontal="center" vertical="top" wrapText="1"/>
    </xf>
    <xf numFmtId="1" fontId="53" fillId="0" borderId="1" xfId="598" applyNumberFormat="1" applyFont="1" applyBorder="1" applyAlignment="1">
      <alignment horizontal="center" vertical="top" wrapText="1"/>
    </xf>
    <xf numFmtId="14" fontId="63" fillId="0" borderId="1" xfId="598" applyNumberFormat="1" applyFont="1" applyBorder="1" applyAlignment="1">
      <alignment horizontal="center" vertical="top" wrapText="1"/>
    </xf>
    <xf numFmtId="0" fontId="50" fillId="0" borderId="3" xfId="3472" applyFont="1" applyBorder="1" applyAlignment="1">
      <alignment horizontal="right" vertical="top" wrapText="1"/>
    </xf>
    <xf numFmtId="0" fontId="63" fillId="0" borderId="16" xfId="598" applyFont="1" applyBorder="1" applyAlignment="1">
      <alignment vertical="top"/>
    </xf>
    <xf numFmtId="0" fontId="50" fillId="0" borderId="13" xfId="3472" applyFont="1" applyBorder="1" applyAlignment="1">
      <alignment vertical="top" wrapText="1"/>
    </xf>
    <xf numFmtId="0" fontId="53" fillId="0" borderId="1" xfId="598" applyFont="1" applyBorder="1" applyAlignment="1">
      <alignment horizontal="center" vertical="top" wrapText="1"/>
    </xf>
    <xf numFmtId="0" fontId="43" fillId="0" borderId="4" xfId="598" applyFont="1" applyBorder="1" applyAlignment="1">
      <alignment horizontal="right" vertical="top"/>
    </xf>
    <xf numFmtId="0" fontId="68" fillId="0" borderId="0" xfId="598" applyFont="1" applyAlignment="1">
      <alignment horizontal="right" vertical="top"/>
    </xf>
    <xf numFmtId="1" fontId="69" fillId="0" borderId="18" xfId="598" applyNumberFormat="1" applyFont="1" applyBorder="1" applyAlignment="1">
      <alignment horizontal="left" vertical="top"/>
    </xf>
    <xf numFmtId="2" fontId="53" fillId="0" borderId="5" xfId="598" applyNumberFormat="1" applyFont="1" applyBorder="1" applyAlignment="1">
      <alignment horizontal="center" vertical="top"/>
    </xf>
    <xf numFmtId="0" fontId="70" fillId="0" borderId="0" xfId="598" applyFont="1" applyAlignment="1">
      <alignment vertical="top"/>
    </xf>
    <xf numFmtId="0" fontId="71" fillId="0" borderId="1" xfId="598" applyFont="1" applyBorder="1" applyAlignment="1">
      <alignment vertical="top" wrapText="1"/>
    </xf>
    <xf numFmtId="0" fontId="63" fillId="0" borderId="10" xfId="598" applyFont="1" applyBorder="1" applyAlignment="1">
      <alignment horizontal="center" vertical="top"/>
    </xf>
    <xf numFmtId="0" fontId="72" fillId="0" borderId="20" xfId="598" applyFont="1" applyBorder="1" applyAlignment="1">
      <alignment horizontal="center" vertical="top"/>
    </xf>
    <xf numFmtId="0" fontId="51" fillId="0" borderId="0" xfId="3472" applyFont="1" applyAlignment="1">
      <alignment vertical="top"/>
    </xf>
    <xf numFmtId="0" fontId="72" fillId="0" borderId="1" xfId="598" applyFont="1" applyBorder="1" applyAlignment="1">
      <alignment horizontal="center" vertical="top"/>
    </xf>
    <xf numFmtId="0" fontId="48" fillId="0" borderId="1" xfId="598" applyFont="1" applyBorder="1" applyAlignment="1">
      <alignment vertical="top"/>
    </xf>
    <xf numFmtId="0" fontId="51" fillId="0" borderId="0" xfId="3472" applyFont="1" applyAlignment="1">
      <alignment vertical="center"/>
    </xf>
    <xf numFmtId="0" fontId="73" fillId="0" borderId="1" xfId="3472" applyFont="1" applyBorder="1" applyAlignment="1">
      <alignment horizontal="center" vertical="top" wrapText="1"/>
    </xf>
    <xf numFmtId="0" fontId="41" fillId="0" borderId="1" xfId="3472" applyFont="1" applyBorder="1" applyAlignment="1">
      <alignment vertical="top" wrapText="1"/>
    </xf>
    <xf numFmtId="0" fontId="42" fillId="0" borderId="1" xfId="3472" applyFont="1" applyBorder="1" applyAlignment="1">
      <alignment horizontal="center" vertical="center" wrapText="1"/>
    </xf>
    <xf numFmtId="0" fontId="41" fillId="0" borderId="1" xfId="598" applyFont="1" applyBorder="1" applyAlignment="1">
      <alignment horizontal="center" vertical="center" wrapText="1"/>
    </xf>
    <xf numFmtId="0" fontId="63" fillId="0" borderId="1" xfId="598" applyFont="1" applyBorder="1" applyAlignment="1">
      <alignment horizontal="center" vertical="center"/>
    </xf>
    <xf numFmtId="0" fontId="52" fillId="0" borderId="0" xfId="598" applyFont="1" applyAlignment="1">
      <alignment vertical="center"/>
    </xf>
    <xf numFmtId="0" fontId="74" fillId="0" borderId="1" xfId="3472" applyFont="1" applyBorder="1" applyAlignment="1">
      <alignment horizontal="center" vertical="top" wrapText="1"/>
    </xf>
    <xf numFmtId="0" fontId="42" fillId="0" borderId="1" xfId="598" applyFont="1" applyBorder="1" applyAlignment="1">
      <alignment horizontal="center" vertical="top" wrapText="1"/>
    </xf>
    <xf numFmtId="0" fontId="63" fillId="0" borderId="1" xfId="598" applyFont="1" applyBorder="1" applyAlignment="1">
      <alignment horizontal="center" vertical="top"/>
    </xf>
    <xf numFmtId="0" fontId="53" fillId="0" borderId="1" xfId="598" applyFont="1" applyBorder="1" applyAlignment="1">
      <alignment horizontal="center" vertical="top"/>
    </xf>
    <xf numFmtId="0" fontId="43" fillId="0" borderId="1" xfId="598" applyFont="1" applyBorder="1" applyAlignment="1">
      <alignment vertical="top" wrapText="1"/>
    </xf>
    <xf numFmtId="0" fontId="63" fillId="0" borderId="1" xfId="598" applyFont="1" applyBorder="1" applyAlignment="1">
      <alignment vertical="top"/>
    </xf>
    <xf numFmtId="0" fontId="75" fillId="0" borderId="1" xfId="598" applyFont="1" applyBorder="1" applyAlignment="1">
      <alignment horizontal="center" vertical="top" wrapText="1"/>
    </xf>
    <xf numFmtId="0" fontId="75" fillId="0" borderId="1" xfId="598" applyFont="1" applyBorder="1" applyAlignment="1">
      <alignment horizontal="center" vertical="top"/>
    </xf>
    <xf numFmtId="0" fontId="58" fillId="0" borderId="1" xfId="3472" applyFont="1" applyBorder="1" applyAlignment="1">
      <alignment horizontal="center" vertical="top" wrapText="1"/>
    </xf>
    <xf numFmtId="0" fontId="41" fillId="0" borderId="7" xfId="598" applyFont="1" applyBorder="1" applyAlignment="1">
      <alignment vertical="top"/>
    </xf>
    <xf numFmtId="14" fontId="63" fillId="0" borderId="2" xfId="598" applyNumberFormat="1" applyFont="1" applyBorder="1" applyAlignment="1">
      <alignment vertical="top"/>
    </xf>
    <xf numFmtId="0" fontId="41" fillId="0" borderId="26" xfId="598" applyFont="1" applyBorder="1" applyAlignment="1">
      <alignment vertical="top"/>
    </xf>
    <xf numFmtId="0" fontId="74" fillId="0" borderId="1" xfId="598" applyFont="1" applyBorder="1" applyAlignment="1">
      <alignment vertical="top" wrapText="1"/>
    </xf>
    <xf numFmtId="0" fontId="73" fillId="0" borderId="1" xfId="598" applyFont="1" applyBorder="1" applyAlignment="1">
      <alignment vertical="top" wrapText="1"/>
    </xf>
    <xf numFmtId="0" fontId="76" fillId="0" borderId="27" xfId="598" applyFont="1" applyBorder="1" applyAlignment="1">
      <alignment vertical="top"/>
    </xf>
    <xf numFmtId="0" fontId="41" fillId="0" borderId="28" xfId="598" applyFont="1" applyBorder="1" applyAlignment="1">
      <alignment vertical="top"/>
    </xf>
    <xf numFmtId="0" fontId="76" fillId="0" borderId="29" xfId="598" applyFont="1" applyBorder="1" applyAlignment="1">
      <alignment vertical="top"/>
    </xf>
    <xf numFmtId="0" fontId="68" fillId="0" borderId="0" xfId="598" applyFont="1" applyAlignment="1">
      <alignment vertical="top"/>
    </xf>
    <xf numFmtId="0" fontId="41" fillId="3" borderId="0" xfId="598" applyFont="1" applyFill="1" applyAlignment="1">
      <alignment horizontal="center" vertical="top"/>
    </xf>
    <xf numFmtId="0" fontId="43" fillId="0" borderId="1" xfId="2516" applyFont="1" applyBorder="1" applyAlignment="1">
      <alignment horizontal="center" vertical="top"/>
    </xf>
    <xf numFmtId="0" fontId="41" fillId="0" borderId="1" xfId="2516" applyFont="1" applyBorder="1" applyAlignment="1">
      <alignment horizontal="center" vertical="top" wrapText="1"/>
    </xf>
    <xf numFmtId="0" fontId="41" fillId="0" borderId="0" xfId="598" applyFont="1" applyAlignment="1">
      <alignment horizontal="left" vertical="top" wrapText="1"/>
    </xf>
    <xf numFmtId="0" fontId="71" fillId="0" borderId="0" xfId="3472" applyFont="1" applyAlignment="1">
      <alignment horizontal="right" vertical="top" wrapText="1"/>
    </xf>
    <xf numFmtId="0" fontId="71" fillId="0" borderId="0" xfId="3472" applyFont="1" applyAlignment="1">
      <alignment horizontal="right" vertical="top"/>
    </xf>
    <xf numFmtId="0" fontId="80" fillId="0" borderId="0" xfId="3472" applyFont="1" applyAlignment="1">
      <alignment horizontal="left" vertical="top" wrapText="1"/>
    </xf>
    <xf numFmtId="0" fontId="51" fillId="0" borderId="0" xfId="3472" applyFont="1" applyAlignment="1">
      <alignment horizontal="justify" vertical="top" wrapText="1"/>
    </xf>
    <xf numFmtId="0" fontId="51" fillId="0" borderId="0" xfId="3472" applyFont="1" applyAlignment="1">
      <alignment horizontal="right" vertical="top"/>
    </xf>
    <xf numFmtId="0" fontId="58" fillId="3" borderId="1" xfId="3472" applyFont="1" applyFill="1" applyBorder="1" applyAlignment="1">
      <alignment horizontal="center" vertical="top" wrapText="1"/>
    </xf>
    <xf numFmtId="0" fontId="41" fillId="3" borderId="0" xfId="598" applyFont="1" applyFill="1" applyAlignment="1">
      <alignment vertical="top" wrapText="1"/>
    </xf>
    <xf numFmtId="0" fontId="81" fillId="0" borderId="0" xfId="3472" applyFont="1" applyAlignment="1">
      <alignment vertical="top"/>
    </xf>
    <xf numFmtId="0" fontId="60" fillId="0" borderId="1" xfId="3472" applyFont="1" applyBorder="1" applyAlignment="1">
      <alignment horizontal="center" vertical="top" wrapText="1"/>
    </xf>
    <xf numFmtId="0" fontId="41" fillId="0" borderId="0" xfId="2516" applyFont="1" applyAlignment="1">
      <alignment vertical="top"/>
    </xf>
    <xf numFmtId="0" fontId="41" fillId="0" borderId="1" xfId="598" applyFont="1" applyBorder="1" applyAlignment="1">
      <alignment horizontal="center" vertical="top"/>
    </xf>
    <xf numFmtId="1" fontId="82" fillId="0" borderId="1" xfId="1587" applyNumberFormat="1" applyFont="1" applyBorder="1" applyAlignment="1">
      <alignment horizontal="center" vertical="top" wrapText="1"/>
    </xf>
    <xf numFmtId="2" fontId="83" fillId="0" borderId="1" xfId="3472" applyNumberFormat="1" applyFont="1" applyBorder="1" applyAlignment="1">
      <alignment horizontal="center" vertical="top" wrapText="1"/>
    </xf>
    <xf numFmtId="0" fontId="42" fillId="0" borderId="1" xfId="598" applyFont="1" applyBorder="1" applyAlignment="1">
      <alignment horizontal="center" vertical="top"/>
    </xf>
    <xf numFmtId="1" fontId="83" fillId="0" borderId="1" xfId="1587" applyNumberFormat="1" applyFont="1" applyBorder="1" applyAlignment="1">
      <alignment horizontal="center" vertical="top" wrapText="1"/>
    </xf>
    <xf numFmtId="0" fontId="84" fillId="0" borderId="1" xfId="3472" applyFont="1" applyBorder="1" applyAlignment="1">
      <alignment horizontal="justify" vertical="top" wrapText="1"/>
    </xf>
    <xf numFmtId="2" fontId="84" fillId="0" borderId="1" xfId="3472" applyNumberFormat="1" applyFont="1" applyBorder="1" applyAlignment="1">
      <alignment horizontal="center" vertical="top" wrapText="1"/>
    </xf>
    <xf numFmtId="1" fontId="85" fillId="0" borderId="1" xfId="1587" applyNumberFormat="1" applyFont="1" applyBorder="1" applyAlignment="1">
      <alignment horizontal="center" vertical="top" wrapText="1"/>
    </xf>
    <xf numFmtId="2" fontId="85" fillId="0" borderId="1" xfId="3472" applyNumberFormat="1" applyFont="1" applyBorder="1" applyAlignment="1">
      <alignment horizontal="center" vertical="top" wrapText="1"/>
    </xf>
    <xf numFmtId="0" fontId="44" fillId="0" borderId="0" xfId="598" applyFont="1" applyAlignment="1">
      <alignment vertical="top" wrapText="1"/>
    </xf>
    <xf numFmtId="0" fontId="86" fillId="0" borderId="0" xfId="3472" applyFont="1" applyAlignment="1">
      <alignment horizontal="center" vertical="top"/>
    </xf>
    <xf numFmtId="0" fontId="51" fillId="0" borderId="0" xfId="3472" applyFont="1" applyAlignment="1">
      <alignment horizontal="center" vertical="top"/>
    </xf>
    <xf numFmtId="0" fontId="78" fillId="0" borderId="0" xfId="598" applyFont="1" applyAlignment="1">
      <alignment vertical="top"/>
    </xf>
    <xf numFmtId="0" fontId="78" fillId="0" borderId="0" xfId="3472" applyFont="1" applyAlignment="1">
      <alignment vertical="top"/>
    </xf>
    <xf numFmtId="0" fontId="86" fillId="0" borderId="0" xfId="3472" applyFont="1" applyAlignment="1">
      <alignment vertical="top"/>
    </xf>
    <xf numFmtId="0" fontId="86" fillId="0" borderId="0" xfId="598" applyFont="1" applyAlignment="1">
      <alignment horizontal="center" vertical="top"/>
    </xf>
    <xf numFmtId="0" fontId="78" fillId="0" borderId="0" xfId="598" applyFont="1" applyAlignment="1">
      <alignment horizontal="center" vertical="top"/>
    </xf>
    <xf numFmtId="0" fontId="86" fillId="0" borderId="0" xfId="598" applyFont="1" applyAlignment="1">
      <alignment vertical="top"/>
    </xf>
    <xf numFmtId="0" fontId="53" fillId="0" borderId="0" xfId="598" applyFont="1" applyAlignment="1">
      <alignment horizontal="left" vertical="top"/>
    </xf>
    <xf numFmtId="0" fontId="88" fillId="0" borderId="0" xfId="0" applyFont="1"/>
    <xf numFmtId="0" fontId="38" fillId="0" borderId="0" xfId="0" applyFont="1"/>
    <xf numFmtId="0" fontId="38" fillId="0" borderId="0" xfId="0" applyFont="1" applyAlignment="1">
      <alignment horizontal="center"/>
    </xf>
    <xf numFmtId="0" fontId="88" fillId="0" borderId="1" xfId="0" applyFont="1" applyBorder="1" applyAlignment="1">
      <alignment horizontal="center" vertical="center"/>
    </xf>
    <xf numFmtId="2" fontId="88" fillId="0" borderId="1" xfId="0" applyNumberFormat="1" applyFont="1" applyBorder="1" applyAlignment="1">
      <alignment horizontal="center" vertical="center"/>
    </xf>
    <xf numFmtId="0" fontId="88" fillId="0" borderId="1" xfId="0" applyFont="1" applyBorder="1" applyAlignment="1">
      <alignment horizontal="center" vertical="center" wrapText="1"/>
    </xf>
    <xf numFmtId="0" fontId="38" fillId="0" borderId="0" xfId="0" applyFont="1" applyAlignment="1" applyProtection="1">
      <alignment horizontal="center" vertical="top" wrapText="1"/>
      <protection hidden="1"/>
    </xf>
    <xf numFmtId="0" fontId="38" fillId="0" borderId="0" xfId="0" applyFont="1" applyAlignment="1" applyProtection="1">
      <alignment horizontal="left" vertical="top" wrapText="1"/>
      <protection hidden="1"/>
    </xf>
    <xf numFmtId="0" fontId="38" fillId="0" borderId="0" xfId="0" applyFont="1" applyAlignment="1">
      <alignment horizontal="left"/>
    </xf>
    <xf numFmtId="171" fontId="38" fillId="0" borderId="0" xfId="0" applyNumberFormat="1" applyFont="1" applyAlignment="1">
      <alignment horizontal="center"/>
    </xf>
    <xf numFmtId="0" fontId="38" fillId="0" borderId="0" xfId="0" applyFont="1" applyAlignment="1">
      <alignment horizontal="center" vertical="top"/>
    </xf>
    <xf numFmtId="0" fontId="88" fillId="0" borderId="0" xfId="0" applyFont="1" applyAlignment="1">
      <alignment horizontal="justify" wrapText="1"/>
    </xf>
    <xf numFmtId="0" fontId="88" fillId="0" borderId="0" xfId="0" applyFont="1" applyAlignment="1">
      <alignment horizontal="center" wrapText="1"/>
    </xf>
    <xf numFmtId="1" fontId="89" fillId="0" borderId="0" xfId="0" applyNumberFormat="1" applyFont="1" applyAlignment="1">
      <alignment horizontal="center" wrapText="1"/>
    </xf>
    <xf numFmtId="171" fontId="89" fillId="0" borderId="0" xfId="0" applyNumberFormat="1" applyFont="1" applyAlignment="1">
      <alignment horizontal="center" wrapText="1"/>
    </xf>
    <xf numFmtId="0" fontId="38" fillId="0" borderId="0" xfId="0" applyFont="1" applyAlignment="1">
      <alignment horizontal="right"/>
    </xf>
    <xf numFmtId="0" fontId="90" fillId="0" borderId="0" xfId="0" applyFont="1"/>
    <xf numFmtId="0" fontId="90" fillId="0" borderId="0" xfId="0" applyFont="1" applyAlignment="1">
      <alignment vertical="center"/>
    </xf>
    <xf numFmtId="0" fontId="90" fillId="0" borderId="0" xfId="0" applyFont="1" applyAlignment="1">
      <alignment horizontal="center" vertical="center"/>
    </xf>
    <xf numFmtId="0" fontId="90" fillId="0" borderId="1" xfId="0" applyFont="1" applyBorder="1" applyAlignment="1">
      <alignment horizontal="center" vertical="center"/>
    </xf>
    <xf numFmtId="0" fontId="90" fillId="0" borderId="1" xfId="0" applyFont="1" applyBorder="1" applyAlignment="1">
      <alignment horizontal="left"/>
    </xf>
    <xf numFmtId="0" fontId="93" fillId="0" borderId="0" xfId="0" applyFont="1" applyAlignment="1">
      <alignment vertical="top"/>
    </xf>
    <xf numFmtId="0" fontId="93" fillId="0" borderId="0" xfId="0" applyFont="1"/>
    <xf numFmtId="0" fontId="93" fillId="0" borderId="0" xfId="0" applyFont="1" applyAlignment="1">
      <alignment vertical="center"/>
    </xf>
    <xf numFmtId="0" fontId="94" fillId="0" borderId="0" xfId="0" applyFont="1" applyAlignment="1">
      <alignment horizontal="center" vertical="center"/>
    </xf>
    <xf numFmtId="0" fontId="93" fillId="0" borderId="0" xfId="0" applyFont="1" applyAlignment="1">
      <alignment horizontal="center" vertical="center"/>
    </xf>
    <xf numFmtId="0" fontId="93" fillId="0" borderId="1" xfId="0" applyFont="1" applyBorder="1" applyAlignment="1">
      <alignment horizontal="center" vertical="center"/>
    </xf>
    <xf numFmtId="0" fontId="93" fillId="0" borderId="1" xfId="0" applyFont="1" applyBorder="1" applyAlignment="1">
      <alignment horizontal="center" vertical="center" wrapText="1"/>
    </xf>
    <xf numFmtId="2" fontId="93" fillId="0" borderId="1" xfId="0" applyNumberFormat="1" applyFont="1" applyBorder="1" applyAlignment="1">
      <alignment horizontal="center" vertical="center"/>
    </xf>
    <xf numFmtId="2" fontId="94" fillId="0" borderId="1" xfId="0" applyNumberFormat="1" applyFont="1" applyBorder="1" applyAlignment="1">
      <alignment horizontal="right" vertical="center"/>
    </xf>
    <xf numFmtId="2" fontId="93" fillId="0" borderId="0" xfId="0" applyNumberFormat="1" applyFont="1" applyAlignment="1">
      <alignment vertical="center"/>
    </xf>
    <xf numFmtId="0" fontId="95" fillId="0" borderId="0" xfId="0" applyFont="1" applyAlignment="1">
      <alignment horizontal="center" vertical="top"/>
    </xf>
    <xf numFmtId="0" fontId="95" fillId="0" borderId="0" xfId="0" applyFont="1"/>
    <xf numFmtId="0" fontId="95" fillId="0" borderId="0" xfId="0" applyFont="1" applyAlignment="1">
      <alignment vertical="center"/>
    </xf>
    <xf numFmtId="0" fontId="97" fillId="0" borderId="0" xfId="0" applyFont="1" applyAlignment="1">
      <alignment horizontal="center" vertical="center"/>
    </xf>
    <xf numFmtId="0" fontId="95" fillId="0" borderId="0" xfId="0" applyFont="1" applyAlignment="1">
      <alignment horizontal="center" vertical="center"/>
    </xf>
    <xf numFmtId="2" fontId="95" fillId="0" borderId="0" xfId="0" applyNumberFormat="1" applyFont="1" applyAlignment="1">
      <alignment vertical="center"/>
    </xf>
    <xf numFmtId="2" fontId="97" fillId="0" borderId="1" xfId="0" applyNumberFormat="1" applyFont="1" applyBorder="1" applyAlignment="1">
      <alignment horizontal="center" vertical="center" wrapText="1"/>
    </xf>
    <xf numFmtId="0" fontId="95" fillId="0" borderId="1" xfId="0" applyFont="1" applyBorder="1" applyAlignment="1">
      <alignment horizontal="justify" vertical="top" wrapText="1"/>
    </xf>
    <xf numFmtId="0" fontId="95" fillId="0" borderId="1" xfId="0" applyFont="1" applyBorder="1" applyAlignment="1">
      <alignment horizontal="left"/>
    </xf>
    <xf numFmtId="0" fontId="95" fillId="0" borderId="1" xfId="0" applyFont="1" applyBorder="1" applyAlignment="1">
      <alignment horizontal="left" vertical="top" wrapText="1"/>
    </xf>
    <xf numFmtId="0" fontId="95" fillId="0" borderId="1" xfId="0" applyFont="1" applyBorder="1" applyAlignment="1">
      <alignment horizontal="left" vertical="center"/>
    </xf>
    <xf numFmtId="2" fontId="95" fillId="0" borderId="1" xfId="0" applyNumberFormat="1" applyFont="1" applyBorder="1" applyAlignment="1">
      <alignment horizontal="center" vertical="center"/>
    </xf>
    <xf numFmtId="0" fontId="95" fillId="0" borderId="1" xfId="0" applyFont="1" applyBorder="1" applyAlignment="1">
      <alignment horizontal="center" vertical="center"/>
    </xf>
    <xf numFmtId="0" fontId="95" fillId="0" borderId="1" xfId="0" applyFont="1" applyBorder="1" applyAlignment="1">
      <alignment vertical="center"/>
    </xf>
    <xf numFmtId="0" fontId="95" fillId="0" borderId="1" xfId="0" applyFont="1" applyBorder="1" applyAlignment="1">
      <alignment horizontal="right" vertical="center"/>
    </xf>
    <xf numFmtId="2" fontId="95" fillId="0" borderId="1" xfId="0" applyNumberFormat="1" applyFont="1" applyBorder="1" applyAlignment="1">
      <alignment horizontal="center" vertical="center" wrapText="1"/>
    </xf>
    <xf numFmtId="2" fontId="95" fillId="0" borderId="1" xfId="0" applyNumberFormat="1" applyFont="1" applyBorder="1" applyAlignment="1">
      <alignment horizontal="right" vertical="center" wrapText="1"/>
    </xf>
    <xf numFmtId="2" fontId="97" fillId="0" borderId="1" xfId="0" applyNumberFormat="1" applyFont="1" applyBorder="1" applyAlignment="1">
      <alignment horizontal="right" vertical="center"/>
    </xf>
    <xf numFmtId="0" fontId="95" fillId="0" borderId="1" xfId="0" applyFont="1" applyBorder="1"/>
    <xf numFmtId="0" fontId="95" fillId="0" borderId="1" xfId="0" applyFont="1" applyBorder="1" applyAlignment="1">
      <alignment vertical="top" wrapText="1"/>
    </xf>
    <xf numFmtId="2" fontId="95" fillId="0" borderId="1" xfId="0" applyNumberFormat="1" applyFont="1" applyBorder="1" applyAlignment="1">
      <alignment horizontal="center" vertical="top"/>
    </xf>
    <xf numFmtId="2" fontId="95" fillId="0" borderId="1" xfId="0" applyNumberFormat="1" applyFont="1" applyBorder="1" applyAlignment="1">
      <alignment horizontal="center"/>
    </xf>
    <xf numFmtId="0" fontId="95" fillId="0" borderId="1" xfId="0" applyFont="1" applyBorder="1" applyAlignment="1">
      <alignment horizontal="center"/>
    </xf>
    <xf numFmtId="0" fontId="95" fillId="0" borderId="1" xfId="0" applyFont="1" applyBorder="1" applyAlignment="1">
      <alignment horizontal="center" vertical="center" wrapText="1"/>
    </xf>
    <xf numFmtId="2" fontId="97" fillId="0" borderId="1" xfId="0" applyNumberFormat="1" applyFont="1" applyBorder="1" applyAlignment="1">
      <alignment horizontal="right" vertical="center" wrapText="1"/>
    </xf>
    <xf numFmtId="0" fontId="90" fillId="0" borderId="0" xfId="0" applyFont="1" applyAlignment="1" applyProtection="1">
      <alignment vertical="center"/>
      <protection locked="0"/>
    </xf>
    <xf numFmtId="0" fontId="90" fillId="0" borderId="0" xfId="0" applyFont="1" applyProtection="1">
      <protection locked="0"/>
    </xf>
    <xf numFmtId="0" fontId="90" fillId="0" borderId="1" xfId="0" applyFont="1" applyBorder="1" applyAlignment="1" applyProtection="1">
      <alignment horizontal="center" vertical="center"/>
      <protection locked="0"/>
    </xf>
    <xf numFmtId="0" fontId="90" fillId="0" borderId="1" xfId="0" applyFont="1" applyBorder="1" applyAlignment="1" applyProtection="1">
      <alignment vertical="center" wrapText="1"/>
      <protection locked="0"/>
    </xf>
    <xf numFmtId="0" fontId="90" fillId="0" borderId="1" xfId="0" applyFont="1" applyBorder="1" applyProtection="1">
      <protection locked="0"/>
    </xf>
    <xf numFmtId="0" fontId="90" fillId="0" borderId="1" xfId="0" applyFont="1" applyBorder="1" applyAlignment="1" applyProtection="1">
      <alignment horizontal="left"/>
      <protection locked="0"/>
    </xf>
    <xf numFmtId="0" fontId="90" fillId="0" borderId="1" xfId="0" applyFont="1" applyBorder="1" applyAlignment="1" applyProtection="1">
      <alignment horizontal="center"/>
      <protection locked="0"/>
    </xf>
    <xf numFmtId="0" fontId="91" fillId="0" borderId="0" xfId="0" applyFont="1"/>
    <xf numFmtId="0" fontId="91" fillId="0" borderId="0" xfId="0" applyFont="1" applyAlignment="1">
      <alignment horizontal="center"/>
    </xf>
    <xf numFmtId="0" fontId="90" fillId="0" borderId="0" xfId="0" applyFont="1" applyAlignment="1">
      <alignment horizontal="center"/>
    </xf>
    <xf numFmtId="0" fontId="91" fillId="0" borderId="0" xfId="0" applyFont="1" applyProtection="1">
      <protection locked="0"/>
    </xf>
    <xf numFmtId="0" fontId="109" fillId="0" borderId="0" xfId="0" applyFont="1" applyAlignment="1">
      <alignment horizontal="center" vertical="center"/>
    </xf>
    <xf numFmtId="0" fontId="83" fillId="0" borderId="0" xfId="0" applyFont="1" applyAlignment="1">
      <alignment horizontal="center" vertical="center"/>
    </xf>
    <xf numFmtId="0" fontId="83" fillId="0" borderId="0" xfId="0" applyFont="1"/>
    <xf numFmtId="0" fontId="37" fillId="0" borderId="0" xfId="0" applyFont="1" applyAlignment="1">
      <alignment vertical="top"/>
    </xf>
    <xf numFmtId="0" fontId="83" fillId="0" borderId="0" xfId="0" applyFont="1" applyAlignment="1">
      <alignment vertical="center"/>
    </xf>
    <xf numFmtId="0" fontId="110" fillId="0" borderId="1" xfId="0" applyFont="1" applyBorder="1" applyAlignment="1">
      <alignment horizontal="center" vertical="top" wrapText="1"/>
    </xf>
    <xf numFmtId="0" fontId="110" fillId="0" borderId="1" xfId="0" applyFont="1" applyBorder="1" applyAlignment="1">
      <alignment horizontal="center" vertical="center" wrapText="1"/>
    </xf>
    <xf numFmtId="0" fontId="110" fillId="0" borderId="1" xfId="0" applyFont="1" applyBorder="1" applyAlignment="1">
      <alignment horizontal="center" vertical="top"/>
    </xf>
    <xf numFmtId="0" fontId="110" fillId="0" borderId="1" xfId="0" applyFont="1" applyBorder="1" applyAlignment="1">
      <alignment horizontal="center" vertical="center"/>
    </xf>
    <xf numFmtId="0" fontId="37" fillId="0" borderId="7" xfId="0" applyFont="1" applyBorder="1" applyAlignment="1">
      <alignment horizontal="center" vertical="top"/>
    </xf>
    <xf numFmtId="0" fontId="37" fillId="0" borderId="34" xfId="0" applyFont="1" applyBorder="1" applyAlignment="1">
      <alignment horizontal="center" vertical="center"/>
    </xf>
    <xf numFmtId="0" fontId="110" fillId="0" borderId="35" xfId="0" applyFont="1" applyBorder="1" applyAlignment="1">
      <alignment horizontal="left" vertical="center"/>
    </xf>
    <xf numFmtId="0" fontId="37" fillId="0" borderId="35" xfId="0" applyFont="1" applyBorder="1" applyAlignment="1">
      <alignment horizontal="justify" vertical="center" wrapText="1"/>
    </xf>
    <xf numFmtId="0" fontId="37" fillId="0" borderId="8" xfId="0" applyFont="1" applyBorder="1" applyAlignment="1">
      <alignment horizontal="center" vertical="center"/>
    </xf>
    <xf numFmtId="0" fontId="110" fillId="0" borderId="8" xfId="0" applyFont="1" applyBorder="1" applyAlignment="1">
      <alignment horizontal="left" vertical="center"/>
    </xf>
    <xf numFmtId="0" fontId="37" fillId="0" borderId="8" xfId="0" applyFont="1" applyBorder="1" applyAlignment="1">
      <alignment horizontal="justify" vertical="center" wrapText="1"/>
    </xf>
    <xf numFmtId="0" fontId="37" fillId="0" borderId="8" xfId="0" applyFont="1" applyBorder="1" applyAlignment="1">
      <alignment horizontal="left" vertical="center" wrapText="1"/>
    </xf>
    <xf numFmtId="0" fontId="37" fillId="0" borderId="8" xfId="0" applyFont="1" applyBorder="1" applyAlignment="1">
      <alignment horizontal="center" vertical="center" wrapText="1"/>
    </xf>
    <xf numFmtId="2" fontId="37" fillId="0" borderId="8" xfId="0" applyNumberFormat="1" applyFont="1" applyBorder="1" applyAlignment="1">
      <alignment horizontal="center" vertical="center" wrapText="1"/>
    </xf>
    <xf numFmtId="0" fontId="37" fillId="0" borderId="8" xfId="0" applyFont="1" applyBorder="1" applyAlignment="1">
      <alignment horizontal="center" vertical="top"/>
    </xf>
    <xf numFmtId="0" fontId="37" fillId="0" borderId="8" xfId="0" applyFont="1" applyBorder="1" applyAlignment="1">
      <alignment horizontal="left" vertical="top" wrapText="1"/>
    </xf>
    <xf numFmtId="0" fontId="37" fillId="0" borderId="8" xfId="0" applyFont="1" applyBorder="1" applyAlignment="1">
      <alignment horizontal="justify" vertical="top" wrapText="1"/>
    </xf>
    <xf numFmtId="0" fontId="0" fillId="0" borderId="8" xfId="0" applyBorder="1" applyAlignment="1">
      <alignment horizontal="left" vertical="center" wrapText="1"/>
    </xf>
    <xf numFmtId="0" fontId="0" fillId="0" borderId="8" xfId="0" applyBorder="1" applyAlignment="1">
      <alignment horizontal="center" vertical="center" wrapText="1"/>
    </xf>
    <xf numFmtId="2" fontId="0" fillId="0" borderId="8" xfId="0" applyNumberFormat="1" applyBorder="1" applyAlignment="1">
      <alignment horizontal="center" vertical="center" wrapText="1"/>
    </xf>
    <xf numFmtId="2" fontId="113" fillId="0" borderId="8" xfId="0" applyNumberFormat="1" applyFont="1" applyBorder="1" applyAlignment="1">
      <alignment horizontal="center" vertical="center" wrapText="1"/>
    </xf>
    <xf numFmtId="0" fontId="37"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1" xfId="0" applyFont="1" applyBorder="1" applyAlignment="1">
      <alignment horizontal="center" vertical="top"/>
    </xf>
    <xf numFmtId="0" fontId="37" fillId="0" borderId="1" xfId="0" applyFont="1" applyBorder="1" applyAlignment="1">
      <alignment horizontal="justify" vertical="top" wrapText="1"/>
    </xf>
    <xf numFmtId="0" fontId="37" fillId="0" borderId="1" xfId="0" applyFont="1" applyBorder="1" applyAlignment="1">
      <alignment horizontal="left" vertical="top" wrapText="1"/>
    </xf>
    <xf numFmtId="2" fontId="37" fillId="0" borderId="1" xfId="0" applyNumberFormat="1" applyFont="1" applyBorder="1" applyAlignment="1">
      <alignment horizontal="center" vertical="center"/>
    </xf>
    <xf numFmtId="0" fontId="37" fillId="0" borderId="1" xfId="0" applyFont="1" applyBorder="1" applyAlignment="1">
      <alignment horizontal="center" vertical="center"/>
    </xf>
    <xf numFmtId="0" fontId="37" fillId="0" borderId="1" xfId="0" applyFont="1" applyBorder="1" applyAlignment="1">
      <alignment horizontal="center"/>
    </xf>
    <xf numFmtId="0" fontId="110" fillId="0" borderId="1" xfId="0" applyFont="1" applyBorder="1" applyAlignment="1">
      <alignment horizontal="left"/>
    </xf>
    <xf numFmtId="0" fontId="37" fillId="0" borderId="1" xfId="0" applyFont="1" applyBorder="1" applyAlignment="1">
      <alignment horizontal="justify" wrapText="1"/>
    </xf>
    <xf numFmtId="0" fontId="37" fillId="0" borderId="1" xfId="0" applyFont="1" applyBorder="1" applyAlignment="1">
      <alignment horizontal="center" vertical="top" wrapText="1"/>
    </xf>
    <xf numFmtId="2" fontId="37" fillId="0" borderId="1" xfId="0" applyNumberFormat="1" applyFont="1" applyBorder="1" applyAlignment="1">
      <alignment horizontal="center" vertical="top" wrapText="1"/>
    </xf>
    <xf numFmtId="0" fontId="37" fillId="0" borderId="0" xfId="2192" applyFont="1" applyAlignment="1">
      <alignment horizontal="center" vertical="center"/>
    </xf>
    <xf numFmtId="0" fontId="37" fillId="0" borderId="0" xfId="2192" applyFont="1" applyAlignment="1">
      <alignment vertical="center" wrapText="1"/>
    </xf>
    <xf numFmtId="2" fontId="110" fillId="0" borderId="1" xfId="0" applyNumberFormat="1" applyFont="1" applyBorder="1" applyAlignment="1">
      <alignment horizontal="center" vertical="center"/>
    </xf>
    <xf numFmtId="1" fontId="110" fillId="0" borderId="1" xfId="0" applyNumberFormat="1" applyFont="1" applyBorder="1" applyAlignment="1">
      <alignment horizontal="center" vertical="center"/>
    </xf>
    <xf numFmtId="3" fontId="110" fillId="0" borderId="7" xfId="0" applyNumberFormat="1" applyFont="1" applyBorder="1" applyAlignment="1">
      <alignment horizontal="justify" vertical="top"/>
    </xf>
    <xf numFmtId="2" fontId="83" fillId="0" borderId="0" xfId="0" applyNumberFormat="1" applyFont="1" applyAlignment="1">
      <alignment vertical="center"/>
    </xf>
    <xf numFmtId="3" fontId="110" fillId="0" borderId="36" xfId="0" applyNumberFormat="1" applyFont="1" applyBorder="1" applyAlignment="1">
      <alignment horizontal="justify" vertical="center"/>
    </xf>
    <xf numFmtId="3" fontId="110" fillId="0" borderId="8" xfId="0" applyNumberFormat="1" applyFont="1" applyBorder="1" applyAlignment="1">
      <alignment horizontal="justify" vertical="center"/>
    </xf>
    <xf numFmtId="2" fontId="110" fillId="0" borderId="1" xfId="0" applyNumberFormat="1" applyFont="1" applyBorder="1" applyAlignment="1">
      <alignment horizontal="center" vertical="center" wrapText="1"/>
    </xf>
    <xf numFmtId="2" fontId="110" fillId="0" borderId="8" xfId="0" applyNumberFormat="1" applyFont="1" applyBorder="1" applyAlignment="1">
      <alignment horizontal="right" vertical="center"/>
    </xf>
    <xf numFmtId="2" fontId="110" fillId="0" borderId="8" xfId="0" applyNumberFormat="1" applyFont="1" applyBorder="1" applyAlignment="1">
      <alignment horizontal="center" vertical="center" wrapText="1"/>
    </xf>
    <xf numFmtId="2" fontId="110" fillId="0" borderId="8" xfId="0" applyNumberFormat="1" applyFont="1" applyBorder="1" applyAlignment="1">
      <alignment horizontal="justify" vertical="top"/>
    </xf>
    <xf numFmtId="2" fontId="110" fillId="0" borderId="2" xfId="0" applyNumberFormat="1" applyFont="1" applyBorder="1" applyAlignment="1">
      <alignment horizontal="center" vertical="center" wrapText="1"/>
    </xf>
    <xf numFmtId="2" fontId="37" fillId="0" borderId="2" xfId="0" applyNumberFormat="1" applyFont="1" applyBorder="1" applyAlignment="1">
      <alignment horizontal="center" vertical="center" wrapText="1"/>
    </xf>
    <xf numFmtId="0" fontId="37" fillId="0" borderId="2" xfId="0" applyFont="1" applyBorder="1" applyAlignment="1">
      <alignment horizontal="center" vertical="center" wrapText="1"/>
    </xf>
    <xf numFmtId="2" fontId="110" fillId="0" borderId="2" xfId="0" applyNumberFormat="1" applyFont="1" applyBorder="1" applyAlignment="1">
      <alignment horizontal="right" vertical="center"/>
    </xf>
    <xf numFmtId="2" fontId="110" fillId="0" borderId="1" xfId="0" applyNumberFormat="1" applyFont="1" applyBorder="1" applyAlignment="1">
      <alignment horizontal="right" vertical="center"/>
    </xf>
    <xf numFmtId="2" fontId="37" fillId="0" borderId="1" xfId="0" applyNumberFormat="1" applyFont="1" applyBorder="1" applyAlignment="1">
      <alignment horizontal="center" vertical="center" wrapText="1"/>
    </xf>
    <xf numFmtId="0" fontId="37" fillId="0" borderId="1" xfId="0" applyFont="1" applyBorder="1" applyAlignment="1">
      <alignment horizontal="center" vertical="center" wrapText="1"/>
    </xf>
    <xf numFmtId="2" fontId="37" fillId="0" borderId="1" xfId="0" applyNumberFormat="1" applyFont="1" applyBorder="1" applyAlignment="1">
      <alignment horizontal="right" wrapText="1"/>
    </xf>
    <xf numFmtId="2" fontId="37" fillId="0" borderId="1" xfId="0" applyNumberFormat="1" applyFont="1" applyBorder="1" applyAlignment="1">
      <alignment horizontal="justify" wrapText="1"/>
    </xf>
    <xf numFmtId="2" fontId="110" fillId="0" borderId="1" xfId="0" applyNumberFormat="1" applyFont="1" applyBorder="1" applyAlignment="1">
      <alignment horizontal="right"/>
    </xf>
    <xf numFmtId="2" fontId="83" fillId="0" borderId="0" xfId="0" applyNumberFormat="1" applyFont="1"/>
    <xf numFmtId="2" fontId="37" fillId="0" borderId="1" xfId="0" applyNumberFormat="1" applyFont="1" applyBorder="1" applyAlignment="1">
      <alignment horizontal="right" vertical="top" wrapText="1"/>
    </xf>
    <xf numFmtId="3" fontId="110" fillId="0" borderId="1" xfId="0" applyNumberFormat="1" applyFont="1" applyBorder="1" applyAlignment="1">
      <alignment horizontal="justify" vertical="top"/>
    </xf>
    <xf numFmtId="0" fontId="109" fillId="0" borderId="1" xfId="0" applyFont="1" applyBorder="1" applyAlignment="1">
      <alignment horizontal="center" vertical="center"/>
    </xf>
    <xf numFmtId="0" fontId="83" fillId="0" borderId="1" xfId="0" applyFont="1" applyBorder="1" applyAlignment="1">
      <alignment horizontal="center" vertical="center"/>
    </xf>
    <xf numFmtId="2" fontId="109" fillId="0" borderId="1" xfId="0" applyNumberFormat="1" applyFont="1" applyBorder="1" applyAlignment="1">
      <alignment vertical="center"/>
    </xf>
    <xf numFmtId="3" fontId="109" fillId="0" borderId="0" xfId="0" applyNumberFormat="1" applyFont="1" applyAlignment="1">
      <alignment horizontal="center" vertical="center"/>
    </xf>
    <xf numFmtId="0" fontId="37" fillId="0" borderId="0" xfId="2192" applyFont="1" applyAlignment="1">
      <alignment horizontal="center" vertical="center" wrapText="1"/>
    </xf>
    <xf numFmtId="0" fontId="37" fillId="0" borderId="8" xfId="0" applyFont="1" applyBorder="1" applyAlignment="1">
      <alignment horizontal="center"/>
    </xf>
    <xf numFmtId="0" fontId="37" fillId="0" borderId="8" xfId="0" applyFont="1" applyBorder="1" applyAlignment="1">
      <alignment horizontal="left" wrapText="1"/>
    </xf>
    <xf numFmtId="0" fontId="37" fillId="0" borderId="8" xfId="0" applyFont="1" applyBorder="1" applyAlignment="1">
      <alignment horizontal="center" wrapText="1"/>
    </xf>
    <xf numFmtId="2" fontId="37" fillId="0" borderId="8" xfId="0" applyNumberFormat="1" applyFont="1" applyBorder="1" applyAlignment="1">
      <alignment horizontal="center" wrapText="1"/>
    </xf>
    <xf numFmtId="0" fontId="37" fillId="0" borderId="8" xfId="0" applyFont="1" applyBorder="1" applyAlignment="1">
      <alignment horizontal="justify" wrapText="1"/>
    </xf>
    <xf numFmtId="3" fontId="110" fillId="0" borderId="8" xfId="0" applyNumberFormat="1" applyFont="1" applyBorder="1" applyAlignment="1">
      <alignment horizontal="justify"/>
    </xf>
    <xf numFmtId="3" fontId="110" fillId="0" borderId="8" xfId="0" applyNumberFormat="1" applyFont="1" applyBorder="1" applyAlignment="1">
      <alignment horizontal="justify" vertical="top"/>
    </xf>
    <xf numFmtId="184" fontId="0" fillId="0" borderId="8" xfId="0" applyNumberFormat="1" applyBorder="1" applyAlignment="1">
      <alignment horizontal="center" vertical="center" wrapText="1"/>
    </xf>
    <xf numFmtId="3" fontId="110" fillId="0" borderId="2" xfId="0" applyNumberFormat="1" applyFont="1" applyBorder="1" applyAlignment="1">
      <alignment horizontal="justify" vertical="center"/>
    </xf>
    <xf numFmtId="0" fontId="37" fillId="0" borderId="0" xfId="0" applyFont="1" applyAlignment="1">
      <alignment vertical="center"/>
    </xf>
    <xf numFmtId="184" fontId="37" fillId="0" borderId="8" xfId="0" applyNumberFormat="1" applyFont="1" applyBorder="1" applyAlignment="1">
      <alignment horizontal="center" vertical="center" wrapText="1"/>
    </xf>
    <xf numFmtId="2" fontId="37" fillId="0" borderId="8" xfId="975" applyNumberFormat="1" applyFont="1" applyBorder="1" applyAlignment="1">
      <alignment horizontal="left" vertical="center"/>
    </xf>
    <xf numFmtId="0" fontId="110" fillId="0" borderId="8" xfId="0" applyFont="1" applyBorder="1" applyAlignment="1">
      <alignment horizontal="left" vertical="center" wrapText="1"/>
    </xf>
    <xf numFmtId="0" fontId="37" fillId="0" borderId="8" xfId="0" applyFont="1" applyBorder="1" applyAlignment="1">
      <alignment vertical="center"/>
    </xf>
    <xf numFmtId="2" fontId="37" fillId="0" borderId="8" xfId="975" applyNumberFormat="1" applyFont="1" applyBorder="1" applyAlignment="1">
      <alignment horizontal="left" shrinkToFit="1"/>
    </xf>
    <xf numFmtId="0" fontId="37" fillId="0" borderId="8" xfId="0" applyFont="1" applyBorder="1" applyAlignment="1">
      <alignment horizontal="center" vertical="top" wrapText="1"/>
    </xf>
    <xf numFmtId="2" fontId="37" fillId="0" borderId="8" xfId="0" applyNumberFormat="1" applyFont="1" applyBorder="1" applyAlignment="1">
      <alignment horizontal="center" vertical="top" wrapText="1"/>
    </xf>
    <xf numFmtId="0" fontId="37" fillId="0" borderId="2" xfId="0" applyFont="1" applyBorder="1" applyAlignment="1">
      <alignment horizontal="center" vertical="top"/>
    </xf>
    <xf numFmtId="0" fontId="37" fillId="0" borderId="2" xfId="0" applyFont="1" applyBorder="1" applyAlignment="1">
      <alignment horizontal="left" vertical="top" wrapText="1"/>
    </xf>
    <xf numFmtId="0" fontId="37" fillId="0" borderId="37" xfId="0" applyFont="1" applyBorder="1" applyAlignment="1">
      <alignment horizontal="center" vertical="top"/>
    </xf>
    <xf numFmtId="0" fontId="37" fillId="0" borderId="38" xfId="0" applyFont="1" applyBorder="1" applyAlignment="1">
      <alignment horizontal="left" vertical="top" wrapText="1"/>
    </xf>
    <xf numFmtId="0" fontId="37" fillId="0" borderId="38" xfId="0" applyFont="1" applyBorder="1" applyAlignment="1">
      <alignment horizontal="center" vertical="center"/>
    </xf>
    <xf numFmtId="184" fontId="37" fillId="0" borderId="8" xfId="0" applyNumberFormat="1" applyFont="1" applyBorder="1" applyAlignment="1">
      <alignment horizontal="center" vertical="top" wrapText="1"/>
    </xf>
    <xf numFmtId="184" fontId="110" fillId="0" borderId="1" xfId="0" applyNumberFormat="1" applyFont="1" applyBorder="1" applyAlignment="1">
      <alignment horizontal="center" vertical="center" wrapText="1"/>
    </xf>
    <xf numFmtId="2" fontId="110" fillId="0" borderId="38" xfId="0" applyNumberFormat="1" applyFont="1" applyBorder="1" applyAlignment="1">
      <alignment horizontal="center" vertical="center" wrapText="1"/>
    </xf>
    <xf numFmtId="0" fontId="109" fillId="0" borderId="38" xfId="0" applyFont="1" applyBorder="1" applyAlignment="1">
      <alignment horizontal="center" vertical="center"/>
    </xf>
    <xf numFmtId="0" fontId="83" fillId="0" borderId="38" xfId="0" applyFont="1" applyBorder="1" applyAlignment="1">
      <alignment horizontal="center" vertical="center"/>
    </xf>
    <xf numFmtId="2" fontId="109" fillId="0" borderId="39" xfId="0" applyNumberFormat="1" applyFont="1" applyBorder="1" applyAlignment="1">
      <alignment vertical="center"/>
    </xf>
    <xf numFmtId="0" fontId="96" fillId="0" borderId="0" xfId="3964" applyFont="1"/>
    <xf numFmtId="0" fontId="96" fillId="0" borderId="0" xfId="3964" applyFont="1" applyAlignment="1">
      <alignment horizontal="center"/>
    </xf>
    <xf numFmtId="1" fontId="99" fillId="0" borderId="1" xfId="3771" applyNumberFormat="1" applyFont="1" applyBorder="1" applyAlignment="1">
      <alignment horizontal="center" vertical="center"/>
    </xf>
    <xf numFmtId="2" fontId="99" fillId="0" borderId="1" xfId="3771" applyNumberFormat="1" applyFont="1" applyBorder="1" applyAlignment="1">
      <alignment horizontal="center" vertical="center"/>
    </xf>
    <xf numFmtId="1" fontId="99" fillId="0" borderId="1" xfId="3771" applyNumberFormat="1" applyFont="1" applyBorder="1" applyAlignment="1">
      <alignment horizontal="center" vertical="top"/>
    </xf>
    <xf numFmtId="0" fontId="96" fillId="0" borderId="1" xfId="3771" applyFont="1" applyBorder="1" applyAlignment="1">
      <alignment horizontal="justify" vertical="top" wrapText="1"/>
    </xf>
    <xf numFmtId="1" fontId="96" fillId="0" borderId="1" xfId="3771" applyNumberFormat="1" applyFont="1" applyBorder="1" applyAlignment="1">
      <alignment horizontal="right" vertical="top"/>
    </xf>
    <xf numFmtId="0" fontId="115" fillId="0" borderId="1" xfId="3771" applyFont="1" applyBorder="1" applyAlignment="1">
      <alignment horizontal="justify" vertical="top" wrapText="1"/>
    </xf>
    <xf numFmtId="1" fontId="96" fillId="0" borderId="1" xfId="3771" applyNumberFormat="1" applyFont="1" applyBorder="1" applyAlignment="1">
      <alignment horizontal="center" vertical="top"/>
    </xf>
    <xf numFmtId="0" fontId="115" fillId="0" borderId="1" xfId="3771" applyFont="1" applyBorder="1" applyAlignment="1">
      <alignment vertical="center" wrapText="1"/>
    </xf>
    <xf numFmtId="0" fontId="116" fillId="0" borderId="1" xfId="3771" applyFont="1" applyBorder="1" applyAlignment="1">
      <alignment horizontal="center" vertical="center" wrapText="1"/>
    </xf>
    <xf numFmtId="0" fontId="115" fillId="0" borderId="1" xfId="3771" applyFont="1" applyBorder="1" applyAlignment="1">
      <alignment horizontal="center" vertical="center" wrapText="1"/>
    </xf>
    <xf numFmtId="2" fontId="115" fillId="0" borderId="1" xfId="3771" applyNumberFormat="1" applyFont="1" applyBorder="1" applyAlignment="1">
      <alignment horizontal="center" vertical="center" wrapText="1"/>
    </xf>
    <xf numFmtId="2" fontId="115" fillId="0" borderId="1" xfId="3771" applyNumberFormat="1" applyFont="1" applyBorder="1" applyAlignment="1">
      <alignment horizontal="center" vertical="center"/>
    </xf>
    <xf numFmtId="2" fontId="96" fillId="0" borderId="1" xfId="3771" applyNumberFormat="1" applyFont="1" applyBorder="1" applyAlignment="1">
      <alignment horizontal="center" vertical="center" wrapText="1"/>
    </xf>
    <xf numFmtId="0" fontId="96" fillId="0" borderId="1" xfId="3771" applyFont="1" applyBorder="1" applyAlignment="1">
      <alignment vertical="center" wrapText="1"/>
    </xf>
    <xf numFmtId="1" fontId="115" fillId="0" borderId="1" xfId="3771" applyNumberFormat="1" applyFont="1" applyBorder="1" applyAlignment="1">
      <alignment horizontal="center" vertical="center" wrapText="1"/>
    </xf>
    <xf numFmtId="0" fontId="96" fillId="0" borderId="1" xfId="3771" applyFont="1" applyBorder="1" applyAlignment="1">
      <alignment vertical="top" wrapText="1"/>
    </xf>
    <xf numFmtId="0" fontId="96" fillId="0" borderId="1" xfId="3771" applyFont="1" applyBorder="1" applyAlignment="1">
      <alignment horizontal="center" vertical="top" wrapText="1"/>
    </xf>
    <xf numFmtId="0" fontId="99" fillId="0" borderId="1" xfId="3771" applyFont="1" applyBorder="1" applyAlignment="1">
      <alignment horizontal="justify" vertical="top" wrapText="1"/>
    </xf>
    <xf numFmtId="0" fontId="96" fillId="0" borderId="1" xfId="3964" applyFont="1" applyBorder="1"/>
    <xf numFmtId="9" fontId="96" fillId="0" borderId="1" xfId="3771" applyNumberFormat="1" applyFont="1" applyBorder="1" applyAlignment="1">
      <alignment horizontal="justify" vertical="top" wrapText="1"/>
    </xf>
    <xf numFmtId="2" fontId="96" fillId="0" borderId="0" xfId="3964" applyNumberFormat="1" applyFont="1"/>
    <xf numFmtId="1" fontId="96" fillId="0" borderId="1" xfId="3771" applyNumberFormat="1" applyFont="1" applyBorder="1" applyAlignment="1">
      <alignment horizontal="center" vertical="center" wrapText="1"/>
    </xf>
    <xf numFmtId="0" fontId="96" fillId="0" borderId="1" xfId="3771" applyFont="1" applyBorder="1" applyAlignment="1">
      <alignment horizontal="left" vertical="top" wrapText="1"/>
    </xf>
    <xf numFmtId="2" fontId="96" fillId="0" borderId="1" xfId="3771" applyNumberFormat="1" applyFont="1" applyBorder="1" applyAlignment="1">
      <alignment horizontal="center" vertical="top"/>
    </xf>
    <xf numFmtId="2" fontId="96" fillId="0" borderId="1" xfId="3771" applyNumberFormat="1" applyFont="1" applyBorder="1" applyAlignment="1">
      <alignment vertical="top"/>
    </xf>
    <xf numFmtId="2" fontId="99" fillId="0" borderId="1" xfId="3771" applyNumberFormat="1" applyFont="1" applyBorder="1" applyAlignment="1">
      <alignment horizontal="center" vertical="top"/>
    </xf>
    <xf numFmtId="1" fontId="96" fillId="0" borderId="1" xfId="3771" applyNumberFormat="1" applyFont="1" applyBorder="1" applyAlignment="1">
      <alignment vertical="top"/>
    </xf>
    <xf numFmtId="2" fontId="96" fillId="0" borderId="1" xfId="3771" applyNumberFormat="1" applyFont="1" applyBorder="1" applyAlignment="1">
      <alignment horizontal="center" vertical="top" wrapText="1"/>
    </xf>
    <xf numFmtId="1" fontId="96" fillId="0" borderId="0" xfId="3964" applyNumberFormat="1" applyFont="1"/>
    <xf numFmtId="184" fontId="96" fillId="0" borderId="1" xfId="3771" applyNumberFormat="1" applyFont="1" applyBorder="1" applyAlignment="1">
      <alignment horizontal="center" vertical="center" wrapText="1"/>
    </xf>
    <xf numFmtId="2" fontId="99" fillId="0" borderId="1" xfId="3771" applyNumberFormat="1" applyFont="1" applyBorder="1" applyAlignment="1">
      <alignment vertical="top"/>
    </xf>
    <xf numFmtId="2" fontId="97" fillId="0" borderId="0" xfId="2477" applyNumberFormat="1" applyFont="1" applyAlignment="1">
      <alignment horizontal="center" vertical="center"/>
    </xf>
    <xf numFmtId="2" fontId="97" fillId="0" borderId="0" xfId="2477" applyNumberFormat="1" applyFont="1" applyAlignment="1">
      <alignment horizontal="justify" vertical="center"/>
    </xf>
    <xf numFmtId="0" fontId="95" fillId="0" borderId="0" xfId="2192" applyFont="1" applyAlignment="1">
      <alignment vertical="center" wrapText="1"/>
    </xf>
    <xf numFmtId="2" fontId="95" fillId="0" borderId="0" xfId="2477" applyNumberFormat="1" applyFont="1" applyAlignment="1">
      <alignment horizontal="justify" vertical="top"/>
    </xf>
    <xf numFmtId="1" fontId="97" fillId="0" borderId="0" xfId="2477" applyNumberFormat="1" applyFont="1" applyAlignment="1">
      <alignment horizontal="center" vertical="center"/>
    </xf>
    <xf numFmtId="2" fontId="118" fillId="0" borderId="0" xfId="2477" applyNumberFormat="1" applyFont="1" applyAlignment="1">
      <alignment horizontal="center" vertical="center"/>
    </xf>
    <xf numFmtId="2" fontId="95" fillId="0" borderId="0" xfId="2477" applyNumberFormat="1" applyFont="1" applyAlignment="1">
      <alignment horizontal="center" vertical="center"/>
    </xf>
    <xf numFmtId="2" fontId="95" fillId="0" borderId="0" xfId="2477" applyNumberFormat="1" applyFont="1" applyAlignment="1">
      <alignment horizontal="right" vertical="center"/>
    </xf>
    <xf numFmtId="2" fontId="95" fillId="0" borderId="0" xfId="2477" applyNumberFormat="1" applyFont="1" applyAlignment="1">
      <alignment horizontal="justify" vertical="center"/>
    </xf>
    <xf numFmtId="1" fontId="97" fillId="0" borderId="1" xfId="2477" applyNumberFormat="1" applyFont="1" applyBorder="1" applyAlignment="1">
      <alignment horizontal="center" vertical="center"/>
    </xf>
    <xf numFmtId="2" fontId="97" fillId="0" borderId="1" xfId="2477" applyNumberFormat="1" applyFont="1" applyBorder="1" applyAlignment="1">
      <alignment horizontal="center" vertical="center"/>
    </xf>
    <xf numFmtId="1" fontId="97" fillId="0" borderId="7" xfId="2477" applyNumberFormat="1" applyFont="1" applyBorder="1" applyAlignment="1">
      <alignment horizontal="center" vertical="top" wrapText="1"/>
    </xf>
    <xf numFmtId="2" fontId="97" fillId="0" borderId="7" xfId="2477" applyNumberFormat="1" applyFont="1" applyBorder="1" applyAlignment="1">
      <alignment horizontal="right" vertical="center" wrapText="1"/>
    </xf>
    <xf numFmtId="1" fontId="97" fillId="0" borderId="8" xfId="2477" applyNumberFormat="1" applyFont="1" applyBorder="1" applyAlignment="1">
      <alignment horizontal="center" vertical="center" wrapText="1"/>
    </xf>
    <xf numFmtId="0" fontId="95" fillId="0" borderId="8" xfId="2477" applyFont="1" applyBorder="1" applyAlignment="1">
      <alignment horizontal="justify" vertical="top" wrapText="1"/>
    </xf>
    <xf numFmtId="1" fontId="119" fillId="0" borderId="8" xfId="2477" applyNumberFormat="1" applyFont="1" applyBorder="1" applyAlignment="1">
      <alignment horizontal="center" vertical="center" wrapText="1"/>
    </xf>
    <xf numFmtId="2" fontId="95" fillId="0" borderId="8" xfId="2477" applyNumberFormat="1" applyFont="1" applyBorder="1" applyAlignment="1">
      <alignment horizontal="center" vertical="center" wrapText="1"/>
    </xf>
    <xf numFmtId="2" fontId="97" fillId="0" borderId="8" xfId="2477" applyNumberFormat="1" applyFont="1" applyBorder="1" applyAlignment="1">
      <alignment horizontal="center" vertical="center" wrapText="1"/>
    </xf>
    <xf numFmtId="171" fontId="95" fillId="0" borderId="8" xfId="2477" applyNumberFormat="1" applyFont="1" applyBorder="1" applyAlignment="1">
      <alignment horizontal="center" vertical="center" wrapText="1"/>
    </xf>
    <xf numFmtId="2" fontId="97" fillId="0" borderId="8" xfId="2477" applyNumberFormat="1" applyFont="1" applyBorder="1" applyAlignment="1">
      <alignment horizontal="right" vertical="center"/>
    </xf>
    <xf numFmtId="1" fontId="97" fillId="0" borderId="8" xfId="2477" applyNumberFormat="1" applyFont="1" applyBorder="1" applyAlignment="1">
      <alignment horizontal="center" vertical="center"/>
    </xf>
    <xf numFmtId="2" fontId="95" fillId="0" borderId="8" xfId="2477" applyNumberFormat="1" applyFont="1" applyBorder="1" applyAlignment="1">
      <alignment horizontal="justify" vertical="top" wrapText="1"/>
    </xf>
    <xf numFmtId="1" fontId="97" fillId="0" borderId="8" xfId="2477" applyNumberFormat="1" applyFont="1" applyBorder="1" applyAlignment="1">
      <alignment horizontal="center" vertical="top"/>
    </xf>
    <xf numFmtId="2" fontId="120" fillId="0" borderId="8" xfId="2477" applyNumberFormat="1" applyFont="1" applyBorder="1" applyAlignment="1">
      <alignment horizontal="justify" vertical="top"/>
    </xf>
    <xf numFmtId="1" fontId="120" fillId="0" borderId="8" xfId="2477" applyNumberFormat="1" applyFont="1" applyBorder="1" applyAlignment="1">
      <alignment horizontal="center" vertical="center" wrapText="1"/>
    </xf>
    <xf numFmtId="2" fontId="95" fillId="0" borderId="8" xfId="2477" applyNumberFormat="1" applyFont="1" applyBorder="1" applyAlignment="1">
      <alignment horizontal="right" vertical="center"/>
    </xf>
    <xf numFmtId="2" fontId="95" fillId="0" borderId="8" xfId="2477" applyNumberFormat="1" applyFont="1" applyBorder="1" applyAlignment="1">
      <alignment horizontal="left" vertical="center"/>
    </xf>
    <xf numFmtId="2" fontId="97" fillId="0" borderId="8" xfId="2477" applyNumberFormat="1" applyFont="1" applyBorder="1" applyAlignment="1">
      <alignment horizontal="justify" vertical="top"/>
    </xf>
    <xf numFmtId="2" fontId="97" fillId="0" borderId="2" xfId="2477" applyNumberFormat="1" applyFont="1" applyBorder="1" applyAlignment="1">
      <alignment horizontal="center" vertical="center" wrapText="1"/>
    </xf>
    <xf numFmtId="171" fontId="95" fillId="0" borderId="2" xfId="2477" applyNumberFormat="1" applyFont="1" applyBorder="1" applyAlignment="1">
      <alignment horizontal="center" vertical="center" wrapText="1"/>
    </xf>
    <xf numFmtId="2" fontId="97" fillId="0" borderId="2" xfId="2477" applyNumberFormat="1" applyFont="1" applyBorder="1" applyAlignment="1">
      <alignment horizontal="right" vertical="center"/>
    </xf>
    <xf numFmtId="1" fontId="97" fillId="0" borderId="2" xfId="2477" applyNumberFormat="1" applyFont="1" applyBorder="1" applyAlignment="1">
      <alignment horizontal="center" vertical="center"/>
    </xf>
    <xf numFmtId="2" fontId="95" fillId="0" borderId="2" xfId="2477" applyNumberFormat="1" applyFont="1" applyBorder="1" applyAlignment="1">
      <alignment horizontal="justify" vertical="center"/>
    </xf>
    <xf numFmtId="2" fontId="120" fillId="0" borderId="2" xfId="2477" applyNumberFormat="1" applyFont="1" applyBorder="1" applyAlignment="1">
      <alignment horizontal="center" vertical="center"/>
    </xf>
    <xf numFmtId="2" fontId="97" fillId="0" borderId="2" xfId="2477" applyNumberFormat="1" applyFont="1" applyBorder="1" applyAlignment="1">
      <alignment horizontal="center" vertical="center"/>
    </xf>
    <xf numFmtId="2" fontId="97" fillId="0" borderId="2" xfId="2477" applyNumberFormat="1" applyFont="1" applyBorder="1" applyAlignment="1">
      <alignment horizontal="justify" vertical="center"/>
    </xf>
    <xf numFmtId="2" fontId="95" fillId="0" borderId="0" xfId="2477" applyNumberFormat="1" applyFont="1" applyAlignment="1">
      <alignment horizontal="left" vertical="center"/>
    </xf>
    <xf numFmtId="0" fontId="95" fillId="0" borderId="0" xfId="2192" applyFont="1" applyAlignment="1">
      <alignment horizontal="center" vertical="center" wrapText="1"/>
    </xf>
    <xf numFmtId="0" fontId="95" fillId="0" borderId="0" xfId="1238" applyFont="1"/>
    <xf numFmtId="2" fontId="95" fillId="0" borderId="0" xfId="1238" applyNumberFormat="1" applyFont="1"/>
    <xf numFmtId="0" fontId="95" fillId="0" borderId="0" xfId="2477" applyFont="1" applyAlignment="1">
      <alignment vertical="top"/>
    </xf>
    <xf numFmtId="0" fontId="118" fillId="0" borderId="0" xfId="2477" applyFont="1" applyAlignment="1">
      <alignment vertical="center"/>
    </xf>
    <xf numFmtId="0" fontId="95" fillId="0" borderId="0" xfId="2477" applyFont="1" applyAlignment="1">
      <alignment horizontal="center" vertical="center"/>
    </xf>
    <xf numFmtId="1" fontId="95" fillId="0" borderId="0" xfId="2477" applyNumberFormat="1" applyFont="1" applyAlignment="1">
      <alignment vertical="top"/>
    </xf>
    <xf numFmtId="0" fontId="95" fillId="0" borderId="0" xfId="2477" applyFont="1" applyAlignment="1">
      <alignment vertical="center"/>
    </xf>
    <xf numFmtId="2" fontId="95" fillId="0" borderId="0" xfId="2477" applyNumberFormat="1" applyFont="1" applyAlignment="1">
      <alignment vertical="top"/>
    </xf>
    <xf numFmtId="0" fontId="95" fillId="0" borderId="0" xfId="2477" applyFont="1" applyAlignment="1">
      <alignment vertical="top" wrapText="1"/>
    </xf>
    <xf numFmtId="1" fontId="95" fillId="0" borderId="0" xfId="2477" applyNumberFormat="1" applyFont="1" applyAlignment="1">
      <alignment horizontal="justify" vertical="center"/>
    </xf>
    <xf numFmtId="0" fontId="100" fillId="0" borderId="0" xfId="0" applyFont="1" applyAlignment="1">
      <alignment horizontal="center" vertical="center"/>
    </xf>
    <xf numFmtId="0" fontId="100" fillId="0" borderId="0" xfId="0" applyFont="1"/>
    <xf numFmtId="0" fontId="121" fillId="0" borderId="0" xfId="288" applyFont="1" applyAlignment="1">
      <alignment vertical="center"/>
    </xf>
    <xf numFmtId="0" fontId="121" fillId="0" borderId="0" xfId="288" applyFont="1" applyAlignment="1">
      <alignment vertical="center" wrapText="1"/>
    </xf>
    <xf numFmtId="0" fontId="100" fillId="0" borderId="0" xfId="2578" applyFont="1"/>
    <xf numFmtId="0" fontId="100" fillId="0" borderId="0" xfId="2578" applyFont="1" applyAlignment="1">
      <alignment vertical="center"/>
    </xf>
    <xf numFmtId="0" fontId="100" fillId="4" borderId="0" xfId="0" applyFont="1" applyFill="1" applyAlignment="1">
      <alignment vertical="center"/>
    </xf>
    <xf numFmtId="178" fontId="100" fillId="0" borderId="0" xfId="0" applyNumberFormat="1" applyFont="1" applyAlignment="1">
      <alignment vertical="top"/>
    </xf>
    <xf numFmtId="0" fontId="100" fillId="0" borderId="0" xfId="0" applyFont="1" applyAlignment="1">
      <alignment vertical="center"/>
    </xf>
    <xf numFmtId="0" fontId="122" fillId="0" borderId="0" xfId="0" applyFont="1" applyAlignment="1">
      <alignment horizontal="center" vertical="center"/>
    </xf>
    <xf numFmtId="1" fontId="123" fillId="0" borderId="0" xfId="0" applyNumberFormat="1" applyFont="1" applyAlignment="1">
      <alignment horizontal="center" vertical="center" wrapText="1"/>
    </xf>
    <xf numFmtId="178" fontId="100" fillId="0" borderId="1" xfId="0" applyNumberFormat="1" applyFont="1" applyBorder="1" applyAlignment="1">
      <alignment horizontal="center" vertical="top" wrapText="1"/>
    </xf>
    <xf numFmtId="0" fontId="100" fillId="0" borderId="1" xfId="0" applyFont="1" applyBorder="1" applyAlignment="1">
      <alignment horizontal="center" vertical="center" wrapText="1"/>
    </xf>
    <xf numFmtId="178" fontId="100" fillId="0" borderId="1" xfId="0" applyNumberFormat="1" applyFont="1" applyBorder="1" applyAlignment="1">
      <alignment horizontal="center" vertical="top"/>
    </xf>
    <xf numFmtId="194" fontId="100" fillId="0" borderId="1" xfId="0" applyNumberFormat="1" applyFont="1" applyBorder="1" applyAlignment="1">
      <alignment horizontal="center" vertical="center"/>
    </xf>
    <xf numFmtId="178" fontId="100" fillId="0" borderId="7" xfId="0" applyNumberFormat="1" applyFont="1" applyBorder="1" applyAlignment="1">
      <alignment horizontal="center" vertical="top"/>
    </xf>
    <xf numFmtId="178" fontId="100" fillId="0" borderId="8" xfId="0" applyNumberFormat="1" applyFont="1" applyBorder="1" applyAlignment="1">
      <alignment horizontal="center" vertical="center"/>
    </xf>
    <xf numFmtId="194" fontId="100" fillId="0" borderId="8" xfId="288" applyNumberFormat="1" applyFont="1" applyBorder="1" applyAlignment="1">
      <alignment horizontal="left" vertical="center"/>
    </xf>
    <xf numFmtId="194" fontId="100" fillId="0" borderId="8" xfId="288" applyNumberFormat="1" applyFont="1" applyBorder="1" applyAlignment="1">
      <alignment horizontal="center" vertical="center"/>
    </xf>
    <xf numFmtId="194" fontId="123" fillId="0" borderId="8" xfId="288" applyNumberFormat="1" applyFont="1" applyBorder="1" applyAlignment="1">
      <alignment horizontal="center" vertical="center" wrapText="1"/>
    </xf>
    <xf numFmtId="194" fontId="100" fillId="0" borderId="8" xfId="0" applyNumberFormat="1" applyFont="1" applyBorder="1" applyAlignment="1">
      <alignment horizontal="left" vertical="center" wrapText="1"/>
    </xf>
    <xf numFmtId="194" fontId="100" fillId="0" borderId="8" xfId="0" applyNumberFormat="1" applyFont="1" applyBorder="1" applyAlignment="1">
      <alignment horizontal="center" vertical="center" wrapText="1"/>
    </xf>
    <xf numFmtId="194" fontId="100" fillId="0" borderId="8" xfId="0" applyNumberFormat="1" applyFont="1" applyBorder="1" applyAlignment="1">
      <alignment horizontal="center" vertical="center"/>
    </xf>
    <xf numFmtId="178" fontId="100" fillId="0" borderId="8" xfId="0" applyNumberFormat="1" applyFont="1" applyBorder="1" applyAlignment="1">
      <alignment horizontal="center" vertical="top"/>
    </xf>
    <xf numFmtId="194" fontId="100" fillId="0" borderId="8" xfId="0" applyNumberFormat="1" applyFont="1" applyBorder="1" applyAlignment="1">
      <alignment horizontal="justify" vertical="top" wrapText="1"/>
    </xf>
    <xf numFmtId="178" fontId="100" fillId="0" borderId="8" xfId="0" applyNumberFormat="1" applyFont="1" applyBorder="1" applyAlignment="1">
      <alignment horizontal="center"/>
    </xf>
    <xf numFmtId="194" fontId="100" fillId="0" borderId="8" xfId="0" applyNumberFormat="1" applyFont="1" applyBorder="1" applyAlignment="1">
      <alignment horizontal="left" wrapText="1"/>
    </xf>
    <xf numFmtId="194" fontId="100" fillId="0" borderId="8" xfId="2578" applyNumberFormat="1" applyFont="1" applyBorder="1" applyAlignment="1">
      <alignment horizontal="center" wrapText="1"/>
    </xf>
    <xf numFmtId="194" fontId="100" fillId="0" borderId="8" xfId="0" applyNumberFormat="1" applyFont="1" applyBorder="1" applyAlignment="1">
      <alignment horizontal="left" vertical="top" wrapText="1"/>
    </xf>
    <xf numFmtId="194" fontId="100" fillId="0" borderId="8" xfId="0" applyNumberFormat="1" applyFont="1" applyBorder="1" applyAlignment="1">
      <alignment horizontal="center" vertical="top" wrapText="1"/>
    </xf>
    <xf numFmtId="194" fontId="100" fillId="0" borderId="8" xfId="3749" applyNumberFormat="1" applyFont="1" applyBorder="1" applyAlignment="1">
      <alignment vertical="center"/>
    </xf>
    <xf numFmtId="194" fontId="100" fillId="0" borderId="8" xfId="3749" applyNumberFormat="1" applyFont="1" applyBorder="1" applyAlignment="1">
      <alignment horizontal="center" vertical="center"/>
    </xf>
    <xf numFmtId="194" fontId="100" fillId="0" borderId="8" xfId="0" applyNumberFormat="1" applyFont="1" applyBorder="1" applyAlignment="1">
      <alignment vertical="center"/>
    </xf>
    <xf numFmtId="178" fontId="117" fillId="0" borderId="8" xfId="288" applyNumberFormat="1" applyFont="1" applyBorder="1" applyAlignment="1">
      <alignment horizontal="left" vertical="center"/>
    </xf>
    <xf numFmtId="194" fontId="117" fillId="0" borderId="8" xfId="288" applyNumberFormat="1" applyFont="1" applyBorder="1" applyAlignment="1">
      <alignment horizontal="left" vertical="center"/>
    </xf>
    <xf numFmtId="194" fontId="117" fillId="0" borderId="8" xfId="288" applyNumberFormat="1" applyFont="1" applyBorder="1" applyAlignment="1">
      <alignment horizontal="center" vertical="center"/>
    </xf>
    <xf numFmtId="194" fontId="124" fillId="0" borderId="8" xfId="288" applyNumberFormat="1" applyFont="1" applyBorder="1" applyAlignment="1">
      <alignment horizontal="center" vertical="center" wrapText="1"/>
    </xf>
    <xf numFmtId="194" fontId="121" fillId="0" borderId="8" xfId="288" applyNumberFormat="1" applyFont="1" applyBorder="1" applyAlignment="1">
      <alignment horizontal="left" vertical="center"/>
    </xf>
    <xf numFmtId="194" fontId="121" fillId="0" borderId="8" xfId="288" applyNumberFormat="1" applyFont="1" applyBorder="1" applyAlignment="1">
      <alignment horizontal="left" vertical="center" wrapText="1"/>
    </xf>
    <xf numFmtId="194" fontId="117" fillId="0" borderId="8" xfId="288" applyNumberFormat="1" applyFont="1" applyBorder="1" applyAlignment="1">
      <alignment horizontal="center" vertical="center" wrapText="1"/>
    </xf>
    <xf numFmtId="194" fontId="117" fillId="0" borderId="8" xfId="288" applyNumberFormat="1" applyFont="1" applyBorder="1" applyAlignment="1">
      <alignment horizontal="left" vertical="center" wrapText="1"/>
    </xf>
    <xf numFmtId="194" fontId="100" fillId="0" borderId="8" xfId="3749" applyNumberFormat="1" applyFont="1" applyBorder="1" applyAlignment="1">
      <alignment horizontal="left" vertical="center"/>
    </xf>
    <xf numFmtId="178" fontId="117" fillId="0" borderId="8" xfId="288" applyNumberFormat="1" applyFont="1" applyBorder="1" applyAlignment="1">
      <alignment horizontal="left" vertical="center" wrapText="1"/>
    </xf>
    <xf numFmtId="178" fontId="100" fillId="0" borderId="6" xfId="0" applyNumberFormat="1" applyFont="1" applyBorder="1" applyAlignment="1">
      <alignment horizontal="center" vertical="top"/>
    </xf>
    <xf numFmtId="178" fontId="100" fillId="0" borderId="8" xfId="2578" applyNumberFormat="1" applyFont="1" applyBorder="1" applyAlignment="1">
      <alignment horizontal="center" wrapText="1"/>
    </xf>
    <xf numFmtId="194" fontId="100" fillId="0" borderId="8" xfId="2578" applyNumberFormat="1" applyFont="1" applyBorder="1" applyAlignment="1">
      <alignment horizontal="justify" wrapText="1"/>
    </xf>
    <xf numFmtId="178" fontId="100" fillId="0" borderId="8" xfId="2578" applyNumberFormat="1" applyFont="1" applyBorder="1" applyAlignment="1">
      <alignment horizontal="center" vertical="center" wrapText="1"/>
    </xf>
    <xf numFmtId="194" fontId="100" fillId="0" borderId="8" xfId="2578" applyNumberFormat="1" applyFont="1" applyBorder="1" applyAlignment="1">
      <alignment horizontal="justify" vertical="center" wrapText="1"/>
    </xf>
    <xf numFmtId="194" fontId="100" fillId="0" borderId="8" xfId="2578" applyNumberFormat="1" applyFont="1" applyBorder="1" applyAlignment="1">
      <alignment horizontal="center" vertical="center" wrapText="1"/>
    </xf>
    <xf numFmtId="2" fontId="100" fillId="0" borderId="1" xfId="0" applyNumberFormat="1" applyFont="1" applyBorder="1" applyAlignment="1">
      <alignment horizontal="center" vertical="center"/>
    </xf>
    <xf numFmtId="0" fontId="100" fillId="0" borderId="1" xfId="0" applyFont="1" applyBorder="1" applyAlignment="1">
      <alignment horizontal="center" vertical="center"/>
    </xf>
    <xf numFmtId="0" fontId="122" fillId="0" borderId="1" xfId="0" applyFont="1" applyBorder="1" applyAlignment="1">
      <alignment horizontal="center" vertical="center" wrapText="1"/>
    </xf>
    <xf numFmtId="194" fontId="122" fillId="0" borderId="1" xfId="0" applyNumberFormat="1" applyFont="1" applyBorder="1" applyAlignment="1">
      <alignment horizontal="center" vertical="center"/>
    </xf>
    <xf numFmtId="194" fontId="122" fillId="0" borderId="7" xfId="0" applyNumberFormat="1" applyFont="1" applyBorder="1" applyAlignment="1">
      <alignment horizontal="justify" vertical="top"/>
    </xf>
    <xf numFmtId="2" fontId="100" fillId="0" borderId="0" xfId="0" applyNumberFormat="1" applyFont="1" applyAlignment="1">
      <alignment vertical="center"/>
    </xf>
    <xf numFmtId="194" fontId="100" fillId="0" borderId="8" xfId="0" applyNumberFormat="1" applyFont="1" applyBorder="1" applyAlignment="1">
      <alignment horizontal="justify" vertical="center" wrapText="1"/>
    </xf>
    <xf numFmtId="194" fontId="122" fillId="0" borderId="8" xfId="0" applyNumberFormat="1" applyFont="1" applyBorder="1" applyAlignment="1">
      <alignment horizontal="justify" vertical="center"/>
    </xf>
    <xf numFmtId="194" fontId="100" fillId="0" borderId="1" xfId="3749" applyNumberFormat="1" applyFont="1" applyBorder="1" applyAlignment="1">
      <alignment horizontal="center" vertical="center"/>
    </xf>
    <xf numFmtId="194" fontId="122" fillId="0" borderId="8" xfId="0" applyNumberFormat="1" applyFont="1" applyBorder="1" applyAlignment="1">
      <alignment horizontal="right" vertical="center"/>
    </xf>
    <xf numFmtId="194" fontId="122" fillId="0" borderId="8" xfId="0" applyNumberFormat="1" applyFont="1" applyBorder="1" applyAlignment="1">
      <alignment horizontal="justify" vertical="top"/>
    </xf>
    <xf numFmtId="194" fontId="100" fillId="0" borderId="8" xfId="0" applyNumberFormat="1" applyFont="1" applyBorder="1" applyAlignment="1">
      <alignment horizontal="center" wrapText="1"/>
    </xf>
    <xf numFmtId="194" fontId="100" fillId="0" borderId="8" xfId="0" applyNumberFormat="1" applyFont="1" applyBorder="1" applyAlignment="1">
      <alignment horizontal="justify" wrapText="1"/>
    </xf>
    <xf numFmtId="194" fontId="122" fillId="0" borderId="8" xfId="0" applyNumberFormat="1" applyFont="1" applyBorder="1" applyAlignment="1">
      <alignment horizontal="justify"/>
    </xf>
    <xf numFmtId="2" fontId="100" fillId="0" borderId="0" xfId="0" applyNumberFormat="1" applyFont="1"/>
    <xf numFmtId="194" fontId="125" fillId="0" borderId="8" xfId="288" applyNumberFormat="1" applyFont="1" applyBorder="1" applyAlignment="1">
      <alignment vertical="center"/>
    </xf>
    <xf numFmtId="194" fontId="125" fillId="0" borderId="8" xfId="288" applyNumberFormat="1" applyFont="1" applyBorder="1" applyAlignment="1">
      <alignment vertical="center" wrapText="1"/>
    </xf>
    <xf numFmtId="194" fontId="100" fillId="0" borderId="1" xfId="0" applyNumberFormat="1" applyFont="1" applyBorder="1" applyAlignment="1">
      <alignment horizontal="center" vertical="center" wrapText="1"/>
    </xf>
    <xf numFmtId="194" fontId="122" fillId="0" borderId="25" xfId="0" applyNumberFormat="1" applyFont="1" applyBorder="1" applyAlignment="1">
      <alignment horizontal="right" vertical="center"/>
    </xf>
    <xf numFmtId="194" fontId="100" fillId="0" borderId="8" xfId="2578" applyNumberFormat="1" applyFont="1" applyBorder="1" applyAlignment="1">
      <alignment horizontal="center"/>
    </xf>
    <xf numFmtId="194" fontId="122" fillId="0" borderId="8" xfId="2578" applyNumberFormat="1" applyFont="1" applyBorder="1"/>
    <xf numFmtId="2" fontId="100" fillId="0" borderId="0" xfId="2578" applyNumberFormat="1" applyFont="1" applyAlignment="1">
      <alignment horizontal="center"/>
    </xf>
    <xf numFmtId="0" fontId="100" fillId="0" borderId="0" xfId="2578" applyFont="1" applyAlignment="1">
      <alignment horizontal="justify" wrapText="1"/>
    </xf>
    <xf numFmtId="194" fontId="100" fillId="0" borderId="8" xfId="2578" applyNumberFormat="1" applyFont="1" applyBorder="1"/>
    <xf numFmtId="194" fontId="100" fillId="0" borderId="8" xfId="2578" applyNumberFormat="1" applyFont="1" applyBorder="1" applyAlignment="1">
      <alignment vertical="center"/>
    </xf>
    <xf numFmtId="194" fontId="122" fillId="0" borderId="8" xfId="2578" applyNumberFormat="1" applyFont="1" applyBorder="1" applyAlignment="1">
      <alignment vertical="center"/>
    </xf>
    <xf numFmtId="194" fontId="100" fillId="0" borderId="8" xfId="288" applyNumberFormat="1" applyFont="1" applyBorder="1" applyAlignment="1">
      <alignment horizontal="center" vertical="center" wrapText="1"/>
    </xf>
    <xf numFmtId="2" fontId="100" fillId="0" borderId="0" xfId="2578" applyNumberFormat="1" applyFont="1" applyAlignment="1">
      <alignment horizontal="center" vertical="center"/>
    </xf>
    <xf numFmtId="0" fontId="100" fillId="0" borderId="0" xfId="2578" applyFont="1" applyAlignment="1">
      <alignment horizontal="justify" vertical="center" wrapText="1"/>
    </xf>
    <xf numFmtId="178" fontId="100" fillId="4" borderId="8" xfId="0" applyNumberFormat="1" applyFont="1" applyFill="1" applyBorder="1" applyAlignment="1">
      <alignment horizontal="center" vertical="top"/>
    </xf>
    <xf numFmtId="194" fontId="100" fillId="0" borderId="8" xfId="3749" applyNumberFormat="1" applyFont="1" applyBorder="1" applyAlignment="1">
      <alignment horizontal="left" vertical="center" wrapText="1"/>
    </xf>
    <xf numFmtId="194" fontId="100" fillId="0" borderId="8" xfId="3749" applyNumberFormat="1" applyFont="1" applyBorder="1" applyAlignment="1">
      <alignment horizontal="center" vertical="center" wrapText="1"/>
    </xf>
    <xf numFmtId="194" fontId="100" fillId="0" borderId="8" xfId="288" applyNumberFormat="1" applyFont="1" applyBorder="1" applyAlignment="1">
      <alignment horizontal="left" vertical="top"/>
    </xf>
    <xf numFmtId="194" fontId="100" fillId="0" borderId="8" xfId="288" applyNumberFormat="1" applyFont="1" applyBorder="1" applyAlignment="1">
      <alignment horizontal="center" vertical="top"/>
    </xf>
    <xf numFmtId="194" fontId="100" fillId="0" borderId="8" xfId="3749" applyNumberFormat="1" applyFont="1" applyBorder="1" applyAlignment="1">
      <alignment horizontal="left" vertical="top" wrapText="1"/>
    </xf>
    <xf numFmtId="194" fontId="100" fillId="0" borderId="8" xfId="3749" applyNumberFormat="1" applyFont="1" applyBorder="1" applyAlignment="1">
      <alignment horizontal="center" vertical="top"/>
    </xf>
    <xf numFmtId="194" fontId="100" fillId="0" borderId="8" xfId="3749" applyNumberFormat="1" applyFont="1" applyBorder="1" applyAlignment="1">
      <alignment horizontal="center" vertical="top" wrapText="1"/>
    </xf>
    <xf numFmtId="178" fontId="100" fillId="0" borderId="2" xfId="0" applyNumberFormat="1" applyFont="1" applyBorder="1" applyAlignment="1">
      <alignment horizontal="center" vertical="center"/>
    </xf>
    <xf numFmtId="194" fontId="100" fillId="0" borderId="2" xfId="0" applyNumberFormat="1" applyFont="1" applyBorder="1" applyAlignment="1">
      <alignment horizontal="left" vertical="center" wrapText="1"/>
    </xf>
    <xf numFmtId="194" fontId="100" fillId="0" borderId="2" xfId="0" applyNumberFormat="1" applyFont="1" applyBorder="1" applyAlignment="1">
      <alignment horizontal="center" vertical="center" wrapText="1"/>
    </xf>
    <xf numFmtId="194" fontId="100" fillId="0" borderId="2" xfId="0" applyNumberFormat="1" applyFont="1" applyBorder="1" applyAlignment="1">
      <alignment horizontal="center" vertical="center"/>
    </xf>
    <xf numFmtId="178" fontId="100" fillId="0" borderId="3" xfId="0" applyNumberFormat="1" applyFont="1" applyBorder="1" applyAlignment="1">
      <alignment horizontal="center" vertical="center"/>
    </xf>
    <xf numFmtId="0" fontId="100" fillId="0" borderId="0" xfId="2192" applyFont="1" applyAlignment="1">
      <alignment horizontal="center" vertical="center"/>
    </xf>
    <xf numFmtId="0" fontId="100" fillId="0" borderId="0" xfId="2192" applyFont="1" applyAlignment="1">
      <alignment horizontal="center" vertical="center" wrapText="1"/>
    </xf>
    <xf numFmtId="0" fontId="100" fillId="0" borderId="0" xfId="2192" applyFont="1" applyAlignment="1">
      <alignment vertical="center" wrapText="1"/>
    </xf>
    <xf numFmtId="194" fontId="122" fillId="4" borderId="8" xfId="3749" applyNumberFormat="1" applyFont="1" applyFill="1" applyBorder="1" applyAlignment="1">
      <alignment horizontal="right" vertical="top"/>
    </xf>
    <xf numFmtId="194" fontId="100" fillId="0" borderId="8" xfId="288" applyNumberFormat="1" applyFont="1" applyBorder="1" applyAlignment="1">
      <alignment vertical="center"/>
    </xf>
    <xf numFmtId="194" fontId="122" fillId="0" borderId="8" xfId="288" applyNumberFormat="1" applyFont="1" applyBorder="1" applyAlignment="1">
      <alignment vertical="center"/>
    </xf>
    <xf numFmtId="194" fontId="100" fillId="0" borderId="8" xfId="3749" applyNumberFormat="1" applyFont="1" applyBorder="1" applyAlignment="1">
      <alignment vertical="center" wrapText="1"/>
    </xf>
    <xf numFmtId="194" fontId="122" fillId="0" borderId="8" xfId="3749" applyNumberFormat="1" applyFont="1" applyBorder="1" applyAlignment="1">
      <alignment horizontal="right" vertical="top"/>
    </xf>
    <xf numFmtId="194" fontId="122" fillId="0" borderId="8" xfId="3749" applyNumberFormat="1" applyFont="1" applyBorder="1" applyAlignment="1">
      <alignment horizontal="right" vertical="center"/>
    </xf>
    <xf numFmtId="194" fontId="100" fillId="0" borderId="8" xfId="288" applyNumberFormat="1" applyFont="1" applyBorder="1" applyAlignment="1">
      <alignment vertical="top"/>
    </xf>
    <xf numFmtId="194" fontId="122" fillId="0" borderId="8" xfId="288" applyNumberFormat="1" applyFont="1" applyBorder="1" applyAlignment="1">
      <alignment vertical="top"/>
    </xf>
    <xf numFmtId="194" fontId="100" fillId="0" borderId="1" xfId="3749" applyNumberFormat="1" applyFont="1" applyBorder="1" applyAlignment="1">
      <alignment horizontal="center" vertical="top"/>
    </xf>
    <xf numFmtId="194" fontId="100" fillId="0" borderId="8" xfId="3749" applyNumberFormat="1" applyFont="1" applyBorder="1" applyAlignment="1">
      <alignment vertical="top" wrapText="1"/>
    </xf>
    <xf numFmtId="194" fontId="122" fillId="0" borderId="2" xfId="0" applyNumberFormat="1" applyFont="1" applyBorder="1" applyAlignment="1">
      <alignment horizontal="right" vertical="center"/>
    </xf>
    <xf numFmtId="194" fontId="122" fillId="0" borderId="2" xfId="0" applyNumberFormat="1" applyFont="1" applyBorder="1" applyAlignment="1">
      <alignment vertical="center"/>
    </xf>
    <xf numFmtId="3" fontId="122" fillId="0" borderId="0" xfId="0" applyNumberFormat="1" applyFont="1" applyAlignment="1">
      <alignment horizontal="center" vertical="center"/>
    </xf>
    <xf numFmtId="0" fontId="100" fillId="0" borderId="0" xfId="288" applyFont="1" applyAlignment="1">
      <alignment vertical="center"/>
    </xf>
    <xf numFmtId="0" fontId="100" fillId="0" borderId="0" xfId="288" applyFont="1" applyAlignment="1">
      <alignment vertical="center" wrapText="1"/>
    </xf>
    <xf numFmtId="0" fontId="100" fillId="0" borderId="0" xfId="0" applyFont="1" applyAlignment="1">
      <alignment vertical="top"/>
    </xf>
    <xf numFmtId="1" fontId="126" fillId="0" borderId="0" xfId="0" applyNumberFormat="1" applyFont="1" applyAlignment="1">
      <alignment horizontal="center" vertical="center" wrapText="1"/>
    </xf>
    <xf numFmtId="0" fontId="122" fillId="0" borderId="1" xfId="0" applyFont="1" applyBorder="1" applyAlignment="1">
      <alignment horizontal="center" vertical="top" wrapText="1"/>
    </xf>
    <xf numFmtId="0" fontId="122" fillId="0" borderId="1" xfId="0" applyFont="1" applyBorder="1" applyAlignment="1">
      <alignment horizontal="center" vertical="top"/>
    </xf>
    <xf numFmtId="0" fontId="122" fillId="0" borderId="1" xfId="0" applyFont="1" applyBorder="1" applyAlignment="1">
      <alignment horizontal="center" vertical="center"/>
    </xf>
    <xf numFmtId="0" fontId="100" fillId="0" borderId="1" xfId="0" applyFont="1" applyBorder="1" applyAlignment="1">
      <alignment horizontal="center" vertical="top"/>
    </xf>
    <xf numFmtId="0" fontId="100" fillId="0" borderId="1" xfId="288" applyFont="1" applyBorder="1" applyAlignment="1">
      <alignment horizontal="left" vertical="center"/>
    </xf>
    <xf numFmtId="0" fontId="100" fillId="0" borderId="1" xfId="288" applyFont="1" applyBorder="1" applyAlignment="1">
      <alignment horizontal="center" vertical="center"/>
    </xf>
    <xf numFmtId="2" fontId="100" fillId="0" borderId="1" xfId="288" applyNumberFormat="1" applyFont="1" applyBorder="1" applyAlignment="1">
      <alignment horizontal="center" vertical="center"/>
    </xf>
    <xf numFmtId="2" fontId="123" fillId="0" borderId="1" xfId="288" applyNumberFormat="1" applyFont="1" applyBorder="1" applyAlignment="1">
      <alignment horizontal="center" vertical="center" wrapText="1"/>
    </xf>
    <xf numFmtId="0" fontId="100" fillId="0" borderId="1" xfId="0" applyFont="1" applyBorder="1" applyAlignment="1">
      <alignment horizontal="left" vertical="center" wrapText="1"/>
    </xf>
    <xf numFmtId="0" fontId="100" fillId="0" borderId="1" xfId="0" applyFont="1" applyBorder="1" applyAlignment="1">
      <alignment horizontal="center"/>
    </xf>
    <xf numFmtId="0" fontId="100" fillId="0" borderId="1" xfId="0" applyFont="1" applyBorder="1" applyAlignment="1">
      <alignment horizontal="left" wrapText="1"/>
    </xf>
    <xf numFmtId="0" fontId="100" fillId="0" borderId="1" xfId="2578" applyFont="1" applyBorder="1" applyAlignment="1">
      <alignment horizontal="center" wrapText="1"/>
    </xf>
    <xf numFmtId="2" fontId="100" fillId="0" borderId="1" xfId="2578" applyNumberFormat="1" applyFont="1" applyBorder="1" applyAlignment="1">
      <alignment horizontal="center" wrapText="1"/>
    </xf>
    <xf numFmtId="0" fontId="100" fillId="0" borderId="1" xfId="0" applyFont="1" applyBorder="1" applyAlignment="1">
      <alignment horizontal="left" vertical="top" wrapText="1"/>
    </xf>
    <xf numFmtId="0" fontId="100" fillId="0" borderId="1" xfId="0" applyFont="1" applyBorder="1" applyAlignment="1">
      <alignment horizontal="center" vertical="top" wrapText="1"/>
    </xf>
    <xf numFmtId="0" fontId="100" fillId="0" borderId="1" xfId="3749" applyFont="1" applyBorder="1" applyAlignment="1">
      <alignment vertical="center"/>
    </xf>
    <xf numFmtId="0" fontId="100" fillId="0" borderId="1" xfId="3749" applyFont="1" applyBorder="1" applyAlignment="1">
      <alignment horizontal="center" vertical="center"/>
    </xf>
    <xf numFmtId="2" fontId="100" fillId="0" borderId="1" xfId="3749" applyNumberFormat="1" applyFont="1" applyBorder="1" applyAlignment="1">
      <alignment horizontal="center" vertical="center"/>
    </xf>
    <xf numFmtId="0" fontId="100" fillId="0" borderId="1" xfId="0" applyFont="1" applyBorder="1" applyAlignment="1">
      <alignment vertical="center"/>
    </xf>
    <xf numFmtId="0" fontId="100" fillId="0" borderId="1" xfId="288" applyFont="1" applyBorder="1" applyAlignment="1">
      <alignment horizontal="left" vertical="center" wrapText="1"/>
    </xf>
    <xf numFmtId="0" fontId="100" fillId="0" borderId="1" xfId="288" applyFont="1" applyBorder="1" applyAlignment="1">
      <alignment horizontal="center" vertical="center" wrapText="1"/>
    </xf>
    <xf numFmtId="184" fontId="100" fillId="0" borderId="1" xfId="288" applyNumberFormat="1" applyFont="1" applyBorder="1" applyAlignment="1">
      <alignment horizontal="center" vertical="center"/>
    </xf>
    <xf numFmtId="0" fontId="100" fillId="0" borderId="1" xfId="3749" applyFont="1" applyBorder="1" applyAlignment="1">
      <alignment horizontal="left" vertical="center"/>
    </xf>
    <xf numFmtId="2" fontId="100" fillId="0" borderId="1" xfId="288" applyNumberFormat="1" applyFont="1" applyBorder="1" applyAlignment="1">
      <alignment horizontal="center" vertical="center" wrapText="1"/>
    </xf>
    <xf numFmtId="184" fontId="100" fillId="0" borderId="1" xfId="288" applyNumberFormat="1" applyFont="1" applyBorder="1" applyAlignment="1">
      <alignment horizontal="center" vertical="center" wrapText="1"/>
    </xf>
    <xf numFmtId="0" fontId="100" fillId="0" borderId="1" xfId="2578" applyFont="1" applyBorder="1" applyAlignment="1">
      <alignment horizontal="justify" wrapText="1"/>
    </xf>
    <xf numFmtId="184" fontId="100" fillId="0" borderId="1" xfId="2578" applyNumberFormat="1" applyFont="1" applyBorder="1" applyAlignment="1">
      <alignment horizontal="center" wrapText="1"/>
    </xf>
    <xf numFmtId="2" fontId="100" fillId="0" borderId="1" xfId="0" applyNumberFormat="1" applyFont="1" applyBorder="1" applyAlignment="1">
      <alignment horizontal="center" vertical="center" wrapText="1"/>
    </xf>
    <xf numFmtId="0" fontId="100" fillId="0" borderId="1" xfId="2578" applyFont="1" applyBorder="1" applyAlignment="1">
      <alignment horizontal="center" vertical="center" wrapText="1"/>
    </xf>
    <xf numFmtId="0" fontId="100" fillId="0" borderId="1" xfId="2578" applyFont="1" applyBorder="1" applyAlignment="1">
      <alignment horizontal="justify" vertical="center" wrapText="1"/>
    </xf>
    <xf numFmtId="2" fontId="100" fillId="0" borderId="1" xfId="2578" applyNumberFormat="1" applyFont="1" applyBorder="1" applyAlignment="1">
      <alignment horizontal="center" vertical="center" wrapText="1"/>
    </xf>
    <xf numFmtId="184" fontId="100" fillId="0" borderId="1" xfId="2578" applyNumberFormat="1" applyFont="1" applyBorder="1" applyAlignment="1">
      <alignment horizontal="center" vertical="center" wrapText="1"/>
    </xf>
    <xf numFmtId="0" fontId="100" fillId="4" borderId="1" xfId="0" applyFont="1" applyFill="1" applyBorder="1" applyAlignment="1">
      <alignment horizontal="center" vertical="top"/>
    </xf>
    <xf numFmtId="0" fontId="100" fillId="0" borderId="1" xfId="3749" applyFont="1" applyBorder="1" applyAlignment="1">
      <alignment horizontal="left" vertical="center" wrapText="1"/>
    </xf>
    <xf numFmtId="2" fontId="100" fillId="0" borderId="1" xfId="3749" applyNumberFormat="1" applyFont="1" applyBorder="1" applyAlignment="1">
      <alignment horizontal="center" vertical="center" wrapText="1"/>
    </xf>
    <xf numFmtId="2" fontId="122" fillId="0" borderId="1" xfId="0" applyNumberFormat="1" applyFont="1" applyBorder="1" applyAlignment="1">
      <alignment horizontal="center" vertical="center"/>
    </xf>
    <xf numFmtId="1" fontId="122" fillId="0" borderId="1" xfId="0" applyNumberFormat="1" applyFont="1" applyBorder="1" applyAlignment="1">
      <alignment horizontal="center" vertical="center"/>
    </xf>
    <xf numFmtId="4" fontId="122" fillId="0" borderId="1" xfId="0" applyNumberFormat="1" applyFont="1" applyBorder="1" applyAlignment="1">
      <alignment horizontal="justify" vertical="top"/>
    </xf>
    <xf numFmtId="4" fontId="122" fillId="0" borderId="1" xfId="0" applyNumberFormat="1" applyFont="1" applyBorder="1" applyAlignment="1">
      <alignment horizontal="justify" vertical="center"/>
    </xf>
    <xf numFmtId="2" fontId="122" fillId="0" borderId="1" xfId="3749" applyNumberFormat="1" applyFont="1" applyBorder="1" applyAlignment="1">
      <alignment horizontal="center" vertical="center"/>
    </xf>
    <xf numFmtId="4" fontId="122" fillId="0" borderId="1" xfId="0" applyNumberFormat="1" applyFont="1" applyBorder="1" applyAlignment="1">
      <alignment horizontal="right" vertical="center"/>
    </xf>
    <xf numFmtId="2" fontId="122" fillId="0" borderId="1" xfId="0" applyNumberFormat="1" applyFont="1" applyBorder="1" applyAlignment="1">
      <alignment horizontal="center" vertical="center" wrapText="1"/>
    </xf>
    <xf numFmtId="0" fontId="100" fillId="0" borderId="1" xfId="0" applyFont="1" applyBorder="1" applyAlignment="1">
      <alignment horizontal="center" wrapText="1"/>
    </xf>
    <xf numFmtId="4" fontId="122" fillId="0" borderId="1" xfId="0" applyNumberFormat="1" applyFont="1" applyBorder="1" applyAlignment="1">
      <alignment horizontal="justify"/>
    </xf>
    <xf numFmtId="4" fontId="122" fillId="0" borderId="1" xfId="288" applyNumberFormat="1" applyFont="1" applyBorder="1" applyAlignment="1">
      <alignment vertical="center"/>
    </xf>
    <xf numFmtId="4" fontId="122" fillId="0" borderId="1" xfId="288" applyNumberFormat="1" applyFont="1" applyBorder="1" applyAlignment="1">
      <alignment vertical="center" wrapText="1"/>
    </xf>
    <xf numFmtId="0" fontId="100" fillId="0" borderId="1" xfId="2578" applyFont="1" applyBorder="1" applyAlignment="1">
      <alignment horizontal="center"/>
    </xf>
    <xf numFmtId="4" fontId="122" fillId="0" borderId="1" xfId="2578" applyNumberFormat="1" applyFont="1" applyBorder="1"/>
    <xf numFmtId="0" fontId="100" fillId="0" borderId="1" xfId="2578" applyFont="1" applyBorder="1" applyAlignment="1">
      <alignment horizontal="center" vertical="center"/>
    </xf>
    <xf numFmtId="4" fontId="122" fillId="0" borderId="1" xfId="2578" applyNumberFormat="1" applyFont="1" applyBorder="1" applyAlignment="1">
      <alignment vertical="center"/>
    </xf>
    <xf numFmtId="4" fontId="122" fillId="4" borderId="1" xfId="3749" applyNumberFormat="1" applyFont="1" applyFill="1" applyBorder="1" applyAlignment="1">
      <alignment horizontal="right" vertical="top"/>
    </xf>
    <xf numFmtId="0" fontId="100" fillId="0" borderId="1" xfId="3749" applyFont="1" applyBorder="1" applyAlignment="1">
      <alignment horizontal="center" vertical="center" wrapText="1"/>
    </xf>
    <xf numFmtId="4" fontId="122" fillId="0" borderId="1" xfId="3749" applyNumberFormat="1" applyFont="1" applyBorder="1" applyAlignment="1">
      <alignment horizontal="right" vertical="top"/>
    </xf>
    <xf numFmtId="4" fontId="122" fillId="0" borderId="1" xfId="3749" applyNumberFormat="1" applyFont="1" applyBorder="1" applyAlignment="1">
      <alignment horizontal="right" vertical="center"/>
    </xf>
    <xf numFmtId="4" fontId="122" fillId="0" borderId="1" xfId="0" applyNumberFormat="1" applyFont="1" applyBorder="1" applyAlignment="1">
      <alignment vertical="center"/>
    </xf>
    <xf numFmtId="0" fontId="95" fillId="0" borderId="0" xfId="0" applyFont="1" applyAlignment="1">
      <alignment vertical="top"/>
    </xf>
    <xf numFmtId="0" fontId="95" fillId="0" borderId="0" xfId="0" applyFont="1" applyAlignment="1">
      <alignment horizontal="right" vertical="center"/>
    </xf>
    <xf numFmtId="0" fontId="95" fillId="0" borderId="0" xfId="0" applyFont="1" applyAlignment="1">
      <alignment horizontal="left" vertical="center"/>
    </xf>
    <xf numFmtId="1" fontId="98" fillId="0" borderId="0" xfId="0" applyNumberFormat="1" applyFont="1" applyAlignment="1">
      <alignment horizontal="center" vertical="center" wrapText="1"/>
    </xf>
    <xf numFmtId="1" fontId="98" fillId="0" borderId="0" xfId="0" applyNumberFormat="1" applyFont="1" applyAlignment="1">
      <alignment horizontal="right" vertical="center" wrapText="1"/>
    </xf>
    <xf numFmtId="1" fontId="98" fillId="0" borderId="0" xfId="0" applyNumberFormat="1" applyFont="1" applyAlignment="1">
      <alignment horizontal="left" vertical="center" wrapText="1"/>
    </xf>
    <xf numFmtId="0" fontId="95" fillId="0" borderId="1" xfId="0" applyFont="1" applyBorder="1" applyAlignment="1">
      <alignment horizontal="center" vertical="top"/>
    </xf>
    <xf numFmtId="0" fontId="95" fillId="0" borderId="1" xfId="0" applyFont="1" applyBorder="1" applyAlignment="1">
      <alignment horizontal="left" wrapText="1"/>
    </xf>
    <xf numFmtId="0" fontId="95" fillId="0" borderId="1" xfId="0" applyFont="1" applyBorder="1" applyAlignment="1">
      <alignment horizontal="center" wrapText="1"/>
    </xf>
    <xf numFmtId="2" fontId="95" fillId="0" borderId="1" xfId="0" applyNumberFormat="1" applyFont="1" applyBorder="1" applyAlignment="1">
      <alignment horizontal="center" wrapText="1"/>
    </xf>
    <xf numFmtId="0" fontId="95" fillId="0" borderId="1" xfId="0" applyFont="1" applyBorder="1" applyAlignment="1">
      <alignment horizontal="right" wrapText="1"/>
    </xf>
    <xf numFmtId="0" fontId="95" fillId="0" borderId="1" xfId="0" applyFont="1" applyBorder="1" applyAlignment="1">
      <alignment horizontal="right"/>
    </xf>
    <xf numFmtId="0" fontId="95" fillId="0" borderId="1" xfId="0" applyFont="1" applyBorder="1" applyAlignment="1">
      <alignment wrapText="1"/>
    </xf>
    <xf numFmtId="0" fontId="95" fillId="0" borderId="1" xfId="0" applyFont="1" applyBorder="1" applyAlignment="1">
      <alignment horizontal="center" vertical="top" wrapText="1"/>
    </xf>
    <xf numFmtId="2" fontId="95" fillId="0" borderId="1" xfId="0" applyNumberFormat="1" applyFont="1" applyBorder="1" applyAlignment="1">
      <alignment horizontal="center" vertical="top" wrapText="1"/>
    </xf>
    <xf numFmtId="1" fontId="95" fillId="0" borderId="1" xfId="0" applyNumberFormat="1" applyFont="1" applyBorder="1" applyAlignment="1">
      <alignment horizontal="center" vertical="top"/>
    </xf>
    <xf numFmtId="2" fontId="127" fillId="0" borderId="1" xfId="0" applyNumberFormat="1" applyFont="1" applyBorder="1" applyAlignment="1">
      <alignment horizontal="center" vertical="top" wrapText="1"/>
    </xf>
    <xf numFmtId="0" fontId="95" fillId="0" borderId="1" xfId="0" applyFont="1" applyBorder="1" applyAlignment="1">
      <alignment horizontal="right" vertical="top" wrapText="1"/>
    </xf>
    <xf numFmtId="0" fontId="95" fillId="0" borderId="2" xfId="0" applyFont="1" applyBorder="1" applyAlignment="1">
      <alignment vertical="top"/>
    </xf>
    <xf numFmtId="0" fontId="95" fillId="0" borderId="2" xfId="0" applyFont="1" applyBorder="1" applyAlignment="1">
      <alignment vertical="center"/>
    </xf>
    <xf numFmtId="0" fontId="95" fillId="0" borderId="2" xfId="0" applyFont="1" applyBorder="1" applyAlignment="1">
      <alignment horizontal="right" vertical="center"/>
    </xf>
    <xf numFmtId="0" fontId="95" fillId="0" borderId="2" xfId="0" applyFont="1" applyBorder="1" applyAlignment="1">
      <alignment horizontal="center" vertical="center"/>
    </xf>
    <xf numFmtId="0" fontId="95" fillId="0" borderId="2" xfId="0" applyFont="1" applyBorder="1" applyAlignment="1">
      <alignment horizontal="left" vertical="center"/>
    </xf>
    <xf numFmtId="0" fontId="95" fillId="0" borderId="0" xfId="2192" applyFont="1" applyAlignment="1">
      <alignment horizontal="left" vertical="center" wrapText="1"/>
    </xf>
    <xf numFmtId="0" fontId="95" fillId="0" borderId="0" xfId="2192" applyFont="1" applyAlignment="1">
      <alignment horizontal="right" vertical="center" wrapText="1"/>
    </xf>
    <xf numFmtId="3" fontId="97" fillId="0" borderId="1" xfId="0" applyNumberFormat="1" applyFont="1" applyBorder="1" applyAlignment="1">
      <alignment horizontal="justify" vertical="top"/>
    </xf>
    <xf numFmtId="2" fontId="95" fillId="0" borderId="1" xfId="975" applyNumberFormat="1" applyFont="1" applyBorder="1"/>
    <xf numFmtId="0" fontId="95" fillId="0" borderId="1" xfId="0" applyFont="1" applyBorder="1" applyAlignment="1">
      <alignment horizontal="justify" wrapText="1"/>
    </xf>
    <xf numFmtId="2" fontId="97" fillId="0" borderId="1" xfId="0" applyNumberFormat="1" applyFont="1" applyBorder="1" applyAlignment="1">
      <alignment horizontal="justify"/>
    </xf>
    <xf numFmtId="2" fontId="97" fillId="0" borderId="1" xfId="0" applyNumberFormat="1" applyFont="1" applyBorder="1" applyAlignment="1">
      <alignment horizontal="right" wrapText="1"/>
    </xf>
    <xf numFmtId="2" fontId="97" fillId="0" borderId="1" xfId="0" applyNumberFormat="1" applyFont="1" applyBorder="1" applyAlignment="1">
      <alignment horizontal="right"/>
    </xf>
    <xf numFmtId="2" fontId="97" fillId="0" borderId="1" xfId="0" applyNumberFormat="1" applyFont="1" applyBorder="1" applyAlignment="1">
      <alignment horizontal="justify" vertical="top"/>
    </xf>
    <xf numFmtId="2" fontId="95" fillId="0" borderId="1" xfId="0" applyNumberFormat="1" applyFont="1" applyBorder="1" applyAlignment="1">
      <alignment horizontal="right" wrapText="1"/>
    </xf>
    <xf numFmtId="184" fontId="95" fillId="0" borderId="1" xfId="0" applyNumberFormat="1" applyFont="1" applyBorder="1" applyAlignment="1">
      <alignment horizontal="right" vertical="top" wrapText="1"/>
    </xf>
    <xf numFmtId="2" fontId="97" fillId="0" borderId="1" xfId="0" applyNumberFormat="1" applyFont="1" applyBorder="1" applyAlignment="1">
      <alignment horizontal="center" wrapText="1"/>
    </xf>
    <xf numFmtId="0" fontId="97" fillId="0" borderId="2" xfId="0" applyFont="1" applyBorder="1" applyAlignment="1">
      <alignment horizontal="center" vertical="center"/>
    </xf>
    <xf numFmtId="2" fontId="97" fillId="0" borderId="2" xfId="0" applyNumberFormat="1" applyFont="1" applyBorder="1" applyAlignment="1">
      <alignment horizontal="right" vertical="center"/>
    </xf>
    <xf numFmtId="3" fontId="97" fillId="0" borderId="0" xfId="0" applyNumberFormat="1" applyFont="1" applyAlignment="1">
      <alignment horizontal="center" vertical="center"/>
    </xf>
    <xf numFmtId="0" fontId="103" fillId="0" borderId="0" xfId="2595" applyFont="1" applyAlignment="1">
      <alignment vertical="center"/>
    </xf>
    <xf numFmtId="0" fontId="103" fillId="0" borderId="0" xfId="2595" applyFont="1" applyAlignment="1">
      <alignment horizontal="center" vertical="top" wrapText="1"/>
    </xf>
    <xf numFmtId="197" fontId="103" fillId="0" borderId="0" xfId="2595" applyNumberFormat="1" applyFont="1" applyAlignment="1">
      <alignment horizontal="center" vertical="top" wrapText="1"/>
    </xf>
    <xf numFmtId="0" fontId="103" fillId="0" borderId="0" xfId="2595" applyFont="1" applyAlignment="1">
      <alignment vertical="top"/>
    </xf>
    <xf numFmtId="0" fontId="103" fillId="3" borderId="0" xfId="2595" applyFont="1" applyFill="1" applyAlignment="1">
      <alignment vertical="top"/>
    </xf>
    <xf numFmtId="0" fontId="103" fillId="0" borderId="0" xfId="2595" applyFont="1" applyAlignment="1">
      <alignment horizontal="center" vertical="top"/>
    </xf>
    <xf numFmtId="0" fontId="103" fillId="0" borderId="0" xfId="2595" applyFont="1" applyAlignment="1">
      <alignment horizontal="center" vertical="center"/>
    </xf>
    <xf numFmtId="197" fontId="105" fillId="0" borderId="0" xfId="2595" applyNumberFormat="1" applyFont="1" applyAlignment="1">
      <alignment horizontal="center" vertical="top" wrapText="1"/>
    </xf>
    <xf numFmtId="0" fontId="103" fillId="0" borderId="0" xfId="2595" applyFont="1" applyAlignment="1">
      <alignment horizontal="justify" vertical="top" wrapText="1"/>
    </xf>
    <xf numFmtId="199" fontId="103" fillId="0" borderId="0" xfId="2595" applyNumberFormat="1" applyFont="1" applyAlignment="1">
      <alignment horizontal="center" vertical="top" wrapText="1"/>
    </xf>
    <xf numFmtId="197" fontId="103" fillId="0" borderId="1" xfId="2595" applyNumberFormat="1" applyFont="1" applyBorder="1" applyAlignment="1">
      <alignment horizontal="center" vertical="top" wrapText="1"/>
    </xf>
    <xf numFmtId="0" fontId="128" fillId="0" borderId="1" xfId="2595" applyFont="1" applyBorder="1" applyAlignment="1">
      <alignment horizontal="center" vertical="top" wrapText="1"/>
    </xf>
    <xf numFmtId="0" fontId="103" fillId="0" borderId="1" xfId="2595" applyFont="1" applyBorder="1" applyAlignment="1">
      <alignment horizontal="center" vertical="top" wrapText="1"/>
    </xf>
    <xf numFmtId="0" fontId="105" fillId="0" borderId="8" xfId="2595" applyFont="1" applyBorder="1" applyAlignment="1">
      <alignment horizontal="center" vertical="top"/>
    </xf>
    <xf numFmtId="203" fontId="105" fillId="6" borderId="8" xfId="2595" applyNumberFormat="1" applyFont="1" applyFill="1" applyBorder="1" applyAlignment="1">
      <alignment horizontal="center" vertical="top" wrapText="1"/>
    </xf>
    <xf numFmtId="0" fontId="105" fillId="0" borderId="8" xfId="2595" applyFont="1" applyBorder="1" applyAlignment="1">
      <alignment horizontal="center" vertical="top" wrapText="1"/>
    </xf>
    <xf numFmtId="0" fontId="105" fillId="0" borderId="8" xfId="2595" applyFont="1" applyBorder="1" applyAlignment="1">
      <alignment horizontal="justify" vertical="top" wrapText="1"/>
    </xf>
    <xf numFmtId="0" fontId="103" fillId="0" borderId="8" xfId="2595" applyFont="1" applyBorder="1" applyAlignment="1">
      <alignment horizontal="center" vertical="top"/>
    </xf>
    <xf numFmtId="199" fontId="103" fillId="0" borderId="8" xfId="2595" applyNumberFormat="1" applyFont="1" applyBorder="1" applyAlignment="1">
      <alignment horizontal="center" vertical="top" wrapText="1"/>
    </xf>
    <xf numFmtId="0" fontId="103" fillId="0" borderId="8" xfId="2595" applyFont="1" applyBorder="1" applyAlignment="1">
      <alignment horizontal="center" vertical="top" wrapText="1"/>
    </xf>
    <xf numFmtId="197" fontId="105" fillId="0" borderId="8" xfId="2595" applyNumberFormat="1" applyFont="1" applyBorder="1" applyAlignment="1">
      <alignment horizontal="center" vertical="top" wrapText="1"/>
    </xf>
    <xf numFmtId="2" fontId="103" fillId="0" borderId="8" xfId="1238" applyNumberFormat="1" applyBorder="1" applyAlignment="1">
      <alignment horizontal="justify" vertical="top" wrapText="1"/>
    </xf>
    <xf numFmtId="2" fontId="105" fillId="0" borderId="8" xfId="2595" applyNumberFormat="1" applyFont="1" applyBorder="1" applyAlignment="1">
      <alignment horizontal="justify" vertical="top" wrapText="1"/>
    </xf>
    <xf numFmtId="2" fontId="103" fillId="0" borderId="8" xfId="2595" applyNumberFormat="1" applyFont="1" applyBorder="1" applyAlignment="1">
      <alignment horizontal="justify" vertical="top" wrapText="1"/>
    </xf>
    <xf numFmtId="2" fontId="103" fillId="0" borderId="8" xfId="2595" applyNumberFormat="1" applyFont="1" applyBorder="1" applyAlignment="1">
      <alignment horizontal="center" vertical="top"/>
    </xf>
    <xf numFmtId="2" fontId="103" fillId="0" borderId="8" xfId="206" applyNumberFormat="1" applyFont="1" applyBorder="1" applyAlignment="1">
      <alignment horizontal="right" vertical="top"/>
    </xf>
    <xf numFmtId="185" fontId="105" fillId="0" borderId="8" xfId="2595" applyNumberFormat="1" applyFont="1" applyBorder="1" applyAlignment="1">
      <alignment horizontal="right" vertical="top" wrapText="1"/>
    </xf>
    <xf numFmtId="0" fontId="103" fillId="0" borderId="8" xfId="2595" applyFont="1" applyBorder="1" applyAlignment="1">
      <alignment horizontal="right" vertical="top" wrapText="1"/>
    </xf>
    <xf numFmtId="0" fontId="103" fillId="0" borderId="8" xfId="1238" applyBorder="1" applyAlignment="1">
      <alignment vertical="top" wrapText="1"/>
    </xf>
    <xf numFmtId="202" fontId="103" fillId="0" borderId="8" xfId="1238" applyNumberFormat="1" applyBorder="1" applyAlignment="1">
      <alignment horizontal="center" vertical="top"/>
    </xf>
    <xf numFmtId="2" fontId="103" fillId="0" borderId="8" xfId="2595" applyNumberFormat="1" applyFont="1" applyBorder="1" applyAlignment="1">
      <alignment horizontal="center" vertical="top" wrapText="1"/>
    </xf>
    <xf numFmtId="10" fontId="103" fillId="0" borderId="8" xfId="2926" applyNumberFormat="1" applyFont="1" applyBorder="1" applyAlignment="1">
      <alignment horizontal="center" vertical="top" wrapText="1"/>
    </xf>
    <xf numFmtId="188" fontId="103" fillId="0" borderId="8" xfId="1238" applyNumberFormat="1" applyBorder="1" applyAlignment="1">
      <alignment horizontal="center" vertical="top" wrapText="1"/>
    </xf>
    <xf numFmtId="4" fontId="105" fillId="0" borderId="8" xfId="1238" applyNumberFormat="1" applyFont="1" applyBorder="1" applyAlignment="1">
      <alignment horizontal="right" vertical="top" wrapText="1"/>
    </xf>
    <xf numFmtId="0" fontId="105" fillId="0" borderId="8" xfId="1238" applyFont="1" applyBorder="1" applyAlignment="1">
      <alignment vertical="top" wrapText="1"/>
    </xf>
    <xf numFmtId="0" fontId="105" fillId="0" borderId="8" xfId="0" applyFont="1" applyBorder="1" applyAlignment="1">
      <alignment horizontal="center" vertical="top"/>
    </xf>
    <xf numFmtId="0" fontId="105" fillId="0" borderId="8" xfId="0" applyFont="1" applyBorder="1" applyAlignment="1">
      <alignment horizontal="left" vertical="top"/>
    </xf>
    <xf numFmtId="0" fontId="103" fillId="0" borderId="8" xfId="0" applyFont="1" applyBorder="1" applyAlignment="1">
      <alignment horizontal="left" vertical="top"/>
    </xf>
    <xf numFmtId="2" fontId="105" fillId="0" borderId="8" xfId="0" applyNumberFormat="1" applyFont="1" applyBorder="1" applyAlignment="1">
      <alignment horizontal="right" vertical="top"/>
    </xf>
    <xf numFmtId="198" fontId="103" fillId="0" borderId="8" xfId="2926" applyNumberFormat="1" applyFont="1" applyBorder="1" applyAlignment="1">
      <alignment horizontal="center" vertical="top" wrapText="1"/>
    </xf>
    <xf numFmtId="2" fontId="103" fillId="0" borderId="8" xfId="0" applyNumberFormat="1" applyFont="1" applyBorder="1" applyAlignment="1">
      <alignment horizontal="left" vertical="top"/>
    </xf>
    <xf numFmtId="2" fontId="103" fillId="0" borderId="8" xfId="0" applyNumberFormat="1" applyFont="1" applyBorder="1" applyAlignment="1">
      <alignment vertical="top" wrapText="1"/>
    </xf>
    <xf numFmtId="2" fontId="103" fillId="0" borderId="8" xfId="0" applyNumberFormat="1" applyFont="1" applyBorder="1" applyAlignment="1">
      <alignment horizontal="right" vertical="top"/>
    </xf>
    <xf numFmtId="0" fontId="103" fillId="0" borderId="8" xfId="0" applyFont="1" applyBorder="1" applyAlignment="1">
      <alignment vertical="center"/>
    </xf>
    <xf numFmtId="2" fontId="103" fillId="0" borderId="8" xfId="0" applyNumberFormat="1" applyFont="1" applyBorder="1" applyAlignment="1">
      <alignment horizontal="right" vertical="center"/>
    </xf>
    <xf numFmtId="0" fontId="103" fillId="0" borderId="8" xfId="0" applyFont="1" applyBorder="1" applyAlignment="1">
      <alignment vertical="top"/>
    </xf>
    <xf numFmtId="0" fontId="103" fillId="3" borderId="8" xfId="2595" applyFont="1" applyFill="1" applyBorder="1" applyAlignment="1">
      <alignment horizontal="center" vertical="top"/>
    </xf>
    <xf numFmtId="2" fontId="103" fillId="3" borderId="8" xfId="0" applyNumberFormat="1" applyFont="1" applyFill="1" applyBorder="1" applyAlignment="1">
      <alignment horizontal="center" vertical="top"/>
    </xf>
    <xf numFmtId="2" fontId="103" fillId="3" borderId="8" xfId="0" applyNumberFormat="1" applyFont="1" applyFill="1" applyBorder="1" applyAlignment="1">
      <alignment horizontal="left" vertical="top"/>
    </xf>
    <xf numFmtId="0" fontId="105" fillId="3" borderId="8" xfId="0" applyFont="1" applyFill="1" applyBorder="1" applyAlignment="1">
      <alignment vertical="top"/>
    </xf>
    <xf numFmtId="2" fontId="105" fillId="3" borderId="8" xfId="0" applyNumberFormat="1" applyFont="1" applyFill="1" applyBorder="1" applyAlignment="1">
      <alignment horizontal="right" vertical="top"/>
    </xf>
    <xf numFmtId="171" fontId="105" fillId="0" borderId="8" xfId="2595" applyNumberFormat="1" applyFont="1" applyBorder="1" applyAlignment="1">
      <alignment horizontal="justify" vertical="top" wrapText="1"/>
    </xf>
    <xf numFmtId="0" fontId="103" fillId="0" borderId="8" xfId="2595" applyFont="1" applyBorder="1" applyAlignment="1">
      <alignment horizontal="justify" vertical="top" wrapText="1"/>
    </xf>
    <xf numFmtId="0" fontId="103" fillId="0" borderId="2" xfId="2595" applyFont="1" applyBorder="1" applyAlignment="1">
      <alignment horizontal="center" vertical="top"/>
    </xf>
    <xf numFmtId="0" fontId="105" fillId="0" borderId="2" xfId="0" applyFont="1" applyBorder="1" applyAlignment="1">
      <alignment horizontal="center" vertical="top"/>
    </xf>
    <xf numFmtId="0" fontId="105" fillId="0" borderId="2" xfId="0" applyFont="1" applyBorder="1" applyAlignment="1">
      <alignment horizontal="left" vertical="top"/>
    </xf>
    <xf numFmtId="0" fontId="103" fillId="0" borderId="2" xfId="0" applyFont="1" applyBorder="1" applyAlignment="1">
      <alignment horizontal="left" vertical="top"/>
    </xf>
    <xf numFmtId="2" fontId="105" fillId="0" borderId="2" xfId="0" applyNumberFormat="1" applyFont="1" applyBorder="1" applyAlignment="1">
      <alignment horizontal="right" vertical="top"/>
    </xf>
    <xf numFmtId="203" fontId="105" fillId="0" borderId="8" xfId="2595" applyNumberFormat="1" applyFont="1" applyBorder="1" applyAlignment="1">
      <alignment horizontal="center" vertical="top" wrapText="1"/>
    </xf>
    <xf numFmtId="0" fontId="105" fillId="0" borderId="8" xfId="1238" applyFont="1" applyBorder="1" applyAlignment="1">
      <alignment horizontal="justify" vertical="top" wrapText="1"/>
    </xf>
    <xf numFmtId="188" fontId="103" fillId="0" borderId="8" xfId="1238" applyNumberFormat="1" applyBorder="1" applyAlignment="1">
      <alignment horizontal="right" vertical="top" wrapText="1"/>
    </xf>
    <xf numFmtId="0" fontId="103" fillId="0" borderId="8" xfId="1238" applyBorder="1" applyAlignment="1">
      <alignment horizontal="justify" vertical="top" wrapText="1"/>
    </xf>
    <xf numFmtId="0" fontId="129" fillId="0" borderId="8" xfId="1238" applyFont="1" applyBorder="1" applyAlignment="1">
      <alignment horizontal="justify" vertical="top" wrapText="1"/>
    </xf>
    <xf numFmtId="0" fontId="103" fillId="0" borderId="8" xfId="1238" applyBorder="1" applyAlignment="1">
      <alignment horizontal="left" vertical="top" wrapText="1"/>
    </xf>
    <xf numFmtId="2" fontId="105" fillId="0" borderId="8" xfId="2595" applyNumberFormat="1" applyFont="1" applyBorder="1" applyAlignment="1">
      <alignment horizontal="right" vertical="top" wrapText="1"/>
    </xf>
    <xf numFmtId="0" fontId="103" fillId="3" borderId="8" xfId="1238" applyFill="1" applyBorder="1" applyAlignment="1">
      <alignment horizontal="left" vertical="top" wrapText="1"/>
    </xf>
    <xf numFmtId="197" fontId="105" fillId="0" borderId="2" xfId="2595" applyNumberFormat="1" applyFont="1" applyBorder="1" applyAlignment="1">
      <alignment horizontal="center" vertical="top" wrapText="1"/>
    </xf>
    <xf numFmtId="0" fontId="103" fillId="0" borderId="2" xfId="1238" applyBorder="1" applyAlignment="1">
      <alignment horizontal="left" vertical="top" wrapText="1"/>
    </xf>
    <xf numFmtId="0" fontId="103" fillId="0" borderId="2" xfId="2595" applyFont="1" applyBorder="1" applyAlignment="1">
      <alignment horizontal="center" vertical="top" wrapText="1"/>
    </xf>
    <xf numFmtId="188" fontId="103" fillId="0" borderId="2" xfId="1238" applyNumberFormat="1" applyBorder="1" applyAlignment="1">
      <alignment horizontal="center" vertical="top" wrapText="1"/>
    </xf>
    <xf numFmtId="2" fontId="105" fillId="0" borderId="2" xfId="2595" applyNumberFormat="1" applyFont="1" applyBorder="1" applyAlignment="1">
      <alignment horizontal="right" vertical="top" wrapText="1"/>
    </xf>
    <xf numFmtId="202" fontId="103" fillId="0" borderId="8" xfId="1238" applyNumberFormat="1" applyBorder="1" applyAlignment="1">
      <alignment horizontal="right" vertical="top"/>
    </xf>
    <xf numFmtId="2" fontId="103" fillId="0" borderId="8" xfId="2595" applyNumberFormat="1" applyFont="1" applyBorder="1" applyAlignment="1">
      <alignment horizontal="right" vertical="top" wrapText="1"/>
    </xf>
    <xf numFmtId="9" fontId="103" fillId="0" borderId="8" xfId="2595" applyNumberFormat="1" applyFont="1" applyBorder="1" applyAlignment="1">
      <alignment horizontal="center" vertical="top" wrapText="1"/>
    </xf>
    <xf numFmtId="188" fontId="103" fillId="0" borderId="8" xfId="1238" applyNumberFormat="1" applyBorder="1" applyAlignment="1">
      <alignment horizontal="center" vertical="top"/>
    </xf>
    <xf numFmtId="2" fontId="105" fillId="0" borderId="8" xfId="206" applyNumberFormat="1" applyFont="1" applyBorder="1" applyAlignment="1">
      <alignment horizontal="right" vertical="top"/>
    </xf>
    <xf numFmtId="0" fontId="105" fillId="0" borderId="8" xfId="1238" applyFont="1" applyBorder="1" applyAlignment="1">
      <alignment horizontal="left" vertical="top"/>
    </xf>
    <xf numFmtId="2" fontId="103" fillId="3" borderId="2" xfId="0" applyNumberFormat="1" applyFont="1" applyFill="1" applyBorder="1" applyAlignment="1">
      <alignment horizontal="center" vertical="top"/>
    </xf>
    <xf numFmtId="2" fontId="103" fillId="3" borderId="2" xfId="0" applyNumberFormat="1" applyFont="1" applyFill="1" applyBorder="1" applyAlignment="1">
      <alignment horizontal="left" vertical="top"/>
    </xf>
    <xf numFmtId="0" fontId="105" fillId="3" borderId="2" xfId="0" applyFont="1" applyFill="1" applyBorder="1" applyAlignment="1">
      <alignment vertical="top"/>
    </xf>
    <xf numFmtId="2" fontId="105" fillId="3" borderId="2" xfId="0" applyNumberFormat="1" applyFont="1" applyFill="1" applyBorder="1" applyAlignment="1">
      <alignment horizontal="right" vertical="top"/>
    </xf>
    <xf numFmtId="0" fontId="105" fillId="0" borderId="0" xfId="1238" applyFont="1" applyAlignment="1">
      <alignment horizontal="justify" vertical="top" wrapText="1"/>
    </xf>
    <xf numFmtId="2" fontId="105" fillId="0" borderId="0" xfId="2595" applyNumberFormat="1" applyFont="1" applyAlignment="1">
      <alignment horizontal="justify" vertical="top" wrapText="1"/>
    </xf>
    <xf numFmtId="0" fontId="130" fillId="0" borderId="0" xfId="2595" applyFont="1" applyAlignment="1">
      <alignment horizontal="center" vertical="top" wrapText="1"/>
    </xf>
    <xf numFmtId="0" fontId="105" fillId="0" borderId="0" xfId="2595" applyFont="1" applyAlignment="1">
      <alignment horizontal="center" vertical="top" wrapText="1"/>
    </xf>
    <xf numFmtId="0" fontId="131" fillId="0" borderId="0" xfId="2595" applyFont="1" applyAlignment="1">
      <alignment horizontal="center" vertical="top" wrapText="1"/>
    </xf>
    <xf numFmtId="0" fontId="132" fillId="0" borderId="0" xfId="2595" applyFont="1" applyAlignment="1">
      <alignment horizontal="center" vertical="top" wrapText="1"/>
    </xf>
    <xf numFmtId="197" fontId="103" fillId="0" borderId="0" xfId="2595" applyNumberFormat="1" applyFont="1" applyAlignment="1">
      <alignment horizontal="center" vertical="center" wrapText="1"/>
    </xf>
    <xf numFmtId="0" fontId="103" fillId="0" borderId="0" xfId="2595" applyFont="1" applyAlignment="1">
      <alignment horizontal="center" vertical="center" wrapText="1"/>
    </xf>
    <xf numFmtId="0" fontId="133" fillId="3" borderId="0" xfId="0" applyFont="1" applyFill="1" applyAlignment="1">
      <alignment vertical="top" wrapText="1"/>
    </xf>
    <xf numFmtId="0" fontId="41" fillId="9" borderId="0" xfId="0" applyFont="1" applyFill="1" applyAlignment="1">
      <alignment vertical="top" wrapText="1"/>
    </xf>
    <xf numFmtId="0" fontId="41" fillId="9" borderId="0" xfId="539" applyFont="1" applyFill="1" applyAlignment="1">
      <alignment vertical="top" wrapText="1"/>
    </xf>
    <xf numFmtId="0" fontId="41" fillId="9" borderId="0" xfId="539" applyFont="1" applyFill="1" applyAlignment="1">
      <alignment vertical="center" wrapText="1"/>
    </xf>
    <xf numFmtId="0" fontId="41" fillId="0" borderId="0" xfId="0" applyFont="1" applyAlignment="1">
      <alignment vertical="top" wrapText="1"/>
    </xf>
    <xf numFmtId="0" fontId="41" fillId="0" borderId="0" xfId="0" applyFont="1" applyAlignment="1">
      <alignment vertical="center" wrapText="1"/>
    </xf>
    <xf numFmtId="0" fontId="43" fillId="0" borderId="0" xfId="0" applyFont="1" applyAlignment="1">
      <alignment vertical="center" wrapText="1"/>
    </xf>
    <xf numFmtId="0" fontId="133" fillId="0" borderId="0" xfId="0" applyFont="1" applyAlignment="1">
      <alignment vertical="center" wrapText="1"/>
    </xf>
    <xf numFmtId="0" fontId="41" fillId="0" borderId="0" xfId="3756" applyFont="1" applyAlignment="1">
      <alignment vertical="top" wrapText="1"/>
    </xf>
    <xf numFmtId="0" fontId="41" fillId="0" borderId="0" xfId="3756" applyFont="1" applyAlignment="1">
      <alignment vertical="center" wrapText="1"/>
    </xf>
    <xf numFmtId="1" fontId="76" fillId="3" borderId="0" xfId="0" applyNumberFormat="1" applyFont="1" applyFill="1" applyAlignment="1">
      <alignment horizontal="left" vertical="top" wrapText="1"/>
    </xf>
    <xf numFmtId="0" fontId="41" fillId="9" borderId="35" xfId="0" applyFont="1" applyFill="1" applyBorder="1" applyAlignment="1">
      <alignment horizontal="center" vertical="top" wrapText="1"/>
    </xf>
    <xf numFmtId="0" fontId="43" fillId="9" borderId="35" xfId="0" applyFont="1" applyFill="1" applyBorder="1" applyAlignment="1">
      <alignment horizontal="left" vertical="top" wrapText="1"/>
    </xf>
    <xf numFmtId="2" fontId="41" fillId="9" borderId="35" xfId="0" applyNumberFormat="1" applyFont="1" applyFill="1" applyBorder="1" applyAlignment="1">
      <alignment horizontal="center" vertical="center" wrapText="1"/>
    </xf>
    <xf numFmtId="2" fontId="43" fillId="9" borderId="35" xfId="0" applyNumberFormat="1" applyFont="1" applyFill="1" applyBorder="1" applyAlignment="1">
      <alignment horizontal="right" vertical="top" wrapText="1"/>
    </xf>
    <xf numFmtId="0" fontId="43" fillId="9" borderId="0" xfId="0" applyFont="1" applyFill="1" applyAlignment="1">
      <alignment horizontal="left" vertical="top" wrapText="1"/>
    </xf>
    <xf numFmtId="0" fontId="41" fillId="9" borderId="35" xfId="539" applyFont="1" applyFill="1" applyBorder="1" applyAlignment="1">
      <alignment horizontal="center" vertical="top" wrapText="1"/>
    </xf>
    <xf numFmtId="2" fontId="43" fillId="9" borderId="35" xfId="539" applyNumberFormat="1" applyFont="1" applyFill="1" applyBorder="1" applyAlignment="1">
      <alignment horizontal="left" vertical="top" wrapText="1"/>
    </xf>
    <xf numFmtId="2" fontId="41" fillId="9" borderId="35" xfId="539" applyNumberFormat="1" applyFont="1" applyFill="1" applyBorder="1" applyAlignment="1">
      <alignment horizontal="center" vertical="center" wrapText="1"/>
    </xf>
    <xf numFmtId="199" fontId="41" fillId="9" borderId="35" xfId="539" applyNumberFormat="1" applyFont="1" applyFill="1" applyBorder="1" applyAlignment="1">
      <alignment horizontal="center" vertical="top" wrapText="1"/>
    </xf>
    <xf numFmtId="2" fontId="41" fillId="9" borderId="35" xfId="539" applyNumberFormat="1" applyFont="1" applyFill="1" applyBorder="1" applyAlignment="1">
      <alignment horizontal="right" vertical="top" wrapText="1"/>
    </xf>
    <xf numFmtId="0" fontId="41" fillId="9" borderId="0" xfId="539" applyFont="1" applyFill="1" applyAlignment="1">
      <alignment horizontal="left" vertical="top" wrapText="1"/>
    </xf>
    <xf numFmtId="197" fontId="43" fillId="9" borderId="35" xfId="539" applyNumberFormat="1" applyFont="1" applyFill="1" applyBorder="1" applyAlignment="1">
      <alignment horizontal="center" vertical="top" wrapText="1"/>
    </xf>
    <xf numFmtId="2" fontId="41" fillId="9" borderId="0" xfId="539" applyNumberFormat="1" applyFont="1" applyFill="1" applyAlignment="1">
      <alignment horizontal="left" vertical="top" wrapText="1"/>
    </xf>
    <xf numFmtId="0" fontId="41" fillId="9" borderId="35" xfId="539" applyFont="1" applyFill="1" applyBorder="1" applyAlignment="1">
      <alignment horizontal="center" vertical="center" wrapText="1"/>
    </xf>
    <xf numFmtId="197" fontId="43" fillId="9" borderId="35" xfId="539" applyNumberFormat="1" applyFont="1" applyFill="1" applyBorder="1" applyAlignment="1">
      <alignment horizontal="center" vertical="center" wrapText="1"/>
    </xf>
    <xf numFmtId="0" fontId="43" fillId="9" borderId="35" xfId="539" applyFont="1" applyFill="1" applyBorder="1" applyAlignment="1">
      <alignment horizontal="center" vertical="center" wrapText="1"/>
    </xf>
    <xf numFmtId="2" fontId="41" fillId="9" borderId="35" xfId="539" applyNumberFormat="1" applyFont="1" applyFill="1" applyBorder="1" applyAlignment="1">
      <alignment horizontal="left" vertical="center" wrapText="1"/>
    </xf>
    <xf numFmtId="199" fontId="41" fillId="9" borderId="35" xfId="539" applyNumberFormat="1" applyFont="1" applyFill="1" applyBorder="1" applyAlignment="1">
      <alignment horizontal="center" vertical="center" wrapText="1"/>
    </xf>
    <xf numFmtId="2" fontId="41" fillId="9" borderId="35" xfId="539" applyNumberFormat="1" applyFont="1" applyFill="1" applyBorder="1" applyAlignment="1">
      <alignment horizontal="right" vertical="center" wrapText="1"/>
    </xf>
    <xf numFmtId="0" fontId="41" fillId="9" borderId="0" xfId="539" applyFont="1" applyFill="1" applyAlignment="1">
      <alignment horizontal="left" vertical="center" wrapText="1"/>
    </xf>
    <xf numFmtId="2" fontId="41" fillId="9" borderId="0" xfId="539" applyNumberFormat="1" applyFont="1" applyFill="1" applyAlignment="1">
      <alignment horizontal="left" vertical="center" wrapText="1"/>
    </xf>
    <xf numFmtId="2" fontId="43" fillId="9" borderId="0" xfId="539" applyNumberFormat="1" applyFont="1" applyFill="1" applyAlignment="1">
      <alignment horizontal="left" vertical="top" wrapText="1"/>
    </xf>
    <xf numFmtId="2" fontId="41" fillId="9" borderId="35" xfId="0" applyNumberFormat="1" applyFont="1" applyFill="1" applyBorder="1" applyAlignment="1">
      <alignment horizontal="right" vertical="center" wrapText="1"/>
    </xf>
    <xf numFmtId="2" fontId="41" fillId="9" borderId="0" xfId="0" applyNumberFormat="1" applyFont="1" applyFill="1" applyAlignment="1">
      <alignment horizontal="left" vertical="center" wrapText="1"/>
    </xf>
    <xf numFmtId="2" fontId="41" fillId="9" borderId="35" xfId="3562" applyNumberFormat="1" applyFont="1" applyFill="1" applyBorder="1" applyAlignment="1">
      <alignment horizontal="center" vertical="center" wrapText="1"/>
    </xf>
    <xf numFmtId="2" fontId="43" fillId="9" borderId="35" xfId="539" applyNumberFormat="1" applyFont="1" applyFill="1" applyBorder="1" applyAlignment="1">
      <alignment horizontal="right" vertical="center" wrapText="1"/>
    </xf>
    <xf numFmtId="185" fontId="43" fillId="9" borderId="0" xfId="539" applyNumberFormat="1" applyFont="1" applyFill="1" applyAlignment="1">
      <alignment horizontal="left" vertical="center" wrapText="1"/>
    </xf>
    <xf numFmtId="185" fontId="41" fillId="9" borderId="0" xfId="539" applyNumberFormat="1" applyFont="1" applyFill="1" applyAlignment="1">
      <alignment horizontal="left" vertical="center" wrapText="1"/>
    </xf>
    <xf numFmtId="0" fontId="41" fillId="9" borderId="35" xfId="0" applyFont="1" applyFill="1" applyBorder="1" applyAlignment="1">
      <alignment horizontal="left" vertical="top" wrapText="1"/>
    </xf>
    <xf numFmtId="2" fontId="41" fillId="9" borderId="35" xfId="0" applyNumberFormat="1" applyFont="1" applyFill="1" applyBorder="1" applyAlignment="1">
      <alignment horizontal="right" vertical="top" wrapText="1"/>
    </xf>
    <xf numFmtId="171" fontId="41" fillId="9" borderId="0" xfId="0" applyNumberFormat="1" applyFont="1" applyFill="1" applyAlignment="1">
      <alignment horizontal="left" vertical="top" wrapText="1"/>
    </xf>
    <xf numFmtId="0" fontId="41" fillId="0" borderId="35" xfId="0" applyFont="1" applyBorder="1" applyAlignment="1">
      <alignment horizontal="center" vertical="top" wrapText="1"/>
    </xf>
    <xf numFmtId="171" fontId="41" fillId="0" borderId="0" xfId="0" applyNumberFormat="1" applyFont="1" applyAlignment="1">
      <alignment horizontal="left" vertical="top" wrapText="1"/>
    </xf>
    <xf numFmtId="0" fontId="43" fillId="0" borderId="35" xfId="0" applyFont="1" applyBorder="1" applyAlignment="1">
      <alignment horizontal="center" vertical="top" wrapText="1"/>
    </xf>
    <xf numFmtId="0" fontId="41" fillId="0" borderId="0" xfId="0" applyFont="1" applyAlignment="1">
      <alignment horizontal="left" vertical="top" wrapText="1"/>
    </xf>
    <xf numFmtId="0" fontId="41" fillId="0" borderId="35" xfId="0" applyFont="1" applyBorder="1" applyAlignment="1">
      <alignment horizontal="center" vertical="center" wrapText="1"/>
    </xf>
    <xf numFmtId="2" fontId="41" fillId="0" borderId="35" xfId="0" applyNumberFormat="1" applyFont="1" applyBorder="1" applyAlignment="1">
      <alignment horizontal="left" vertical="center" wrapText="1"/>
    </xf>
    <xf numFmtId="2" fontId="41" fillId="0" borderId="35" xfId="0" applyNumberFormat="1" applyFont="1" applyBorder="1" applyAlignment="1">
      <alignment horizontal="center" vertical="center" wrapText="1"/>
    </xf>
    <xf numFmtId="2" fontId="41" fillId="0" borderId="35" xfId="0" applyNumberFormat="1" applyFont="1" applyBorder="1" applyAlignment="1">
      <alignment horizontal="right" vertical="center" wrapText="1"/>
    </xf>
    <xf numFmtId="171" fontId="41" fillId="0" borderId="0" xfId="0" applyNumberFormat="1" applyFont="1" applyAlignment="1">
      <alignment horizontal="left" vertical="center" wrapText="1"/>
    </xf>
    <xf numFmtId="2" fontId="43" fillId="0" borderId="35" xfId="0" applyNumberFormat="1" applyFont="1" applyBorder="1" applyAlignment="1">
      <alignment horizontal="left" vertical="center" wrapText="1"/>
    </xf>
    <xf numFmtId="199" fontId="41" fillId="0" borderId="35" xfId="0" applyNumberFormat="1" applyFont="1" applyBorder="1" applyAlignment="1">
      <alignment horizontal="center" vertical="center" wrapText="1"/>
    </xf>
    <xf numFmtId="185" fontId="41" fillId="0" borderId="0" xfId="0" applyNumberFormat="1" applyFont="1" applyAlignment="1">
      <alignment horizontal="left" vertical="center" wrapText="1"/>
    </xf>
    <xf numFmtId="10" fontId="41" fillId="0" borderId="35" xfId="0" applyNumberFormat="1" applyFont="1" applyBorder="1" applyAlignment="1">
      <alignment horizontal="center" vertical="center" wrapText="1"/>
    </xf>
    <xf numFmtId="0" fontId="41" fillId="0" borderId="35" xfId="0" applyFont="1" applyBorder="1" applyAlignment="1">
      <alignment horizontal="left" vertical="center" wrapText="1"/>
    </xf>
    <xf numFmtId="2" fontId="41" fillId="0" borderId="0" xfId="0" applyNumberFormat="1" applyFont="1" applyAlignment="1">
      <alignment horizontal="left" vertical="center" wrapText="1"/>
    </xf>
    <xf numFmtId="2" fontId="43" fillId="0" borderId="35" xfId="0" applyNumberFormat="1" applyFont="1" applyBorder="1" applyAlignment="1">
      <alignment horizontal="right" vertical="center" wrapText="1"/>
    </xf>
    <xf numFmtId="2" fontId="43" fillId="0" borderId="0" xfId="0" applyNumberFormat="1" applyFont="1" applyAlignment="1">
      <alignment horizontal="left" vertical="center" wrapText="1"/>
    </xf>
    <xf numFmtId="185" fontId="43" fillId="0" borderId="0" xfId="0" applyNumberFormat="1" applyFont="1" applyAlignment="1">
      <alignment horizontal="left" vertical="center" wrapText="1"/>
    </xf>
    <xf numFmtId="185" fontId="41" fillId="0" borderId="35" xfId="0" applyNumberFormat="1" applyFont="1" applyBorder="1" applyAlignment="1">
      <alignment horizontal="center" vertical="center" wrapText="1"/>
    </xf>
    <xf numFmtId="198" fontId="43" fillId="0" borderId="35" xfId="0" applyNumberFormat="1" applyFont="1" applyBorder="1" applyAlignment="1">
      <alignment horizontal="center" vertical="center" wrapText="1"/>
    </xf>
    <xf numFmtId="0" fontId="43" fillId="0" borderId="35" xfId="0" applyFont="1" applyBorder="1" applyAlignment="1">
      <alignment horizontal="left" vertical="center" wrapText="1"/>
    </xf>
    <xf numFmtId="0" fontId="43" fillId="0" borderId="35" xfId="0" applyFont="1" applyBorder="1" applyAlignment="1">
      <alignment horizontal="center" vertical="center" wrapText="1"/>
    </xf>
    <xf numFmtId="10" fontId="43" fillId="0" borderId="35" xfId="0" applyNumberFormat="1" applyFont="1" applyBorder="1" applyAlignment="1">
      <alignment horizontal="center" vertical="center" wrapText="1"/>
    </xf>
    <xf numFmtId="9" fontId="43" fillId="0" borderId="35" xfId="0" applyNumberFormat="1" applyFont="1" applyBorder="1" applyAlignment="1">
      <alignment horizontal="center" vertical="center" wrapText="1"/>
    </xf>
    <xf numFmtId="185" fontId="41" fillId="9" borderId="0" xfId="539" applyNumberFormat="1" applyFont="1" applyFill="1" applyAlignment="1">
      <alignment vertical="top" wrapText="1"/>
    </xf>
    <xf numFmtId="185" fontId="41" fillId="9" borderId="0" xfId="539" applyNumberFormat="1" applyFont="1" applyFill="1" applyAlignment="1">
      <alignment vertical="center" wrapText="1"/>
    </xf>
    <xf numFmtId="185" fontId="43" fillId="9" borderId="0" xfId="539" applyNumberFormat="1" applyFont="1" applyFill="1" applyAlignment="1">
      <alignment vertical="center" wrapText="1"/>
    </xf>
    <xf numFmtId="2" fontId="43" fillId="0" borderId="35" xfId="0" applyNumberFormat="1" applyFont="1" applyBorder="1" applyAlignment="1">
      <alignment horizontal="center" vertical="center" wrapText="1"/>
    </xf>
    <xf numFmtId="171" fontId="43" fillId="0" borderId="0" xfId="0" applyNumberFormat="1" applyFont="1" applyAlignment="1">
      <alignment horizontal="left" vertical="center" wrapText="1"/>
    </xf>
    <xf numFmtId="0" fontId="133" fillId="0" borderId="35" xfId="0" applyFont="1" applyBorder="1" applyAlignment="1">
      <alignment horizontal="center" vertical="center" wrapText="1"/>
    </xf>
    <xf numFmtId="0" fontId="133" fillId="0" borderId="35" xfId="0" applyFont="1" applyBorder="1" applyAlignment="1">
      <alignment horizontal="left" vertical="center" wrapText="1"/>
    </xf>
    <xf numFmtId="2" fontId="133" fillId="0" borderId="35" xfId="0" applyNumberFormat="1" applyFont="1" applyBorder="1" applyAlignment="1">
      <alignment horizontal="center" vertical="center" wrapText="1"/>
    </xf>
    <xf numFmtId="2" fontId="133" fillId="0" borderId="35" xfId="0" applyNumberFormat="1" applyFont="1" applyBorder="1" applyAlignment="1">
      <alignment horizontal="right" vertical="center" wrapText="1"/>
    </xf>
    <xf numFmtId="171" fontId="133" fillId="0" borderId="0" xfId="0" applyNumberFormat="1" applyFont="1" applyAlignment="1">
      <alignment horizontal="left" vertical="center" wrapText="1"/>
    </xf>
    <xf numFmtId="0" fontId="43" fillId="0" borderId="0" xfId="0" applyFont="1" applyAlignment="1">
      <alignment horizontal="left" vertical="top" wrapText="1"/>
    </xf>
    <xf numFmtId="0" fontId="41" fillId="0" borderId="0" xfId="0" applyFont="1" applyAlignment="1">
      <alignment horizontal="left" vertical="center" wrapText="1"/>
    </xf>
    <xf numFmtId="9" fontId="41" fillId="0" borderId="35" xfId="0" applyNumberFormat="1" applyFont="1" applyBorder="1" applyAlignment="1">
      <alignment horizontal="center" vertical="center" wrapText="1"/>
    </xf>
    <xf numFmtId="0" fontId="41" fillId="0" borderId="35" xfId="3756" applyFont="1" applyBorder="1" applyAlignment="1">
      <alignment horizontal="left" vertical="center" wrapText="1"/>
    </xf>
    <xf numFmtId="184" fontId="41" fillId="0" borderId="35" xfId="0" applyNumberFormat="1" applyFont="1" applyBorder="1" applyAlignment="1">
      <alignment horizontal="center" vertical="center" wrapText="1"/>
    </xf>
    <xf numFmtId="198" fontId="41" fillId="0" borderId="35" xfId="0" applyNumberFormat="1" applyFont="1" applyBorder="1" applyAlignment="1">
      <alignment horizontal="center" vertical="center" wrapText="1"/>
    </xf>
    <xf numFmtId="2" fontId="41" fillId="0" borderId="35" xfId="3756" applyNumberFormat="1" applyFont="1" applyBorder="1" applyAlignment="1">
      <alignment horizontal="center" vertical="center" wrapText="1"/>
    </xf>
    <xf numFmtId="2" fontId="41" fillId="0" borderId="35" xfId="3756" applyNumberFormat="1" applyFont="1" applyBorder="1" applyAlignment="1">
      <alignment horizontal="left" vertical="center" wrapText="1"/>
    </xf>
    <xf numFmtId="2" fontId="43" fillId="0" borderId="35" xfId="3756" applyNumberFormat="1" applyFont="1" applyBorder="1" applyAlignment="1">
      <alignment horizontal="right" vertical="center" wrapText="1"/>
    </xf>
    <xf numFmtId="2" fontId="43" fillId="0" borderId="0" xfId="3756" applyNumberFormat="1" applyFont="1" applyAlignment="1">
      <alignment horizontal="left" vertical="center" wrapText="1"/>
    </xf>
    <xf numFmtId="0" fontId="41" fillId="0" borderId="35" xfId="3756" applyFont="1" applyBorder="1" applyAlignment="1">
      <alignment horizontal="center" vertical="top" wrapText="1"/>
    </xf>
    <xf numFmtId="2" fontId="41" fillId="0" borderId="0" xfId="0" applyNumberFormat="1" applyFont="1" applyAlignment="1">
      <alignment horizontal="left" vertical="top" wrapText="1"/>
    </xf>
    <xf numFmtId="177" fontId="41" fillId="0" borderId="35" xfId="0" applyNumberFormat="1" applyFont="1" applyBorder="1" applyAlignment="1">
      <alignment horizontal="center" vertical="center" wrapText="1"/>
    </xf>
    <xf numFmtId="0" fontId="43" fillId="0" borderId="35" xfId="2637" applyFont="1" applyBorder="1" applyAlignment="1">
      <alignment horizontal="center" vertical="top" wrapText="1"/>
    </xf>
    <xf numFmtId="203" fontId="43" fillId="0" borderId="35" xfId="2637" applyNumberFormat="1" applyFont="1" applyBorder="1" applyAlignment="1">
      <alignment horizontal="center" vertical="top" wrapText="1"/>
    </xf>
    <xf numFmtId="0" fontId="41" fillId="0" borderId="35" xfId="2637" applyFont="1" applyBorder="1" applyAlignment="1">
      <alignment horizontal="center" vertical="top" wrapText="1"/>
    </xf>
    <xf numFmtId="0" fontId="41" fillId="0" borderId="35" xfId="2637" applyFont="1" applyBorder="1" applyAlignment="1">
      <alignment horizontal="center" vertical="center" wrapText="1"/>
    </xf>
    <xf numFmtId="197" fontId="43" fillId="0" borderId="35" xfId="2637" applyNumberFormat="1" applyFont="1" applyBorder="1" applyAlignment="1">
      <alignment horizontal="center" vertical="center" wrapText="1"/>
    </xf>
    <xf numFmtId="0" fontId="41" fillId="0" borderId="35" xfId="1238" applyFont="1" applyBorder="1" applyAlignment="1">
      <alignment horizontal="left" vertical="center" wrapText="1"/>
    </xf>
    <xf numFmtId="2" fontId="43" fillId="0" borderId="35" xfId="2637" applyNumberFormat="1" applyFont="1" applyBorder="1" applyAlignment="1">
      <alignment horizontal="center" vertical="center" wrapText="1"/>
    </xf>
    <xf numFmtId="199" fontId="41" fillId="0" borderId="35" xfId="2637" applyNumberFormat="1" applyFont="1" applyBorder="1" applyAlignment="1">
      <alignment horizontal="center" vertical="center" wrapText="1"/>
    </xf>
    <xf numFmtId="2" fontId="41" fillId="0" borderId="35" xfId="2637" applyNumberFormat="1" applyFont="1" applyBorder="1" applyAlignment="1">
      <alignment horizontal="center" vertical="center" wrapText="1"/>
    </xf>
    <xf numFmtId="0" fontId="135" fillId="0" borderId="35" xfId="1238" applyFont="1" applyBorder="1" applyAlignment="1">
      <alignment horizontal="left" vertical="center" wrapText="1"/>
    </xf>
    <xf numFmtId="171" fontId="41" fillId="0" borderId="0" xfId="3756" applyNumberFormat="1" applyFont="1" applyAlignment="1">
      <alignment vertical="center" wrapText="1"/>
    </xf>
    <xf numFmtId="184" fontId="41" fillId="0" borderId="0" xfId="3756" applyNumberFormat="1" applyFont="1" applyAlignment="1">
      <alignment vertical="center" wrapText="1"/>
    </xf>
    <xf numFmtId="0" fontId="43" fillId="0" borderId="35" xfId="1238" applyFont="1" applyBorder="1" applyAlignment="1">
      <alignment horizontal="left" vertical="center" wrapText="1"/>
    </xf>
    <xf numFmtId="171" fontId="42" fillId="0" borderId="0" xfId="0" applyNumberFormat="1" applyFont="1" applyAlignment="1">
      <alignment horizontal="left" vertical="center" wrapText="1"/>
    </xf>
    <xf numFmtId="188" fontId="41" fillId="0" borderId="35" xfId="1238" applyNumberFormat="1" applyFont="1" applyBorder="1" applyAlignment="1">
      <alignment horizontal="center" vertical="center" wrapText="1"/>
    </xf>
    <xf numFmtId="2" fontId="41" fillId="0" borderId="35" xfId="206" applyNumberFormat="1" applyFont="1" applyBorder="1" applyAlignment="1">
      <alignment horizontal="center" vertical="center" wrapText="1"/>
    </xf>
    <xf numFmtId="2" fontId="41" fillId="0" borderId="35" xfId="1238" applyNumberFormat="1" applyFont="1" applyBorder="1" applyAlignment="1">
      <alignment horizontal="center" vertical="center" wrapText="1"/>
    </xf>
    <xf numFmtId="202" fontId="41" fillId="0" borderId="35" xfId="1238" applyNumberFormat="1" applyFont="1" applyBorder="1" applyAlignment="1">
      <alignment horizontal="center" vertical="center" wrapText="1"/>
    </xf>
    <xf numFmtId="9" fontId="41" fillId="0" borderId="35" xfId="2637" applyNumberFormat="1" applyFont="1" applyBorder="1" applyAlignment="1">
      <alignment horizontal="center" vertical="center" wrapText="1"/>
    </xf>
    <xf numFmtId="2" fontId="43" fillId="0" borderId="35" xfId="206" applyNumberFormat="1" applyFont="1" applyBorder="1" applyAlignment="1">
      <alignment horizontal="center" vertical="center" wrapText="1"/>
    </xf>
    <xf numFmtId="198" fontId="41" fillId="0" borderId="35" xfId="2926" applyNumberFormat="1" applyFont="1" applyFill="1" applyBorder="1" applyAlignment="1">
      <alignment horizontal="center" vertical="center" wrapText="1"/>
    </xf>
    <xf numFmtId="0" fontId="43" fillId="0" borderId="35" xfId="2637" applyFont="1" applyBorder="1" applyAlignment="1">
      <alignment horizontal="center" vertical="center" wrapText="1"/>
    </xf>
    <xf numFmtId="203" fontId="43" fillId="0" borderId="35" xfId="2637" applyNumberFormat="1" applyFont="1" applyBorder="1" applyAlignment="1">
      <alignment horizontal="center" vertical="center" wrapText="1"/>
    </xf>
    <xf numFmtId="0" fontId="43" fillId="0" borderId="35" xfId="2637" applyFont="1" applyBorder="1" applyAlignment="1">
      <alignment horizontal="left" vertical="center" wrapText="1"/>
    </xf>
    <xf numFmtId="197" fontId="43" fillId="0" borderId="35" xfId="2637" applyNumberFormat="1" applyFont="1" applyBorder="1" applyAlignment="1">
      <alignment horizontal="center" vertical="top" wrapText="1"/>
    </xf>
    <xf numFmtId="171" fontId="42" fillId="0" borderId="0" xfId="0" applyNumberFormat="1" applyFont="1" applyAlignment="1">
      <alignment horizontal="left" vertical="top" wrapText="1"/>
    </xf>
    <xf numFmtId="2" fontId="43" fillId="0" borderId="35" xfId="2637" applyNumberFormat="1" applyFont="1" applyBorder="1" applyAlignment="1">
      <alignment horizontal="left" vertical="center" wrapText="1"/>
    </xf>
    <xf numFmtId="2" fontId="41" fillId="0" borderId="35" xfId="2637" applyNumberFormat="1" applyFont="1" applyBorder="1" applyAlignment="1">
      <alignment horizontal="left" vertical="center" wrapText="1"/>
    </xf>
    <xf numFmtId="10" fontId="41" fillId="0" borderId="35" xfId="2926" applyNumberFormat="1" applyFont="1" applyFill="1" applyBorder="1" applyAlignment="1">
      <alignment horizontal="center" vertical="center" wrapText="1"/>
    </xf>
    <xf numFmtId="2" fontId="43" fillId="0" borderId="35" xfId="1238" applyNumberFormat="1" applyFont="1" applyBorder="1" applyAlignment="1">
      <alignment horizontal="center" vertical="center" wrapText="1"/>
    </xf>
    <xf numFmtId="0" fontId="43" fillId="0" borderId="35" xfId="1238" applyFont="1" applyBorder="1" applyAlignment="1">
      <alignment vertical="center" wrapText="1"/>
    </xf>
    <xf numFmtId="2" fontId="43" fillId="0" borderId="35" xfId="1238" applyNumberFormat="1" applyFont="1" applyBorder="1" applyAlignment="1">
      <alignment vertical="center" wrapText="1"/>
    </xf>
    <xf numFmtId="0" fontId="41" fillId="0" borderId="35" xfId="2637" applyFont="1" applyBorder="1" applyAlignment="1">
      <alignment horizontal="left" vertical="center" wrapText="1"/>
    </xf>
    <xf numFmtId="2" fontId="41" fillId="0" borderId="35" xfId="539" applyNumberFormat="1" applyFont="1" applyBorder="1" applyAlignment="1">
      <alignment horizontal="center" vertical="center" wrapText="1"/>
    </xf>
    <xf numFmtId="198" fontId="41" fillId="0" borderId="35" xfId="3797" applyNumberFormat="1" applyFont="1" applyFill="1" applyBorder="1" applyAlignment="1">
      <alignment horizontal="center" vertical="center" wrapText="1"/>
    </xf>
    <xf numFmtId="0" fontId="41" fillId="0" borderId="0" xfId="2637" applyFont="1" applyAlignment="1">
      <alignment horizontal="center" vertical="top" wrapText="1"/>
    </xf>
    <xf numFmtId="197" fontId="43" fillId="0" borderId="0" xfId="2637" applyNumberFormat="1" applyFont="1" applyAlignment="1">
      <alignment horizontal="center" vertical="top" wrapText="1"/>
    </xf>
    <xf numFmtId="0" fontId="41" fillId="0" borderId="0" xfId="2637" applyFont="1" applyAlignment="1">
      <alignment horizontal="left" vertical="top" wrapText="1"/>
    </xf>
    <xf numFmtId="2" fontId="41" fillId="0" borderId="0" xfId="2637" applyNumberFormat="1" applyFont="1" applyAlignment="1">
      <alignment horizontal="center" vertical="top" wrapText="1"/>
    </xf>
    <xf numFmtId="199" fontId="41" fillId="0" borderId="0" xfId="2637" applyNumberFormat="1" applyFont="1" applyAlignment="1">
      <alignment horizontal="center" vertical="top" wrapText="1"/>
    </xf>
    <xf numFmtId="0" fontId="121" fillId="0" borderId="0" xfId="41" applyFont="1" applyAlignment="1">
      <alignment vertical="top" wrapText="1"/>
    </xf>
    <xf numFmtId="0" fontId="117" fillId="0" borderId="0" xfId="3619" applyFont="1" applyAlignment="1">
      <alignment horizontal="justify" vertical="center" wrapText="1"/>
    </xf>
    <xf numFmtId="0" fontId="91" fillId="0" borderId="0" xfId="3619" applyFont="1" applyAlignment="1">
      <alignment horizontal="justify" vertical="center" wrapText="1"/>
    </xf>
    <xf numFmtId="0" fontId="121" fillId="0" borderId="0" xfId="41" applyFont="1"/>
    <xf numFmtId="0" fontId="122" fillId="0" borderId="0" xfId="1925" applyFont="1" applyAlignment="1">
      <alignment horizontal="center"/>
    </xf>
    <xf numFmtId="0" fontId="122" fillId="0" borderId="0" xfId="1925" applyFont="1"/>
    <xf numFmtId="0" fontId="126" fillId="0" borderId="0" xfId="1925" applyFont="1" applyAlignment="1">
      <alignment horizontal="center" vertical="top" wrapText="1"/>
    </xf>
    <xf numFmtId="0" fontId="126" fillId="0" borderId="0" xfId="1925" applyFont="1" applyAlignment="1">
      <alignment vertical="top" wrapText="1"/>
    </xf>
    <xf numFmtId="0" fontId="100" fillId="0" borderId="1" xfId="3619" applyFont="1" applyBorder="1" applyAlignment="1">
      <alignment horizontal="center" vertical="center" wrapText="1"/>
    </xf>
    <xf numFmtId="2" fontId="122" fillId="0" borderId="1" xfId="1925" applyNumberFormat="1" applyFont="1" applyBorder="1" applyAlignment="1">
      <alignment vertical="center" wrapText="1"/>
    </xf>
    <xf numFmtId="2" fontId="100" fillId="0" borderId="1" xfId="1925" applyNumberFormat="1" applyFont="1" applyBorder="1" applyAlignment="1">
      <alignment vertical="center" wrapText="1"/>
    </xf>
    <xf numFmtId="0" fontId="100" fillId="0" borderId="0" xfId="3619" applyFont="1" applyAlignment="1">
      <alignment horizontal="justify" vertical="center" wrapText="1"/>
    </xf>
    <xf numFmtId="0" fontId="100" fillId="0" borderId="1" xfId="3619" applyFont="1" applyBorder="1" applyAlignment="1">
      <alignment horizontal="justify" vertical="center" wrapText="1"/>
    </xf>
    <xf numFmtId="0" fontId="100" fillId="0" borderId="4" xfId="3758" applyFont="1" applyBorder="1" applyAlignment="1">
      <alignment horizontal="left" vertical="center" wrapText="1"/>
    </xf>
    <xf numFmtId="0" fontId="100" fillId="0" borderId="5" xfId="3758" applyFont="1" applyBorder="1" applyAlignment="1">
      <alignment horizontal="left" vertical="center" wrapText="1"/>
    </xf>
    <xf numFmtId="0" fontId="122" fillId="0" borderId="1" xfId="3619" applyFont="1" applyBorder="1" applyAlignment="1">
      <alignment horizontal="center" vertical="center" wrapText="1"/>
    </xf>
    <xf numFmtId="0" fontId="122" fillId="0" borderId="1" xfId="3619" applyFont="1" applyBorder="1" applyAlignment="1">
      <alignment horizontal="right" vertical="center" wrapText="1"/>
    </xf>
    <xf numFmtId="2" fontId="122" fillId="0" borderId="1" xfId="3619" applyNumberFormat="1" applyFont="1" applyBorder="1" applyAlignment="1">
      <alignment horizontal="right" vertical="center" wrapText="1"/>
    </xf>
    <xf numFmtId="0" fontId="122" fillId="0" borderId="0" xfId="3619" applyFont="1" applyAlignment="1">
      <alignment horizontal="justify" vertical="center" wrapText="1"/>
    </xf>
    <xf numFmtId="0" fontId="100" fillId="0" borderId="0" xfId="1925" applyFont="1" applyAlignment="1">
      <alignment horizontal="center"/>
    </xf>
    <xf numFmtId="0" fontId="100" fillId="0" borderId="0" xfId="1925" applyFont="1" applyAlignment="1">
      <alignment horizontal="left"/>
    </xf>
    <xf numFmtId="0" fontId="126" fillId="0" borderId="0" xfId="1925" applyFont="1" applyAlignment="1">
      <alignment horizontal="center"/>
    </xf>
    <xf numFmtId="0" fontId="126" fillId="0" borderId="0" xfId="1925" applyFont="1" applyAlignment="1">
      <alignment horizontal="center" vertical="center" wrapText="1"/>
    </xf>
    <xf numFmtId="0" fontId="100" fillId="0" borderId="0" xfId="1925" applyFont="1"/>
    <xf numFmtId="0" fontId="100" fillId="0" borderId="0" xfId="1925" applyFont="1" applyAlignment="1">
      <alignment horizontal="justify" vertical="top" wrapText="1"/>
    </xf>
    <xf numFmtId="0" fontId="100" fillId="0" borderId="0" xfId="1925" applyFont="1" applyAlignment="1">
      <alignment vertical="top" wrapText="1"/>
    </xf>
    <xf numFmtId="0" fontId="90" fillId="0" borderId="0" xfId="1925" applyFont="1"/>
    <xf numFmtId="0" fontId="90" fillId="0" borderId="0" xfId="1925" applyFont="1" applyAlignment="1">
      <alignment vertical="top" wrapText="1"/>
    </xf>
    <xf numFmtId="0" fontId="92" fillId="0" borderId="0" xfId="1925" applyFont="1" applyAlignment="1">
      <alignment vertical="top" wrapText="1"/>
    </xf>
    <xf numFmtId="0" fontId="138" fillId="0" borderId="0" xfId="1925" applyFont="1"/>
    <xf numFmtId="0" fontId="117" fillId="0" borderId="0" xfId="1925" applyFont="1"/>
    <xf numFmtId="0" fontId="117" fillId="0" borderId="0" xfId="41" applyFont="1"/>
    <xf numFmtId="0" fontId="96" fillId="0" borderId="0" xfId="0" applyFont="1" applyAlignment="1">
      <alignment vertical="top"/>
    </xf>
    <xf numFmtId="0" fontId="122" fillId="0" borderId="0" xfId="0" applyFont="1" applyAlignment="1">
      <alignment vertical="top"/>
    </xf>
    <xf numFmtId="0" fontId="96" fillId="0" borderId="0" xfId="0" applyFont="1" applyAlignment="1">
      <alignment horizontal="center" vertical="top"/>
    </xf>
    <xf numFmtId="184" fontId="96" fillId="0" borderId="0" xfId="0" applyNumberFormat="1" applyFont="1" applyAlignment="1">
      <alignment horizontal="center" vertical="top"/>
    </xf>
    <xf numFmtId="1" fontId="96" fillId="0" borderId="0" xfId="0" applyNumberFormat="1" applyFont="1" applyAlignment="1">
      <alignment horizontal="center" vertical="top"/>
    </xf>
    <xf numFmtId="0" fontId="122" fillId="0" borderId="0" xfId="0" applyFont="1" applyAlignment="1">
      <alignment horizontal="left" vertical="top"/>
    </xf>
    <xf numFmtId="184" fontId="122" fillId="0" borderId="0" xfId="0" applyNumberFormat="1" applyFont="1" applyAlignment="1">
      <alignment horizontal="center" vertical="top"/>
    </xf>
    <xf numFmtId="0" fontId="122" fillId="0" borderId="4" xfId="0" applyFont="1" applyBorder="1" applyAlignment="1">
      <alignment horizontal="left" vertical="top"/>
    </xf>
    <xf numFmtId="184" fontId="122" fillId="0" borderId="5" xfId="0" applyNumberFormat="1" applyFont="1" applyBorder="1" applyAlignment="1">
      <alignment horizontal="center" vertical="top"/>
    </xf>
    <xf numFmtId="2" fontId="139" fillId="0" borderId="1" xfId="0" applyNumberFormat="1" applyFont="1" applyBorder="1" applyAlignment="1">
      <alignment horizontal="center" vertical="top"/>
    </xf>
    <xf numFmtId="0" fontId="122" fillId="0" borderId="1" xfId="0" applyFont="1" applyBorder="1" applyAlignment="1">
      <alignment horizontal="justify" vertical="top" wrapText="1"/>
    </xf>
    <xf numFmtId="0" fontId="100" fillId="0" borderId="1" xfId="0" applyFont="1" applyBorder="1" applyAlignment="1">
      <alignment horizontal="justify" vertical="top" wrapText="1"/>
    </xf>
    <xf numFmtId="0" fontId="122" fillId="0" borderId="1" xfId="1454" applyFont="1" applyBorder="1" applyAlignment="1">
      <alignment horizontal="center" vertical="top" wrapText="1"/>
    </xf>
    <xf numFmtId="184" fontId="122" fillId="0" borderId="1" xfId="1454" applyNumberFormat="1" applyFont="1" applyBorder="1" applyAlignment="1">
      <alignment horizontal="center" vertical="top" wrapText="1"/>
    </xf>
    <xf numFmtId="1" fontId="122" fillId="0" borderId="1" xfId="1454" applyNumberFormat="1" applyFont="1" applyBorder="1" applyAlignment="1">
      <alignment horizontal="center" vertical="top" wrapText="1"/>
    </xf>
    <xf numFmtId="2" fontId="122" fillId="0" borderId="1" xfId="1454" applyNumberFormat="1" applyFont="1" applyBorder="1" applyAlignment="1">
      <alignment horizontal="center" vertical="top" wrapText="1"/>
    </xf>
    <xf numFmtId="0" fontId="122" fillId="0" borderId="1" xfId="1454" applyFont="1" applyBorder="1" applyAlignment="1">
      <alignment vertical="top" wrapText="1"/>
    </xf>
    <xf numFmtId="0" fontId="96" fillId="0" borderId="1" xfId="187" applyFont="1" applyBorder="1" applyAlignment="1">
      <alignment horizontal="center" vertical="top" shrinkToFit="1"/>
    </xf>
    <xf numFmtId="184" fontId="100" fillId="0" borderId="1" xfId="0" applyNumberFormat="1" applyFont="1" applyBorder="1" applyAlignment="1">
      <alignment horizontal="center" vertical="top"/>
    </xf>
    <xf numFmtId="1" fontId="100" fillId="0" borderId="1" xfId="0" applyNumberFormat="1" applyFont="1" applyBorder="1" applyAlignment="1">
      <alignment horizontal="center" vertical="top" wrapText="1"/>
    </xf>
    <xf numFmtId="2" fontId="100" fillId="0" borderId="1" xfId="0" applyNumberFormat="1" applyFont="1" applyBorder="1" applyAlignment="1">
      <alignment horizontal="center" vertical="top"/>
    </xf>
    <xf numFmtId="2" fontId="100" fillId="0" borderId="1" xfId="0" applyNumberFormat="1" applyFont="1" applyBorder="1" applyAlignment="1">
      <alignment horizontal="right" vertical="top" wrapText="1"/>
    </xf>
    <xf numFmtId="1" fontId="100" fillId="0" borderId="1" xfId="0" applyNumberFormat="1" applyFont="1" applyBorder="1" applyAlignment="1">
      <alignment horizontal="justify" vertical="top" wrapText="1"/>
    </xf>
    <xf numFmtId="1" fontId="100" fillId="0" borderId="1" xfId="0" applyNumberFormat="1" applyFont="1" applyBorder="1" applyAlignment="1">
      <alignment horizontal="center" vertical="top"/>
    </xf>
    <xf numFmtId="1" fontId="122" fillId="0" borderId="1" xfId="0" applyNumberFormat="1" applyFont="1" applyBorder="1" applyAlignment="1">
      <alignment horizontal="center" vertical="top"/>
    </xf>
    <xf numFmtId="2" fontId="100" fillId="0" borderId="1" xfId="0" applyNumberFormat="1" applyFont="1" applyBorder="1" applyAlignment="1">
      <alignment vertical="top"/>
    </xf>
    <xf numFmtId="2" fontId="96" fillId="0" borderId="1" xfId="187" applyNumberFormat="1" applyFont="1" applyBorder="1" applyAlignment="1">
      <alignment horizontal="center" vertical="top" shrinkToFit="1"/>
    </xf>
    <xf numFmtId="0" fontId="96" fillId="0" borderId="0" xfId="187" applyFont="1" applyAlignment="1">
      <alignment horizontal="center" vertical="top" shrinkToFit="1"/>
    </xf>
    <xf numFmtId="2" fontId="122" fillId="0" borderId="0" xfId="0" applyNumberFormat="1" applyFont="1" applyAlignment="1">
      <alignment vertical="top"/>
    </xf>
    <xf numFmtId="2" fontId="100" fillId="0" borderId="0" xfId="0" applyNumberFormat="1" applyFont="1" applyAlignment="1">
      <alignment vertical="top"/>
    </xf>
    <xf numFmtId="2" fontId="136" fillId="0" borderId="0" xfId="0" applyNumberFormat="1" applyFont="1" applyAlignment="1">
      <alignment vertical="top"/>
    </xf>
    <xf numFmtId="184" fontId="122" fillId="0" borderId="1" xfId="0" applyNumberFormat="1" applyFont="1" applyBorder="1" applyAlignment="1">
      <alignment horizontal="center" vertical="top"/>
    </xf>
    <xf numFmtId="0" fontId="122" fillId="0" borderId="1" xfId="0" applyFont="1" applyBorder="1" applyAlignment="1">
      <alignment vertical="top"/>
    </xf>
    <xf numFmtId="0" fontId="100" fillId="0" borderId="1" xfId="0" applyFont="1" applyBorder="1" applyAlignment="1">
      <alignment vertical="top"/>
    </xf>
    <xf numFmtId="1" fontId="136" fillId="0" borderId="1" xfId="0" applyNumberFormat="1" applyFont="1" applyBorder="1" applyAlignment="1">
      <alignment horizontal="center" vertical="top"/>
    </xf>
    <xf numFmtId="2" fontId="136" fillId="0" borderId="1" xfId="0" applyNumberFormat="1" applyFont="1" applyBorder="1" applyAlignment="1">
      <alignment horizontal="center" vertical="top"/>
    </xf>
    <xf numFmtId="2" fontId="122" fillId="0" borderId="1" xfId="0" applyNumberFormat="1" applyFont="1" applyBorder="1" applyAlignment="1">
      <alignment vertical="top"/>
    </xf>
    <xf numFmtId="2" fontId="122" fillId="0" borderId="1" xfId="0" applyNumberFormat="1" applyFont="1" applyBorder="1" applyAlignment="1">
      <alignment horizontal="center" vertical="top"/>
    </xf>
    <xf numFmtId="2" fontId="122" fillId="0" borderId="1" xfId="0" applyNumberFormat="1" applyFont="1" applyBorder="1" applyAlignment="1">
      <alignment horizontal="right" vertical="top" wrapText="1"/>
    </xf>
    <xf numFmtId="0" fontId="100" fillId="0" borderId="0" xfId="0" applyFont="1" applyAlignment="1">
      <alignment horizontal="center" vertical="top" wrapText="1"/>
    </xf>
    <xf numFmtId="0" fontId="96" fillId="0" borderId="0" xfId="0" applyFont="1" applyAlignment="1">
      <alignment horizontal="center" vertical="top" wrapText="1"/>
    </xf>
    <xf numFmtId="2" fontId="100" fillId="0" borderId="0" xfId="0" applyNumberFormat="1" applyFont="1" applyAlignment="1">
      <alignment horizontal="center" vertical="top" wrapText="1"/>
    </xf>
    <xf numFmtId="2" fontId="140" fillId="0" borderId="46" xfId="0" applyNumberFormat="1" applyFont="1" applyBorder="1" applyAlignment="1">
      <alignment vertical="top"/>
    </xf>
    <xf numFmtId="0" fontId="140" fillId="0" borderId="47" xfId="0" applyFont="1" applyBorder="1" applyAlignment="1">
      <alignment horizontal="center" vertical="top"/>
    </xf>
    <xf numFmtId="2" fontId="140" fillId="3" borderId="47" xfId="0" applyNumberFormat="1" applyFont="1" applyFill="1" applyBorder="1" applyAlignment="1">
      <alignment horizontal="center" vertical="top"/>
    </xf>
    <xf numFmtId="2" fontId="140" fillId="0" borderId="1" xfId="0" applyNumberFormat="1" applyFont="1" applyBorder="1" applyAlignment="1">
      <alignment vertical="top"/>
    </xf>
    <xf numFmtId="2" fontId="140" fillId="3" borderId="1" xfId="0" applyNumberFormat="1" applyFont="1" applyFill="1" applyBorder="1" applyAlignment="1">
      <alignment vertical="top"/>
    </xf>
    <xf numFmtId="0" fontId="100" fillId="0" borderId="0" xfId="0" applyFont="1" applyAlignment="1">
      <alignment horizontal="justify" vertical="top" wrapText="1"/>
    </xf>
    <xf numFmtId="0" fontId="95" fillId="0" borderId="0" xfId="908" applyFont="1" applyAlignment="1">
      <alignment vertical="top"/>
    </xf>
    <xf numFmtId="0" fontId="96" fillId="0" borderId="0" xfId="0" applyFont="1" applyAlignment="1">
      <alignment vertical="top" wrapText="1"/>
    </xf>
    <xf numFmtId="0" fontId="6" fillId="0" borderId="0" xfId="206" applyAlignment="1">
      <alignment horizontal="center" vertical="center" wrapText="1"/>
    </xf>
    <xf numFmtId="0" fontId="6" fillId="10" borderId="0" xfId="206" applyFill="1" applyAlignment="1">
      <alignment vertical="center" wrapText="1"/>
    </xf>
    <xf numFmtId="0" fontId="6" fillId="0" borderId="0" xfId="206" applyAlignment="1">
      <alignment horizontal="center" wrapText="1"/>
    </xf>
    <xf numFmtId="0" fontId="105" fillId="0" borderId="0" xfId="206" applyFont="1" applyAlignment="1">
      <alignment horizontal="center" vertical="center" wrapText="1"/>
    </xf>
    <xf numFmtId="0" fontId="6" fillId="0" borderId="0" xfId="206" applyAlignment="1">
      <alignment vertical="center" wrapText="1"/>
    </xf>
    <xf numFmtId="2" fontId="6" fillId="0" borderId="0" xfId="206" applyNumberFormat="1" applyAlignment="1">
      <alignment horizontal="center" vertical="center" wrapText="1"/>
    </xf>
    <xf numFmtId="2" fontId="141" fillId="0" borderId="0" xfId="206" applyNumberFormat="1" applyFont="1" applyAlignment="1">
      <alignment horizontal="center" vertical="center" wrapText="1"/>
    </xf>
    <xf numFmtId="2" fontId="6" fillId="0" borderId="0" xfId="206" applyNumberFormat="1" applyAlignment="1">
      <alignment horizontal="right" vertical="center" wrapText="1"/>
    </xf>
    <xf numFmtId="0" fontId="143" fillId="0" borderId="1" xfId="206" applyFont="1" applyBorder="1" applyAlignment="1">
      <alignment horizontal="center" vertical="center" wrapText="1"/>
    </xf>
    <xf numFmtId="2" fontId="144" fillId="0" borderId="1" xfId="206" applyNumberFormat="1" applyFont="1" applyBorder="1" applyAlignment="1">
      <alignment horizontal="center" vertical="center" wrapText="1"/>
    </xf>
    <xf numFmtId="0" fontId="6" fillId="0" borderId="1" xfId="206" applyBorder="1" applyAlignment="1">
      <alignment vertical="center" wrapText="1"/>
    </xf>
    <xf numFmtId="0" fontId="6" fillId="0" borderId="1" xfId="206" applyBorder="1"/>
    <xf numFmtId="0" fontId="144" fillId="0" borderId="1" xfId="206" applyFont="1" applyBorder="1" applyAlignment="1">
      <alignment horizontal="center" vertical="center" wrapText="1"/>
    </xf>
    <xf numFmtId="0" fontId="145" fillId="0" borderId="1" xfId="206" applyFont="1" applyBorder="1" applyAlignment="1">
      <alignment horizontal="center" vertical="center" wrapText="1"/>
    </xf>
    <xf numFmtId="0" fontId="105" fillId="0" borderId="1" xfId="206" applyFont="1" applyBorder="1"/>
    <xf numFmtId="2" fontId="146" fillId="0" borderId="1" xfId="206" applyNumberFormat="1" applyFont="1" applyBorder="1"/>
    <xf numFmtId="0" fontId="103" fillId="0" borderId="1" xfId="206" applyFont="1" applyBorder="1"/>
    <xf numFmtId="1" fontId="148" fillId="0" borderId="1" xfId="206" applyNumberFormat="1" applyFont="1" applyBorder="1"/>
    <xf numFmtId="0" fontId="105" fillId="0" borderId="1" xfId="206" applyFont="1" applyBorder="1" applyAlignment="1">
      <alignment horizontal="center"/>
    </xf>
    <xf numFmtId="1" fontId="146" fillId="0" borderId="1" xfId="206" applyNumberFormat="1" applyFont="1" applyBorder="1"/>
    <xf numFmtId="0" fontId="105" fillId="11" borderId="1" xfId="206" applyFont="1" applyFill="1" applyBorder="1"/>
    <xf numFmtId="0" fontId="105" fillId="11" borderId="1" xfId="206" applyFont="1" applyFill="1" applyBorder="1" applyAlignment="1">
      <alignment horizontal="center" vertical="center" wrapText="1"/>
    </xf>
    <xf numFmtId="0" fontId="6" fillId="11" borderId="1" xfId="206" applyFill="1" applyBorder="1" applyAlignment="1">
      <alignment horizontal="center" vertical="center" wrapText="1"/>
    </xf>
    <xf numFmtId="1" fontId="6" fillId="11" borderId="1" xfId="206" applyNumberFormat="1" applyFill="1" applyBorder="1" applyAlignment="1">
      <alignment horizontal="center" vertical="center" wrapText="1"/>
    </xf>
    <xf numFmtId="0" fontId="105" fillId="0" borderId="1" xfId="206" applyFont="1" applyBorder="1" applyAlignment="1">
      <alignment horizontal="center" vertical="center" wrapText="1"/>
    </xf>
    <xf numFmtId="0" fontId="143" fillId="0" borderId="1" xfId="206" applyFont="1" applyBorder="1" applyAlignment="1">
      <alignment horizontal="left" vertical="center" wrapText="1"/>
    </xf>
    <xf numFmtId="2" fontId="6" fillId="0" borderId="1" xfId="206" applyNumberFormat="1" applyBorder="1" applyAlignment="1">
      <alignment horizontal="center" vertical="center" wrapText="1"/>
    </xf>
    <xf numFmtId="0" fontId="143" fillId="0" borderId="1" xfId="206" applyFont="1" applyBorder="1" applyAlignment="1">
      <alignment vertical="center" wrapText="1"/>
    </xf>
    <xf numFmtId="0" fontId="6" fillId="0" borderId="1" xfId="206" applyBorder="1" applyAlignment="1">
      <alignment horizontal="center" vertical="center" wrapText="1"/>
    </xf>
    <xf numFmtId="1" fontId="6" fillId="0" borderId="1" xfId="206" applyNumberFormat="1" applyBorder="1" applyAlignment="1">
      <alignment horizontal="center" vertical="center" wrapText="1"/>
    </xf>
    <xf numFmtId="171" fontId="6" fillId="0" borderId="1" xfId="206" applyNumberFormat="1" applyBorder="1" applyAlignment="1">
      <alignment horizontal="center" vertical="center" wrapText="1"/>
    </xf>
    <xf numFmtId="0" fontId="0" fillId="0" borderId="1" xfId="206" applyFont="1" applyBorder="1" applyAlignment="1">
      <alignment horizontal="center" vertical="center" wrapText="1"/>
    </xf>
    <xf numFmtId="184" fontId="6" fillId="0" borderId="1" xfId="206" applyNumberFormat="1" applyBorder="1" applyAlignment="1">
      <alignment horizontal="center" vertical="center" wrapText="1"/>
    </xf>
    <xf numFmtId="0" fontId="149" fillId="0" borderId="1" xfId="206" applyFont="1" applyBorder="1" applyAlignment="1">
      <alignment horizontal="left" vertical="top" wrapText="1"/>
    </xf>
    <xf numFmtId="0" fontId="150" fillId="0" borderId="1" xfId="206" applyFont="1" applyBorder="1" applyAlignment="1">
      <alignment vertical="center" wrapText="1"/>
    </xf>
    <xf numFmtId="0" fontId="105" fillId="0" borderId="1" xfId="206" applyFont="1" applyBorder="1" applyAlignment="1">
      <alignment vertical="center" wrapText="1"/>
    </xf>
    <xf numFmtId="171" fontId="149" fillId="6" borderId="1" xfId="206" applyNumberFormat="1" applyFont="1" applyFill="1" applyBorder="1" applyAlignment="1">
      <alignment horizontal="center" vertical="center" wrapText="1"/>
    </xf>
    <xf numFmtId="171" fontId="149" fillId="0" borderId="1" xfId="206" applyNumberFormat="1" applyFont="1" applyBorder="1" applyAlignment="1">
      <alignment horizontal="center" vertical="center" wrapText="1"/>
    </xf>
    <xf numFmtId="0" fontId="105" fillId="10" borderId="1" xfId="206" applyFont="1" applyFill="1" applyBorder="1" applyAlignment="1">
      <alignment horizontal="center" vertical="center" wrapText="1"/>
    </xf>
    <xf numFmtId="0" fontId="13" fillId="10" borderId="1" xfId="206" applyFont="1" applyFill="1" applyBorder="1" applyAlignment="1">
      <alignment vertical="center" wrapText="1"/>
    </xf>
    <xf numFmtId="0" fontId="143" fillId="10" borderId="1" xfId="206" applyFont="1" applyFill="1" applyBorder="1" applyAlignment="1">
      <alignment horizontal="center" vertical="center" wrapText="1"/>
    </xf>
    <xf numFmtId="0" fontId="6" fillId="10" borderId="1" xfId="206" applyFill="1" applyBorder="1" applyAlignment="1">
      <alignment horizontal="center" vertical="center" wrapText="1"/>
    </xf>
    <xf numFmtId="171" fontId="104" fillId="10" borderId="1" xfId="206" applyNumberFormat="1" applyFont="1" applyFill="1" applyBorder="1" applyAlignment="1">
      <alignment horizontal="center" vertical="center" wrapText="1"/>
    </xf>
    <xf numFmtId="0" fontId="13" fillId="0" borderId="1" xfId="206" applyFont="1" applyBorder="1" applyAlignment="1">
      <alignment horizontal="left" vertical="center" wrapText="1"/>
    </xf>
    <xf numFmtId="2" fontId="151" fillId="0" borderId="1" xfId="206" applyNumberFormat="1" applyFont="1" applyBorder="1" applyAlignment="1">
      <alignment horizontal="center" vertical="center" wrapText="1"/>
    </xf>
    <xf numFmtId="0" fontId="103" fillId="10" borderId="1" xfId="206" applyFont="1" applyFill="1" applyBorder="1" applyAlignment="1">
      <alignment horizontal="center" vertical="center" wrapText="1"/>
    </xf>
    <xf numFmtId="2" fontId="104" fillId="6" borderId="1" xfId="206" applyNumberFormat="1" applyFont="1" applyFill="1" applyBorder="1" applyAlignment="1">
      <alignment horizontal="center" vertical="center" wrapText="1"/>
    </xf>
    <xf numFmtId="0" fontId="152" fillId="0" borderId="1" xfId="206" applyFont="1" applyBorder="1" applyAlignment="1">
      <alignment horizontal="left" vertical="center" wrapText="1"/>
    </xf>
    <xf numFmtId="0" fontId="104" fillId="0" borderId="1" xfId="206" applyFont="1" applyBorder="1" applyAlignment="1">
      <alignment horizontal="center" vertical="center" wrapText="1"/>
    </xf>
    <xf numFmtId="0" fontId="152" fillId="0" borderId="1" xfId="206" applyFont="1" applyBorder="1" applyAlignment="1">
      <alignment horizontal="center" vertical="center" wrapText="1"/>
    </xf>
    <xf numFmtId="0" fontId="6" fillId="0" borderId="1" xfId="206" applyBorder="1" applyAlignment="1">
      <alignment horizontal="left" vertical="center" wrapText="1"/>
    </xf>
    <xf numFmtId="0" fontId="149" fillId="0" borderId="0" xfId="206" applyFont="1" applyAlignment="1">
      <alignment vertical="center" wrapText="1"/>
    </xf>
    <xf numFmtId="0" fontId="153" fillId="0" borderId="1" xfId="206" applyFont="1" applyBorder="1" applyAlignment="1">
      <alignment horizontal="center" vertical="center" wrapText="1"/>
    </xf>
    <xf numFmtId="0" fontId="154" fillId="0" borderId="1" xfId="206" applyFont="1" applyBorder="1" applyAlignment="1">
      <alignment horizontal="center" vertical="center" wrapText="1"/>
    </xf>
    <xf numFmtId="2" fontId="155" fillId="0" borderId="1" xfId="206" applyNumberFormat="1" applyFont="1" applyBorder="1" applyAlignment="1">
      <alignment horizontal="center" vertical="center" wrapText="1"/>
    </xf>
    <xf numFmtId="2" fontId="156" fillId="0" borderId="1" xfId="206" applyNumberFormat="1" applyFont="1" applyBorder="1" applyAlignment="1">
      <alignment horizontal="right" vertical="center" wrapText="1"/>
    </xf>
    <xf numFmtId="0" fontId="149" fillId="0" borderId="9" xfId="206" applyFont="1" applyBorder="1" applyAlignment="1">
      <alignment vertical="center" wrapText="1"/>
    </xf>
    <xf numFmtId="2" fontId="155" fillId="10" borderId="1" xfId="206" applyNumberFormat="1" applyFont="1" applyFill="1" applyBorder="1" applyAlignment="1">
      <alignment horizontal="center" vertical="center" wrapText="1"/>
    </xf>
    <xf numFmtId="2" fontId="157" fillId="3" borderId="1" xfId="206" applyNumberFormat="1" applyFont="1" applyFill="1" applyBorder="1" applyAlignment="1">
      <alignment horizontal="right" vertical="center" wrapText="1"/>
    </xf>
    <xf numFmtId="0" fontId="105" fillId="0" borderId="1" xfId="206" applyFont="1" applyBorder="1" applyAlignment="1">
      <alignment horizontal="left"/>
    </xf>
    <xf numFmtId="0" fontId="143" fillId="10" borderId="1" xfId="206" applyFont="1" applyFill="1" applyBorder="1" applyAlignment="1">
      <alignment horizontal="center" vertical="top" wrapText="1"/>
    </xf>
    <xf numFmtId="0" fontId="6" fillId="0" borderId="1" xfId="206" applyBorder="1" applyAlignment="1">
      <alignment horizontal="center" vertical="top" wrapText="1"/>
    </xf>
    <xf numFmtId="2" fontId="6" fillId="3" borderId="1" xfId="206" applyNumberFormat="1" applyFill="1" applyBorder="1" applyAlignment="1">
      <alignment horizontal="center" vertical="top" wrapText="1"/>
    </xf>
    <xf numFmtId="191" fontId="146" fillId="6" borderId="1" xfId="206" applyNumberFormat="1" applyFont="1" applyFill="1" applyBorder="1" applyAlignment="1">
      <alignment horizontal="center" vertical="top" wrapText="1"/>
    </xf>
    <xf numFmtId="2" fontId="108" fillId="0" borderId="1" xfId="206" applyNumberFormat="1" applyFont="1" applyBorder="1" applyAlignment="1">
      <alignment horizontal="center"/>
    </xf>
    <xf numFmtId="1" fontId="158" fillId="0" borderId="1" xfId="206" applyNumberFormat="1" applyFont="1" applyBorder="1" applyAlignment="1">
      <alignment horizontal="center"/>
    </xf>
    <xf numFmtId="2" fontId="6" fillId="0" borderId="1" xfId="206" applyNumberFormat="1" applyBorder="1" applyAlignment="1">
      <alignment horizontal="center" vertical="top" wrapText="1"/>
    </xf>
    <xf numFmtId="1" fontId="108" fillId="0" borderId="1" xfId="206" applyNumberFormat="1" applyFont="1" applyBorder="1" applyAlignment="1">
      <alignment horizontal="center"/>
    </xf>
    <xf numFmtId="2" fontId="160" fillId="11" borderId="1" xfId="206" applyNumberFormat="1" applyFont="1" applyFill="1" applyBorder="1" applyAlignment="1">
      <alignment horizontal="center" vertical="center" wrapText="1"/>
    </xf>
    <xf numFmtId="2" fontId="143" fillId="11" borderId="1" xfId="206" applyNumberFormat="1" applyFont="1" applyFill="1" applyBorder="1" applyAlignment="1">
      <alignment horizontal="right" vertical="center" wrapText="1"/>
    </xf>
    <xf numFmtId="1" fontId="6" fillId="11" borderId="1" xfId="206" applyNumberFormat="1" applyFill="1" applyBorder="1" applyAlignment="1">
      <alignment horizontal="right" vertical="center" wrapText="1"/>
    </xf>
    <xf numFmtId="2" fontId="141" fillId="0" borderId="1" xfId="206" applyNumberFormat="1" applyFont="1" applyBorder="1" applyAlignment="1">
      <alignment horizontal="center" vertical="center" wrapText="1"/>
    </xf>
    <xf numFmtId="2" fontId="6" fillId="0" borderId="1" xfId="206" applyNumberFormat="1" applyBorder="1" applyAlignment="1">
      <alignment horizontal="right" vertical="center" wrapText="1"/>
    </xf>
    <xf numFmtId="0" fontId="103" fillId="0" borderId="5" xfId="206" applyFont="1" applyBorder="1" applyAlignment="1">
      <alignment horizontal="right" vertical="center" wrapText="1"/>
    </xf>
    <xf numFmtId="0" fontId="105" fillId="0" borderId="2" xfId="206" applyFont="1" applyBorder="1" applyAlignment="1">
      <alignment horizontal="center" vertical="center" wrapText="1"/>
    </xf>
    <xf numFmtId="2" fontId="141" fillId="12" borderId="1" xfId="206" applyNumberFormat="1" applyFont="1" applyFill="1" applyBorder="1" applyAlignment="1">
      <alignment horizontal="center" vertical="center" wrapText="1"/>
    </xf>
    <xf numFmtId="2" fontId="103" fillId="0" borderId="1" xfId="206" applyNumberFormat="1" applyFont="1" applyBorder="1" applyAlignment="1">
      <alignment horizontal="center" vertical="center" wrapText="1"/>
    </xf>
    <xf numFmtId="0" fontId="103" fillId="0" borderId="1" xfId="206" applyFont="1" applyBorder="1" applyAlignment="1">
      <alignment horizontal="center" vertical="center" wrapText="1"/>
    </xf>
    <xf numFmtId="2" fontId="161" fillId="12" borderId="1" xfId="206" applyNumberFormat="1" applyFont="1" applyFill="1" applyBorder="1" applyAlignment="1">
      <alignment horizontal="center" vertical="center" wrapText="1"/>
    </xf>
    <xf numFmtId="2" fontId="6" fillId="0" borderId="1" xfId="206" applyNumberFormat="1" applyBorder="1" applyAlignment="1">
      <alignment horizontal="center" vertical="center"/>
    </xf>
    <xf numFmtId="0" fontId="6" fillId="0" borderId="1" xfId="206" applyBorder="1" applyAlignment="1">
      <alignment horizontal="center" vertical="center"/>
    </xf>
    <xf numFmtId="2" fontId="6" fillId="0" borderId="1" xfId="206" applyNumberFormat="1" applyBorder="1" applyAlignment="1">
      <alignment horizontal="right" vertical="center"/>
    </xf>
    <xf numFmtId="2" fontId="161" fillId="0" borderId="1" xfId="206" applyNumberFormat="1" applyFont="1" applyBorder="1" applyAlignment="1">
      <alignment horizontal="center" vertical="center" wrapText="1"/>
    </xf>
    <xf numFmtId="2" fontId="143" fillId="0" borderId="1" xfId="206" applyNumberFormat="1" applyFont="1" applyBorder="1" applyAlignment="1">
      <alignment horizontal="right" vertical="center" wrapText="1"/>
    </xf>
    <xf numFmtId="2" fontId="0" fillId="0" borderId="1" xfId="206" applyNumberFormat="1" applyFont="1" applyBorder="1" applyAlignment="1">
      <alignment horizontal="right" vertical="center" wrapText="1"/>
    </xf>
    <xf numFmtId="0" fontId="104" fillId="10" borderId="1" xfId="206" applyFont="1" applyFill="1" applyBorder="1" applyAlignment="1">
      <alignment horizontal="center" vertical="center" wrapText="1"/>
    </xf>
    <xf numFmtId="2" fontId="141" fillId="10" borderId="1" xfId="206" applyNumberFormat="1" applyFont="1" applyFill="1" applyBorder="1" applyAlignment="1">
      <alignment horizontal="center" vertical="center" wrapText="1"/>
    </xf>
    <xf numFmtId="0" fontId="162" fillId="0" borderId="0" xfId="206" applyFont="1" applyAlignment="1">
      <alignment horizontal="center" vertical="center" wrapText="1"/>
    </xf>
    <xf numFmtId="184" fontId="105" fillId="0" borderId="0" xfId="206" applyNumberFormat="1" applyFont="1" applyAlignment="1">
      <alignment horizontal="center" vertical="center" wrapText="1"/>
    </xf>
    <xf numFmtId="0" fontId="105" fillId="0" borderId="0" xfId="206" applyFont="1" applyAlignment="1">
      <alignment horizontal="right" vertical="center"/>
    </xf>
    <xf numFmtId="0" fontId="105" fillId="0" borderId="47" xfId="206" applyFont="1" applyBorder="1" applyAlignment="1">
      <alignment horizontal="center" vertical="center" wrapText="1"/>
    </xf>
    <xf numFmtId="2" fontId="105" fillId="0" borderId="0" xfId="206" applyNumberFormat="1" applyFont="1" applyAlignment="1">
      <alignment horizontal="center" vertical="center" wrapText="1"/>
    </xf>
    <xf numFmtId="1" fontId="105" fillId="0" borderId="47" xfId="206" applyNumberFormat="1" applyFont="1" applyBorder="1" applyAlignment="1">
      <alignment horizontal="center" vertical="center" wrapText="1"/>
    </xf>
    <xf numFmtId="0" fontId="105" fillId="0" borderId="1" xfId="206" applyFont="1" applyBorder="1" applyAlignment="1">
      <alignment horizontal="left" vertical="center" wrapText="1"/>
    </xf>
    <xf numFmtId="171" fontId="13" fillId="0" borderId="1" xfId="206" applyNumberFormat="1" applyFont="1" applyBorder="1" applyAlignment="1">
      <alignment horizontal="center" vertical="center" wrapText="1"/>
    </xf>
    <xf numFmtId="2" fontId="0" fillId="0" borderId="1" xfId="206" applyNumberFormat="1" applyFont="1" applyBorder="1" applyAlignment="1">
      <alignment horizontal="center" vertical="center" wrapText="1"/>
    </xf>
    <xf numFmtId="2" fontId="165" fillId="0" borderId="1" xfId="206" applyNumberFormat="1" applyFont="1" applyBorder="1" applyAlignment="1">
      <alignment horizontal="center" vertical="center" wrapText="1"/>
    </xf>
    <xf numFmtId="2" fontId="150" fillId="0" borderId="1" xfId="206" applyNumberFormat="1" applyFont="1" applyBorder="1" applyAlignment="1">
      <alignment horizontal="right" vertical="center" wrapText="1"/>
    </xf>
    <xf numFmtId="2" fontId="103" fillId="0" borderId="1" xfId="206" applyNumberFormat="1" applyFont="1" applyBorder="1" applyAlignment="1">
      <alignment horizontal="center" wrapText="1"/>
    </xf>
    <xf numFmtId="0" fontId="103" fillId="0" borderId="0" xfId="206" applyFont="1" applyAlignment="1">
      <alignment horizontal="center" vertical="center" wrapText="1"/>
    </xf>
    <xf numFmtId="0" fontId="7" fillId="0" borderId="0" xfId="2062" applyFont="1" applyAlignment="1">
      <alignment vertical="top"/>
    </xf>
    <xf numFmtId="0" fontId="6" fillId="0" borderId="0" xfId="2062" applyAlignment="1">
      <alignment vertical="top"/>
    </xf>
    <xf numFmtId="0" fontId="6" fillId="0" borderId="1" xfId="2062" applyBorder="1" applyAlignment="1">
      <alignment horizontal="center" vertical="top"/>
    </xf>
    <xf numFmtId="0" fontId="7" fillId="0" borderId="1" xfId="2062" applyFont="1" applyBorder="1" applyAlignment="1">
      <alignment horizontal="center" vertical="top"/>
    </xf>
    <xf numFmtId="204" fontId="167" fillId="0" borderId="1" xfId="2062" applyNumberFormat="1" applyFont="1" applyBorder="1" applyAlignment="1">
      <alignment horizontal="center" vertical="top"/>
    </xf>
    <xf numFmtId="193" fontId="39" fillId="6" borderId="1" xfId="2062" applyNumberFormat="1" applyFont="1" applyFill="1" applyBorder="1" applyAlignment="1">
      <alignment horizontal="center" vertical="top"/>
    </xf>
    <xf numFmtId="193" fontId="167" fillId="0" borderId="1" xfId="2062" applyNumberFormat="1" applyFont="1" applyBorder="1" applyAlignment="1">
      <alignment horizontal="center" vertical="top"/>
    </xf>
    <xf numFmtId="0" fontId="37" fillId="0" borderId="1" xfId="2062" applyFont="1" applyBorder="1" applyAlignment="1">
      <alignment vertical="top" wrapText="1"/>
    </xf>
    <xf numFmtId="0" fontId="6" fillId="0" borderId="1" xfId="2062" applyBorder="1" applyAlignment="1">
      <alignment vertical="top"/>
    </xf>
    <xf numFmtId="2" fontId="143" fillId="0" borderId="1" xfId="1822" applyNumberFormat="1" applyFont="1" applyBorder="1" applyAlignment="1">
      <alignment vertical="top" wrapText="1"/>
    </xf>
    <xf numFmtId="166" fontId="168" fillId="0" borderId="1" xfId="2062" applyNumberFormat="1" applyFont="1" applyBorder="1" applyAlignment="1">
      <alignment horizontal="center" vertical="top"/>
    </xf>
    <xf numFmtId="187" fontId="167" fillId="0" borderId="1" xfId="2062" applyNumberFormat="1" applyFont="1" applyBorder="1" applyAlignment="1">
      <alignment horizontal="center" vertical="top"/>
    </xf>
    <xf numFmtId="0" fontId="0" fillId="0" borderId="1" xfId="2062" applyFont="1" applyBorder="1" applyAlignment="1">
      <alignment horizontal="center" vertical="top"/>
    </xf>
    <xf numFmtId="0" fontId="0" fillId="0" borderId="1" xfId="2062" applyFont="1" applyBorder="1" applyAlignment="1">
      <alignment horizontal="center" vertical="top" wrapText="1"/>
    </xf>
    <xf numFmtId="0" fontId="167" fillId="0" borderId="0" xfId="2062" applyFont="1" applyAlignment="1">
      <alignment horizontal="center" vertical="top"/>
    </xf>
    <xf numFmtId="2" fontId="6" fillId="0" borderId="1" xfId="2062" applyNumberFormat="1" applyBorder="1" applyAlignment="1">
      <alignment horizontal="center" vertical="top"/>
    </xf>
    <xf numFmtId="10" fontId="0" fillId="0" borderId="1" xfId="2928" applyNumberFormat="1" applyFont="1" applyBorder="1" applyAlignment="1">
      <alignment horizontal="center" vertical="top"/>
    </xf>
    <xf numFmtId="1" fontId="6" fillId="0" borderId="1" xfId="2062" applyNumberFormat="1" applyBorder="1" applyAlignment="1">
      <alignment horizontal="center" vertical="top"/>
    </xf>
    <xf numFmtId="2" fontId="17" fillId="0" borderId="5" xfId="2062" applyNumberFormat="1" applyFont="1" applyBorder="1" applyAlignment="1">
      <alignment vertical="top"/>
    </xf>
    <xf numFmtId="2" fontId="6" fillId="0" borderId="0" xfId="2062" applyNumberFormat="1" applyAlignment="1">
      <alignment vertical="top"/>
    </xf>
    <xf numFmtId="0" fontId="7" fillId="0" borderId="1" xfId="2062" applyFont="1" applyBorder="1" applyAlignment="1">
      <alignment horizontal="right" vertical="top" wrapText="1"/>
    </xf>
    <xf numFmtId="2" fontId="7" fillId="0" borderId="1" xfId="2062" applyNumberFormat="1" applyFont="1" applyBorder="1" applyAlignment="1">
      <alignment horizontal="center" vertical="top"/>
    </xf>
    <xf numFmtId="10" fontId="7" fillId="0" borderId="1" xfId="2930" applyNumberFormat="1" applyFont="1" applyBorder="1" applyAlignment="1">
      <alignment horizontal="center" vertical="top"/>
    </xf>
    <xf numFmtId="2" fontId="167" fillId="0" borderId="1" xfId="2062" applyNumberFormat="1" applyFont="1" applyBorder="1" applyAlignment="1">
      <alignment horizontal="center" vertical="top"/>
    </xf>
    <xf numFmtId="2" fontId="17" fillId="0" borderId="1" xfId="2062" applyNumberFormat="1" applyFont="1" applyBorder="1" applyAlignment="1">
      <alignment horizontal="center" vertical="top"/>
    </xf>
    <xf numFmtId="10" fontId="0" fillId="0" borderId="5" xfId="2928" applyNumberFormat="1" applyFont="1" applyBorder="1" applyAlignment="1">
      <alignment horizontal="center" vertical="top"/>
    </xf>
    <xf numFmtId="0" fontId="7" fillId="0" borderId="1" xfId="2062" applyFont="1" applyBorder="1" applyAlignment="1">
      <alignment vertical="top"/>
    </xf>
    <xf numFmtId="0" fontId="169" fillId="0" borderId="1" xfId="2062" applyFont="1" applyBorder="1" applyAlignment="1">
      <alignment vertical="top"/>
    </xf>
    <xf numFmtId="0" fontId="0" fillId="0" borderId="1" xfId="2062" applyFont="1" applyBorder="1" applyAlignment="1">
      <alignment vertical="top"/>
    </xf>
    <xf numFmtId="10" fontId="7" fillId="0" borderId="0" xfId="2930" applyNumberFormat="1" applyFont="1" applyAlignment="1">
      <alignment vertical="top"/>
    </xf>
    <xf numFmtId="10" fontId="6" fillId="0" borderId="0" xfId="2062" applyNumberFormat="1" applyAlignment="1">
      <alignment vertical="top"/>
    </xf>
    <xf numFmtId="0" fontId="93" fillId="0" borderId="0" xfId="2192" applyFont="1" applyAlignment="1">
      <alignment horizontal="center" vertical="center" wrapText="1"/>
    </xf>
    <xf numFmtId="0" fontId="93" fillId="0" borderId="0" xfId="2192" applyFont="1" applyAlignment="1">
      <alignment vertical="center" wrapText="1"/>
    </xf>
    <xf numFmtId="2" fontId="93" fillId="0" borderId="0" xfId="2450" applyNumberFormat="1" applyFont="1" applyAlignment="1">
      <alignment horizontal="justify" vertical="center"/>
    </xf>
    <xf numFmtId="2" fontId="94" fillId="0" borderId="0" xfId="2450" applyNumberFormat="1" applyFont="1" applyAlignment="1">
      <alignment horizontal="justify" vertical="center"/>
    </xf>
    <xf numFmtId="0" fontId="93" fillId="0" borderId="1" xfId="0" applyFont="1" applyBorder="1" applyAlignment="1">
      <alignment horizontal="center" vertical="top" wrapText="1"/>
    </xf>
    <xf numFmtId="0" fontId="93" fillId="4" borderId="1" xfId="0" applyFont="1" applyFill="1" applyBorder="1" applyAlignment="1">
      <alignment horizontal="center" vertical="top"/>
    </xf>
    <xf numFmtId="0" fontId="93" fillId="4" borderId="1" xfId="0" applyFont="1" applyFill="1" applyBorder="1" applyAlignment="1">
      <alignment horizontal="justify" vertical="top" wrapText="1"/>
    </xf>
    <xf numFmtId="0" fontId="93" fillId="4" borderId="1" xfId="0" applyFont="1" applyFill="1" applyBorder="1" applyAlignment="1">
      <alignment horizontal="center" vertical="center"/>
    </xf>
    <xf numFmtId="0" fontId="93" fillId="4" borderId="1" xfId="0" applyFont="1" applyFill="1" applyBorder="1" applyAlignment="1">
      <alignment horizontal="center" vertical="center" wrapText="1"/>
    </xf>
    <xf numFmtId="0" fontId="93" fillId="4" borderId="1" xfId="2450" applyFont="1" applyFill="1" applyBorder="1" applyAlignment="1">
      <alignment horizontal="center" vertical="center" wrapText="1"/>
    </xf>
    <xf numFmtId="2" fontId="93" fillId="4" borderId="1" xfId="2450" applyNumberFormat="1" applyFont="1" applyFill="1" applyBorder="1" applyAlignment="1">
      <alignment horizontal="center" vertical="center" wrapText="1"/>
    </xf>
    <xf numFmtId="184" fontId="93" fillId="4" borderId="1" xfId="2450" applyNumberFormat="1" applyFont="1" applyFill="1" applyBorder="1" applyAlignment="1">
      <alignment horizontal="center" vertical="center" wrapText="1"/>
    </xf>
    <xf numFmtId="0" fontId="93" fillId="4" borderId="1" xfId="2450" applyFont="1" applyFill="1" applyBorder="1" applyAlignment="1">
      <alignment horizontal="center" vertical="center" shrinkToFit="1"/>
    </xf>
    <xf numFmtId="9" fontId="93" fillId="4" borderId="1" xfId="20" applyFont="1" applyFill="1" applyBorder="1" applyAlignment="1">
      <alignment horizontal="center" vertical="center" wrapText="1"/>
    </xf>
    <xf numFmtId="0" fontId="93" fillId="4" borderId="1" xfId="0" applyFont="1" applyFill="1" applyBorder="1" applyAlignment="1">
      <alignment vertical="center"/>
    </xf>
    <xf numFmtId="0" fontId="93" fillId="4" borderId="1" xfId="0" applyFont="1" applyFill="1" applyBorder="1" applyAlignment="1">
      <alignment vertical="top"/>
    </xf>
    <xf numFmtId="0" fontId="93" fillId="4" borderId="1" xfId="2450" applyFont="1" applyFill="1" applyBorder="1" applyAlignment="1">
      <alignment horizontal="center" wrapText="1"/>
    </xf>
    <xf numFmtId="1" fontId="93" fillId="4" borderId="1" xfId="0" applyNumberFormat="1" applyFont="1" applyFill="1" applyBorder="1" applyAlignment="1">
      <alignment horizontal="center" wrapText="1"/>
    </xf>
    <xf numFmtId="2" fontId="93" fillId="4" borderId="1" xfId="0" applyNumberFormat="1" applyFont="1" applyFill="1" applyBorder="1" applyAlignment="1">
      <alignment horizontal="center" vertical="center" wrapText="1"/>
    </xf>
    <xf numFmtId="184" fontId="93" fillId="4" borderId="1" xfId="0" applyNumberFormat="1" applyFont="1" applyFill="1" applyBorder="1" applyAlignment="1">
      <alignment horizontal="center" vertical="center" wrapText="1"/>
    </xf>
    <xf numFmtId="0" fontId="93" fillId="4" borderId="1" xfId="2450" applyFont="1" applyFill="1" applyBorder="1" applyAlignment="1">
      <alignment horizontal="center" shrinkToFit="1"/>
    </xf>
    <xf numFmtId="0" fontId="93" fillId="4" borderId="1" xfId="0" applyFont="1" applyFill="1" applyBorder="1" applyAlignment="1">
      <alignment horizontal="center" vertical="top" wrapText="1"/>
    </xf>
    <xf numFmtId="2" fontId="93" fillId="4" borderId="1" xfId="0" applyNumberFormat="1" applyFont="1" applyFill="1" applyBorder="1" applyAlignment="1">
      <alignment horizontal="center" wrapText="1"/>
    </xf>
    <xf numFmtId="184" fontId="93" fillId="4" borderId="1" xfId="0" applyNumberFormat="1" applyFont="1" applyFill="1" applyBorder="1" applyAlignment="1">
      <alignment horizontal="center" wrapText="1"/>
    </xf>
    <xf numFmtId="0" fontId="93" fillId="4" borderId="1" xfId="0" applyFont="1" applyFill="1" applyBorder="1"/>
    <xf numFmtId="0" fontId="93" fillId="4" borderId="1" xfId="0" applyFont="1" applyFill="1" applyBorder="1" applyAlignment="1">
      <alignment horizontal="left" wrapText="1"/>
    </xf>
    <xf numFmtId="0" fontId="93" fillId="4" borderId="1" xfId="0" applyFont="1" applyFill="1" applyBorder="1" applyAlignment="1">
      <alignment horizontal="center" wrapText="1"/>
    </xf>
    <xf numFmtId="0" fontId="93" fillId="4" borderId="1" xfId="0" applyFont="1" applyFill="1" applyBorder="1" applyAlignment="1">
      <alignment horizontal="center"/>
    </xf>
    <xf numFmtId="0" fontId="93" fillId="4" borderId="1" xfId="0" applyFont="1" applyFill="1" applyBorder="1" applyAlignment="1">
      <alignment horizontal="justify" vertical="center" wrapText="1"/>
    </xf>
    <xf numFmtId="1" fontId="93" fillId="4" borderId="1" xfId="0" applyNumberFormat="1" applyFont="1" applyFill="1" applyBorder="1" applyAlignment="1">
      <alignment horizontal="center" vertical="center" wrapText="1"/>
    </xf>
    <xf numFmtId="1" fontId="93" fillId="4" borderId="1" xfId="2450" applyNumberFormat="1" applyFont="1" applyFill="1" applyBorder="1" applyAlignment="1">
      <alignment horizontal="center" vertical="center"/>
    </xf>
    <xf numFmtId="1" fontId="93" fillId="4" borderId="1" xfId="2450" applyNumberFormat="1" applyFont="1" applyFill="1" applyBorder="1" applyAlignment="1">
      <alignment horizontal="center"/>
    </xf>
    <xf numFmtId="2" fontId="170" fillId="4" borderId="1" xfId="0" applyNumberFormat="1" applyFont="1" applyFill="1" applyBorder="1" applyAlignment="1">
      <alignment horizontal="center" wrapText="1"/>
    </xf>
    <xf numFmtId="2" fontId="93" fillId="4" borderId="1" xfId="2450" applyNumberFormat="1" applyFont="1" applyFill="1" applyBorder="1" applyAlignment="1">
      <alignment horizontal="center" wrapText="1"/>
    </xf>
    <xf numFmtId="184" fontId="93" fillId="4" borderId="1" xfId="2450" applyNumberFormat="1" applyFont="1" applyFill="1" applyBorder="1" applyAlignment="1">
      <alignment horizontal="center" wrapText="1"/>
    </xf>
    <xf numFmtId="0" fontId="94" fillId="4" borderId="1" xfId="0" applyFont="1" applyFill="1" applyBorder="1" applyAlignment="1">
      <alignment horizontal="center" vertical="center" wrapText="1"/>
    </xf>
    <xf numFmtId="2" fontId="94" fillId="4" borderId="1" xfId="0" applyNumberFormat="1" applyFont="1" applyFill="1" applyBorder="1" applyAlignment="1">
      <alignment horizontal="right" vertical="top"/>
    </xf>
    <xf numFmtId="2" fontId="93" fillId="4" borderId="1" xfId="2450" applyNumberFormat="1" applyFont="1" applyFill="1" applyBorder="1" applyAlignment="1">
      <alignment horizontal="right" vertical="center" wrapText="1"/>
    </xf>
    <xf numFmtId="2" fontId="94" fillId="4" borderId="1" xfId="0" applyNumberFormat="1" applyFont="1" applyFill="1" applyBorder="1" applyAlignment="1">
      <alignment horizontal="right" vertical="center"/>
    </xf>
    <xf numFmtId="2" fontId="94" fillId="4" borderId="1" xfId="0" applyNumberFormat="1" applyFont="1" applyFill="1" applyBorder="1" applyAlignment="1">
      <alignment horizontal="right" vertical="center" wrapText="1"/>
    </xf>
    <xf numFmtId="2" fontId="94" fillId="4" borderId="1" xfId="0" applyNumberFormat="1" applyFont="1" applyFill="1" applyBorder="1" applyAlignment="1">
      <alignment horizontal="center" vertical="center" wrapText="1"/>
    </xf>
    <xf numFmtId="2" fontId="93" fillId="4" borderId="1" xfId="2450" applyNumberFormat="1" applyFont="1" applyFill="1" applyBorder="1" applyAlignment="1">
      <alignment horizontal="right" wrapText="1"/>
    </xf>
    <xf numFmtId="184" fontId="171" fillId="4" borderId="1" xfId="0" applyNumberFormat="1" applyFont="1" applyFill="1" applyBorder="1" applyAlignment="1">
      <alignment horizontal="right" wrapText="1"/>
    </xf>
    <xf numFmtId="2" fontId="94" fillId="4" borderId="1" xfId="0" applyNumberFormat="1" applyFont="1" applyFill="1" applyBorder="1" applyAlignment="1">
      <alignment horizontal="center" wrapText="1"/>
    </xf>
    <xf numFmtId="2" fontId="94" fillId="4" borderId="1" xfId="0" applyNumberFormat="1" applyFont="1" applyFill="1" applyBorder="1" applyAlignment="1">
      <alignment horizontal="right"/>
    </xf>
    <xf numFmtId="0" fontId="93" fillId="4" borderId="1" xfId="518" applyFont="1" applyFill="1" applyBorder="1" applyAlignment="1">
      <alignment horizontal="left" vertical="center" wrapText="1"/>
    </xf>
    <xf numFmtId="2" fontId="93" fillId="4" borderId="1" xfId="518" applyNumberFormat="1" applyFont="1" applyFill="1" applyBorder="1" applyAlignment="1">
      <alignment vertical="center" wrapText="1"/>
    </xf>
    <xf numFmtId="0" fontId="170" fillId="4" borderId="1" xfId="518" applyFont="1" applyFill="1" applyBorder="1" applyAlignment="1">
      <alignment horizontal="left" vertical="center" wrapText="1"/>
    </xf>
    <xf numFmtId="0" fontId="93" fillId="4" borderId="1" xfId="518" applyFont="1" applyFill="1" applyBorder="1" applyAlignment="1">
      <alignment horizontal="left" wrapText="1"/>
    </xf>
    <xf numFmtId="0" fontId="93" fillId="4" borderId="1" xfId="518" applyFont="1" applyFill="1" applyBorder="1" applyAlignment="1">
      <alignment horizontal="center" wrapText="1"/>
    </xf>
    <xf numFmtId="2" fontId="93" fillId="4" borderId="1" xfId="518" applyNumberFormat="1" applyFont="1" applyFill="1" applyBorder="1" applyAlignment="1">
      <alignment wrapText="1"/>
    </xf>
    <xf numFmtId="2" fontId="94" fillId="4" borderId="1" xfId="0" applyNumberFormat="1" applyFont="1" applyFill="1" applyBorder="1" applyAlignment="1">
      <alignment horizontal="right" wrapText="1"/>
    </xf>
    <xf numFmtId="2" fontId="170" fillId="4" borderId="1" xfId="2450" applyNumberFormat="1" applyFont="1" applyFill="1" applyBorder="1" applyAlignment="1">
      <alignment horizontal="center" wrapText="1"/>
    </xf>
    <xf numFmtId="2" fontId="172" fillId="4" borderId="1" xfId="2450" applyNumberFormat="1" applyFont="1" applyFill="1" applyBorder="1" applyAlignment="1">
      <alignment horizontal="center" wrapText="1"/>
    </xf>
    <xf numFmtId="0" fontId="94" fillId="4" borderId="1" xfId="0" applyFont="1" applyFill="1" applyBorder="1" applyAlignment="1">
      <alignment horizontal="center" wrapText="1"/>
    </xf>
    <xf numFmtId="2" fontId="172" fillId="4" borderId="1" xfId="2450" applyNumberFormat="1" applyFont="1" applyFill="1" applyBorder="1" applyAlignment="1">
      <alignment horizontal="center" vertical="center" wrapText="1"/>
    </xf>
    <xf numFmtId="2" fontId="93" fillId="4" borderId="1" xfId="2450" applyNumberFormat="1" applyFont="1" applyFill="1" applyBorder="1" applyAlignment="1">
      <alignment horizontal="center" vertical="center" shrinkToFit="1"/>
    </xf>
    <xf numFmtId="0" fontId="93" fillId="0" borderId="0" xfId="2192" applyFont="1" applyAlignment="1">
      <alignment horizontal="center" vertical="center"/>
    </xf>
    <xf numFmtId="2" fontId="170" fillId="4" borderId="1" xfId="2450" applyNumberFormat="1" applyFont="1" applyFill="1" applyBorder="1" applyAlignment="1">
      <alignment horizontal="right" wrapText="1"/>
    </xf>
    <xf numFmtId="0" fontId="93" fillId="4" borderId="1" xfId="0" applyFont="1" applyFill="1" applyBorder="1" applyAlignment="1">
      <alignment horizontal="justify" wrapText="1"/>
    </xf>
    <xf numFmtId="0" fontId="93" fillId="4" borderId="1" xfId="2450" applyFont="1" applyFill="1" applyBorder="1" applyAlignment="1">
      <alignment horizontal="left" vertical="center" wrapText="1"/>
    </xf>
    <xf numFmtId="2" fontId="93" fillId="4" borderId="1" xfId="2450" applyNumberFormat="1" applyFont="1" applyFill="1" applyBorder="1" applyAlignment="1">
      <alignment horizontal="right" vertical="center"/>
    </xf>
    <xf numFmtId="2" fontId="94" fillId="0" borderId="1" xfId="0" applyNumberFormat="1" applyFont="1" applyBorder="1" applyAlignment="1">
      <alignment horizontal="right" vertical="center" wrapText="1"/>
    </xf>
    <xf numFmtId="2" fontId="94" fillId="0" borderId="1" xfId="0" applyNumberFormat="1" applyFont="1" applyBorder="1" applyAlignment="1">
      <alignment horizontal="center" vertical="center" wrapText="1"/>
    </xf>
    <xf numFmtId="0" fontId="7" fillId="0" borderId="0" xfId="2357" applyFont="1"/>
    <xf numFmtId="0" fontId="173" fillId="0" borderId="0" xfId="2357" applyFont="1"/>
    <xf numFmtId="0" fontId="6" fillId="0" borderId="0" xfId="2357"/>
    <xf numFmtId="0" fontId="174" fillId="0" borderId="0" xfId="2357" applyFont="1" applyAlignment="1">
      <alignment horizontal="center" vertical="center"/>
    </xf>
    <xf numFmtId="0" fontId="176" fillId="0" borderId="0" xfId="2357" applyFont="1" applyAlignment="1">
      <alignment horizontal="center" vertical="center" wrapText="1"/>
    </xf>
    <xf numFmtId="0" fontId="177" fillId="0" borderId="0" xfId="2357" applyFont="1" applyAlignment="1">
      <alignment horizontal="center" vertical="center" wrapText="1"/>
    </xf>
    <xf numFmtId="0" fontId="179" fillId="0" borderId="0" xfId="2357" applyFont="1" applyAlignment="1">
      <alignment horizontal="center" vertical="top" wrapText="1"/>
    </xf>
    <xf numFmtId="0" fontId="179" fillId="0" borderId="0" xfId="2357" applyFont="1" applyAlignment="1">
      <alignment vertical="top" wrapText="1"/>
    </xf>
    <xf numFmtId="0" fontId="179" fillId="0" borderId="0" xfId="2357" applyFont="1" applyAlignment="1">
      <alignment vertical="top"/>
    </xf>
    <xf numFmtId="0" fontId="180" fillId="0" borderId="0" xfId="2357" applyFont="1" applyAlignment="1">
      <alignment vertical="top" wrapText="1"/>
    </xf>
    <xf numFmtId="0" fontId="181" fillId="0" borderId="0" xfId="2357" applyFont="1" applyAlignment="1">
      <alignment vertical="top"/>
    </xf>
    <xf numFmtId="0" fontId="181" fillId="0" borderId="0" xfId="2357" applyFont="1" applyAlignment="1">
      <alignment vertical="top" wrapText="1"/>
    </xf>
    <xf numFmtId="0" fontId="0" fillId="0" borderId="0" xfId="2357" applyFont="1"/>
    <xf numFmtId="0" fontId="182" fillId="0" borderId="0" xfId="2357" applyFont="1" applyAlignment="1">
      <alignment horizontal="center" vertical="center" wrapText="1"/>
    </xf>
    <xf numFmtId="0" fontId="5" fillId="0" borderId="0" xfId="2357" applyFont="1" applyAlignment="1">
      <alignment horizontal="right"/>
    </xf>
    <xf numFmtId="0" fontId="183" fillId="0" borderId="0" xfId="2357" applyFont="1" applyAlignment="1">
      <alignment horizontal="centerContinuous" vertical="center" wrapText="1"/>
    </xf>
    <xf numFmtId="0" fontId="27" fillId="0" borderId="0" xfId="2357" applyFont="1" applyAlignment="1">
      <alignment horizontal="center" vertical="center"/>
    </xf>
    <xf numFmtId="0" fontId="184" fillId="0" borderId="0" xfId="2357" applyFont="1" applyAlignment="1">
      <alignment horizontal="left" vertical="center"/>
    </xf>
    <xf numFmtId="0" fontId="184" fillId="0" borderId="0" xfId="2357" applyFont="1" applyAlignment="1">
      <alignment horizontal="center" vertical="center"/>
    </xf>
    <xf numFmtId="0" fontId="185" fillId="0" borderId="0" xfId="2357" applyFont="1" applyAlignment="1">
      <alignment horizontal="center" vertical="center"/>
    </xf>
    <xf numFmtId="184" fontId="6" fillId="0" borderId="0" xfId="2357" applyNumberFormat="1"/>
    <xf numFmtId="0" fontId="186" fillId="0" borderId="0" xfId="2357" applyFont="1" applyAlignment="1">
      <alignment horizontal="center" vertical="center"/>
    </xf>
    <xf numFmtId="0" fontId="36" fillId="0" borderId="0" xfId="2357" applyFont="1" applyAlignment="1">
      <alignment horizontal="center" vertical="center" wrapText="1"/>
    </xf>
    <xf numFmtId="0" fontId="178" fillId="0" borderId="0" xfId="2357" applyFont="1" applyAlignment="1">
      <alignment horizontal="center" vertical="center" wrapText="1"/>
    </xf>
    <xf numFmtId="0" fontId="31" fillId="0" borderId="0" xfId="2357" applyFont="1" applyAlignment="1">
      <alignment horizontal="center"/>
    </xf>
    <xf numFmtId="0" fontId="31" fillId="0" borderId="0" xfId="2357" applyFont="1"/>
    <xf numFmtId="0" fontId="182" fillId="0" borderId="0" xfId="2357" applyFont="1"/>
    <xf numFmtId="0" fontId="182" fillId="0" borderId="0" xfId="0" applyFont="1"/>
    <xf numFmtId="0" fontId="5" fillId="0" borderId="0" xfId="2357" applyFont="1" applyAlignment="1">
      <alignment horizontal="center"/>
    </xf>
    <xf numFmtId="0" fontId="5" fillId="0" borderId="0" xfId="2357" applyFont="1" applyAlignment="1">
      <alignment horizontal="left"/>
    </xf>
    <xf numFmtId="0" fontId="183" fillId="0" borderId="0" xfId="2357" applyFont="1" applyAlignment="1">
      <alignment horizontal="centerContinuous" vertical="center"/>
    </xf>
    <xf numFmtId="0" fontId="187" fillId="0" borderId="0" xfId="2357" applyFont="1"/>
    <xf numFmtId="0" fontId="188" fillId="0" borderId="0" xfId="2357" applyFont="1"/>
    <xf numFmtId="0" fontId="189" fillId="0" borderId="0" xfId="2357" applyFont="1" applyAlignment="1">
      <alignment horizontal="center" vertical="center" wrapText="1"/>
    </xf>
    <xf numFmtId="0" fontId="190" fillId="0" borderId="0" xfId="2357" applyFont="1" applyAlignment="1">
      <alignment horizontal="center" vertical="center" wrapText="1"/>
    </xf>
    <xf numFmtId="0" fontId="191" fillId="0" borderId="0" xfId="2357" applyFont="1" applyAlignment="1">
      <alignment horizontal="center" vertical="center" wrapText="1"/>
    </xf>
    <xf numFmtId="0" fontId="192" fillId="0" borderId="0" xfId="2357" applyFont="1" applyAlignment="1">
      <alignment horizontal="center" vertical="center" wrapText="1"/>
    </xf>
    <xf numFmtId="0" fontId="193" fillId="0" borderId="0" xfId="2357" applyFont="1" applyAlignment="1">
      <alignment horizontal="left"/>
    </xf>
    <xf numFmtId="0" fontId="194" fillId="0" borderId="0" xfId="2357" applyFont="1" applyAlignment="1">
      <alignment horizontal="centerContinuous" vertical="center"/>
    </xf>
    <xf numFmtId="0" fontId="0" fillId="0" borderId="0" xfId="187" applyFont="1" applyAlignment="1">
      <alignment horizontal="center" vertical="top" shrinkToFit="1"/>
    </xf>
    <xf numFmtId="0" fontId="4" fillId="0" borderId="0" xfId="196"/>
    <xf numFmtId="0" fontId="4" fillId="0" borderId="49" xfId="196" applyBorder="1" applyAlignment="1">
      <alignment horizontal="center" vertical="center"/>
    </xf>
    <xf numFmtId="0" fontId="143" fillId="0" borderId="27" xfId="196" applyFont="1" applyBorder="1" applyAlignment="1">
      <alignment horizontal="center" vertical="center"/>
    </xf>
    <xf numFmtId="0" fontId="143" fillId="0" borderId="50" xfId="196" applyFont="1" applyBorder="1" applyAlignment="1">
      <alignment horizontal="center" vertical="center"/>
    </xf>
    <xf numFmtId="0" fontId="143" fillId="0" borderId="51" xfId="196" applyFont="1" applyBorder="1" applyAlignment="1">
      <alignment horizontal="center" vertical="center"/>
    </xf>
    <xf numFmtId="0" fontId="143" fillId="0" borderId="52" xfId="196" applyFont="1" applyBorder="1" applyAlignment="1">
      <alignment horizontal="center" vertical="center"/>
    </xf>
    <xf numFmtId="0" fontId="4" fillId="0" borderId="15" xfId="196" applyBorder="1" applyAlignment="1">
      <alignment horizontal="center" vertical="center"/>
    </xf>
    <xf numFmtId="0" fontId="4" fillId="0" borderId="2" xfId="196" applyBorder="1" applyAlignment="1">
      <alignment horizontal="center" vertical="center"/>
    </xf>
    <xf numFmtId="0" fontId="143" fillId="0" borderId="53" xfId="196" applyFont="1" applyBorder="1" applyAlignment="1">
      <alignment horizontal="center" vertical="center"/>
    </xf>
    <xf numFmtId="0" fontId="4" fillId="0" borderId="5" xfId="196" applyBorder="1" applyAlignment="1">
      <alignment horizontal="center" vertical="center"/>
    </xf>
    <xf numFmtId="0" fontId="4" fillId="0" borderId="1" xfId="196" applyBorder="1" applyAlignment="1">
      <alignment horizontal="center" vertical="center"/>
    </xf>
    <xf numFmtId="0" fontId="143" fillId="0" borderId="54" xfId="196" applyFont="1" applyBorder="1" applyAlignment="1">
      <alignment horizontal="center" vertical="center"/>
    </xf>
    <xf numFmtId="0" fontId="4" fillId="0" borderId="0" xfId="250" applyAlignment="1">
      <alignment horizontal="center" vertical="center" wrapText="1"/>
    </xf>
    <xf numFmtId="0" fontId="4" fillId="10" borderId="0" xfId="250" applyFill="1"/>
    <xf numFmtId="2" fontId="4" fillId="0" borderId="0" xfId="250" applyNumberFormat="1"/>
    <xf numFmtId="0" fontId="4" fillId="0" borderId="0" xfId="250"/>
    <xf numFmtId="0" fontId="4" fillId="0" borderId="0" xfId="250" applyAlignment="1">
      <alignment horizontal="center"/>
    </xf>
    <xf numFmtId="0" fontId="143" fillId="0" borderId="1" xfId="250" applyFont="1" applyBorder="1" applyAlignment="1">
      <alignment horizontal="center" vertical="center"/>
    </xf>
    <xf numFmtId="1" fontId="4" fillId="14" borderId="1" xfId="250" applyNumberFormat="1" applyFill="1" applyBorder="1" applyAlignment="1">
      <alignment horizontal="center" vertical="center"/>
    </xf>
    <xf numFmtId="0" fontId="4" fillId="14" borderId="1" xfId="250" applyFill="1" applyBorder="1" applyAlignment="1">
      <alignment horizontal="center" vertical="center"/>
    </xf>
    <xf numFmtId="0" fontId="4" fillId="10" borderId="0" xfId="250" applyFill="1" applyAlignment="1">
      <alignment horizontal="center" vertical="center"/>
    </xf>
    <xf numFmtId="0" fontId="4" fillId="0" borderId="0" xfId="250" applyAlignment="1">
      <alignment horizontal="center" vertical="center"/>
    </xf>
    <xf numFmtId="0" fontId="4" fillId="0" borderId="1" xfId="250" applyBorder="1" applyAlignment="1">
      <alignment horizontal="center" vertical="center"/>
    </xf>
    <xf numFmtId="0" fontId="4" fillId="0" borderId="1" xfId="250" applyBorder="1" applyAlignment="1">
      <alignment horizontal="center"/>
    </xf>
    <xf numFmtId="171" fontId="4" fillId="0" borderId="0" xfId="250" applyNumberFormat="1"/>
    <xf numFmtId="2" fontId="4" fillId="0" borderId="1" xfId="250" applyNumberFormat="1" applyBorder="1" applyAlignment="1">
      <alignment horizontal="center" vertical="center"/>
    </xf>
    <xf numFmtId="0" fontId="4" fillId="0" borderId="5" xfId="250" applyBorder="1" applyAlignment="1">
      <alignment horizontal="center" vertical="center"/>
    </xf>
    <xf numFmtId="184" fontId="4" fillId="14" borderId="5" xfId="250" applyNumberFormat="1" applyFill="1" applyBorder="1" applyAlignment="1">
      <alignment horizontal="center" vertical="center"/>
    </xf>
    <xf numFmtId="184" fontId="4" fillId="14" borderId="1" xfId="250" applyNumberFormat="1" applyFill="1" applyBorder="1" applyAlignment="1">
      <alignment horizontal="center" vertical="center"/>
    </xf>
    <xf numFmtId="2" fontId="4" fillId="0" borderId="5" xfId="250" applyNumberFormat="1" applyBorder="1" applyAlignment="1">
      <alignment horizontal="center" vertical="center"/>
    </xf>
    <xf numFmtId="0" fontId="195" fillId="0" borderId="0" xfId="25" applyAlignment="1" applyProtection="1"/>
    <xf numFmtId="0" fontId="4" fillId="0" borderId="19" xfId="250" applyBorder="1" applyAlignment="1">
      <alignment horizontal="center" vertical="center"/>
    </xf>
    <xf numFmtId="0" fontId="4" fillId="15" borderId="18" xfId="250" applyFill="1" applyBorder="1" applyAlignment="1">
      <alignment horizontal="center" vertical="center"/>
    </xf>
    <xf numFmtId="0" fontId="164" fillId="0" borderId="1" xfId="250" applyFont="1" applyBorder="1" applyAlignment="1">
      <alignment horizontal="center" vertical="center"/>
    </xf>
    <xf numFmtId="0" fontId="196" fillId="16" borderId="5" xfId="250" applyFont="1" applyFill="1" applyBorder="1" applyAlignment="1">
      <alignment horizontal="center" vertical="center"/>
    </xf>
    <xf numFmtId="0" fontId="196" fillId="18" borderId="5" xfId="250" applyFont="1" applyFill="1" applyBorder="1" applyAlignment="1">
      <alignment horizontal="center" vertical="center"/>
    </xf>
    <xf numFmtId="0" fontId="196" fillId="19" borderId="5" xfId="250" applyFont="1" applyFill="1" applyBorder="1" applyAlignment="1">
      <alignment horizontal="center" vertical="center"/>
    </xf>
    <xf numFmtId="0" fontId="196" fillId="20" borderId="5" xfId="250" applyFont="1" applyFill="1" applyBorder="1" applyAlignment="1">
      <alignment horizontal="center" vertical="center"/>
    </xf>
    <xf numFmtId="0" fontId="196" fillId="0" borderId="5" xfId="250" applyFont="1" applyBorder="1" applyAlignment="1">
      <alignment horizontal="center" vertical="center"/>
    </xf>
    <xf numFmtId="0" fontId="197" fillId="0" borderId="18" xfId="250" applyFont="1" applyBorder="1"/>
    <xf numFmtId="0" fontId="4" fillId="14" borderId="1" xfId="250" applyFill="1" applyBorder="1" applyAlignment="1">
      <alignment horizontal="center"/>
    </xf>
    <xf numFmtId="171" fontId="4" fillId="21" borderId="1" xfId="250" applyNumberFormat="1" applyFill="1" applyBorder="1" applyAlignment="1">
      <alignment horizontal="center"/>
    </xf>
    <xf numFmtId="171" fontId="4" fillId="0" borderId="1" xfId="250" applyNumberFormat="1" applyBorder="1" applyAlignment="1">
      <alignment horizontal="center"/>
    </xf>
    <xf numFmtId="181" fontId="4" fillId="0" borderId="1" xfId="250" applyNumberFormat="1" applyBorder="1" applyAlignment="1">
      <alignment horizontal="center"/>
    </xf>
    <xf numFmtId="171" fontId="4" fillId="0" borderId="0" xfId="250" applyNumberFormat="1" applyAlignment="1">
      <alignment horizontal="center"/>
    </xf>
    <xf numFmtId="2" fontId="4" fillId="0" borderId="0" xfId="250" applyNumberFormat="1" applyAlignment="1">
      <alignment horizontal="center" vertical="center"/>
    </xf>
    <xf numFmtId="2" fontId="4" fillId="0" borderId="1" xfId="250" applyNumberFormat="1" applyBorder="1"/>
    <xf numFmtId="2" fontId="4" fillId="0" borderId="1" xfId="250" applyNumberFormat="1" applyBorder="1" applyAlignment="1">
      <alignment horizontal="center"/>
    </xf>
    <xf numFmtId="0" fontId="4" fillId="0" borderId="0" xfId="250" applyAlignment="1">
      <alignment horizontal="right"/>
    </xf>
    <xf numFmtId="0" fontId="150" fillId="0" borderId="1" xfId="250" applyFont="1" applyBorder="1"/>
    <xf numFmtId="0" fontId="199" fillId="21" borderId="10" xfId="250" applyFont="1" applyFill="1" applyBorder="1" applyAlignment="1">
      <alignment horizontal="right"/>
    </xf>
    <xf numFmtId="0" fontId="199" fillId="21" borderId="5" xfId="250" applyFont="1" applyFill="1" applyBorder="1" applyAlignment="1">
      <alignment horizontal="left"/>
    </xf>
    <xf numFmtId="0" fontId="156" fillId="0" borderId="1" xfId="250" applyFont="1" applyBorder="1" applyAlignment="1">
      <alignment horizontal="center" vertical="center" wrapText="1"/>
    </xf>
    <xf numFmtId="0" fontId="199" fillId="21" borderId="10" xfId="250" applyFont="1" applyFill="1" applyBorder="1" applyAlignment="1">
      <alignment horizontal="right" vertical="center"/>
    </xf>
    <xf numFmtId="0" fontId="199" fillId="21" borderId="5" xfId="250" applyFont="1" applyFill="1" applyBorder="1" applyAlignment="1">
      <alignment horizontal="left" vertical="center"/>
    </xf>
    <xf numFmtId="0" fontId="4" fillId="0" borderId="22" xfId="250" applyBorder="1"/>
    <xf numFmtId="0" fontId="4" fillId="0" borderId="32" xfId="250" applyBorder="1"/>
    <xf numFmtId="0" fontId="4" fillId="0" borderId="23" xfId="250" applyBorder="1"/>
    <xf numFmtId="0" fontId="4" fillId="0" borderId="33" xfId="250" applyBorder="1" applyAlignment="1">
      <alignment horizontal="center" vertical="center"/>
    </xf>
    <xf numFmtId="0" fontId="4" fillId="0" borderId="26" xfId="250" applyBorder="1"/>
    <xf numFmtId="0" fontId="6" fillId="0" borderId="0" xfId="2079" applyProtection="1">
      <protection locked="0"/>
    </xf>
    <xf numFmtId="0" fontId="21" fillId="0" borderId="0" xfId="2079" applyFont="1" applyProtection="1">
      <protection locked="0"/>
    </xf>
    <xf numFmtId="0" fontId="4" fillId="0" borderId="0" xfId="196" applyProtection="1">
      <protection locked="0"/>
    </xf>
    <xf numFmtId="0" fontId="4" fillId="0" borderId="0" xfId="196" applyAlignment="1" applyProtection="1">
      <alignment horizontal="center" vertical="center"/>
      <protection locked="0"/>
    </xf>
    <xf numFmtId="0" fontId="143" fillId="0" borderId="1" xfId="196" applyFont="1" applyBorder="1" applyAlignment="1" applyProtection="1">
      <alignment horizontal="center" vertical="center"/>
      <protection locked="0"/>
    </xf>
    <xf numFmtId="0" fontId="143" fillId="0" borderId="0" xfId="196" applyFont="1" applyProtection="1">
      <protection locked="0"/>
    </xf>
    <xf numFmtId="0" fontId="143" fillId="0" borderId="7" xfId="196" applyFont="1" applyBorder="1" applyAlignment="1" applyProtection="1">
      <alignment horizontal="center" vertical="center"/>
      <protection locked="0"/>
    </xf>
    <xf numFmtId="0" fontId="143" fillId="0" borderId="46" xfId="196" applyFont="1" applyBorder="1" applyAlignment="1" applyProtection="1">
      <alignment horizontal="center" vertical="center"/>
      <protection locked="0"/>
    </xf>
    <xf numFmtId="0" fontId="4" fillId="0" borderId="20" xfId="196" applyBorder="1" applyProtection="1">
      <protection locked="0"/>
    </xf>
    <xf numFmtId="0" fontId="4" fillId="0" borderId="21" xfId="196" applyBorder="1" applyAlignment="1" applyProtection="1">
      <alignment horizontal="center" vertical="center"/>
      <protection locked="0"/>
    </xf>
    <xf numFmtId="0" fontId="4" fillId="0" borderId="21" xfId="196" applyBorder="1" applyProtection="1">
      <protection locked="0"/>
    </xf>
    <xf numFmtId="0" fontId="4" fillId="0" borderId="20" xfId="196" applyBorder="1"/>
    <xf numFmtId="0" fontId="4" fillId="0" borderId="21" xfId="196" applyBorder="1"/>
    <xf numFmtId="0" fontId="4" fillId="0" borderId="22" xfId="196" applyBorder="1" applyProtection="1">
      <protection locked="0"/>
    </xf>
    <xf numFmtId="0" fontId="143" fillId="15" borderId="18" xfId="196" applyFont="1" applyFill="1" applyBorder="1" applyAlignment="1" applyProtection="1">
      <alignment horizontal="center" vertical="center"/>
      <protection locked="0"/>
    </xf>
    <xf numFmtId="0" fontId="4" fillId="0" borderId="22" xfId="196" applyBorder="1"/>
    <xf numFmtId="0" fontId="143" fillId="21" borderId="18" xfId="196" applyFont="1" applyFill="1" applyBorder="1" applyAlignment="1">
      <alignment horizontal="center" vertical="center"/>
    </xf>
    <xf numFmtId="0" fontId="143" fillId="0" borderId="0" xfId="196" applyFont="1" applyAlignment="1" applyProtection="1">
      <alignment horizontal="center" wrapText="1"/>
      <protection locked="0"/>
    </xf>
    <xf numFmtId="1" fontId="4" fillId="15" borderId="58" xfId="196" applyNumberFormat="1" applyFill="1" applyBorder="1" applyAlignment="1" applyProtection="1">
      <alignment horizontal="center" vertical="center"/>
      <protection locked="0"/>
    </xf>
    <xf numFmtId="0" fontId="4" fillId="0" borderId="59" xfId="196" applyBorder="1" applyProtection="1">
      <protection locked="0"/>
    </xf>
    <xf numFmtId="0" fontId="4" fillId="0" borderId="0" xfId="196" applyAlignment="1" applyProtection="1">
      <alignment horizontal="center"/>
      <protection locked="0"/>
    </xf>
    <xf numFmtId="1" fontId="4" fillId="15" borderId="18" xfId="196" applyNumberFormat="1" applyFill="1" applyBorder="1" applyAlignment="1" applyProtection="1">
      <alignment horizontal="center" vertical="center"/>
      <protection locked="0"/>
    </xf>
    <xf numFmtId="0" fontId="4" fillId="0" borderId="55" xfId="196" applyBorder="1" applyProtection="1">
      <protection locked="0"/>
    </xf>
    <xf numFmtId="0" fontId="143" fillId="0" borderId="4" xfId="196" applyFont="1" applyBorder="1" applyAlignment="1" applyProtection="1">
      <alignment horizontal="center" vertical="center"/>
      <protection locked="0"/>
    </xf>
    <xf numFmtId="1" fontId="4" fillId="15" borderId="18" xfId="196" applyNumberFormat="1" applyFill="1" applyBorder="1" applyAlignment="1" applyProtection="1">
      <alignment horizontal="center" vertical="center" wrapText="1"/>
      <protection locked="0"/>
    </xf>
    <xf numFmtId="184" fontId="4" fillId="15" borderId="58" xfId="196" applyNumberFormat="1" applyFill="1" applyBorder="1" applyAlignment="1" applyProtection="1">
      <alignment horizontal="center" vertical="center"/>
      <protection locked="0"/>
    </xf>
    <xf numFmtId="0" fontId="4" fillId="10" borderId="0" xfId="196" applyFill="1" applyAlignment="1" applyProtection="1">
      <alignment horizontal="center"/>
      <protection locked="0"/>
    </xf>
    <xf numFmtId="184" fontId="4" fillId="15" borderId="18" xfId="196" applyNumberFormat="1" applyFill="1" applyBorder="1" applyAlignment="1" applyProtection="1">
      <alignment horizontal="center" vertical="center"/>
      <protection locked="0"/>
    </xf>
    <xf numFmtId="184" fontId="4" fillId="10" borderId="22" xfId="196" applyNumberFormat="1" applyFill="1" applyBorder="1" applyAlignment="1" applyProtection="1">
      <alignment horizontal="center" vertical="center"/>
      <protection locked="0"/>
    </xf>
    <xf numFmtId="184" fontId="4" fillId="15" borderId="48" xfId="196" applyNumberFormat="1" applyFill="1" applyBorder="1" applyAlignment="1" applyProtection="1">
      <alignment horizontal="center" vertical="center"/>
      <protection locked="0"/>
    </xf>
    <xf numFmtId="0" fontId="4" fillId="0" borderId="0" xfId="196" applyAlignment="1">
      <alignment horizontal="center" vertical="center"/>
    </xf>
    <xf numFmtId="0" fontId="4" fillId="15" borderId="58" xfId="196" applyFill="1" applyBorder="1" applyAlignment="1" applyProtection="1">
      <alignment horizontal="center"/>
      <protection locked="0"/>
    </xf>
    <xf numFmtId="0" fontId="4" fillId="15" borderId="18" xfId="196" applyFill="1" applyBorder="1" applyAlignment="1" applyProtection="1">
      <alignment horizontal="center"/>
      <protection locked="0"/>
    </xf>
    <xf numFmtId="0" fontId="4" fillId="10" borderId="22" xfId="196" applyFill="1" applyBorder="1" applyAlignment="1" applyProtection="1">
      <alignment horizontal="center"/>
      <protection locked="0"/>
    </xf>
    <xf numFmtId="1" fontId="4" fillId="15" borderId="48" xfId="196" applyNumberFormat="1" applyFill="1" applyBorder="1" applyAlignment="1" applyProtection="1">
      <alignment horizontal="center" vertical="center"/>
      <protection locked="0"/>
    </xf>
    <xf numFmtId="0" fontId="200" fillId="0" borderId="0" xfId="196" applyFont="1"/>
    <xf numFmtId="0" fontId="143" fillId="0" borderId="0" xfId="196" applyFont="1" applyAlignment="1" applyProtection="1">
      <alignment horizontal="center" vertical="center" wrapText="1"/>
      <protection locked="0"/>
    </xf>
    <xf numFmtId="0" fontId="143" fillId="0" borderId="0" xfId="196" applyFont="1" applyAlignment="1" applyProtection="1">
      <alignment horizontal="center" vertical="center"/>
      <protection locked="0"/>
    </xf>
    <xf numFmtId="0" fontId="4" fillId="10" borderId="0" xfId="196" applyFill="1" applyAlignment="1" applyProtection="1">
      <alignment horizontal="center" vertical="center"/>
      <protection locked="0"/>
    </xf>
    <xf numFmtId="0" fontId="143" fillId="0" borderId="0" xfId="196" applyFont="1" applyAlignment="1" applyProtection="1">
      <alignment vertical="center" wrapText="1"/>
      <protection locked="0"/>
    </xf>
    <xf numFmtId="0" fontId="4" fillId="15" borderId="58" xfId="196" applyFill="1" applyBorder="1" applyAlignment="1" applyProtection="1">
      <alignment horizontal="center" vertical="center"/>
      <protection locked="0"/>
    </xf>
    <xf numFmtId="0" fontId="4" fillId="15" borderId="48" xfId="196" applyFill="1" applyBorder="1" applyAlignment="1" applyProtection="1">
      <alignment horizontal="center"/>
      <protection locked="0"/>
    </xf>
    <xf numFmtId="0" fontId="4" fillId="0" borderId="23" xfId="196" applyBorder="1" applyProtection="1">
      <protection locked="0"/>
    </xf>
    <xf numFmtId="0" fontId="4" fillId="0" borderId="13" xfId="196" applyBorder="1" applyProtection="1">
      <protection locked="0"/>
    </xf>
    <xf numFmtId="0" fontId="4" fillId="0" borderId="13" xfId="196" applyBorder="1" applyAlignment="1" applyProtection="1">
      <alignment horizontal="center" vertical="center"/>
      <protection locked="0"/>
    </xf>
    <xf numFmtId="0" fontId="4" fillId="0" borderId="23" xfId="196" applyBorder="1"/>
    <xf numFmtId="0" fontId="4" fillId="0" borderId="13" xfId="196" applyBorder="1"/>
    <xf numFmtId="0" fontId="6" fillId="10" borderId="0" xfId="2079" applyFill="1" applyProtection="1">
      <protection locked="0"/>
    </xf>
    <xf numFmtId="0" fontId="13" fillId="10" borderId="0" xfId="2079" applyFont="1" applyFill="1" applyAlignment="1" applyProtection="1">
      <alignment horizontal="center" vertical="top"/>
      <protection locked="0"/>
    </xf>
    <xf numFmtId="0" fontId="13" fillId="10" borderId="0" xfId="3748" applyFont="1" applyFill="1" applyBorder="1" applyProtection="1">
      <alignment vertical="center" wrapText="1" shrinkToFit="1"/>
      <protection locked="0"/>
    </xf>
    <xf numFmtId="2" fontId="13" fillId="10" borderId="0" xfId="3748" applyNumberFormat="1" applyFont="1" applyFill="1" applyBorder="1" applyProtection="1">
      <alignment vertical="center" wrapText="1" shrinkToFit="1"/>
      <protection locked="0"/>
    </xf>
    <xf numFmtId="0" fontId="0" fillId="10" borderId="0" xfId="3748" applyFont="1" applyFill="1" applyBorder="1" applyAlignment="1" applyProtection="1">
      <alignment horizontal="center" vertical="center" wrapText="1" shrinkToFit="1"/>
      <protection locked="0"/>
    </xf>
    <xf numFmtId="0" fontId="21" fillId="10" borderId="0" xfId="2079" applyFont="1" applyFill="1" applyProtection="1">
      <protection locked="0"/>
    </xf>
    <xf numFmtId="0" fontId="201" fillId="10" borderId="0" xfId="2079" applyFont="1" applyFill="1" applyAlignment="1" applyProtection="1">
      <alignment horizontal="center" vertical="top"/>
      <protection locked="0"/>
    </xf>
    <xf numFmtId="0" fontId="201" fillId="10" borderId="0" xfId="2079" applyFont="1" applyFill="1" applyAlignment="1" applyProtection="1">
      <alignment vertical="top"/>
      <protection locked="0"/>
    </xf>
    <xf numFmtId="0" fontId="201" fillId="10" borderId="0" xfId="2079" applyFont="1" applyFill="1" applyAlignment="1" applyProtection="1">
      <alignment horizontal="center" vertical="center"/>
      <protection locked="0"/>
    </xf>
    <xf numFmtId="2" fontId="201" fillId="10" borderId="0" xfId="3748" applyNumberFormat="1" applyFont="1" applyFill="1" applyBorder="1" applyProtection="1">
      <alignment vertical="center" wrapText="1" shrinkToFit="1"/>
      <protection locked="0"/>
    </xf>
    <xf numFmtId="0" fontId="201" fillId="10" borderId="0" xfId="2079" applyFont="1" applyFill="1" applyAlignment="1" applyProtection="1">
      <alignment horizontal="right" vertical="top"/>
      <protection locked="0"/>
    </xf>
    <xf numFmtId="0" fontId="4" fillId="0" borderId="28" xfId="196" applyBorder="1"/>
    <xf numFmtId="0" fontId="4" fillId="0" borderId="32" xfId="196" applyBorder="1"/>
    <xf numFmtId="0" fontId="143" fillId="0" borderId="18" xfId="196" applyFont="1" applyBorder="1" applyAlignment="1">
      <alignment horizontal="center" vertical="center"/>
    </xf>
    <xf numFmtId="0" fontId="143" fillId="0" borderId="31" xfId="196" applyFont="1" applyBorder="1" applyAlignment="1">
      <alignment horizontal="center" vertical="center"/>
    </xf>
    <xf numFmtId="2" fontId="4" fillId="21" borderId="31" xfId="196" applyNumberFormat="1" applyFill="1" applyBorder="1" applyAlignment="1">
      <alignment horizontal="center" vertical="center"/>
    </xf>
    <xf numFmtId="2" fontId="4" fillId="21" borderId="18" xfId="196" applyNumberFormat="1" applyFill="1" applyBorder="1"/>
    <xf numFmtId="171" fontId="4" fillId="21" borderId="18" xfId="196" applyNumberFormat="1" applyFill="1" applyBorder="1" applyAlignment="1">
      <alignment horizontal="center" vertical="center"/>
    </xf>
    <xf numFmtId="171" fontId="4" fillId="0" borderId="0" xfId="196" applyNumberFormat="1" applyAlignment="1">
      <alignment horizontal="center"/>
    </xf>
    <xf numFmtId="3" fontId="4" fillId="21" borderId="18" xfId="196" applyNumberFormat="1" applyFill="1" applyBorder="1" applyAlignment="1">
      <alignment horizontal="center" vertical="center"/>
    </xf>
    <xf numFmtId="0" fontId="143" fillId="21" borderId="19" xfId="196" applyFont="1" applyFill="1" applyBorder="1" applyAlignment="1">
      <alignment horizontal="right" vertical="center"/>
    </xf>
    <xf numFmtId="0" fontId="199" fillId="21" borderId="5" xfId="196" applyFont="1" applyFill="1" applyBorder="1" applyAlignment="1">
      <alignment horizontal="left"/>
    </xf>
    <xf numFmtId="0" fontId="198" fillId="10" borderId="0" xfId="196" applyFont="1" applyFill="1" applyAlignment="1">
      <alignment horizontal="center" vertical="center"/>
    </xf>
    <xf numFmtId="0" fontId="4" fillId="10" borderId="0" xfId="196" applyFill="1" applyAlignment="1">
      <alignment horizontal="center" vertical="center"/>
    </xf>
    <xf numFmtId="0" fontId="150" fillId="0" borderId="1" xfId="196" applyFont="1" applyBorder="1" applyAlignment="1">
      <alignment horizontal="center" vertical="center"/>
    </xf>
    <xf numFmtId="0" fontId="150" fillId="16" borderId="1" xfId="196" applyFont="1" applyFill="1" applyBorder="1" applyAlignment="1">
      <alignment horizontal="center" vertical="center"/>
    </xf>
    <xf numFmtId="0" fontId="150" fillId="18" borderId="1" xfId="196" applyFont="1" applyFill="1" applyBorder="1" applyAlignment="1">
      <alignment horizontal="center" vertical="center"/>
    </xf>
    <xf numFmtId="0" fontId="150" fillId="19" borderId="1" xfId="196" applyFont="1" applyFill="1" applyBorder="1" applyAlignment="1">
      <alignment horizontal="center" vertical="center"/>
    </xf>
    <xf numFmtId="0" fontId="150" fillId="20" borderId="1" xfId="196" applyFont="1" applyFill="1" applyBorder="1" applyAlignment="1">
      <alignment horizontal="center" vertical="center"/>
    </xf>
    <xf numFmtId="0" fontId="150" fillId="0" borderId="0" xfId="196" applyFont="1" applyAlignment="1">
      <alignment horizontal="center" vertical="center"/>
    </xf>
    <xf numFmtId="0" fontId="143" fillId="21" borderId="1" xfId="196" applyFont="1" applyFill="1" applyBorder="1" applyAlignment="1">
      <alignment horizontal="center" vertical="center"/>
    </xf>
    <xf numFmtId="0" fontId="4" fillId="0" borderId="26" xfId="196" applyBorder="1"/>
    <xf numFmtId="0" fontId="26" fillId="0" borderId="0" xfId="2079" applyFont="1" applyAlignment="1" applyProtection="1">
      <alignment horizontal="center" vertical="center" textRotation="90" wrapText="1"/>
      <protection locked="0"/>
    </xf>
    <xf numFmtId="2" fontId="13" fillId="10" borderId="0" xfId="3748" applyNumberFormat="1" applyFont="1" applyFill="1" applyBorder="1" applyAlignment="1" applyProtection="1">
      <alignment horizontal="center" vertical="center" wrapText="1" shrinkToFit="1"/>
      <protection locked="0"/>
    </xf>
    <xf numFmtId="0" fontId="13" fillId="10" borderId="0" xfId="2079" applyFont="1" applyFill="1" applyAlignment="1" applyProtection="1">
      <alignment horizontal="left" vertical="top" indent="4"/>
      <protection locked="0"/>
    </xf>
    <xf numFmtId="0" fontId="26" fillId="10" borderId="0" xfId="2079" applyFont="1" applyFill="1" applyAlignment="1" applyProtection="1">
      <alignment horizontal="center" vertical="center" textRotation="90" wrapText="1"/>
      <protection locked="0"/>
    </xf>
    <xf numFmtId="2" fontId="201" fillId="10" borderId="0" xfId="3748" applyNumberFormat="1" applyFont="1" applyFill="1" applyBorder="1" applyAlignment="1" applyProtection="1">
      <alignment horizontal="center" vertical="center" wrapText="1" shrinkToFit="1"/>
      <protection locked="0"/>
    </xf>
    <xf numFmtId="0" fontId="201" fillId="10" borderId="0" xfId="2079" applyFont="1" applyFill="1" applyAlignment="1" applyProtection="1">
      <alignment horizontal="left" vertical="top" indent="5"/>
      <protection locked="0"/>
    </xf>
    <xf numFmtId="2" fontId="21" fillId="10" borderId="0" xfId="2079" applyNumberFormat="1" applyFont="1" applyFill="1" applyAlignment="1" applyProtection="1">
      <alignment horizontal="center"/>
      <protection locked="0"/>
    </xf>
    <xf numFmtId="0" fontId="19" fillId="0" borderId="0" xfId="1587" applyFont="1"/>
    <xf numFmtId="0" fontId="7" fillId="0" borderId="0" xfId="1587" applyFont="1" applyAlignment="1">
      <alignment vertical="center"/>
    </xf>
    <xf numFmtId="0" fontId="21" fillId="0" borderId="0" xfId="1587" applyFont="1"/>
    <xf numFmtId="0" fontId="6" fillId="0" borderId="0" xfId="1587"/>
    <xf numFmtId="0" fontId="6" fillId="0" borderId="0" xfId="1587" applyAlignment="1">
      <alignment horizontal="center"/>
    </xf>
    <xf numFmtId="0" fontId="26" fillId="0" borderId="0" xfId="1587" applyFont="1"/>
    <xf numFmtId="0" fontId="7" fillId="0" borderId="0" xfId="1587" applyFont="1"/>
    <xf numFmtId="0" fontId="10" fillId="0" borderId="1" xfId="1587" applyFont="1" applyBorder="1" applyAlignment="1">
      <alignment horizontal="center" vertical="center" wrapText="1"/>
    </xf>
    <xf numFmtId="0" fontId="19" fillId="0" borderId="1" xfId="1587" applyFont="1" applyBorder="1"/>
    <xf numFmtId="1" fontId="19" fillId="0" borderId="1" xfId="1587" applyNumberFormat="1" applyFont="1" applyBorder="1"/>
    <xf numFmtId="1" fontId="19" fillId="0" borderId="1" xfId="1587" applyNumberFormat="1" applyFont="1" applyBorder="1" applyAlignment="1">
      <alignment horizontal="center" vertical="center" wrapText="1"/>
    </xf>
    <xf numFmtId="1" fontId="21" fillId="0" borderId="1" xfId="2079" applyNumberFormat="1" applyFont="1" applyBorder="1" applyAlignment="1">
      <alignment horizontal="center"/>
    </xf>
    <xf numFmtId="0" fontId="6" fillId="0" borderId="1" xfId="1587" applyBorder="1" applyAlignment="1">
      <alignment horizontal="center" vertical="center"/>
    </xf>
    <xf numFmtId="1" fontId="21" fillId="0" borderId="1" xfId="1587" applyNumberFormat="1" applyFont="1" applyBorder="1" applyAlignment="1">
      <alignment horizontal="center"/>
    </xf>
    <xf numFmtId="0" fontId="7" fillId="0" borderId="1" xfId="1587" applyFont="1" applyBorder="1" applyAlignment="1">
      <alignment horizontal="center" vertical="center" wrapText="1"/>
    </xf>
    <xf numFmtId="1" fontId="7" fillId="0" borderId="1" xfId="1587" applyNumberFormat="1" applyFont="1" applyBorder="1" applyAlignment="1">
      <alignment horizontal="center" vertical="center"/>
    </xf>
    <xf numFmtId="0" fontId="0" fillId="0" borderId="0" xfId="1587" applyFont="1"/>
    <xf numFmtId="0" fontId="7" fillId="0" borderId="0" xfId="1587" applyFont="1" applyAlignment="1">
      <alignment horizontal="center"/>
    </xf>
    <xf numFmtId="1" fontId="7" fillId="0" borderId="0" xfId="1587" applyNumberFormat="1" applyFont="1" applyAlignment="1">
      <alignment horizontal="center"/>
    </xf>
    <xf numFmtId="0" fontId="7" fillId="0" borderId="0" xfId="1587" applyFont="1" applyAlignment="1">
      <alignment horizontal="left"/>
    </xf>
    <xf numFmtId="0" fontId="7" fillId="6" borderId="0" xfId="1587" applyFont="1" applyFill="1" applyAlignment="1">
      <alignment vertical="center"/>
    </xf>
    <xf numFmtId="0" fontId="7" fillId="15" borderId="0" xfId="1587" applyFont="1" applyFill="1" applyAlignment="1">
      <alignment vertical="center"/>
    </xf>
    <xf numFmtId="0" fontId="0" fillId="0" borderId="0" xfId="1587" applyFont="1" applyAlignment="1">
      <alignment horizontal="left"/>
    </xf>
    <xf numFmtId="2" fontId="7" fillId="0" borderId="0" xfId="1587" applyNumberFormat="1" applyFont="1" applyAlignment="1">
      <alignment horizontal="center"/>
    </xf>
    <xf numFmtId="0" fontId="6" fillId="0" borderId="0" xfId="1587" applyAlignment="1">
      <alignment wrapText="1"/>
    </xf>
    <xf numFmtId="0" fontId="0" fillId="0" borderId="0" xfId="1587" applyFont="1" applyAlignment="1">
      <alignment horizontal="center"/>
    </xf>
    <xf numFmtId="0" fontId="6" fillId="0" borderId="0" xfId="1587" applyAlignment="1">
      <alignment horizontal="left"/>
    </xf>
    <xf numFmtId="0" fontId="203" fillId="0" borderId="0" xfId="1587" applyFont="1"/>
    <xf numFmtId="0" fontId="0" fillId="4" borderId="0" xfId="1587" applyFont="1" applyFill="1"/>
    <xf numFmtId="0" fontId="0" fillId="10" borderId="6" xfId="1587" applyFont="1" applyFill="1" applyBorder="1"/>
    <xf numFmtId="0" fontId="13" fillId="10" borderId="0" xfId="1587" applyFont="1" applyFill="1" applyAlignment="1">
      <alignment horizontal="center" vertical="top"/>
    </xf>
    <xf numFmtId="0" fontId="13" fillId="10" borderId="25" xfId="3748" applyFont="1" applyFill="1" applyBorder="1">
      <alignment vertical="center" wrapText="1" shrinkToFit="1"/>
    </xf>
    <xf numFmtId="2" fontId="0" fillId="10" borderId="6" xfId="3748" applyNumberFormat="1" applyFont="1" applyFill="1" applyBorder="1">
      <alignment vertical="center" wrapText="1" shrinkToFit="1"/>
    </xf>
    <xf numFmtId="0" fontId="13" fillId="10" borderId="0" xfId="1587" applyFont="1" applyFill="1" applyAlignment="1">
      <alignment vertical="top"/>
    </xf>
    <xf numFmtId="2" fontId="13" fillId="10" borderId="25" xfId="3748" applyNumberFormat="1" applyFont="1" applyFill="1" applyBorder="1">
      <alignment vertical="center" wrapText="1" shrinkToFit="1"/>
    </xf>
    <xf numFmtId="0" fontId="0" fillId="10" borderId="6" xfId="3748" applyFont="1" applyFill="1" applyBorder="1" applyAlignment="1">
      <alignment horizontal="center" vertical="center" wrapText="1" shrinkToFit="1"/>
    </xf>
    <xf numFmtId="0" fontId="0" fillId="10" borderId="3" xfId="1587" applyFont="1" applyFill="1" applyBorder="1"/>
    <xf numFmtId="0" fontId="13" fillId="10" borderId="9" xfId="1587" applyFont="1" applyFill="1" applyBorder="1" applyAlignment="1">
      <alignment horizontal="center" vertical="top"/>
    </xf>
    <xf numFmtId="0" fontId="13" fillId="10" borderId="15" xfId="1587" applyFont="1" applyFill="1" applyBorder="1" applyAlignment="1">
      <alignment vertical="top"/>
    </xf>
    <xf numFmtId="0" fontId="13" fillId="10" borderId="3" xfId="1587" applyFont="1" applyFill="1" applyBorder="1" applyAlignment="1">
      <alignment horizontal="right" vertical="top"/>
    </xf>
    <xf numFmtId="0" fontId="13" fillId="10" borderId="9" xfId="1587" applyFont="1" applyFill="1" applyBorder="1" applyAlignment="1">
      <alignment horizontal="left" vertical="top" indent="1"/>
    </xf>
    <xf numFmtId="2" fontId="13" fillId="10" borderId="15" xfId="3748" applyNumberFormat="1" applyFont="1" applyFill="1" applyBorder="1">
      <alignment vertical="center" wrapText="1" shrinkToFit="1"/>
    </xf>
    <xf numFmtId="0" fontId="39" fillId="0" borderId="0" xfId="1587" applyFont="1" applyAlignment="1">
      <alignment vertical="center"/>
    </xf>
    <xf numFmtId="1" fontId="6" fillId="0" borderId="1" xfId="1587" applyNumberFormat="1" applyBorder="1" applyAlignment="1">
      <alignment horizontal="center"/>
    </xf>
    <xf numFmtId="3" fontId="11" fillId="0" borderId="0" xfId="1587" applyNumberFormat="1" applyFont="1"/>
    <xf numFmtId="0" fontId="6" fillId="0" borderId="1" xfId="1587" applyBorder="1"/>
    <xf numFmtId="1" fontId="9" fillId="0" borderId="1" xfId="1587" applyNumberFormat="1" applyFont="1" applyBorder="1" applyAlignment="1">
      <alignment horizontal="center" vertical="center"/>
    </xf>
    <xf numFmtId="2" fontId="7" fillId="0" borderId="0" xfId="1587" applyNumberFormat="1" applyFont="1" applyAlignment="1">
      <alignment vertical="center"/>
    </xf>
    <xf numFmtId="1" fontId="39" fillId="0" borderId="0" xfId="1587" applyNumberFormat="1" applyFont="1" applyAlignment="1">
      <alignment horizontal="center"/>
    </xf>
    <xf numFmtId="1" fontId="167" fillId="0" borderId="0" xfId="1587" applyNumberFormat="1" applyFont="1" applyAlignment="1">
      <alignment horizontal="center"/>
    </xf>
    <xf numFmtId="0" fontId="39" fillId="0" borderId="0" xfId="1587" applyFont="1" applyAlignment="1">
      <alignment horizontal="center"/>
    </xf>
    <xf numFmtId="0" fontId="26" fillId="0" borderId="0" xfId="1587" applyFont="1" applyAlignment="1">
      <alignment horizontal="center" vertical="center" textRotation="90" wrapText="1"/>
    </xf>
    <xf numFmtId="0" fontId="205" fillId="0" borderId="0" xfId="1587" applyFont="1"/>
    <xf numFmtId="0" fontId="206" fillId="0" borderId="1" xfId="1587" applyFont="1" applyBorder="1" applyAlignment="1">
      <alignment horizontal="center"/>
    </xf>
    <xf numFmtId="0" fontId="0" fillId="0" borderId="1" xfId="1587" applyFont="1" applyBorder="1" applyAlignment="1">
      <alignment horizontal="center"/>
    </xf>
    <xf numFmtId="0" fontId="7" fillId="4" borderId="0" xfId="1587" applyFont="1" applyFill="1" applyAlignment="1">
      <alignment horizontal="left"/>
    </xf>
    <xf numFmtId="2" fontId="13" fillId="10" borderId="0" xfId="3748" applyNumberFormat="1" applyFont="1" applyFill="1" applyBorder="1" applyAlignment="1">
      <alignment horizontal="center" vertical="center" wrapText="1" shrinkToFit="1"/>
    </xf>
    <xf numFmtId="0" fontId="13" fillId="10" borderId="22" xfId="1587" applyFont="1" applyFill="1" applyBorder="1" applyAlignment="1">
      <alignment horizontal="left" vertical="top" indent="4"/>
    </xf>
    <xf numFmtId="0" fontId="0" fillId="10" borderId="0" xfId="1587" applyFont="1" applyFill="1"/>
    <xf numFmtId="0" fontId="26" fillId="10" borderId="32" xfId="1587" applyFont="1" applyFill="1" applyBorder="1" applyAlignment="1">
      <alignment horizontal="center" vertical="center" textRotation="90" wrapText="1"/>
    </xf>
    <xf numFmtId="2" fontId="13" fillId="10" borderId="9" xfId="3748" applyNumberFormat="1" applyFont="1" applyFill="1" applyBorder="1" applyAlignment="1">
      <alignment horizontal="center" vertical="center" wrapText="1" shrinkToFit="1"/>
    </xf>
    <xf numFmtId="0" fontId="13" fillId="10" borderId="23" xfId="1587" applyFont="1" applyFill="1" applyBorder="1" applyAlignment="1">
      <alignment horizontal="left" vertical="top" indent="5"/>
    </xf>
    <xf numFmtId="2" fontId="0" fillId="10" borderId="13" xfId="1587" applyNumberFormat="1" applyFont="1" applyFill="1" applyBorder="1"/>
    <xf numFmtId="0" fontId="0" fillId="10" borderId="13" xfId="1587" applyFont="1" applyFill="1" applyBorder="1"/>
    <xf numFmtId="0" fontId="0" fillId="10" borderId="26" xfId="1587" applyFont="1" applyFill="1" applyBorder="1"/>
    <xf numFmtId="0" fontId="39" fillId="0" borderId="0" xfId="1587" applyFont="1" applyAlignment="1">
      <alignment horizontal="center" vertical="top" wrapText="1"/>
    </xf>
    <xf numFmtId="0" fontId="41" fillId="0" borderId="0" xfId="2516" applyFont="1"/>
    <xf numFmtId="0" fontId="41" fillId="0" borderId="63" xfId="2516" applyFont="1" applyBorder="1"/>
    <xf numFmtId="0" fontId="41" fillId="0" borderId="64" xfId="2516" applyFont="1" applyBorder="1"/>
    <xf numFmtId="0" fontId="207" fillId="0" borderId="22" xfId="2516" applyFont="1" applyBorder="1" applyAlignment="1">
      <alignment horizontal="left"/>
    </xf>
    <xf numFmtId="0" fontId="207" fillId="0" borderId="0" xfId="2516" applyFont="1" applyAlignment="1">
      <alignment horizontal="left"/>
    </xf>
    <xf numFmtId="0" fontId="41" fillId="0" borderId="65" xfId="2516" applyFont="1" applyBorder="1"/>
    <xf numFmtId="0" fontId="57" fillId="0" borderId="0" xfId="2516" applyFont="1"/>
    <xf numFmtId="0" fontId="43" fillId="0" borderId="0" xfId="2516" applyFont="1"/>
    <xf numFmtId="0" fontId="41" fillId="0" borderId="0" xfId="2516" applyFont="1" applyAlignment="1">
      <alignment horizontal="center"/>
    </xf>
    <xf numFmtId="0" fontId="41" fillId="0" borderId="0" xfId="2516" applyFont="1" applyAlignment="1">
      <alignment horizontal="center" vertical="top" textRotation="90"/>
    </xf>
    <xf numFmtId="0" fontId="41" fillId="0" borderId="0" xfId="2516" applyFont="1" applyAlignment="1">
      <alignment horizontal="right" vertical="top" textRotation="90"/>
    </xf>
    <xf numFmtId="0" fontId="41" fillId="26" borderId="0" xfId="2516" applyFont="1" applyFill="1"/>
    <xf numFmtId="0" fontId="41" fillId="27" borderId="0" xfId="2516" applyFont="1" applyFill="1"/>
    <xf numFmtId="0" fontId="7" fillId="3" borderId="0" xfId="2516" applyFont="1" applyFill="1"/>
    <xf numFmtId="0" fontId="58" fillId="27" borderId="0" xfId="2516" applyFont="1" applyFill="1"/>
    <xf numFmtId="0" fontId="13" fillId="3" borderId="0" xfId="2516" applyFont="1" applyFill="1"/>
    <xf numFmtId="0" fontId="41" fillId="28" borderId="6" xfId="2516" applyFont="1" applyFill="1" applyBorder="1"/>
    <xf numFmtId="0" fontId="13" fillId="28" borderId="0" xfId="2516" applyFont="1" applyFill="1"/>
    <xf numFmtId="0" fontId="7" fillId="28" borderId="0" xfId="2516" applyFont="1" applyFill="1"/>
    <xf numFmtId="0" fontId="7" fillId="28" borderId="0" xfId="2516" applyFont="1" applyFill="1" applyAlignment="1">
      <alignment horizontal="center"/>
    </xf>
    <xf numFmtId="0" fontId="7" fillId="29" borderId="0" xfId="2516" applyFont="1" applyFill="1" applyAlignment="1">
      <alignment horizontal="center"/>
    </xf>
    <xf numFmtId="0" fontId="48" fillId="0" borderId="0" xfId="2516" applyFont="1"/>
    <xf numFmtId="0" fontId="58" fillId="0" borderId="0" xfId="2516" applyFont="1"/>
    <xf numFmtId="0" fontId="7" fillId="31" borderId="4" xfId="2516" applyFont="1" applyFill="1" applyBorder="1" applyAlignment="1">
      <alignment horizontal="center"/>
    </xf>
    <xf numFmtId="0" fontId="7" fillId="31" borderId="5" xfId="2516" applyFont="1" applyFill="1" applyBorder="1" applyAlignment="1">
      <alignment horizontal="center"/>
    </xf>
    <xf numFmtId="0" fontId="41" fillId="0" borderId="66" xfId="2516" applyFont="1" applyBorder="1"/>
    <xf numFmtId="0" fontId="41" fillId="0" borderId="67" xfId="2516" applyFont="1" applyBorder="1"/>
    <xf numFmtId="0" fontId="0" fillId="0" borderId="0" xfId="2516" applyFont="1" applyAlignment="1">
      <alignment horizontal="center"/>
    </xf>
    <xf numFmtId="0" fontId="6" fillId="0" borderId="0" xfId="2516" applyAlignment="1">
      <alignment horizontal="center"/>
    </xf>
    <xf numFmtId="0" fontId="6" fillId="0" borderId="0" xfId="2516"/>
    <xf numFmtId="17" fontId="41" fillId="0" borderId="0" xfId="2516" applyNumberFormat="1" applyFont="1" applyAlignment="1">
      <alignment horizontal="center" vertical="top" textRotation="90"/>
    </xf>
    <xf numFmtId="0" fontId="41" fillId="0" borderId="6" xfId="2516" applyFont="1" applyBorder="1"/>
    <xf numFmtId="0" fontId="41" fillId="0" borderId="68" xfId="2516" applyFont="1" applyBorder="1"/>
    <xf numFmtId="0" fontId="41" fillId="0" borderId="69" xfId="2516" applyFont="1" applyBorder="1"/>
    <xf numFmtId="0" fontId="41" fillId="0" borderId="0" xfId="2516" applyFont="1" applyAlignment="1">
      <alignment vertical="center"/>
    </xf>
    <xf numFmtId="0" fontId="73" fillId="0" borderId="0" xfId="2516" applyFont="1"/>
    <xf numFmtId="0" fontId="48" fillId="0" borderId="69" xfId="2516" applyFont="1" applyBorder="1"/>
    <xf numFmtId="0" fontId="13" fillId="0" borderId="0" xfId="2516" applyFont="1" applyAlignment="1">
      <alignment vertical="center"/>
    </xf>
    <xf numFmtId="0" fontId="41" fillId="0" borderId="70" xfId="2516" applyFont="1" applyBorder="1"/>
    <xf numFmtId="0" fontId="105" fillId="0" borderId="0" xfId="0" applyFont="1"/>
    <xf numFmtId="0" fontId="103" fillId="0" borderId="0" xfId="0" applyFont="1"/>
    <xf numFmtId="0" fontId="103" fillId="0" borderId="6" xfId="0" applyFont="1" applyBorder="1"/>
    <xf numFmtId="0" fontId="105" fillId="0" borderId="6" xfId="0" applyFont="1" applyBorder="1"/>
    <xf numFmtId="0" fontId="105" fillId="27" borderId="10" xfId="0" applyFont="1" applyFill="1" applyBorder="1" applyAlignment="1">
      <alignment vertical="center" wrapText="1"/>
    </xf>
    <xf numFmtId="0" fontId="103" fillId="0" borderId="0" xfId="0" applyFont="1" applyAlignment="1">
      <alignment horizontal="left" vertical="center" textRotation="180" wrapText="1"/>
    </xf>
    <xf numFmtId="0" fontId="103" fillId="0" borderId="0" xfId="0" applyFont="1" applyAlignment="1">
      <alignment horizontal="left" vertical="center" textRotation="180"/>
    </xf>
    <xf numFmtId="0" fontId="103" fillId="0" borderId="0" xfId="0" applyFont="1" applyAlignment="1">
      <alignment vertical="center" textRotation="180"/>
    </xf>
    <xf numFmtId="0" fontId="103" fillId="0" borderId="12" xfId="0" applyFont="1" applyBorder="1" applyAlignment="1">
      <alignment horizontal="right" vertical="center" textRotation="178"/>
    </xf>
    <xf numFmtId="0" fontId="103" fillId="0" borderId="0" xfId="0" applyFont="1" applyAlignment="1">
      <alignment vertical="center" textRotation="90" wrapText="1"/>
    </xf>
    <xf numFmtId="0" fontId="103" fillId="0" borderId="3" xfId="0" applyFont="1" applyBorder="1"/>
    <xf numFmtId="0" fontId="103" fillId="0" borderId="9" xfId="0" applyFont="1" applyBorder="1"/>
    <xf numFmtId="0" fontId="103" fillId="0" borderId="25" xfId="0" applyFont="1" applyBorder="1"/>
    <xf numFmtId="0" fontId="105" fillId="0" borderId="25" xfId="0" applyFont="1" applyBorder="1"/>
    <xf numFmtId="0" fontId="103" fillId="0" borderId="8" xfId="0" applyFont="1" applyBorder="1"/>
    <xf numFmtId="0" fontId="103" fillId="0" borderId="25" xfId="0" applyFont="1" applyBorder="1" applyAlignment="1">
      <alignment vertical="center"/>
    </xf>
    <xf numFmtId="0" fontId="103" fillId="0" borderId="25" xfId="0" applyFont="1" applyBorder="1" applyAlignment="1">
      <alignment horizontal="center" vertical="center" wrapText="1"/>
    </xf>
    <xf numFmtId="0" fontId="103" fillId="0" borderId="0" xfId="0" applyFont="1" applyAlignment="1">
      <alignment horizontal="right" vertical="center" textRotation="180"/>
    </xf>
    <xf numFmtId="0" fontId="103" fillId="0" borderId="15" xfId="0" applyFont="1" applyBorder="1"/>
    <xf numFmtId="0" fontId="212" fillId="0" borderId="0" xfId="0" applyFont="1" applyAlignment="1">
      <alignment vertical="center"/>
    </xf>
    <xf numFmtId="0" fontId="212" fillId="0" borderId="0" xfId="0" applyFont="1" applyAlignment="1">
      <alignment vertical="top"/>
    </xf>
    <xf numFmtId="0" fontId="212" fillId="0" borderId="0" xfId="0" applyFont="1" applyAlignment="1">
      <alignment vertical="top" wrapText="1"/>
    </xf>
    <xf numFmtId="0" fontId="212" fillId="0" borderId="0" xfId="0" applyFont="1"/>
    <xf numFmtId="0" fontId="212" fillId="0" borderId="0" xfId="0" applyFont="1" applyAlignment="1">
      <alignment horizontal="center"/>
    </xf>
    <xf numFmtId="0" fontId="214" fillId="0" borderId="0" xfId="0" applyFont="1" applyAlignment="1">
      <alignment horizontal="center"/>
    </xf>
    <xf numFmtId="0" fontId="215" fillId="0" borderId="0" xfId="0" applyFont="1" applyAlignment="1">
      <alignment horizontal="center" vertical="center"/>
    </xf>
    <xf numFmtId="0" fontId="212" fillId="0" borderId="0" xfId="0" applyFont="1" applyAlignment="1">
      <alignment horizontal="center" vertical="center"/>
    </xf>
    <xf numFmtId="0" fontId="215" fillId="0" borderId="0" xfId="0" applyFont="1" applyAlignment="1">
      <alignment horizontal="center" vertical="top"/>
    </xf>
    <xf numFmtId="0" fontId="212" fillId="0" borderId="0" xfId="0" applyFont="1" applyAlignment="1">
      <alignment horizontal="center" vertical="top"/>
    </xf>
    <xf numFmtId="0" fontId="215" fillId="0" borderId="0" xfId="0" applyFont="1" applyAlignment="1">
      <alignment horizontal="center"/>
    </xf>
    <xf numFmtId="2" fontId="212" fillId="0" borderId="0" xfId="0" applyNumberFormat="1" applyFont="1" applyAlignment="1">
      <alignment horizontal="center"/>
    </xf>
    <xf numFmtId="2" fontId="212" fillId="0" borderId="0" xfId="0" applyNumberFormat="1" applyFont="1" applyAlignment="1">
      <alignment horizontal="left"/>
    </xf>
    <xf numFmtId="0" fontId="215" fillId="0" borderId="0" xfId="0" applyFont="1" applyAlignment="1">
      <alignment horizontal="center" vertical="top" wrapText="1"/>
    </xf>
    <xf numFmtId="0" fontId="213" fillId="0" borderId="0" xfId="0" applyFont="1"/>
    <xf numFmtId="0" fontId="216" fillId="0" borderId="0" xfId="598" applyFont="1" applyAlignment="1">
      <alignment vertical="top"/>
    </xf>
    <xf numFmtId="0" fontId="100" fillId="0" borderId="0" xfId="598" applyFont="1" applyAlignment="1">
      <alignment vertical="top"/>
    </xf>
    <xf numFmtId="0" fontId="216" fillId="0" borderId="0" xfId="598" applyFont="1" applyAlignment="1">
      <alignment vertical="top" wrapText="1"/>
    </xf>
    <xf numFmtId="0" fontId="26" fillId="4" borderId="0" xfId="3751" applyFont="1" applyFill="1" applyAlignment="1">
      <alignment horizontal="center" vertical="center"/>
    </xf>
    <xf numFmtId="0" fontId="216" fillId="0" borderId="0" xfId="598" applyFont="1" applyAlignment="1">
      <alignment vertical="center"/>
    </xf>
    <xf numFmtId="0" fontId="100" fillId="0" borderId="0" xfId="598" applyFont="1" applyAlignment="1">
      <alignment vertical="center"/>
    </xf>
    <xf numFmtId="0" fontId="100" fillId="3" borderId="0" xfId="598" applyFont="1" applyFill="1" applyAlignment="1">
      <alignment vertical="top"/>
    </xf>
    <xf numFmtId="0" fontId="217" fillId="0" borderId="0" xfId="598" applyFont="1" applyAlignment="1">
      <alignment vertical="top"/>
    </xf>
    <xf numFmtId="0" fontId="218" fillId="0" borderId="0" xfId="598" applyFont="1" applyAlignment="1">
      <alignment vertical="top"/>
    </xf>
    <xf numFmtId="0" fontId="216" fillId="0" borderId="0" xfId="598" applyFont="1" applyAlignment="1">
      <alignment horizontal="center" vertical="top"/>
    </xf>
    <xf numFmtId="0" fontId="216" fillId="0" borderId="7" xfId="598" applyFont="1" applyBorder="1" applyAlignment="1">
      <alignment horizontal="center" vertical="top"/>
    </xf>
    <xf numFmtId="0" fontId="216" fillId="0" borderId="8" xfId="598" applyFont="1" applyBorder="1" applyAlignment="1">
      <alignment horizontal="center" vertical="top"/>
    </xf>
    <xf numFmtId="0" fontId="160" fillId="0" borderId="5" xfId="598" applyFont="1" applyBorder="1" applyAlignment="1">
      <alignment vertical="top" wrapText="1"/>
    </xf>
    <xf numFmtId="0" fontId="100" fillId="0" borderId="8" xfId="598" applyFont="1" applyBorder="1" applyAlignment="1">
      <alignment horizontal="center" vertical="top"/>
    </xf>
    <xf numFmtId="0" fontId="220" fillId="0" borderId="6" xfId="598" applyFont="1" applyBorder="1" applyAlignment="1">
      <alignment horizontal="left" vertical="top"/>
    </xf>
    <xf numFmtId="0" fontId="160" fillId="0" borderId="2" xfId="598" applyFont="1" applyBorder="1" applyAlignment="1">
      <alignment horizontal="left" vertical="top"/>
    </xf>
    <xf numFmtId="0" fontId="160" fillId="0" borderId="1" xfId="598" applyFont="1" applyBorder="1" applyAlignment="1">
      <alignment horizontal="center" vertical="top"/>
    </xf>
    <xf numFmtId="0" fontId="216" fillId="0" borderId="4" xfId="598" applyFont="1" applyBorder="1" applyAlignment="1">
      <alignment horizontal="left" vertical="top"/>
    </xf>
    <xf numFmtId="0" fontId="216" fillId="0" borderId="10" xfId="598" applyFont="1" applyBorder="1" applyAlignment="1">
      <alignment horizontal="left" vertical="top"/>
    </xf>
    <xf numFmtId="0" fontId="216" fillId="0" borderId="5" xfId="598" applyFont="1" applyBorder="1" applyAlignment="1">
      <alignment horizontal="left" vertical="top"/>
    </xf>
    <xf numFmtId="0" fontId="160" fillId="0" borderId="7" xfId="598" applyFont="1" applyBorder="1" applyAlignment="1">
      <alignment horizontal="center" vertical="top"/>
    </xf>
    <xf numFmtId="0" fontId="216" fillId="4" borderId="1" xfId="598" applyFont="1" applyFill="1" applyBorder="1" applyAlignment="1">
      <alignment horizontal="center" vertical="top" wrapText="1"/>
    </xf>
    <xf numFmtId="0" fontId="216" fillId="4" borderId="3" xfId="598" applyFont="1" applyFill="1" applyBorder="1" applyAlignment="1">
      <alignment vertical="top" wrapText="1"/>
    </xf>
    <xf numFmtId="0" fontId="216" fillId="4" borderId="9" xfId="598" applyFont="1" applyFill="1" applyBorder="1" applyAlignment="1">
      <alignment vertical="top" wrapText="1"/>
    </xf>
    <xf numFmtId="0" fontId="216" fillId="4" borderId="1" xfId="598" applyFont="1" applyFill="1" applyBorder="1" applyAlignment="1">
      <alignment horizontal="center" vertical="center"/>
    </xf>
    <xf numFmtId="0" fontId="160" fillId="4" borderId="1" xfId="598" applyFont="1" applyFill="1" applyBorder="1" applyAlignment="1">
      <alignment horizontal="center" vertical="center"/>
    </xf>
    <xf numFmtId="0" fontId="216" fillId="4" borderId="4" xfId="598" applyFont="1" applyFill="1" applyBorder="1" applyAlignment="1">
      <alignment horizontal="center" vertical="center" wrapText="1"/>
    </xf>
    <xf numFmtId="0" fontId="216" fillId="4" borderId="1" xfId="598" applyFont="1" applyFill="1" applyBorder="1" applyAlignment="1">
      <alignment horizontal="center" vertical="center" wrapText="1"/>
    </xf>
    <xf numFmtId="0" fontId="216" fillId="4" borderId="1" xfId="598" applyFont="1" applyFill="1" applyBorder="1" applyAlignment="1">
      <alignment horizontal="center" vertical="top"/>
    </xf>
    <xf numFmtId="0" fontId="160" fillId="4" borderId="1" xfId="598" applyFont="1" applyFill="1" applyBorder="1" applyAlignment="1">
      <alignment horizontal="center" vertical="top"/>
    </xf>
    <xf numFmtId="0" fontId="157" fillId="4" borderId="3" xfId="598" applyFont="1" applyFill="1" applyBorder="1" applyAlignment="1">
      <alignment horizontal="center" vertical="center"/>
    </xf>
    <xf numFmtId="0" fontId="157" fillId="4" borderId="4" xfId="598" applyFont="1" applyFill="1" applyBorder="1" applyAlignment="1">
      <alignment vertical="center"/>
    </xf>
    <xf numFmtId="0" fontId="157" fillId="4" borderId="10" xfId="598" applyFont="1" applyFill="1" applyBorder="1" applyAlignment="1">
      <alignment vertical="center"/>
    </xf>
    <xf numFmtId="0" fontId="157" fillId="4" borderId="1" xfId="598" applyFont="1" applyFill="1" applyBorder="1" applyAlignment="1">
      <alignment vertical="center"/>
    </xf>
    <xf numFmtId="3" fontId="157" fillId="4" borderId="1" xfId="598" applyNumberFormat="1" applyFont="1" applyFill="1" applyBorder="1" applyAlignment="1">
      <alignment vertical="center"/>
    </xf>
    <xf numFmtId="0" fontId="223" fillId="4" borderId="11" xfId="598" applyFont="1" applyFill="1" applyBorder="1" applyAlignment="1">
      <alignment vertical="center"/>
    </xf>
    <xf numFmtId="0" fontId="223" fillId="4" borderId="12" xfId="598" applyFont="1" applyFill="1" applyBorder="1" applyAlignment="1">
      <alignment vertical="center"/>
    </xf>
    <xf numFmtId="0" fontId="223" fillId="4" borderId="6" xfId="598" applyFont="1" applyFill="1" applyBorder="1" applyAlignment="1">
      <alignment vertical="center"/>
    </xf>
    <xf numFmtId="0" fontId="223" fillId="4" borderId="0" xfId="598" applyFont="1" applyFill="1" applyAlignment="1">
      <alignment vertical="center"/>
    </xf>
    <xf numFmtId="0" fontId="223" fillId="4" borderId="3" xfId="598" applyFont="1" applyFill="1" applyBorder="1" applyAlignment="1">
      <alignment vertical="center"/>
    </xf>
    <xf numFmtId="0" fontId="223" fillId="4" borderId="9" xfId="598" applyFont="1" applyFill="1" applyBorder="1" applyAlignment="1">
      <alignment vertical="center"/>
    </xf>
    <xf numFmtId="0" fontId="26" fillId="4" borderId="1" xfId="3751" applyFont="1" applyFill="1" applyBorder="1" applyAlignment="1">
      <alignment horizontal="center" vertical="center"/>
    </xf>
    <xf numFmtId="0" fontId="224" fillId="0" borderId="1" xfId="0" applyFont="1" applyBorder="1" applyAlignment="1">
      <alignment horizontal="center" vertical="center" wrapText="1"/>
    </xf>
    <xf numFmtId="0" fontId="224" fillId="0" borderId="1" xfId="0" applyFont="1" applyBorder="1" applyAlignment="1">
      <alignment vertical="center" wrapText="1"/>
    </xf>
    <xf numFmtId="0" fontId="106" fillId="0" borderId="1" xfId="0" applyFont="1" applyBorder="1" applyAlignment="1">
      <alignment vertical="center" wrapText="1"/>
    </xf>
    <xf numFmtId="0" fontId="224" fillId="0" borderId="1" xfId="0" applyFont="1" applyBorder="1" applyAlignment="1">
      <alignment vertical="center"/>
    </xf>
    <xf numFmtId="0" fontId="224" fillId="0" borderId="4" xfId="0" applyFont="1" applyBorder="1" applyAlignment="1">
      <alignment vertical="center" wrapText="1"/>
    </xf>
    <xf numFmtId="0" fontId="106" fillId="0" borderId="4" xfId="0" applyFont="1" applyBorder="1" applyAlignment="1">
      <alignment vertical="center" wrapText="1"/>
    </xf>
    <xf numFmtId="0" fontId="7" fillId="4" borderId="1" xfId="3751" applyFont="1" applyFill="1" applyBorder="1" applyAlignment="1">
      <alignment vertical="center" wrapText="1"/>
    </xf>
    <xf numFmtId="0" fontId="160" fillId="4" borderId="3" xfId="598" applyFont="1" applyFill="1" applyBorder="1" applyAlignment="1">
      <alignment horizontal="center" vertical="center"/>
    </xf>
    <xf numFmtId="9" fontId="216" fillId="0" borderId="0" xfId="598" applyNumberFormat="1" applyFont="1" applyAlignment="1">
      <alignment vertical="top"/>
    </xf>
    <xf numFmtId="9" fontId="216" fillId="4" borderId="1" xfId="598" applyNumberFormat="1" applyFont="1" applyFill="1" applyBorder="1" applyAlignment="1">
      <alignment horizontal="center" vertical="center" wrapText="1"/>
    </xf>
    <xf numFmtId="0" fontId="160" fillId="0" borderId="4" xfId="598" applyFont="1" applyBorder="1" applyAlignment="1">
      <alignment horizontal="left" vertical="center"/>
    </xf>
    <xf numFmtId="0" fontId="225" fillId="0" borderId="1" xfId="598" applyFont="1" applyBorder="1" applyAlignment="1">
      <alignment horizontal="center" vertical="center" wrapText="1"/>
    </xf>
    <xf numFmtId="0" fontId="226" fillId="0" borderId="0" xfId="598" applyFont="1" applyAlignment="1">
      <alignment vertical="top"/>
    </xf>
    <xf numFmtId="0" fontId="160" fillId="0" borderId="4" xfId="598" applyFont="1" applyBorder="1" applyAlignment="1">
      <alignment vertical="top"/>
    </xf>
    <xf numFmtId="14" fontId="157" fillId="0" borderId="8" xfId="598" applyNumberFormat="1" applyFont="1" applyBorder="1" applyAlignment="1">
      <alignment vertical="top"/>
    </xf>
    <xf numFmtId="0" fontId="216" fillId="0" borderId="88" xfId="598" applyFont="1" applyBorder="1" applyAlignment="1">
      <alignment horizontal="center" vertical="top" wrapText="1"/>
    </xf>
    <xf numFmtId="0" fontId="144" fillId="0" borderId="19" xfId="982" applyFont="1" applyBorder="1" applyAlignment="1">
      <alignment horizontal="left" vertical="top"/>
    </xf>
    <xf numFmtId="0" fontId="216" fillId="0" borderId="14" xfId="598" applyFont="1" applyBorder="1" applyAlignment="1">
      <alignment vertical="top"/>
    </xf>
    <xf numFmtId="0" fontId="216" fillId="0" borderId="21" xfId="598" applyFont="1" applyBorder="1" applyAlignment="1">
      <alignment vertical="top"/>
    </xf>
    <xf numFmtId="0" fontId="216" fillId="0" borderId="28" xfId="598" applyFont="1" applyBorder="1" applyAlignment="1">
      <alignment vertical="top"/>
    </xf>
    <xf numFmtId="0" fontId="216" fillId="0" borderId="5" xfId="598" applyFont="1" applyBorder="1" applyAlignment="1">
      <alignment horizontal="center" vertical="top" wrapText="1"/>
    </xf>
    <xf numFmtId="206" fontId="144" fillId="0" borderId="2" xfId="598" applyNumberFormat="1" applyFont="1" applyBorder="1" applyAlignment="1">
      <alignment horizontal="left" vertical="top"/>
    </xf>
    <xf numFmtId="0" fontId="160" fillId="0" borderId="2" xfId="598" applyFont="1" applyBorder="1" applyAlignment="1">
      <alignment horizontal="center" vertical="top"/>
    </xf>
    <xf numFmtId="0" fontId="144" fillId="0" borderId="1" xfId="598" applyFont="1" applyBorder="1" applyAlignment="1">
      <alignment vertical="top"/>
    </xf>
    <xf numFmtId="0" fontId="157" fillId="0" borderId="1" xfId="598" applyFont="1" applyBorder="1" applyAlignment="1">
      <alignment horizontal="center" vertical="top"/>
    </xf>
    <xf numFmtId="0" fontId="144" fillId="0" borderId="1" xfId="598" applyFont="1" applyBorder="1" applyAlignment="1">
      <alignment horizontal="left" vertical="top"/>
    </xf>
    <xf numFmtId="0" fontId="216" fillId="0" borderId="1" xfId="598" applyFont="1" applyBorder="1" applyAlignment="1">
      <alignment vertical="top" wrapText="1"/>
    </xf>
    <xf numFmtId="165" fontId="144" fillId="0" borderId="4" xfId="598" applyNumberFormat="1" applyFont="1" applyBorder="1" applyAlignment="1">
      <alignment horizontal="left" vertical="top"/>
    </xf>
    <xf numFmtId="0" fontId="100" fillId="0" borderId="5" xfId="598" applyFont="1" applyBorder="1" applyAlignment="1">
      <alignment horizontal="center" vertical="top" wrapText="1"/>
    </xf>
    <xf numFmtId="0" fontId="227" fillId="0" borderId="1" xfId="598" applyFont="1" applyBorder="1" applyAlignment="1">
      <alignment horizontal="left" vertical="top"/>
    </xf>
    <xf numFmtId="0" fontId="100" fillId="0" borderId="7" xfId="598" applyFont="1" applyBorder="1" applyAlignment="1">
      <alignment vertical="top" wrapText="1"/>
    </xf>
    <xf numFmtId="165" fontId="227" fillId="0" borderId="11" xfId="598" applyNumberFormat="1" applyFont="1" applyBorder="1" applyAlignment="1">
      <alignment horizontal="left" vertical="top"/>
    </xf>
    <xf numFmtId="0" fontId="122" fillId="0" borderId="7" xfId="598" applyFont="1" applyBorder="1" applyAlignment="1">
      <alignment horizontal="left" vertical="top"/>
    </xf>
    <xf numFmtId="0" fontId="216" fillId="0" borderId="1" xfId="598" applyFont="1" applyBorder="1" applyAlignment="1">
      <alignment horizontal="center" vertical="top" wrapText="1"/>
    </xf>
    <xf numFmtId="0" fontId="216" fillId="0" borderId="7" xfId="598" applyFont="1" applyBorder="1" applyAlignment="1">
      <alignment vertical="top" wrapText="1"/>
    </xf>
    <xf numFmtId="207" fontId="144" fillId="0" borderId="11" xfId="598" applyNumberFormat="1" applyFont="1" applyBorder="1" applyAlignment="1">
      <alignment horizontal="left" vertical="top"/>
    </xf>
    <xf numFmtId="0" fontId="144" fillId="0" borderId="7" xfId="598" applyFont="1" applyBorder="1" applyAlignment="1">
      <alignment vertical="top"/>
    </xf>
    <xf numFmtId="0" fontId="216" fillId="0" borderId="7" xfId="598" applyFont="1" applyBorder="1" applyAlignment="1">
      <alignment vertical="top"/>
    </xf>
    <xf numFmtId="0" fontId="144" fillId="0" borderId="4" xfId="598" applyFont="1" applyBorder="1" applyAlignment="1">
      <alignment horizontal="left" vertical="top"/>
    </xf>
    <xf numFmtId="0" fontId="219" fillId="0" borderId="11" xfId="187" applyFont="1" applyBorder="1" applyAlignment="1">
      <alignment horizontal="right" vertical="top" wrapText="1"/>
    </xf>
    <xf numFmtId="0" fontId="157" fillId="0" borderId="12" xfId="598" applyFont="1" applyBorder="1" applyAlignment="1">
      <alignment vertical="top"/>
    </xf>
    <xf numFmtId="0" fontId="219" fillId="0" borderId="12" xfId="187" applyFont="1" applyBorder="1" applyAlignment="1">
      <alignment vertical="top" wrapText="1"/>
    </xf>
    <xf numFmtId="206" fontId="144" fillId="0" borderId="4" xfId="598" applyNumberFormat="1" applyFont="1" applyBorder="1" applyAlignment="1">
      <alignment horizontal="center" vertical="top"/>
    </xf>
    <xf numFmtId="0" fontId="160" fillId="0" borderId="6" xfId="598" applyFont="1" applyBorder="1" applyAlignment="1">
      <alignment horizontal="right" vertical="top"/>
    </xf>
    <xf numFmtId="0" fontId="228" fillId="0" borderId="0" xfId="598" applyFont="1" applyAlignment="1">
      <alignment vertical="top" wrapText="1"/>
    </xf>
    <xf numFmtId="0" fontId="160" fillId="0" borderId="5" xfId="598" applyFont="1" applyBorder="1" applyAlignment="1">
      <alignment horizontal="center" vertical="top" wrapText="1"/>
    </xf>
    <xf numFmtId="2" fontId="144" fillId="3" borderId="4" xfId="598" applyNumberFormat="1" applyFont="1" applyFill="1" applyBorder="1" applyAlignment="1">
      <alignment horizontal="center" vertical="top"/>
    </xf>
    <xf numFmtId="0" fontId="160" fillId="0" borderId="6" xfId="598" applyFont="1" applyBorder="1" applyAlignment="1">
      <alignment vertical="top"/>
    </xf>
    <xf numFmtId="0" fontId="157" fillId="0" borderId="0" xfId="598" applyFont="1" applyAlignment="1">
      <alignment horizontal="center" vertical="top"/>
    </xf>
    <xf numFmtId="0" fontId="160" fillId="0" borderId="1" xfId="598" applyFont="1" applyBorder="1" applyAlignment="1">
      <alignment horizontal="center" vertical="top" wrapText="1"/>
    </xf>
    <xf numFmtId="2" fontId="144" fillId="0" borderId="4" xfId="598" applyNumberFormat="1" applyFont="1" applyBorder="1" applyAlignment="1">
      <alignment horizontal="center" vertical="top"/>
    </xf>
    <xf numFmtId="2" fontId="165" fillId="0" borderId="1" xfId="598" applyNumberFormat="1" applyFont="1" applyBorder="1" applyAlignment="1">
      <alignment horizontal="center" vertical="top"/>
    </xf>
    <xf numFmtId="0" fontId="225" fillId="0" borderId="0" xfId="598" applyFont="1" applyAlignment="1">
      <alignment vertical="top" wrapText="1"/>
    </xf>
    <xf numFmtId="2" fontId="229" fillId="0" borderId="0" xfId="598" applyNumberFormat="1" applyFont="1" applyAlignment="1">
      <alignment horizontal="center" vertical="top"/>
    </xf>
    <xf numFmtId="0" fontId="228" fillId="0" borderId="1" xfId="598" applyFont="1" applyBorder="1" applyAlignment="1">
      <alignment horizontal="center" vertical="top"/>
    </xf>
    <xf numFmtId="2" fontId="161" fillId="0" borderId="0" xfId="598" applyNumberFormat="1" applyFont="1" applyAlignment="1">
      <alignment vertical="top" wrapText="1"/>
    </xf>
    <xf numFmtId="4" fontId="226" fillId="0" borderId="0" xfId="1509" applyNumberFormat="1" applyFont="1" applyAlignment="1">
      <alignment horizontal="center" vertical="center" wrapText="1"/>
    </xf>
    <xf numFmtId="0" fontId="216" fillId="0" borderId="0" xfId="598" applyFont="1" applyAlignment="1">
      <alignment horizontal="center" vertical="top" wrapText="1"/>
    </xf>
    <xf numFmtId="0" fontId="218" fillId="0" borderId="0" xfId="187" applyFont="1" applyAlignment="1">
      <alignment vertical="top" wrapText="1"/>
    </xf>
    <xf numFmtId="0" fontId="144" fillId="0" borderId="0" xfId="598" applyFont="1" applyAlignment="1">
      <alignment horizontal="center" vertical="top" wrapText="1"/>
    </xf>
    <xf numFmtId="0" fontId="160" fillId="0" borderId="5" xfId="598" applyFont="1" applyBorder="1" applyAlignment="1">
      <alignment horizontal="left" vertical="top"/>
    </xf>
    <xf numFmtId="0" fontId="217" fillId="3" borderId="4" xfId="598" applyFont="1" applyFill="1" applyBorder="1" applyAlignment="1">
      <alignment horizontal="left" vertical="top"/>
    </xf>
    <xf numFmtId="0" fontId="157" fillId="3" borderId="1" xfId="598" applyFont="1" applyFill="1" applyBorder="1" applyAlignment="1">
      <alignment horizontal="left" vertical="top"/>
    </xf>
    <xf numFmtId="0" fontId="157" fillId="3" borderId="4" xfId="598" applyFont="1" applyFill="1" applyBorder="1" applyAlignment="1">
      <alignment horizontal="left" vertical="top"/>
    </xf>
    <xf numFmtId="0" fontId="157" fillId="3" borderId="10" xfId="598" applyFont="1" applyFill="1" applyBorder="1" applyAlignment="1">
      <alignment horizontal="left" vertical="top"/>
    </xf>
    <xf numFmtId="0" fontId="216" fillId="0" borderId="1" xfId="2833" applyFont="1" applyBorder="1" applyAlignment="1">
      <alignment horizontal="center" vertical="center" wrapText="1"/>
    </xf>
    <xf numFmtId="0" fontId="216" fillId="0" borderId="1" xfId="2833" applyFont="1" applyBorder="1" applyAlignment="1">
      <alignment horizontal="left" vertical="center" wrapText="1"/>
    </xf>
    <xf numFmtId="0" fontId="216" fillId="0" borderId="1" xfId="2833" applyFont="1" applyBorder="1" applyAlignment="1">
      <alignment horizontal="center" vertical="center"/>
    </xf>
    <xf numFmtId="0" fontId="216" fillId="0" borderId="1" xfId="2833" applyFont="1" applyBorder="1" applyAlignment="1">
      <alignment horizontal="left" vertical="center"/>
    </xf>
    <xf numFmtId="0" fontId="216" fillId="0" borderId="0" xfId="2833" applyFont="1" applyAlignment="1">
      <alignment horizontal="center" vertical="center"/>
    </xf>
    <xf numFmtId="0" fontId="216" fillId="0" borderId="0" xfId="2833" applyFont="1" applyAlignment="1">
      <alignment horizontal="left" vertical="center"/>
    </xf>
    <xf numFmtId="1" fontId="216" fillId="0" borderId="0" xfId="598" applyNumberFormat="1" applyFont="1" applyAlignment="1">
      <alignment horizontal="center" vertical="top"/>
    </xf>
    <xf numFmtId="9" fontId="216" fillId="0" borderId="0" xfId="598" applyNumberFormat="1" applyFont="1" applyAlignment="1">
      <alignment horizontal="center" vertical="top"/>
    </xf>
    <xf numFmtId="0" fontId="160" fillId="0" borderId="0" xfId="2833" applyFont="1"/>
    <xf numFmtId="0" fontId="160" fillId="0" borderId="0" xfId="2833" applyFont="1" applyAlignment="1">
      <alignment wrapText="1"/>
    </xf>
    <xf numFmtId="0" fontId="216" fillId="0" borderId="4" xfId="2833" applyFont="1" applyBorder="1" applyAlignment="1">
      <alignment vertical="center" wrapText="1"/>
    </xf>
    <xf numFmtId="0" fontId="216" fillId="0" borderId="10" xfId="2833" applyFont="1" applyBorder="1" applyAlignment="1">
      <alignment vertical="center" wrapText="1"/>
    </xf>
    <xf numFmtId="0" fontId="216" fillId="0" borderId="5" xfId="2833" applyFont="1" applyBorder="1" applyAlignment="1">
      <alignment vertical="center" wrapText="1"/>
    </xf>
    <xf numFmtId="0" fontId="216" fillId="0" borderId="1" xfId="2833" applyFont="1" applyBorder="1" applyAlignment="1">
      <alignment horizontal="left" vertical="justify"/>
    </xf>
    <xf numFmtId="0" fontId="44" fillId="0" borderId="0" xfId="598" applyFont="1" applyAlignment="1">
      <alignment horizontal="center" vertical="top" wrapText="1"/>
    </xf>
    <xf numFmtId="0" fontId="0" fillId="0" borderId="10" xfId="2833" applyFont="1" applyBorder="1" applyAlignment="1">
      <alignment horizontal="left" vertical="justify"/>
    </xf>
    <xf numFmtId="0" fontId="10" fillId="0" borderId="10" xfId="2833" applyFont="1" applyBorder="1" applyAlignment="1">
      <alignment horizontal="left" vertical="justify"/>
    </xf>
    <xf numFmtId="0" fontId="10" fillId="0" borderId="10" xfId="2833" applyFont="1" applyBorder="1" applyAlignment="1">
      <alignment horizontal="center" vertical="justify"/>
    </xf>
    <xf numFmtId="0" fontId="216" fillId="0" borderId="10" xfId="2833" applyFont="1" applyBorder="1" applyAlignment="1">
      <alignment horizontal="left" vertical="justify"/>
    </xf>
    <xf numFmtId="0" fontId="160" fillId="0" borderId="10" xfId="2833" applyFont="1" applyBorder="1" applyAlignment="1">
      <alignment horizontal="left" vertical="justify"/>
    </xf>
    <xf numFmtId="0" fontId="160" fillId="0" borderId="10" xfId="2833" applyFont="1" applyBorder="1" applyAlignment="1">
      <alignment horizontal="center" vertical="justify"/>
    </xf>
    <xf numFmtId="0" fontId="223" fillId="4" borderId="24" xfId="598" applyFont="1" applyFill="1" applyBorder="1" applyAlignment="1">
      <alignment vertical="center"/>
    </xf>
    <xf numFmtId="0" fontId="223" fillId="4" borderId="25" xfId="598" applyFont="1" applyFill="1" applyBorder="1" applyAlignment="1">
      <alignment vertical="center"/>
    </xf>
    <xf numFmtId="0" fontId="223" fillId="4" borderId="15" xfId="598" applyFont="1" applyFill="1" applyBorder="1" applyAlignment="1">
      <alignment vertical="center"/>
    </xf>
    <xf numFmtId="0" fontId="106" fillId="0" borderId="12" xfId="0" applyFont="1" applyBorder="1" applyAlignment="1">
      <alignment vertical="center" wrapText="1"/>
    </xf>
    <xf numFmtId="0" fontId="224" fillId="0" borderId="5" xfId="0" applyFont="1" applyBorder="1" applyAlignment="1">
      <alignment vertical="center" wrapText="1"/>
    </xf>
    <xf numFmtId="0" fontId="224" fillId="0" borderId="10" xfId="0" applyFont="1" applyBorder="1" applyAlignment="1">
      <alignment vertical="center" wrapText="1"/>
    </xf>
    <xf numFmtId="0" fontId="106" fillId="0" borderId="10" xfId="0" applyFont="1" applyBorder="1" applyAlignment="1">
      <alignment vertical="center" wrapText="1"/>
    </xf>
    <xf numFmtId="0" fontId="106" fillId="0" borderId="5" xfId="0" applyFont="1" applyBorder="1" applyAlignment="1">
      <alignment vertical="center" wrapText="1"/>
    </xf>
    <xf numFmtId="0" fontId="7" fillId="4" borderId="4" xfId="3751" applyFont="1" applyFill="1" applyBorder="1" applyAlignment="1">
      <alignment vertical="center" wrapText="1"/>
    </xf>
    <xf numFmtId="0" fontId="7" fillId="4" borderId="10" xfId="3751" applyFont="1" applyFill="1" applyBorder="1" applyAlignment="1">
      <alignment vertical="center" wrapText="1"/>
    </xf>
    <xf numFmtId="0" fontId="216" fillId="3" borderId="5" xfId="2833" applyFont="1" applyFill="1" applyBorder="1" applyAlignment="1">
      <alignment horizontal="center" vertical="center" wrapText="1"/>
    </xf>
    <xf numFmtId="0" fontId="230" fillId="3" borderId="1" xfId="2833" applyFont="1" applyFill="1" applyBorder="1" applyAlignment="1">
      <alignment horizontal="center" vertical="center" wrapText="1"/>
    </xf>
    <xf numFmtId="0" fontId="231" fillId="3" borderId="1" xfId="2833" applyFont="1" applyFill="1" applyBorder="1" applyAlignment="1">
      <alignment horizontal="center" vertical="center" wrapText="1"/>
    </xf>
    <xf numFmtId="0" fontId="216" fillId="3" borderId="1" xfId="2833" applyFont="1" applyFill="1" applyBorder="1" applyAlignment="1">
      <alignment horizontal="center" vertical="center" wrapText="1"/>
    </xf>
    <xf numFmtId="0" fontId="230" fillId="3" borderId="10" xfId="2833" applyFont="1" applyFill="1" applyBorder="1" applyAlignment="1">
      <alignment horizontal="center" vertical="center" wrapText="1"/>
    </xf>
    <xf numFmtId="0" fontId="230" fillId="3" borderId="5" xfId="2833" applyFont="1" applyFill="1" applyBorder="1" applyAlignment="1">
      <alignment horizontal="center" vertical="center" wrapText="1"/>
    </xf>
    <xf numFmtId="0" fontId="216" fillId="0" borderId="4" xfId="2833" applyFont="1" applyBorder="1" applyAlignment="1">
      <alignment horizontal="left" vertical="center" wrapText="1"/>
    </xf>
    <xf numFmtId="0" fontId="230" fillId="0" borderId="10" xfId="2833" applyFont="1" applyBorder="1" applyAlignment="1">
      <alignment horizontal="left" vertical="center" wrapText="1"/>
    </xf>
    <xf numFmtId="0" fontId="230" fillId="0" borderId="5" xfId="2833" applyFont="1" applyBorder="1" applyAlignment="1">
      <alignment horizontal="left" vertical="center" wrapText="1"/>
    </xf>
    <xf numFmtId="10" fontId="216" fillId="0" borderId="1" xfId="2812" applyNumberFormat="1" applyFont="1" applyFill="1" applyBorder="1" applyAlignment="1">
      <alignment horizontal="center" vertical="center" wrapText="1"/>
    </xf>
    <xf numFmtId="0" fontId="216" fillId="0" borderId="0" xfId="598" applyFont="1" applyAlignment="1">
      <alignment horizontal="center" vertical="center" wrapText="1"/>
    </xf>
    <xf numFmtId="0" fontId="216" fillId="0" borderId="10" xfId="598" applyFont="1" applyBorder="1" applyAlignment="1">
      <alignment vertical="top"/>
    </xf>
    <xf numFmtId="0" fontId="160" fillId="0" borderId="5" xfId="598" applyFont="1" applyBorder="1" applyAlignment="1">
      <alignment vertical="top"/>
    </xf>
    <xf numFmtId="0" fontId="216" fillId="0" borderId="2" xfId="598" applyFont="1" applyBorder="1" applyAlignment="1">
      <alignment vertical="top"/>
    </xf>
    <xf numFmtId="14" fontId="157" fillId="0" borderId="2" xfId="598" applyNumberFormat="1" applyFont="1" applyBorder="1" applyAlignment="1">
      <alignment vertical="top"/>
    </xf>
    <xf numFmtId="1" fontId="144" fillId="0" borderId="1" xfId="598" applyNumberFormat="1" applyFont="1" applyBorder="1" applyAlignment="1">
      <alignment horizontal="center" vertical="top"/>
    </xf>
    <xf numFmtId="0" fontId="157" fillId="0" borderId="7" xfId="598" applyFont="1" applyBorder="1" applyAlignment="1">
      <alignment vertical="top"/>
    </xf>
    <xf numFmtId="0" fontId="216" fillId="0" borderId="12" xfId="598" applyFont="1" applyBorder="1" applyAlignment="1">
      <alignment vertical="top"/>
    </xf>
    <xf numFmtId="0" fontId="157" fillId="0" borderId="0" xfId="598" applyFont="1" applyAlignment="1">
      <alignment vertical="top"/>
    </xf>
    <xf numFmtId="0" fontId="160" fillId="0" borderId="0" xfId="598" applyFont="1" applyAlignment="1">
      <alignment vertical="top"/>
    </xf>
    <xf numFmtId="0" fontId="165" fillId="0" borderId="0" xfId="598" applyFont="1" applyAlignment="1">
      <alignment vertical="top"/>
    </xf>
    <xf numFmtId="0" fontId="216" fillId="3" borderId="1" xfId="598" applyFont="1" applyFill="1" applyBorder="1" applyAlignment="1">
      <alignment horizontal="left" vertical="top"/>
    </xf>
    <xf numFmtId="0" fontId="216" fillId="4" borderId="1" xfId="2833" applyFont="1" applyFill="1" applyBorder="1" applyAlignment="1">
      <alignment horizontal="center" vertical="center" wrapText="1"/>
    </xf>
    <xf numFmtId="0" fontId="216" fillId="4" borderId="1" xfId="2833" applyFont="1" applyFill="1" applyBorder="1" applyAlignment="1">
      <alignment horizontal="center" vertical="center"/>
    </xf>
    <xf numFmtId="0" fontId="216" fillId="4" borderId="0" xfId="2833" applyFont="1" applyFill="1" applyAlignment="1">
      <alignment horizontal="center" vertical="center"/>
    </xf>
    <xf numFmtId="0" fontId="216" fillId="0" borderId="10" xfId="2833" applyFont="1" applyBorder="1" applyAlignment="1">
      <alignment horizontal="center" vertical="justify"/>
    </xf>
    <xf numFmtId="0" fontId="0" fillId="0" borderId="10" xfId="2833" applyFont="1" applyBorder="1" applyAlignment="1">
      <alignment horizontal="center" vertical="justify"/>
    </xf>
    <xf numFmtId="0" fontId="106" fillId="0" borderId="24" xfId="0" applyFont="1" applyBorder="1" applyAlignment="1">
      <alignment vertical="center" wrapText="1"/>
    </xf>
    <xf numFmtId="0" fontId="26" fillId="4" borderId="0" xfId="3751" applyFont="1" applyFill="1" applyAlignment="1">
      <alignment vertical="center" wrapText="1"/>
    </xf>
    <xf numFmtId="0" fontId="7" fillId="4" borderId="5" xfId="3751" applyFont="1" applyFill="1" applyBorder="1" applyAlignment="1">
      <alignment vertical="center" wrapText="1"/>
    </xf>
    <xf numFmtId="0" fontId="219" fillId="3" borderId="1" xfId="2833" applyFont="1" applyFill="1" applyBorder="1" applyAlignment="1">
      <alignment horizontal="center" vertical="center" wrapText="1"/>
    </xf>
    <xf numFmtId="0" fontId="216" fillId="0" borderId="10" xfId="3759" applyFont="1" applyBorder="1" applyAlignment="1">
      <alignment horizontal="left" vertical="top" wrapText="1"/>
    </xf>
    <xf numFmtId="0" fontId="216" fillId="0" borderId="5" xfId="3759" applyFont="1" applyBorder="1" applyAlignment="1">
      <alignment horizontal="left" vertical="top" wrapText="1"/>
    </xf>
    <xf numFmtId="0" fontId="216" fillId="0" borderId="0" xfId="3759" applyFont="1" applyAlignment="1">
      <alignment horizontal="left" vertical="top" wrapText="1"/>
    </xf>
    <xf numFmtId="0" fontId="216" fillId="0" borderId="0" xfId="187" applyFont="1" applyAlignment="1">
      <alignment horizontal="left" vertical="top" wrapText="1"/>
    </xf>
    <xf numFmtId="0" fontId="44" fillId="0" borderId="0" xfId="187" applyFont="1" applyAlignment="1">
      <alignment horizontal="left" vertical="top" wrapText="1"/>
    </xf>
    <xf numFmtId="1" fontId="160" fillId="0" borderId="1" xfId="2833" applyNumberFormat="1" applyFont="1" applyBorder="1" applyAlignment="1">
      <alignment horizontal="center" vertical="center"/>
    </xf>
    <xf numFmtId="0" fontId="225" fillId="0" borderId="1" xfId="598" applyFont="1" applyBorder="1" applyAlignment="1">
      <alignment horizontal="center" vertical="center"/>
    </xf>
    <xf numFmtId="0" fontId="218" fillId="0" borderId="1" xfId="598" applyFont="1" applyBorder="1" applyAlignment="1">
      <alignment horizontal="center" vertical="top"/>
    </xf>
    <xf numFmtId="2" fontId="218" fillId="0" borderId="1" xfId="598" applyNumberFormat="1" applyFont="1" applyBorder="1" applyAlignment="1">
      <alignment horizontal="right" vertical="center"/>
    </xf>
    <xf numFmtId="2" fontId="218" fillId="0" borderId="1" xfId="598" applyNumberFormat="1" applyFont="1" applyBorder="1" applyAlignment="1">
      <alignment vertical="center"/>
    </xf>
    <xf numFmtId="0" fontId="232" fillId="0" borderId="1" xfId="598" applyFont="1" applyBorder="1" applyAlignment="1">
      <alignment horizontal="center" vertical="top"/>
    </xf>
    <xf numFmtId="2" fontId="232" fillId="0" borderId="1" xfId="598" applyNumberFormat="1" applyFont="1" applyBorder="1" applyAlignment="1">
      <alignment horizontal="right" vertical="top"/>
    </xf>
    <xf numFmtId="2" fontId="232" fillId="0" borderId="4" xfId="598" applyNumberFormat="1" applyFont="1" applyBorder="1" applyAlignment="1">
      <alignment vertical="top"/>
    </xf>
    <xf numFmtId="0" fontId="218" fillId="0" borderId="1" xfId="598" applyFont="1" applyBorder="1" applyAlignment="1">
      <alignment horizontal="center" vertical="center"/>
    </xf>
    <xf numFmtId="0" fontId="218" fillId="0" borderId="4" xfId="598" applyFont="1" applyBorder="1" applyAlignment="1">
      <alignment vertical="top" wrapText="1"/>
    </xf>
    <xf numFmtId="0" fontId="218" fillId="0" borderId="10" xfId="598" applyFont="1" applyBorder="1" applyAlignment="1">
      <alignment vertical="top" wrapText="1"/>
    </xf>
    <xf numFmtId="0" fontId="218" fillId="0" borderId="5" xfId="598" applyFont="1" applyBorder="1" applyAlignment="1">
      <alignment vertical="top" wrapText="1"/>
    </xf>
    <xf numFmtId="2" fontId="218" fillId="0" borderId="1" xfId="598" applyNumberFormat="1" applyFont="1" applyBorder="1" applyAlignment="1">
      <alignment horizontal="right" vertical="top"/>
    </xf>
    <xf numFmtId="2" fontId="218" fillId="0" borderId="4" xfId="598" applyNumberFormat="1" applyFont="1" applyBorder="1" applyAlignment="1">
      <alignment vertical="top"/>
    </xf>
    <xf numFmtId="2" fontId="225" fillId="0" borderId="1" xfId="598" applyNumberFormat="1" applyFont="1" applyBorder="1" applyAlignment="1">
      <alignment vertical="center"/>
    </xf>
    <xf numFmtId="0" fontId="225" fillId="0" borderId="1" xfId="598" applyFont="1" applyBorder="1" applyAlignment="1">
      <alignment vertical="center" wrapText="1"/>
    </xf>
    <xf numFmtId="1" fontId="218" fillId="0" borderId="4" xfId="598" applyNumberFormat="1" applyFont="1" applyBorder="1" applyAlignment="1">
      <alignment vertical="top" wrapText="1"/>
    </xf>
    <xf numFmtId="0" fontId="4" fillId="0" borderId="1" xfId="598" applyFont="1" applyBorder="1" applyAlignment="1">
      <alignment horizontal="center" vertical="center"/>
    </xf>
    <xf numFmtId="2" fontId="4" fillId="0" borderId="1" xfId="598" applyNumberFormat="1" applyFont="1" applyBorder="1" applyAlignment="1">
      <alignment vertical="center"/>
    </xf>
    <xf numFmtId="0" fontId="218" fillId="0" borderId="1" xfId="598" applyFont="1" applyBorder="1" applyAlignment="1">
      <alignment vertical="center" wrapText="1"/>
    </xf>
    <xf numFmtId="1" fontId="218" fillId="0" borderId="1" xfId="598" applyNumberFormat="1" applyFont="1" applyBorder="1" applyAlignment="1">
      <alignment vertical="center"/>
    </xf>
    <xf numFmtId="1" fontId="225" fillId="0" borderId="1" xfId="598" applyNumberFormat="1" applyFont="1" applyBorder="1" applyAlignment="1">
      <alignment vertical="center"/>
    </xf>
    <xf numFmtId="2" fontId="225" fillId="0" borderId="1" xfId="1547" applyNumberFormat="1" applyFont="1" applyBorder="1" applyAlignment="1">
      <alignment horizontal="right" vertical="center" wrapText="1"/>
    </xf>
    <xf numFmtId="43" fontId="225" fillId="0" borderId="1" xfId="1547" applyFont="1" applyBorder="1" applyAlignment="1">
      <alignment vertical="center" wrapText="1"/>
    </xf>
    <xf numFmtId="0" fontId="4" fillId="0" borderId="11" xfId="598" applyFont="1" applyBorder="1" applyAlignment="1">
      <alignment horizontal="center" vertical="top"/>
    </xf>
    <xf numFmtId="0" fontId="233" fillId="0" borderId="12" xfId="598" applyFont="1" applyBorder="1" applyAlignment="1">
      <alignment vertical="top" wrapText="1"/>
    </xf>
    <xf numFmtId="2" fontId="233" fillId="0" borderId="12" xfId="598" applyNumberFormat="1" applyFont="1" applyBorder="1" applyAlignment="1">
      <alignment vertical="top" wrapText="1"/>
    </xf>
    <xf numFmtId="1" fontId="233" fillId="0" borderId="12" xfId="598" applyNumberFormat="1" applyFont="1" applyBorder="1" applyAlignment="1">
      <alignment horizontal="center" vertical="top"/>
    </xf>
    <xf numFmtId="0" fontId="4" fillId="0" borderId="0" xfId="598" applyFont="1" applyAlignment="1">
      <alignment horizontal="center" vertical="top"/>
    </xf>
    <xf numFmtId="2" fontId="233" fillId="0" borderId="0" xfId="598" applyNumberFormat="1" applyFont="1" applyAlignment="1">
      <alignment horizontal="right" vertical="top" wrapText="1"/>
    </xf>
    <xf numFmtId="1" fontId="233" fillId="0" borderId="0" xfId="598" applyNumberFormat="1" applyFont="1" applyAlignment="1">
      <alignment horizontal="center" vertical="top"/>
    </xf>
    <xf numFmtId="1" fontId="233" fillId="0" borderId="0" xfId="598" applyNumberFormat="1" applyFont="1" applyAlignment="1">
      <alignment horizontal="right" vertical="top"/>
    </xf>
    <xf numFmtId="2" fontId="233" fillId="0" borderId="47" xfId="598" applyNumberFormat="1" applyFont="1" applyBorder="1" applyAlignment="1">
      <alignment horizontal="right" vertical="top" wrapText="1"/>
    </xf>
    <xf numFmtId="0" fontId="4" fillId="0" borderId="6" xfId="598" applyFont="1" applyBorder="1" applyAlignment="1">
      <alignment horizontal="center" vertical="top"/>
    </xf>
    <xf numFmtId="0" fontId="216" fillId="0" borderId="11" xfId="598" applyFont="1" applyBorder="1" applyAlignment="1">
      <alignment horizontal="center" vertical="top"/>
    </xf>
    <xf numFmtId="0" fontId="216" fillId="0" borderId="3" xfId="598" applyFont="1" applyBorder="1" applyAlignment="1">
      <alignment horizontal="center" vertical="top"/>
    </xf>
    <xf numFmtId="0" fontId="160" fillId="0" borderId="4" xfId="598" applyFont="1" applyBorder="1" applyAlignment="1">
      <alignment horizontal="center" vertical="center"/>
    </xf>
    <xf numFmtId="0" fontId="160" fillId="0" borderId="10" xfId="598" applyFont="1" applyBorder="1" applyAlignment="1">
      <alignment vertical="center"/>
    </xf>
    <xf numFmtId="0" fontId="160" fillId="0" borderId="1" xfId="598" applyFont="1" applyBorder="1" applyAlignment="1">
      <alignment vertical="top" wrapText="1"/>
    </xf>
    <xf numFmtId="0" fontId="216" fillId="0" borderId="1" xfId="598" applyFont="1" applyBorder="1" applyAlignment="1">
      <alignment horizontal="center" vertical="top"/>
    </xf>
    <xf numFmtId="49" fontId="216" fillId="0" borderId="1" xfId="598" applyNumberFormat="1" applyFont="1" applyBorder="1" applyAlignment="1">
      <alignment horizontal="center" vertical="top"/>
    </xf>
    <xf numFmtId="208" fontId="226" fillId="0" borderId="1" xfId="598" applyNumberFormat="1" applyFont="1" applyBorder="1" applyAlignment="1">
      <alignment horizontal="center" vertical="top"/>
    </xf>
    <xf numFmtId="0" fontId="216" fillId="0" borderId="0" xfId="598" applyFont="1" applyAlignment="1">
      <alignment horizontal="justify" vertical="top" wrapText="1"/>
    </xf>
    <xf numFmtId="0" fontId="216" fillId="0" borderId="1" xfId="187" applyFont="1" applyBorder="1" applyAlignment="1">
      <alignment horizontal="center" vertical="top" shrinkToFit="1"/>
    </xf>
    <xf numFmtId="2" fontId="216" fillId="0" borderId="1" xfId="187" applyNumberFormat="1" applyFont="1" applyBorder="1" applyAlignment="1">
      <alignment horizontal="center" vertical="center" shrinkToFit="1"/>
    </xf>
    <xf numFmtId="0" fontId="216" fillId="0" borderId="0" xfId="187" applyFont="1" applyAlignment="1">
      <alignment horizontal="center" vertical="top" shrinkToFit="1"/>
    </xf>
    <xf numFmtId="2" fontId="0" fillId="0" borderId="1" xfId="187" applyNumberFormat="1" applyFont="1" applyBorder="1" applyAlignment="1">
      <alignment horizontal="center" vertical="center" shrinkToFit="1"/>
    </xf>
    <xf numFmtId="0" fontId="234" fillId="0" borderId="0" xfId="187" applyFont="1" applyAlignment="1">
      <alignment horizontal="center" vertical="top" shrinkToFit="1"/>
    </xf>
    <xf numFmtId="2" fontId="234" fillId="0" borderId="1" xfId="187" applyNumberFormat="1" applyFont="1" applyBorder="1" applyAlignment="1">
      <alignment horizontal="center" vertical="center" shrinkToFit="1"/>
    </xf>
    <xf numFmtId="0" fontId="218" fillId="3" borderId="1" xfId="187" applyFont="1" applyFill="1" applyBorder="1" applyAlignment="1">
      <alignment horizontal="center" vertical="top" wrapText="1"/>
    </xf>
    <xf numFmtId="2" fontId="218" fillId="3" borderId="1" xfId="187" applyNumberFormat="1" applyFont="1" applyFill="1" applyBorder="1" applyAlignment="1">
      <alignment horizontal="center" vertical="top" wrapText="1"/>
    </xf>
    <xf numFmtId="0" fontId="100" fillId="0" borderId="0" xfId="598" applyFont="1" applyAlignment="1">
      <alignment vertical="center" wrapText="1"/>
    </xf>
    <xf numFmtId="0" fontId="4" fillId="3" borderId="1" xfId="187" applyFill="1" applyBorder="1" applyAlignment="1">
      <alignment horizontal="center" vertical="center" wrapText="1"/>
    </xf>
    <xf numFmtId="2" fontId="4" fillId="3" borderId="1" xfId="187" applyNumberFormat="1" applyFill="1" applyBorder="1" applyAlignment="1">
      <alignment horizontal="center" vertical="center" wrapText="1"/>
    </xf>
    <xf numFmtId="2" fontId="144" fillId="0" borderId="0" xfId="598" applyNumberFormat="1" applyFont="1" applyAlignment="1">
      <alignment horizontal="center" vertical="top" wrapText="1"/>
    </xf>
    <xf numFmtId="43" fontId="218" fillId="0" borderId="0" xfId="598" applyNumberFormat="1" applyFont="1" applyAlignment="1">
      <alignment vertical="top" wrapText="1"/>
    </xf>
    <xf numFmtId="43" fontId="233" fillId="0" borderId="12" xfId="1547" applyFont="1" applyBorder="1" applyAlignment="1">
      <alignment vertical="top" wrapText="1"/>
    </xf>
    <xf numFmtId="43" fontId="233" fillId="0" borderId="24" xfId="1547" applyFont="1" applyBorder="1" applyAlignment="1">
      <alignment vertical="top" wrapText="1"/>
    </xf>
    <xf numFmtId="43" fontId="4" fillId="0" borderId="0" xfId="598" applyNumberFormat="1" applyFont="1" applyAlignment="1">
      <alignment vertical="top" wrapText="1"/>
    </xf>
    <xf numFmtId="43" fontId="233" fillId="0" borderId="0" xfId="1547" applyFont="1" applyBorder="1" applyAlignment="1">
      <alignment horizontal="right" vertical="top" wrapText="1"/>
    </xf>
    <xf numFmtId="0" fontId="225" fillId="0" borderId="24" xfId="598" applyFont="1" applyBorder="1" applyAlignment="1">
      <alignment horizontal="center" vertical="top" wrapText="1"/>
    </xf>
    <xf numFmtId="0" fontId="225" fillId="0" borderId="15" xfId="598" applyFont="1" applyBorder="1" applyAlignment="1">
      <alignment horizontal="center" vertical="top" wrapText="1"/>
    </xf>
    <xf numFmtId="0" fontId="225" fillId="0" borderId="5" xfId="598" applyFont="1" applyBorder="1" applyAlignment="1">
      <alignment horizontal="center" vertical="center" wrapText="1"/>
    </xf>
    <xf numFmtId="0" fontId="216" fillId="0" borderId="0" xfId="598" applyFont="1" applyAlignment="1">
      <alignment vertical="center" wrapText="1"/>
    </xf>
    <xf numFmtId="0" fontId="216" fillId="0" borderId="1" xfId="187" applyFont="1" applyBorder="1" applyAlignment="1">
      <alignment vertical="center"/>
    </xf>
    <xf numFmtId="0" fontId="226" fillId="0" borderId="1" xfId="187" applyFont="1" applyBorder="1" applyAlignment="1">
      <alignment vertical="center"/>
    </xf>
    <xf numFmtId="0" fontId="144" fillId="0" borderId="1" xfId="187" applyFont="1" applyBorder="1" applyAlignment="1">
      <alignment horizontal="center" vertical="center"/>
    </xf>
    <xf numFmtId="0" fontId="165" fillId="0" borderId="0" xfId="0" applyFont="1" applyAlignment="1" applyProtection="1">
      <alignment horizontal="left"/>
      <protection locked="0"/>
    </xf>
    <xf numFmtId="0" fontId="157" fillId="0" borderId="0" xfId="0" applyFont="1" applyAlignment="1" applyProtection="1">
      <alignment horizontal="left" vertical="center"/>
      <protection locked="0"/>
    </xf>
    <xf numFmtId="0" fontId="157" fillId="0" borderId="0" xfId="0" applyFont="1" applyAlignment="1">
      <alignment horizontal="left" vertical="center"/>
    </xf>
    <xf numFmtId="0" fontId="157" fillId="0" borderId="0" xfId="0" applyFont="1" applyAlignment="1" applyProtection="1">
      <alignment horizontal="left" vertical="center" wrapText="1"/>
      <protection locked="0"/>
    </xf>
    <xf numFmtId="0" fontId="216" fillId="0" borderId="1" xfId="187" applyFont="1" applyBorder="1" applyAlignment="1">
      <alignment vertical="center" wrapText="1"/>
    </xf>
    <xf numFmtId="9" fontId="144" fillId="0" borderId="1" xfId="187" applyNumberFormat="1" applyFont="1" applyBorder="1" applyAlignment="1">
      <alignment horizontal="center" vertical="center"/>
    </xf>
    <xf numFmtId="0" fontId="160" fillId="0" borderId="0" xfId="2192" applyFont="1" applyAlignment="1">
      <alignment vertical="center" wrapText="1"/>
    </xf>
    <xf numFmtId="0" fontId="160" fillId="0" borderId="0" xfId="2192" applyFont="1" applyAlignment="1">
      <alignment vertical="center"/>
    </xf>
    <xf numFmtId="0" fontId="216" fillId="0" borderId="0" xfId="187" applyFont="1" applyAlignment="1">
      <alignment vertical="center" wrapText="1"/>
    </xf>
    <xf numFmtId="0" fontId="157" fillId="0" borderId="0" xfId="187" applyFont="1" applyAlignment="1">
      <alignment horizontal="center" vertical="center"/>
    </xf>
    <xf numFmtId="0" fontId="216" fillId="0" borderId="1" xfId="598" applyFont="1" applyBorder="1" applyAlignment="1">
      <alignment vertical="top"/>
    </xf>
    <xf numFmtId="0" fontId="165" fillId="0" borderId="0" xfId="0" applyFont="1" applyAlignment="1" applyProtection="1">
      <alignment horizontal="center" vertical="center"/>
      <protection locked="0"/>
    </xf>
    <xf numFmtId="0" fontId="235" fillId="0" borderId="0" xfId="2192" applyFont="1" applyAlignment="1">
      <alignment horizontal="center" vertical="center"/>
    </xf>
    <xf numFmtId="0" fontId="157" fillId="0" borderId="0" xfId="2192" applyFont="1" applyAlignment="1">
      <alignment horizontal="center" vertical="center"/>
    </xf>
    <xf numFmtId="0" fontId="100" fillId="0" borderId="0" xfId="598" applyFont="1" applyAlignment="1">
      <alignment horizontal="justify" vertical="top" wrapText="1"/>
    </xf>
    <xf numFmtId="0" fontId="219" fillId="0" borderId="0" xfId="598" applyFont="1" applyAlignment="1">
      <alignment vertical="top"/>
    </xf>
    <xf numFmtId="2" fontId="160" fillId="0" borderId="0" xfId="598" applyNumberFormat="1" applyFont="1" applyAlignment="1">
      <alignment vertical="top" wrapText="1"/>
    </xf>
    <xf numFmtId="2" fontId="216" fillId="0" borderId="0" xfId="598" applyNumberFormat="1" applyFont="1" applyAlignment="1">
      <alignment vertical="top" wrapText="1"/>
    </xf>
    <xf numFmtId="0" fontId="160" fillId="0" borderId="1" xfId="598" applyFont="1" applyBorder="1" applyAlignment="1">
      <alignment horizontal="center" vertical="center" wrapText="1"/>
    </xf>
    <xf numFmtId="0" fontId="160" fillId="0" borderId="0" xfId="598" applyFont="1" applyAlignment="1">
      <alignment vertical="top" wrapText="1"/>
    </xf>
    <xf numFmtId="0" fontId="216" fillId="0" borderId="1" xfId="598" applyFont="1" applyBorder="1" applyAlignment="1">
      <alignment horizontal="center" vertical="center" wrapText="1"/>
    </xf>
    <xf numFmtId="2" fontId="216" fillId="0" borderId="0" xfId="598" applyNumberFormat="1" applyFont="1" applyAlignment="1">
      <alignment vertical="top"/>
    </xf>
    <xf numFmtId="0" fontId="100" fillId="0" borderId="0" xfId="598" applyFont="1" applyAlignment="1">
      <alignment horizontal="center" vertical="top"/>
    </xf>
    <xf numFmtId="0" fontId="100" fillId="0" borderId="1" xfId="598" applyFont="1" applyBorder="1" applyAlignment="1">
      <alignment horizontal="center" vertical="center" wrapText="1"/>
    </xf>
    <xf numFmtId="2" fontId="100" fillId="0" borderId="0" xfId="598" applyNumberFormat="1" applyFont="1" applyAlignment="1">
      <alignment vertical="top"/>
    </xf>
    <xf numFmtId="2" fontId="160" fillId="0" borderId="0" xfId="598" applyNumberFormat="1" applyFont="1" applyAlignment="1">
      <alignment vertical="top"/>
    </xf>
    <xf numFmtId="0" fontId="216" fillId="0" borderId="4" xfId="598" applyFont="1" applyBorder="1" applyAlignment="1">
      <alignment vertical="top" wrapText="1"/>
    </xf>
    <xf numFmtId="0" fontId="216" fillId="0" borderId="4" xfId="598" applyFont="1" applyBorder="1" applyAlignment="1">
      <alignment horizontal="center" vertical="top" wrapText="1"/>
    </xf>
    <xf numFmtId="49" fontId="218" fillId="0" borderId="1" xfId="598" applyNumberFormat="1" applyFont="1" applyBorder="1" applyAlignment="1">
      <alignment horizontal="center" vertical="top" wrapText="1"/>
    </xf>
    <xf numFmtId="2" fontId="216" fillId="0" borderId="4" xfId="598" applyNumberFormat="1" applyFont="1" applyBorder="1" applyAlignment="1">
      <alignment vertical="top"/>
    </xf>
    <xf numFmtId="2" fontId="216" fillId="0" borderId="1" xfId="598" applyNumberFormat="1" applyFont="1" applyBorder="1" applyAlignment="1">
      <alignment vertical="top"/>
    </xf>
    <xf numFmtId="43" fontId="216" fillId="0" borderId="4" xfId="1547" applyFont="1" applyBorder="1" applyAlignment="1">
      <alignment horizontal="center" textRotation="90"/>
    </xf>
    <xf numFmtId="0" fontId="44" fillId="0" borderId="0" xfId="598" applyFont="1" applyAlignment="1">
      <alignment horizontal="center" vertical="top"/>
    </xf>
    <xf numFmtId="0" fontId="44" fillId="0" borderId="0" xfId="598" applyFont="1" applyAlignment="1">
      <alignment horizontal="justify" vertical="top" wrapText="1"/>
    </xf>
    <xf numFmtId="0" fontId="216" fillId="0" borderId="0" xfId="598" applyFont="1" applyAlignment="1">
      <alignment horizontal="left" vertical="top" wrapText="1"/>
    </xf>
    <xf numFmtId="0" fontId="225" fillId="0" borderId="0" xfId="187" applyFont="1" applyAlignment="1">
      <alignment horizontal="center" vertical="top"/>
    </xf>
    <xf numFmtId="0" fontId="225" fillId="0" borderId="0" xfId="187" applyFont="1" applyAlignment="1">
      <alignment horizontal="right" vertical="top"/>
    </xf>
    <xf numFmtId="0" fontId="218" fillId="0" borderId="0" xfId="187" applyFont="1" applyAlignment="1">
      <alignment horizontal="justify" vertical="top" wrapText="1"/>
    </xf>
    <xf numFmtId="0" fontId="218" fillId="0" borderId="0" xfId="187" applyFont="1" applyAlignment="1">
      <alignment vertical="top"/>
    </xf>
    <xf numFmtId="0" fontId="232" fillId="0" borderId="0" xfId="187" applyFont="1" applyAlignment="1">
      <alignment vertical="top"/>
    </xf>
    <xf numFmtId="0" fontId="218" fillId="0" borderId="0" xfId="187" applyFont="1" applyAlignment="1">
      <alignment horizontal="center" vertical="center"/>
    </xf>
    <xf numFmtId="0" fontId="218" fillId="0" borderId="0" xfId="187" applyFont="1" applyAlignment="1">
      <alignment horizontal="right" vertical="top"/>
    </xf>
    <xf numFmtId="165" fontId="144" fillId="0" borderId="1" xfId="598" applyNumberFormat="1" applyFont="1" applyBorder="1" applyAlignment="1">
      <alignment vertical="top"/>
    </xf>
    <xf numFmtId="0" fontId="100" fillId="0" borderId="0" xfId="598" applyFont="1" applyAlignment="1">
      <alignment vertical="top" wrapText="1"/>
    </xf>
    <xf numFmtId="0" fontId="218" fillId="0" borderId="0" xfId="187" applyFont="1"/>
    <xf numFmtId="0" fontId="237" fillId="0" borderId="0" xfId="187" applyFont="1" applyAlignment="1">
      <alignment vertical="top"/>
    </xf>
    <xf numFmtId="2" fontId="144" fillId="0" borderId="0" xfId="598" applyNumberFormat="1" applyFont="1" applyAlignment="1">
      <alignment horizontal="center" vertical="top"/>
    </xf>
    <xf numFmtId="0" fontId="238" fillId="0" borderId="0" xfId="187" applyFont="1" applyAlignment="1">
      <alignment horizontal="center" vertical="top" wrapText="1"/>
    </xf>
    <xf numFmtId="0" fontId="217" fillId="0" borderId="0" xfId="598" applyFont="1" applyAlignment="1">
      <alignment horizontal="center" vertical="top"/>
    </xf>
    <xf numFmtId="0" fontId="216" fillId="0" borderId="0" xfId="187" applyFont="1" applyAlignment="1">
      <alignment vertical="top"/>
    </xf>
    <xf numFmtId="0" fontId="218" fillId="0" borderId="0" xfId="598" applyFont="1" applyAlignment="1">
      <alignment horizontal="center" vertical="top"/>
    </xf>
    <xf numFmtId="0" fontId="160" fillId="0" borderId="0" xfId="187" applyFont="1" applyAlignment="1">
      <alignment vertical="top"/>
    </xf>
    <xf numFmtId="0" fontId="238" fillId="0" borderId="0" xfId="187" applyFont="1" applyAlignment="1">
      <alignment horizontal="center" vertical="top"/>
    </xf>
    <xf numFmtId="0" fontId="231" fillId="0" borderId="0" xfId="598" applyFont="1" applyAlignment="1">
      <alignment vertical="top"/>
    </xf>
    <xf numFmtId="0" fontId="217" fillId="0" borderId="0" xfId="187" applyFont="1" applyAlignment="1">
      <alignment vertical="top"/>
    </xf>
    <xf numFmtId="0" fontId="218" fillId="0" borderId="0" xfId="598" applyFont="1" applyAlignment="1">
      <alignment vertical="top" wrapText="1"/>
    </xf>
    <xf numFmtId="0" fontId="91" fillId="0" borderId="0" xfId="0" applyFont="1" applyAlignment="1" applyProtection="1">
      <alignment horizontal="center" vertical="center"/>
      <protection locked="0"/>
    </xf>
    <xf numFmtId="0" fontId="91" fillId="0" borderId="0" xfId="0" applyFont="1" applyAlignment="1" applyProtection="1">
      <alignment vertical="center"/>
      <protection locked="0"/>
    </xf>
    <xf numFmtId="0" fontId="91" fillId="0" borderId="1" xfId="0" applyFont="1" applyBorder="1" applyAlignment="1" applyProtection="1">
      <alignment horizontal="center" vertical="center"/>
      <protection locked="0"/>
    </xf>
    <xf numFmtId="0" fontId="240" fillId="0" borderId="1" xfId="2357" applyFont="1" applyBorder="1" applyAlignment="1" applyProtection="1">
      <alignment vertical="center"/>
      <protection locked="0"/>
    </xf>
    <xf numFmtId="0" fontId="91" fillId="0" borderId="0" xfId="0" applyFont="1" applyAlignment="1" applyProtection="1">
      <alignment horizontal="left" vertical="center" wrapText="1"/>
      <protection locked="0"/>
    </xf>
    <xf numFmtId="0" fontId="90" fillId="0" borderId="1" xfId="2357" applyFont="1" applyBorder="1" applyAlignment="1" applyProtection="1">
      <alignment vertical="center" wrapText="1"/>
      <protection locked="0"/>
    </xf>
    <xf numFmtId="0" fontId="243" fillId="0" borderId="1" xfId="0" applyFont="1" applyBorder="1" applyAlignment="1" applyProtection="1">
      <alignment horizontal="center" vertical="center" wrapText="1"/>
      <protection locked="0"/>
    </xf>
    <xf numFmtId="0" fontId="91" fillId="0" borderId="1" xfId="0" applyFont="1" applyBorder="1" applyAlignment="1" applyProtection="1">
      <alignment horizontal="left"/>
      <protection locked="0"/>
    </xf>
    <xf numFmtId="0" fontId="90" fillId="32" borderId="1" xfId="0" applyFont="1" applyFill="1" applyBorder="1" applyProtection="1">
      <protection locked="0"/>
    </xf>
    <xf numFmtId="209" fontId="244" fillId="32" borderId="1" xfId="206" applyNumberFormat="1" applyFont="1" applyFill="1" applyBorder="1" applyAlignment="1" applyProtection="1">
      <alignment horizontal="center"/>
      <protection locked="0"/>
    </xf>
    <xf numFmtId="0" fontId="90" fillId="0" borderId="1" xfId="0" applyFont="1" applyBorder="1" applyAlignment="1">
      <alignment horizontal="center"/>
    </xf>
    <xf numFmtId="14" fontId="246" fillId="0" borderId="0" xfId="206" applyNumberFormat="1" applyFont="1" applyAlignment="1" applyProtection="1">
      <alignment horizontal="center"/>
      <protection locked="0"/>
    </xf>
    <xf numFmtId="0" fontId="90" fillId="0" borderId="1" xfId="0" applyFont="1" applyBorder="1" applyAlignment="1" applyProtection="1">
      <alignment horizontal="left" wrapText="1"/>
      <protection locked="0"/>
    </xf>
    <xf numFmtId="14" fontId="90" fillId="0" borderId="1" xfId="206" applyNumberFormat="1" applyFont="1" applyBorder="1" applyAlignment="1" applyProtection="1">
      <alignment horizontal="center" vertical="center"/>
      <protection locked="0"/>
    </xf>
    <xf numFmtId="14" fontId="90" fillId="0" borderId="0" xfId="206" applyNumberFormat="1" applyFont="1" applyAlignment="1" applyProtection="1">
      <alignment horizontal="center"/>
      <protection locked="0"/>
    </xf>
    <xf numFmtId="0" fontId="239" fillId="0" borderId="1" xfId="0" applyFont="1" applyBorder="1" applyAlignment="1" applyProtection="1">
      <alignment horizontal="left"/>
      <protection locked="0"/>
    </xf>
    <xf numFmtId="9" fontId="241" fillId="0" borderId="1" xfId="0" applyNumberFormat="1" applyFont="1" applyBorder="1" applyAlignment="1" applyProtection="1">
      <alignment horizontal="center"/>
      <protection locked="0"/>
    </xf>
    <xf numFmtId="0" fontId="91" fillId="0" borderId="2" xfId="0" applyFont="1" applyBorder="1" applyAlignment="1" applyProtection="1">
      <alignment horizontal="center"/>
      <protection locked="0"/>
    </xf>
    <xf numFmtId="0" fontId="90" fillId="0" borderId="1" xfId="0" applyFont="1" applyBorder="1" applyAlignment="1">
      <alignment vertical="center" wrapText="1"/>
    </xf>
    <xf numFmtId="198" fontId="241" fillId="0" borderId="1" xfId="0" applyNumberFormat="1" applyFont="1" applyBorder="1" applyAlignment="1">
      <alignment horizontal="center" vertical="center"/>
    </xf>
    <xf numFmtId="10" fontId="241" fillId="0" borderId="1" xfId="0" applyNumberFormat="1" applyFont="1" applyBorder="1" applyAlignment="1">
      <alignment horizontal="center" vertical="center"/>
    </xf>
    <xf numFmtId="0" fontId="245" fillId="0" borderId="1" xfId="0" applyFont="1" applyBorder="1" applyAlignment="1" applyProtection="1">
      <alignment horizontal="left" vertical="center" wrapText="1"/>
      <protection locked="0"/>
    </xf>
    <xf numFmtId="198" fontId="91" fillId="0" borderId="0" xfId="0" applyNumberFormat="1" applyFont="1" applyAlignment="1" applyProtection="1">
      <alignment horizontal="center" vertical="center"/>
      <protection locked="0"/>
    </xf>
    <xf numFmtId="2" fontId="90" fillId="0" borderId="0" xfId="0" applyNumberFormat="1" applyFont="1"/>
    <xf numFmtId="0" fontId="90" fillId="0" borderId="1" xfId="2357" applyFont="1" applyBorder="1" applyAlignment="1" applyProtection="1">
      <alignment horizontal="center" vertical="center"/>
      <protection locked="0"/>
    </xf>
    <xf numFmtId="2" fontId="91" fillId="0" borderId="1" xfId="0" applyNumberFormat="1" applyFont="1" applyBorder="1" applyAlignment="1" applyProtection="1">
      <alignment horizontal="center" vertical="center"/>
      <protection locked="0"/>
    </xf>
    <xf numFmtId="1" fontId="239" fillId="0" borderId="1" xfId="0" applyNumberFormat="1" applyFont="1" applyBorder="1" applyAlignment="1" applyProtection="1">
      <alignment horizontal="left" vertical="center"/>
      <protection locked="0"/>
    </xf>
    <xf numFmtId="0" fontId="239" fillId="0" borderId="1" xfId="2357" applyFont="1" applyBorder="1" applyAlignment="1" applyProtection="1">
      <alignment horizontal="center" vertical="center"/>
      <protection locked="0"/>
    </xf>
    <xf numFmtId="184" fontId="247" fillId="0" borderId="7" xfId="0" applyNumberFormat="1" applyFont="1" applyBorder="1" applyAlignment="1" applyProtection="1">
      <alignment horizontal="left" vertical="center"/>
      <protection locked="0"/>
    </xf>
    <xf numFmtId="2" fontId="91" fillId="0" borderId="7" xfId="0" applyNumberFormat="1" applyFont="1" applyBorder="1" applyAlignment="1" applyProtection="1">
      <alignment horizontal="center" vertical="center" wrapText="1"/>
      <protection locked="0"/>
    </xf>
    <xf numFmtId="1" fontId="239" fillId="0" borderId="7" xfId="0" applyNumberFormat="1" applyFont="1" applyBorder="1" applyAlignment="1" applyProtection="1">
      <alignment horizontal="center" vertical="center"/>
      <protection locked="0"/>
    </xf>
    <xf numFmtId="0" fontId="239" fillId="3" borderId="1" xfId="598" applyFont="1" applyFill="1" applyBorder="1" applyAlignment="1">
      <alignment vertical="top"/>
    </xf>
    <xf numFmtId="1" fontId="239" fillId="3" borderId="10" xfId="0" applyNumberFormat="1" applyFont="1" applyFill="1" applyBorder="1" applyAlignment="1" applyProtection="1">
      <alignment horizontal="center" vertical="center"/>
      <protection locked="0"/>
    </xf>
    <xf numFmtId="1" fontId="239" fillId="3" borderId="5" xfId="0" applyNumberFormat="1" applyFont="1" applyFill="1" applyBorder="1" applyAlignment="1" applyProtection="1">
      <alignment horizontal="center" vertical="center"/>
      <protection locked="0"/>
    </xf>
    <xf numFmtId="0" fontId="91" fillId="0" borderId="1" xfId="598" applyFont="1" applyBorder="1" applyAlignment="1">
      <alignment vertical="top"/>
    </xf>
    <xf numFmtId="0" fontId="240" fillId="0" borderId="0" xfId="2357" applyFont="1" applyAlignment="1">
      <alignment vertical="center"/>
    </xf>
    <xf numFmtId="0" fontId="241" fillId="0" borderId="2" xfId="0" applyFont="1" applyBorder="1" applyAlignment="1" applyProtection="1">
      <alignment horizontal="center" vertical="center" wrapText="1"/>
      <protection locked="0"/>
    </xf>
    <xf numFmtId="0" fontId="239" fillId="0" borderId="1" xfId="598" applyFont="1" applyBorder="1" applyAlignment="1">
      <alignment vertical="top"/>
    </xf>
    <xf numFmtId="0" fontId="241" fillId="0" borderId="0" xfId="0" applyFont="1" applyAlignment="1" applyProtection="1">
      <alignment horizontal="center" vertical="center"/>
      <protection locked="0"/>
    </xf>
    <xf numFmtId="2" fontId="242" fillId="32" borderId="1" xfId="0" applyNumberFormat="1" applyFont="1" applyFill="1" applyBorder="1" applyAlignment="1" applyProtection="1">
      <alignment horizontal="center"/>
      <protection locked="0"/>
    </xf>
    <xf numFmtId="2" fontId="241" fillId="0" borderId="0" xfId="0" applyNumberFormat="1" applyFont="1" applyAlignment="1" applyProtection="1">
      <alignment horizontal="center"/>
      <protection locked="0"/>
    </xf>
    <xf numFmtId="2" fontId="246" fillId="0" borderId="0" xfId="0" applyNumberFormat="1" applyFont="1" applyAlignment="1" applyProtection="1">
      <alignment horizontal="center"/>
      <protection locked="0"/>
    </xf>
    <xf numFmtId="0" fontId="102" fillId="0" borderId="0" xfId="0" applyFont="1"/>
    <xf numFmtId="0" fontId="239" fillId="0" borderId="0" xfId="0" applyFont="1" applyProtection="1">
      <protection locked="0"/>
    </xf>
    <xf numFmtId="0" fontId="102" fillId="0" borderId="0" xfId="0" applyFont="1" applyAlignment="1" applyProtection="1">
      <alignment vertical="center"/>
      <protection locked="0"/>
    </xf>
    <xf numFmtId="0" fontId="91" fillId="0" borderId="0" xfId="0" applyFont="1" applyAlignment="1">
      <alignment horizontal="center" vertical="center"/>
    </xf>
    <xf numFmtId="14" fontId="90" fillId="0" borderId="0" xfId="0" applyNumberFormat="1" applyFont="1" applyAlignment="1">
      <alignment vertical="center"/>
    </xf>
    <xf numFmtId="0" fontId="6" fillId="0" borderId="0" xfId="2438" applyAlignment="1">
      <alignment horizontal="center"/>
    </xf>
    <xf numFmtId="0" fontId="5" fillId="2" borderId="1" xfId="2438" applyFont="1" applyFill="1" applyBorder="1" applyAlignment="1">
      <alignment horizontal="right" vertical="center" wrapText="1"/>
    </xf>
    <xf numFmtId="2" fontId="5" fillId="2" borderId="1" xfId="2438" applyNumberFormat="1" applyFont="1" applyFill="1" applyBorder="1" applyAlignment="1">
      <alignment horizontal="center" vertical="center" wrapText="1"/>
    </xf>
    <xf numFmtId="0" fontId="5" fillId="0" borderId="2" xfId="2438" applyFont="1" applyBorder="1" applyAlignment="1">
      <alignment horizontal="right" wrapText="1"/>
    </xf>
    <xf numFmtId="2" fontId="248" fillId="2" borderId="2" xfId="2438" applyNumberFormat="1" applyFont="1" applyFill="1" applyBorder="1"/>
    <xf numFmtId="0" fontId="6" fillId="0" borderId="0" xfId="2438" applyAlignment="1">
      <alignment horizontal="center" wrapText="1"/>
    </xf>
    <xf numFmtId="4" fontId="11" fillId="0" borderId="0" xfId="2438" applyNumberFormat="1" applyFont="1" applyAlignment="1">
      <alignment horizontal="center" vertical="center" wrapText="1"/>
    </xf>
    <xf numFmtId="4" fontId="9" fillId="0" borderId="0" xfId="2438" applyNumberFormat="1" applyFont="1" applyAlignment="1">
      <alignment horizontal="center" vertical="center" wrapText="1"/>
    </xf>
    <xf numFmtId="4" fontId="6" fillId="0" borderId="0" xfId="2438" applyNumberFormat="1" applyAlignment="1">
      <alignment wrapText="1"/>
    </xf>
    <xf numFmtId="0" fontId="7" fillId="0" borderId="0" xfId="2438" applyFont="1" applyAlignment="1">
      <alignment vertical="center" wrapText="1"/>
    </xf>
    <xf numFmtId="1" fontId="249" fillId="0" borderId="0" xfId="2438" applyNumberFormat="1" applyFont="1" applyAlignment="1">
      <alignment horizontal="center" vertical="center" wrapText="1"/>
    </xf>
    <xf numFmtId="4" fontId="7" fillId="3" borderId="0" xfId="2438" applyNumberFormat="1" applyFont="1" applyFill="1" applyAlignment="1">
      <alignment vertical="center" wrapText="1"/>
    </xf>
    <xf numFmtId="0" fontId="13" fillId="0" borderId="0" xfId="2438" applyFont="1" applyAlignment="1">
      <alignment vertical="center" wrapText="1"/>
    </xf>
    <xf numFmtId="1" fontId="9" fillId="0" borderId="0" xfId="2438" applyNumberFormat="1" applyFont="1" applyAlignment="1">
      <alignment horizontal="center" wrapText="1"/>
    </xf>
    <xf numFmtId="195" fontId="7" fillId="0" borderId="1" xfId="2438" applyNumberFormat="1" applyFont="1" applyBorder="1" applyAlignment="1">
      <alignment horizontal="center" vertical="center" wrapText="1"/>
    </xf>
    <xf numFmtId="2" fontId="7" fillId="0" borderId="1" xfId="2438" applyNumberFormat="1" applyFont="1" applyBorder="1" applyAlignment="1">
      <alignment horizontal="center" vertical="center" wrapText="1"/>
    </xf>
    <xf numFmtId="2" fontId="6" fillId="0" borderId="1" xfId="2438" applyNumberFormat="1" applyBorder="1" applyAlignment="1">
      <alignment horizontal="center" vertical="center" wrapText="1"/>
    </xf>
    <xf numFmtId="0" fontId="209" fillId="0" borderId="0" xfId="2438" applyFont="1"/>
    <xf numFmtId="43" fontId="9" fillId="0" borderId="0" xfId="1151" applyFont="1" applyAlignment="1">
      <alignment horizontal="center"/>
    </xf>
    <xf numFmtId="43" fontId="11" fillId="0" borderId="1" xfId="1151" applyFont="1" applyBorder="1" applyAlignment="1">
      <alignment horizontal="center"/>
    </xf>
    <xf numFmtId="1" fontId="6" fillId="0" borderId="0" xfId="2438" applyNumberFormat="1" applyAlignment="1">
      <alignment horizontal="center"/>
    </xf>
    <xf numFmtId="0" fontId="6" fillId="0" borderId="1" xfId="2438" applyBorder="1" applyAlignment="1">
      <alignment horizontal="left"/>
    </xf>
    <xf numFmtId="0" fontId="38" fillId="0" borderId="91" xfId="0" applyFont="1" applyBorder="1"/>
    <xf numFmtId="0" fontId="38" fillId="0" borderId="91" xfId="0" applyFont="1" applyBorder="1" applyAlignment="1">
      <alignment vertical="center"/>
    </xf>
    <xf numFmtId="0" fontId="26" fillId="0" borderId="91" xfId="0" applyFont="1" applyBorder="1" applyAlignment="1">
      <alignment vertical="center"/>
    </xf>
    <xf numFmtId="0" fontId="250" fillId="3" borderId="91" xfId="0" applyFont="1" applyFill="1" applyBorder="1" applyAlignment="1">
      <alignment vertical="center"/>
    </xf>
    <xf numFmtId="0" fontId="38" fillId="0" borderId="91" xfId="0" applyFont="1" applyBorder="1" applyAlignment="1">
      <alignment horizontal="left" vertical="center"/>
    </xf>
    <xf numFmtId="171" fontId="38" fillId="0" borderId="91" xfId="0" applyNumberFormat="1" applyFont="1" applyBorder="1" applyAlignment="1">
      <alignment vertical="center"/>
    </xf>
    <xf numFmtId="2" fontId="88" fillId="0" borderId="91" xfId="0" applyNumberFormat="1" applyFont="1" applyBorder="1" applyAlignment="1">
      <alignment horizontal="left" vertical="center"/>
    </xf>
    <xf numFmtId="2" fontId="38" fillId="0" borderId="91" xfId="0" applyNumberFormat="1" applyFont="1" applyBorder="1" applyAlignment="1">
      <alignment vertical="center"/>
    </xf>
    <xf numFmtId="2" fontId="38" fillId="0" borderId="91" xfId="0" applyNumberFormat="1" applyFont="1" applyBorder="1" applyAlignment="1">
      <alignment horizontal="left" vertical="center"/>
    </xf>
    <xf numFmtId="0" fontId="38" fillId="0" borderId="1" xfId="0" applyFont="1" applyBorder="1" applyAlignment="1">
      <alignment horizontal="left" vertical="center"/>
    </xf>
    <xf numFmtId="0" fontId="83" fillId="0" borderId="91" xfId="0" applyFont="1" applyBorder="1" applyAlignment="1" applyProtection="1">
      <alignment horizontal="left" vertical="top"/>
      <protection hidden="1"/>
    </xf>
    <xf numFmtId="0" fontId="38" fillId="0" borderId="91" xfId="0" applyFont="1" applyBorder="1" applyAlignment="1" applyProtection="1">
      <alignment horizontal="left" vertical="top"/>
      <protection hidden="1"/>
    </xf>
    <xf numFmtId="0" fontId="38" fillId="0" borderId="91" xfId="0" applyFont="1" applyBorder="1" applyAlignment="1" applyProtection="1">
      <alignment horizontal="center"/>
      <protection hidden="1"/>
    </xf>
    <xf numFmtId="0" fontId="88" fillId="0" borderId="91" xfId="0" applyFont="1" applyBorder="1" applyAlignment="1" applyProtection="1">
      <alignment horizontal="left" vertical="center"/>
      <protection hidden="1"/>
    </xf>
    <xf numFmtId="2" fontId="88" fillId="0" borderId="93" xfId="0" applyNumberFormat="1" applyFont="1" applyBorder="1" applyAlignment="1" applyProtection="1">
      <alignment vertical="center"/>
      <protection hidden="1"/>
    </xf>
    <xf numFmtId="2" fontId="88" fillId="0" borderId="94" xfId="0" applyNumberFormat="1" applyFont="1" applyBorder="1" applyAlignment="1" applyProtection="1">
      <alignment vertical="center"/>
      <protection hidden="1"/>
    </xf>
    <xf numFmtId="2" fontId="88" fillId="0" borderId="95" xfId="0" applyNumberFormat="1" applyFont="1" applyBorder="1" applyAlignment="1" applyProtection="1">
      <alignment vertical="center"/>
      <protection hidden="1"/>
    </xf>
    <xf numFmtId="2" fontId="38" fillId="0" borderId="91" xfId="0" applyNumberFormat="1" applyFont="1" applyBorder="1" applyAlignment="1" applyProtection="1">
      <alignment horizontal="center"/>
      <protection hidden="1"/>
    </xf>
    <xf numFmtId="0" fontId="88" fillId="0" borderId="91" xfId="0" applyFont="1" applyBorder="1" applyAlignment="1" applyProtection="1">
      <alignment horizontal="center"/>
      <protection hidden="1"/>
    </xf>
    <xf numFmtId="184" fontId="38" fillId="0" borderId="91" xfId="0" applyNumberFormat="1" applyFont="1" applyBorder="1" applyAlignment="1" applyProtection="1">
      <alignment horizontal="center"/>
      <protection hidden="1"/>
    </xf>
    <xf numFmtId="2" fontId="38" fillId="0" borderId="91" xfId="0" applyNumberFormat="1" applyFont="1" applyBorder="1" applyAlignment="1" applyProtection="1">
      <alignment horizontal="left" vertical="center"/>
      <protection hidden="1"/>
    </xf>
    <xf numFmtId="2" fontId="38" fillId="0" borderId="91" xfId="0" applyNumberFormat="1" applyFont="1" applyBorder="1" applyAlignment="1">
      <alignment horizontal="center" vertical="center"/>
    </xf>
    <xf numFmtId="9" fontId="38" fillId="0" borderId="91" xfId="0" applyNumberFormat="1" applyFont="1" applyBorder="1" applyAlignment="1">
      <alignment horizontal="right" vertical="center"/>
    </xf>
    <xf numFmtId="0" fontId="252" fillId="0" borderId="91" xfId="0" applyFont="1" applyBorder="1" applyAlignment="1" applyProtection="1">
      <alignment horizontal="left" vertical="center"/>
      <protection hidden="1"/>
    </xf>
    <xf numFmtId="2" fontId="26" fillId="0" borderId="91" xfId="0" applyNumberFormat="1" applyFont="1" applyBorder="1" applyAlignment="1" applyProtection="1">
      <alignment horizontal="left" vertical="center" wrapText="1"/>
      <protection hidden="1"/>
    </xf>
    <xf numFmtId="2" fontId="38" fillId="0" borderId="91" xfId="0" applyNumberFormat="1" applyFont="1" applyBorder="1" applyAlignment="1">
      <alignment horizontal="right" vertical="center"/>
    </xf>
    <xf numFmtId="10" fontId="38" fillId="0" borderId="91" xfId="0" applyNumberFormat="1" applyFont="1" applyBorder="1" applyAlignment="1">
      <alignment horizontal="right" vertical="center"/>
    </xf>
    <xf numFmtId="2" fontId="38" fillId="0" borderId="91" xfId="0" applyNumberFormat="1" applyFont="1" applyBorder="1" applyAlignment="1" applyProtection="1">
      <alignment horizontal="center" vertical="top"/>
      <protection hidden="1"/>
    </xf>
    <xf numFmtId="2" fontId="253" fillId="0" borderId="91" xfId="0" applyNumberFormat="1" applyFont="1" applyBorder="1" applyAlignment="1" applyProtection="1">
      <alignment horizontal="center" vertical="top"/>
      <protection hidden="1"/>
    </xf>
    <xf numFmtId="0" fontId="38" fillId="0" borderId="91" xfId="0" applyFont="1" applyBorder="1" applyAlignment="1" applyProtection="1">
      <alignment horizontal="left" vertical="center"/>
      <protection hidden="1"/>
    </xf>
    <xf numFmtId="0" fontId="38" fillId="0" borderId="91" xfId="0" applyFont="1" applyBorder="1" applyAlignment="1">
      <alignment horizontal="left" vertical="top"/>
    </xf>
    <xf numFmtId="0" fontId="88" fillId="0" borderId="91" xfId="0" applyFont="1" applyBorder="1" applyAlignment="1">
      <alignment horizontal="left" vertical="top"/>
    </xf>
    <xf numFmtId="0" fontId="88" fillId="0" borderId="91" xfId="0" applyFont="1" applyBorder="1" applyAlignment="1">
      <alignment horizontal="center" vertical="center"/>
    </xf>
    <xf numFmtId="0" fontId="88" fillId="0" borderId="91" xfId="0" applyFont="1" applyBorder="1" applyAlignment="1">
      <alignment horizontal="left" vertical="center"/>
    </xf>
    <xf numFmtId="0" fontId="88" fillId="0" borderId="91" xfId="0" applyFont="1" applyBorder="1" applyAlignment="1">
      <alignment horizontal="center" vertical="center" wrapText="1"/>
    </xf>
    <xf numFmtId="0" fontId="88" fillId="0" borderId="91" xfId="0" applyFont="1" applyBorder="1" applyAlignment="1">
      <alignment horizontal="right" vertical="center"/>
    </xf>
    <xf numFmtId="0" fontId="38" fillId="0" borderId="91" xfId="0" applyFont="1" applyBorder="1" applyAlignment="1">
      <alignment horizontal="center" vertical="center"/>
    </xf>
    <xf numFmtId="2" fontId="38" fillId="0" borderId="91" xfId="0" applyNumberFormat="1" applyFont="1" applyBorder="1" applyAlignment="1">
      <alignment horizontal="right" vertical="center" wrapText="1"/>
    </xf>
    <xf numFmtId="2" fontId="38" fillId="0" borderId="91" xfId="0" applyNumberFormat="1" applyFont="1" applyBorder="1" applyAlignment="1">
      <alignment horizontal="left" vertical="center" wrapText="1"/>
    </xf>
    <xf numFmtId="2" fontId="38" fillId="0" borderId="91" xfId="0" applyNumberFormat="1" applyFont="1" applyBorder="1" applyAlignment="1">
      <alignment horizontal="center" vertical="center" wrapText="1"/>
    </xf>
    <xf numFmtId="0" fontId="38" fillId="0" borderId="91" xfId="0" applyFont="1" applyBorder="1" applyAlignment="1">
      <alignment horizontal="left" vertical="center" wrapText="1"/>
    </xf>
    <xf numFmtId="0" fontId="88" fillId="0" borderId="91" xfId="0" applyFont="1" applyBorder="1" applyAlignment="1">
      <alignment horizontal="center" vertical="top"/>
    </xf>
    <xf numFmtId="2" fontId="88" fillId="0" borderId="91" xfId="0" applyNumberFormat="1" applyFont="1" applyBorder="1" applyAlignment="1">
      <alignment vertical="center"/>
    </xf>
    <xf numFmtId="171" fontId="88" fillId="0" borderId="1" xfId="0" applyNumberFormat="1" applyFont="1" applyBorder="1" applyAlignment="1">
      <alignment horizontal="center" vertical="center" wrapText="1"/>
    </xf>
    <xf numFmtId="0" fontId="38" fillId="0" borderId="95" xfId="0" applyFont="1" applyBorder="1" applyAlignment="1">
      <alignment vertical="center"/>
    </xf>
    <xf numFmtId="0" fontId="38" fillId="0" borderId="91" xfId="0" applyFont="1" applyBorder="1" applyAlignment="1" applyProtection="1">
      <alignment horizontal="right"/>
      <protection hidden="1"/>
    </xf>
    <xf numFmtId="2" fontId="38" fillId="0" borderId="91" xfId="0" applyNumberFormat="1" applyFont="1" applyBorder="1" applyAlignment="1" applyProtection="1">
      <alignment horizontal="right"/>
      <protection hidden="1"/>
    </xf>
    <xf numFmtId="2" fontId="88" fillId="0" borderId="91" xfId="0" applyNumberFormat="1" applyFont="1" applyBorder="1" applyAlignment="1" applyProtection="1">
      <alignment horizontal="center"/>
      <protection hidden="1"/>
    </xf>
    <xf numFmtId="2" fontId="88" fillId="0" borderId="91" xfId="0" applyNumberFormat="1" applyFont="1" applyBorder="1" applyAlignment="1" applyProtection="1">
      <alignment horizontal="right"/>
      <protection hidden="1"/>
    </xf>
    <xf numFmtId="0" fontId="38" fillId="0" borderId="91" xfId="0" applyFont="1" applyBorder="1" applyAlignment="1" applyProtection="1">
      <alignment horizontal="center" vertical="top"/>
      <protection hidden="1"/>
    </xf>
    <xf numFmtId="2" fontId="38" fillId="0" borderId="91" xfId="0" applyNumberFormat="1" applyFont="1" applyBorder="1" applyAlignment="1" applyProtection="1">
      <alignment horizontal="right" vertical="top"/>
      <protection hidden="1"/>
    </xf>
    <xf numFmtId="2" fontId="88" fillId="0" borderId="91" xfId="0" applyNumberFormat="1" applyFont="1" applyBorder="1" applyAlignment="1" applyProtection="1">
      <alignment horizontal="right" vertical="top"/>
      <protection hidden="1"/>
    </xf>
    <xf numFmtId="0" fontId="88" fillId="0" borderId="91" xfId="0" applyFont="1" applyBorder="1" applyAlignment="1">
      <alignment horizontal="right" vertical="center" wrapText="1"/>
    </xf>
    <xf numFmtId="2" fontId="88" fillId="0" borderId="91" xfId="0" applyNumberFormat="1" applyFont="1" applyBorder="1" applyAlignment="1">
      <alignment horizontal="right" vertical="center"/>
    </xf>
    <xf numFmtId="0" fontId="38" fillId="0" borderId="91" xfId="0" applyFont="1" applyBorder="1" applyAlignment="1">
      <alignment horizontal="right" vertical="center"/>
    </xf>
    <xf numFmtId="2" fontId="38" fillId="0" borderId="91" xfId="0" applyNumberFormat="1" applyFont="1" applyBorder="1" applyAlignment="1">
      <alignment horizontal="right"/>
    </xf>
    <xf numFmtId="2" fontId="89" fillId="0" borderId="91" xfId="0" applyNumberFormat="1" applyFont="1" applyBorder="1" applyAlignment="1">
      <alignment horizontal="right" vertical="center"/>
    </xf>
    <xf numFmtId="1" fontId="88" fillId="0" borderId="91" xfId="0" applyNumberFormat="1" applyFont="1" applyBorder="1" applyAlignment="1">
      <alignment horizontal="right" vertical="center"/>
    </xf>
    <xf numFmtId="2" fontId="250" fillId="0" borderId="91" xfId="0" applyNumberFormat="1" applyFont="1" applyBorder="1" applyAlignment="1">
      <alignment horizontal="center" vertical="center"/>
    </xf>
    <xf numFmtId="2" fontId="250" fillId="0" borderId="91" xfId="0" applyNumberFormat="1" applyFont="1" applyBorder="1" applyAlignment="1">
      <alignment horizontal="right" vertical="center"/>
    </xf>
    <xf numFmtId="2" fontId="38" fillId="0" borderId="94" xfId="0" applyNumberFormat="1" applyFont="1" applyBorder="1" applyAlignment="1">
      <alignment horizontal="center" vertical="center"/>
    </xf>
    <xf numFmtId="2" fontId="88" fillId="0" borderId="91" xfId="0" applyNumberFormat="1" applyFont="1" applyBorder="1" applyAlignment="1">
      <alignment horizontal="center" vertical="center"/>
    </xf>
    <xf numFmtId="2" fontId="89" fillId="0" borderId="91" xfId="0" applyNumberFormat="1" applyFont="1" applyBorder="1" applyAlignment="1">
      <alignment horizontal="center" vertical="center"/>
    </xf>
    <xf numFmtId="210" fontId="38" fillId="0" borderId="91" xfId="0" applyNumberFormat="1" applyFont="1" applyBorder="1" applyAlignment="1">
      <alignment horizontal="right" vertical="center"/>
    </xf>
    <xf numFmtId="0" fontId="26" fillId="0" borderId="91" xfId="0" applyFont="1" applyBorder="1" applyAlignment="1">
      <alignment horizontal="left" vertical="top"/>
    </xf>
    <xf numFmtId="0" fontId="26" fillId="0" borderId="91" xfId="0" applyFont="1" applyBorder="1" applyAlignment="1">
      <alignment horizontal="left" vertical="center"/>
    </xf>
    <xf numFmtId="2" fontId="26" fillId="0" borderId="91" xfId="0" applyNumberFormat="1" applyFont="1" applyBorder="1" applyAlignment="1">
      <alignment vertical="center"/>
    </xf>
    <xf numFmtId="0" fontId="5" fillId="0" borderId="91" xfId="0" applyFont="1" applyBorder="1" applyAlignment="1">
      <alignment horizontal="left" vertical="center"/>
    </xf>
    <xf numFmtId="2" fontId="202" fillId="0" borderId="91" xfId="0" applyNumberFormat="1" applyFont="1" applyBorder="1" applyAlignment="1">
      <alignment vertical="center"/>
    </xf>
    <xf numFmtId="0" fontId="5" fillId="0" borderId="91" xfId="0" applyFont="1" applyBorder="1" applyAlignment="1">
      <alignment horizontal="right" vertical="center"/>
    </xf>
    <xf numFmtId="2" fontId="5" fillId="0" borderId="91" xfId="0" applyNumberFormat="1" applyFont="1" applyBorder="1" applyAlignment="1">
      <alignment vertical="center"/>
    </xf>
    <xf numFmtId="2" fontId="26" fillId="0" borderId="91" xfId="0" applyNumberFormat="1" applyFont="1" applyBorder="1" applyAlignment="1">
      <alignment horizontal="right" vertical="center"/>
    </xf>
    <xf numFmtId="2" fontId="26" fillId="0" borderId="91" xfId="0" applyNumberFormat="1" applyFont="1" applyBorder="1" applyAlignment="1">
      <alignment horizontal="center" vertical="center"/>
    </xf>
    <xf numFmtId="9" fontId="26" fillId="0" borderId="91" xfId="0" applyNumberFormat="1" applyFont="1" applyBorder="1" applyAlignment="1">
      <alignment horizontal="right" vertical="center"/>
    </xf>
    <xf numFmtId="2" fontId="26" fillId="0" borderId="91" xfId="0" applyNumberFormat="1" applyFont="1" applyBorder="1" applyAlignment="1">
      <alignment horizontal="left" vertical="center"/>
    </xf>
    <xf numFmtId="210" fontId="26" fillId="0" borderId="91" xfId="0" applyNumberFormat="1" applyFont="1" applyBorder="1" applyAlignment="1">
      <alignment horizontal="right" vertical="center"/>
    </xf>
    <xf numFmtId="0" fontId="26" fillId="0" borderId="91" xfId="0" applyFont="1" applyBorder="1" applyAlignment="1">
      <alignment horizontal="center" vertical="center"/>
    </xf>
    <xf numFmtId="2" fontId="5" fillId="0" borderId="91" xfId="0" applyNumberFormat="1" applyFont="1" applyBorder="1" applyAlignment="1">
      <alignment horizontal="center" vertical="center"/>
    </xf>
    <xf numFmtId="2" fontId="202" fillId="0" borderId="91" xfId="0" applyNumberFormat="1" applyFont="1" applyBorder="1" applyAlignment="1">
      <alignment horizontal="center" vertical="center"/>
    </xf>
    <xf numFmtId="0" fontId="38" fillId="0" borderId="91" xfId="0" applyFont="1" applyBorder="1" applyAlignment="1">
      <alignment horizontal="left" vertical="top" wrapText="1"/>
    </xf>
    <xf numFmtId="2" fontId="38" fillId="0" borderId="91" xfId="0" applyNumberFormat="1" applyFont="1" applyBorder="1" applyAlignment="1">
      <alignment vertical="center" shrinkToFit="1"/>
    </xf>
    <xf numFmtId="0" fontId="38" fillId="3" borderId="91" xfId="0" applyFont="1" applyFill="1" applyBorder="1" applyAlignment="1">
      <alignment horizontal="left" vertical="center"/>
    </xf>
    <xf numFmtId="0" fontId="38" fillId="3" borderId="91" xfId="0" applyFont="1" applyFill="1" applyBorder="1" applyAlignment="1">
      <alignment vertical="center"/>
    </xf>
    <xf numFmtId="2" fontId="38" fillId="3" borderId="91" xfId="0" applyNumberFormat="1" applyFont="1" applyFill="1" applyBorder="1" applyAlignment="1">
      <alignment vertical="center"/>
    </xf>
    <xf numFmtId="2" fontId="38" fillId="3" borderId="91" xfId="0" applyNumberFormat="1" applyFont="1" applyFill="1" applyBorder="1" applyAlignment="1">
      <alignment horizontal="center" vertical="center"/>
    </xf>
    <xf numFmtId="2" fontId="88" fillId="3" borderId="91" xfId="0" applyNumberFormat="1" applyFont="1" applyFill="1" applyBorder="1" applyAlignment="1">
      <alignment horizontal="center" vertical="center"/>
    </xf>
    <xf numFmtId="184" fontId="38" fillId="0" borderId="91" xfId="0" applyNumberFormat="1" applyFont="1" applyBorder="1" applyAlignment="1">
      <alignment horizontal="right" vertical="center"/>
    </xf>
    <xf numFmtId="0" fontId="38" fillId="0" borderId="93" xfId="0" applyFont="1" applyBorder="1" applyAlignment="1">
      <alignment vertical="center"/>
    </xf>
    <xf numFmtId="0" fontId="38" fillId="0" borderId="94" xfId="0" applyFont="1" applyBorder="1" applyAlignment="1">
      <alignment vertical="center"/>
    </xf>
    <xf numFmtId="2" fontId="38" fillId="0" borderId="94" xfId="0" applyNumberFormat="1" applyFont="1" applyBorder="1" applyAlignment="1">
      <alignment vertical="center"/>
    </xf>
    <xf numFmtId="1" fontId="88" fillId="0" borderId="91" xfId="0" applyNumberFormat="1" applyFont="1" applyBorder="1" applyAlignment="1">
      <alignment horizontal="center" vertical="center"/>
    </xf>
    <xf numFmtId="2" fontId="88" fillId="0" borderId="95" xfId="0" applyNumberFormat="1" applyFont="1" applyBorder="1" applyAlignment="1">
      <alignment horizontal="center" vertical="center"/>
    </xf>
    <xf numFmtId="0" fontId="250" fillId="0" borderId="91" xfId="0" applyFont="1" applyBorder="1" applyAlignment="1">
      <alignment horizontal="left" vertical="center"/>
    </xf>
    <xf numFmtId="0" fontId="38" fillId="0" borderId="91" xfId="0" applyFont="1" applyBorder="1" applyAlignment="1">
      <alignment horizontal="left"/>
    </xf>
    <xf numFmtId="2" fontId="88" fillId="0" borderId="91" xfId="0" applyNumberFormat="1" applyFont="1" applyBorder="1" applyAlignment="1" applyProtection="1">
      <alignment horizontal="left" vertical="center"/>
      <protection hidden="1"/>
    </xf>
    <xf numFmtId="0" fontId="38" fillId="0" borderId="91" xfId="0" applyFont="1" applyBorder="1" applyAlignment="1" applyProtection="1">
      <alignment horizontal="left"/>
      <protection hidden="1"/>
    </xf>
    <xf numFmtId="2" fontId="38" fillId="0" borderId="91" xfId="0" applyNumberFormat="1" applyFont="1" applyBorder="1" applyAlignment="1" applyProtection="1">
      <alignment horizontal="left"/>
      <protection hidden="1"/>
    </xf>
    <xf numFmtId="0" fontId="88" fillId="0" borderId="91" xfId="0" applyFont="1" applyBorder="1" applyAlignment="1" applyProtection="1">
      <alignment horizontal="left"/>
      <protection hidden="1"/>
    </xf>
    <xf numFmtId="2" fontId="38" fillId="0" borderId="91" xfId="0" applyNumberFormat="1" applyFont="1" applyBorder="1" applyAlignment="1" applyProtection="1">
      <alignment horizontal="left" vertical="top"/>
      <protection hidden="1"/>
    </xf>
    <xf numFmtId="0" fontId="88" fillId="0" borderId="91" xfId="0" applyFont="1" applyBorder="1" applyAlignment="1" applyProtection="1">
      <alignment horizontal="center" vertical="center"/>
      <protection hidden="1"/>
    </xf>
    <xf numFmtId="2" fontId="38" fillId="0" borderId="93" xfId="0" applyNumberFormat="1" applyFont="1" applyBorder="1" applyAlignment="1" applyProtection="1">
      <alignment horizontal="center"/>
      <protection hidden="1"/>
    </xf>
    <xf numFmtId="2" fontId="38" fillId="0" borderId="94" xfId="0" applyNumberFormat="1" applyFont="1" applyBorder="1" applyAlignment="1" applyProtection="1">
      <alignment horizontal="center"/>
      <protection hidden="1"/>
    </xf>
    <xf numFmtId="0" fontId="88" fillId="0" borderId="94" xfId="0" applyFont="1" applyBorder="1" applyAlignment="1" applyProtection="1">
      <alignment horizontal="center" vertical="center"/>
      <protection hidden="1"/>
    </xf>
    <xf numFmtId="2" fontId="38" fillId="0" borderId="94" xfId="0" applyNumberFormat="1" applyFont="1" applyBorder="1" applyAlignment="1" applyProtection="1">
      <alignment horizontal="center" vertical="top"/>
      <protection hidden="1"/>
    </xf>
    <xf numFmtId="0" fontId="26" fillId="0" borderId="91" xfId="0" applyFont="1" applyBorder="1" applyAlignment="1" applyProtection="1">
      <alignment horizontal="left" vertical="top" wrapText="1"/>
      <protection hidden="1"/>
    </xf>
    <xf numFmtId="0" fontId="26" fillId="0" borderId="91" xfId="0" applyFont="1" applyBorder="1" applyAlignment="1" applyProtection="1">
      <alignment horizontal="left" vertical="top"/>
      <protection hidden="1"/>
    </xf>
    <xf numFmtId="0" fontId="26" fillId="0" borderId="91" xfId="0" applyFont="1" applyBorder="1" applyAlignment="1" applyProtection="1">
      <alignment horizontal="center"/>
      <protection hidden="1"/>
    </xf>
    <xf numFmtId="0" fontId="5" fillId="0" borderId="91" xfId="0" applyFont="1" applyBorder="1" applyAlignment="1" applyProtection="1">
      <alignment horizontal="left" vertical="center"/>
      <protection hidden="1"/>
    </xf>
    <xf numFmtId="2" fontId="5" fillId="0" borderId="91" xfId="0" applyNumberFormat="1" applyFont="1" applyBorder="1" applyAlignment="1" applyProtection="1">
      <alignment horizontal="left" vertical="center"/>
      <protection hidden="1"/>
    </xf>
    <xf numFmtId="2" fontId="88" fillId="0" borderId="91" xfId="0" applyNumberFormat="1" applyFont="1" applyBorder="1" applyAlignment="1" applyProtection="1">
      <alignment horizontal="center" vertical="top"/>
      <protection hidden="1"/>
    </xf>
    <xf numFmtId="2" fontId="88" fillId="0" borderId="95" xfId="0" applyNumberFormat="1" applyFont="1" applyBorder="1" applyAlignment="1" applyProtection="1">
      <alignment horizontal="right"/>
      <protection hidden="1"/>
    </xf>
    <xf numFmtId="0" fontId="5" fillId="0" borderId="91" xfId="0" applyFont="1" applyBorder="1" applyAlignment="1" applyProtection="1">
      <alignment horizontal="center"/>
      <protection hidden="1"/>
    </xf>
    <xf numFmtId="2" fontId="5" fillId="0" borderId="91" xfId="0" applyNumberFormat="1" applyFont="1" applyBorder="1" applyAlignment="1" applyProtection="1">
      <alignment horizontal="right"/>
      <protection hidden="1"/>
    </xf>
    <xf numFmtId="0" fontId="26" fillId="0" borderId="91" xfId="0" applyFont="1" applyBorder="1" applyAlignment="1" applyProtection="1">
      <alignment horizontal="right"/>
      <protection hidden="1"/>
    </xf>
    <xf numFmtId="9" fontId="88" fillId="0" borderId="91" xfId="0" applyNumberFormat="1" applyFont="1" applyBorder="1" applyAlignment="1">
      <alignment horizontal="right" vertical="center"/>
    </xf>
    <xf numFmtId="2" fontId="38" fillId="0" borderId="91" xfId="0" applyNumberFormat="1" applyFont="1" applyBorder="1" applyAlignment="1">
      <alignment horizontal="left" vertical="top"/>
    </xf>
    <xf numFmtId="0" fontId="250" fillId="0" borderId="91" xfId="0" applyFont="1" applyBorder="1" applyAlignment="1" applyProtection="1">
      <alignment horizontal="center"/>
      <protection hidden="1"/>
    </xf>
    <xf numFmtId="0" fontId="250" fillId="0" borderId="91" xfId="0" applyFont="1" applyBorder="1" applyAlignment="1" applyProtection="1">
      <alignment horizontal="right"/>
      <protection hidden="1"/>
    </xf>
    <xf numFmtId="2" fontId="38" fillId="33" borderId="91" xfId="0" applyNumberFormat="1" applyFont="1" applyFill="1" applyBorder="1" applyAlignment="1" applyProtection="1">
      <alignment horizontal="center"/>
      <protection hidden="1"/>
    </xf>
    <xf numFmtId="2" fontId="38" fillId="33" borderId="91" xfId="0" applyNumberFormat="1" applyFont="1" applyFill="1" applyBorder="1" applyAlignment="1" applyProtection="1">
      <alignment horizontal="center" vertical="top"/>
      <protection hidden="1"/>
    </xf>
    <xf numFmtId="2" fontId="88" fillId="33" borderId="91" xfId="0" applyNumberFormat="1" applyFont="1" applyFill="1" applyBorder="1" applyAlignment="1" applyProtection="1">
      <alignment horizontal="right"/>
      <protection hidden="1"/>
    </xf>
    <xf numFmtId="0" fontId="38" fillId="0" borderId="91" xfId="0" applyFont="1" applyBorder="1" applyAlignment="1" applyProtection="1">
      <alignment horizontal="left" vertical="top" wrapText="1"/>
      <protection hidden="1"/>
    </xf>
    <xf numFmtId="0" fontId="88" fillId="0" borderId="91" xfId="0" applyFont="1" applyBorder="1" applyAlignment="1" applyProtection="1">
      <alignment horizontal="left" vertical="top"/>
      <protection hidden="1"/>
    </xf>
    <xf numFmtId="171" fontId="253" fillId="0" borderId="91" xfId="0" applyNumberFormat="1" applyFont="1" applyBorder="1" applyAlignment="1" applyProtection="1">
      <alignment horizontal="center" vertical="top"/>
      <protection hidden="1"/>
    </xf>
    <xf numFmtId="0" fontId="253" fillId="0" borderId="91" xfId="0" applyFont="1" applyBorder="1" applyAlignment="1" applyProtection="1">
      <alignment horizontal="left" vertical="center" wrapText="1"/>
      <protection hidden="1"/>
    </xf>
    <xf numFmtId="2" fontId="252" fillId="0" borderId="91" xfId="0" applyNumberFormat="1" applyFont="1" applyBorder="1" applyAlignment="1" applyProtection="1">
      <alignment horizontal="left" vertical="center"/>
      <protection hidden="1"/>
    </xf>
    <xf numFmtId="2" fontId="88" fillId="0" borderId="96" xfId="0" applyNumberFormat="1" applyFont="1" applyBorder="1" applyAlignment="1" applyProtection="1">
      <alignment horizontal="center"/>
      <protection hidden="1"/>
    </xf>
    <xf numFmtId="0" fontId="88" fillId="0" borderId="93" xfId="0" applyFont="1" applyBorder="1" applyAlignment="1" applyProtection="1">
      <alignment vertical="center"/>
      <protection hidden="1"/>
    </xf>
    <xf numFmtId="0" fontId="88" fillId="0" borderId="94" xfId="0" applyFont="1" applyBorder="1" applyAlignment="1" applyProtection="1">
      <alignment vertical="center"/>
      <protection hidden="1"/>
    </xf>
    <xf numFmtId="0" fontId="88" fillId="0" borderId="95" xfId="0" applyFont="1" applyBorder="1" applyAlignment="1" applyProtection="1">
      <alignment vertical="center"/>
      <protection hidden="1"/>
    </xf>
    <xf numFmtId="0" fontId="88" fillId="0" borderId="91" xfId="0" applyFont="1" applyBorder="1" applyAlignment="1" applyProtection="1">
      <alignment horizontal="center" vertical="top"/>
      <protection hidden="1"/>
    </xf>
    <xf numFmtId="181" fontId="38" fillId="0" borderId="91" xfId="0" applyNumberFormat="1" applyFont="1" applyBorder="1" applyAlignment="1" applyProtection="1">
      <alignment horizontal="center"/>
      <protection hidden="1"/>
    </xf>
    <xf numFmtId="0" fontId="252" fillId="0" borderId="93" xfId="0" applyFont="1" applyBorder="1" applyAlignment="1" applyProtection="1">
      <alignment vertical="center"/>
      <protection hidden="1"/>
    </xf>
    <xf numFmtId="0" fontId="252" fillId="0" borderId="94" xfId="0" applyFont="1" applyBorder="1" applyAlignment="1" applyProtection="1">
      <alignment vertical="center"/>
      <protection hidden="1"/>
    </xf>
    <xf numFmtId="0" fontId="252" fillId="0" borderId="95" xfId="0" applyFont="1" applyBorder="1" applyAlignment="1" applyProtection="1">
      <alignment vertical="center"/>
      <protection hidden="1"/>
    </xf>
    <xf numFmtId="0" fontId="88" fillId="0" borderId="93" xfId="0" applyFont="1" applyBorder="1" applyProtection="1">
      <protection hidden="1"/>
    </xf>
    <xf numFmtId="0" fontId="88" fillId="0" borderId="94" xfId="0" applyFont="1" applyBorder="1" applyProtection="1">
      <protection hidden="1"/>
    </xf>
    <xf numFmtId="0" fontId="88" fillId="0" borderId="95" xfId="0" applyFont="1" applyBorder="1" applyProtection="1">
      <protection hidden="1"/>
    </xf>
    <xf numFmtId="184" fontId="250" fillId="0" borderId="91" xfId="0" applyNumberFormat="1" applyFont="1" applyBorder="1" applyAlignment="1">
      <alignment horizontal="right" vertical="center"/>
    </xf>
    <xf numFmtId="2" fontId="250" fillId="0" borderId="91" xfId="0" applyNumberFormat="1" applyFont="1" applyBorder="1" applyAlignment="1">
      <alignment horizontal="center" vertical="center" wrapText="1"/>
    </xf>
    <xf numFmtId="0" fontId="6" fillId="0" borderId="2" xfId="2438" quotePrefix="1" applyBorder="1" applyAlignment="1">
      <alignment horizontal="center" wrapText="1"/>
    </xf>
    <xf numFmtId="171" fontId="95" fillId="0" borderId="8" xfId="2477" quotePrefix="1" applyNumberFormat="1" applyFont="1" applyBorder="1" applyAlignment="1">
      <alignment horizontal="center" vertical="center" wrapText="1"/>
    </xf>
    <xf numFmtId="2" fontId="96" fillId="0" borderId="1" xfId="3771" quotePrefix="1" applyNumberFormat="1" applyFont="1" applyBorder="1" applyAlignment="1">
      <alignment horizontal="center" vertical="top"/>
    </xf>
    <xf numFmtId="14" fontId="66" fillId="0" borderId="1" xfId="598" quotePrefix="1" applyNumberFormat="1" applyFont="1" applyBorder="1" applyAlignment="1">
      <alignment horizontal="center" vertical="top" wrapText="1"/>
    </xf>
    <xf numFmtId="0" fontId="309" fillId="0" borderId="1" xfId="1587" applyFont="1" applyBorder="1" applyAlignment="1">
      <alignment horizontal="center" vertical="center" wrapText="1"/>
    </xf>
    <xf numFmtId="0" fontId="340" fillId="0" borderId="0" xfId="4534" applyFont="1" applyAlignment="1">
      <alignment horizontal="center" vertical="top"/>
    </xf>
    <xf numFmtId="0" fontId="340" fillId="4" borderId="0" xfId="4534" applyFont="1" applyFill="1" applyAlignment="1">
      <alignment horizontal="center" vertical="top"/>
    </xf>
    <xf numFmtId="1" fontId="12" fillId="3" borderId="1" xfId="0" applyNumberFormat="1" applyFont="1" applyFill="1" applyBorder="1" applyAlignment="1" applyProtection="1">
      <alignment horizontal="center" vertical="center"/>
      <protection locked="0"/>
    </xf>
    <xf numFmtId="0" fontId="90" fillId="4" borderId="1" xfId="0" applyFont="1" applyFill="1" applyBorder="1" applyProtection="1">
      <protection locked="0"/>
    </xf>
    <xf numFmtId="0" fontId="242" fillId="3" borderId="1" xfId="0" applyFont="1" applyFill="1" applyBorder="1" applyAlignment="1">
      <alignment horizontal="center" vertical="center"/>
    </xf>
    <xf numFmtId="184" fontId="239" fillId="3" borderId="1" xfId="0" applyNumberFormat="1" applyFont="1" applyFill="1" applyBorder="1" applyAlignment="1" applyProtection="1">
      <alignment horizontal="center" vertical="center"/>
      <protection locked="0"/>
    </xf>
    <xf numFmtId="2" fontId="91" fillId="3" borderId="1" xfId="0" applyNumberFormat="1" applyFont="1" applyFill="1" applyBorder="1" applyAlignment="1" applyProtection="1">
      <alignment horizontal="center" vertical="center" wrapText="1"/>
      <protection locked="0"/>
    </xf>
    <xf numFmtId="2" fontId="348" fillId="3" borderId="1" xfId="0" applyNumberFormat="1" applyFont="1" applyFill="1" applyBorder="1" applyAlignment="1">
      <alignment horizontal="center" wrapText="1"/>
    </xf>
    <xf numFmtId="2" fontId="348" fillId="0" borderId="1" xfId="0" applyNumberFormat="1" applyFont="1" applyBorder="1" applyAlignment="1">
      <alignment horizontal="center" wrapText="1"/>
    </xf>
    <xf numFmtId="2" fontId="349" fillId="3" borderId="1" xfId="0" applyNumberFormat="1" applyFont="1" applyFill="1" applyBorder="1" applyAlignment="1">
      <alignment horizontal="center" wrapText="1"/>
    </xf>
    <xf numFmtId="2" fontId="349" fillId="0" borderId="1" xfId="0" applyNumberFormat="1" applyFont="1" applyBorder="1" applyAlignment="1">
      <alignment horizontal="center"/>
    </xf>
    <xf numFmtId="2" fontId="348" fillId="4" borderId="1" xfId="0" applyNumberFormat="1" applyFont="1" applyFill="1" applyBorder="1" applyAlignment="1">
      <alignment horizontal="center"/>
    </xf>
    <xf numFmtId="2" fontId="348" fillId="0" borderId="1" xfId="0" applyNumberFormat="1" applyFont="1" applyBorder="1" applyAlignment="1">
      <alignment horizontal="center"/>
    </xf>
    <xf numFmtId="2" fontId="348" fillId="3" borderId="1" xfId="0" applyNumberFormat="1" applyFont="1" applyFill="1" applyBorder="1" applyAlignment="1">
      <alignment horizontal="center"/>
    </xf>
    <xf numFmtId="2" fontId="350" fillId="0" borderId="1" xfId="0" applyNumberFormat="1" applyFont="1" applyBorder="1" applyAlignment="1">
      <alignment horizontal="center"/>
    </xf>
    <xf numFmtId="2" fontId="348" fillId="78" borderId="1" xfId="0" applyNumberFormat="1" applyFont="1" applyFill="1" applyBorder="1" applyAlignment="1">
      <alignment horizontal="center"/>
    </xf>
    <xf numFmtId="2" fontId="351" fillId="0" borderId="1" xfId="0" applyNumberFormat="1" applyFont="1" applyBorder="1" applyAlignment="1">
      <alignment horizontal="center"/>
    </xf>
    <xf numFmtId="2" fontId="352" fillId="3" borderId="1" xfId="0" applyNumberFormat="1" applyFont="1" applyFill="1" applyBorder="1" applyAlignment="1">
      <alignment horizontal="center"/>
    </xf>
    <xf numFmtId="2" fontId="348" fillId="79" borderId="1" xfId="0" applyNumberFormat="1" applyFont="1" applyFill="1" applyBorder="1" applyAlignment="1">
      <alignment horizontal="center"/>
    </xf>
    <xf numFmtId="2" fontId="349" fillId="79" borderId="1" xfId="0" applyNumberFormat="1" applyFont="1" applyFill="1" applyBorder="1" applyAlignment="1">
      <alignment horizontal="center"/>
    </xf>
    <xf numFmtId="2" fontId="349" fillId="80" borderId="1" xfId="0" applyNumberFormat="1" applyFont="1" applyFill="1" applyBorder="1" applyAlignment="1">
      <alignment horizontal="center"/>
    </xf>
    <xf numFmtId="2" fontId="348" fillId="5" borderId="1" xfId="0" applyNumberFormat="1" applyFont="1" applyFill="1" applyBorder="1" applyAlignment="1">
      <alignment horizontal="center"/>
    </xf>
    <xf numFmtId="2" fontId="348" fillId="80" borderId="0" xfId="0" applyNumberFormat="1" applyFont="1" applyFill="1" applyAlignment="1">
      <alignment horizontal="center"/>
    </xf>
    <xf numFmtId="2" fontId="348" fillId="5" borderId="0" xfId="0" applyNumberFormat="1" applyFont="1" applyFill="1" applyAlignment="1">
      <alignment horizontal="center"/>
    </xf>
    <xf numFmtId="2" fontId="349" fillId="5" borderId="0" xfId="0" applyNumberFormat="1" applyFont="1" applyFill="1" applyAlignment="1">
      <alignment horizontal="center"/>
    </xf>
    <xf numFmtId="2" fontId="348" fillId="0" borderId="1" xfId="0" applyNumberFormat="1" applyFont="1" applyBorder="1" applyAlignment="1" applyProtection="1">
      <alignment horizontal="right" vertical="center" wrapText="1"/>
      <protection locked="0"/>
    </xf>
    <xf numFmtId="17" fontId="242" fillId="0" borderId="1" xfId="0" applyNumberFormat="1" applyFont="1" applyBorder="1" applyAlignment="1" applyProtection="1">
      <alignment horizontal="center" vertical="center"/>
      <protection locked="0"/>
    </xf>
    <xf numFmtId="2" fontId="348" fillId="78" borderId="1" xfId="0" applyNumberFormat="1" applyFont="1" applyFill="1" applyBorder="1" applyAlignment="1">
      <alignment horizontal="center" vertical="center" wrapText="1"/>
    </xf>
    <xf numFmtId="2" fontId="348" fillId="7" borderId="1" xfId="0" applyNumberFormat="1" applyFont="1" applyFill="1" applyBorder="1" applyAlignment="1">
      <alignment horizontal="center"/>
    </xf>
    <xf numFmtId="2" fontId="353" fillId="0" borderId="1" xfId="3748" applyNumberFormat="1" applyFont="1" applyAlignment="1">
      <alignment vertical="top" wrapText="1" shrinkToFit="1"/>
    </xf>
    <xf numFmtId="2" fontId="354" fillId="0" borderId="1" xfId="3748" applyNumberFormat="1" applyFont="1" applyAlignment="1">
      <alignment vertical="top" wrapText="1" shrinkToFit="1"/>
    </xf>
    <xf numFmtId="0" fontId="41" fillId="0" borderId="0" xfId="2516" applyFont="1" applyAlignment="1">
      <alignment horizontal="left" textRotation="90"/>
    </xf>
    <xf numFmtId="0" fontId="225" fillId="0" borderId="11" xfId="598" applyFont="1" applyBorder="1" applyAlignment="1">
      <alignment horizontal="center" vertical="center" wrapText="1"/>
    </xf>
    <xf numFmtId="0" fontId="225" fillId="0" borderId="24" xfId="598" applyFont="1" applyBorder="1" applyAlignment="1">
      <alignment horizontal="center" vertical="center" wrapText="1"/>
    </xf>
    <xf numFmtId="2" fontId="95" fillId="0" borderId="1" xfId="0" applyNumberFormat="1" applyFont="1" applyBorder="1" applyAlignment="1">
      <alignment vertical="top"/>
    </xf>
    <xf numFmtId="2" fontId="115" fillId="0" borderId="1" xfId="0" applyNumberFormat="1" applyFont="1" applyBorder="1" applyAlignment="1">
      <alignment horizontal="center" vertical="top"/>
    </xf>
    <xf numFmtId="2" fontId="241" fillId="4" borderId="1" xfId="0" applyNumberFormat="1" applyFont="1" applyFill="1" applyBorder="1" applyAlignment="1" applyProtection="1">
      <alignment horizontal="center"/>
      <protection locked="0"/>
    </xf>
    <xf numFmtId="209" fontId="245" fillId="4" borderId="1" xfId="206" applyNumberFormat="1" applyFont="1" applyFill="1" applyBorder="1" applyAlignment="1" applyProtection="1">
      <alignment horizontal="center"/>
      <protection locked="0"/>
    </xf>
    <xf numFmtId="0" fontId="120" fillId="0" borderId="1" xfId="0" applyFont="1" applyBorder="1" applyAlignment="1">
      <alignment horizontal="justify" vertical="top" wrapText="1"/>
    </xf>
    <xf numFmtId="0" fontId="120" fillId="0" borderId="0" xfId="0" applyFont="1" applyAlignment="1">
      <alignment horizontal="justify" vertical="top" wrapText="1"/>
    </xf>
    <xf numFmtId="0" fontId="6" fillId="0" borderId="0" xfId="18961" applyAlignment="1">
      <alignment horizontal="center"/>
    </xf>
    <xf numFmtId="0" fontId="6" fillId="0" borderId="0" xfId="18961"/>
    <xf numFmtId="0" fontId="6" fillId="0" borderId="0" xfId="6358" applyFont="1"/>
    <xf numFmtId="0" fontId="6" fillId="0" borderId="0" xfId="18961" applyAlignment="1">
      <alignment wrapText="1"/>
    </xf>
    <xf numFmtId="0" fontId="6" fillId="3" borderId="106" xfId="18961" applyFill="1" applyBorder="1" applyAlignment="1">
      <alignment horizontal="center" vertical="center"/>
    </xf>
    <xf numFmtId="0" fontId="6" fillId="0" borderId="106" xfId="6358" applyFont="1" applyBorder="1" applyAlignment="1">
      <alignment horizontal="center" vertical="center"/>
    </xf>
    <xf numFmtId="2" fontId="6" fillId="0" borderId="106" xfId="18961" applyNumberFormat="1" applyBorder="1" applyAlignment="1">
      <alignment horizontal="left" indent="5"/>
    </xf>
    <xf numFmtId="2" fontId="6" fillId="0" borderId="106" xfId="18961" applyNumberFormat="1" applyBorder="1"/>
    <xf numFmtId="0" fontId="6" fillId="0" borderId="106" xfId="18961" applyBorder="1" applyAlignment="1">
      <alignment horizontal="center" vertical="center"/>
    </xf>
    <xf numFmtId="2" fontId="6" fillId="0" borderId="106" xfId="18961" applyNumberFormat="1" applyBorder="1" applyAlignment="1">
      <alignment horizontal="center"/>
    </xf>
    <xf numFmtId="1" fontId="6" fillId="0" borderId="106" xfId="18961" applyNumberFormat="1" applyBorder="1" applyAlignment="1">
      <alignment horizontal="center" vertical="center"/>
    </xf>
    <xf numFmtId="0" fontId="6" fillId="0" borderId="0" xfId="18961" applyAlignment="1">
      <alignment horizontal="center" vertical="center"/>
    </xf>
    <xf numFmtId="0" fontId="6" fillId="0" borderId="0" xfId="6358" applyFont="1" applyAlignment="1">
      <alignment horizontal="center" vertical="center"/>
    </xf>
    <xf numFmtId="0" fontId="6" fillId="0" borderId="0" xfId="18961" applyAlignment="1">
      <alignment horizontal="center" vertical="center" wrapText="1"/>
    </xf>
    <xf numFmtId="0" fontId="19" fillId="0" borderId="0" xfId="18961" applyFont="1"/>
    <xf numFmtId="0" fontId="22" fillId="0" borderId="0" xfId="18961" applyFont="1" applyAlignment="1">
      <alignment horizontal="center"/>
    </xf>
    <xf numFmtId="0" fontId="357" fillId="0" borderId="0" xfId="18961" applyFont="1" applyAlignment="1">
      <alignment horizontal="left"/>
    </xf>
    <xf numFmtId="0" fontId="6" fillId="0" borderId="0" xfId="18961" applyAlignment="1">
      <alignment horizontal="left"/>
    </xf>
    <xf numFmtId="1" fontId="22" fillId="0" borderId="0" xfId="18961" applyNumberFormat="1" applyFont="1" applyAlignment="1">
      <alignment horizontal="center"/>
    </xf>
    <xf numFmtId="2" fontId="6" fillId="0" borderId="0" xfId="18961" applyNumberFormat="1"/>
    <xf numFmtId="184" fontId="19" fillId="0" borderId="0" xfId="18961" applyNumberFormat="1" applyFont="1"/>
    <xf numFmtId="2" fontId="6" fillId="0" borderId="0" xfId="18961" applyNumberFormat="1" applyAlignment="1">
      <alignment horizontal="center"/>
    </xf>
    <xf numFmtId="43" fontId="6" fillId="0" borderId="0" xfId="18962" applyNumberFormat="1" applyFont="1" applyBorder="1"/>
    <xf numFmtId="1" fontId="358" fillId="3" borderId="106" xfId="18961" applyNumberFormat="1" applyFont="1" applyFill="1" applyBorder="1" applyAlignment="1">
      <alignment horizontal="center"/>
    </xf>
    <xf numFmtId="0" fontId="358" fillId="3" borderId="106" xfId="6358" applyFont="1" applyFill="1" applyBorder="1" applyAlignment="1">
      <alignment horizontal="center"/>
    </xf>
    <xf numFmtId="0" fontId="358" fillId="3" borderId="106" xfId="18961" applyFont="1" applyFill="1" applyBorder="1" applyAlignment="1">
      <alignment horizontal="center" wrapText="1"/>
    </xf>
    <xf numFmtId="2" fontId="358" fillId="3" borderId="106" xfId="18961" applyNumberFormat="1" applyFont="1" applyFill="1" applyBorder="1" applyAlignment="1">
      <alignment horizontal="center"/>
    </xf>
    <xf numFmtId="0" fontId="13" fillId="0" borderId="0" xfId="18961" applyFont="1"/>
    <xf numFmtId="0" fontId="6" fillId="0" borderId="0" xfId="18961" applyAlignment="1">
      <alignment horizontal="right"/>
    </xf>
    <xf numFmtId="0" fontId="357" fillId="0" borderId="0" xfId="18961" applyFont="1" applyAlignment="1">
      <alignment horizontal="right"/>
    </xf>
    <xf numFmtId="2" fontId="359" fillId="0" borderId="0" xfId="18961" applyNumberFormat="1" applyFont="1"/>
    <xf numFmtId="184" fontId="6" fillId="0" borderId="0" xfId="18961" applyNumberFormat="1"/>
    <xf numFmtId="184" fontId="360" fillId="0" borderId="0" xfId="18961" applyNumberFormat="1" applyFont="1" applyAlignment="1">
      <alignment horizontal="left"/>
    </xf>
    <xf numFmtId="0" fontId="358" fillId="3" borderId="106" xfId="18961" applyFont="1" applyFill="1" applyBorder="1" applyAlignment="1">
      <alignment horizontal="center"/>
    </xf>
    <xf numFmtId="184" fontId="357" fillId="0" borderId="0" xfId="18961" applyNumberFormat="1" applyFont="1" applyAlignment="1">
      <alignment horizontal="left"/>
    </xf>
    <xf numFmtId="184" fontId="357" fillId="0" borderId="0" xfId="18961" applyNumberFormat="1" applyFont="1" applyAlignment="1">
      <alignment horizontal="center"/>
    </xf>
    <xf numFmtId="0" fontId="6" fillId="0" borderId="0" xfId="6358" applyFont="1" applyAlignment="1">
      <alignment horizontal="center"/>
    </xf>
    <xf numFmtId="0" fontId="6" fillId="0" borderId="0" xfId="18961" applyAlignment="1">
      <alignment horizontal="center" wrapText="1"/>
    </xf>
    <xf numFmtId="0" fontId="6" fillId="0" borderId="0" xfId="18961" applyAlignment="1">
      <alignment horizontal="center" vertical="top"/>
    </xf>
    <xf numFmtId="2" fontId="22" fillId="0" borderId="0" xfId="18961" applyNumberFormat="1" applyFont="1"/>
    <xf numFmtId="184" fontId="6" fillId="0" borderId="108" xfId="18961" applyNumberFormat="1" applyBorder="1"/>
    <xf numFmtId="2" fontId="6" fillId="0" borderId="9" xfId="18963" quotePrefix="1" applyNumberFormat="1" applyFont="1" applyBorder="1" applyAlignment="1">
      <alignment horizontal="center"/>
    </xf>
    <xf numFmtId="43" fontId="6" fillId="0" borderId="0" xfId="18962" applyNumberFormat="1" applyFont="1" applyBorder="1" applyAlignment="1">
      <alignment horizontal="right"/>
    </xf>
    <xf numFmtId="184" fontId="6" fillId="0" borderId="0" xfId="18961" applyNumberFormat="1" applyAlignment="1">
      <alignment horizontal="right"/>
    </xf>
    <xf numFmtId="2" fontId="6" fillId="0" borderId="0" xfId="18964" applyNumberFormat="1" applyAlignment="1">
      <alignment horizontal="center" vertical="top" wrapText="1"/>
    </xf>
    <xf numFmtId="16" fontId="6" fillId="0" borderId="0" xfId="18961" quotePrefix="1" applyNumberFormat="1" applyAlignment="1">
      <alignment horizontal="right"/>
    </xf>
    <xf numFmtId="0" fontId="22" fillId="0" borderId="0" xfId="18961" applyFont="1" applyAlignment="1">
      <alignment horizontal="left"/>
    </xf>
    <xf numFmtId="2" fontId="17" fillId="0" borderId="0" xfId="18961" applyNumberFormat="1" applyFont="1"/>
    <xf numFmtId="0" fontId="13" fillId="0" borderId="0" xfId="6358" applyFont="1" applyAlignment="1">
      <alignment horizontal="justify" vertical="top" wrapText="1"/>
    </xf>
    <xf numFmtId="0" fontId="6" fillId="0" borderId="0" xfId="18961" applyAlignment="1">
      <alignment shrinkToFit="1"/>
    </xf>
    <xf numFmtId="2" fontId="6" fillId="0" borderId="0" xfId="18961" applyNumberFormat="1" applyAlignment="1">
      <alignment horizontal="right" shrinkToFit="1"/>
    </xf>
    <xf numFmtId="2" fontId="6" fillId="0" borderId="0" xfId="18963" applyNumberFormat="1" applyFont="1" applyAlignment="1">
      <alignment horizontal="center"/>
    </xf>
    <xf numFmtId="2" fontId="6" fillId="0" borderId="0" xfId="18961" applyNumberFormat="1" applyAlignment="1">
      <alignment horizontal="center" vertical="top"/>
    </xf>
    <xf numFmtId="0" fontId="19" fillId="0" borderId="0" xfId="18961" applyFont="1" applyAlignment="1">
      <alignment horizontal="right"/>
    </xf>
    <xf numFmtId="0" fontId="19" fillId="0" borderId="0" xfId="18961" applyFont="1" applyAlignment="1">
      <alignment horizontal="right" vertical="top"/>
    </xf>
    <xf numFmtId="0" fontId="357" fillId="0" borderId="0" xfId="18961" applyFont="1" applyAlignment="1">
      <alignment horizontal="right" vertical="top"/>
    </xf>
    <xf numFmtId="0" fontId="19" fillId="0" borderId="0" xfId="18961" applyFont="1" applyAlignment="1">
      <alignment horizontal="left" vertical="top"/>
    </xf>
    <xf numFmtId="2" fontId="6" fillId="0" borderId="0" xfId="18961" applyNumberFormat="1" applyAlignment="1">
      <alignment horizontal="right" vertical="top"/>
    </xf>
    <xf numFmtId="2" fontId="6" fillId="0" borderId="0" xfId="18961" applyNumberFormat="1" applyAlignment="1">
      <alignment shrinkToFit="1"/>
    </xf>
    <xf numFmtId="0" fontId="360" fillId="0" borderId="0" xfId="18961" applyFont="1" applyAlignment="1">
      <alignment vertical="top"/>
    </xf>
    <xf numFmtId="2" fontId="6" fillId="0" borderId="9" xfId="18963" applyNumberFormat="1" applyFont="1" applyBorder="1" applyAlignment="1">
      <alignment horizontal="center"/>
    </xf>
    <xf numFmtId="1" fontId="6" fillId="0" borderId="0" xfId="18961" applyNumberFormat="1"/>
    <xf numFmtId="0" fontId="7" fillId="0" borderId="0" xfId="18961" applyFont="1" applyAlignment="1">
      <alignment horizontal="center"/>
    </xf>
    <xf numFmtId="2" fontId="361" fillId="0" borderId="0" xfId="18961" applyNumberFormat="1" applyFont="1"/>
    <xf numFmtId="2" fontId="6" fillId="0" borderId="0" xfId="18961" quotePrefix="1" applyNumberFormat="1" applyAlignment="1">
      <alignment horizontal="center"/>
    </xf>
    <xf numFmtId="184" fontId="6" fillId="0" borderId="0" xfId="18961" quotePrefix="1" applyNumberFormat="1" applyAlignment="1">
      <alignment horizontal="center"/>
    </xf>
    <xf numFmtId="2" fontId="113" fillId="0" borderId="0" xfId="18961" applyNumberFormat="1" applyFont="1" applyAlignment="1">
      <alignment horizontal="center"/>
    </xf>
    <xf numFmtId="2" fontId="113" fillId="0" borderId="9" xfId="18964" applyNumberFormat="1" applyFont="1" applyBorder="1" applyAlignment="1">
      <alignment horizontal="center"/>
    </xf>
    <xf numFmtId="43" fontId="6" fillId="0" borderId="109" xfId="18962" applyNumberFormat="1" applyFont="1" applyBorder="1" applyAlignment="1">
      <alignment horizontal="right"/>
    </xf>
    <xf numFmtId="184" fontId="6" fillId="0" borderId="0" xfId="18961" applyNumberFormat="1" applyAlignment="1">
      <alignment horizontal="center"/>
    </xf>
    <xf numFmtId="43" fontId="6" fillId="0" borderId="108" xfId="18962" applyNumberFormat="1" applyFont="1" applyBorder="1" applyAlignment="1">
      <alignment horizontal="right"/>
    </xf>
    <xf numFmtId="0" fontId="13" fillId="0" borderId="0" xfId="6358" applyFont="1" applyAlignment="1">
      <alignment horizontal="left"/>
    </xf>
    <xf numFmtId="0" fontId="13" fillId="0" borderId="0" xfId="6358" applyFont="1"/>
    <xf numFmtId="2" fontId="13" fillId="0" borderId="0" xfId="6358" applyNumberFormat="1" applyFont="1"/>
    <xf numFmtId="184" fontId="13" fillId="0" borderId="0" xfId="6358" applyNumberFormat="1" applyFont="1"/>
    <xf numFmtId="189" fontId="13" fillId="0" borderId="0" xfId="8052" applyFont="1" applyBorder="1" applyAlignment="1"/>
    <xf numFmtId="189" fontId="13" fillId="0" borderId="0" xfId="8052" applyFont="1" applyBorder="1"/>
    <xf numFmtId="0" fontId="13" fillId="0" borderId="0" xfId="18961" applyFont="1" applyAlignment="1">
      <alignment wrapText="1"/>
    </xf>
    <xf numFmtId="2" fontId="13" fillId="0" borderId="0" xfId="6358" applyNumberFormat="1" applyFont="1" applyAlignment="1">
      <alignment vertical="top"/>
    </xf>
    <xf numFmtId="0" fontId="6" fillId="0" borderId="0" xfId="8737" applyFont="1" applyAlignment="1">
      <alignment horizontal="left"/>
    </xf>
    <xf numFmtId="184" fontId="37" fillId="0" borderId="8" xfId="0" applyNumberFormat="1" applyFont="1" applyBorder="1" applyAlignment="1">
      <alignment horizontal="center" wrapText="1"/>
    </xf>
    <xf numFmtId="2" fontId="123" fillId="0" borderId="1" xfId="0" applyNumberFormat="1" applyFont="1" applyBorder="1" applyAlignment="1">
      <alignment horizontal="center" vertical="top" wrapText="1"/>
    </xf>
    <xf numFmtId="198" fontId="91" fillId="4" borderId="1" xfId="0" applyNumberFormat="1" applyFont="1" applyFill="1" applyBorder="1" applyAlignment="1" applyProtection="1">
      <alignment horizontal="center" vertical="center"/>
      <protection locked="0"/>
    </xf>
    <xf numFmtId="184" fontId="239" fillId="3" borderId="115" xfId="0" applyNumberFormat="1" applyFont="1" applyFill="1" applyBorder="1" applyAlignment="1" applyProtection="1">
      <alignment horizontal="center" vertical="center"/>
      <protection locked="0"/>
    </xf>
    <xf numFmtId="0" fontId="239" fillId="3" borderId="115" xfId="0" applyFont="1" applyFill="1" applyBorder="1" applyAlignment="1" applyProtection="1">
      <alignment horizontal="left" vertical="center" wrapText="1"/>
      <protection locked="0"/>
    </xf>
    <xf numFmtId="0" fontId="239" fillId="3" borderId="115" xfId="0" applyFont="1" applyFill="1" applyBorder="1" applyAlignment="1">
      <alignment horizontal="left" vertical="center"/>
    </xf>
    <xf numFmtId="0" fontId="239" fillId="3" borderId="115" xfId="0" applyFont="1" applyFill="1" applyBorder="1" applyAlignment="1" applyProtection="1">
      <alignment horizontal="left" vertical="center"/>
      <protection locked="0"/>
    </xf>
    <xf numFmtId="2" fontId="239" fillId="3" borderId="115" xfId="0" applyNumberFormat="1" applyFont="1" applyFill="1" applyBorder="1" applyAlignment="1" applyProtection="1">
      <alignment horizontal="center" vertical="center"/>
      <protection locked="0"/>
    </xf>
    <xf numFmtId="0" fontId="355" fillId="0" borderId="115" xfId="0" applyFont="1" applyBorder="1" applyAlignment="1" applyProtection="1">
      <alignment horizontal="center" vertical="center"/>
      <protection locked="0"/>
    </xf>
    <xf numFmtId="0" fontId="241" fillId="3" borderId="115" xfId="2349" applyFont="1" applyFill="1" applyBorder="1" applyAlignment="1" applyProtection="1">
      <alignment vertical="center"/>
      <protection locked="0"/>
    </xf>
    <xf numFmtId="0" fontId="100" fillId="0" borderId="1" xfId="0" applyFont="1" applyBorder="1" applyAlignment="1">
      <alignment horizontal="justify" vertical="top" wrapText="1"/>
    </xf>
    <xf numFmtId="0" fontId="122" fillId="0" borderId="0" xfId="0" applyFont="1" applyAlignment="1">
      <alignment horizontal="center" vertical="top"/>
    </xf>
    <xf numFmtId="2" fontId="100" fillId="0" borderId="1" xfId="0" applyNumberFormat="1" applyFont="1" applyBorder="1" applyAlignment="1">
      <alignment horizontal="justify" vertical="top" wrapText="1"/>
    </xf>
    <xf numFmtId="0" fontId="97" fillId="0" borderId="1" xfId="0" applyFont="1" applyBorder="1" applyAlignment="1">
      <alignment vertical="top" wrapText="1"/>
    </xf>
    <xf numFmtId="1" fontId="95" fillId="0" borderId="1" xfId="0" applyNumberFormat="1" applyFont="1" applyBorder="1" applyAlignment="1">
      <alignment horizontal="center" vertical="top" wrapText="1"/>
    </xf>
    <xf numFmtId="209" fontId="244" fillId="4" borderId="1" xfId="206" applyNumberFormat="1" applyFont="1" applyFill="1" applyBorder="1" applyAlignment="1" applyProtection="1">
      <alignment horizontal="center"/>
      <protection locked="0"/>
    </xf>
    <xf numFmtId="1" fontId="12" fillId="0" borderId="1" xfId="0" applyNumberFormat="1" applyFont="1" applyBorder="1" applyAlignment="1" applyProtection="1">
      <alignment horizontal="center" vertical="center"/>
      <protection locked="0"/>
    </xf>
    <xf numFmtId="1" fontId="12" fillId="4" borderId="1" xfId="0" applyNumberFormat="1" applyFont="1" applyFill="1" applyBorder="1" applyAlignment="1" applyProtection="1">
      <alignment horizontal="center" vertical="center"/>
      <protection locked="0"/>
    </xf>
    <xf numFmtId="2" fontId="246" fillId="0" borderId="0" xfId="0" applyNumberFormat="1" applyFont="1" applyAlignment="1" applyProtection="1">
      <alignment horizontal="center" wrapText="1"/>
      <protection locked="0"/>
    </xf>
    <xf numFmtId="2" fontId="242" fillId="0" borderId="1" xfId="0" applyNumberFormat="1" applyFont="1" applyBorder="1" applyAlignment="1" applyProtection="1">
      <alignment horizontal="center" vertical="center"/>
      <protection locked="0"/>
    </xf>
    <xf numFmtId="0" fontId="364" fillId="0" borderId="0" xfId="35078" applyFont="1"/>
    <xf numFmtId="0" fontId="365" fillId="0" borderId="115" xfId="35078" applyFont="1" applyFill="1" applyBorder="1" applyAlignment="1">
      <alignment horizontal="center" vertical="top" wrapText="1"/>
    </xf>
    <xf numFmtId="0" fontId="110" fillId="0" borderId="115" xfId="35079" applyFont="1" applyFill="1" applyBorder="1" applyAlignment="1">
      <alignment horizontal="center" vertical="center" wrapText="1"/>
    </xf>
    <xf numFmtId="0" fontId="365" fillId="0" borderId="115" xfId="35078" applyFont="1" applyFill="1" applyBorder="1" applyAlignment="1">
      <alignment horizontal="center" vertical="center"/>
    </xf>
    <xf numFmtId="0" fontId="364" fillId="0" borderId="0" xfId="35078" applyFont="1" applyAlignment="1">
      <alignment horizontal="center" vertical="center"/>
    </xf>
    <xf numFmtId="0" fontId="365" fillId="0" borderId="115" xfId="35078" applyFont="1" applyFill="1" applyBorder="1" applyAlignment="1">
      <alignment horizontal="center" vertical="top"/>
    </xf>
    <xf numFmtId="0" fontId="365" fillId="0" borderId="115" xfId="35078" applyFont="1" applyFill="1" applyBorder="1" applyAlignment="1">
      <alignment horizontal="center"/>
    </xf>
    <xf numFmtId="0" fontId="364" fillId="0" borderId="0" xfId="35078" applyFont="1" applyAlignment="1">
      <alignment horizontal="center"/>
    </xf>
    <xf numFmtId="0" fontId="364" fillId="0" borderId="118" xfId="35078" applyFont="1" applyBorder="1" applyAlignment="1">
      <alignment horizontal="center" vertical="top"/>
    </xf>
    <xf numFmtId="0" fontId="110" fillId="0" borderId="119" xfId="35078" applyFont="1" applyFill="1" applyBorder="1" applyAlignment="1">
      <alignment horizontal="center" vertical="top" wrapText="1"/>
    </xf>
    <xf numFmtId="0" fontId="364" fillId="0" borderId="119" xfId="35078" applyFont="1" applyBorder="1" applyAlignment="1">
      <alignment vertical="center"/>
    </xf>
    <xf numFmtId="2" fontId="14" fillId="0" borderId="120" xfId="35078" applyNumberFormat="1" applyFont="1" applyBorder="1" applyAlignment="1">
      <alignment horizontal="center" vertical="center"/>
    </xf>
    <xf numFmtId="0" fontId="364" fillId="0" borderId="34" xfId="35078" applyFont="1" applyBorder="1" applyAlignment="1">
      <alignment horizontal="center" vertical="top"/>
    </xf>
    <xf numFmtId="0" fontId="364" fillId="0" borderId="35" xfId="35078" applyFont="1" applyBorder="1" applyAlignment="1">
      <alignment horizontal="center"/>
    </xf>
    <xf numFmtId="0" fontId="364" fillId="0" borderId="35" xfId="35078" applyFont="1" applyBorder="1"/>
    <xf numFmtId="1" fontId="364" fillId="0" borderId="35" xfId="35078" applyNumberFormat="1" applyFont="1" applyBorder="1" applyAlignment="1">
      <alignment horizontal="center"/>
    </xf>
    <xf numFmtId="2" fontId="364" fillId="0" borderId="35" xfId="35078" applyNumberFormat="1" applyFont="1" applyBorder="1" applyAlignment="1">
      <alignment shrinkToFit="1"/>
    </xf>
    <xf numFmtId="184" fontId="364" fillId="0" borderId="35" xfId="35078" applyNumberFormat="1" applyFont="1" applyBorder="1"/>
    <xf numFmtId="2" fontId="364" fillId="0" borderId="36" xfId="35078" applyNumberFormat="1" applyFont="1" applyBorder="1"/>
    <xf numFmtId="2" fontId="364" fillId="0" borderId="0" xfId="35078" applyNumberFormat="1" applyFont="1"/>
    <xf numFmtId="2" fontId="364" fillId="0" borderId="35" xfId="35078" applyNumberFormat="1" applyFont="1" applyBorder="1"/>
    <xf numFmtId="2" fontId="365" fillId="0" borderId="36" xfId="35078" applyNumberFormat="1" applyFont="1" applyBorder="1"/>
    <xf numFmtId="2" fontId="365" fillId="0" borderId="0" xfId="35078" applyNumberFormat="1" applyFont="1"/>
    <xf numFmtId="0" fontId="365" fillId="0" borderId="36" xfId="35078" applyFont="1" applyBorder="1"/>
    <xf numFmtId="0" fontId="110" fillId="0" borderId="34" xfId="35078" applyFont="1" applyFill="1" applyBorder="1" applyAlignment="1">
      <alignment horizontal="center" vertical="top" wrapText="1"/>
    </xf>
    <xf numFmtId="0" fontId="110" fillId="0" borderId="35" xfId="35078" applyFont="1" applyFill="1" applyBorder="1" applyAlignment="1">
      <alignment horizontal="center" vertical="top" wrapText="1"/>
    </xf>
    <xf numFmtId="0" fontId="110" fillId="0" borderId="35" xfId="35078" applyFont="1" applyFill="1" applyBorder="1" applyAlignment="1">
      <alignment horizontal="justify" vertical="top" wrapText="1"/>
    </xf>
    <xf numFmtId="188" fontId="37" fillId="0" borderId="35" xfId="35078" applyNumberFormat="1" applyFont="1" applyFill="1" applyBorder="1" applyAlignment="1">
      <alignment horizontal="right" vertical="top" wrapText="1"/>
    </xf>
    <xf numFmtId="202" fontId="37" fillId="0" borderId="35" xfId="35078" applyNumberFormat="1" applyFont="1" applyFill="1" applyBorder="1" applyAlignment="1">
      <alignment horizontal="right" vertical="top"/>
    </xf>
    <xf numFmtId="188" fontId="366" fillId="0" borderId="35" xfId="35078" applyNumberFormat="1" applyFont="1" applyFill="1" applyBorder="1" applyAlignment="1">
      <alignment vertical="top"/>
    </xf>
    <xf numFmtId="188" fontId="37" fillId="0" borderId="35" xfId="35078" applyNumberFormat="1" applyFont="1" applyFill="1" applyBorder="1" applyAlignment="1">
      <alignment horizontal="right" vertical="top"/>
    </xf>
    <xf numFmtId="188" fontId="37" fillId="0" borderId="35" xfId="35078" applyNumberFormat="1" applyFont="1" applyFill="1" applyBorder="1" applyAlignment="1">
      <alignment horizontal="center" vertical="top" wrapText="1"/>
    </xf>
    <xf numFmtId="0" fontId="364" fillId="0" borderId="36" xfId="35078" applyFont="1" applyFill="1" applyBorder="1"/>
    <xf numFmtId="0" fontId="364" fillId="0" borderId="0" xfId="35078" applyFont="1" applyFill="1"/>
    <xf numFmtId="0" fontId="37" fillId="0" borderId="0" xfId="35078" applyFont="1" applyFill="1" applyAlignment="1">
      <alignment vertical="top"/>
    </xf>
    <xf numFmtId="0" fontId="364" fillId="0" borderId="36" xfId="35078" applyFont="1" applyBorder="1"/>
    <xf numFmtId="0" fontId="364" fillId="0" borderId="34" xfId="35078" applyFont="1" applyBorder="1" applyAlignment="1">
      <alignment horizontal="center" vertical="center"/>
    </xf>
    <xf numFmtId="0" fontId="364" fillId="0" borderId="35" xfId="35078" applyFont="1" applyBorder="1" applyAlignment="1">
      <alignment horizontal="center" vertical="center"/>
    </xf>
    <xf numFmtId="0" fontId="365" fillId="0" borderId="35" xfId="35078" applyFont="1" applyBorder="1" applyAlignment="1">
      <alignment vertical="center"/>
    </xf>
    <xf numFmtId="0" fontId="365" fillId="0" borderId="35" xfId="35078" applyFont="1" applyBorder="1" applyAlignment="1">
      <alignment horizontal="center" vertical="center"/>
    </xf>
    <xf numFmtId="2" fontId="364" fillId="0" borderId="35" xfId="35078" applyNumberFormat="1" applyFont="1" applyBorder="1" applyAlignment="1">
      <alignment vertical="center"/>
    </xf>
    <xf numFmtId="2" fontId="110" fillId="0" borderId="36" xfId="35078" applyNumberFormat="1" applyFont="1" applyBorder="1" applyAlignment="1">
      <alignment vertical="center"/>
    </xf>
    <xf numFmtId="2" fontId="364" fillId="0" borderId="0" xfId="35078" applyNumberFormat="1" applyFont="1" applyAlignment="1">
      <alignment vertical="center"/>
    </xf>
    <xf numFmtId="0" fontId="364" fillId="0" borderId="0" xfId="35078" applyFont="1" applyAlignment="1">
      <alignment vertical="center"/>
    </xf>
    <xf numFmtId="2" fontId="364" fillId="0" borderId="35" xfId="35078" applyNumberFormat="1" applyFont="1" applyFill="1" applyBorder="1"/>
    <xf numFmtId="0" fontId="365" fillId="0" borderId="35" xfId="35078" applyFont="1" applyBorder="1"/>
    <xf numFmtId="0" fontId="365" fillId="0" borderId="35" xfId="35078" applyFont="1" applyBorder="1" applyAlignment="1">
      <alignment horizontal="center"/>
    </xf>
    <xf numFmtId="2" fontId="110" fillId="0" borderId="36" xfId="35078" applyNumberFormat="1" applyFont="1" applyBorder="1" applyAlignment="1">
      <alignment vertical="top"/>
    </xf>
    <xf numFmtId="0" fontId="110" fillId="0" borderId="35" xfId="35078" applyFont="1" applyFill="1" applyBorder="1" applyAlignment="1">
      <alignment horizontal="justify" vertical="justify" wrapText="1"/>
    </xf>
    <xf numFmtId="2" fontId="37" fillId="0" borderId="35" xfId="35078" applyNumberFormat="1" applyFont="1" applyFill="1" applyBorder="1"/>
    <xf numFmtId="0" fontId="37" fillId="0" borderId="35" xfId="35078" applyFont="1" applyFill="1" applyBorder="1" applyAlignment="1">
      <alignment horizontal="justify" vertical="justify" wrapText="1"/>
    </xf>
    <xf numFmtId="2" fontId="364" fillId="0" borderId="35" xfId="35078" applyNumberFormat="1" applyFont="1" applyBorder="1" applyAlignment="1">
      <alignment horizontal="center"/>
    </xf>
    <xf numFmtId="1" fontId="364" fillId="0" borderId="35" xfId="35078" applyNumberFormat="1" applyFont="1" applyFill="1" applyBorder="1" applyAlignment="1">
      <alignment horizontal="center"/>
    </xf>
    <xf numFmtId="2" fontId="14" fillId="0" borderId="35" xfId="35078" applyNumberFormat="1" applyFont="1" applyBorder="1"/>
    <xf numFmtId="2" fontId="37" fillId="0" borderId="35" xfId="35078" applyNumberFormat="1" applyFont="1" applyBorder="1"/>
    <xf numFmtId="2" fontId="364" fillId="0" borderId="35" xfId="35078" applyNumberFormat="1" applyFont="1" applyBorder="1" applyAlignment="1">
      <alignment vertical="top"/>
    </xf>
    <xf numFmtId="2" fontId="365" fillId="0" borderId="36" xfId="35078" applyNumberFormat="1" applyFont="1" applyBorder="1" applyAlignment="1">
      <alignment vertical="top"/>
    </xf>
    <xf numFmtId="0" fontId="364" fillId="0" borderId="35" xfId="35078" applyFont="1" applyBorder="1" applyAlignment="1">
      <alignment horizontal="center" vertical="top"/>
    </xf>
    <xf numFmtId="1" fontId="364" fillId="0" borderId="35" xfId="35078" applyNumberFormat="1" applyFont="1" applyBorder="1" applyAlignment="1">
      <alignment horizontal="center" vertical="top"/>
    </xf>
    <xf numFmtId="184" fontId="364" fillId="0" borderId="35" xfId="35078" applyNumberFormat="1" applyFont="1" applyFill="1" applyBorder="1"/>
    <xf numFmtId="2" fontId="364" fillId="0" borderId="35" xfId="35078" applyNumberFormat="1" applyFont="1" applyFill="1" applyBorder="1" applyAlignment="1">
      <alignment vertical="top"/>
    </xf>
    <xf numFmtId="184" fontId="364" fillId="0" borderId="35" xfId="35078" applyNumberFormat="1" applyFont="1" applyFill="1" applyBorder="1" applyAlignment="1">
      <alignment vertical="top"/>
    </xf>
    <xf numFmtId="2" fontId="364" fillId="0" borderId="36" xfId="35078" applyNumberFormat="1" applyFont="1" applyFill="1" applyBorder="1" applyAlignment="1">
      <alignment vertical="top"/>
    </xf>
    <xf numFmtId="0" fontId="364" fillId="0" borderId="35" xfId="35078" applyFont="1" applyFill="1" applyBorder="1" applyAlignment="1">
      <alignment horizontal="center" vertical="top"/>
    </xf>
    <xf numFmtId="2" fontId="365" fillId="0" borderId="36" xfId="35078" applyNumberFormat="1" applyFont="1" applyFill="1" applyBorder="1" applyAlignment="1">
      <alignment vertical="top"/>
    </xf>
    <xf numFmtId="2" fontId="368" fillId="0" borderId="36" xfId="35078" applyNumberFormat="1" applyFont="1" applyBorder="1" applyAlignment="1">
      <alignment vertical="center"/>
    </xf>
    <xf numFmtId="2" fontId="37" fillId="0" borderId="36" xfId="35078" applyNumberFormat="1" applyFont="1" applyBorder="1"/>
    <xf numFmtId="2" fontId="37" fillId="0" borderId="35" xfId="35078" applyNumberFormat="1" applyFont="1" applyFill="1" applyBorder="1" applyAlignment="1">
      <alignment horizontal="justify" vertical="top" wrapText="1"/>
    </xf>
    <xf numFmtId="1" fontId="364" fillId="0" borderId="35" xfId="35078" applyNumberFormat="1" applyFont="1" applyBorder="1" applyAlignment="1">
      <alignment horizontal="center" vertical="center"/>
    </xf>
    <xf numFmtId="2" fontId="37" fillId="0" borderId="36" xfId="35078" applyNumberFormat="1" applyFont="1" applyBorder="1" applyAlignment="1">
      <alignment vertical="center"/>
    </xf>
    <xf numFmtId="0" fontId="364" fillId="0" borderId="121" xfId="35078" applyFont="1" applyBorder="1" applyAlignment="1">
      <alignment horizontal="center" vertical="top"/>
    </xf>
    <xf numFmtId="0" fontId="364" fillId="0" borderId="122" xfId="35078" applyFont="1" applyBorder="1" applyAlignment="1">
      <alignment horizontal="center"/>
    </xf>
    <xf numFmtId="0" fontId="364" fillId="0" borderId="122" xfId="35078" applyFont="1" applyBorder="1"/>
    <xf numFmtId="2" fontId="365" fillId="0" borderId="123" xfId="35078" applyNumberFormat="1" applyFont="1" applyBorder="1"/>
    <xf numFmtId="0" fontId="364" fillId="0" borderId="124" xfId="35078" applyFont="1" applyBorder="1" applyAlignment="1">
      <alignment horizontal="center" vertical="top"/>
    </xf>
    <xf numFmtId="0" fontId="110" fillId="0" borderId="125" xfId="35078" applyFont="1" applyFill="1" applyBorder="1" applyAlignment="1">
      <alignment horizontal="center" vertical="top" wrapText="1"/>
    </xf>
    <xf numFmtId="0" fontId="364" fillId="0" borderId="125" xfId="35078" applyFont="1" applyBorder="1" applyAlignment="1">
      <alignment horizontal="center" vertical="center"/>
    </xf>
    <xf numFmtId="2" fontId="37" fillId="0" borderId="125" xfId="35078" applyNumberFormat="1" applyFont="1" applyFill="1" applyBorder="1" applyAlignment="1">
      <alignment horizontal="justify" vertical="top" wrapText="1"/>
    </xf>
    <xf numFmtId="0" fontId="364" fillId="0" borderId="0" xfId="35078" applyFont="1" applyAlignment="1">
      <alignment horizontal="left"/>
    </xf>
    <xf numFmtId="0" fontId="364" fillId="0" borderId="0" xfId="35078" applyFont="1" applyAlignment="1">
      <alignment horizontal="center" vertical="top"/>
    </xf>
    <xf numFmtId="0" fontId="37" fillId="0" borderId="119" xfId="35078" applyFont="1" applyFill="1" applyBorder="1" applyAlignment="1">
      <alignment horizontal="justify" vertical="top" wrapText="1"/>
    </xf>
    <xf numFmtId="0" fontId="364" fillId="0" borderId="119" xfId="35078" applyFont="1" applyBorder="1" applyAlignment="1">
      <alignment horizontal="center" vertical="center"/>
    </xf>
    <xf numFmtId="2" fontId="369" fillId="0" borderId="119" xfId="35078" applyNumberFormat="1" applyFont="1" applyBorder="1" applyAlignment="1">
      <alignment vertical="center"/>
    </xf>
    <xf numFmtId="2" fontId="365" fillId="0" borderId="119" xfId="35078" applyNumberFormat="1" applyFont="1" applyBorder="1" applyAlignment="1">
      <alignment vertical="center"/>
    </xf>
    <xf numFmtId="2" fontId="365" fillId="0" borderId="120" xfId="35078" applyNumberFormat="1" applyFont="1" applyBorder="1" applyAlignment="1">
      <alignment vertical="center"/>
    </xf>
    <xf numFmtId="0" fontId="364" fillId="0" borderId="126" xfId="35078" applyFont="1" applyBorder="1" applyAlignment="1">
      <alignment horizontal="center" vertical="top"/>
    </xf>
    <xf numFmtId="0" fontId="110" fillId="0" borderId="127" xfId="35078" applyFont="1" applyFill="1" applyBorder="1" applyAlignment="1">
      <alignment horizontal="justify" vertical="top" wrapText="1"/>
    </xf>
    <xf numFmtId="0" fontId="364" fillId="0" borderId="127" xfId="35078" applyFont="1" applyBorder="1" applyAlignment="1">
      <alignment horizontal="center" vertical="center"/>
    </xf>
    <xf numFmtId="2" fontId="369" fillId="0" borderId="127" xfId="35078" applyNumberFormat="1" applyFont="1" applyBorder="1" applyAlignment="1">
      <alignment vertical="center"/>
    </xf>
    <xf numFmtId="2" fontId="365" fillId="0" borderId="127" xfId="35078" applyNumberFormat="1" applyFont="1" applyBorder="1" applyAlignment="1">
      <alignment vertical="center"/>
    </xf>
    <xf numFmtId="2" fontId="365" fillId="0" borderId="128" xfId="35078" applyNumberFormat="1" applyFont="1" applyBorder="1" applyAlignment="1">
      <alignment vertical="center"/>
    </xf>
    <xf numFmtId="2" fontId="365" fillId="0" borderId="35" xfId="35078" applyNumberFormat="1" applyFont="1" applyBorder="1" applyAlignment="1">
      <alignment horizontal="right" vertical="center"/>
    </xf>
    <xf numFmtId="2" fontId="365" fillId="0" borderId="36" xfId="35078" applyNumberFormat="1" applyFont="1" applyBorder="1" applyAlignment="1">
      <alignment horizontal="right" vertical="center"/>
    </xf>
    <xf numFmtId="0" fontId="37" fillId="0" borderId="35" xfId="35078" applyFont="1" applyFill="1" applyBorder="1" applyAlignment="1">
      <alignment horizontal="justify" vertical="top" wrapText="1"/>
    </xf>
    <xf numFmtId="14" fontId="110" fillId="0" borderId="35" xfId="35078" applyNumberFormat="1" applyFont="1" applyFill="1" applyBorder="1" applyAlignment="1">
      <alignment horizontal="justify" vertical="top" wrapText="1"/>
    </xf>
    <xf numFmtId="2" fontId="365" fillId="0" borderId="35" xfId="35078" applyNumberFormat="1" applyFont="1" applyBorder="1"/>
    <xf numFmtId="0" fontId="364" fillId="0" borderId="35" xfId="35078" applyFont="1" applyBorder="1" applyAlignment="1">
      <alignment horizontal="left"/>
    </xf>
    <xf numFmtId="2" fontId="365" fillId="0" borderId="36" xfId="35078" applyNumberFormat="1" applyFont="1" applyBorder="1" applyAlignment="1">
      <alignment vertical="center"/>
    </xf>
    <xf numFmtId="0" fontId="365" fillId="0" borderId="34" xfId="35078" applyFont="1" applyBorder="1" applyAlignment="1">
      <alignment horizontal="center" vertical="center"/>
    </xf>
    <xf numFmtId="2" fontId="365" fillId="0" borderId="35" xfId="35078" applyNumberFormat="1" applyFont="1" applyBorder="1" applyAlignment="1">
      <alignment vertical="center"/>
    </xf>
    <xf numFmtId="0" fontId="365" fillId="0" borderId="0" xfId="35078" applyFont="1" applyAlignment="1">
      <alignment horizontal="center" vertical="center"/>
    </xf>
    <xf numFmtId="2" fontId="14" fillId="0" borderId="35" xfId="35078" applyNumberFormat="1" applyFont="1" applyBorder="1" applyAlignment="1">
      <alignment vertical="center"/>
    </xf>
    <xf numFmtId="2" fontId="37" fillId="0" borderId="35" xfId="35078" applyNumberFormat="1" applyFont="1" applyBorder="1" applyAlignment="1">
      <alignment vertical="center"/>
    </xf>
    <xf numFmtId="0" fontId="37" fillId="0" borderId="34" xfId="35080" applyFont="1" applyBorder="1" applyAlignment="1">
      <alignment horizontal="center" vertical="center" wrapText="1"/>
    </xf>
    <xf numFmtId="0" fontId="364" fillId="0" borderId="35" xfId="35078" applyFont="1" applyFill="1" applyBorder="1" applyAlignment="1">
      <alignment horizontal="left" vertical="center"/>
    </xf>
    <xf numFmtId="2" fontId="37" fillId="0" borderId="36" xfId="35080" applyNumberFormat="1" applyFont="1" applyBorder="1" applyAlignment="1">
      <alignment vertical="center"/>
    </xf>
    <xf numFmtId="0" fontId="37" fillId="0" borderId="129" xfId="35080" applyFont="1" applyBorder="1" applyAlignment="1">
      <alignment horizontal="center" vertical="center" wrapText="1"/>
    </xf>
    <xf numFmtId="2" fontId="37" fillId="0" borderId="130" xfId="35080" applyNumberFormat="1" applyFont="1" applyBorder="1" applyAlignment="1">
      <alignment vertical="center"/>
    </xf>
    <xf numFmtId="0" fontId="365" fillId="0" borderId="131" xfId="35078" applyFont="1" applyBorder="1" applyAlignment="1">
      <alignment vertical="center"/>
    </xf>
    <xf numFmtId="0" fontId="365" fillId="0" borderId="132" xfId="35078" applyFont="1" applyBorder="1" applyAlignment="1">
      <alignment horizontal="center" vertical="center"/>
    </xf>
    <xf numFmtId="0" fontId="365" fillId="0" borderId="132" xfId="35078" applyFont="1" applyBorder="1" applyAlignment="1">
      <alignment vertical="center"/>
    </xf>
    <xf numFmtId="0" fontId="365" fillId="0" borderId="133" xfId="35078" applyFont="1" applyBorder="1" applyAlignment="1">
      <alignment vertical="center"/>
    </xf>
    <xf numFmtId="2" fontId="365" fillId="0" borderId="123" xfId="35078" applyNumberFormat="1" applyFont="1" applyBorder="1" applyAlignment="1">
      <alignment vertical="center"/>
    </xf>
    <xf numFmtId="0" fontId="371" fillId="0" borderId="0" xfId="26860" applyFont="1" applyBorder="1" applyAlignment="1">
      <alignment vertical="top"/>
    </xf>
    <xf numFmtId="0" fontId="371" fillId="0" borderId="0" xfId="26860" applyFont="1" applyAlignment="1">
      <alignment horizontal="center" vertical="center"/>
    </xf>
    <xf numFmtId="0" fontId="372" fillId="0" borderId="0" xfId="26860" applyFont="1" applyAlignment="1">
      <alignment horizontal="center" vertical="center"/>
    </xf>
    <xf numFmtId="0" fontId="371" fillId="0" borderId="0" xfId="26860" applyFont="1" applyBorder="1" applyAlignment="1">
      <alignment horizontal="center" vertical="center"/>
    </xf>
    <xf numFmtId="2" fontId="371" fillId="0" borderId="0" xfId="26860" applyNumberFormat="1" applyFont="1" applyBorder="1" applyAlignment="1">
      <alignment horizontal="center"/>
    </xf>
    <xf numFmtId="0" fontId="371" fillId="0" borderId="0" xfId="26860" applyFont="1"/>
    <xf numFmtId="184" fontId="371" fillId="0" borderId="0" xfId="26860" applyNumberFormat="1" applyFont="1" applyAlignment="1">
      <alignment horizontal="center" vertical="center"/>
    </xf>
    <xf numFmtId="0" fontId="371" fillId="0" borderId="115" xfId="35080" applyFont="1" applyBorder="1" applyAlignment="1">
      <alignment horizontal="center" vertical="center" wrapText="1"/>
    </xf>
    <xf numFmtId="0" fontId="375" fillId="0" borderId="0" xfId="26860" applyFont="1" applyAlignment="1">
      <alignment vertical="top"/>
    </xf>
    <xf numFmtId="0" fontId="371" fillId="0" borderId="0" xfId="26860" applyFont="1" applyAlignment="1">
      <alignment horizontal="center" vertical="top"/>
    </xf>
    <xf numFmtId="191" fontId="374" fillId="0" borderId="0" xfId="26860" applyNumberFormat="1" applyFont="1" applyAlignment="1">
      <alignment horizontal="center" vertical="center"/>
    </xf>
    <xf numFmtId="0" fontId="371" fillId="0" borderId="0" xfId="26860" applyFont="1" applyAlignment="1">
      <alignment horizontal="center"/>
    </xf>
    <xf numFmtId="2" fontId="371" fillId="0" borderId="0" xfId="26860" applyNumberFormat="1" applyFont="1" applyAlignment="1">
      <alignment horizontal="center" vertical="center"/>
    </xf>
    <xf numFmtId="0" fontId="371" fillId="0" borderId="0" xfId="26860" applyFont="1" applyAlignment="1">
      <alignment horizontal="left" vertical="top" wrapText="1"/>
    </xf>
    <xf numFmtId="0" fontId="371" fillId="0" borderId="0" xfId="26860" applyFont="1" applyAlignment="1">
      <alignment horizontal="left" wrapText="1"/>
    </xf>
    <xf numFmtId="0" fontId="376" fillId="0" borderId="0" xfId="26860" applyFont="1" applyAlignment="1">
      <alignment horizontal="center" vertical="center"/>
    </xf>
    <xf numFmtId="184" fontId="371" fillId="0" borderId="0" xfId="35080" applyNumberFormat="1" applyFont="1" applyFill="1" applyBorder="1" applyAlignment="1">
      <alignment horizontal="center" vertical="center" wrapText="1"/>
    </xf>
    <xf numFmtId="2" fontId="371" fillId="0" borderId="0" xfId="35084" applyNumberFormat="1" applyFont="1" applyFill="1" applyBorder="1" applyAlignment="1" applyProtection="1">
      <alignment horizontal="center" vertical="center" wrapText="1"/>
    </xf>
    <xf numFmtId="0" fontId="371" fillId="0" borderId="0" xfId="35084" applyFont="1" applyFill="1" applyBorder="1" applyAlignment="1" applyProtection="1">
      <alignment horizontal="center" vertical="center" wrapText="1"/>
    </xf>
    <xf numFmtId="1" fontId="371" fillId="0" borderId="0" xfId="26860" applyNumberFormat="1" applyFont="1" applyAlignment="1">
      <alignment horizontal="center" vertical="center"/>
    </xf>
    <xf numFmtId="0" fontId="371" fillId="0" borderId="0" xfId="26860" applyFont="1" applyBorder="1" applyAlignment="1">
      <alignment horizontal="center"/>
    </xf>
    <xf numFmtId="0" fontId="371" fillId="0" borderId="0" xfId="26860" applyFont="1" applyAlignment="1">
      <alignment horizontal="left"/>
    </xf>
    <xf numFmtId="0" fontId="371" fillId="0" borderId="0" xfId="26860" applyNumberFormat="1" applyFont="1" applyAlignment="1">
      <alignment horizontal="left" vertical="justify"/>
    </xf>
    <xf numFmtId="0" fontId="371" fillId="0" borderId="0" xfId="26860" applyNumberFormat="1" applyFont="1" applyAlignment="1">
      <alignment horizontal="center" vertical="center"/>
    </xf>
    <xf numFmtId="2" fontId="371" fillId="0" borderId="108" xfId="26860" applyNumberFormat="1" applyFont="1" applyBorder="1" applyAlignment="1">
      <alignment horizontal="center" vertical="center"/>
    </xf>
    <xf numFmtId="2" fontId="371" fillId="0" borderId="0" xfId="26860" applyNumberFormat="1" applyFont="1" applyBorder="1" applyAlignment="1">
      <alignment horizontal="center" vertical="center"/>
    </xf>
    <xf numFmtId="2" fontId="371" fillId="0" borderId="0" xfId="26860" applyNumberFormat="1" applyFont="1"/>
    <xf numFmtId="0" fontId="371" fillId="0" borderId="0" xfId="26860" applyFont="1" applyAlignment="1">
      <alignment vertical="justify"/>
    </xf>
    <xf numFmtId="0" fontId="372" fillId="0" borderId="0" xfId="26860" applyFont="1"/>
    <xf numFmtId="2" fontId="371" fillId="0" borderId="115" xfId="26860" applyNumberFormat="1" applyFont="1" applyBorder="1" applyAlignment="1">
      <alignment horizontal="center" vertical="center"/>
    </xf>
    <xf numFmtId="2" fontId="372" fillId="0" borderId="115" xfId="26860" applyNumberFormat="1" applyFont="1" applyBorder="1" applyAlignment="1">
      <alignment horizontal="center" vertical="center"/>
    </xf>
    <xf numFmtId="0" fontId="371" fillId="0" borderId="0" xfId="26860" applyFont="1" applyAlignment="1">
      <alignment vertical="top"/>
    </xf>
    <xf numFmtId="0" fontId="371" fillId="0" borderId="0" xfId="26860" applyNumberFormat="1" applyFont="1" applyAlignment="1">
      <alignment vertical="justify"/>
    </xf>
    <xf numFmtId="2" fontId="371" fillId="0" borderId="115" xfId="26860" applyNumberFormat="1" applyFont="1" applyBorder="1" applyAlignment="1">
      <alignment horizontal="left"/>
    </xf>
    <xf numFmtId="2" fontId="371" fillId="0" borderId="115" xfId="26860" applyNumberFormat="1" applyFont="1" applyBorder="1" applyAlignment="1">
      <alignment horizontal="center"/>
    </xf>
    <xf numFmtId="0" fontId="371" fillId="0" borderId="115" xfId="26860" applyFont="1" applyBorder="1" applyAlignment="1">
      <alignment horizontal="center"/>
    </xf>
    <xf numFmtId="0" fontId="371" fillId="0" borderId="115" xfId="26860" applyFont="1" applyBorder="1"/>
    <xf numFmtId="1" fontId="371" fillId="0" borderId="115" xfId="26860" applyNumberFormat="1" applyFont="1" applyBorder="1" applyAlignment="1">
      <alignment horizontal="center"/>
    </xf>
    <xf numFmtId="0" fontId="371" fillId="0" borderId="0" xfId="26860" applyFont="1" applyAlignment="1">
      <alignment wrapText="1"/>
    </xf>
    <xf numFmtId="0" fontId="371" fillId="0" borderId="115" xfId="26860" applyFont="1" applyBorder="1" applyAlignment="1">
      <alignment horizontal="left"/>
    </xf>
    <xf numFmtId="0" fontId="372" fillId="0" borderId="0" xfId="26860" applyNumberFormat="1" applyFont="1" applyAlignment="1">
      <alignment horizontal="left" vertical="justify"/>
    </xf>
    <xf numFmtId="2" fontId="372" fillId="0" borderId="0" xfId="26860" applyNumberFormat="1" applyFont="1" applyAlignment="1">
      <alignment horizontal="center" vertical="center"/>
    </xf>
    <xf numFmtId="2" fontId="374" fillId="0" borderId="0" xfId="26860" applyNumberFormat="1" applyFont="1" applyAlignment="1">
      <alignment horizontal="center" vertical="center"/>
    </xf>
    <xf numFmtId="1" fontId="371" fillId="0" borderId="0" xfId="26860" applyNumberFormat="1" applyFont="1" applyBorder="1" applyAlignment="1">
      <alignment horizontal="center" vertical="center"/>
    </xf>
    <xf numFmtId="2" fontId="371" fillId="0" borderId="0" xfId="26860" applyNumberFormat="1" applyFont="1" applyBorder="1" applyAlignment="1">
      <alignment horizontal="left"/>
    </xf>
    <xf numFmtId="1" fontId="371" fillId="0" borderId="0" xfId="26860" applyNumberFormat="1" applyFont="1" applyBorder="1" applyAlignment="1">
      <alignment horizontal="center"/>
    </xf>
    <xf numFmtId="0" fontId="371" fillId="0" borderId="0" xfId="26860" applyFont="1" applyBorder="1"/>
    <xf numFmtId="1" fontId="371" fillId="0" borderId="0" xfId="26860" applyNumberFormat="1" applyFont="1" applyBorder="1" applyAlignment="1">
      <alignment horizontal="left"/>
    </xf>
    <xf numFmtId="1" fontId="371" fillId="0" borderId="108" xfId="26860" applyNumberFormat="1" applyFont="1" applyBorder="1" applyAlignment="1">
      <alignment horizontal="center" vertical="center"/>
    </xf>
    <xf numFmtId="1" fontId="371" fillId="0" borderId="0" xfId="3663" applyNumberFormat="1" applyFont="1" applyBorder="1" applyAlignment="1">
      <alignment vertical="top"/>
    </xf>
    <xf numFmtId="0" fontId="375" fillId="0" borderId="0" xfId="35083" applyFont="1" applyBorder="1" applyAlignment="1">
      <alignment vertical="top"/>
    </xf>
    <xf numFmtId="0" fontId="375" fillId="0" borderId="0" xfId="35083" applyFont="1" applyBorder="1" applyAlignment="1">
      <alignment horizontal="center" vertical="center"/>
    </xf>
    <xf numFmtId="0" fontId="381" fillId="0" borderId="0" xfId="3663" applyFont="1" applyBorder="1" applyAlignment="1">
      <alignment horizontal="center" vertical="center" wrapText="1"/>
    </xf>
    <xf numFmtId="0" fontId="371" fillId="0" borderId="0" xfId="35080" applyFont="1" applyBorder="1" applyAlignment="1">
      <alignment horizontal="center" vertical="center" wrapText="1"/>
    </xf>
    <xf numFmtId="1" fontId="371" fillId="0" borderId="0" xfId="3663" applyNumberFormat="1" applyFont="1" applyBorder="1" applyAlignment="1">
      <alignment horizontal="center" vertical="top"/>
    </xf>
    <xf numFmtId="1" fontId="371" fillId="0" borderId="0" xfId="3663" applyNumberFormat="1" applyFont="1" applyBorder="1" applyAlignment="1">
      <alignment horizontal="center" vertical="center"/>
    </xf>
    <xf numFmtId="2" fontId="371" fillId="0" borderId="0" xfId="3663" applyNumberFormat="1" applyFont="1" applyBorder="1" applyAlignment="1">
      <alignment horizontal="center" vertical="center"/>
    </xf>
    <xf numFmtId="1" fontId="379" fillId="0" borderId="0" xfId="3663" applyNumberFormat="1" applyFont="1" applyBorder="1" applyAlignment="1">
      <alignment horizontal="center" vertical="top"/>
    </xf>
    <xf numFmtId="1" fontId="371" fillId="0" borderId="0" xfId="26860" applyNumberFormat="1" applyFont="1"/>
    <xf numFmtId="1" fontId="371" fillId="0" borderId="0" xfId="26860" applyNumberFormat="1" applyFont="1" applyAlignment="1">
      <alignment horizontal="center"/>
    </xf>
    <xf numFmtId="0" fontId="381" fillId="0" borderId="0" xfId="3663" applyFont="1" applyAlignment="1">
      <alignment horizontal="center" vertical="center" wrapText="1"/>
    </xf>
    <xf numFmtId="0" fontId="375" fillId="0" borderId="0" xfId="0" applyFont="1" applyAlignment="1">
      <alignment vertical="center"/>
    </xf>
    <xf numFmtId="1" fontId="383" fillId="0" borderId="0" xfId="0" applyNumberFormat="1" applyFont="1" applyAlignment="1">
      <alignment horizontal="center" vertical="center" wrapText="1"/>
    </xf>
    <xf numFmtId="0" fontId="382" fillId="0" borderId="0" xfId="0" applyFont="1" applyAlignment="1">
      <alignment horizontal="center" vertical="center"/>
    </xf>
    <xf numFmtId="0" fontId="382" fillId="0" borderId="106" xfId="0" applyFont="1" applyBorder="1" applyAlignment="1">
      <alignment horizontal="center" vertical="top" wrapText="1"/>
    </xf>
    <xf numFmtId="0" fontId="382" fillId="0" borderId="106" xfId="0" applyFont="1" applyBorder="1" applyAlignment="1">
      <alignment horizontal="center" vertical="center" wrapText="1"/>
    </xf>
    <xf numFmtId="2" fontId="382" fillId="0" borderId="106" xfId="0" applyNumberFormat="1" applyFont="1" applyBorder="1" applyAlignment="1">
      <alignment horizontal="center" vertical="center"/>
    </xf>
    <xf numFmtId="0" fontId="382" fillId="8" borderId="106" xfId="0" applyFont="1" applyFill="1" applyBorder="1" applyAlignment="1">
      <alignment horizontal="center" vertical="center"/>
    </xf>
    <xf numFmtId="0" fontId="382" fillId="0" borderId="106" xfId="0" applyFont="1" applyBorder="1" applyAlignment="1">
      <alignment horizontal="center" vertical="center"/>
    </xf>
    <xf numFmtId="0" fontId="375" fillId="0" borderId="0" xfId="0" applyFont="1" applyAlignment="1">
      <alignment horizontal="center" vertical="center"/>
    </xf>
    <xf numFmtId="0" fontId="382" fillId="0" borderId="106" xfId="0" applyFont="1" applyBorder="1" applyAlignment="1">
      <alignment horizontal="center" vertical="top"/>
    </xf>
    <xf numFmtId="1" fontId="382" fillId="0" borderId="106" xfId="0" applyNumberFormat="1" applyFont="1" applyBorder="1" applyAlignment="1">
      <alignment horizontal="center" vertical="center"/>
    </xf>
    <xf numFmtId="0" fontId="375" fillId="0" borderId="106" xfId="0" applyFont="1" applyBorder="1" applyAlignment="1">
      <alignment horizontal="center" vertical="top"/>
    </xf>
    <xf numFmtId="3" fontId="382" fillId="0" borderId="106" xfId="0" applyNumberFormat="1" applyFont="1" applyBorder="1" applyAlignment="1">
      <alignment horizontal="justify" vertical="top"/>
    </xf>
    <xf numFmtId="2" fontId="375" fillId="0" borderId="0" xfId="0" applyNumberFormat="1" applyFont="1" applyAlignment="1">
      <alignment vertical="center"/>
    </xf>
    <xf numFmtId="0" fontId="375" fillId="0" borderId="106" xfId="0" applyFont="1" applyBorder="1" applyAlignment="1">
      <alignment horizontal="center" vertical="center"/>
    </xf>
    <xf numFmtId="0" fontId="375" fillId="0" borderId="106" xfId="288" applyFont="1" applyBorder="1" applyAlignment="1">
      <alignment horizontal="left" vertical="center"/>
    </xf>
    <xf numFmtId="0" fontId="375" fillId="0" borderId="106" xfId="288" applyFont="1" applyBorder="1" applyAlignment="1">
      <alignment horizontal="center" vertical="center"/>
    </xf>
    <xf numFmtId="2" fontId="375" fillId="0" borderId="106" xfId="288" applyNumberFormat="1" applyFont="1" applyBorder="1" applyAlignment="1">
      <alignment horizontal="center" vertical="center"/>
    </xf>
    <xf numFmtId="0" fontId="375" fillId="8" borderId="106" xfId="0" applyFont="1" applyFill="1" applyBorder="1" applyAlignment="1">
      <alignment horizontal="center" vertical="center" wrapText="1"/>
    </xf>
    <xf numFmtId="0" fontId="375" fillId="0" borderId="106" xfId="0" applyFont="1" applyBorder="1" applyAlignment="1">
      <alignment horizontal="center" vertical="center" wrapText="1"/>
    </xf>
    <xf numFmtId="3" fontId="382" fillId="0" borderId="106" xfId="0" applyNumberFormat="1" applyFont="1" applyBorder="1" applyAlignment="1">
      <alignment horizontal="justify" vertical="center"/>
    </xf>
    <xf numFmtId="0" fontId="375" fillId="0" borderId="106" xfId="0" applyFont="1" applyBorder="1" applyAlignment="1">
      <alignment horizontal="left" vertical="center" wrapText="1"/>
    </xf>
    <xf numFmtId="2" fontId="382" fillId="0" borderId="106" xfId="3749" applyNumberFormat="1" applyFont="1" applyBorder="1" applyAlignment="1">
      <alignment horizontal="center" vertical="center"/>
    </xf>
    <xf numFmtId="2" fontId="375" fillId="8" borderId="106" xfId="0" applyNumberFormat="1" applyFont="1" applyFill="1" applyBorder="1" applyAlignment="1">
      <alignment horizontal="center" vertical="center" wrapText="1"/>
    </xf>
    <xf numFmtId="2" fontId="382" fillId="0" borderId="106" xfId="0" applyNumberFormat="1" applyFont="1" applyBorder="1" applyAlignment="1">
      <alignment horizontal="right" vertical="center"/>
    </xf>
    <xf numFmtId="2" fontId="382" fillId="0" borderId="106" xfId="0" applyNumberFormat="1" applyFont="1" applyBorder="1" applyAlignment="1">
      <alignment horizontal="center" vertical="center" wrapText="1"/>
    </xf>
    <xf numFmtId="2" fontId="382" fillId="0" borderId="106" xfId="0" applyNumberFormat="1" applyFont="1" applyBorder="1" applyAlignment="1">
      <alignment horizontal="justify" vertical="top"/>
    </xf>
    <xf numFmtId="0" fontId="375" fillId="0" borderId="106" xfId="0" applyFont="1" applyBorder="1" applyAlignment="1">
      <alignment horizontal="center"/>
    </xf>
    <xf numFmtId="0" fontId="375" fillId="0" borderId="106" xfId="0" applyFont="1" applyBorder="1" applyAlignment="1">
      <alignment horizontal="left" wrapText="1"/>
    </xf>
    <xf numFmtId="0" fontId="375" fillId="0" borderId="106" xfId="2578" applyFont="1" applyBorder="1" applyAlignment="1">
      <alignment horizontal="center" wrapText="1"/>
    </xf>
    <xf numFmtId="2" fontId="375" fillId="0" borderId="106" xfId="2578" applyNumberFormat="1" applyFont="1" applyBorder="1" applyAlignment="1">
      <alignment horizontal="center" wrapText="1"/>
    </xf>
    <xf numFmtId="0" fontId="375" fillId="8" borderId="106" xfId="0" applyFont="1" applyFill="1" applyBorder="1" applyAlignment="1">
      <alignment horizontal="center" wrapText="1"/>
    </xf>
    <xf numFmtId="0" fontId="375" fillId="0" borderId="106" xfId="0" applyFont="1" applyBorder="1" applyAlignment="1">
      <alignment horizontal="center" wrapText="1"/>
    </xf>
    <xf numFmtId="3" fontId="382" fillId="0" borderId="106" xfId="0" applyNumberFormat="1" applyFont="1" applyBorder="1" applyAlignment="1">
      <alignment horizontal="justify"/>
    </xf>
    <xf numFmtId="0" fontId="375" fillId="0" borderId="0" xfId="0" applyFont="1"/>
    <xf numFmtId="2" fontId="375" fillId="0" borderId="0" xfId="0" applyNumberFormat="1" applyFont="1"/>
    <xf numFmtId="0" fontId="375" fillId="0" borderId="106" xfId="0" applyFont="1" applyBorder="1" applyAlignment="1">
      <alignment horizontal="left" vertical="top" wrapText="1"/>
    </xf>
    <xf numFmtId="0" fontId="375" fillId="0" borderId="106" xfId="0" applyFont="1" applyBorder="1" applyAlignment="1">
      <alignment horizontal="center" vertical="top" wrapText="1"/>
    </xf>
    <xf numFmtId="2" fontId="382" fillId="0" borderId="106" xfId="0" applyNumberFormat="1" applyFont="1" applyBorder="1" applyAlignment="1">
      <alignment horizontal="justify" vertical="center"/>
    </xf>
    <xf numFmtId="0" fontId="375" fillId="0" borderId="106" xfId="3749" applyFont="1" applyBorder="1" applyAlignment="1">
      <alignment vertical="center"/>
    </xf>
    <xf numFmtId="0" fontId="375" fillId="0" borderId="106" xfId="3749" applyFont="1" applyBorder="1" applyAlignment="1">
      <alignment horizontal="center" vertical="center"/>
    </xf>
    <xf numFmtId="2" fontId="375" fillId="0" borderId="106" xfId="3749" applyNumberFormat="1" applyFont="1" applyBorder="1" applyAlignment="1">
      <alignment horizontal="center" vertical="center"/>
    </xf>
    <xf numFmtId="0" fontId="375" fillId="8" borderId="106" xfId="288" applyFont="1" applyFill="1" applyBorder="1" applyAlignment="1">
      <alignment horizontal="center" vertical="center"/>
    </xf>
    <xf numFmtId="0" fontId="375" fillId="0" borderId="106" xfId="288" applyFont="1" applyBorder="1" applyAlignment="1">
      <alignment vertical="center"/>
    </xf>
    <xf numFmtId="0" fontId="375" fillId="0" borderId="0" xfId="288" applyFont="1" applyAlignment="1">
      <alignment vertical="center"/>
    </xf>
    <xf numFmtId="2" fontId="375" fillId="0" borderId="106" xfId="288" applyNumberFormat="1" applyFont="1" applyBorder="1" applyAlignment="1">
      <alignment horizontal="center" vertical="center" wrapText="1"/>
    </xf>
    <xf numFmtId="0" fontId="375" fillId="0" borderId="106" xfId="3749" applyFont="1" applyBorder="1" applyAlignment="1">
      <alignment horizontal="left" vertical="center"/>
    </xf>
    <xf numFmtId="2" fontId="384" fillId="0" borderId="106" xfId="288" applyNumberFormat="1" applyFont="1" applyBorder="1" applyAlignment="1">
      <alignment horizontal="center" vertical="center" wrapText="1"/>
    </xf>
    <xf numFmtId="0" fontId="375" fillId="0" borderId="106" xfId="288" applyFont="1" applyBorder="1" applyAlignment="1">
      <alignment horizontal="left" vertical="center" wrapText="1"/>
    </xf>
    <xf numFmtId="0" fontId="375" fillId="0" borderId="106" xfId="288" applyFont="1" applyBorder="1" applyAlignment="1">
      <alignment horizontal="center" vertical="center" wrapText="1"/>
    </xf>
    <xf numFmtId="184" fontId="375" fillId="0" borderId="106" xfId="288" applyNumberFormat="1" applyFont="1" applyBorder="1" applyAlignment="1">
      <alignment horizontal="left" vertical="center"/>
    </xf>
    <xf numFmtId="184" fontId="375" fillId="0" borderId="106" xfId="288" applyNumberFormat="1" applyFont="1" applyBorder="1" applyAlignment="1">
      <alignment horizontal="center" vertical="center"/>
    </xf>
    <xf numFmtId="184" fontId="375" fillId="0" borderId="106" xfId="288" applyNumberFormat="1" applyFont="1" applyBorder="1" applyAlignment="1">
      <alignment horizontal="center" vertical="center" wrapText="1"/>
    </xf>
    <xf numFmtId="0" fontId="375" fillId="8" borderId="106" xfId="288" applyFont="1" applyFill="1" applyBorder="1" applyAlignment="1">
      <alignment horizontal="center" vertical="center" wrapText="1"/>
    </xf>
    <xf numFmtId="0" fontId="375" fillId="0" borderId="106" xfId="288" applyFont="1" applyBorder="1" applyAlignment="1">
      <alignment vertical="center" wrapText="1"/>
    </xf>
    <xf numFmtId="0" fontId="375" fillId="0" borderId="0" xfId="288" applyFont="1" applyAlignment="1">
      <alignment vertical="center" wrapText="1"/>
    </xf>
    <xf numFmtId="0" fontId="375" fillId="8" borderId="106" xfId="0" applyFont="1" applyFill="1" applyBorder="1" applyAlignment="1">
      <alignment horizontal="center" vertical="top" wrapText="1"/>
    </xf>
    <xf numFmtId="0" fontId="375" fillId="0" borderId="106" xfId="2578" applyFont="1" applyBorder="1" applyAlignment="1">
      <alignment horizontal="justify" wrapText="1"/>
    </xf>
    <xf numFmtId="2" fontId="375" fillId="8" borderId="106" xfId="2578" applyNumberFormat="1" applyFont="1" applyFill="1" applyBorder="1" applyAlignment="1">
      <alignment horizontal="center" wrapText="1"/>
    </xf>
    <xf numFmtId="0" fontId="375" fillId="0" borderId="106" xfId="2578" applyFont="1" applyBorder="1" applyAlignment="1">
      <alignment horizontal="center"/>
    </xf>
    <xf numFmtId="0" fontId="375" fillId="0" borderId="106" xfId="2578" applyFont="1" applyBorder="1"/>
    <xf numFmtId="2" fontId="375" fillId="0" borderId="0" xfId="2578" applyNumberFormat="1" applyFont="1" applyAlignment="1">
      <alignment horizontal="center"/>
    </xf>
    <xf numFmtId="0" fontId="375" fillId="0" borderId="0" xfId="2578" applyFont="1" applyAlignment="1">
      <alignment horizontal="justify" wrapText="1"/>
    </xf>
    <xf numFmtId="0" fontId="375" fillId="0" borderId="0" xfId="2578" applyFont="1"/>
    <xf numFmtId="2" fontId="375" fillId="0" borderId="106" xfId="0" applyNumberFormat="1" applyFont="1" applyBorder="1" applyAlignment="1">
      <alignment horizontal="center" vertical="center" wrapText="1"/>
    </xf>
    <xf numFmtId="0" fontId="375" fillId="0" borderId="106" xfId="288" applyFont="1" applyBorder="1" applyAlignment="1">
      <alignment horizontal="left" vertical="top"/>
    </xf>
    <xf numFmtId="0" fontId="375" fillId="0" borderId="106" xfId="288" applyFont="1" applyBorder="1" applyAlignment="1">
      <alignment horizontal="center" vertical="top"/>
    </xf>
    <xf numFmtId="2" fontId="375" fillId="0" borderId="106" xfId="288" applyNumberFormat="1" applyFont="1" applyBorder="1" applyAlignment="1">
      <alignment horizontal="center" vertical="top"/>
    </xf>
    <xf numFmtId="2" fontId="384" fillId="0" borderId="106" xfId="288" applyNumberFormat="1" applyFont="1" applyBorder="1" applyAlignment="1">
      <alignment horizontal="center" vertical="top" wrapText="1"/>
    </xf>
    <xf numFmtId="0" fontId="375" fillId="0" borderId="106" xfId="2578" applyFont="1" applyBorder="1" applyAlignment="1">
      <alignment horizontal="center" vertical="center" wrapText="1"/>
    </xf>
    <xf numFmtId="0" fontId="375" fillId="0" borderId="106" xfId="2578" applyFont="1" applyBorder="1" applyAlignment="1">
      <alignment horizontal="justify" vertical="center" wrapText="1"/>
    </xf>
    <xf numFmtId="2" fontId="375" fillId="0" borderId="106" xfId="2578" applyNumberFormat="1" applyFont="1" applyBorder="1" applyAlignment="1">
      <alignment horizontal="center" vertical="center" wrapText="1"/>
    </xf>
    <xf numFmtId="184" fontId="375" fillId="0" borderId="106" xfId="2578" applyNumberFormat="1" applyFont="1" applyBorder="1" applyAlignment="1">
      <alignment horizontal="center" vertical="center" wrapText="1"/>
    </xf>
    <xf numFmtId="2" fontId="375" fillId="8" borderId="106" xfId="2578" applyNumberFormat="1" applyFont="1" applyFill="1" applyBorder="1" applyAlignment="1">
      <alignment horizontal="center" vertical="center" wrapText="1"/>
    </xf>
    <xf numFmtId="0" fontId="375" fillId="0" borderId="106" xfId="2578" applyFont="1" applyBorder="1" applyAlignment="1">
      <alignment horizontal="center" vertical="center"/>
    </xf>
    <xf numFmtId="0" fontId="375" fillId="0" borderId="106" xfId="2578" applyFont="1" applyBorder="1" applyAlignment="1">
      <alignment vertical="center"/>
    </xf>
    <xf numFmtId="2" fontId="375" fillId="0" borderId="0" xfId="2578" applyNumberFormat="1" applyFont="1" applyAlignment="1">
      <alignment horizontal="center" vertical="center"/>
    </xf>
    <xf numFmtId="0" fontId="375" fillId="0" borderId="0" xfId="2578" applyFont="1" applyAlignment="1">
      <alignment horizontal="justify" vertical="center" wrapText="1"/>
    </xf>
    <xf numFmtId="0" fontId="375" fillId="0" borderId="0" xfId="2578" applyFont="1" applyAlignment="1">
      <alignment vertical="center"/>
    </xf>
    <xf numFmtId="0" fontId="375" fillId="4" borderId="106" xfId="0" applyFont="1" applyFill="1" applyBorder="1" applyAlignment="1">
      <alignment horizontal="center" vertical="top"/>
    </xf>
    <xf numFmtId="2" fontId="375" fillId="4" borderId="106" xfId="3749" applyNumberFormat="1" applyFont="1" applyFill="1" applyBorder="1" applyAlignment="1">
      <alignment horizontal="right" vertical="top"/>
    </xf>
    <xf numFmtId="0" fontId="375" fillId="4" borderId="0" xfId="0" applyFont="1" applyFill="1" applyAlignment="1">
      <alignment vertical="center"/>
    </xf>
    <xf numFmtId="0" fontId="375" fillId="0" borderId="106" xfId="3749" applyFont="1" applyBorder="1" applyAlignment="1">
      <alignment horizontal="left" vertical="center" wrapText="1"/>
    </xf>
    <xf numFmtId="2" fontId="375" fillId="0" borderId="106" xfId="3749" applyNumberFormat="1" applyFont="1" applyBorder="1" applyAlignment="1">
      <alignment horizontal="center" vertical="center" wrapText="1"/>
    </xf>
    <xf numFmtId="2" fontId="375" fillId="8" borderId="106" xfId="3749" applyNumberFormat="1" applyFont="1" applyFill="1" applyBorder="1" applyAlignment="1">
      <alignment horizontal="center" vertical="center" wrapText="1"/>
    </xf>
    <xf numFmtId="0" fontId="375" fillId="0" borderId="106" xfId="3749" applyFont="1" applyBorder="1" applyAlignment="1">
      <alignment horizontal="center" vertical="center" wrapText="1"/>
    </xf>
    <xf numFmtId="2" fontId="375" fillId="0" borderId="106" xfId="3749" applyNumberFormat="1" applyFont="1" applyBorder="1" applyAlignment="1">
      <alignment horizontal="right" vertical="top"/>
    </xf>
    <xf numFmtId="0" fontId="375" fillId="8" borderId="106" xfId="288" applyFont="1" applyFill="1" applyBorder="1" applyAlignment="1">
      <alignment horizontal="center" vertical="top"/>
    </xf>
    <xf numFmtId="0" fontId="375" fillId="0" borderId="106" xfId="288" applyFont="1" applyBorder="1" applyAlignment="1">
      <alignment vertical="top"/>
    </xf>
    <xf numFmtId="0" fontId="375" fillId="0" borderId="106" xfId="3749" applyFont="1" applyBorder="1" applyAlignment="1">
      <alignment horizontal="left" vertical="top" wrapText="1"/>
    </xf>
    <xf numFmtId="0" fontId="375" fillId="0" borderId="106" xfId="3749" applyFont="1" applyBorder="1" applyAlignment="1">
      <alignment horizontal="center" vertical="top"/>
    </xf>
    <xf numFmtId="2" fontId="375" fillId="0" borderId="106" xfId="3749" applyNumberFormat="1" applyFont="1" applyBorder="1" applyAlignment="1">
      <alignment horizontal="center" vertical="top" wrapText="1"/>
    </xf>
    <xf numFmtId="2" fontId="382" fillId="0" borderId="106" xfId="3749" applyNumberFormat="1" applyFont="1" applyBorder="1" applyAlignment="1">
      <alignment horizontal="center" vertical="top"/>
    </xf>
    <xf numFmtId="2" fontId="375" fillId="8" borderId="106" xfId="3749" applyNumberFormat="1" applyFont="1" applyFill="1" applyBorder="1" applyAlignment="1">
      <alignment horizontal="center" vertical="top" wrapText="1"/>
    </xf>
    <xf numFmtId="0" fontId="375" fillId="0" borderId="106" xfId="3749" applyFont="1" applyBorder="1" applyAlignment="1">
      <alignment horizontal="center" vertical="top" wrapText="1"/>
    </xf>
    <xf numFmtId="1" fontId="375" fillId="0" borderId="106" xfId="3749" applyNumberFormat="1" applyFont="1" applyBorder="1" applyAlignment="1">
      <alignment horizontal="right" vertical="center"/>
    </xf>
    <xf numFmtId="0" fontId="375" fillId="0" borderId="0" xfId="0" applyFont="1" applyAlignment="1">
      <alignment vertical="top"/>
    </xf>
    <xf numFmtId="0" fontId="375" fillId="8" borderId="0" xfId="0" applyFont="1" applyFill="1" applyAlignment="1">
      <alignment horizontal="center" vertical="center"/>
    </xf>
    <xf numFmtId="0" fontId="375" fillId="0" borderId="115" xfId="288" applyFont="1" applyBorder="1" applyAlignment="1">
      <alignment horizontal="left" vertical="center"/>
    </xf>
    <xf numFmtId="0" fontId="375" fillId="0" borderId="115" xfId="288" applyFont="1" applyBorder="1" applyAlignment="1">
      <alignment horizontal="center" vertical="center"/>
    </xf>
    <xf numFmtId="0" fontId="375" fillId="8" borderId="115" xfId="288" applyFont="1" applyFill="1" applyBorder="1" applyAlignment="1">
      <alignment horizontal="center" vertical="center"/>
    </xf>
    <xf numFmtId="0" fontId="375" fillId="0" borderId="115" xfId="288" applyFont="1" applyBorder="1" applyAlignment="1">
      <alignment vertical="center"/>
    </xf>
    <xf numFmtId="1" fontId="375" fillId="0" borderId="106" xfId="288" applyNumberFormat="1" applyFont="1" applyBorder="1" applyAlignment="1">
      <alignment horizontal="center" vertical="center"/>
    </xf>
    <xf numFmtId="0" fontId="375" fillId="0" borderId="0" xfId="0" applyFont="1" applyFill="1" applyAlignment="1">
      <alignment vertical="center"/>
    </xf>
    <xf numFmtId="0" fontId="375" fillId="0" borderId="0" xfId="0" applyFont="1" applyFill="1" applyAlignment="1">
      <alignment horizontal="center" vertical="center"/>
    </xf>
    <xf numFmtId="0" fontId="382" fillId="0" borderId="0" xfId="0" applyFont="1" applyFill="1" applyAlignment="1">
      <alignment horizontal="center" vertical="center"/>
    </xf>
    <xf numFmtId="0" fontId="375" fillId="0" borderId="0" xfId="2192" applyFont="1" applyFill="1" applyAlignment="1">
      <alignment horizontal="center" vertical="center"/>
    </xf>
    <xf numFmtId="0" fontId="375" fillId="0" borderId="0" xfId="2192" applyFont="1" applyFill="1" applyAlignment="1">
      <alignment horizontal="center" vertical="center" wrapText="1"/>
    </xf>
    <xf numFmtId="0" fontId="375" fillId="0" borderId="0" xfId="2192" applyFont="1" applyFill="1" applyAlignment="1">
      <alignment vertical="center" wrapText="1"/>
    </xf>
    <xf numFmtId="2" fontId="382" fillId="0" borderId="106" xfId="0" applyNumberFormat="1" applyFont="1" applyFill="1" applyBorder="1" applyAlignment="1">
      <alignment horizontal="center" vertical="center" wrapText="1"/>
    </xf>
    <xf numFmtId="2" fontId="375" fillId="0" borderId="106" xfId="0" applyNumberFormat="1" applyFont="1" applyFill="1" applyBorder="1" applyAlignment="1">
      <alignment horizontal="center" vertical="center" wrapText="1"/>
    </xf>
    <xf numFmtId="0" fontId="375" fillId="0" borderId="106" xfId="0" applyFont="1" applyFill="1" applyBorder="1" applyAlignment="1">
      <alignment horizontal="center" vertical="center" wrapText="1"/>
    </xf>
    <xf numFmtId="2" fontId="382" fillId="0" borderId="106" xfId="0" applyNumberFormat="1" applyFont="1" applyFill="1" applyBorder="1" applyAlignment="1">
      <alignment horizontal="right" vertical="center"/>
    </xf>
    <xf numFmtId="0" fontId="382" fillId="0" borderId="106" xfId="0" applyFont="1" applyFill="1" applyBorder="1" applyAlignment="1">
      <alignment horizontal="center" vertical="center"/>
    </xf>
    <xf numFmtId="0" fontId="375" fillId="0" borderId="106" xfId="0" applyFont="1" applyFill="1" applyBorder="1" applyAlignment="1">
      <alignment horizontal="center" vertical="center"/>
    </xf>
    <xf numFmtId="2" fontId="382" fillId="0" borderId="106" xfId="0" applyNumberFormat="1" applyFont="1" applyFill="1" applyBorder="1" applyAlignment="1">
      <alignment vertical="center"/>
    </xf>
    <xf numFmtId="3" fontId="382" fillId="0" borderId="0" xfId="0" applyNumberFormat="1" applyFont="1" applyFill="1" applyAlignment="1">
      <alignment horizontal="center" vertical="center"/>
    </xf>
    <xf numFmtId="0" fontId="385" fillId="0" borderId="1" xfId="0" applyFont="1" applyFill="1" applyBorder="1" applyAlignment="1">
      <alignment horizontal="center" vertical="center"/>
    </xf>
    <xf numFmtId="0" fontId="385" fillId="0" borderId="0" xfId="0" applyFont="1" applyFill="1" applyAlignment="1">
      <alignment vertical="center"/>
    </xf>
    <xf numFmtId="0" fontId="385" fillId="0" borderId="1" xfId="0" applyFont="1" applyFill="1" applyBorder="1" applyAlignment="1">
      <alignment horizontal="center" vertical="top"/>
    </xf>
    <xf numFmtId="2" fontId="386" fillId="0" borderId="1" xfId="0" applyNumberFormat="1" applyFont="1" applyFill="1" applyBorder="1" applyAlignment="1">
      <alignment horizontal="center" vertical="top"/>
    </xf>
    <xf numFmtId="2" fontId="385" fillId="0" borderId="1" xfId="0" applyNumberFormat="1" applyFont="1" applyFill="1" applyBorder="1" applyAlignment="1">
      <alignment vertical="top"/>
    </xf>
    <xf numFmtId="0" fontId="385" fillId="0" borderId="0" xfId="0" applyFont="1" applyFill="1" applyAlignment="1">
      <alignment vertical="top"/>
    </xf>
    <xf numFmtId="0" fontId="386" fillId="0" borderId="1" xfId="0" applyFont="1" applyFill="1" applyBorder="1" applyAlignment="1">
      <alignment horizontal="center" vertical="center" wrapText="1"/>
    </xf>
    <xf numFmtId="171" fontId="386" fillId="0" borderId="1" xfId="0" applyNumberFormat="1" applyFont="1" applyFill="1" applyBorder="1" applyAlignment="1">
      <alignment horizontal="center" vertical="center" wrapText="1"/>
    </xf>
    <xf numFmtId="0" fontId="387" fillId="0" borderId="1" xfId="0" applyFont="1" applyFill="1" applyBorder="1" applyAlignment="1">
      <alignment horizontal="center" vertical="center"/>
    </xf>
    <xf numFmtId="0" fontId="387" fillId="0" borderId="1" xfId="0" applyFont="1" applyFill="1" applyBorder="1" applyAlignment="1">
      <alignment horizontal="left" vertical="center"/>
    </xf>
    <xf numFmtId="1" fontId="385" fillId="0" borderId="1" xfId="0" applyNumberFormat="1" applyFont="1" applyFill="1" applyBorder="1" applyAlignment="1">
      <alignment horizontal="center" vertical="top"/>
    </xf>
    <xf numFmtId="0" fontId="385" fillId="0" borderId="0" xfId="0" applyFont="1" applyFill="1"/>
    <xf numFmtId="0" fontId="385" fillId="0" borderId="1" xfId="0" applyFont="1" applyFill="1" applyBorder="1" applyAlignment="1">
      <alignment vertical="center"/>
    </xf>
    <xf numFmtId="2" fontId="385" fillId="0" borderId="1" xfId="0" applyNumberFormat="1" applyFont="1" applyFill="1" applyBorder="1" applyAlignment="1">
      <alignment vertical="center"/>
    </xf>
    <xf numFmtId="0" fontId="386" fillId="0" borderId="1" xfId="0" applyFont="1" applyFill="1" applyBorder="1" applyAlignment="1">
      <alignment vertical="center"/>
    </xf>
    <xf numFmtId="0" fontId="386" fillId="0" borderId="1" xfId="0" applyFont="1" applyFill="1" applyBorder="1" applyAlignment="1">
      <alignment horizontal="center" vertical="center"/>
    </xf>
    <xf numFmtId="2" fontId="386" fillId="0" borderId="1" xfId="0" applyNumberFormat="1" applyFont="1" applyFill="1" applyBorder="1" applyAlignment="1">
      <alignment vertical="center"/>
    </xf>
    <xf numFmtId="2" fontId="385" fillId="0" borderId="1" xfId="0" applyNumberFormat="1" applyFont="1" applyFill="1" applyBorder="1" applyAlignment="1">
      <alignment horizontal="center" vertical="center"/>
    </xf>
    <xf numFmtId="0" fontId="385" fillId="0" borderId="1" xfId="0" applyFont="1" applyFill="1" applyBorder="1" applyAlignment="1">
      <alignment horizontal="left" vertical="center"/>
    </xf>
    <xf numFmtId="2" fontId="385" fillId="0" borderId="1" xfId="0" applyNumberFormat="1" applyFont="1" applyFill="1" applyBorder="1" applyAlignment="1">
      <alignment horizontal="right" vertical="center"/>
    </xf>
    <xf numFmtId="9" fontId="385" fillId="0" borderId="1" xfId="0" applyNumberFormat="1" applyFont="1" applyFill="1" applyBorder="1" applyAlignment="1">
      <alignment horizontal="center" vertical="center"/>
    </xf>
    <xf numFmtId="2" fontId="385" fillId="0" borderId="1" xfId="0" applyNumberFormat="1" applyFont="1" applyFill="1" applyBorder="1" applyAlignment="1">
      <alignment horizontal="left" vertical="center"/>
    </xf>
    <xf numFmtId="2" fontId="386" fillId="0" borderId="1" xfId="0" applyNumberFormat="1" applyFont="1" applyFill="1" applyBorder="1" applyAlignment="1">
      <alignment horizontal="right" vertical="center"/>
    </xf>
    <xf numFmtId="2" fontId="385" fillId="0" borderId="1" xfId="0" applyNumberFormat="1" applyFont="1" applyFill="1" applyBorder="1" applyAlignment="1">
      <alignment horizontal="center" vertical="center" wrapText="1"/>
    </xf>
    <xf numFmtId="184" fontId="385" fillId="0" borderId="1" xfId="0" applyNumberFormat="1" applyFont="1" applyFill="1" applyBorder="1" applyAlignment="1">
      <alignment horizontal="center" vertical="center"/>
    </xf>
    <xf numFmtId="0" fontId="386" fillId="0" borderId="1" xfId="0" applyFont="1" applyFill="1" applyBorder="1" applyAlignment="1">
      <alignment horizontal="left" vertical="center"/>
    </xf>
    <xf numFmtId="198" fontId="385" fillId="0" borderId="1" xfId="0" applyNumberFormat="1" applyFont="1" applyFill="1" applyBorder="1" applyAlignment="1">
      <alignment horizontal="center" vertical="center"/>
    </xf>
    <xf numFmtId="10" fontId="386" fillId="0" borderId="1" xfId="0" applyNumberFormat="1" applyFont="1" applyFill="1" applyBorder="1" applyAlignment="1">
      <alignment horizontal="center" vertical="center"/>
    </xf>
    <xf numFmtId="0" fontId="385" fillId="0" borderId="1" xfId="0" applyFont="1" applyFill="1" applyBorder="1" applyAlignment="1">
      <alignment horizontal="left" vertical="top"/>
    </xf>
    <xf numFmtId="0" fontId="386" fillId="0" borderId="1" xfId="0" applyFont="1" applyFill="1" applyBorder="1" applyAlignment="1">
      <alignment horizontal="left" vertical="top"/>
    </xf>
    <xf numFmtId="2" fontId="387" fillId="0" borderId="1" xfId="0" applyNumberFormat="1" applyFont="1" applyFill="1" applyBorder="1" applyAlignment="1">
      <alignment horizontal="right" vertical="center"/>
    </xf>
    <xf numFmtId="1" fontId="385" fillId="0" borderId="1" xfId="0" applyNumberFormat="1" applyFont="1" applyFill="1" applyBorder="1" applyAlignment="1">
      <alignment horizontal="center" vertical="top" wrapText="1"/>
    </xf>
    <xf numFmtId="1" fontId="386" fillId="0" borderId="1" xfId="0" applyNumberFormat="1" applyFont="1" applyFill="1" applyBorder="1" applyAlignment="1">
      <alignment vertical="center"/>
    </xf>
    <xf numFmtId="2" fontId="387" fillId="0" borderId="1" xfId="0" applyNumberFormat="1" applyFont="1" applyFill="1" applyBorder="1" applyAlignment="1">
      <alignment vertical="center"/>
    </xf>
    <xf numFmtId="0" fontId="385" fillId="0" borderId="1" xfId="0" applyFont="1" applyFill="1" applyBorder="1" applyAlignment="1">
      <alignment horizontal="left"/>
    </xf>
    <xf numFmtId="0" fontId="385" fillId="0" borderId="1" xfId="0" applyFont="1" applyFill="1" applyBorder="1" applyAlignment="1" applyProtection="1">
      <alignment horizontal="center"/>
      <protection hidden="1"/>
    </xf>
    <xf numFmtId="0" fontId="385" fillId="0" borderId="1" xfId="0" applyFont="1" applyFill="1" applyBorder="1" applyAlignment="1" applyProtection="1">
      <alignment horizontal="right"/>
      <protection hidden="1"/>
    </xf>
    <xf numFmtId="2" fontId="385" fillId="0" borderId="1" xfId="0" applyNumberFormat="1" applyFont="1" applyFill="1" applyBorder="1" applyAlignment="1" applyProtection="1">
      <alignment horizontal="center"/>
      <protection hidden="1"/>
    </xf>
    <xf numFmtId="0" fontId="386" fillId="0" borderId="1" xfId="0" applyFont="1" applyFill="1" applyBorder="1" applyAlignment="1" applyProtection="1">
      <alignment horizontal="center"/>
      <protection hidden="1"/>
    </xf>
    <xf numFmtId="0" fontId="385" fillId="0" borderId="1" xfId="0" applyFont="1" applyFill="1" applyBorder="1" applyAlignment="1" applyProtection="1">
      <alignment horizontal="left"/>
      <protection hidden="1"/>
    </xf>
    <xf numFmtId="2" fontId="385" fillId="0" borderId="1" xfId="0" applyNumberFormat="1" applyFont="1" applyFill="1" applyBorder="1" applyAlignment="1" applyProtection="1">
      <alignment horizontal="center" vertical="top"/>
      <protection hidden="1"/>
    </xf>
    <xf numFmtId="2" fontId="385" fillId="0" borderId="1" xfId="0" applyNumberFormat="1" applyFont="1" applyFill="1" applyBorder="1" applyAlignment="1" applyProtection="1">
      <alignment horizontal="right"/>
      <protection hidden="1"/>
    </xf>
    <xf numFmtId="2" fontId="385" fillId="0" borderId="1" xfId="0" applyNumberFormat="1" applyFont="1" applyFill="1" applyBorder="1" applyAlignment="1" applyProtection="1">
      <alignment horizontal="left"/>
      <protection hidden="1"/>
    </xf>
    <xf numFmtId="2" fontId="386" fillId="0" borderId="1" xfId="0" applyNumberFormat="1" applyFont="1" applyFill="1" applyBorder="1" applyAlignment="1" applyProtection="1">
      <alignment horizontal="center"/>
      <protection hidden="1"/>
    </xf>
    <xf numFmtId="2" fontId="386" fillId="0" borderId="1" xfId="0" applyNumberFormat="1" applyFont="1" applyFill="1" applyBorder="1" applyAlignment="1" applyProtection="1">
      <alignment horizontal="right"/>
      <protection hidden="1"/>
    </xf>
    <xf numFmtId="0" fontId="386" fillId="0" borderId="1" xfId="0" applyFont="1" applyFill="1" applyBorder="1" applyAlignment="1" applyProtection="1">
      <alignment horizontal="left"/>
      <protection hidden="1"/>
    </xf>
    <xf numFmtId="2" fontId="385" fillId="0" borderId="1" xfId="0" applyNumberFormat="1" applyFont="1" applyFill="1" applyBorder="1" applyAlignment="1" applyProtection="1">
      <alignment horizontal="left" vertical="top"/>
      <protection hidden="1"/>
    </xf>
    <xf numFmtId="2" fontId="386" fillId="0" borderId="1" xfId="0" applyNumberFormat="1" applyFont="1" applyFill="1" applyBorder="1" applyAlignment="1" applyProtection="1">
      <alignment horizontal="center" vertical="top"/>
      <protection hidden="1"/>
    </xf>
    <xf numFmtId="2" fontId="386" fillId="0" borderId="1" xfId="0" applyNumberFormat="1" applyFont="1" applyFill="1" applyBorder="1" applyAlignment="1" applyProtection="1">
      <alignment horizontal="right" vertical="top"/>
      <protection hidden="1"/>
    </xf>
    <xf numFmtId="0" fontId="385" fillId="0" borderId="1" xfId="0" applyFont="1" applyFill="1" applyBorder="1" applyAlignment="1" applyProtection="1">
      <alignment horizontal="center" vertical="top"/>
      <protection hidden="1"/>
    </xf>
    <xf numFmtId="2" fontId="385" fillId="0" borderId="1" xfId="0" applyNumberFormat="1" applyFont="1" applyFill="1" applyBorder="1" applyAlignment="1" applyProtection="1">
      <alignment horizontal="right" vertical="top"/>
      <protection hidden="1"/>
    </xf>
    <xf numFmtId="2" fontId="385" fillId="0" borderId="1" xfId="0" applyNumberFormat="1" applyFont="1" applyFill="1" applyBorder="1" applyAlignment="1" applyProtection="1">
      <alignment horizontal="center" vertical="center"/>
      <protection hidden="1"/>
    </xf>
    <xf numFmtId="0" fontId="385" fillId="0" borderId="1" xfId="0" applyFont="1" applyFill="1" applyBorder="1" applyAlignment="1" applyProtection="1">
      <alignment horizontal="left" vertical="center"/>
      <protection hidden="1"/>
    </xf>
    <xf numFmtId="2" fontId="385" fillId="0" borderId="1" xfId="0" applyNumberFormat="1" applyFont="1" applyFill="1" applyBorder="1" applyAlignment="1" applyProtection="1">
      <alignment horizontal="right" vertical="center"/>
      <protection hidden="1"/>
    </xf>
    <xf numFmtId="2" fontId="385" fillId="0" borderId="1" xfId="0" applyNumberFormat="1" applyFont="1" applyFill="1" applyBorder="1" applyAlignment="1" applyProtection="1">
      <alignment horizontal="left" vertical="center"/>
      <protection hidden="1"/>
    </xf>
    <xf numFmtId="0" fontId="385" fillId="0" borderId="1" xfId="0" applyFont="1" applyFill="1" applyBorder="1" applyAlignment="1" applyProtection="1">
      <alignment horizontal="center" vertical="center"/>
      <protection hidden="1"/>
    </xf>
    <xf numFmtId="0" fontId="386" fillId="0" borderId="1" xfId="0" applyFont="1" applyFill="1" applyBorder="1" applyAlignment="1" applyProtection="1">
      <alignment horizontal="left" vertical="center" wrapText="1"/>
      <protection hidden="1"/>
    </xf>
    <xf numFmtId="1" fontId="385" fillId="0" borderId="1" xfId="0" applyNumberFormat="1" applyFont="1" applyFill="1" applyBorder="1" applyAlignment="1" applyProtection="1">
      <alignment horizontal="center" vertical="top" wrapText="1"/>
      <protection hidden="1"/>
    </xf>
    <xf numFmtId="0" fontId="385" fillId="0" borderId="1" xfId="0" applyFont="1" applyFill="1" applyBorder="1" applyAlignment="1" applyProtection="1">
      <alignment horizontal="left" vertical="top"/>
      <protection hidden="1"/>
    </xf>
    <xf numFmtId="0" fontId="386" fillId="0" borderId="1" xfId="0" applyFont="1" applyFill="1" applyBorder="1" applyAlignment="1" applyProtection="1">
      <alignment horizontal="left" vertical="center"/>
      <protection hidden="1"/>
    </xf>
    <xf numFmtId="2" fontId="386" fillId="0" borderId="1" xfId="0" applyNumberFormat="1" applyFont="1" applyFill="1" applyBorder="1" applyAlignment="1">
      <alignment horizontal="center" vertical="center"/>
    </xf>
    <xf numFmtId="0" fontId="385" fillId="0" borderId="1" xfId="0" applyFont="1" applyFill="1" applyBorder="1" applyAlignment="1">
      <alignment horizontal="right" vertical="center"/>
    </xf>
    <xf numFmtId="10" fontId="385" fillId="0" borderId="1" xfId="20" applyNumberFormat="1" applyFont="1" applyFill="1" applyBorder="1" applyAlignment="1">
      <alignment horizontal="center" vertical="center"/>
    </xf>
    <xf numFmtId="9" fontId="385" fillId="0" borderId="1" xfId="0" applyNumberFormat="1" applyFont="1" applyFill="1" applyBorder="1" applyAlignment="1">
      <alignment horizontal="left" vertical="center"/>
    </xf>
    <xf numFmtId="1" fontId="386" fillId="0" borderId="1" xfId="0" applyNumberFormat="1" applyFont="1" applyFill="1" applyBorder="1" applyAlignment="1">
      <alignment horizontal="right" vertical="center"/>
    </xf>
    <xf numFmtId="2" fontId="387" fillId="0" borderId="1" xfId="0" applyNumberFormat="1" applyFont="1" applyFill="1" applyBorder="1" applyAlignment="1">
      <alignment horizontal="center" vertical="center"/>
    </xf>
    <xf numFmtId="0" fontId="386" fillId="0" borderId="1" xfId="0" applyFont="1" applyFill="1" applyBorder="1" applyAlignment="1" applyProtection="1">
      <alignment horizontal="center" vertical="center"/>
      <protection hidden="1"/>
    </xf>
    <xf numFmtId="0" fontId="385" fillId="0" borderId="1" xfId="0" applyFont="1" applyFill="1" applyBorder="1"/>
    <xf numFmtId="0" fontId="385" fillId="0" borderId="1" xfId="0" applyFont="1" applyFill="1" applyBorder="1" applyAlignment="1">
      <alignment vertical="top"/>
    </xf>
    <xf numFmtId="184" fontId="385" fillId="0" borderId="1" xfId="0" applyNumberFormat="1" applyFont="1" applyFill="1" applyBorder="1" applyAlignment="1" applyProtection="1">
      <alignment horizontal="center" vertical="top"/>
      <protection hidden="1"/>
    </xf>
    <xf numFmtId="181" fontId="385" fillId="0" borderId="1" xfId="0" applyNumberFormat="1" applyFont="1" applyFill="1" applyBorder="1" applyAlignment="1">
      <alignment horizontal="center" vertical="center"/>
    </xf>
    <xf numFmtId="171" fontId="385" fillId="0" borderId="1" xfId="0" applyNumberFormat="1" applyFont="1" applyFill="1" applyBorder="1" applyAlignment="1">
      <alignment vertical="center"/>
    </xf>
    <xf numFmtId="0" fontId="385" fillId="0" borderId="1" xfId="0" applyFont="1" applyFill="1" applyBorder="1" applyAlignment="1" applyProtection="1">
      <alignment horizontal="left" vertical="top"/>
      <protection locked="0"/>
    </xf>
    <xf numFmtId="4" fontId="385" fillId="0" borderId="1" xfId="0" applyNumberFormat="1" applyFont="1" applyFill="1" applyBorder="1" applyAlignment="1" applyProtection="1">
      <alignment horizontal="center" vertical="top"/>
      <protection locked="0"/>
    </xf>
    <xf numFmtId="3" fontId="385" fillId="0" borderId="1" xfId="0" applyNumberFormat="1" applyFont="1" applyFill="1" applyBorder="1" applyAlignment="1" applyProtection="1">
      <alignment horizontal="right" vertical="top"/>
      <protection locked="0"/>
    </xf>
    <xf numFmtId="4" fontId="385" fillId="0" borderId="1" xfId="0" applyNumberFormat="1" applyFont="1" applyFill="1" applyBorder="1" applyAlignment="1" applyProtection="1">
      <alignment horizontal="right" vertical="top"/>
      <protection locked="0"/>
    </xf>
    <xf numFmtId="4" fontId="386" fillId="0" borderId="1" xfId="0" applyNumberFormat="1" applyFont="1" applyFill="1" applyBorder="1" applyAlignment="1" applyProtection="1">
      <alignment horizontal="center" vertical="top"/>
      <protection locked="0"/>
    </xf>
    <xf numFmtId="3" fontId="386" fillId="0" borderId="1" xfId="0" applyNumberFormat="1" applyFont="1" applyFill="1" applyBorder="1" applyAlignment="1" applyProtection="1">
      <alignment horizontal="left" vertical="top"/>
      <protection locked="0"/>
    </xf>
    <xf numFmtId="0" fontId="386" fillId="0" borderId="1" xfId="0" applyFont="1" applyFill="1" applyBorder="1" applyAlignment="1" applyProtection="1">
      <alignment horizontal="left" vertical="top"/>
      <protection locked="0"/>
    </xf>
    <xf numFmtId="173" fontId="385" fillId="0" borderId="1" xfId="0" applyNumberFormat="1" applyFont="1" applyFill="1" applyBorder="1" applyAlignment="1" applyProtection="1">
      <alignment horizontal="center" vertical="top"/>
      <protection locked="0"/>
    </xf>
    <xf numFmtId="3" fontId="385" fillId="0" borderId="1" xfId="0" applyNumberFormat="1" applyFont="1" applyFill="1" applyBorder="1" applyAlignment="1" applyProtection="1">
      <alignment horizontal="center" vertical="center"/>
      <protection locked="0"/>
    </xf>
    <xf numFmtId="173" fontId="386" fillId="0" borderId="1" xfId="0" applyNumberFormat="1" applyFont="1" applyFill="1" applyBorder="1" applyAlignment="1" applyProtection="1">
      <alignment horizontal="center" vertical="top"/>
      <protection locked="0"/>
    </xf>
    <xf numFmtId="201" fontId="386" fillId="0" borderId="1" xfId="0" applyNumberFormat="1" applyFont="1" applyFill="1" applyBorder="1" applyAlignment="1" applyProtection="1">
      <alignment horizontal="center" vertical="top"/>
      <protection locked="0"/>
    </xf>
    <xf numFmtId="173" fontId="385" fillId="0" borderId="1" xfId="948" applyNumberFormat="1" applyFont="1" applyFill="1" applyBorder="1" applyAlignment="1" applyProtection="1">
      <alignment horizontal="center" vertical="top"/>
      <protection locked="0"/>
    </xf>
    <xf numFmtId="4" fontId="386" fillId="0" borderId="1" xfId="0" applyNumberFormat="1" applyFont="1" applyFill="1" applyBorder="1" applyAlignment="1" applyProtection="1">
      <alignment horizontal="right" vertical="top"/>
      <protection locked="0"/>
    </xf>
    <xf numFmtId="9" fontId="385" fillId="0" borderId="1" xfId="0" applyNumberFormat="1" applyFont="1" applyFill="1" applyBorder="1" applyAlignment="1" applyProtection="1">
      <alignment horizontal="center" vertical="top" wrapText="1"/>
      <protection locked="0"/>
    </xf>
    <xf numFmtId="4" fontId="385" fillId="0" borderId="1" xfId="0" applyNumberFormat="1" applyFont="1" applyFill="1" applyBorder="1" applyAlignment="1" applyProtection="1">
      <alignment horizontal="center" vertical="top" wrapText="1"/>
      <protection locked="0"/>
    </xf>
    <xf numFmtId="3" fontId="385" fillId="0" borderId="1" xfId="0" applyNumberFormat="1" applyFont="1" applyFill="1" applyBorder="1" applyAlignment="1" applyProtection="1">
      <alignment horizontal="center" vertical="top" wrapText="1"/>
      <protection locked="0"/>
    </xf>
    <xf numFmtId="0" fontId="385" fillId="0" borderId="1" xfId="0" applyFont="1" applyFill="1" applyBorder="1" applyAlignment="1" applyProtection="1">
      <alignment horizontal="right" vertical="top"/>
      <protection locked="0"/>
    </xf>
    <xf numFmtId="0" fontId="385" fillId="0" borderId="1" xfId="0" applyFont="1" applyFill="1" applyBorder="1" applyAlignment="1" applyProtection="1">
      <alignment horizontal="center" vertical="top"/>
      <protection locked="0"/>
    </xf>
    <xf numFmtId="201" fontId="385" fillId="0" borderId="1" xfId="0" applyNumberFormat="1" applyFont="1" applyFill="1" applyBorder="1" applyAlignment="1" applyProtection="1">
      <alignment horizontal="center" vertical="top"/>
      <protection locked="0"/>
    </xf>
    <xf numFmtId="198" fontId="385" fillId="0" borderId="1" xfId="0" applyNumberFormat="1" applyFont="1" applyFill="1" applyBorder="1" applyAlignment="1">
      <alignment horizontal="center" vertical="top"/>
    </xf>
    <xf numFmtId="0" fontId="385" fillId="0" borderId="0" xfId="0" applyFont="1" applyFill="1" applyAlignment="1">
      <alignment horizontal="center" vertical="center"/>
    </xf>
    <xf numFmtId="171" fontId="385" fillId="0" borderId="0" xfId="0" applyNumberFormat="1" applyFont="1" applyFill="1" applyAlignment="1">
      <alignment vertical="center"/>
    </xf>
    <xf numFmtId="2" fontId="385" fillId="0" borderId="0" xfId="0" applyNumberFormat="1" applyFont="1" applyFill="1" applyAlignment="1">
      <alignment vertical="center"/>
    </xf>
    <xf numFmtId="0" fontId="390" fillId="3" borderId="1" xfId="0" applyFont="1" applyFill="1" applyBorder="1" applyProtection="1">
      <protection locked="0"/>
    </xf>
    <xf numFmtId="0" fontId="385" fillId="0" borderId="0" xfId="0" applyFont="1" applyProtection="1">
      <protection locked="0"/>
    </xf>
    <xf numFmtId="0" fontId="389" fillId="0" borderId="1" xfId="0" applyFont="1" applyBorder="1" applyAlignment="1" applyProtection="1">
      <alignment horizontal="center" vertical="center" wrapText="1"/>
      <protection locked="0"/>
    </xf>
    <xf numFmtId="0" fontId="385" fillId="0" borderId="0" xfId="0" applyFont="1" applyAlignment="1" applyProtection="1">
      <alignment horizontal="center"/>
      <protection locked="0"/>
    </xf>
    <xf numFmtId="0" fontId="385" fillId="0" borderId="1" xfId="0" applyFont="1" applyBorder="1" applyAlignment="1" applyProtection="1">
      <alignment horizontal="center" vertical="center"/>
      <protection locked="0"/>
    </xf>
    <xf numFmtId="0" fontId="385" fillId="0" borderId="1" xfId="0" applyFont="1" applyBorder="1" applyAlignment="1" applyProtection="1">
      <alignment vertical="center" wrapText="1"/>
      <protection locked="0"/>
    </xf>
    <xf numFmtId="0" fontId="391" fillId="0" borderId="1" xfId="0" applyFont="1" applyBorder="1" applyAlignment="1" applyProtection="1">
      <alignment horizontal="center" vertical="center" wrapText="1"/>
      <protection locked="0"/>
    </xf>
    <xf numFmtId="1" fontId="385" fillId="0" borderId="1" xfId="0" applyNumberFormat="1" applyFont="1" applyBorder="1" applyAlignment="1" applyProtection="1">
      <alignment horizontal="center" vertical="center" wrapText="1"/>
      <protection locked="0"/>
    </xf>
    <xf numFmtId="2" fontId="385" fillId="0" borderId="1" xfId="0" applyNumberFormat="1" applyFont="1" applyBorder="1" applyAlignment="1" applyProtection="1">
      <alignment horizontal="right" vertical="center" wrapText="1"/>
      <protection locked="0"/>
    </xf>
    <xf numFmtId="2" fontId="385" fillId="0" borderId="0" xfId="0" applyNumberFormat="1" applyFont="1" applyAlignment="1" applyProtection="1">
      <alignment horizontal="center"/>
      <protection locked="0"/>
    </xf>
    <xf numFmtId="0" fontId="385" fillId="0" borderId="1" xfId="0" applyFont="1" applyBorder="1" applyAlignment="1" applyProtection="1">
      <alignment horizontal="center" vertical="top" wrapText="1"/>
      <protection locked="0"/>
    </xf>
    <xf numFmtId="0" fontId="385" fillId="0" borderId="0" xfId="0" applyFont="1" applyAlignment="1" applyProtection="1">
      <alignment vertical="center"/>
      <protection locked="0"/>
    </xf>
    <xf numFmtId="2" fontId="385" fillId="0" borderId="0" xfId="0" applyNumberFormat="1" applyFont="1" applyAlignment="1" applyProtection="1">
      <alignment vertical="center"/>
      <protection locked="0"/>
    </xf>
    <xf numFmtId="0" fontId="389" fillId="0" borderId="1" xfId="0" applyFont="1" applyBorder="1" applyAlignment="1" applyProtection="1">
      <alignment horizontal="left" vertical="center"/>
      <protection locked="0"/>
    </xf>
    <xf numFmtId="0" fontId="385" fillId="0" borderId="1" xfId="0" applyFont="1" applyBorder="1" applyAlignment="1" applyProtection="1">
      <alignment horizontal="right" vertical="center" wrapText="1"/>
      <protection locked="0"/>
    </xf>
    <xf numFmtId="0" fontId="385" fillId="0" borderId="1" xfId="0" applyFont="1" applyBorder="1" applyAlignment="1" applyProtection="1">
      <alignment vertical="center"/>
      <protection locked="0"/>
    </xf>
    <xf numFmtId="0" fontId="392" fillId="0" borderId="1" xfId="0" applyFont="1" applyBorder="1" applyAlignment="1" applyProtection="1">
      <alignment horizontal="center" vertical="top" wrapText="1"/>
      <protection locked="0"/>
    </xf>
    <xf numFmtId="1" fontId="385" fillId="4" borderId="1" xfId="0" applyNumberFormat="1" applyFont="1" applyFill="1" applyBorder="1" applyAlignment="1" applyProtection="1">
      <alignment horizontal="center" vertical="center" wrapText="1"/>
      <protection locked="0"/>
    </xf>
    <xf numFmtId="2" fontId="385" fillId="4" borderId="1" xfId="0" applyNumberFormat="1" applyFont="1" applyFill="1" applyBorder="1" applyAlignment="1" applyProtection="1">
      <alignment horizontal="right" vertical="center" wrapText="1"/>
      <protection locked="0"/>
    </xf>
    <xf numFmtId="0" fontId="385" fillId="4" borderId="0" xfId="0" applyFont="1" applyFill="1" applyAlignment="1" applyProtection="1">
      <alignment vertical="center"/>
      <protection locked="0"/>
    </xf>
    <xf numFmtId="0" fontId="385" fillId="4" borderId="1" xfId="0" applyFont="1" applyFill="1" applyBorder="1" applyAlignment="1" applyProtection="1">
      <alignment vertical="center" wrapText="1"/>
      <protection locked="0"/>
    </xf>
    <xf numFmtId="0" fontId="385" fillId="0" borderId="1" xfId="0" applyFont="1" applyBorder="1" applyAlignment="1" applyProtection="1">
      <alignment horizontal="center" vertical="center" wrapText="1"/>
      <protection locked="0"/>
    </xf>
    <xf numFmtId="2" fontId="385" fillId="3" borderId="1" xfId="0" applyNumberFormat="1" applyFont="1" applyFill="1" applyBorder="1" applyAlignment="1" applyProtection="1">
      <alignment horizontal="right" vertical="center" wrapText="1"/>
      <protection locked="0"/>
    </xf>
    <xf numFmtId="0" fontId="385" fillId="5" borderId="1" xfId="0" applyFont="1" applyFill="1" applyBorder="1" applyAlignment="1" applyProtection="1">
      <alignment vertical="center"/>
      <protection locked="0"/>
    </xf>
    <xf numFmtId="0" fontId="385" fillId="5" borderId="1" xfId="0" applyFont="1" applyFill="1" applyBorder="1" applyAlignment="1" applyProtection="1">
      <alignment horizontal="center" vertical="center"/>
      <protection locked="0"/>
    </xf>
    <xf numFmtId="1" fontId="385" fillId="5" borderId="1" xfId="0" applyNumberFormat="1" applyFont="1" applyFill="1" applyBorder="1" applyAlignment="1" applyProtection="1">
      <alignment horizontal="center" vertical="center" wrapText="1"/>
      <protection locked="0"/>
    </xf>
    <xf numFmtId="2" fontId="385" fillId="5" borderId="1" xfId="0" applyNumberFormat="1" applyFont="1" applyFill="1" applyBorder="1" applyAlignment="1" applyProtection="1">
      <alignment horizontal="right" vertical="center" wrapText="1"/>
      <protection locked="0"/>
    </xf>
    <xf numFmtId="0" fontId="385" fillId="4" borderId="1" xfId="0" applyFont="1" applyFill="1" applyBorder="1" applyAlignment="1" applyProtection="1">
      <alignment vertical="center"/>
      <protection locked="0"/>
    </xf>
    <xf numFmtId="0" fontId="385" fillId="4" borderId="1" xfId="0" applyFont="1" applyFill="1" applyBorder="1" applyAlignment="1" applyProtection="1">
      <alignment horizontal="center" vertical="center"/>
      <protection locked="0"/>
    </xf>
    <xf numFmtId="0" fontId="385" fillId="0" borderId="1" xfId="0" applyFont="1" applyBorder="1" applyAlignment="1" applyProtection="1">
      <alignment horizontal="right" vertical="center"/>
      <protection locked="0"/>
    </xf>
    <xf numFmtId="0" fontId="385" fillId="0" borderId="1" xfId="0" applyFont="1" applyBorder="1" applyProtection="1">
      <protection locked="0"/>
    </xf>
    <xf numFmtId="0" fontId="385" fillId="0" borderId="1" xfId="0" applyFont="1" applyBorder="1" applyAlignment="1" applyProtection="1">
      <alignment horizontal="right"/>
      <protection locked="0"/>
    </xf>
    <xf numFmtId="0" fontId="385" fillId="0" borderId="1" xfId="0" applyFont="1" applyBorder="1" applyAlignment="1" applyProtection="1">
      <alignment horizontal="left"/>
      <protection locked="0"/>
    </xf>
    <xf numFmtId="194" fontId="385" fillId="0" borderId="0" xfId="0" applyNumberFormat="1" applyFont="1" applyProtection="1">
      <protection locked="0"/>
    </xf>
    <xf numFmtId="0" fontId="385" fillId="0" borderId="5" xfId="0" applyFont="1" applyBorder="1" applyProtection="1">
      <protection locked="0"/>
    </xf>
    <xf numFmtId="0" fontId="386" fillId="0" borderId="1" xfId="0" applyFont="1" applyBorder="1" applyProtection="1">
      <protection locked="0"/>
    </xf>
    <xf numFmtId="0" fontId="386" fillId="0" borderId="1" xfId="0" applyFont="1" applyBorder="1" applyAlignment="1" applyProtection="1">
      <alignment horizontal="right"/>
      <protection locked="0"/>
    </xf>
    <xf numFmtId="0" fontId="385" fillId="0" borderId="5" xfId="0" applyFont="1" applyBorder="1" applyAlignment="1" applyProtection="1">
      <alignment vertical="center" wrapText="1"/>
      <protection locked="0"/>
    </xf>
    <xf numFmtId="0" fontId="386" fillId="0" borderId="1" xfId="0" applyFont="1" applyBorder="1" applyAlignment="1" applyProtection="1">
      <alignment horizontal="right" vertical="center"/>
      <protection locked="0"/>
    </xf>
    <xf numFmtId="2" fontId="386" fillId="0" borderId="5" xfId="0" applyNumberFormat="1" applyFont="1" applyBorder="1" applyAlignment="1">
      <alignment horizontal="center" vertical="center" wrapText="1"/>
    </xf>
    <xf numFmtId="2" fontId="386" fillId="0" borderId="1" xfId="0" applyNumberFormat="1" applyFont="1" applyBorder="1" applyAlignment="1">
      <alignment horizontal="center" vertical="center" wrapText="1"/>
    </xf>
    <xf numFmtId="0" fontId="385" fillId="0" borderId="5" xfId="0" applyFont="1" applyBorder="1" applyAlignment="1" applyProtection="1">
      <alignment vertical="center"/>
      <protection locked="0"/>
    </xf>
    <xf numFmtId="0" fontId="386" fillId="3" borderId="1" xfId="0" applyFont="1" applyFill="1" applyBorder="1" applyProtection="1">
      <protection locked="0"/>
    </xf>
    <xf numFmtId="0" fontId="385" fillId="0" borderId="10" xfId="0" applyFont="1" applyBorder="1" applyAlignment="1" applyProtection="1">
      <alignment horizontal="center"/>
      <protection locked="0"/>
    </xf>
    <xf numFmtId="0" fontId="385" fillId="0" borderId="1" xfId="0" applyFont="1" applyBorder="1" applyAlignment="1" applyProtection="1">
      <alignment horizontal="center"/>
      <protection locked="0"/>
    </xf>
    <xf numFmtId="2" fontId="393" fillId="0" borderId="1" xfId="0" applyNumberFormat="1" applyFont="1" applyBorder="1" applyAlignment="1" applyProtection="1">
      <alignment horizontal="right"/>
      <protection locked="0"/>
    </xf>
    <xf numFmtId="2" fontId="385" fillId="0" borderId="1" xfId="0" applyNumberFormat="1" applyFont="1" applyBorder="1" applyAlignment="1" applyProtection="1">
      <alignment horizontal="right"/>
      <protection locked="0"/>
    </xf>
    <xf numFmtId="0" fontId="387" fillId="0" borderId="1" xfId="0" applyFont="1" applyBorder="1" applyAlignment="1" applyProtection="1">
      <alignment horizontal="center"/>
      <protection locked="0"/>
    </xf>
    <xf numFmtId="2" fontId="393" fillId="0" borderId="1" xfId="0" applyNumberFormat="1" applyFont="1" applyBorder="1" applyProtection="1">
      <protection locked="0"/>
    </xf>
    <xf numFmtId="0" fontId="386" fillId="0" borderId="1" xfId="0" applyFont="1" applyBorder="1" applyAlignment="1" applyProtection="1">
      <alignment horizontal="center"/>
      <protection locked="0"/>
    </xf>
    <xf numFmtId="0" fontId="385" fillId="0" borderId="7" xfId="0" applyFont="1" applyBorder="1" applyProtection="1">
      <protection locked="0"/>
    </xf>
    <xf numFmtId="2" fontId="385" fillId="0" borderId="1" xfId="0" applyNumberFormat="1" applyFont="1" applyBorder="1" applyProtection="1">
      <protection locked="0"/>
    </xf>
    <xf numFmtId="0" fontId="387" fillId="0" borderId="10" xfId="0" applyFont="1" applyBorder="1" applyAlignment="1" applyProtection="1">
      <alignment horizontal="center"/>
      <protection locked="0"/>
    </xf>
    <xf numFmtId="0" fontId="385" fillId="0" borderId="0" xfId="0" applyFont="1" applyAlignment="1">
      <alignment horizontal="center" vertical="center"/>
    </xf>
    <xf numFmtId="0" fontId="394" fillId="0" borderId="0" xfId="0" applyFont="1"/>
    <xf numFmtId="0" fontId="386" fillId="0" borderId="0" xfId="0" applyFont="1"/>
    <xf numFmtId="2" fontId="385" fillId="0" borderId="0" xfId="0" applyNumberFormat="1" applyFont="1" applyAlignment="1">
      <alignment horizontal="center"/>
    </xf>
    <xf numFmtId="0" fontId="386" fillId="0" borderId="0" xfId="0" applyFont="1" applyAlignment="1">
      <alignment horizontal="center"/>
    </xf>
    <xf numFmtId="0" fontId="385" fillId="0" borderId="0" xfId="0" applyFont="1" applyAlignment="1">
      <alignment horizontal="center"/>
    </xf>
    <xf numFmtId="2" fontId="385" fillId="0" borderId="0" xfId="0" applyNumberFormat="1" applyFont="1" applyAlignment="1">
      <alignment horizontal="center" vertical="center" wrapText="1"/>
    </xf>
    <xf numFmtId="0" fontId="385" fillId="0" borderId="0" xfId="0" applyFont="1"/>
    <xf numFmtId="0" fontId="385" fillId="0" borderId="0" xfId="0" applyFont="1" applyAlignment="1">
      <alignment vertical="center"/>
    </xf>
    <xf numFmtId="0" fontId="386" fillId="0" borderId="0" xfId="0" applyFont="1" applyAlignment="1">
      <alignment vertical="center"/>
    </xf>
    <xf numFmtId="0" fontId="385" fillId="0" borderId="0" xfId="0" applyFont="1" applyAlignment="1">
      <alignment horizontal="center" vertical="center" wrapText="1"/>
    </xf>
    <xf numFmtId="0" fontId="385" fillId="0" borderId="1" xfId="0" applyFont="1" applyBorder="1" applyAlignment="1">
      <alignment vertical="center"/>
    </xf>
    <xf numFmtId="9" fontId="386" fillId="0" borderId="1" xfId="0" applyNumberFormat="1" applyFont="1" applyBorder="1" applyAlignment="1" applyProtection="1">
      <alignment horizontal="center" vertical="center" wrapText="1"/>
      <protection locked="0"/>
    </xf>
    <xf numFmtId="0" fontId="386" fillId="0" borderId="1" xfId="0" applyFont="1" applyBorder="1" applyAlignment="1" applyProtection="1">
      <alignment horizontal="center" vertical="center" wrapText="1"/>
      <protection locked="0"/>
    </xf>
    <xf numFmtId="0" fontId="386" fillId="0" borderId="0" xfId="0" applyFont="1" applyProtection="1">
      <protection locked="0"/>
    </xf>
    <xf numFmtId="0" fontId="386" fillId="0" borderId="0" xfId="0" applyFont="1" applyAlignment="1" applyProtection="1">
      <alignment horizontal="center" vertical="center" wrapText="1"/>
      <protection locked="0"/>
    </xf>
    <xf numFmtId="9" fontId="386" fillId="0" borderId="0" xfId="0" applyNumberFormat="1" applyFont="1" applyAlignment="1" applyProtection="1">
      <alignment horizontal="center" vertical="center" wrapText="1"/>
      <protection locked="0"/>
    </xf>
    <xf numFmtId="0" fontId="385" fillId="0" borderId="0" xfId="2079" applyFont="1" applyAlignment="1" applyProtection="1">
      <alignment horizontal="center" vertical="top"/>
      <protection locked="0"/>
    </xf>
    <xf numFmtId="0" fontId="385" fillId="0" borderId="0" xfId="2079" applyFont="1" applyAlignment="1" applyProtection="1">
      <alignment horizontal="center"/>
      <protection locked="0"/>
    </xf>
    <xf numFmtId="0" fontId="385" fillId="0" borderId="0" xfId="2192" applyFont="1" applyAlignment="1" applyProtection="1">
      <alignment horizontal="left"/>
      <protection locked="0"/>
    </xf>
    <xf numFmtId="0" fontId="385" fillId="0" borderId="0" xfId="2192" applyFont="1" applyAlignment="1" applyProtection="1">
      <alignment horizontal="center"/>
      <protection locked="0"/>
    </xf>
    <xf numFmtId="0" fontId="385" fillId="0" borderId="0" xfId="2192" applyFont="1" applyAlignment="1" applyProtection="1">
      <alignment horizontal="left" vertical="center"/>
      <protection locked="0"/>
    </xf>
    <xf numFmtId="0" fontId="385" fillId="0" borderId="0" xfId="2192" applyFont="1" applyAlignment="1" applyProtection="1">
      <alignment horizontal="center" vertical="top" wrapText="1"/>
      <protection locked="0"/>
    </xf>
    <xf numFmtId="0" fontId="385" fillId="0" borderId="0" xfId="2192" applyFont="1" applyAlignment="1" applyProtection="1">
      <alignment horizontal="center" vertical="top"/>
      <protection locked="0"/>
    </xf>
    <xf numFmtId="0" fontId="375" fillId="0" borderId="1" xfId="0" applyFont="1" applyBorder="1" applyAlignment="1">
      <alignment horizontal="center" vertical="center"/>
    </xf>
    <xf numFmtId="0" fontId="375" fillId="0" borderId="1" xfId="0" applyFont="1" applyBorder="1" applyAlignment="1">
      <alignment horizontal="center" vertical="center" wrapText="1"/>
    </xf>
    <xf numFmtId="171" fontId="375" fillId="0" borderId="1" xfId="0" applyNumberFormat="1" applyFont="1" applyBorder="1" applyAlignment="1">
      <alignment horizontal="center" vertical="center" wrapText="1"/>
    </xf>
    <xf numFmtId="1" fontId="375" fillId="0" borderId="1" xfId="0" applyNumberFormat="1" applyFont="1" applyBorder="1" applyAlignment="1">
      <alignment horizontal="center" vertical="top"/>
    </xf>
    <xf numFmtId="0" fontId="382" fillId="0" borderId="1" xfId="0" applyFont="1" applyBorder="1" applyAlignment="1">
      <alignment horizontal="center" vertical="top"/>
    </xf>
    <xf numFmtId="0" fontId="382" fillId="0" borderId="1" xfId="0" applyFont="1" applyBorder="1" applyAlignment="1">
      <alignment horizontal="left" vertical="center"/>
    </xf>
    <xf numFmtId="0" fontId="382" fillId="0" borderId="1" xfId="0" applyFont="1" applyBorder="1" applyAlignment="1">
      <alignment horizontal="center" vertical="center" wrapText="1"/>
    </xf>
    <xf numFmtId="0" fontId="382" fillId="0" borderId="1" xfId="0" applyFont="1" applyBorder="1" applyAlignment="1">
      <alignment horizontal="right" vertical="center" wrapText="1"/>
    </xf>
    <xf numFmtId="0" fontId="382" fillId="0" borderId="1" xfId="0" applyFont="1" applyBorder="1" applyAlignment="1">
      <alignment horizontal="left" vertical="center" wrapText="1"/>
    </xf>
    <xf numFmtId="0" fontId="383" fillId="0" borderId="1" xfId="0" applyFont="1" applyBorder="1" applyAlignment="1">
      <alignment horizontal="left" vertical="center"/>
    </xf>
    <xf numFmtId="0" fontId="382" fillId="0" borderId="1" xfId="0" applyFont="1" applyBorder="1" applyAlignment="1">
      <alignment horizontal="center" vertical="center"/>
    </xf>
    <xf numFmtId="0" fontId="375" fillId="0" borderId="1" xfId="0" applyFont="1" applyBorder="1" applyAlignment="1">
      <alignment vertical="center"/>
    </xf>
    <xf numFmtId="2" fontId="375" fillId="0" borderId="1" xfId="0" applyNumberFormat="1" applyFont="1" applyBorder="1" applyAlignment="1">
      <alignment horizontal="center" vertical="center"/>
    </xf>
    <xf numFmtId="0" fontId="375" fillId="0" borderId="1" xfId="0" applyFont="1" applyBorder="1" applyAlignment="1">
      <alignment horizontal="left" vertical="center"/>
    </xf>
    <xf numFmtId="2" fontId="375" fillId="0" borderId="1" xfId="0" applyNumberFormat="1" applyFont="1" applyBorder="1" applyAlignment="1">
      <alignment horizontal="right" vertical="center"/>
    </xf>
    <xf numFmtId="9" fontId="375" fillId="0" borderId="1" xfId="0" applyNumberFormat="1" applyFont="1" applyBorder="1" applyAlignment="1">
      <alignment horizontal="center" vertical="center"/>
    </xf>
    <xf numFmtId="2" fontId="382" fillId="0" borderId="1" xfId="0" applyNumberFormat="1" applyFont="1" applyBorder="1" applyAlignment="1">
      <alignment horizontal="right" vertical="center"/>
    </xf>
    <xf numFmtId="2" fontId="375" fillId="0" borderId="1" xfId="0" applyNumberFormat="1" applyFont="1" applyBorder="1" applyAlignment="1">
      <alignment horizontal="center" vertical="center" wrapText="1"/>
    </xf>
    <xf numFmtId="0" fontId="375" fillId="0" borderId="1" xfId="0" applyFont="1" applyBorder="1" applyAlignment="1">
      <alignment horizontal="left" vertical="center" wrapText="1"/>
    </xf>
    <xf numFmtId="2" fontId="375" fillId="0" borderId="1" xfId="0" applyNumberFormat="1" applyFont="1" applyBorder="1" applyAlignment="1">
      <alignment horizontal="right" vertical="center" wrapText="1"/>
    </xf>
    <xf numFmtId="0" fontId="375" fillId="0" borderId="1" xfId="0" applyFont="1" applyBorder="1" applyAlignment="1">
      <alignment horizontal="right" vertical="center"/>
    </xf>
    <xf numFmtId="0" fontId="382" fillId="0" borderId="1" xfId="0" applyFont="1" applyBorder="1" applyAlignment="1">
      <alignment vertical="top"/>
    </xf>
    <xf numFmtId="198" fontId="375" fillId="0" borderId="1" xfId="0" applyNumberFormat="1" applyFont="1" applyBorder="1" applyAlignment="1">
      <alignment horizontal="center" vertical="center"/>
    </xf>
    <xf numFmtId="2" fontId="375" fillId="0" borderId="1" xfId="0" applyNumberFormat="1" applyFont="1" applyBorder="1" applyAlignment="1">
      <alignment vertical="center"/>
    </xf>
    <xf numFmtId="10" fontId="382" fillId="0" borderId="1" xfId="0" applyNumberFormat="1" applyFont="1" applyBorder="1" applyAlignment="1">
      <alignment horizontal="center" vertical="center"/>
    </xf>
    <xf numFmtId="0" fontId="375" fillId="0" borderId="1" xfId="0" applyFont="1" applyBorder="1" applyAlignment="1">
      <alignment horizontal="left" vertical="top"/>
    </xf>
    <xf numFmtId="2" fontId="383" fillId="0" borderId="1" xfId="0" applyNumberFormat="1" applyFont="1" applyBorder="1" applyAlignment="1">
      <alignment horizontal="right" vertical="center"/>
    </xf>
    <xf numFmtId="1" fontId="382" fillId="0" borderId="1" xfId="0" applyNumberFormat="1" applyFont="1" applyBorder="1" applyAlignment="1">
      <alignment horizontal="right" vertical="center"/>
    </xf>
    <xf numFmtId="2" fontId="375" fillId="0" borderId="1" xfId="0" applyNumberFormat="1" applyFont="1" applyBorder="1" applyAlignment="1">
      <alignment horizontal="left" vertical="center"/>
    </xf>
    <xf numFmtId="2" fontId="375" fillId="3" borderId="1" xfId="0" applyNumberFormat="1" applyFont="1" applyFill="1" applyBorder="1" applyAlignment="1">
      <alignment horizontal="center" vertical="center"/>
    </xf>
    <xf numFmtId="2" fontId="375" fillId="0" borderId="1" xfId="0" applyNumberFormat="1" applyFont="1" applyBorder="1" applyAlignment="1">
      <alignment horizontal="right"/>
    </xf>
    <xf numFmtId="0" fontId="382" fillId="0" borderId="1" xfId="0" applyFont="1" applyBorder="1" applyAlignment="1">
      <alignment vertical="center"/>
    </xf>
    <xf numFmtId="2" fontId="382" fillId="0" borderId="1" xfId="0" applyNumberFormat="1" applyFont="1" applyBorder="1" applyAlignment="1">
      <alignment vertical="center"/>
    </xf>
    <xf numFmtId="0" fontId="396" fillId="0" borderId="1" xfId="0" applyFont="1" applyBorder="1" applyAlignment="1">
      <alignment horizontal="left" vertical="center" wrapText="1"/>
    </xf>
    <xf numFmtId="0" fontId="382" fillId="0" borderId="106" xfId="0" applyFont="1" applyBorder="1" applyAlignment="1">
      <alignment vertical="center"/>
    </xf>
    <xf numFmtId="10" fontId="375" fillId="0" borderId="1" xfId="20" applyNumberFormat="1" applyFont="1" applyFill="1" applyBorder="1" applyAlignment="1">
      <alignment horizontal="center" vertical="center"/>
    </xf>
    <xf numFmtId="2" fontId="383" fillId="0" borderId="1" xfId="0" applyNumberFormat="1" applyFont="1" applyBorder="1" applyAlignment="1">
      <alignment vertical="center"/>
    </xf>
    <xf numFmtId="2" fontId="382" fillId="0" borderId="1" xfId="0" applyNumberFormat="1" applyFont="1" applyBorder="1" applyAlignment="1">
      <alignment horizontal="center" vertical="center"/>
    </xf>
    <xf numFmtId="1" fontId="382" fillId="0" borderId="1" xfId="0" applyNumberFormat="1" applyFont="1" applyBorder="1" applyAlignment="1">
      <alignment horizontal="center" vertical="top"/>
    </xf>
    <xf numFmtId="2" fontId="382" fillId="0" borderId="1" xfId="0" applyNumberFormat="1" applyFont="1" applyBorder="1" applyAlignment="1">
      <alignment horizontal="left" vertical="center" wrapText="1"/>
    </xf>
    <xf numFmtId="1" fontId="382" fillId="0" borderId="1" xfId="0" applyNumberFormat="1" applyFont="1" applyBorder="1" applyAlignment="1">
      <alignment horizontal="center" vertical="top" wrapText="1"/>
    </xf>
    <xf numFmtId="2" fontId="375" fillId="0" borderId="1" xfId="0" applyNumberFormat="1" applyFont="1" applyBorder="1" applyAlignment="1">
      <alignment vertical="center" shrinkToFit="1"/>
    </xf>
    <xf numFmtId="0" fontId="375" fillId="0" borderId="0" xfId="0" applyFont="1" applyAlignment="1" applyProtection="1">
      <alignment vertical="center" wrapText="1"/>
      <protection locked="0"/>
    </xf>
    <xf numFmtId="0" fontId="382" fillId="3" borderId="1" xfId="0" applyFont="1" applyFill="1" applyBorder="1" applyAlignment="1">
      <alignment horizontal="left" vertical="center"/>
    </xf>
    <xf numFmtId="0" fontId="382" fillId="0" borderId="1" xfId="0" applyFont="1" applyBorder="1" applyAlignment="1">
      <alignment horizontal="right" vertical="center"/>
    </xf>
    <xf numFmtId="9" fontId="375" fillId="0" borderId="1" xfId="0" applyNumberFormat="1" applyFont="1" applyBorder="1" applyAlignment="1">
      <alignment horizontal="right" vertical="center"/>
    </xf>
    <xf numFmtId="0" fontId="396" fillId="7" borderId="1" xfId="0" applyFont="1" applyFill="1" applyBorder="1" applyAlignment="1">
      <alignment horizontal="left" vertical="top" wrapText="1"/>
    </xf>
    <xf numFmtId="184" fontId="375" fillId="0" borderId="1" xfId="0" applyNumberFormat="1" applyFont="1" applyBorder="1" applyAlignment="1">
      <alignment horizontal="right" vertical="center"/>
    </xf>
    <xf numFmtId="2" fontId="375" fillId="3" borderId="1" xfId="0" applyNumberFormat="1" applyFont="1" applyFill="1" applyBorder="1" applyAlignment="1">
      <alignment horizontal="right" vertical="center"/>
    </xf>
    <xf numFmtId="198" fontId="375" fillId="0" borderId="1" xfId="0" applyNumberFormat="1" applyFont="1" applyBorder="1" applyAlignment="1">
      <alignment horizontal="right" vertical="center"/>
    </xf>
    <xf numFmtId="0" fontId="382" fillId="0" borderId="1" xfId="0" applyFont="1" applyBorder="1" applyAlignment="1">
      <alignment horizontal="left" vertical="top"/>
    </xf>
    <xf numFmtId="1" fontId="382" fillId="0" borderId="1" xfId="0" applyNumberFormat="1" applyFont="1" applyBorder="1" applyAlignment="1" applyProtection="1">
      <alignment horizontal="center" vertical="top" wrapText="1"/>
      <protection hidden="1"/>
    </xf>
    <xf numFmtId="0" fontId="382" fillId="0" borderId="1" xfId="0" applyFont="1" applyBorder="1" applyAlignment="1" applyProtection="1">
      <alignment horizontal="center" vertical="top"/>
      <protection hidden="1"/>
    </xf>
    <xf numFmtId="0" fontId="375" fillId="0" borderId="1" xfId="0" applyFont="1" applyBorder="1" applyAlignment="1" applyProtection="1">
      <alignment horizontal="center" vertical="center"/>
      <protection hidden="1"/>
    </xf>
    <xf numFmtId="0" fontId="375" fillId="0" borderId="1" xfId="0" applyFont="1" applyBorder="1" applyAlignment="1" applyProtection="1">
      <alignment horizontal="center"/>
      <protection hidden="1"/>
    </xf>
    <xf numFmtId="0" fontId="382" fillId="0" borderId="1" xfId="0" applyFont="1" applyBorder="1" applyAlignment="1" applyProtection="1">
      <alignment horizontal="left" vertical="center"/>
      <protection hidden="1"/>
    </xf>
    <xf numFmtId="0" fontId="375" fillId="0" borderId="1" xfId="0" applyFont="1" applyBorder="1" applyAlignment="1" applyProtection="1">
      <alignment horizontal="right"/>
      <protection hidden="1"/>
    </xf>
    <xf numFmtId="2" fontId="382" fillId="0" borderId="1" xfId="0" applyNumberFormat="1" applyFont="1" applyBorder="1" applyAlignment="1" applyProtection="1">
      <alignment horizontal="left" vertical="center"/>
      <protection hidden="1"/>
    </xf>
    <xf numFmtId="2" fontId="375" fillId="0" borderId="1" xfId="0" applyNumberFormat="1" applyFont="1" applyBorder="1" applyAlignment="1" applyProtection="1">
      <alignment horizontal="center"/>
      <protection hidden="1"/>
    </xf>
    <xf numFmtId="0" fontId="382" fillId="0" borderId="1" xfId="0" applyFont="1" applyBorder="1" applyAlignment="1" applyProtection="1">
      <alignment horizontal="center"/>
      <protection hidden="1"/>
    </xf>
    <xf numFmtId="184" fontId="375" fillId="0" borderId="1" xfId="0" applyNumberFormat="1" applyFont="1" applyBorder="1" applyAlignment="1" applyProtection="1">
      <alignment horizontal="center" vertical="center"/>
      <protection hidden="1"/>
    </xf>
    <xf numFmtId="2" fontId="375" fillId="0" borderId="1" xfId="0" applyNumberFormat="1" applyFont="1" applyBorder="1" applyAlignment="1" applyProtection="1">
      <alignment horizontal="left" vertical="center"/>
      <protection hidden="1"/>
    </xf>
    <xf numFmtId="2" fontId="375" fillId="0" borderId="1" xfId="0" applyNumberFormat="1" applyFont="1" applyBorder="1" applyAlignment="1" applyProtection="1">
      <alignment horizontal="center" vertical="top"/>
      <protection hidden="1"/>
    </xf>
    <xf numFmtId="2" fontId="375" fillId="0" borderId="1" xfId="0" applyNumberFormat="1" applyFont="1" applyBorder="1" applyAlignment="1" applyProtection="1">
      <alignment horizontal="right"/>
      <protection hidden="1"/>
    </xf>
    <xf numFmtId="2" fontId="375" fillId="0" borderId="1" xfId="0" applyNumberFormat="1" applyFont="1" applyBorder="1" applyAlignment="1" applyProtection="1">
      <alignment horizontal="center" vertical="center"/>
      <protection hidden="1"/>
    </xf>
    <xf numFmtId="0" fontId="375" fillId="0" borderId="1" xfId="0" applyFont="1" applyBorder="1" applyAlignment="1" applyProtection="1">
      <alignment horizontal="left" vertical="center"/>
      <protection hidden="1"/>
    </xf>
    <xf numFmtId="2" fontId="382" fillId="0" borderId="1" xfId="0" applyNumberFormat="1" applyFont="1" applyBorder="1" applyAlignment="1" applyProtection="1">
      <alignment horizontal="center"/>
      <protection hidden="1"/>
    </xf>
    <xf numFmtId="2" fontId="382" fillId="0" borderId="1" xfId="0" applyNumberFormat="1" applyFont="1" applyBorder="1" applyAlignment="1" applyProtection="1">
      <alignment horizontal="right"/>
      <protection hidden="1"/>
    </xf>
    <xf numFmtId="0" fontId="375" fillId="0" borderId="1" xfId="0" applyFont="1" applyBorder="1" applyAlignment="1" applyProtection="1">
      <alignment horizontal="center" vertical="top"/>
      <protection hidden="1"/>
    </xf>
    <xf numFmtId="2" fontId="375" fillId="0" borderId="1" xfId="0" applyNumberFormat="1" applyFont="1" applyBorder="1" applyAlignment="1" applyProtection="1">
      <alignment horizontal="right" vertical="top"/>
      <protection hidden="1"/>
    </xf>
    <xf numFmtId="1" fontId="382" fillId="0" borderId="1" xfId="0" applyNumberFormat="1" applyFont="1" applyBorder="1" applyAlignment="1" applyProtection="1">
      <alignment horizontal="center" vertical="center" wrapText="1"/>
      <protection hidden="1"/>
    </xf>
    <xf numFmtId="0" fontId="382" fillId="0" borderId="1" xfId="0" applyFont="1" applyBorder="1" applyAlignment="1" applyProtection="1">
      <alignment horizontal="center" vertical="center"/>
      <protection hidden="1"/>
    </xf>
    <xf numFmtId="0" fontId="375" fillId="0" borderId="1" xfId="0" applyFont="1" applyBorder="1" applyAlignment="1" applyProtection="1">
      <alignment horizontal="right" vertical="center"/>
      <protection hidden="1"/>
    </xf>
    <xf numFmtId="2" fontId="375" fillId="0" borderId="1" xfId="0" applyNumberFormat="1" applyFont="1" applyBorder="1" applyAlignment="1" applyProtection="1">
      <alignment horizontal="right" vertical="center"/>
      <protection hidden="1"/>
    </xf>
    <xf numFmtId="2" fontId="382" fillId="0" borderId="1" xfId="0" applyNumberFormat="1" applyFont="1" applyBorder="1" applyAlignment="1" applyProtection="1">
      <alignment horizontal="center" vertical="center"/>
      <protection hidden="1"/>
    </xf>
    <xf numFmtId="2" fontId="382" fillId="0" borderId="1" xfId="0" applyNumberFormat="1" applyFont="1" applyBorder="1" applyAlignment="1" applyProtection="1">
      <alignment horizontal="right" vertical="center"/>
      <protection hidden="1"/>
    </xf>
    <xf numFmtId="0" fontId="375" fillId="0" borderId="1" xfId="0" applyFont="1" applyBorder="1" applyAlignment="1" applyProtection="1">
      <alignment horizontal="left" vertical="center" wrapText="1"/>
      <protection hidden="1"/>
    </xf>
    <xf numFmtId="171" fontId="375" fillId="0" borderId="1" xfId="0" applyNumberFormat="1" applyFont="1" applyBorder="1" applyAlignment="1">
      <alignment vertical="center"/>
    </xf>
    <xf numFmtId="0" fontId="382" fillId="0" borderId="1" xfId="0" applyFont="1" applyBorder="1" applyAlignment="1" applyProtection="1">
      <alignment horizontal="center" vertical="center" wrapText="1"/>
      <protection hidden="1"/>
    </xf>
    <xf numFmtId="171" fontId="375" fillId="0" borderId="1" xfId="0" applyNumberFormat="1" applyFont="1" applyBorder="1" applyAlignment="1">
      <alignment horizontal="right" vertical="center"/>
    </xf>
    <xf numFmtId="0" fontId="382" fillId="0" borderId="1" xfId="0" applyFont="1" applyBorder="1" applyAlignment="1" applyProtection="1">
      <alignment vertical="center"/>
      <protection hidden="1"/>
    </xf>
    <xf numFmtId="2" fontId="383" fillId="0" borderId="1" xfId="0" applyNumberFormat="1" applyFont="1" applyBorder="1" applyAlignment="1">
      <alignment horizontal="center" vertical="center"/>
    </xf>
    <xf numFmtId="0" fontId="382" fillId="0" borderId="0" xfId="0" applyFont="1" applyAlignment="1">
      <alignment vertical="center"/>
    </xf>
    <xf numFmtId="2" fontId="375" fillId="0" borderId="0" xfId="0" applyNumberFormat="1" applyFont="1" applyAlignment="1">
      <alignment horizontal="center" vertical="center"/>
    </xf>
    <xf numFmtId="2" fontId="382" fillId="0" borderId="0" xfId="0" applyNumberFormat="1" applyFont="1" applyAlignment="1">
      <alignment horizontal="center" vertical="center"/>
    </xf>
    <xf numFmtId="2" fontId="375" fillId="0" borderId="0" xfId="0" applyNumberFormat="1" applyFont="1" applyAlignment="1">
      <alignment horizontal="left" vertical="center"/>
    </xf>
    <xf numFmtId="0" fontId="375" fillId="0" borderId="0" xfId="0" applyFont="1" applyAlignment="1">
      <alignment horizontal="left" vertical="center"/>
    </xf>
    <xf numFmtId="171" fontId="375" fillId="0" borderId="0" xfId="0" applyNumberFormat="1" applyFont="1" applyAlignment="1">
      <alignment vertical="center"/>
    </xf>
    <xf numFmtId="0" fontId="371" fillId="0" borderId="0" xfId="1618" applyFont="1"/>
    <xf numFmtId="0" fontId="379" fillId="0" borderId="7" xfId="1618" applyFont="1" applyBorder="1" applyAlignment="1">
      <alignment horizontal="center" vertical="center" wrapText="1"/>
    </xf>
    <xf numFmtId="0" fontId="379" fillId="0" borderId="1" xfId="1618" applyFont="1" applyBorder="1" applyAlignment="1">
      <alignment horizontal="center" wrapText="1"/>
    </xf>
    <xf numFmtId="0" fontId="379" fillId="0" borderId="1" xfId="1618" applyFont="1" applyBorder="1" applyAlignment="1">
      <alignment horizontal="center" vertical="center"/>
    </xf>
    <xf numFmtId="0" fontId="371" fillId="0" borderId="0" xfId="1618" applyFont="1" applyAlignment="1">
      <alignment horizontal="center"/>
    </xf>
    <xf numFmtId="0" fontId="379" fillId="0" borderId="1" xfId="1618" applyFont="1" applyBorder="1" applyAlignment="1">
      <alignment horizontal="center"/>
    </xf>
    <xf numFmtId="0" fontId="379" fillId="0" borderId="1" xfId="1618" applyFont="1" applyBorder="1"/>
    <xf numFmtId="0" fontId="379" fillId="0" borderId="2" xfId="1618" applyFont="1" applyBorder="1" applyAlignment="1">
      <alignment horizontal="center"/>
    </xf>
    <xf numFmtId="0" fontId="379" fillId="0" borderId="2" xfId="1618" applyFont="1" applyBorder="1"/>
    <xf numFmtId="0" fontId="379" fillId="0" borderId="1" xfId="1618" applyFont="1" applyBorder="1" applyAlignment="1">
      <alignment horizontal="center" vertical="center" wrapText="1"/>
    </xf>
    <xf numFmtId="2" fontId="379" fillId="0" borderId="1" xfId="1618" applyNumberFormat="1" applyFont="1" applyBorder="1" applyAlignment="1">
      <alignment vertical="center" wrapText="1"/>
    </xf>
    <xf numFmtId="0" fontId="371" fillId="0" borderId="0" xfId="1618" applyFont="1" applyAlignment="1">
      <alignment vertical="center" wrapText="1"/>
    </xf>
    <xf numFmtId="0" fontId="371" fillId="0" borderId="1" xfId="1618" applyFont="1" applyBorder="1" applyAlignment="1">
      <alignment horizontal="center" vertical="center"/>
    </xf>
    <xf numFmtId="0" fontId="371" fillId="0" borderId="1" xfId="1618" applyFont="1" applyBorder="1" applyAlignment="1">
      <alignment horizontal="left" vertical="center" wrapText="1"/>
    </xf>
    <xf numFmtId="1" fontId="371" fillId="3" borderId="1" xfId="1618" applyNumberFormat="1" applyFont="1" applyFill="1" applyBorder="1" applyAlignment="1">
      <alignment horizontal="center" vertical="center"/>
    </xf>
    <xf numFmtId="2" fontId="371" fillId="0" borderId="1" xfId="1618" applyNumberFormat="1" applyFont="1" applyBorder="1" applyAlignment="1">
      <alignment vertical="center"/>
    </xf>
    <xf numFmtId="2" fontId="371" fillId="0" borderId="1" xfId="1618" applyNumberFormat="1" applyFont="1" applyBorder="1" applyAlignment="1">
      <alignment horizontal="right" vertical="center"/>
    </xf>
    <xf numFmtId="0" fontId="371" fillId="0" borderId="0" xfId="1618" applyFont="1" applyAlignment="1">
      <alignment vertical="center"/>
    </xf>
    <xf numFmtId="184" fontId="371" fillId="0" borderId="1" xfId="1618" applyNumberFormat="1" applyFont="1" applyBorder="1" applyAlignment="1">
      <alignment vertical="center"/>
    </xf>
    <xf numFmtId="2" fontId="371" fillId="0" borderId="1" xfId="1618" applyNumberFormat="1" applyFont="1" applyBorder="1" applyAlignment="1">
      <alignment horizontal="center" vertical="center"/>
    </xf>
    <xf numFmtId="2" fontId="379" fillId="0" borderId="1" xfId="1618" applyNumberFormat="1" applyFont="1" applyBorder="1" applyAlignment="1">
      <alignment horizontal="right" vertical="center"/>
    </xf>
    <xf numFmtId="0" fontId="372" fillId="0" borderId="0" xfId="1618" applyFont="1" applyAlignment="1">
      <alignment horizontal="center" vertical="top"/>
    </xf>
    <xf numFmtId="0" fontId="372" fillId="0" borderId="0" xfId="1618" applyFont="1" applyAlignment="1">
      <alignment horizontal="left" vertical="top" wrapText="1"/>
    </xf>
    <xf numFmtId="0" fontId="372" fillId="0" borderId="0" xfId="1618" applyFont="1" applyAlignment="1">
      <alignment vertical="top"/>
    </xf>
    <xf numFmtId="0" fontId="371" fillId="0" borderId="0" xfId="1618" applyFont="1" applyAlignment="1">
      <alignment horizontal="left" vertical="top" wrapText="1"/>
    </xf>
    <xf numFmtId="0" fontId="371" fillId="0" borderId="0" xfId="1618" applyFont="1" applyAlignment="1">
      <alignment horizontal="center" vertical="top"/>
    </xf>
    <xf numFmtId="2" fontId="371" fillId="0" borderId="0" xfId="1618" applyNumberFormat="1" applyFont="1" applyAlignment="1">
      <alignment vertical="top"/>
    </xf>
    <xf numFmtId="2" fontId="371" fillId="0" borderId="0" xfId="1618" applyNumberFormat="1" applyFont="1" applyAlignment="1">
      <alignment horizontal="right" vertical="top"/>
    </xf>
    <xf numFmtId="0" fontId="379" fillId="0" borderId="0" xfId="0" applyFont="1" applyAlignment="1">
      <alignment vertical="center"/>
    </xf>
    <xf numFmtId="0" fontId="379" fillId="0" borderId="0" xfId="0" applyFont="1" applyAlignment="1">
      <alignment horizontal="justify" vertical="center" wrapText="1"/>
    </xf>
    <xf numFmtId="0" fontId="379" fillId="0" borderId="0" xfId="0" applyFont="1" applyAlignment="1">
      <alignment horizontal="center" vertical="center" wrapText="1"/>
    </xf>
    <xf numFmtId="1" fontId="397" fillId="0" borderId="0" xfId="0" applyNumberFormat="1" applyFont="1" applyAlignment="1">
      <alignment vertical="center"/>
    </xf>
    <xf numFmtId="0" fontId="371" fillId="0" borderId="0" xfId="1618" applyFont="1" applyAlignment="1">
      <alignment vertical="top"/>
    </xf>
    <xf numFmtId="0" fontId="371" fillId="0" borderId="0" xfId="1618" applyFont="1" applyAlignment="1">
      <alignment horizontal="center" vertical="center" wrapText="1"/>
    </xf>
    <xf numFmtId="0" fontId="371" fillId="0" borderId="0" xfId="1618" applyFont="1" applyAlignment="1">
      <alignment horizontal="left" vertical="center" wrapText="1"/>
    </xf>
    <xf numFmtId="0" fontId="371" fillId="0" borderId="0" xfId="1618" applyFont="1" applyAlignment="1">
      <alignment horizontal="center" vertical="center"/>
    </xf>
    <xf numFmtId="0" fontId="379" fillId="0" borderId="0" xfId="3757" applyFont="1" applyAlignment="1">
      <alignment vertical="center" wrapText="1"/>
    </xf>
    <xf numFmtId="0" fontId="371" fillId="0" borderId="0" xfId="3757" applyFont="1"/>
    <xf numFmtId="0" fontId="379" fillId="0" borderId="0" xfId="3757" applyFont="1" applyAlignment="1">
      <alignment horizontal="center" vertical="center" wrapText="1"/>
    </xf>
    <xf numFmtId="0" fontId="371" fillId="0" borderId="1" xfId="3757" applyFont="1" applyBorder="1" applyAlignment="1">
      <alignment horizontal="center" vertical="center" wrapText="1"/>
    </xf>
    <xf numFmtId="185" fontId="371" fillId="0" borderId="1" xfId="3757" applyNumberFormat="1" applyFont="1" applyBorder="1" applyAlignment="1">
      <alignment horizontal="center" vertical="center" wrapText="1"/>
    </xf>
    <xf numFmtId="0" fontId="371" fillId="0" borderId="0" xfId="3757" applyFont="1" applyAlignment="1">
      <alignment horizontal="center" vertical="center" wrapText="1"/>
    </xf>
    <xf numFmtId="197" fontId="371" fillId="0" borderId="1" xfId="3757" applyNumberFormat="1" applyFont="1" applyBorder="1" applyAlignment="1">
      <alignment horizontal="center" vertical="center" wrapText="1"/>
    </xf>
    <xf numFmtId="197" fontId="371" fillId="0" borderId="0" xfId="3757" applyNumberFormat="1" applyFont="1" applyAlignment="1">
      <alignment horizontal="center" vertical="center" wrapText="1"/>
    </xf>
    <xf numFmtId="197" fontId="371" fillId="0" borderId="7" xfId="3757" applyNumberFormat="1" applyFont="1" applyBorder="1" applyAlignment="1">
      <alignment horizontal="center" vertical="top" wrapText="1"/>
    </xf>
    <xf numFmtId="0" fontId="371" fillId="0" borderId="7" xfId="3757" applyFont="1" applyBorder="1" applyAlignment="1">
      <alignment horizontal="center" vertical="center"/>
    </xf>
    <xf numFmtId="0" fontId="379" fillId="0" borderId="7" xfId="3757" applyFont="1" applyBorder="1" applyAlignment="1">
      <alignment horizontal="center" vertical="center" wrapText="1"/>
    </xf>
    <xf numFmtId="197" fontId="371" fillId="0" borderId="8" xfId="3757" applyNumberFormat="1" applyFont="1" applyBorder="1" applyAlignment="1">
      <alignment horizontal="center" vertical="top" wrapText="1"/>
    </xf>
    <xf numFmtId="197" fontId="371" fillId="0" borderId="8" xfId="3757" applyNumberFormat="1" applyFont="1" applyBorder="1" applyAlignment="1">
      <alignment horizontal="center" vertical="center" wrapText="1"/>
    </xf>
    <xf numFmtId="198" fontId="373" fillId="0" borderId="8" xfId="3757" applyNumberFormat="1" applyFont="1" applyBorder="1" applyAlignment="1">
      <alignment horizontal="center" vertical="center" wrapText="1"/>
    </xf>
    <xf numFmtId="0" fontId="379" fillId="0" borderId="8" xfId="3757" applyFont="1" applyBorder="1" applyAlignment="1">
      <alignment horizontal="center" vertical="center" wrapText="1"/>
    </xf>
    <xf numFmtId="0" fontId="371" fillId="0" borderId="8" xfId="3757" applyFont="1" applyBorder="1" applyAlignment="1">
      <alignment horizontal="center" vertical="top" wrapText="1"/>
    </xf>
    <xf numFmtId="197" fontId="373" fillId="0" borderId="8" xfId="3757" applyNumberFormat="1" applyFont="1" applyBorder="1" applyAlignment="1">
      <alignment horizontal="center" vertical="center" wrapText="1"/>
    </xf>
    <xf numFmtId="10" fontId="373" fillId="0" borderId="8" xfId="3757" applyNumberFormat="1" applyFont="1" applyBorder="1" applyAlignment="1">
      <alignment horizontal="center" vertical="center" wrapText="1"/>
    </xf>
    <xf numFmtId="185" fontId="398" fillId="0" borderId="8" xfId="3757" applyNumberFormat="1" applyFont="1" applyBorder="1" applyAlignment="1">
      <alignment vertical="top" wrapText="1"/>
    </xf>
    <xf numFmtId="0" fontId="379" fillId="0" borderId="8" xfId="2100" applyFont="1" applyBorder="1" applyAlignment="1">
      <alignment horizontal="center" vertical="top" wrapText="1"/>
    </xf>
    <xf numFmtId="197" fontId="379" fillId="0" borderId="8" xfId="2100" applyNumberFormat="1" applyFont="1" applyBorder="1" applyAlignment="1">
      <alignment horizontal="center" vertical="top" wrapText="1"/>
    </xf>
    <xf numFmtId="185" fontId="371" fillId="0" borderId="8" xfId="2100" applyNumberFormat="1" applyFont="1" applyBorder="1" applyAlignment="1">
      <alignment horizontal="center" vertical="top" wrapText="1"/>
    </xf>
    <xf numFmtId="0" fontId="371" fillId="0" borderId="8" xfId="2100" applyFont="1" applyBorder="1" applyAlignment="1">
      <alignment horizontal="center" vertical="top" wrapText="1"/>
    </xf>
    <xf numFmtId="0" fontId="371" fillId="0" borderId="8" xfId="2100" applyFont="1" applyBorder="1" applyAlignment="1">
      <alignment horizontal="justify" vertical="top" wrapText="1"/>
    </xf>
    <xf numFmtId="0" fontId="379" fillId="0" borderId="8" xfId="2100" applyFont="1" applyBorder="1" applyAlignment="1">
      <alignment vertical="top" wrapText="1"/>
    </xf>
    <xf numFmtId="0" fontId="379" fillId="0" borderId="8" xfId="2100" applyFont="1" applyBorder="1" applyAlignment="1">
      <alignment horizontal="justify" vertical="top" wrapText="1"/>
    </xf>
    <xf numFmtId="4" fontId="371" fillId="0" borderId="8" xfId="2100" applyNumberFormat="1" applyFont="1" applyBorder="1" applyAlignment="1">
      <alignment horizontal="center" vertical="top" wrapText="1"/>
    </xf>
    <xf numFmtId="2" fontId="371" fillId="0" borderId="8" xfId="3757" applyNumberFormat="1" applyFont="1" applyBorder="1" applyAlignment="1">
      <alignment horizontal="right" vertical="top" wrapText="1"/>
    </xf>
    <xf numFmtId="185" fontId="372" fillId="0" borderId="8" xfId="2100" applyNumberFormat="1" applyFont="1" applyBorder="1" applyAlignment="1">
      <alignment horizontal="center" vertical="top" wrapText="1"/>
    </xf>
    <xf numFmtId="185" fontId="379" fillId="0" borderId="8" xfId="2100" applyNumberFormat="1" applyFont="1" applyBorder="1" applyAlignment="1">
      <alignment horizontal="center" vertical="top" wrapText="1"/>
    </xf>
    <xf numFmtId="2" fontId="372" fillId="0" borderId="8" xfId="879" applyNumberFormat="1" applyFont="1" applyBorder="1" applyAlignment="1">
      <alignment horizontal="center" vertical="center" wrapText="1"/>
    </xf>
    <xf numFmtId="2" fontId="372" fillId="0" borderId="8" xfId="2100" applyNumberFormat="1" applyFont="1" applyBorder="1" applyAlignment="1">
      <alignment horizontal="center" vertical="center" wrapText="1"/>
    </xf>
    <xf numFmtId="197" fontId="371" fillId="0" borderId="8" xfId="2100" applyNumberFormat="1" applyFont="1" applyBorder="1" applyAlignment="1">
      <alignment horizontal="justify" vertical="top" wrapText="1"/>
    </xf>
    <xf numFmtId="10" fontId="371" fillId="0" borderId="8" xfId="2100" applyNumberFormat="1" applyFont="1" applyBorder="1" applyAlignment="1">
      <alignment horizontal="center" vertical="top" wrapText="1"/>
    </xf>
    <xf numFmtId="2" fontId="371" fillId="0" borderId="8" xfId="2100" applyNumberFormat="1" applyFont="1" applyBorder="1" applyAlignment="1">
      <alignment horizontal="center" vertical="center" wrapText="1"/>
    </xf>
    <xf numFmtId="0" fontId="379" fillId="0" borderId="8" xfId="2100" applyFont="1" applyBorder="1" applyAlignment="1">
      <alignment vertical="top"/>
    </xf>
    <xf numFmtId="198" fontId="372" fillId="0" borderId="8" xfId="2100" applyNumberFormat="1" applyFont="1" applyBorder="1" applyAlignment="1">
      <alignment horizontal="center" vertical="top" wrapText="1"/>
    </xf>
    <xf numFmtId="0" fontId="379" fillId="0" borderId="8" xfId="3757" applyFont="1" applyBorder="1" applyAlignment="1">
      <alignment horizontal="center" vertical="top" wrapText="1"/>
    </xf>
    <xf numFmtId="197" fontId="379" fillId="0" borderId="8" xfId="3757" applyNumberFormat="1" applyFont="1" applyBorder="1" applyAlignment="1">
      <alignment horizontal="center" vertical="top"/>
    </xf>
    <xf numFmtId="0" fontId="371" fillId="0" borderId="8" xfId="3757" applyFont="1" applyBorder="1"/>
    <xf numFmtId="0" fontId="371" fillId="0" borderId="8" xfId="3757" applyFont="1" applyBorder="1" applyAlignment="1">
      <alignment horizontal="justify" vertical="top" wrapText="1"/>
    </xf>
    <xf numFmtId="0" fontId="379" fillId="0" borderId="8" xfId="3757" applyFont="1" applyBorder="1" applyAlignment="1">
      <alignment vertical="top"/>
    </xf>
    <xf numFmtId="0" fontId="371" fillId="0" borderId="8" xfId="3757" applyFont="1" applyBorder="1" applyAlignment="1">
      <alignment horizontal="center" vertical="center"/>
    </xf>
    <xf numFmtId="185" fontId="371" fillId="0" borderId="8" xfId="3757" applyNumberFormat="1" applyFont="1" applyBorder="1" applyAlignment="1">
      <alignment horizontal="center" vertical="top" wrapText="1"/>
    </xf>
    <xf numFmtId="10" fontId="371" fillId="0" borderId="8" xfId="3757" applyNumberFormat="1" applyFont="1" applyBorder="1"/>
    <xf numFmtId="0" fontId="379" fillId="0" borderId="8" xfId="3757" applyFont="1" applyBorder="1" applyAlignment="1">
      <alignment horizontal="justify" vertical="top" wrapText="1"/>
    </xf>
    <xf numFmtId="0" fontId="379" fillId="0" borderId="8" xfId="3757" applyFont="1" applyBorder="1" applyAlignment="1">
      <alignment horizontal="center" vertical="top"/>
    </xf>
    <xf numFmtId="185" fontId="379" fillId="0" borderId="8" xfId="3757" applyNumberFormat="1" applyFont="1" applyBorder="1" applyAlignment="1">
      <alignment horizontal="justify" vertical="top" wrapText="1"/>
    </xf>
    <xf numFmtId="4" fontId="371" fillId="0" borderId="8" xfId="3757" applyNumberFormat="1" applyFont="1" applyBorder="1" applyAlignment="1">
      <alignment horizontal="center" vertical="top" wrapText="1"/>
    </xf>
    <xf numFmtId="2" fontId="371" fillId="0" borderId="8" xfId="3757" applyNumberFormat="1" applyFont="1" applyBorder="1"/>
    <xf numFmtId="197" fontId="371" fillId="0" borderId="8" xfId="3757" applyNumberFormat="1" applyFont="1" applyBorder="1" applyAlignment="1">
      <alignment horizontal="justify" vertical="top" wrapText="1"/>
    </xf>
    <xf numFmtId="10" fontId="371" fillId="0" borderId="8" xfId="3757" applyNumberFormat="1" applyFont="1" applyBorder="1" applyAlignment="1">
      <alignment horizontal="center" vertical="top" wrapText="1"/>
    </xf>
    <xf numFmtId="0" fontId="371" fillId="0" borderId="8" xfId="3757" applyFont="1" applyBorder="1" applyAlignment="1">
      <alignment vertical="top" wrapText="1"/>
    </xf>
    <xf numFmtId="2" fontId="371" fillId="0" borderId="8" xfId="3757" applyNumberFormat="1" applyFont="1" applyBorder="1" applyAlignment="1">
      <alignment horizontal="right" vertical="center"/>
    </xf>
    <xf numFmtId="0" fontId="371" fillId="0" borderId="8" xfId="3757" applyFont="1" applyBorder="1" applyAlignment="1">
      <alignment horizontal="right" vertical="top" wrapText="1"/>
    </xf>
    <xf numFmtId="2" fontId="379" fillId="0" borderId="8" xfId="3757" applyNumberFormat="1" applyFont="1" applyBorder="1"/>
    <xf numFmtId="0" fontId="371" fillId="0" borderId="2" xfId="3757" applyFont="1" applyBorder="1" applyAlignment="1">
      <alignment horizontal="center" vertical="top" wrapText="1"/>
    </xf>
    <xf numFmtId="0" fontId="379" fillId="0" borderId="2" xfId="3757" applyFont="1" applyBorder="1" applyAlignment="1">
      <alignment vertical="top"/>
    </xf>
    <xf numFmtId="0" fontId="371" fillId="0" borderId="2" xfId="3757" applyFont="1" applyBorder="1" applyAlignment="1">
      <alignment horizontal="center" vertical="center"/>
    </xf>
    <xf numFmtId="0" fontId="371" fillId="0" borderId="2" xfId="3757" applyFont="1" applyBorder="1"/>
    <xf numFmtId="2" fontId="379" fillId="0" borderId="2" xfId="3757" applyNumberFormat="1" applyFont="1" applyBorder="1"/>
    <xf numFmtId="197" fontId="379" fillId="0" borderId="8" xfId="3757" applyNumberFormat="1" applyFont="1" applyBorder="1" applyAlignment="1">
      <alignment horizontal="center" vertical="top" wrapText="1"/>
    </xf>
    <xf numFmtId="0" fontId="379" fillId="0" borderId="8" xfId="2192" applyFont="1" applyBorder="1" applyAlignment="1">
      <alignment horizontal="center" vertical="center" wrapText="1"/>
    </xf>
    <xf numFmtId="199" fontId="371" fillId="0" borderId="8" xfId="2100" applyNumberFormat="1" applyFont="1" applyBorder="1" applyAlignment="1">
      <alignment horizontal="center" vertical="top" wrapText="1"/>
    </xf>
    <xf numFmtId="0" fontId="379" fillId="6" borderId="8" xfId="2100" applyFont="1" applyFill="1" applyBorder="1" applyAlignment="1">
      <alignment horizontal="justify" vertical="top" wrapText="1"/>
    </xf>
    <xf numFmtId="185" fontId="371" fillId="0" borderId="8" xfId="2100" applyNumberFormat="1" applyFont="1" applyBorder="1" applyAlignment="1">
      <alignment horizontal="right" vertical="top" wrapText="1"/>
    </xf>
    <xf numFmtId="2" fontId="371" fillId="0" borderId="0" xfId="2192" applyNumberFormat="1" applyFont="1" applyAlignment="1">
      <alignment vertical="top" wrapText="1"/>
    </xf>
    <xf numFmtId="0" fontId="371" fillId="0" borderId="0" xfId="2192" applyFont="1" applyAlignment="1">
      <alignment vertical="top" wrapText="1"/>
    </xf>
    <xf numFmtId="2" fontId="371" fillId="0" borderId="8" xfId="879" applyNumberFormat="1" applyFont="1" applyBorder="1" applyAlignment="1">
      <alignment horizontal="center" vertical="center" wrapText="1"/>
    </xf>
    <xf numFmtId="185" fontId="379" fillId="0" borderId="8" xfId="2100" applyNumberFormat="1" applyFont="1" applyBorder="1" applyAlignment="1">
      <alignment horizontal="right" vertical="top" wrapText="1"/>
    </xf>
    <xf numFmtId="10" fontId="379" fillId="0" borderId="8" xfId="2100" applyNumberFormat="1" applyFont="1" applyBorder="1" applyAlignment="1">
      <alignment horizontal="center" vertical="top" wrapText="1"/>
    </xf>
    <xf numFmtId="0" fontId="371" fillId="0" borderId="8" xfId="2100" applyFont="1" applyBorder="1" applyAlignment="1">
      <alignment vertical="top"/>
    </xf>
    <xf numFmtId="198" fontId="397" fillId="0" borderId="8" xfId="2100" applyNumberFormat="1" applyFont="1" applyBorder="1" applyAlignment="1">
      <alignment horizontal="center" vertical="center" wrapText="1"/>
    </xf>
    <xf numFmtId="10" fontId="379" fillId="0" borderId="8" xfId="2100" applyNumberFormat="1" applyFont="1" applyBorder="1" applyAlignment="1">
      <alignment horizontal="center" vertical="center" wrapText="1"/>
    </xf>
    <xf numFmtId="185" fontId="371" fillId="0" borderId="8" xfId="2100" applyNumberFormat="1" applyFont="1" applyBorder="1" applyAlignment="1">
      <alignment horizontal="center" vertical="center" wrapText="1"/>
    </xf>
    <xf numFmtId="185" fontId="379" fillId="0" borderId="8" xfId="2100" applyNumberFormat="1" applyFont="1" applyBorder="1" applyAlignment="1">
      <alignment horizontal="right" vertical="center" wrapText="1"/>
    </xf>
    <xf numFmtId="0" fontId="371" fillId="6" borderId="8" xfId="3757" applyFont="1" applyFill="1" applyBorder="1" applyAlignment="1">
      <alignment horizontal="center" vertical="top" wrapText="1"/>
    </xf>
    <xf numFmtId="197" fontId="379" fillId="6" borderId="8" xfId="3757" applyNumberFormat="1" applyFont="1" applyFill="1" applyBorder="1" applyAlignment="1">
      <alignment horizontal="center" vertical="top" wrapText="1"/>
    </xf>
    <xf numFmtId="197" fontId="371" fillId="6" borderId="8" xfId="3757" applyNumberFormat="1" applyFont="1" applyFill="1" applyBorder="1" applyAlignment="1">
      <alignment horizontal="center" vertical="center" wrapText="1"/>
    </xf>
    <xf numFmtId="0" fontId="397" fillId="6" borderId="8" xfId="2100" applyFont="1" applyFill="1" applyBorder="1" applyAlignment="1">
      <alignment horizontal="justify" vertical="top" wrapText="1"/>
    </xf>
    <xf numFmtId="0" fontId="372" fillId="6" borderId="8" xfId="2100" applyFont="1" applyFill="1" applyBorder="1" applyAlignment="1">
      <alignment horizontal="center" vertical="top" wrapText="1"/>
    </xf>
    <xf numFmtId="199" fontId="372" fillId="6" borderId="8" xfId="2100" applyNumberFormat="1" applyFont="1" applyFill="1" applyBorder="1" applyAlignment="1">
      <alignment horizontal="center" vertical="top" wrapText="1"/>
    </xf>
    <xf numFmtId="185" fontId="372" fillId="6" borderId="8" xfId="2100" applyNumberFormat="1" applyFont="1" applyFill="1" applyBorder="1" applyAlignment="1">
      <alignment horizontal="center" vertical="top" wrapText="1"/>
    </xf>
    <xf numFmtId="185" fontId="379" fillId="6" borderId="8" xfId="2100" applyNumberFormat="1" applyFont="1" applyFill="1" applyBorder="1" applyAlignment="1">
      <alignment horizontal="right" vertical="top" wrapText="1"/>
    </xf>
    <xf numFmtId="0" fontId="371" fillId="0" borderId="0" xfId="2192" applyFont="1"/>
    <xf numFmtId="0" fontId="371" fillId="6" borderId="0" xfId="3757" applyFont="1" applyFill="1"/>
    <xf numFmtId="2" fontId="371" fillId="0" borderId="8" xfId="3757" applyNumberFormat="1" applyFont="1" applyBorder="1" applyAlignment="1">
      <alignment vertical="top" wrapText="1"/>
    </xf>
    <xf numFmtId="2" fontId="371" fillId="0" borderId="8" xfId="3757" applyNumberFormat="1" applyFont="1" applyBorder="1" applyAlignment="1">
      <alignment horizontal="center" vertical="top" wrapText="1"/>
    </xf>
    <xf numFmtId="185" fontId="371" fillId="0" borderId="8" xfId="3757" applyNumberFormat="1" applyFont="1" applyBorder="1" applyAlignment="1">
      <alignment vertical="top" wrapText="1"/>
    </xf>
    <xf numFmtId="2" fontId="371" fillId="0" borderId="8" xfId="879" applyNumberFormat="1" applyFont="1" applyBorder="1" applyAlignment="1">
      <alignment vertical="center" wrapText="1"/>
    </xf>
    <xf numFmtId="2" fontId="371" fillId="0" borderId="8" xfId="2100" applyNumberFormat="1" applyFont="1" applyBorder="1" applyAlignment="1">
      <alignment vertical="center" wrapText="1"/>
    </xf>
    <xf numFmtId="0" fontId="379" fillId="6" borderId="8" xfId="3757" applyFont="1" applyFill="1" applyBorder="1" applyAlignment="1">
      <alignment horizontal="justify" vertical="top" wrapText="1"/>
    </xf>
    <xf numFmtId="0" fontId="371" fillId="6" borderId="0" xfId="3757" applyFont="1" applyFill="1" applyAlignment="1">
      <alignment horizontal="left"/>
    </xf>
    <xf numFmtId="0" fontId="371" fillId="0" borderId="8" xfId="3757" applyFont="1" applyBorder="1" applyAlignment="1">
      <alignment horizontal="right"/>
    </xf>
    <xf numFmtId="49" fontId="379" fillId="0" borderId="8" xfId="3757" applyNumberFormat="1" applyFont="1" applyBorder="1" applyAlignment="1">
      <alignment horizontal="center" vertical="top"/>
    </xf>
    <xf numFmtId="0" fontId="379" fillId="0" borderId="8" xfId="3757" applyFont="1" applyBorder="1" applyAlignment="1">
      <alignment horizontal="justify" vertical="top"/>
    </xf>
    <xf numFmtId="185" fontId="379" fillId="0" borderId="8" xfId="3757" applyNumberFormat="1" applyFont="1" applyBorder="1" applyAlignment="1">
      <alignment horizontal="center" vertical="top" wrapText="1"/>
    </xf>
    <xf numFmtId="10" fontId="397" fillId="0" borderId="8" xfId="3757" applyNumberFormat="1" applyFont="1" applyBorder="1" applyAlignment="1">
      <alignment horizontal="center" vertical="center" wrapText="1"/>
    </xf>
    <xf numFmtId="10" fontId="379" fillId="0" borderId="8" xfId="3757" applyNumberFormat="1" applyFont="1" applyBorder="1" applyAlignment="1">
      <alignment horizontal="center" vertical="center" wrapText="1"/>
    </xf>
    <xf numFmtId="185" fontId="371" fillId="0" borderId="8" xfId="3757" applyNumberFormat="1" applyFont="1" applyBorder="1" applyAlignment="1">
      <alignment horizontal="center" vertical="center" wrapText="1"/>
    </xf>
    <xf numFmtId="185" fontId="379" fillId="0" borderId="8" xfId="3757" applyNumberFormat="1" applyFont="1" applyBorder="1" applyAlignment="1">
      <alignment horizontal="center" vertical="center" wrapText="1"/>
    </xf>
    <xf numFmtId="0" fontId="371" fillId="0" borderId="0" xfId="3757" applyFont="1" applyAlignment="1">
      <alignment horizontal="center" vertical="center"/>
    </xf>
    <xf numFmtId="0" fontId="379" fillId="6" borderId="8" xfId="3757" applyFont="1" applyFill="1" applyBorder="1" applyAlignment="1">
      <alignment horizontal="center" vertical="top" wrapText="1"/>
    </xf>
    <xf numFmtId="185" fontId="379" fillId="6" borderId="8" xfId="3757" applyNumberFormat="1" applyFont="1" applyFill="1" applyBorder="1" applyAlignment="1">
      <alignment horizontal="center" vertical="top" wrapText="1"/>
    </xf>
    <xf numFmtId="197" fontId="379" fillId="0" borderId="2" xfId="3757" applyNumberFormat="1" applyFont="1" applyBorder="1" applyAlignment="1">
      <alignment horizontal="center" vertical="top" wrapText="1"/>
    </xf>
    <xf numFmtId="0" fontId="379" fillId="0" borderId="2" xfId="3757" applyFont="1" applyBorder="1" applyAlignment="1">
      <alignment horizontal="center" vertical="top" wrapText="1"/>
    </xf>
    <xf numFmtId="0" fontId="379" fillId="0" borderId="2" xfId="3757" applyFont="1" applyBorder="1" applyAlignment="1">
      <alignment horizontal="justify" vertical="top" wrapText="1"/>
    </xf>
    <xf numFmtId="185" fontId="379" fillId="0" borderId="2" xfId="3757" applyNumberFormat="1" applyFont="1" applyBorder="1" applyAlignment="1">
      <alignment horizontal="center" vertical="top" wrapText="1"/>
    </xf>
    <xf numFmtId="2" fontId="371" fillId="0" borderId="8" xfId="3757" applyNumberFormat="1" applyFont="1" applyBorder="1" applyAlignment="1">
      <alignment horizontal="justify" vertical="top" wrapText="1"/>
    </xf>
    <xf numFmtId="184" fontId="371" fillId="0" borderId="8" xfId="3757" applyNumberFormat="1" applyFont="1" applyBorder="1" applyAlignment="1">
      <alignment horizontal="center" vertical="top" wrapText="1"/>
    </xf>
    <xf numFmtId="185" fontId="399" fillId="0" borderId="8" xfId="3757" applyNumberFormat="1" applyFont="1" applyBorder="1" applyAlignment="1">
      <alignment horizontal="center" vertical="top" wrapText="1"/>
    </xf>
    <xf numFmtId="185" fontId="373" fillId="0" borderId="8" xfId="3757" applyNumberFormat="1" applyFont="1" applyBorder="1" applyAlignment="1">
      <alignment horizontal="center" vertical="top" wrapText="1"/>
    </xf>
    <xf numFmtId="173" fontId="371" fillId="0" borderId="8" xfId="3757" applyNumberFormat="1" applyFont="1" applyBorder="1" applyAlignment="1">
      <alignment horizontal="center" vertical="top" wrapText="1"/>
    </xf>
    <xf numFmtId="0" fontId="397" fillId="0" borderId="8" xfId="3757" applyFont="1" applyBorder="1" applyAlignment="1">
      <alignment horizontal="justify" vertical="top" wrapText="1"/>
    </xf>
    <xf numFmtId="2" fontId="372" fillId="0" borderId="8" xfId="3757" applyNumberFormat="1" applyFont="1" applyBorder="1" applyAlignment="1">
      <alignment horizontal="center" vertical="top" wrapText="1"/>
    </xf>
    <xf numFmtId="0" fontId="379" fillId="0" borderId="8" xfId="3757" applyFont="1" applyBorder="1" applyAlignment="1">
      <alignment horizontal="left" vertical="top"/>
    </xf>
    <xf numFmtId="198" fontId="379" fillId="0" borderId="8" xfId="3757" applyNumberFormat="1" applyFont="1" applyBorder="1" applyAlignment="1">
      <alignment horizontal="right" vertical="top" wrapText="1"/>
    </xf>
    <xf numFmtId="10" fontId="379" fillId="0" borderId="8" xfId="3757" applyNumberFormat="1" applyFont="1" applyBorder="1" applyAlignment="1">
      <alignment horizontal="right" vertical="top" wrapText="1"/>
    </xf>
    <xf numFmtId="185" fontId="371" fillId="0" borderId="8" xfId="3757" applyNumberFormat="1" applyFont="1" applyBorder="1" applyAlignment="1">
      <alignment horizontal="right" vertical="top" wrapText="1"/>
    </xf>
    <xf numFmtId="185" fontId="379" fillId="0" borderId="8" xfId="3757" applyNumberFormat="1" applyFont="1" applyBorder="1" applyAlignment="1">
      <alignment horizontal="right" vertical="top" wrapText="1"/>
    </xf>
    <xf numFmtId="0" fontId="371" fillId="6" borderId="2" xfId="3757" applyFont="1" applyFill="1" applyBorder="1" applyAlignment="1">
      <alignment horizontal="center" vertical="top" wrapText="1"/>
    </xf>
    <xf numFmtId="197" fontId="379" fillId="6" borderId="2" xfId="3757" applyNumberFormat="1" applyFont="1" applyFill="1" applyBorder="1" applyAlignment="1">
      <alignment horizontal="center" vertical="top" wrapText="1"/>
    </xf>
    <xf numFmtId="0" fontId="379" fillId="6" borderId="2" xfId="3757" applyFont="1" applyFill="1" applyBorder="1" applyAlignment="1">
      <alignment horizontal="center" vertical="top" wrapText="1"/>
    </xf>
    <xf numFmtId="0" fontId="379" fillId="6" borderId="2" xfId="3757" applyFont="1" applyFill="1" applyBorder="1" applyAlignment="1">
      <alignment horizontal="justify" vertical="top" wrapText="1"/>
    </xf>
    <xf numFmtId="185" fontId="379" fillId="6" borderId="2" xfId="3757" applyNumberFormat="1" applyFont="1" applyFill="1" applyBorder="1" applyAlignment="1">
      <alignment horizontal="center" vertical="top" wrapText="1"/>
    </xf>
    <xf numFmtId="2" fontId="379" fillId="0" borderId="8" xfId="3757" applyNumberFormat="1" applyFont="1" applyBorder="1" applyAlignment="1">
      <alignment horizontal="justify" vertical="top" wrapText="1"/>
    </xf>
    <xf numFmtId="2" fontId="371" fillId="0" borderId="2" xfId="3757" applyNumberFormat="1" applyFont="1" applyBorder="1" applyAlignment="1">
      <alignment horizontal="justify" vertical="top" wrapText="1"/>
    </xf>
    <xf numFmtId="2" fontId="371" fillId="0" borderId="2" xfId="3757" applyNumberFormat="1" applyFont="1" applyBorder="1" applyAlignment="1">
      <alignment horizontal="center" vertical="top" wrapText="1"/>
    </xf>
    <xf numFmtId="2" fontId="371" fillId="0" borderId="2" xfId="3757" applyNumberFormat="1" applyFont="1" applyBorder="1" applyAlignment="1">
      <alignment horizontal="right" vertical="top" wrapText="1"/>
    </xf>
    <xf numFmtId="10" fontId="379" fillId="0" borderId="8" xfId="3757" applyNumberFormat="1" applyFont="1" applyBorder="1" applyAlignment="1">
      <alignment horizontal="center" vertical="top" wrapText="1"/>
    </xf>
    <xf numFmtId="0" fontId="371" fillId="6" borderId="8" xfId="3757" applyFont="1" applyFill="1" applyBorder="1"/>
    <xf numFmtId="2" fontId="379" fillId="6" borderId="8" xfId="3757" applyNumberFormat="1" applyFont="1" applyFill="1" applyBorder="1" applyAlignment="1">
      <alignment horizontal="center" vertical="top" wrapText="1"/>
    </xf>
    <xf numFmtId="0" fontId="371" fillId="0" borderId="2" xfId="3757" applyFont="1" applyBorder="1" applyAlignment="1">
      <alignment horizontal="justify" vertical="top" wrapText="1"/>
    </xf>
    <xf numFmtId="185" fontId="371" fillId="0" borderId="2" xfId="3757" applyNumberFormat="1" applyFont="1" applyBorder="1" applyAlignment="1">
      <alignment horizontal="center" vertical="top" wrapText="1"/>
    </xf>
    <xf numFmtId="0" fontId="372" fillId="6" borderId="8" xfId="3757" applyFont="1" applyFill="1" applyBorder="1" applyAlignment="1">
      <alignment horizontal="center" vertical="top" wrapText="1"/>
    </xf>
    <xf numFmtId="4" fontId="371" fillId="0" borderId="2" xfId="3757" applyNumberFormat="1" applyFont="1" applyBorder="1" applyAlignment="1">
      <alignment horizontal="center" vertical="top" wrapText="1"/>
    </xf>
    <xf numFmtId="0" fontId="379" fillId="6" borderId="8" xfId="3757" applyFont="1" applyFill="1" applyBorder="1" applyAlignment="1">
      <alignment horizontal="left" vertical="top" wrapText="1"/>
    </xf>
    <xf numFmtId="185" fontId="379" fillId="0" borderId="0" xfId="3757" applyNumberFormat="1" applyFont="1" applyAlignment="1">
      <alignment horizontal="center" vertical="top" wrapText="1"/>
    </xf>
    <xf numFmtId="0" fontId="371" fillId="4" borderId="8" xfId="3757" applyFont="1" applyFill="1" applyBorder="1" applyAlignment="1">
      <alignment horizontal="center" vertical="top" wrapText="1"/>
    </xf>
    <xf numFmtId="197" fontId="379" fillId="4" borderId="8" xfId="3757" applyNumberFormat="1" applyFont="1" applyFill="1" applyBorder="1" applyAlignment="1">
      <alignment horizontal="center" vertical="top" wrapText="1"/>
    </xf>
    <xf numFmtId="0" fontId="379" fillId="4" borderId="8" xfId="3757" applyFont="1" applyFill="1" applyBorder="1" applyAlignment="1">
      <alignment horizontal="center" vertical="top" wrapText="1"/>
    </xf>
    <xf numFmtId="0" fontId="379" fillId="4" borderId="8" xfId="3757" applyFont="1" applyFill="1" applyBorder="1" applyAlignment="1">
      <alignment horizontal="justify" vertical="top" wrapText="1"/>
    </xf>
    <xf numFmtId="185" fontId="379" fillId="4" borderId="8" xfId="3757" applyNumberFormat="1" applyFont="1" applyFill="1" applyBorder="1" applyAlignment="1">
      <alignment horizontal="center" vertical="top" wrapText="1"/>
    </xf>
    <xf numFmtId="0" fontId="371" fillId="4" borderId="0" xfId="2192" applyFont="1" applyFill="1"/>
    <xf numFmtId="0" fontId="371" fillId="4" borderId="0" xfId="3757" applyFont="1" applyFill="1"/>
    <xf numFmtId="185" fontId="372" fillId="6" borderId="8" xfId="34" applyNumberFormat="1" applyFont="1" applyFill="1" applyBorder="1" applyAlignment="1">
      <alignment horizontal="center" vertical="top" wrapText="1"/>
    </xf>
    <xf numFmtId="0" fontId="371" fillId="6" borderId="2" xfId="3757" applyFont="1" applyFill="1" applyBorder="1" applyAlignment="1">
      <alignment horizontal="center" vertical="center" wrapText="1"/>
    </xf>
    <xf numFmtId="197" fontId="379" fillId="6" borderId="2" xfId="3757" applyNumberFormat="1" applyFont="1" applyFill="1" applyBorder="1" applyAlignment="1">
      <alignment horizontal="center" vertical="center" wrapText="1"/>
    </xf>
    <xf numFmtId="0" fontId="379" fillId="6" borderId="2" xfId="3757" applyFont="1" applyFill="1" applyBorder="1" applyAlignment="1">
      <alignment horizontal="center" vertical="center" wrapText="1"/>
    </xf>
    <xf numFmtId="2" fontId="371" fillId="6" borderId="2" xfId="3757" applyNumberFormat="1" applyFont="1" applyFill="1" applyBorder="1" applyAlignment="1">
      <alignment horizontal="justify" vertical="center" wrapText="1"/>
    </xf>
    <xf numFmtId="185" fontId="379" fillId="6" borderId="2" xfId="3757" applyNumberFormat="1" applyFont="1" applyFill="1" applyBorder="1" applyAlignment="1">
      <alignment horizontal="right" vertical="center" wrapText="1"/>
    </xf>
    <xf numFmtId="0" fontId="371" fillId="0" borderId="0" xfId="2192" applyFont="1" applyAlignment="1">
      <alignment vertical="center"/>
    </xf>
    <xf numFmtId="0" fontId="371" fillId="0" borderId="0" xfId="3757" applyFont="1" applyAlignment="1">
      <alignment vertical="center"/>
    </xf>
    <xf numFmtId="0" fontId="371" fillId="0" borderId="0" xfId="3757" applyFont="1" applyAlignment="1">
      <alignment horizontal="center" vertical="top" wrapText="1"/>
    </xf>
    <xf numFmtId="0" fontId="400" fillId="0" borderId="0" xfId="2192" applyFont="1" applyAlignment="1">
      <alignment horizontal="center"/>
    </xf>
    <xf numFmtId="0" fontId="379" fillId="0" borderId="0" xfId="3757" applyFont="1" applyAlignment="1">
      <alignment horizontal="center" vertical="top" wrapText="1"/>
    </xf>
    <xf numFmtId="0" fontId="371" fillId="0" borderId="0" xfId="2192" applyFont="1" applyAlignment="1">
      <alignment horizontal="center" vertical="center" wrapText="1"/>
    </xf>
    <xf numFmtId="0" fontId="379" fillId="0" borderId="0" xfId="2192" applyFont="1" applyAlignment="1">
      <alignment horizontal="center" vertical="top"/>
    </xf>
    <xf numFmtId="0" fontId="371" fillId="0" borderId="0" xfId="2192" applyFont="1" applyAlignment="1">
      <alignment vertical="center" wrapText="1"/>
    </xf>
    <xf numFmtId="0" fontId="371" fillId="0" borderId="0" xfId="3757" applyFont="1" applyAlignment="1">
      <alignment vertical="top" wrapText="1"/>
    </xf>
    <xf numFmtId="0" fontId="400" fillId="0" borderId="0" xfId="2192" applyFont="1" applyAlignment="1">
      <alignment horizontal="center" vertical="center"/>
    </xf>
    <xf numFmtId="0" fontId="371" fillId="0" borderId="0" xfId="2192" applyFont="1" applyAlignment="1">
      <alignment horizontal="left" vertical="center" wrapText="1"/>
    </xf>
    <xf numFmtId="197" fontId="401" fillId="0" borderId="0" xfId="3757" applyNumberFormat="1" applyFont="1" applyAlignment="1">
      <alignment horizontal="center" vertical="center" wrapText="1"/>
    </xf>
    <xf numFmtId="0" fontId="371" fillId="0" borderId="0" xfId="3757" applyFont="1" applyAlignment="1">
      <alignment horizontal="left" vertical="center" wrapText="1"/>
    </xf>
    <xf numFmtId="185" fontId="371" fillId="0" borderId="0" xfId="3757" applyNumberFormat="1" applyFont="1" applyAlignment="1">
      <alignment vertical="center" wrapText="1"/>
    </xf>
    <xf numFmtId="0" fontId="371" fillId="0" borderId="0" xfId="3757" applyFont="1" applyAlignment="1">
      <alignment horizontal="justify" vertical="center" wrapText="1"/>
    </xf>
    <xf numFmtId="0" fontId="371" fillId="0" borderId="0" xfId="3757" applyFont="1" applyAlignment="1">
      <alignment vertical="center" wrapText="1"/>
    </xf>
    <xf numFmtId="197" fontId="379" fillId="0" borderId="0" xfId="3757" applyNumberFormat="1" applyFont="1" applyAlignment="1">
      <alignment horizontal="center" vertical="center" wrapText="1"/>
    </xf>
    <xf numFmtId="197" fontId="379" fillId="0" borderId="0" xfId="3757" applyNumberFormat="1" applyFont="1" applyAlignment="1">
      <alignment horizontal="center" vertical="top" wrapText="1"/>
    </xf>
    <xf numFmtId="0" fontId="371" fillId="0" borderId="0" xfId="3757" applyFont="1" applyAlignment="1">
      <alignment horizontal="justify" vertical="top" wrapText="1"/>
    </xf>
    <xf numFmtId="185" fontId="371" fillId="0" borderId="0" xfId="3757" applyNumberFormat="1" applyFont="1" applyAlignment="1">
      <alignment vertical="top" wrapText="1"/>
    </xf>
    <xf numFmtId="197" fontId="379" fillId="3" borderId="8" xfId="3757" applyNumberFormat="1" applyFont="1" applyFill="1" applyBorder="1" applyAlignment="1">
      <alignment horizontal="center" vertical="top"/>
    </xf>
    <xf numFmtId="0" fontId="379" fillId="3" borderId="8" xfId="3757" applyFont="1" applyFill="1" applyBorder="1" applyAlignment="1">
      <alignment horizontal="center" vertical="top"/>
    </xf>
    <xf numFmtId="185" fontId="371" fillId="3" borderId="8" xfId="3757" applyNumberFormat="1" applyFont="1" applyFill="1" applyBorder="1" applyAlignment="1">
      <alignment horizontal="center" vertical="top" wrapText="1"/>
    </xf>
    <xf numFmtId="0" fontId="371" fillId="3" borderId="0" xfId="3757" applyFont="1" applyFill="1"/>
    <xf numFmtId="0" fontId="371" fillId="3" borderId="8" xfId="3757" applyFont="1" applyFill="1" applyBorder="1" applyAlignment="1">
      <alignment horizontal="center" vertical="top" wrapText="1"/>
    </xf>
    <xf numFmtId="197" fontId="379" fillId="3" borderId="8" xfId="3757" applyNumberFormat="1" applyFont="1" applyFill="1" applyBorder="1" applyAlignment="1">
      <alignment horizontal="center" vertical="top" wrapText="1"/>
    </xf>
    <xf numFmtId="0" fontId="379" fillId="3" borderId="8" xfId="3757" applyFont="1" applyFill="1" applyBorder="1" applyAlignment="1">
      <alignment horizontal="center" vertical="top" wrapText="1"/>
    </xf>
    <xf numFmtId="0" fontId="371" fillId="0" borderId="0" xfId="2357" applyFont="1"/>
    <xf numFmtId="0" fontId="402" fillId="0" borderId="0" xfId="2357" applyFont="1" applyAlignment="1">
      <alignment horizontal="center" vertical="center"/>
    </xf>
    <xf numFmtId="0" fontId="371" fillId="0" borderId="0" xfId="2357" applyFont="1" applyAlignment="1">
      <alignment wrapText="1"/>
    </xf>
    <xf numFmtId="0" fontId="404" fillId="0" borderId="0" xfId="2357" applyFont="1" applyAlignment="1">
      <alignment horizontal="center" vertical="center" wrapText="1"/>
    </xf>
    <xf numFmtId="0" fontId="405" fillId="0" borderId="0" xfId="2357" applyFont="1" applyAlignment="1">
      <alignment horizontal="center" vertical="top" wrapText="1"/>
    </xf>
    <xf numFmtId="0" fontId="405" fillId="0" borderId="0" xfId="2357" applyFont="1" applyAlignment="1">
      <alignment vertical="top" wrapText="1"/>
    </xf>
    <xf numFmtId="0" fontId="405" fillId="0" borderId="0" xfId="2357" applyFont="1" applyAlignment="1">
      <alignment vertical="top"/>
    </xf>
    <xf numFmtId="0" fontId="406" fillId="0" borderId="0" xfId="2357" applyFont="1" applyAlignment="1">
      <alignment vertical="top" wrapText="1"/>
    </xf>
    <xf numFmtId="0" fontId="406" fillId="0" borderId="0" xfId="2357" applyFont="1" applyAlignment="1">
      <alignment vertical="top"/>
    </xf>
    <xf numFmtId="0" fontId="371" fillId="0" borderId="0" xfId="0" applyFont="1"/>
    <xf numFmtId="0" fontId="403" fillId="0" borderId="0" xfId="2357" applyFont="1" applyAlignment="1">
      <alignment horizontal="center" vertical="center" wrapText="1"/>
    </xf>
    <xf numFmtId="0" fontId="379" fillId="0" borderId="0" xfId="2357" applyFont="1"/>
    <xf numFmtId="0" fontId="407" fillId="0" borderId="0" xfId="2357" applyFont="1" applyAlignment="1">
      <alignment horizontal="center"/>
    </xf>
    <xf numFmtId="0" fontId="407" fillId="0" borderId="0" xfId="2357" applyFont="1"/>
    <xf numFmtId="0" fontId="408" fillId="0" borderId="0" xfId="2357" applyFont="1"/>
    <xf numFmtId="0" fontId="408" fillId="0" borderId="0" xfId="0" applyFont="1"/>
    <xf numFmtId="0" fontId="405" fillId="0" borderId="0" xfId="2357" applyFont="1" applyAlignment="1">
      <alignment horizontal="center" vertical="center" wrapText="1"/>
    </xf>
    <xf numFmtId="0" fontId="408" fillId="0" borderId="0" xfId="2357" applyFont="1" applyAlignment="1">
      <alignment horizontal="center" vertical="center" wrapText="1"/>
    </xf>
    <xf numFmtId="0" fontId="386" fillId="0" borderId="0" xfId="2357" applyFont="1" applyAlignment="1">
      <alignment horizontal="right"/>
    </xf>
    <xf numFmtId="0" fontId="386" fillId="0" borderId="0" xfId="2357" applyFont="1" applyAlignment="1">
      <alignment horizontal="center"/>
    </xf>
    <xf numFmtId="0" fontId="386" fillId="0" borderId="0" xfId="2357" applyFont="1" applyAlignment="1">
      <alignment horizontal="left"/>
    </xf>
    <xf numFmtId="0" fontId="409" fillId="0" borderId="0" xfId="2357" applyFont="1" applyAlignment="1">
      <alignment horizontal="center" vertical="center"/>
    </xf>
    <xf numFmtId="0" fontId="410" fillId="0" borderId="0" xfId="2357" applyFont="1" applyAlignment="1">
      <alignment horizontal="center" vertical="center"/>
    </xf>
    <xf numFmtId="0" fontId="381" fillId="0" borderId="0" xfId="2357" applyFont="1"/>
    <xf numFmtId="0" fontId="409" fillId="0" borderId="0" xfId="2357" applyFont="1" applyAlignment="1">
      <alignment horizontal="left" vertical="center"/>
    </xf>
    <xf numFmtId="184" fontId="371" fillId="0" borderId="0" xfId="2357" applyNumberFormat="1" applyFont="1"/>
    <xf numFmtId="0" fontId="381" fillId="0" borderId="0" xfId="0" applyFont="1" applyAlignment="1">
      <alignment vertical="center"/>
    </xf>
    <xf numFmtId="0" fontId="381" fillId="0" borderId="1" xfId="0" applyFont="1" applyBorder="1" applyAlignment="1">
      <alignment vertical="center"/>
    </xf>
    <xf numFmtId="0" fontId="381" fillId="0" borderId="1" xfId="0" applyFont="1" applyBorder="1" applyAlignment="1">
      <alignment vertical="center" wrapText="1"/>
    </xf>
    <xf numFmtId="1" fontId="407" fillId="0" borderId="1" xfId="0" applyNumberFormat="1" applyFont="1" applyBorder="1" applyAlignment="1">
      <alignment horizontal="right" vertical="center" wrapText="1"/>
    </xf>
    <xf numFmtId="0" fontId="407" fillId="0" borderId="1" xfId="0" applyFont="1" applyBorder="1" applyAlignment="1">
      <alignment horizontal="left" vertical="center" wrapText="1"/>
    </xf>
    <xf numFmtId="0" fontId="381" fillId="0" borderId="1" xfId="0" applyFont="1" applyBorder="1" applyAlignment="1">
      <alignment horizontal="center" vertical="center"/>
    </xf>
    <xf numFmtId="0" fontId="381" fillId="0" borderId="0" xfId="0" applyFont="1" applyAlignment="1">
      <alignment horizontal="center" vertical="center"/>
    </xf>
    <xf numFmtId="0" fontId="407" fillId="0" borderId="1" xfId="0" applyFont="1" applyBorder="1" applyAlignment="1">
      <alignment horizontal="left" vertical="center"/>
    </xf>
    <xf numFmtId="0" fontId="407" fillId="0" borderId="1" xfId="0" applyFont="1" applyBorder="1" applyAlignment="1">
      <alignment horizontal="center" vertical="center"/>
    </xf>
    <xf numFmtId="0" fontId="381" fillId="0" borderId="0" xfId="206" applyFont="1" applyAlignment="1">
      <alignment horizontal="left" vertical="top" wrapText="1"/>
    </xf>
    <xf numFmtId="1" fontId="381" fillId="0" borderId="0" xfId="0" applyNumberFormat="1" applyFont="1" applyAlignment="1">
      <alignment horizontal="center" vertical="center"/>
    </xf>
    <xf numFmtId="188" fontId="381" fillId="4" borderId="1" xfId="3" applyNumberFormat="1" applyFont="1" applyFill="1" applyBorder="1" applyAlignment="1">
      <alignment horizontal="right" vertical="center"/>
    </xf>
    <xf numFmtId="186" fontId="411" fillId="0" borderId="5" xfId="0" applyNumberFormat="1" applyFont="1" applyBorder="1" applyAlignment="1">
      <alignment vertical="center"/>
    </xf>
    <xf numFmtId="4" fontId="412" fillId="0" borderId="1" xfId="0" applyNumberFormat="1" applyFont="1" applyBorder="1" applyAlignment="1">
      <alignment horizontal="center" vertical="center"/>
    </xf>
    <xf numFmtId="186" fontId="381" fillId="0" borderId="0" xfId="0" applyNumberFormat="1" applyFont="1" applyAlignment="1">
      <alignment vertical="center"/>
    </xf>
    <xf numFmtId="0" fontId="407" fillId="0" borderId="1" xfId="0" applyFont="1" applyBorder="1" applyAlignment="1">
      <alignment horizontal="right" vertical="center"/>
    </xf>
    <xf numFmtId="0" fontId="407" fillId="0" borderId="1" xfId="0" applyFont="1" applyBorder="1" applyAlignment="1">
      <alignment vertical="center"/>
    </xf>
    <xf numFmtId="188" fontId="407" fillId="4" borderId="1" xfId="3" applyNumberFormat="1" applyFont="1" applyFill="1" applyBorder="1" applyAlignment="1">
      <alignment horizontal="right" vertical="center"/>
    </xf>
    <xf numFmtId="2" fontId="381" fillId="0" borderId="1" xfId="0" applyNumberFormat="1" applyFont="1" applyBorder="1" applyAlignment="1">
      <alignment horizontal="center" vertical="center"/>
    </xf>
    <xf numFmtId="0" fontId="381" fillId="0" borderId="1" xfId="206" applyFont="1" applyBorder="1" applyAlignment="1">
      <alignment horizontal="left" vertical="top" wrapText="1"/>
    </xf>
    <xf numFmtId="1" fontId="381" fillId="0" borderId="0" xfId="0" applyNumberFormat="1" applyFont="1" applyAlignment="1">
      <alignment vertical="center"/>
    </xf>
    <xf numFmtId="0" fontId="381" fillId="4" borderId="1" xfId="0" applyFont="1" applyFill="1" applyBorder="1" applyAlignment="1">
      <alignment horizontal="center" vertical="center"/>
    </xf>
    <xf numFmtId="0" fontId="381" fillId="4" borderId="1" xfId="0" applyFont="1" applyFill="1" applyBorder="1" applyAlignment="1">
      <alignment vertical="center" wrapText="1"/>
    </xf>
    <xf numFmtId="2" fontId="381" fillId="4" borderId="1" xfId="0" applyNumberFormat="1" applyFont="1" applyFill="1" applyBorder="1" applyAlignment="1">
      <alignment horizontal="center" vertical="center"/>
    </xf>
    <xf numFmtId="1" fontId="381" fillId="4" borderId="0" xfId="0" applyNumberFormat="1" applyFont="1" applyFill="1" applyAlignment="1">
      <alignment vertical="center"/>
    </xf>
    <xf numFmtId="0" fontId="381" fillId="4" borderId="1" xfId="206" applyFont="1" applyFill="1" applyBorder="1" applyAlignment="1">
      <alignment horizontal="left" vertical="top" wrapText="1"/>
    </xf>
    <xf numFmtId="0" fontId="381" fillId="4" borderId="0" xfId="0" applyFont="1" applyFill="1" applyAlignment="1">
      <alignment vertical="center"/>
    </xf>
    <xf numFmtId="188" fontId="381" fillId="0" borderId="1" xfId="3" applyNumberFormat="1" applyFont="1" applyFill="1" applyBorder="1" applyAlignment="1">
      <alignment horizontal="right" vertical="center"/>
    </xf>
    <xf numFmtId="2" fontId="381" fillId="0" borderId="1" xfId="3" applyNumberFormat="1" applyFont="1" applyBorder="1" applyAlignment="1">
      <alignment horizontal="right" vertical="center"/>
    </xf>
    <xf numFmtId="172" fontId="381" fillId="0" borderId="0" xfId="3" applyNumberFormat="1" applyFont="1" applyFill="1" applyBorder="1" applyAlignment="1">
      <alignment horizontal="right" vertical="center"/>
    </xf>
    <xf numFmtId="188" fontId="381" fillId="0" borderId="0" xfId="0" applyNumberFormat="1" applyFont="1" applyAlignment="1">
      <alignment vertical="center"/>
    </xf>
    <xf numFmtId="188" fontId="407" fillId="0" borderId="1" xfId="3" applyNumberFormat="1" applyFont="1" applyBorder="1" applyAlignment="1">
      <alignment horizontal="right" vertical="center"/>
    </xf>
    <xf numFmtId="174" fontId="381" fillId="13" borderId="48" xfId="206" applyNumberFormat="1" applyFont="1" applyFill="1" applyBorder="1" applyAlignment="1">
      <alignment horizontal="left" vertical="top" wrapText="1"/>
    </xf>
    <xf numFmtId="186" fontId="381" fillId="0" borderId="0" xfId="206" applyNumberFormat="1" applyFont="1" applyAlignment="1">
      <alignment horizontal="left" vertical="top" wrapText="1"/>
    </xf>
    <xf numFmtId="188" fontId="381" fillId="0" borderId="1" xfId="3" applyNumberFormat="1" applyFont="1" applyBorder="1" applyAlignment="1">
      <alignment horizontal="right" vertical="center"/>
    </xf>
    <xf numFmtId="205" fontId="381" fillId="0" borderId="0" xfId="206" applyNumberFormat="1" applyFont="1" applyAlignment="1">
      <alignment horizontal="left" vertical="top" wrapText="1"/>
    </xf>
    <xf numFmtId="0" fontId="381" fillId="0" borderId="0" xfId="0" applyFont="1" applyAlignment="1">
      <alignment horizontal="justify" vertical="center" wrapText="1"/>
    </xf>
    <xf numFmtId="0" fontId="381" fillId="0" borderId="0" xfId="1238" applyFont="1" applyAlignment="1">
      <alignment horizontal="justify"/>
    </xf>
    <xf numFmtId="2" fontId="381" fillId="0" borderId="0" xfId="1238" applyNumberFormat="1" applyFont="1" applyAlignment="1">
      <alignment horizontal="justify"/>
    </xf>
    <xf numFmtId="0" fontId="413" fillId="0" borderId="0" xfId="0" applyFont="1" applyAlignment="1">
      <alignment vertical="center"/>
    </xf>
    <xf numFmtId="0" fontId="381" fillId="0" borderId="0" xfId="0" applyFont="1" applyAlignment="1">
      <alignment horizontal="center" vertical="center" wrapText="1"/>
    </xf>
    <xf numFmtId="1" fontId="412" fillId="0" borderId="0" xfId="0" applyNumberFormat="1" applyFont="1" applyAlignment="1">
      <alignment vertical="center"/>
    </xf>
    <xf numFmtId="0" fontId="412" fillId="0" borderId="0" xfId="0" applyFont="1" applyAlignment="1">
      <alignment horizontal="center" vertical="center"/>
    </xf>
    <xf numFmtId="0" fontId="381" fillId="0" borderId="0" xfId="0" applyFont="1" applyAlignment="1">
      <alignment horizontal="right" vertical="center"/>
    </xf>
    <xf numFmtId="0" fontId="407" fillId="0" borderId="0" xfId="2062" applyFont="1" applyAlignment="1">
      <alignment horizontal="center" vertical="top"/>
    </xf>
    <xf numFmtId="0" fontId="414" fillId="0" borderId="0" xfId="0" applyFont="1" applyAlignment="1">
      <alignment vertical="center"/>
    </xf>
    <xf numFmtId="0" fontId="413" fillId="0" borderId="0" xfId="0" applyFont="1" applyAlignment="1">
      <alignment horizontal="center" vertical="center"/>
    </xf>
    <xf numFmtId="0" fontId="413" fillId="0" borderId="0" xfId="0" applyFont="1" applyAlignment="1">
      <alignment horizontal="right" vertical="center"/>
    </xf>
    <xf numFmtId="0" fontId="407" fillId="0" borderId="0" xfId="0" applyFont="1" applyAlignment="1">
      <alignment vertical="center"/>
    </xf>
    <xf numFmtId="0" fontId="375" fillId="0" borderId="0" xfId="3753" applyFont="1"/>
    <xf numFmtId="0" fontId="371" fillId="0" borderId="0" xfId="3753" applyFont="1"/>
    <xf numFmtId="0" fontId="375" fillId="0" borderId="0" xfId="3753" applyFont="1" applyAlignment="1">
      <alignment vertical="center"/>
    </xf>
    <xf numFmtId="0" fontId="371" fillId="0" borderId="0" xfId="3753" applyFont="1" applyAlignment="1">
      <alignment vertical="center"/>
    </xf>
    <xf numFmtId="0" fontId="382" fillId="0" borderId="0" xfId="3753" applyFont="1" applyAlignment="1">
      <alignment vertical="center"/>
    </xf>
    <xf numFmtId="2" fontId="382" fillId="0" borderId="0" xfId="3753" applyNumberFormat="1" applyFont="1" applyAlignment="1">
      <alignment vertical="center"/>
    </xf>
    <xf numFmtId="0" fontId="371" fillId="0" borderId="0" xfId="3753" applyFont="1" applyAlignment="1">
      <alignment horizontal="justify" vertical="justify" wrapText="1"/>
    </xf>
    <xf numFmtId="0" fontId="371" fillId="0" borderId="0" xfId="3753" applyFont="1" applyAlignment="1">
      <alignment vertical="top" wrapText="1"/>
    </xf>
    <xf numFmtId="0" fontId="375" fillId="0" borderId="0" xfId="3755" applyFont="1" applyAlignment="1">
      <alignment vertical="center" wrapText="1"/>
    </xf>
    <xf numFmtId="0" fontId="379" fillId="0" borderId="0" xfId="3753" applyFont="1" applyAlignment="1">
      <alignment horizontal="center"/>
    </xf>
    <xf numFmtId="0" fontId="371" fillId="0" borderId="0" xfId="3753" applyFont="1" applyAlignment="1">
      <alignment horizontal="justify" vertical="top" wrapText="1"/>
    </xf>
    <xf numFmtId="0" fontId="371" fillId="0" borderId="0" xfId="3753" applyFont="1" applyAlignment="1">
      <alignment horizontal="left" wrapText="1"/>
    </xf>
    <xf numFmtId="0" fontId="371" fillId="0" borderId="0" xfId="3753" applyFont="1" applyAlignment="1">
      <alignment horizontal="left" vertical="center"/>
    </xf>
    <xf numFmtId="0" fontId="371" fillId="0" borderId="79" xfId="3753" applyFont="1" applyBorder="1" applyAlignment="1">
      <alignment horizontal="center" vertical="center"/>
    </xf>
    <xf numFmtId="0" fontId="371" fillId="0" borderId="0" xfId="2468" applyFont="1"/>
    <xf numFmtId="0" fontId="371" fillId="0" borderId="0" xfId="3753" applyFont="1" applyAlignment="1">
      <alignment horizontal="left" vertical="top" wrapText="1"/>
    </xf>
    <xf numFmtId="0" fontId="379" fillId="0" borderId="0" xfId="3753" applyFont="1" applyAlignment="1">
      <alignment horizontal="center" vertical="center"/>
    </xf>
    <xf numFmtId="0" fontId="371" fillId="0" borderId="0" xfId="3753" applyFont="1" applyAlignment="1">
      <alignment horizontal="justify" vertical="top"/>
    </xf>
    <xf numFmtId="0" fontId="371" fillId="0" borderId="0" xfId="3753" applyFont="1" applyAlignment="1">
      <alignment horizontal="center" vertical="top"/>
    </xf>
    <xf numFmtId="0" fontId="371" fillId="0" borderId="0" xfId="3753" applyFont="1" applyAlignment="1">
      <alignment vertical="top"/>
    </xf>
    <xf numFmtId="0" fontId="379" fillId="0" borderId="0" xfId="3753" applyFont="1" applyAlignment="1">
      <alignment horizontal="center" vertical="top"/>
    </xf>
    <xf numFmtId="0" fontId="371" fillId="0" borderId="0" xfId="3753" applyFont="1" applyAlignment="1">
      <alignment horizontal="right" vertical="top"/>
    </xf>
    <xf numFmtId="0" fontId="375" fillId="0" borderId="0" xfId="3753" applyFont="1" applyAlignment="1">
      <alignment horizontal="justify" vertical="top" wrapText="1"/>
    </xf>
    <xf numFmtId="0" fontId="379" fillId="10" borderId="0" xfId="2079" applyFont="1" applyFill="1"/>
    <xf numFmtId="0" fontId="379" fillId="0" borderId="0" xfId="2079" applyFont="1"/>
    <xf numFmtId="0" fontId="397" fillId="10" borderId="0" xfId="2079" applyFont="1" applyFill="1"/>
    <xf numFmtId="0" fontId="397" fillId="0" borderId="0" xfId="2079" applyFont="1"/>
    <xf numFmtId="0" fontId="371" fillId="0" borderId="134" xfId="3753" applyFont="1" applyBorder="1" applyAlignment="1">
      <alignment horizontal="center" vertical="center"/>
    </xf>
    <xf numFmtId="0" fontId="371" fillId="0" borderId="0" xfId="3753" applyFont="1" applyAlignment="1">
      <alignment horizontal="left" vertical="top" wrapText="1"/>
    </xf>
    <xf numFmtId="0" fontId="379" fillId="0" borderId="0" xfId="3753" applyFont="1" applyAlignment="1">
      <alignment horizontal="center" vertical="center"/>
    </xf>
    <xf numFmtId="0" fontId="415" fillId="0" borderId="0" xfId="2079" applyFont="1" applyAlignment="1">
      <alignment vertical="top"/>
    </xf>
    <xf numFmtId="2" fontId="263" fillId="0" borderId="35" xfId="35082" applyNumberFormat="1" applyFont="1" applyFill="1" applyBorder="1" applyAlignment="1">
      <alignment horizontal="center" vertical="top"/>
    </xf>
    <xf numFmtId="2" fontId="241" fillId="0" borderId="0" xfId="0" applyNumberFormat="1" applyFont="1" applyAlignment="1" applyProtection="1">
      <alignment horizontal="center" vertical="center"/>
      <protection locked="0"/>
    </xf>
    <xf numFmtId="0" fontId="97" fillId="0" borderId="0" xfId="0" applyFont="1" applyFill="1" applyAlignment="1">
      <alignment horizontal="center" vertical="center"/>
    </xf>
    <xf numFmtId="0" fontId="95" fillId="0" borderId="0" xfId="0" applyFont="1" applyFill="1" applyAlignment="1">
      <alignment vertical="center"/>
    </xf>
    <xf numFmtId="0" fontId="95" fillId="0" borderId="0" xfId="0" applyFont="1" applyFill="1" applyAlignment="1">
      <alignment horizontal="center" vertical="top"/>
    </xf>
    <xf numFmtId="0" fontId="97" fillId="0" borderId="1" xfId="0" applyFont="1" applyFill="1" applyBorder="1" applyAlignment="1">
      <alignment horizontal="center" vertical="center"/>
    </xf>
    <xf numFmtId="2" fontId="97" fillId="0" borderId="1" xfId="0" applyNumberFormat="1" applyFont="1" applyFill="1" applyBorder="1" applyAlignment="1">
      <alignment horizontal="center" vertical="center" wrapText="1"/>
    </xf>
    <xf numFmtId="0" fontId="97" fillId="0" borderId="1" xfId="0" applyFont="1" applyFill="1" applyBorder="1" applyAlignment="1">
      <alignment horizontal="center" vertical="center" wrapText="1"/>
    </xf>
    <xf numFmtId="171" fontId="97" fillId="0" borderId="1" xfId="0" applyNumberFormat="1" applyFont="1" applyFill="1" applyBorder="1" applyAlignment="1">
      <alignment horizontal="center" vertical="center" wrapText="1"/>
    </xf>
    <xf numFmtId="0" fontId="97" fillId="0" borderId="1" xfId="0" applyFont="1" applyFill="1" applyBorder="1" applyAlignment="1">
      <alignment horizontal="center" vertical="top"/>
    </xf>
    <xf numFmtId="0" fontId="97" fillId="0" borderId="1" xfId="0" applyFont="1" applyFill="1" applyBorder="1" applyAlignment="1">
      <alignment horizontal="left" vertical="center"/>
    </xf>
    <xf numFmtId="202" fontId="95" fillId="0" borderId="1" xfId="0" applyNumberFormat="1" applyFont="1" applyFill="1" applyBorder="1" applyAlignment="1">
      <alignment horizontal="center" vertical="top"/>
    </xf>
    <xf numFmtId="2" fontId="95" fillId="0" borderId="1" xfId="0" applyNumberFormat="1" applyFont="1" applyFill="1" applyBorder="1" applyAlignment="1">
      <alignment horizontal="left" vertical="center"/>
    </xf>
    <xf numFmtId="0" fontId="95" fillId="0" borderId="1" xfId="0" applyFont="1" applyFill="1" applyBorder="1" applyAlignment="1">
      <alignment horizontal="left" vertical="center"/>
    </xf>
    <xf numFmtId="2" fontId="95" fillId="0" borderId="1" xfId="0" applyNumberFormat="1" applyFont="1" applyFill="1" applyBorder="1" applyAlignment="1">
      <alignment horizontal="center" vertical="center"/>
    </xf>
    <xf numFmtId="0" fontId="95" fillId="0" borderId="1" xfId="0" applyFont="1" applyFill="1" applyBorder="1" applyAlignment="1">
      <alignment horizontal="center" vertical="center"/>
    </xf>
    <xf numFmtId="2" fontId="95" fillId="0" borderId="1" xfId="0" applyNumberFormat="1" applyFont="1" applyFill="1" applyBorder="1" applyAlignment="1">
      <alignment horizontal="right" vertical="center"/>
    </xf>
    <xf numFmtId="9" fontId="95" fillId="0" borderId="1" xfId="0" applyNumberFormat="1" applyFont="1" applyFill="1" applyBorder="1" applyAlignment="1">
      <alignment horizontal="center" vertical="center"/>
    </xf>
    <xf numFmtId="0" fontId="95" fillId="0" borderId="1" xfId="0" applyFont="1" applyFill="1" applyBorder="1" applyAlignment="1">
      <alignment vertical="center"/>
    </xf>
    <xf numFmtId="0" fontId="95" fillId="0" borderId="1" xfId="0" applyFont="1" applyFill="1" applyBorder="1" applyAlignment="1">
      <alignment horizontal="right" vertical="center"/>
    </xf>
    <xf numFmtId="2" fontId="95" fillId="0" borderId="1" xfId="0" applyNumberFormat="1" applyFont="1" applyFill="1" applyBorder="1" applyAlignment="1">
      <alignment horizontal="center" vertical="center" wrapText="1"/>
    </xf>
    <xf numFmtId="2" fontId="95" fillId="0" borderId="1" xfId="0" applyNumberFormat="1" applyFont="1" applyFill="1" applyBorder="1" applyAlignment="1">
      <alignment horizontal="left" vertical="center" wrapText="1"/>
    </xf>
    <xf numFmtId="0" fontId="95" fillId="0" borderId="1" xfId="0" applyFont="1" applyFill="1" applyBorder="1" applyAlignment="1">
      <alignment horizontal="left" vertical="center" wrapText="1"/>
    </xf>
    <xf numFmtId="2" fontId="95" fillId="0" borderId="1" xfId="0" applyNumberFormat="1" applyFont="1" applyFill="1" applyBorder="1" applyAlignment="1">
      <alignment horizontal="right" vertical="center" wrapText="1"/>
    </xf>
    <xf numFmtId="2" fontId="97" fillId="0" borderId="1" xfId="0" applyNumberFormat="1" applyFont="1" applyFill="1" applyBorder="1" applyAlignment="1">
      <alignment horizontal="left" vertical="center"/>
    </xf>
    <xf numFmtId="198" fontId="97" fillId="0" borderId="1" xfId="0" applyNumberFormat="1" applyFont="1" applyFill="1" applyBorder="1" applyAlignment="1">
      <alignment horizontal="center" vertical="center"/>
    </xf>
    <xf numFmtId="0" fontId="95" fillId="0" borderId="1" xfId="0" applyFont="1" applyFill="1" applyBorder="1" applyAlignment="1">
      <alignment horizontal="left" vertical="top"/>
    </xf>
    <xf numFmtId="2" fontId="95" fillId="0" borderId="1" xfId="0" applyNumberFormat="1" applyFont="1" applyFill="1" applyBorder="1" applyAlignment="1">
      <alignment vertical="center"/>
    </xf>
    <xf numFmtId="2" fontId="95" fillId="0" borderId="1" xfId="0" applyNumberFormat="1" applyFont="1" applyFill="1" applyBorder="1" applyAlignment="1">
      <alignment horizontal="right" vertical="top"/>
    </xf>
    <xf numFmtId="2" fontId="97" fillId="0" borderId="1" xfId="0" applyNumberFormat="1" applyFont="1" applyFill="1" applyBorder="1" applyAlignment="1">
      <alignment horizontal="right" vertical="center"/>
    </xf>
    <xf numFmtId="1" fontId="97" fillId="0" borderId="1" xfId="0" applyNumberFormat="1" applyFont="1" applyFill="1" applyBorder="1" applyAlignment="1">
      <alignment horizontal="right" vertical="center"/>
    </xf>
    <xf numFmtId="0" fontId="97" fillId="0" borderId="1" xfId="0" applyFont="1" applyFill="1" applyBorder="1" applyAlignment="1" applyProtection="1">
      <alignment horizontal="center" vertical="top" wrapText="1"/>
      <protection hidden="1"/>
    </xf>
    <xf numFmtId="0" fontId="95" fillId="0" borderId="0" xfId="0" applyFont="1" applyFill="1"/>
    <xf numFmtId="0" fontId="97" fillId="0" borderId="1" xfId="0" applyFont="1" applyFill="1" applyBorder="1" applyAlignment="1" applyProtection="1">
      <alignment horizontal="center" vertical="top"/>
      <protection hidden="1"/>
    </xf>
    <xf numFmtId="0" fontId="95" fillId="0" borderId="1" xfId="0" applyFont="1" applyFill="1" applyBorder="1" applyAlignment="1" applyProtection="1">
      <alignment horizontal="center"/>
      <protection hidden="1"/>
    </xf>
    <xf numFmtId="0" fontId="97" fillId="0" borderId="1" xfId="0" applyFont="1" applyFill="1" applyBorder="1" applyAlignment="1" applyProtection="1">
      <alignment horizontal="left" vertical="center"/>
      <protection hidden="1"/>
    </xf>
    <xf numFmtId="2" fontId="95" fillId="0" borderId="1" xfId="0" applyNumberFormat="1" applyFont="1" applyFill="1" applyBorder="1" applyAlignment="1" applyProtection="1">
      <alignment horizontal="center"/>
      <protection hidden="1"/>
    </xf>
    <xf numFmtId="0" fontId="95" fillId="0" borderId="1" xfId="0" applyFont="1" applyFill="1" applyBorder="1" applyAlignment="1" applyProtection="1">
      <alignment horizontal="right"/>
      <protection hidden="1"/>
    </xf>
    <xf numFmtId="0" fontId="97" fillId="0" borderId="1" xfId="0" applyFont="1" applyFill="1" applyBorder="1" applyAlignment="1" applyProtection="1">
      <alignment horizontal="left"/>
      <protection hidden="1"/>
    </xf>
    <xf numFmtId="0" fontId="97" fillId="0" borderId="1" xfId="0" applyFont="1" applyFill="1" applyBorder="1" applyAlignment="1" applyProtection="1">
      <alignment vertical="center"/>
      <protection hidden="1"/>
    </xf>
    <xf numFmtId="2" fontId="97" fillId="0" borderId="1" xfId="0" applyNumberFormat="1" applyFont="1" applyFill="1" applyBorder="1" applyAlignment="1" applyProtection="1">
      <alignment horizontal="left" vertical="center"/>
      <protection hidden="1"/>
    </xf>
    <xf numFmtId="0" fontId="97" fillId="0" borderId="1" xfId="0" applyFont="1" applyFill="1" applyBorder="1" applyAlignment="1" applyProtection="1">
      <alignment horizontal="center"/>
      <protection hidden="1"/>
    </xf>
    <xf numFmtId="184" fontId="95" fillId="0" borderId="1" xfId="0" applyNumberFormat="1" applyFont="1" applyFill="1" applyBorder="1" applyAlignment="1" applyProtection="1">
      <alignment horizontal="center"/>
      <protection hidden="1"/>
    </xf>
    <xf numFmtId="2" fontId="95" fillId="0" borderId="1" xfId="0" applyNumberFormat="1" applyFont="1" applyFill="1" applyBorder="1" applyAlignment="1" applyProtection="1">
      <alignment horizontal="left" vertical="center"/>
      <protection hidden="1"/>
    </xf>
    <xf numFmtId="2" fontId="95" fillId="0" borderId="1" xfId="0" applyNumberFormat="1" applyFont="1" applyFill="1" applyBorder="1" applyAlignment="1" applyProtection="1">
      <alignment horizontal="center" vertical="top"/>
      <protection hidden="1"/>
    </xf>
    <xf numFmtId="2" fontId="95" fillId="0" borderId="1" xfId="0" applyNumberFormat="1" applyFont="1" applyFill="1" applyBorder="1" applyAlignment="1" applyProtection="1">
      <alignment horizontal="right"/>
      <protection hidden="1"/>
    </xf>
    <xf numFmtId="0" fontId="95" fillId="0" borderId="1" xfId="0" applyFont="1" applyFill="1" applyBorder="1" applyAlignment="1" applyProtection="1">
      <alignment horizontal="left" vertical="center"/>
      <protection hidden="1"/>
    </xf>
    <xf numFmtId="2" fontId="97" fillId="0" borderId="1" xfId="0" applyNumberFormat="1" applyFont="1" applyFill="1" applyBorder="1" applyAlignment="1" applyProtection="1">
      <alignment horizontal="center"/>
      <protection hidden="1"/>
    </xf>
    <xf numFmtId="2" fontId="97" fillId="0" borderId="1" xfId="0" applyNumberFormat="1" applyFont="1" applyFill="1" applyBorder="1" applyAlignment="1" applyProtection="1">
      <alignment horizontal="right"/>
      <protection hidden="1"/>
    </xf>
    <xf numFmtId="198" fontId="95" fillId="0" borderId="1" xfId="0" applyNumberFormat="1" applyFont="1" applyFill="1" applyBorder="1" applyAlignment="1">
      <alignment horizontal="center" vertical="center"/>
    </xf>
    <xf numFmtId="0" fontId="95" fillId="0" borderId="1" xfId="0" applyFont="1" applyFill="1" applyBorder="1" applyAlignment="1" applyProtection="1">
      <alignment horizontal="center" vertical="top"/>
      <protection hidden="1"/>
    </xf>
    <xf numFmtId="2" fontId="95" fillId="0" borderId="1" xfId="0" applyNumberFormat="1" applyFont="1" applyFill="1" applyBorder="1" applyAlignment="1" applyProtection="1">
      <alignment horizontal="right" vertical="top"/>
      <protection hidden="1"/>
    </xf>
    <xf numFmtId="0" fontId="95" fillId="0" borderId="1" xfId="0" applyFont="1" applyFill="1" applyBorder="1" applyAlignment="1">
      <alignment horizontal="justify" vertical="top" wrapText="1"/>
    </xf>
    <xf numFmtId="0" fontId="98" fillId="0" borderId="1" xfId="0" applyFont="1" applyFill="1" applyBorder="1" applyAlignment="1">
      <alignment horizontal="justify" vertical="top" wrapText="1"/>
    </xf>
    <xf numFmtId="2" fontId="95" fillId="0" borderId="1" xfId="0" applyNumberFormat="1" applyFont="1" applyFill="1" applyBorder="1" applyAlignment="1">
      <alignment horizontal="justify" vertical="top" wrapText="1"/>
    </xf>
    <xf numFmtId="0" fontId="97" fillId="0" borderId="1" xfId="0" applyFont="1" applyFill="1" applyBorder="1" applyAlignment="1">
      <alignment horizontal="right" vertical="center"/>
    </xf>
    <xf numFmtId="0" fontId="97" fillId="0" borderId="1" xfId="0" applyFont="1" applyFill="1" applyBorder="1" applyAlignment="1">
      <alignment vertical="center"/>
    </xf>
    <xf numFmtId="2" fontId="97" fillId="0" borderId="1" xfId="0" applyNumberFormat="1" applyFont="1" applyFill="1" applyBorder="1" applyAlignment="1">
      <alignment vertical="center" shrinkToFit="1"/>
    </xf>
    <xf numFmtId="2" fontId="98" fillId="0" borderId="1" xfId="0" applyNumberFormat="1" applyFont="1" applyFill="1" applyBorder="1" applyAlignment="1">
      <alignment horizontal="right" vertical="center"/>
    </xf>
    <xf numFmtId="2" fontId="95" fillId="0" borderId="1" xfId="0" applyNumberFormat="1" applyFont="1" applyFill="1" applyBorder="1" applyAlignment="1">
      <alignment vertical="center" shrinkToFit="1"/>
    </xf>
    <xf numFmtId="0" fontId="97" fillId="0" borderId="1" xfId="0" applyFont="1" applyFill="1" applyBorder="1" applyAlignment="1">
      <alignment horizontal="center" vertical="top" wrapText="1"/>
    </xf>
    <xf numFmtId="10" fontId="97" fillId="0" borderId="1" xfId="0" applyNumberFormat="1" applyFont="1" applyFill="1" applyBorder="1" applyAlignment="1">
      <alignment horizontal="center" vertical="center"/>
    </xf>
    <xf numFmtId="0" fontId="96" fillId="0" borderId="0" xfId="0" applyFont="1" applyFill="1"/>
    <xf numFmtId="171" fontId="95" fillId="0" borderId="1" xfId="0" applyNumberFormat="1" applyFont="1" applyFill="1" applyBorder="1" applyAlignment="1">
      <alignment vertical="center"/>
    </xf>
    <xf numFmtId="0" fontId="95" fillId="0" borderId="1" xfId="0" applyFont="1" applyFill="1" applyBorder="1"/>
    <xf numFmtId="0" fontId="97" fillId="0" borderId="1" xfId="0" applyFont="1" applyFill="1" applyBorder="1"/>
    <xf numFmtId="2" fontId="95" fillId="0" borderId="1" xfId="0" applyNumberFormat="1" applyFont="1" applyFill="1" applyBorder="1"/>
    <xf numFmtId="2" fontId="97" fillId="0" borderId="8" xfId="0" applyNumberFormat="1" applyFont="1" applyFill="1" applyBorder="1" applyAlignment="1">
      <alignment horizontal="right"/>
    </xf>
    <xf numFmtId="0" fontId="99" fillId="0" borderId="0" xfId="0" applyFont="1" applyFill="1" applyAlignment="1">
      <alignment vertical="center"/>
    </xf>
    <xf numFmtId="171" fontId="95" fillId="0" borderId="1" xfId="0" applyNumberFormat="1" applyFont="1" applyFill="1" applyBorder="1" applyAlignment="1">
      <alignment horizontal="right" vertical="center"/>
    </xf>
    <xf numFmtId="171" fontId="97" fillId="0" borderId="1" xfId="0" applyNumberFormat="1" applyFont="1" applyFill="1" applyBorder="1" applyAlignment="1">
      <alignment horizontal="right" vertical="center"/>
    </xf>
    <xf numFmtId="0" fontId="95" fillId="0" borderId="0" xfId="3756" applyFont="1" applyFill="1"/>
    <xf numFmtId="171" fontId="97" fillId="0" borderId="1" xfId="0" applyNumberFormat="1" applyFont="1" applyFill="1" applyBorder="1" applyAlignment="1">
      <alignment horizontal="center" vertical="center"/>
    </xf>
    <xf numFmtId="0" fontId="100" fillId="0" borderId="1" xfId="0" applyFont="1" applyFill="1" applyBorder="1" applyAlignment="1">
      <alignment horizontal="left" vertical="center"/>
    </xf>
    <xf numFmtId="2" fontId="95" fillId="0" borderId="1" xfId="0" applyNumberFormat="1" applyFont="1" applyFill="1" applyBorder="1" applyAlignment="1">
      <alignment vertical="center" wrapText="1"/>
    </xf>
    <xf numFmtId="0" fontId="95" fillId="0" borderId="1" xfId="0" applyFont="1" applyFill="1" applyBorder="1" applyAlignment="1">
      <alignment vertical="center" wrapText="1"/>
    </xf>
    <xf numFmtId="2" fontId="97" fillId="0" borderId="1" xfId="0" applyNumberFormat="1" applyFont="1" applyFill="1" applyBorder="1" applyAlignment="1">
      <alignment horizontal="center" vertical="center"/>
    </xf>
    <xf numFmtId="2" fontId="95" fillId="0" borderId="0" xfId="0" applyNumberFormat="1" applyFont="1" applyFill="1" applyAlignment="1">
      <alignment vertical="center"/>
    </xf>
    <xf numFmtId="0" fontId="95" fillId="0" borderId="1" xfId="0" applyFont="1" applyFill="1" applyBorder="1" applyAlignment="1">
      <alignment horizontal="justify" vertical="center" wrapText="1"/>
    </xf>
    <xf numFmtId="0" fontId="98" fillId="0" borderId="1" xfId="0" applyFont="1" applyFill="1" applyBorder="1" applyAlignment="1">
      <alignment horizontal="center" vertical="center"/>
    </xf>
    <xf numFmtId="0" fontId="98" fillId="0" borderId="1" xfId="0" applyFont="1" applyFill="1" applyBorder="1" applyAlignment="1">
      <alignment horizontal="left" vertical="center"/>
    </xf>
    <xf numFmtId="0" fontId="97" fillId="0" borderId="0" xfId="0" applyFont="1" applyFill="1" applyAlignment="1">
      <alignment vertical="center"/>
    </xf>
    <xf numFmtId="0" fontId="95" fillId="0" borderId="1" xfId="0" applyFont="1" applyFill="1" applyBorder="1" applyAlignment="1">
      <alignment horizontal="left" vertical="center" wrapText="1" shrinkToFit="1"/>
    </xf>
    <xf numFmtId="0" fontId="98" fillId="0" borderId="1" xfId="0" applyFont="1" applyFill="1" applyBorder="1" applyAlignment="1">
      <alignment vertical="center"/>
    </xf>
    <xf numFmtId="181" fontId="95" fillId="0" borderId="1" xfId="0" applyNumberFormat="1" applyFont="1" applyFill="1" applyBorder="1" applyAlignment="1">
      <alignment horizontal="center" vertical="center"/>
    </xf>
    <xf numFmtId="184" fontId="95" fillId="0" borderId="1" xfId="0" applyNumberFormat="1" applyFont="1" applyFill="1" applyBorder="1" applyAlignment="1">
      <alignment horizontal="center" vertical="center"/>
    </xf>
    <xf numFmtId="0" fontId="95" fillId="0" borderId="1" xfId="3756" applyFont="1" applyFill="1" applyBorder="1"/>
    <xf numFmtId="2" fontId="95" fillId="0" borderId="1" xfId="0" applyNumberFormat="1" applyFont="1" applyFill="1" applyBorder="1" applyAlignment="1">
      <alignment horizontal="center" vertical="top"/>
    </xf>
    <xf numFmtId="2" fontId="95" fillId="0" borderId="1" xfId="3756" applyNumberFormat="1" applyFont="1" applyFill="1" applyBorder="1" applyAlignment="1">
      <alignment horizontal="center" vertical="top"/>
    </xf>
    <xf numFmtId="2" fontId="95" fillId="0" borderId="1" xfId="3756" applyNumberFormat="1" applyFont="1" applyFill="1" applyBorder="1" applyAlignment="1">
      <alignment horizontal="left" vertical="center" wrapText="1"/>
    </xf>
    <xf numFmtId="2" fontId="97" fillId="0" borderId="1" xfId="3756" applyNumberFormat="1" applyFont="1" applyFill="1" applyBorder="1" applyAlignment="1">
      <alignment horizontal="right" vertical="center"/>
    </xf>
    <xf numFmtId="2" fontId="95" fillId="0" borderId="1" xfId="0" applyNumberFormat="1" applyFont="1" applyFill="1" applyBorder="1" applyAlignment="1">
      <alignment horizontal="center"/>
    </xf>
    <xf numFmtId="0" fontId="95" fillId="0" borderId="1" xfId="0" applyFont="1" applyFill="1" applyBorder="1" applyAlignment="1">
      <alignment horizontal="center"/>
    </xf>
    <xf numFmtId="0" fontId="95" fillId="0" borderId="1" xfId="0" applyFont="1" applyFill="1" applyBorder="1" applyAlignment="1">
      <alignment horizontal="center" vertical="center" wrapText="1"/>
    </xf>
    <xf numFmtId="0" fontId="97" fillId="0" borderId="1" xfId="0" applyFont="1" applyFill="1" applyBorder="1" applyAlignment="1">
      <alignment horizontal="left" vertical="center" wrapText="1"/>
    </xf>
    <xf numFmtId="2" fontId="95" fillId="0" borderId="1" xfId="3756" applyNumberFormat="1" applyFont="1" applyFill="1" applyBorder="1" applyAlignment="1">
      <alignment horizontal="left" vertical="center"/>
    </xf>
    <xf numFmtId="0" fontId="95" fillId="0" borderId="0" xfId="3756" applyFont="1" applyFill="1" applyAlignment="1">
      <alignment vertical="center"/>
    </xf>
    <xf numFmtId="2" fontId="95" fillId="0" borderId="8" xfId="0" applyNumberFormat="1" applyFont="1" applyFill="1" applyBorder="1" applyAlignment="1">
      <alignment horizontal="center" vertical="center"/>
    </xf>
    <xf numFmtId="0" fontId="101" fillId="0" borderId="1" xfId="0" applyFont="1" applyFill="1" applyBorder="1" applyAlignment="1">
      <alignment horizontal="left" vertical="center" wrapText="1"/>
    </xf>
    <xf numFmtId="184" fontId="95" fillId="0" borderId="0" xfId="3756" applyNumberFormat="1" applyFont="1" applyFill="1"/>
    <xf numFmtId="171" fontId="95" fillId="0" borderId="0" xfId="3756" applyNumberFormat="1" applyFont="1" applyFill="1"/>
    <xf numFmtId="0" fontId="97" fillId="0" borderId="1" xfId="3756" applyFont="1" applyFill="1" applyBorder="1" applyAlignment="1">
      <alignment horizontal="center" vertical="top"/>
    </xf>
    <xf numFmtId="0" fontId="95" fillId="0" borderId="1" xfId="3756" applyFont="1" applyFill="1" applyBorder="1" applyAlignment="1">
      <alignment horizontal="center" vertical="center"/>
    </xf>
    <xf numFmtId="0" fontId="95" fillId="0" borderId="1" xfId="3756" applyFont="1" applyFill="1" applyBorder="1" applyAlignment="1">
      <alignment horizontal="left" vertical="top"/>
    </xf>
    <xf numFmtId="0" fontId="95" fillId="0" borderId="1" xfId="3756" applyFont="1" applyFill="1" applyBorder="1" applyAlignment="1">
      <alignment horizontal="left" vertical="center"/>
    </xf>
    <xf numFmtId="2" fontId="95" fillId="0" borderId="1" xfId="3756" applyNumberFormat="1" applyFont="1" applyFill="1" applyBorder="1" applyAlignment="1">
      <alignment horizontal="center" vertical="center"/>
    </xf>
    <xf numFmtId="0" fontId="95" fillId="0" borderId="1" xfId="3756" applyFont="1" applyFill="1" applyBorder="1" applyAlignment="1">
      <alignment horizontal="right" vertical="center"/>
    </xf>
    <xf numFmtId="0" fontId="97" fillId="0" borderId="1" xfId="3756" applyFont="1" applyFill="1" applyBorder="1" applyAlignment="1">
      <alignment horizontal="left" vertical="top"/>
    </xf>
    <xf numFmtId="0" fontId="95" fillId="0" borderId="1" xfId="3756" applyFont="1" applyFill="1" applyBorder="1" applyAlignment="1">
      <alignment horizontal="left"/>
    </xf>
    <xf numFmtId="2" fontId="95" fillId="0" borderId="1" xfId="3756" applyNumberFormat="1" applyFont="1" applyFill="1" applyBorder="1"/>
    <xf numFmtId="0" fontId="97" fillId="0" borderId="1" xfId="3756" applyFont="1" applyFill="1" applyBorder="1" applyAlignment="1">
      <alignment horizontal="center"/>
    </xf>
    <xf numFmtId="0" fontId="97" fillId="0" borderId="1" xfId="3756" applyFont="1" applyFill="1" applyBorder="1" applyAlignment="1">
      <alignment horizontal="left" vertical="center"/>
    </xf>
    <xf numFmtId="2" fontId="95" fillId="0" borderId="1" xfId="3756" applyNumberFormat="1" applyFont="1" applyFill="1" applyBorder="1" applyAlignment="1">
      <alignment horizontal="center"/>
    </xf>
    <xf numFmtId="2" fontId="95" fillId="0" borderId="1" xfId="3756" applyNumberFormat="1" applyFont="1" applyFill="1" applyBorder="1" applyAlignment="1">
      <alignment horizontal="right" vertical="center"/>
    </xf>
    <xf numFmtId="0" fontId="95" fillId="0" borderId="1" xfId="3756" applyFont="1" applyFill="1" applyBorder="1" applyAlignment="1">
      <alignment horizontal="left" vertical="top" wrapText="1"/>
    </xf>
    <xf numFmtId="0" fontId="95" fillId="0" borderId="1" xfId="3756" applyFont="1" applyFill="1" applyBorder="1" applyAlignment="1">
      <alignment horizontal="left" vertical="top" shrinkToFit="1"/>
    </xf>
    <xf numFmtId="0" fontId="95" fillId="0" borderId="1" xfId="3756" applyFont="1" applyFill="1" applyBorder="1" applyAlignment="1">
      <alignment horizontal="left" vertical="center" wrapText="1"/>
    </xf>
    <xf numFmtId="2" fontId="95" fillId="0" borderId="1" xfId="0" applyNumberFormat="1" applyFont="1" applyFill="1" applyBorder="1" applyAlignment="1" applyProtection="1">
      <alignment horizontal="center" vertical="center" wrapText="1"/>
      <protection hidden="1"/>
    </xf>
    <xf numFmtId="0" fontId="95" fillId="0" borderId="1" xfId="0" applyFont="1" applyFill="1" applyBorder="1" applyAlignment="1" applyProtection="1">
      <alignment vertical="center" wrapText="1"/>
      <protection hidden="1"/>
    </xf>
    <xf numFmtId="0" fontId="95" fillId="0" borderId="1" xfId="0" applyFont="1" applyFill="1" applyBorder="1" applyAlignment="1" applyProtection="1">
      <alignment vertical="center"/>
      <protection hidden="1"/>
    </xf>
    <xf numFmtId="2" fontId="95" fillId="0" borderId="1" xfId="0" applyNumberFormat="1" applyFont="1" applyFill="1" applyBorder="1" applyAlignment="1" applyProtection="1">
      <alignment horizontal="center" vertical="center"/>
      <protection hidden="1"/>
    </xf>
    <xf numFmtId="0" fontId="95" fillId="0" borderId="1" xfId="3756" applyFont="1" applyFill="1" applyBorder="1" applyAlignment="1">
      <alignment horizontal="center"/>
    </xf>
    <xf numFmtId="0" fontId="97" fillId="0" borderId="1" xfId="0" applyFont="1" applyFill="1" applyBorder="1" applyAlignment="1">
      <alignment horizontal="left" vertical="top"/>
    </xf>
    <xf numFmtId="0" fontId="95" fillId="0" borderId="1" xfId="0" applyFont="1" applyFill="1" applyBorder="1" applyAlignment="1">
      <alignment horizontal="left"/>
    </xf>
    <xf numFmtId="0" fontId="95" fillId="0" borderId="1" xfId="0" applyFont="1" applyFill="1" applyBorder="1" applyAlignment="1">
      <alignment horizontal="left" vertical="top" wrapText="1"/>
    </xf>
    <xf numFmtId="0" fontId="97" fillId="0" borderId="1" xfId="3756" applyFont="1" applyFill="1" applyBorder="1" applyAlignment="1">
      <alignment horizontal="left" vertical="top" shrinkToFit="1"/>
    </xf>
    <xf numFmtId="2" fontId="95" fillId="0" borderId="0" xfId="3756" applyNumberFormat="1" applyFont="1" applyFill="1"/>
    <xf numFmtId="0" fontId="95" fillId="0" borderId="1" xfId="0" applyFont="1" applyFill="1" applyBorder="1" applyAlignment="1">
      <alignment horizontal="left" vertical="top" wrapText="1" shrinkToFit="1"/>
    </xf>
    <xf numFmtId="0" fontId="97" fillId="0" borderId="1" xfId="0" applyFont="1" applyFill="1" applyBorder="1" applyAlignment="1">
      <alignment horizontal="left" vertical="top" wrapText="1"/>
    </xf>
    <xf numFmtId="0" fontId="97" fillId="0" borderId="1" xfId="3756" applyFont="1" applyFill="1" applyBorder="1" applyAlignment="1">
      <alignment horizontal="left" vertical="center" shrinkToFit="1"/>
    </xf>
    <xf numFmtId="2" fontId="97" fillId="0" borderId="1" xfId="0" applyNumberFormat="1" applyFont="1" applyFill="1" applyBorder="1" applyAlignment="1">
      <alignment vertical="center"/>
    </xf>
    <xf numFmtId="10" fontId="95" fillId="0" borderId="1" xfId="0" applyNumberFormat="1" applyFont="1" applyFill="1" applyBorder="1" applyAlignment="1">
      <alignment horizontal="center" vertical="center"/>
    </xf>
    <xf numFmtId="2" fontId="98" fillId="0" borderId="1" xfId="0" applyNumberFormat="1" applyFont="1" applyFill="1" applyBorder="1" applyAlignment="1">
      <alignment vertical="center"/>
    </xf>
    <xf numFmtId="2" fontId="97" fillId="0" borderId="1" xfId="0" applyNumberFormat="1" applyFont="1" applyFill="1" applyBorder="1" applyAlignment="1">
      <alignment horizontal="right" vertical="center" wrapText="1"/>
    </xf>
    <xf numFmtId="0" fontId="97" fillId="0" borderId="1" xfId="0" applyFont="1" applyFill="1" applyBorder="1" applyAlignment="1">
      <alignment horizontal="right" vertical="center" wrapText="1"/>
    </xf>
    <xf numFmtId="0" fontId="98" fillId="0" borderId="1" xfId="0" applyFont="1" applyFill="1" applyBorder="1" applyAlignment="1">
      <alignment horizontal="left" vertical="center" shrinkToFit="1"/>
    </xf>
    <xf numFmtId="0" fontId="95" fillId="0" borderId="1" xfId="0" applyFont="1" applyFill="1" applyBorder="1" applyAlignment="1">
      <alignment horizontal="left" vertical="center" shrinkToFit="1"/>
    </xf>
    <xf numFmtId="0" fontId="101" fillId="0" borderId="1" xfId="0" applyFont="1" applyFill="1" applyBorder="1" applyAlignment="1">
      <alignment vertical="center" wrapText="1"/>
    </xf>
    <xf numFmtId="0" fontId="95" fillId="0" borderId="0" xfId="0" applyFont="1" applyFill="1" applyAlignment="1">
      <alignment horizontal="center" vertical="center"/>
    </xf>
    <xf numFmtId="171" fontId="95" fillId="0" borderId="0" xfId="0" applyNumberFormat="1" applyFont="1" applyFill="1" applyAlignment="1">
      <alignment vertical="center"/>
    </xf>
    <xf numFmtId="2" fontId="88" fillId="0" borderId="91" xfId="0" applyNumberFormat="1" applyFont="1" applyBorder="1" applyAlignment="1">
      <alignment horizontal="center" vertical="center" wrapText="1"/>
    </xf>
    <xf numFmtId="0" fontId="38" fillId="0" borderId="91" xfId="0" applyFont="1" applyBorder="1" applyAlignment="1">
      <alignment horizontal="center" vertical="center" wrapText="1"/>
    </xf>
    <xf numFmtId="0" fontId="88" fillId="0" borderId="1" xfId="0" applyFont="1" applyBorder="1" applyAlignment="1">
      <alignment horizontal="center" vertical="center" wrapText="1"/>
    </xf>
    <xf numFmtId="0" fontId="88" fillId="0" borderId="1" xfId="0" applyFont="1" applyBorder="1" applyAlignment="1">
      <alignment horizontal="center" vertical="center"/>
    </xf>
    <xf numFmtId="0" fontId="251" fillId="0" borderId="92" xfId="0" applyFont="1" applyBorder="1" applyAlignment="1">
      <alignment horizontal="center" vertical="center"/>
    </xf>
    <xf numFmtId="0" fontId="38" fillId="0" borderId="93" xfId="0" applyFont="1" applyBorder="1" applyAlignment="1" applyProtection="1">
      <alignment horizontal="justify" vertical="top" wrapText="1"/>
      <protection hidden="1"/>
    </xf>
    <xf numFmtId="0" fontId="38" fillId="0" borderId="94" xfId="0" applyFont="1" applyBorder="1" applyAlignment="1" applyProtection="1">
      <alignment horizontal="justify" vertical="top" wrapText="1"/>
      <protection hidden="1"/>
    </xf>
    <xf numFmtId="0" fontId="38" fillId="0" borderId="95" xfId="0" applyFont="1" applyBorder="1" applyAlignment="1" applyProtection="1">
      <alignment horizontal="justify" vertical="top" wrapText="1"/>
      <protection hidden="1"/>
    </xf>
    <xf numFmtId="0" fontId="88" fillId="0" borderId="91" xfId="0" applyFont="1" applyBorder="1" applyAlignment="1" applyProtection="1">
      <alignment horizontal="left" vertical="center"/>
      <protection hidden="1"/>
    </xf>
    <xf numFmtId="2" fontId="38" fillId="0" borderId="91" xfId="0" applyNumberFormat="1" applyFont="1" applyBorder="1" applyAlignment="1" applyProtection="1">
      <alignment horizontal="left" vertical="center"/>
      <protection hidden="1"/>
    </xf>
    <xf numFmtId="0" fontId="252" fillId="0" borderId="91" xfId="0" applyFont="1" applyBorder="1" applyAlignment="1" applyProtection="1">
      <alignment horizontal="left" vertical="center"/>
      <protection hidden="1"/>
    </xf>
    <xf numFmtId="2" fontId="26" fillId="0" borderId="91" xfId="0" applyNumberFormat="1" applyFont="1" applyBorder="1" applyAlignment="1" applyProtection="1">
      <alignment horizontal="left" vertical="center" wrapText="1"/>
      <protection hidden="1"/>
    </xf>
    <xf numFmtId="0" fontId="38" fillId="0" borderId="91" xfId="0" applyFont="1" applyBorder="1" applyAlignment="1" applyProtection="1">
      <alignment horizontal="left" vertical="center"/>
      <protection hidden="1"/>
    </xf>
    <xf numFmtId="0" fontId="38" fillId="0" borderId="91" xfId="0" applyFont="1" applyBorder="1" applyAlignment="1">
      <alignment horizontal="justify" vertical="top" wrapText="1"/>
    </xf>
    <xf numFmtId="0" fontId="88" fillId="0" borderId="91" xfId="0" applyFont="1" applyBorder="1" applyAlignment="1">
      <alignment horizontal="left" vertical="center" wrapText="1"/>
    </xf>
    <xf numFmtId="0" fontId="38" fillId="0" borderId="93" xfId="0" applyFont="1" applyBorder="1" applyAlignment="1">
      <alignment horizontal="left" vertical="center" wrapText="1"/>
    </xf>
    <xf numFmtId="0" fontId="38" fillId="0" borderId="94" xfId="0" applyFont="1" applyBorder="1" applyAlignment="1">
      <alignment horizontal="left" vertical="center" wrapText="1"/>
    </xf>
    <xf numFmtId="0" fontId="38" fillId="0" borderId="95" xfId="0" applyFont="1" applyBorder="1" applyAlignment="1">
      <alignment horizontal="left" vertical="center" wrapText="1"/>
    </xf>
    <xf numFmtId="0" fontId="38" fillId="0" borderId="91" xfId="0" applyFont="1" applyBorder="1" applyAlignment="1">
      <alignment horizontal="left" vertical="center" wrapText="1"/>
    </xf>
    <xf numFmtId="2" fontId="38" fillId="0" borderId="93" xfId="0" applyNumberFormat="1" applyFont="1" applyBorder="1" applyAlignment="1">
      <alignment horizontal="center" vertical="center"/>
    </xf>
    <xf numFmtId="2" fontId="38" fillId="0" borderId="94" xfId="0" applyNumberFormat="1" applyFont="1" applyBorder="1" applyAlignment="1">
      <alignment horizontal="center" vertical="center"/>
    </xf>
    <xf numFmtId="2" fontId="38" fillId="0" borderId="95" xfId="0" applyNumberFormat="1" applyFont="1" applyBorder="1" applyAlignment="1">
      <alignment horizontal="center" vertical="center"/>
    </xf>
    <xf numFmtId="2" fontId="38" fillId="0" borderId="93" xfId="0" applyNumberFormat="1" applyFont="1" applyBorder="1" applyAlignment="1">
      <alignment horizontal="center" vertical="center" wrapText="1"/>
    </xf>
    <xf numFmtId="2" fontId="38" fillId="0" borderId="94" xfId="0" applyNumberFormat="1" applyFont="1" applyBorder="1" applyAlignment="1">
      <alignment horizontal="center" vertical="center" wrapText="1"/>
    </xf>
    <xf numFmtId="2" fontId="38" fillId="0" borderId="95" xfId="0" applyNumberFormat="1" applyFont="1" applyBorder="1" applyAlignment="1">
      <alignment horizontal="center" vertical="center" wrapText="1"/>
    </xf>
    <xf numFmtId="0" fontId="26" fillId="0" borderId="91" xfId="0" applyFont="1" applyBorder="1" applyAlignment="1">
      <alignment horizontal="justify" vertical="top" wrapText="1"/>
    </xf>
    <xf numFmtId="2" fontId="88" fillId="0" borderId="91" xfId="0" applyNumberFormat="1" applyFont="1" applyBorder="1" applyAlignment="1">
      <alignment vertical="center" shrinkToFit="1"/>
    </xf>
    <xf numFmtId="0" fontId="88" fillId="0" borderId="91" xfId="0" applyFont="1" applyBorder="1" applyAlignment="1">
      <alignment vertical="center"/>
    </xf>
    <xf numFmtId="0" fontId="26" fillId="0" borderId="93" xfId="0" applyFont="1" applyBorder="1" applyAlignment="1" applyProtection="1">
      <alignment horizontal="left" vertical="top" wrapText="1"/>
      <protection locked="0"/>
    </xf>
    <xf numFmtId="0" fontId="26" fillId="0" borderId="94" xfId="0" applyFont="1" applyBorder="1" applyAlignment="1" applyProtection="1">
      <alignment horizontal="left" vertical="top" wrapText="1"/>
      <protection locked="0"/>
    </xf>
    <xf numFmtId="0" fontId="26" fillId="0" borderId="95" xfId="0" applyFont="1" applyBorder="1" applyAlignment="1" applyProtection="1">
      <alignment horizontal="left" vertical="top" wrapText="1"/>
      <protection locked="0"/>
    </xf>
    <xf numFmtId="2" fontId="250" fillId="0" borderId="91" xfId="0" applyNumberFormat="1" applyFont="1" applyBorder="1" applyAlignment="1">
      <alignment horizontal="left" vertical="center" wrapText="1"/>
    </xf>
    <xf numFmtId="2" fontId="38" fillId="0" borderId="91" xfId="0" applyNumberFormat="1" applyFont="1" applyBorder="1" applyAlignment="1">
      <alignment horizontal="left" vertical="center" wrapText="1"/>
    </xf>
    <xf numFmtId="0" fontId="38" fillId="0" borderId="91" xfId="0" applyFont="1" applyBorder="1" applyAlignment="1" applyProtection="1">
      <alignment horizontal="justify" vertical="top" wrapText="1"/>
      <protection hidden="1"/>
    </xf>
    <xf numFmtId="0" fontId="88" fillId="0" borderId="91" xfId="0" applyFont="1" applyBorder="1" applyAlignment="1" applyProtection="1">
      <alignment horizontal="center" vertical="center"/>
      <protection hidden="1"/>
    </xf>
    <xf numFmtId="2" fontId="88" fillId="0" borderId="91" xfId="0" applyNumberFormat="1" applyFont="1" applyBorder="1" applyAlignment="1" applyProtection="1">
      <alignment horizontal="left" vertical="center"/>
      <protection hidden="1"/>
    </xf>
    <xf numFmtId="2" fontId="38" fillId="0" borderId="93" xfId="0" applyNumberFormat="1" applyFont="1" applyBorder="1" applyAlignment="1" applyProtection="1">
      <alignment horizontal="left" vertical="center" wrapText="1"/>
      <protection hidden="1"/>
    </xf>
    <xf numFmtId="2" fontId="38" fillId="0" borderId="94" xfId="0" applyNumberFormat="1" applyFont="1" applyBorder="1" applyAlignment="1" applyProtection="1">
      <alignment horizontal="left" vertical="center" wrapText="1"/>
      <protection hidden="1"/>
    </xf>
    <xf numFmtId="2" fontId="38" fillId="0" borderId="95" xfId="0" applyNumberFormat="1" applyFont="1" applyBorder="1" applyAlignment="1" applyProtection="1">
      <alignment horizontal="left" vertical="center" wrapText="1"/>
      <protection hidden="1"/>
    </xf>
    <xf numFmtId="0" fontId="26" fillId="0" borderId="93" xfId="0" applyFont="1" applyBorder="1" applyAlignment="1" applyProtection="1">
      <alignment horizontal="justify" vertical="top" wrapText="1"/>
      <protection hidden="1"/>
    </xf>
    <xf numFmtId="0" fontId="26" fillId="0" borderId="94" xfId="0" applyFont="1" applyBorder="1" applyAlignment="1" applyProtection="1">
      <alignment horizontal="justify" vertical="top" wrapText="1"/>
      <protection hidden="1"/>
    </xf>
    <xf numFmtId="0" fontId="26" fillId="0" borderId="95" xfId="0" applyFont="1" applyBorder="1" applyAlignment="1" applyProtection="1">
      <alignment horizontal="justify" vertical="top" wrapText="1"/>
      <protection hidden="1"/>
    </xf>
    <xf numFmtId="0" fontId="5" fillId="0" borderId="91" xfId="0" applyFont="1" applyBorder="1" applyAlignment="1" applyProtection="1">
      <alignment horizontal="left" vertical="center"/>
      <protection hidden="1"/>
    </xf>
    <xf numFmtId="2" fontId="5" fillId="0" borderId="91" xfId="0" applyNumberFormat="1" applyFont="1" applyBorder="1" applyAlignment="1" applyProtection="1">
      <alignment horizontal="left" vertical="center"/>
      <protection hidden="1"/>
    </xf>
    <xf numFmtId="2" fontId="88" fillId="0" borderId="93" xfId="0" applyNumberFormat="1" applyFont="1" applyBorder="1" applyAlignment="1">
      <alignment horizontal="left" vertical="center" shrinkToFit="1"/>
    </xf>
    <xf numFmtId="2" fontId="88" fillId="0" borderId="94" xfId="0" applyNumberFormat="1" applyFont="1" applyBorder="1" applyAlignment="1">
      <alignment horizontal="left" vertical="center" shrinkToFit="1"/>
    </xf>
    <xf numFmtId="2" fontId="88" fillId="0" borderId="95" xfId="0" applyNumberFormat="1" applyFont="1" applyBorder="1" applyAlignment="1">
      <alignment horizontal="left" vertical="center" shrinkToFit="1"/>
    </xf>
    <xf numFmtId="0" fontId="38" fillId="0" borderId="91" xfId="0" applyFont="1" applyBorder="1" applyAlignment="1" applyProtection="1">
      <alignment horizontal="left" vertical="top" wrapText="1"/>
      <protection hidden="1"/>
    </xf>
    <xf numFmtId="0" fontId="254" fillId="0" borderId="91" xfId="0" applyFont="1" applyBorder="1" applyAlignment="1" applyProtection="1">
      <alignment horizontal="center" vertical="center"/>
      <protection hidden="1"/>
    </xf>
    <xf numFmtId="2" fontId="38" fillId="0" borderId="91" xfId="0" applyNumberFormat="1" applyFont="1" applyBorder="1" applyAlignment="1" applyProtection="1">
      <alignment horizontal="left" vertical="center" wrapText="1"/>
      <protection hidden="1"/>
    </xf>
    <xf numFmtId="0" fontId="38" fillId="0" borderId="93" xfId="0" applyFont="1" applyBorder="1" applyAlignment="1" applyProtection="1">
      <alignment horizontal="left" vertical="center" wrapText="1"/>
      <protection hidden="1"/>
    </xf>
    <xf numFmtId="0" fontId="38" fillId="0" borderId="94" xfId="0" applyFont="1" applyBorder="1" applyAlignment="1" applyProtection="1">
      <alignment horizontal="left" vertical="center" wrapText="1"/>
      <protection hidden="1"/>
    </xf>
    <xf numFmtId="0" fontId="38" fillId="0" borderId="95" xfId="0" applyFont="1" applyBorder="1" applyAlignment="1" applyProtection="1">
      <alignment horizontal="left" vertical="center" wrapText="1"/>
      <protection hidden="1"/>
    </xf>
    <xf numFmtId="0" fontId="38" fillId="0" borderId="93" xfId="0" applyFont="1" applyBorder="1" applyAlignment="1" applyProtection="1">
      <alignment horizontal="center" vertical="center" wrapText="1"/>
      <protection hidden="1"/>
    </xf>
    <xf numFmtId="0" fontId="38" fillId="0" borderId="94" xfId="0" applyFont="1" applyBorder="1" applyAlignment="1" applyProtection="1">
      <alignment horizontal="center" vertical="center" wrapText="1"/>
      <protection hidden="1"/>
    </xf>
    <xf numFmtId="0" fontId="38" fillId="0" borderId="95" xfId="0" applyFont="1" applyBorder="1" applyAlignment="1" applyProtection="1">
      <alignment horizontal="center" vertical="center" wrapText="1"/>
      <protection hidden="1"/>
    </xf>
    <xf numFmtId="0" fontId="38" fillId="0" borderId="91" xfId="0" applyFont="1" applyBorder="1" applyAlignment="1" applyProtection="1">
      <alignment horizontal="left" vertical="center" wrapText="1"/>
      <protection hidden="1"/>
    </xf>
    <xf numFmtId="0" fontId="88" fillId="33" borderId="91" xfId="0" applyFont="1" applyFill="1" applyBorder="1" applyAlignment="1" applyProtection="1">
      <alignment horizontal="center" vertical="center"/>
      <protection hidden="1"/>
    </xf>
    <xf numFmtId="2" fontId="88" fillId="0" borderId="93" xfId="0" applyNumberFormat="1" applyFont="1" applyBorder="1" applyAlignment="1" applyProtection="1">
      <alignment horizontal="center" vertical="center" wrapText="1"/>
      <protection hidden="1"/>
    </xf>
    <xf numFmtId="2" fontId="88" fillId="0" borderId="94" xfId="0" applyNumberFormat="1" applyFont="1" applyBorder="1" applyAlignment="1" applyProtection="1">
      <alignment horizontal="center" vertical="center" wrapText="1"/>
      <protection hidden="1"/>
    </xf>
    <xf numFmtId="2" fontId="88" fillId="0" borderId="95" xfId="0" applyNumberFormat="1" applyFont="1" applyBorder="1" applyAlignment="1" applyProtection="1">
      <alignment horizontal="center" vertical="center" wrapText="1"/>
      <protection hidden="1"/>
    </xf>
    <xf numFmtId="0" fontId="253" fillId="0" borderId="91" xfId="0" applyFont="1" applyBorder="1" applyAlignment="1" applyProtection="1">
      <alignment horizontal="left" vertical="center" wrapText="1"/>
      <protection hidden="1"/>
    </xf>
    <xf numFmtId="2" fontId="252" fillId="0" borderId="91" xfId="0" applyNumberFormat="1" applyFont="1" applyBorder="1" applyAlignment="1" applyProtection="1">
      <alignment horizontal="left" vertical="center"/>
      <protection hidden="1"/>
    </xf>
    <xf numFmtId="0" fontId="38" fillId="0" borderId="93" xfId="0" applyFont="1" applyBorder="1" applyAlignment="1" applyProtection="1">
      <alignment horizontal="left" vertical="center"/>
      <protection hidden="1"/>
    </xf>
    <xf numFmtId="0" fontId="38" fillId="0" borderId="94" xfId="0" applyFont="1" applyBorder="1" applyAlignment="1" applyProtection="1">
      <alignment horizontal="left" vertical="center"/>
      <protection hidden="1"/>
    </xf>
    <xf numFmtId="0" fontId="38" fillId="0" borderId="95" xfId="0" applyFont="1" applyBorder="1" applyAlignment="1" applyProtection="1">
      <alignment horizontal="left" vertical="center"/>
      <protection hidden="1"/>
    </xf>
    <xf numFmtId="2" fontId="26" fillId="0" borderId="91" xfId="0" applyNumberFormat="1" applyFont="1" applyBorder="1" applyAlignment="1">
      <alignment horizontal="left" vertical="center" wrapText="1"/>
    </xf>
    <xf numFmtId="0" fontId="38" fillId="0" borderId="91" xfId="0" applyFont="1" applyBorder="1" applyAlignment="1" applyProtection="1">
      <alignment horizontal="left" vertical="top" wrapText="1"/>
      <protection locked="0"/>
    </xf>
    <xf numFmtId="1" fontId="88" fillId="0" borderId="91" xfId="0" applyNumberFormat="1" applyFont="1" applyBorder="1" applyAlignment="1">
      <alignment horizontal="left" vertical="top" wrapText="1"/>
    </xf>
    <xf numFmtId="1" fontId="38" fillId="0" borderId="91" xfId="0" applyNumberFormat="1" applyFont="1" applyBorder="1" applyAlignment="1">
      <alignment horizontal="left" vertical="top" wrapText="1"/>
    </xf>
    <xf numFmtId="0" fontId="5" fillId="2" borderId="1" xfId="2438" applyFont="1" applyFill="1" applyBorder="1" applyAlignment="1">
      <alignment horizontal="center" vertical="center" wrapText="1"/>
    </xf>
    <xf numFmtId="0" fontId="91" fillId="0" borderId="4" xfId="0" applyFont="1" applyBorder="1" applyAlignment="1" applyProtection="1">
      <alignment horizontal="center" vertical="center"/>
      <protection locked="0"/>
    </xf>
    <xf numFmtId="0" fontId="90" fillId="0" borderId="5" xfId="0" applyFont="1" applyBorder="1" applyAlignment="1" applyProtection="1">
      <alignment vertical="center"/>
      <protection locked="0"/>
    </xf>
    <xf numFmtId="0" fontId="91" fillId="19" borderId="1" xfId="0" applyFont="1" applyFill="1" applyBorder="1" applyAlignment="1" applyProtection="1">
      <alignment horizontal="center"/>
      <protection locked="0"/>
    </xf>
    <xf numFmtId="0" fontId="91" fillId="0" borderId="7" xfId="0" applyFont="1" applyBorder="1" applyAlignment="1" applyProtection="1">
      <alignment horizontal="center" vertical="center" wrapText="1"/>
      <protection locked="0"/>
    </xf>
    <xf numFmtId="0" fontId="91" fillId="0" borderId="2" xfId="0" applyFont="1" applyBorder="1" applyAlignment="1" applyProtection="1">
      <alignment horizontal="center" vertical="center" wrapText="1"/>
      <protection locked="0"/>
    </xf>
    <xf numFmtId="0" fontId="91" fillId="0" borderId="0" xfId="0" applyFont="1" applyAlignment="1" applyProtection="1">
      <alignment horizontal="center" vertical="center"/>
      <protection locked="0"/>
    </xf>
    <xf numFmtId="0" fontId="247" fillId="0" borderId="115" xfId="0" applyFont="1" applyBorder="1" applyAlignment="1" applyProtection="1">
      <alignment horizontal="center" vertical="center" wrapText="1"/>
      <protection locked="0"/>
    </xf>
    <xf numFmtId="0" fontId="91" fillId="19" borderId="4" xfId="0" applyFont="1" applyFill="1" applyBorder="1" applyAlignment="1" applyProtection="1">
      <alignment horizontal="center"/>
      <protection locked="0"/>
    </xf>
    <xf numFmtId="0" fontId="91" fillId="19" borderId="10" xfId="0" applyFont="1" applyFill="1" applyBorder="1" applyAlignment="1" applyProtection="1">
      <alignment horizontal="center"/>
      <protection locked="0"/>
    </xf>
    <xf numFmtId="0" fontId="91" fillId="19" borderId="5" xfId="0" applyFont="1" applyFill="1" applyBorder="1" applyAlignment="1" applyProtection="1">
      <alignment horizontal="center"/>
      <protection locked="0"/>
    </xf>
    <xf numFmtId="0" fontId="239" fillId="3" borderId="19" xfId="0" applyFont="1" applyFill="1" applyBorder="1" applyAlignment="1" applyProtection="1">
      <alignment horizontal="left" vertical="center" wrapText="1"/>
      <protection locked="0"/>
    </xf>
    <xf numFmtId="0" fontId="239" fillId="3" borderId="14" xfId="0" applyFont="1" applyFill="1" applyBorder="1" applyAlignment="1" applyProtection="1">
      <alignment horizontal="left" vertical="center" wrapText="1"/>
      <protection locked="0"/>
    </xf>
    <xf numFmtId="0" fontId="239" fillId="3" borderId="31" xfId="0" applyFont="1" applyFill="1" applyBorder="1" applyAlignment="1" applyProtection="1">
      <alignment horizontal="left" vertical="center" wrapText="1"/>
      <protection locked="0"/>
    </xf>
    <xf numFmtId="0" fontId="409" fillId="0" borderId="0" xfId="2357" applyFont="1" applyAlignment="1">
      <alignment horizontal="left" vertical="center"/>
    </xf>
    <xf numFmtId="0" fontId="407" fillId="0" borderId="0" xfId="2357" applyFont="1" applyAlignment="1">
      <alignment horizontal="left"/>
    </xf>
    <xf numFmtId="2" fontId="407" fillId="0" borderId="0" xfId="2357" applyNumberFormat="1" applyFont="1" applyAlignment="1">
      <alignment horizontal="center"/>
    </xf>
    <xf numFmtId="0" fontId="403" fillId="0" borderId="0" xfId="2357" applyFont="1" applyAlignment="1">
      <alignment horizontal="center" vertical="center" wrapText="1"/>
    </xf>
    <xf numFmtId="0" fontId="403" fillId="0" borderId="0" xfId="2357" applyFont="1" applyAlignment="1">
      <alignment horizontal="center" vertical="top" wrapText="1"/>
    </xf>
    <xf numFmtId="1" fontId="406" fillId="0" borderId="0" xfId="2357" applyNumberFormat="1" applyFont="1" applyAlignment="1">
      <alignment horizontal="justify" vertical="top" wrapText="1"/>
    </xf>
    <xf numFmtId="0" fontId="405" fillId="0" borderId="0" xfId="2357" applyFont="1" applyAlignment="1">
      <alignment horizontal="center" vertical="top" wrapText="1"/>
    </xf>
    <xf numFmtId="0" fontId="405" fillId="0" borderId="0" xfId="2357" applyFont="1" applyAlignment="1">
      <alignment horizontal="right" vertical="top"/>
    </xf>
    <xf numFmtId="184" fontId="405" fillId="0" borderId="0" xfId="2357" applyNumberFormat="1" applyFont="1" applyAlignment="1">
      <alignment horizontal="left" vertical="top"/>
    </xf>
    <xf numFmtId="0" fontId="405" fillId="0" borderId="0" xfId="2357" applyFont="1" applyAlignment="1">
      <alignment horizontal="left" vertical="top"/>
    </xf>
    <xf numFmtId="0" fontId="216" fillId="0" borderId="1" xfId="598" applyFont="1" applyBorder="1" applyAlignment="1">
      <alignment horizontal="left" vertical="top"/>
    </xf>
    <xf numFmtId="0" fontId="216" fillId="0" borderId="1" xfId="598" applyFont="1" applyBorder="1" applyAlignment="1">
      <alignment horizontal="left" vertical="top" wrapText="1"/>
    </xf>
    <xf numFmtId="0" fontId="219" fillId="0" borderId="6" xfId="187" applyFont="1" applyBorder="1" applyAlignment="1">
      <alignment horizontal="left" vertical="top" wrapText="1"/>
    </xf>
    <xf numFmtId="0" fontId="219" fillId="0" borderId="0" xfId="187" applyFont="1" applyAlignment="1">
      <alignment horizontal="left" vertical="top" wrapText="1"/>
    </xf>
    <xf numFmtId="0" fontId="219" fillId="0" borderId="25" xfId="187" applyFont="1" applyBorder="1" applyAlignment="1">
      <alignment horizontal="left" vertical="top" wrapText="1"/>
    </xf>
    <xf numFmtId="0" fontId="93" fillId="0" borderId="86" xfId="0" applyFont="1" applyBorder="1" applyAlignment="1">
      <alignment horizontal="left" vertical="top" wrapText="1"/>
    </xf>
    <xf numFmtId="0" fontId="216" fillId="0" borderId="87" xfId="0" applyFont="1" applyBorder="1" applyAlignment="1">
      <alignment horizontal="left"/>
    </xf>
    <xf numFmtId="0" fontId="216" fillId="0" borderId="90" xfId="0" applyFont="1" applyBorder="1" applyAlignment="1">
      <alignment horizontal="left"/>
    </xf>
    <xf numFmtId="0" fontId="216" fillId="0" borderId="4" xfId="598" applyFont="1" applyBorder="1" applyAlignment="1">
      <alignment horizontal="left" vertical="top"/>
    </xf>
    <xf numFmtId="0" fontId="216" fillId="0" borderId="10" xfId="598" applyFont="1" applyBorder="1" applyAlignment="1">
      <alignment horizontal="left" vertical="top"/>
    </xf>
    <xf numFmtId="0" fontId="216" fillId="0" borderId="5" xfId="598" applyFont="1" applyBorder="1" applyAlignment="1">
      <alignment horizontal="left" vertical="top"/>
    </xf>
    <xf numFmtId="0" fontId="160" fillId="0" borderId="0" xfId="598" applyFont="1" applyAlignment="1">
      <alignment horizontal="center" vertical="top"/>
    </xf>
    <xf numFmtId="0" fontId="160" fillId="0" borderId="5" xfId="598" applyFont="1" applyBorder="1" applyAlignment="1">
      <alignment horizontal="center" vertical="center"/>
    </xf>
    <xf numFmtId="0" fontId="160" fillId="0" borderId="1" xfId="598" applyFont="1" applyBorder="1" applyAlignment="1">
      <alignment horizontal="center" vertical="center"/>
    </xf>
    <xf numFmtId="0" fontId="219" fillId="0" borderId="5" xfId="598" applyFont="1" applyBorder="1" applyAlignment="1">
      <alignment horizontal="center" vertical="top"/>
    </xf>
    <xf numFmtId="0" fontId="219" fillId="0" borderId="1" xfId="598" applyFont="1" applyBorder="1" applyAlignment="1">
      <alignment horizontal="center" vertical="top"/>
    </xf>
    <xf numFmtId="184" fontId="216" fillId="0" borderId="1" xfId="598" applyNumberFormat="1" applyFont="1" applyBorder="1" applyAlignment="1">
      <alignment horizontal="justify" vertical="top" wrapText="1"/>
    </xf>
    <xf numFmtId="0" fontId="216" fillId="0" borderId="1" xfId="598" applyFont="1" applyBorder="1" applyAlignment="1">
      <alignment horizontal="justify" vertical="top" wrapText="1"/>
    </xf>
    <xf numFmtId="0" fontId="216" fillId="0" borderId="1" xfId="598" applyFont="1" applyBorder="1" applyAlignment="1">
      <alignment vertical="center" wrapText="1"/>
    </xf>
    <xf numFmtId="0" fontId="160" fillId="0" borderId="1" xfId="598" applyFont="1" applyBorder="1" applyAlignment="1">
      <alignment horizontal="left" vertical="top"/>
    </xf>
    <xf numFmtId="0" fontId="216" fillId="0" borderId="84" xfId="0" applyFont="1" applyBorder="1" applyAlignment="1">
      <alignment vertical="center" wrapText="1"/>
    </xf>
    <xf numFmtId="0" fontId="221" fillId="0" borderId="85" xfId="0" applyFont="1" applyBorder="1"/>
    <xf numFmtId="0" fontId="221" fillId="0" borderId="89" xfId="0" applyFont="1" applyBorder="1"/>
    <xf numFmtId="0" fontId="216" fillId="0" borderId="11" xfId="598" applyFont="1" applyBorder="1" applyAlignment="1">
      <alignment horizontal="center" vertical="top" wrapText="1"/>
    </xf>
    <xf numFmtId="0" fontId="216" fillId="0" borderId="12" xfId="598" applyFont="1" applyBorder="1" applyAlignment="1">
      <alignment horizontal="center" vertical="top" wrapText="1"/>
    </xf>
    <xf numFmtId="0" fontId="216" fillId="0" borderId="12" xfId="598" quotePrefix="1" applyFont="1" applyBorder="1" applyAlignment="1">
      <alignment horizontal="center" vertical="top" wrapText="1"/>
    </xf>
    <xf numFmtId="0" fontId="216" fillId="0" borderId="24" xfId="598" applyFont="1" applyBorder="1" applyAlignment="1">
      <alignment horizontal="center" vertical="top" wrapText="1"/>
    </xf>
    <xf numFmtId="206" fontId="216" fillId="0" borderId="1" xfId="598" applyNumberFormat="1" applyFont="1" applyBorder="1" applyAlignment="1">
      <alignment horizontal="left" vertical="top"/>
    </xf>
    <xf numFmtId="0" fontId="216" fillId="0" borderId="7" xfId="598" applyFont="1" applyBorder="1" applyAlignment="1">
      <alignment horizontal="left" vertical="top"/>
    </xf>
    <xf numFmtId="165" fontId="216" fillId="0" borderId="7" xfId="598" applyNumberFormat="1" applyFont="1" applyBorder="1" applyAlignment="1">
      <alignment horizontal="left" vertical="top"/>
    </xf>
    <xf numFmtId="0" fontId="160" fillId="0" borderId="4" xfId="598" applyFont="1" applyBorder="1" applyAlignment="1">
      <alignment horizontal="left" vertical="top"/>
    </xf>
    <xf numFmtId="0" fontId="160" fillId="0" borderId="10" xfId="598" applyFont="1" applyBorder="1" applyAlignment="1">
      <alignment horizontal="left" vertical="top"/>
    </xf>
    <xf numFmtId="0" fontId="160" fillId="0" borderId="5" xfId="598" applyFont="1" applyBorder="1" applyAlignment="1">
      <alignment horizontal="left" vertical="top"/>
    </xf>
    <xf numFmtId="0" fontId="216" fillId="4" borderId="11" xfId="598" applyFont="1" applyFill="1" applyBorder="1" applyAlignment="1">
      <alignment horizontal="center" vertical="top" wrapText="1"/>
    </xf>
    <xf numFmtId="0" fontId="216" fillId="4" borderId="12" xfId="598" applyFont="1" applyFill="1" applyBorder="1" applyAlignment="1">
      <alignment horizontal="center" vertical="top" wrapText="1"/>
    </xf>
    <xf numFmtId="0" fontId="216" fillId="4" borderId="4" xfId="598" applyFont="1" applyFill="1" applyBorder="1" applyAlignment="1">
      <alignment horizontal="center" vertical="top" wrapText="1"/>
    </xf>
    <xf numFmtId="0" fontId="216" fillId="4" borderId="10" xfId="598" applyFont="1" applyFill="1" applyBorder="1" applyAlignment="1">
      <alignment horizontal="center" vertical="top" wrapText="1"/>
    </xf>
    <xf numFmtId="0" fontId="216" fillId="4" borderId="5" xfId="598" applyFont="1" applyFill="1" applyBorder="1" applyAlignment="1">
      <alignment horizontal="center" vertical="top" wrapText="1"/>
    </xf>
    <xf numFmtId="0" fontId="216" fillId="0" borderId="1" xfId="2833" applyFont="1" applyBorder="1" applyAlignment="1">
      <alignment horizontal="left" vertical="center" wrapText="1"/>
    </xf>
    <xf numFmtId="0" fontId="216" fillId="4" borderId="1" xfId="2833" applyFont="1" applyFill="1" applyBorder="1" applyAlignment="1">
      <alignment horizontal="center" vertical="center" wrapText="1"/>
    </xf>
    <xf numFmtId="0" fontId="216" fillId="0" borderId="1" xfId="2833" applyFont="1" applyBorder="1" applyAlignment="1">
      <alignment horizontal="center" vertical="center" wrapText="1"/>
    </xf>
    <xf numFmtId="0" fontId="216" fillId="4" borderId="1" xfId="598" applyFont="1" applyFill="1" applyBorder="1" applyAlignment="1">
      <alignment horizontal="center" vertical="center"/>
    </xf>
    <xf numFmtId="0" fontId="216" fillId="4" borderId="1" xfId="598" applyFont="1" applyFill="1" applyBorder="1" applyAlignment="1">
      <alignment horizontal="center" vertical="top" wrapText="1"/>
    </xf>
    <xf numFmtId="0" fontId="216" fillId="4" borderId="4" xfId="598" applyFont="1" applyFill="1" applyBorder="1" applyAlignment="1">
      <alignment horizontal="center" vertical="top"/>
    </xf>
    <xf numFmtId="0" fontId="216" fillId="4" borderId="10" xfId="598" applyFont="1" applyFill="1" applyBorder="1" applyAlignment="1">
      <alignment horizontal="center" vertical="top"/>
    </xf>
    <xf numFmtId="0" fontId="216" fillId="4" borderId="5" xfId="598" applyFont="1" applyFill="1" applyBorder="1" applyAlignment="1">
      <alignment horizontal="center" vertical="top"/>
    </xf>
    <xf numFmtId="0" fontId="160" fillId="4" borderId="4" xfId="598" applyFont="1" applyFill="1" applyBorder="1" applyAlignment="1">
      <alignment horizontal="center" vertical="center"/>
    </xf>
    <xf numFmtId="0" fontId="160" fillId="4" borderId="5" xfId="598" applyFont="1" applyFill="1" applyBorder="1" applyAlignment="1">
      <alignment horizontal="center" vertical="center"/>
    </xf>
    <xf numFmtId="0" fontId="216" fillId="3" borderId="4" xfId="598" applyFont="1" applyFill="1" applyBorder="1" applyAlignment="1">
      <alignment horizontal="justify" vertical="top" wrapText="1"/>
    </xf>
    <xf numFmtId="0" fontId="216" fillId="3" borderId="10" xfId="598" applyFont="1" applyFill="1" applyBorder="1" applyAlignment="1">
      <alignment horizontal="justify" vertical="top" wrapText="1"/>
    </xf>
    <xf numFmtId="0" fontId="216" fillId="3" borderId="5" xfId="598" applyFont="1" applyFill="1" applyBorder="1" applyAlignment="1">
      <alignment horizontal="justify" vertical="top" wrapText="1"/>
    </xf>
    <xf numFmtId="0" fontId="160" fillId="4" borderId="1" xfId="598" applyFont="1" applyFill="1" applyBorder="1" applyAlignment="1">
      <alignment horizontal="center" vertical="center"/>
    </xf>
    <xf numFmtId="0" fontId="216" fillId="4" borderId="4" xfId="598" applyFont="1" applyFill="1" applyBorder="1" applyAlignment="1">
      <alignment horizontal="center" vertical="center" wrapText="1"/>
    </xf>
    <xf numFmtId="0" fontId="216" fillId="4" borderId="10" xfId="598" applyFont="1" applyFill="1" applyBorder="1" applyAlignment="1">
      <alignment horizontal="center" vertical="center" wrapText="1"/>
    </xf>
    <xf numFmtId="0" fontId="216" fillId="4" borderId="5" xfId="598" applyFont="1" applyFill="1" applyBorder="1" applyAlignment="1">
      <alignment horizontal="center" vertical="center" wrapText="1"/>
    </xf>
    <xf numFmtId="0" fontId="216" fillId="4" borderId="1" xfId="598" applyFont="1" applyFill="1" applyBorder="1" applyAlignment="1">
      <alignment vertical="top"/>
    </xf>
    <xf numFmtId="0" fontId="216" fillId="4" borderId="1" xfId="598" applyFont="1" applyFill="1" applyBorder="1" applyAlignment="1">
      <alignment horizontal="center" vertical="top"/>
    </xf>
    <xf numFmtId="0" fontId="160" fillId="0" borderId="1" xfId="2833" applyFont="1" applyBorder="1" applyAlignment="1">
      <alignment horizontal="left" vertical="justify"/>
    </xf>
    <xf numFmtId="0" fontId="160" fillId="0" borderId="1" xfId="2833" applyFont="1" applyBorder="1" applyAlignment="1">
      <alignment horizontal="center" vertical="justify"/>
    </xf>
    <xf numFmtId="0" fontId="216" fillId="0" borderId="4" xfId="2833" applyFont="1" applyBorder="1" applyAlignment="1">
      <alignment horizontal="center" vertical="justify"/>
    </xf>
    <xf numFmtId="0" fontId="216" fillId="0" borderId="10" xfId="2833" applyFont="1" applyBorder="1" applyAlignment="1">
      <alignment horizontal="center" vertical="justify"/>
    </xf>
    <xf numFmtId="0" fontId="216" fillId="0" borderId="5" xfId="2833" applyFont="1" applyBorder="1" applyAlignment="1">
      <alignment horizontal="center" vertical="justify"/>
    </xf>
    <xf numFmtId="0" fontId="222" fillId="3" borderId="1" xfId="598" applyFont="1" applyFill="1" applyBorder="1" applyAlignment="1">
      <alignment horizontal="center" vertical="top"/>
    </xf>
    <xf numFmtId="0" fontId="157" fillId="4" borderId="4" xfId="598" applyFont="1" applyFill="1" applyBorder="1" applyAlignment="1">
      <alignment horizontal="left" vertical="center" wrapText="1"/>
    </xf>
    <xf numFmtId="0" fontId="157" fillId="4" borderId="10" xfId="598" applyFont="1" applyFill="1" applyBorder="1" applyAlignment="1">
      <alignment horizontal="left" vertical="center" wrapText="1"/>
    </xf>
    <xf numFmtId="0" fontId="157" fillId="4" borderId="5" xfId="598" applyFont="1" applyFill="1" applyBorder="1" applyAlignment="1">
      <alignment horizontal="left" vertical="center" wrapText="1"/>
    </xf>
    <xf numFmtId="0" fontId="106" fillId="0" borderId="1" xfId="0" applyFont="1" applyBorder="1" applyAlignment="1">
      <alignment horizontal="center" vertical="center" wrapText="1"/>
    </xf>
    <xf numFmtId="0" fontId="224" fillId="0" borderId="1" xfId="0" applyFont="1" applyBorder="1" applyAlignment="1">
      <alignment horizontal="center" vertical="center" wrapText="1"/>
    </xf>
    <xf numFmtId="0" fontId="224" fillId="0" borderId="4" xfId="0" applyFont="1" applyBorder="1" applyAlignment="1">
      <alignment horizontal="center" vertical="center" wrapText="1"/>
    </xf>
    <xf numFmtId="0" fontId="224" fillId="0" borderId="5" xfId="0" applyFont="1" applyBorder="1" applyAlignment="1">
      <alignment horizontal="center" vertical="center" wrapText="1"/>
    </xf>
    <xf numFmtId="0" fontId="26" fillId="4" borderId="0" xfId="3751" applyFont="1" applyFill="1" applyAlignment="1">
      <alignment horizontal="center" vertical="center" wrapText="1"/>
    </xf>
    <xf numFmtId="1" fontId="5" fillId="4" borderId="1" xfId="3751" applyNumberFormat="1" applyFont="1" applyFill="1" applyBorder="1" applyAlignment="1">
      <alignment horizontal="center" vertical="center" wrapText="1"/>
    </xf>
    <xf numFmtId="0" fontId="160" fillId="4" borderId="4" xfId="598" applyFont="1" applyFill="1" applyBorder="1" applyAlignment="1">
      <alignment horizontal="left" vertical="center"/>
    </xf>
    <xf numFmtId="0" fontId="160" fillId="4" borderId="10" xfId="598" applyFont="1" applyFill="1" applyBorder="1" applyAlignment="1">
      <alignment horizontal="left" vertical="center"/>
    </xf>
    <xf numFmtId="0" fontId="160" fillId="4" borderId="5" xfId="598" applyFont="1" applyFill="1" applyBorder="1" applyAlignment="1">
      <alignment horizontal="left" vertical="center"/>
    </xf>
    <xf numFmtId="0" fontId="216" fillId="4" borderId="4" xfId="598" applyFont="1" applyFill="1" applyBorder="1" applyAlignment="1">
      <alignment horizontal="center" vertical="center"/>
    </xf>
    <xf numFmtId="0" fontId="216" fillId="4" borderId="10" xfId="598" applyFont="1" applyFill="1" applyBorder="1" applyAlignment="1">
      <alignment horizontal="center" vertical="center"/>
    </xf>
    <xf numFmtId="0" fontId="216" fillId="4" borderId="5" xfId="598" applyFont="1" applyFill="1" applyBorder="1" applyAlignment="1">
      <alignment horizontal="center" vertical="center"/>
    </xf>
    <xf numFmtId="1" fontId="216" fillId="4" borderId="4" xfId="598" applyNumberFormat="1" applyFont="1" applyFill="1" applyBorder="1" applyAlignment="1">
      <alignment horizontal="left" vertical="center" wrapText="1"/>
    </xf>
    <xf numFmtId="0" fontId="216" fillId="4" borderId="5" xfId="598" applyFont="1" applyFill="1" applyBorder="1" applyAlignment="1">
      <alignment horizontal="left" vertical="center" wrapText="1"/>
    </xf>
    <xf numFmtId="0" fontId="216" fillId="4" borderId="1" xfId="598" applyFont="1" applyFill="1" applyBorder="1" applyAlignment="1">
      <alignment horizontal="center" vertical="center" wrapText="1"/>
    </xf>
    <xf numFmtId="0" fontId="160" fillId="0" borderId="10" xfId="598" applyFont="1" applyBorder="1" applyAlignment="1">
      <alignment horizontal="left" vertical="center" wrapText="1"/>
    </xf>
    <xf numFmtId="0" fontId="160" fillId="0" borderId="5" xfId="598" applyFont="1" applyBorder="1" applyAlignment="1">
      <alignment horizontal="left" vertical="center" wrapText="1"/>
    </xf>
    <xf numFmtId="0" fontId="160" fillId="0" borderId="0" xfId="2833" applyFont="1" applyAlignment="1">
      <alignment horizontal="left" vertical="center"/>
    </xf>
    <xf numFmtId="0" fontId="160" fillId="0" borderId="0" xfId="2833" applyFont="1" applyAlignment="1">
      <alignment horizontal="center" vertical="center"/>
    </xf>
    <xf numFmtId="0" fontId="216" fillId="0" borderId="0" xfId="2833" applyFont="1" applyAlignment="1">
      <alignment horizontal="center" vertical="center"/>
    </xf>
    <xf numFmtId="0" fontId="225" fillId="0" borderId="11" xfId="598" applyFont="1" applyBorder="1" applyAlignment="1">
      <alignment horizontal="center" vertical="center" wrapText="1"/>
    </xf>
    <xf numFmtId="0" fontId="225" fillId="0" borderId="12" xfId="598" applyFont="1" applyBorder="1" applyAlignment="1">
      <alignment horizontal="center" vertical="center" wrapText="1"/>
    </xf>
    <xf numFmtId="0" fontId="225" fillId="0" borderId="24" xfId="598" applyFont="1" applyBorder="1" applyAlignment="1">
      <alignment horizontal="center" vertical="center" wrapText="1"/>
    </xf>
    <xf numFmtId="0" fontId="225" fillId="0" borderId="1" xfId="598" applyFont="1" applyBorder="1" applyAlignment="1">
      <alignment horizontal="center" vertical="center" wrapText="1"/>
    </xf>
    <xf numFmtId="0" fontId="225" fillId="0" borderId="3" xfId="598" applyFont="1" applyBorder="1" applyAlignment="1">
      <alignment horizontal="center" vertical="center" wrapText="1"/>
    </xf>
    <xf numFmtId="0" fontId="225" fillId="0" borderId="9" xfId="598" applyFont="1" applyBorder="1" applyAlignment="1">
      <alignment horizontal="center" vertical="center" wrapText="1"/>
    </xf>
    <xf numFmtId="0" fontId="225" fillId="0" borderId="15" xfId="598" applyFont="1" applyBorder="1" applyAlignment="1">
      <alignment horizontal="center" vertical="center" wrapText="1"/>
    </xf>
    <xf numFmtId="0" fontId="218" fillId="0" borderId="4" xfId="598" applyFont="1" applyBorder="1" applyAlignment="1">
      <alignment horizontal="left" vertical="top" wrapText="1"/>
    </xf>
    <xf numFmtId="0" fontId="218" fillId="0" borderId="10" xfId="598" applyFont="1" applyBorder="1" applyAlignment="1">
      <alignment horizontal="left" vertical="top" wrapText="1"/>
    </xf>
    <xf numFmtId="0" fontId="218" fillId="0" borderId="5" xfId="598" applyFont="1" applyBorder="1" applyAlignment="1">
      <alignment horizontal="left" vertical="top" wrapText="1"/>
    </xf>
    <xf numFmtId="0" fontId="4" fillId="0" borderId="4" xfId="598" applyFont="1" applyBorder="1" applyAlignment="1">
      <alignment horizontal="left" vertical="top" wrapText="1"/>
    </xf>
    <xf numFmtId="0" fontId="4" fillId="0" borderId="10" xfId="598" applyFont="1" applyBorder="1" applyAlignment="1">
      <alignment horizontal="left" vertical="top" wrapText="1"/>
    </xf>
    <xf numFmtId="0" fontId="4" fillId="0" borderId="5" xfId="598" applyFont="1" applyBorder="1" applyAlignment="1">
      <alignment horizontal="left" vertical="top" wrapText="1"/>
    </xf>
    <xf numFmtId="0" fontId="233" fillId="0" borderId="11" xfId="598" applyFont="1" applyBorder="1" applyAlignment="1">
      <alignment horizontal="center" vertical="center" wrapText="1"/>
    </xf>
    <xf numFmtId="0" fontId="233" fillId="0" borderId="24" xfId="598" applyFont="1" applyBorder="1" applyAlignment="1">
      <alignment horizontal="center" vertical="center" wrapText="1"/>
    </xf>
    <xf numFmtId="0" fontId="225" fillId="0" borderId="4" xfId="598" applyFont="1" applyBorder="1" applyAlignment="1">
      <alignment horizontal="left" vertical="top" wrapText="1"/>
    </xf>
    <xf numFmtId="0" fontId="225" fillId="0" borderId="10" xfId="598" applyFont="1" applyBorder="1" applyAlignment="1">
      <alignment horizontal="left" vertical="top" wrapText="1"/>
    </xf>
    <xf numFmtId="0" fontId="225" fillId="0" borderId="5" xfId="598" applyFont="1" applyBorder="1" applyAlignment="1">
      <alignment horizontal="left" vertical="top" wrapText="1"/>
    </xf>
    <xf numFmtId="2" fontId="4" fillId="0" borderId="1" xfId="598" applyNumberFormat="1" applyFont="1" applyBorder="1" applyAlignment="1">
      <alignment horizontal="left" vertical="center" wrapText="1"/>
    </xf>
    <xf numFmtId="0" fontId="225" fillId="0" borderId="4" xfId="598" applyFont="1" applyBorder="1" applyAlignment="1">
      <alignment horizontal="center" vertical="center"/>
    </xf>
    <xf numFmtId="0" fontId="225" fillId="0" borderId="10" xfId="598" applyFont="1" applyBorder="1" applyAlignment="1">
      <alignment horizontal="center" vertical="center"/>
    </xf>
    <xf numFmtId="0" fontId="225" fillId="0" borderId="5" xfId="598" applyFont="1" applyBorder="1" applyAlignment="1">
      <alignment horizontal="center" vertical="center"/>
    </xf>
    <xf numFmtId="0" fontId="218" fillId="0" borderId="4" xfId="598" applyFont="1" applyBorder="1" applyAlignment="1">
      <alignment horizontal="left" vertical="center" wrapText="1"/>
    </xf>
    <xf numFmtId="0" fontId="218" fillId="0" borderId="10" xfId="598" applyFont="1" applyBorder="1" applyAlignment="1">
      <alignment horizontal="left" vertical="center" wrapText="1"/>
    </xf>
    <xf numFmtId="0" fontId="218" fillId="0" borderId="5" xfId="598" applyFont="1" applyBorder="1" applyAlignment="1">
      <alignment horizontal="left" vertical="center" wrapText="1"/>
    </xf>
    <xf numFmtId="1" fontId="225" fillId="0" borderId="4" xfId="598" applyNumberFormat="1" applyFont="1" applyBorder="1" applyAlignment="1">
      <alignment horizontal="center" vertical="center"/>
    </xf>
    <xf numFmtId="1" fontId="225" fillId="0" borderId="10" xfId="598" applyNumberFormat="1" applyFont="1" applyBorder="1" applyAlignment="1">
      <alignment horizontal="center" vertical="center"/>
    </xf>
    <xf numFmtId="1" fontId="225" fillId="0" borderId="5" xfId="598" applyNumberFormat="1" applyFont="1" applyBorder="1" applyAlignment="1">
      <alignment horizontal="center" vertical="center"/>
    </xf>
    <xf numFmtId="0" fontId="233" fillId="0" borderId="0" xfId="598" applyFont="1" applyAlignment="1">
      <alignment horizontal="right" vertical="top" wrapText="1"/>
    </xf>
    <xf numFmtId="0" fontId="122" fillId="0" borderId="0" xfId="598" applyFont="1" applyAlignment="1">
      <alignment horizontal="left" vertical="center" wrapText="1"/>
    </xf>
    <xf numFmtId="0" fontId="122" fillId="0" borderId="25" xfId="598" applyFont="1" applyBorder="1" applyAlignment="1">
      <alignment horizontal="left" vertical="center" wrapText="1"/>
    </xf>
    <xf numFmtId="0" fontId="216" fillId="0" borderId="12" xfId="598" applyFont="1" applyBorder="1" applyAlignment="1">
      <alignment horizontal="left" vertical="top" wrapText="1"/>
    </xf>
    <xf numFmtId="0" fontId="216" fillId="0" borderId="9" xfId="598" applyFont="1" applyBorder="1" applyAlignment="1">
      <alignment horizontal="left" vertical="top"/>
    </xf>
    <xf numFmtId="0" fontId="94" fillId="0" borderId="9" xfId="598" applyFont="1" applyBorder="1" applyAlignment="1">
      <alignment horizontal="center" vertical="top"/>
    </xf>
    <xf numFmtId="0" fontId="160" fillId="0" borderId="9" xfId="598" applyFont="1" applyBorder="1" applyAlignment="1">
      <alignment horizontal="center" vertical="top"/>
    </xf>
    <xf numFmtId="0" fontId="160" fillId="0" borderId="1" xfId="598" applyFont="1" applyBorder="1" applyAlignment="1">
      <alignment horizontal="center" vertical="top"/>
    </xf>
    <xf numFmtId="49" fontId="225" fillId="0" borderId="1" xfId="598" applyNumberFormat="1" applyFont="1" applyBorder="1" applyAlignment="1">
      <alignment horizontal="center" vertical="top" wrapText="1"/>
    </xf>
    <xf numFmtId="2" fontId="216" fillId="0" borderId="1" xfId="598" applyNumberFormat="1" applyFont="1" applyBorder="1" applyAlignment="1">
      <alignment horizontal="center" vertical="top"/>
    </xf>
    <xf numFmtId="0" fontId="216" fillId="0" borderId="1" xfId="598" applyFont="1" applyBorder="1" applyAlignment="1">
      <alignment horizontal="center" vertical="top"/>
    </xf>
    <xf numFmtId="2" fontId="216" fillId="0" borderId="4" xfId="598" applyNumberFormat="1" applyFont="1" applyBorder="1" applyAlignment="1">
      <alignment horizontal="center" vertical="top" wrapText="1"/>
    </xf>
    <xf numFmtId="0" fontId="216" fillId="0" borderId="5" xfId="598" applyFont="1" applyBorder="1" applyAlignment="1">
      <alignment horizontal="center" vertical="top" wrapText="1"/>
    </xf>
    <xf numFmtId="0" fontId="216" fillId="0" borderId="4" xfId="598" applyFont="1" applyBorder="1" applyAlignment="1">
      <alignment horizontal="left" vertical="top" wrapText="1"/>
    </xf>
    <xf numFmtId="0" fontId="216" fillId="0" borderId="10" xfId="598" applyFont="1" applyBorder="1" applyAlignment="1">
      <alignment horizontal="left" vertical="top" wrapText="1"/>
    </xf>
    <xf numFmtId="0" fontId="216" fillId="0" borderId="5" xfId="598" applyFont="1" applyBorder="1" applyAlignment="1">
      <alignment horizontal="left" vertical="top" wrapText="1"/>
    </xf>
    <xf numFmtId="0" fontId="218" fillId="0" borderId="1" xfId="598" applyFont="1" applyBorder="1" applyAlignment="1">
      <alignment horizontal="left" vertical="top"/>
    </xf>
    <xf numFmtId="168" fontId="216" fillId="0" borderId="4" xfId="598" applyNumberFormat="1" applyFont="1" applyBorder="1" applyAlignment="1">
      <alignment horizontal="center" vertical="top" wrapText="1"/>
    </xf>
    <xf numFmtId="168" fontId="216" fillId="0" borderId="5" xfId="598" applyNumberFormat="1" applyFont="1" applyBorder="1" applyAlignment="1">
      <alignment horizontal="center" vertical="top" wrapText="1"/>
    </xf>
    <xf numFmtId="2" fontId="216" fillId="0" borderId="4" xfId="598" quotePrefix="1" applyNumberFormat="1" applyFont="1" applyBorder="1" applyAlignment="1">
      <alignment horizontal="center" vertical="top" wrapText="1"/>
    </xf>
    <xf numFmtId="0" fontId="216" fillId="0" borderId="1" xfId="598" quotePrefix="1" applyFont="1" applyBorder="1" applyAlignment="1">
      <alignment horizontal="center" vertical="top"/>
    </xf>
    <xf numFmtId="208" fontId="216" fillId="0" borderId="4" xfId="598" applyNumberFormat="1" applyFont="1" applyBorder="1" applyAlignment="1">
      <alignment horizontal="left" vertical="top"/>
    </xf>
    <xf numFmtId="208" fontId="216" fillId="0" borderId="5" xfId="598" applyNumberFormat="1" applyFont="1" applyBorder="1" applyAlignment="1">
      <alignment horizontal="left" vertical="top"/>
    </xf>
    <xf numFmtId="9" fontId="216" fillId="0" borderId="1" xfId="3185" applyFont="1" applyBorder="1" applyAlignment="1">
      <alignment horizontal="center" vertical="top"/>
    </xf>
    <xf numFmtId="0" fontId="216" fillId="0" borderId="12" xfId="598" applyFont="1" applyBorder="1" applyAlignment="1">
      <alignment horizontal="justify" vertical="top" wrapText="1"/>
    </xf>
    <xf numFmtId="0" fontId="216" fillId="0" borderId="24" xfId="598" applyFont="1" applyBorder="1" applyAlignment="1">
      <alignment horizontal="justify" vertical="top" wrapText="1"/>
    </xf>
    <xf numFmtId="0" fontId="216" fillId="0" borderId="0" xfId="598" applyFont="1" applyAlignment="1">
      <alignment horizontal="justify" vertical="top" wrapText="1"/>
    </xf>
    <xf numFmtId="0" fontId="340" fillId="4" borderId="0" xfId="4534" applyFont="1" applyFill="1" applyAlignment="1">
      <alignment horizontal="justify" vertical="top" wrapText="1"/>
    </xf>
    <xf numFmtId="0" fontId="340" fillId="0" borderId="0" xfId="4534" applyFont="1" applyAlignment="1">
      <alignment horizontal="justify" vertical="top" wrapText="1"/>
    </xf>
    <xf numFmtId="0" fontId="340" fillId="4" borderId="0" xfId="4534" applyFont="1" applyFill="1" applyAlignment="1">
      <alignment horizontal="left" vertical="top" wrapText="1"/>
    </xf>
    <xf numFmtId="2" fontId="216" fillId="0" borderId="0" xfId="598" applyNumberFormat="1" applyFont="1" applyAlignment="1">
      <alignment horizontal="justify" vertical="top" wrapText="1"/>
    </xf>
    <xf numFmtId="0" fontId="216" fillId="0" borderId="0" xfId="598" applyFont="1" applyAlignment="1">
      <alignment horizontal="justify" vertical="center" wrapText="1"/>
    </xf>
    <xf numFmtId="0" fontId="160" fillId="0" borderId="0" xfId="598" applyFont="1" applyAlignment="1">
      <alignment horizontal="left" vertical="top" wrapText="1"/>
    </xf>
    <xf numFmtId="0" fontId="216" fillId="0" borderId="0" xfId="598" applyFont="1" applyAlignment="1">
      <alignment horizontal="left" vertical="top" wrapText="1"/>
    </xf>
    <xf numFmtId="0" fontId="216" fillId="0" borderId="9" xfId="598" applyFont="1" applyBorder="1" applyAlignment="1">
      <alignment horizontal="right" vertical="top" wrapText="1"/>
    </xf>
    <xf numFmtId="0" fontId="160" fillId="0" borderId="1" xfId="598" applyFont="1" applyBorder="1" applyAlignment="1">
      <alignment horizontal="center" vertical="center" wrapText="1"/>
    </xf>
    <xf numFmtId="0" fontId="216" fillId="0" borderId="1" xfId="598" applyFont="1" applyBorder="1" applyAlignment="1">
      <alignment horizontal="left" vertical="center" wrapText="1"/>
    </xf>
    <xf numFmtId="2" fontId="218" fillId="0" borderId="1" xfId="598" applyNumberFormat="1" applyFont="1" applyBorder="1" applyAlignment="1">
      <alignment horizontal="right" vertical="center"/>
    </xf>
    <xf numFmtId="0" fontId="100" fillId="0" borderId="4" xfId="598" applyFont="1" applyBorder="1" applyAlignment="1">
      <alignment horizontal="left" vertical="center" wrapText="1"/>
    </xf>
    <xf numFmtId="0" fontId="100" fillId="0" borderId="10" xfId="598" applyFont="1" applyBorder="1" applyAlignment="1">
      <alignment horizontal="left" vertical="center" wrapText="1"/>
    </xf>
    <xf numFmtId="0" fontId="100" fillId="0" borderId="5" xfId="598" applyFont="1" applyBorder="1" applyAlignment="1">
      <alignment horizontal="left" vertical="center" wrapText="1"/>
    </xf>
    <xf numFmtId="2" fontId="236" fillId="0" borderId="1" xfId="598" applyNumberFormat="1" applyFont="1" applyBorder="1" applyAlignment="1">
      <alignment horizontal="right" vertical="center"/>
    </xf>
    <xf numFmtId="0" fontId="160" fillId="0" borderId="4" xfId="598" applyFont="1" applyBorder="1" applyAlignment="1">
      <alignment horizontal="right" vertical="center" wrapText="1"/>
    </xf>
    <xf numFmtId="0" fontId="160" fillId="0" borderId="10" xfId="598" applyFont="1" applyBorder="1" applyAlignment="1">
      <alignment horizontal="right" vertical="center" wrapText="1"/>
    </xf>
    <xf numFmtId="0" fontId="160" fillId="0" borderId="5" xfId="598" applyFont="1" applyBorder="1" applyAlignment="1">
      <alignment horizontal="right" vertical="center" wrapText="1"/>
    </xf>
    <xf numFmtId="2" fontId="225" fillId="0" borderId="1" xfId="598" applyNumberFormat="1" applyFont="1" applyBorder="1" applyAlignment="1">
      <alignment horizontal="right" vertical="center"/>
    </xf>
    <xf numFmtId="0" fontId="216" fillId="0" borderId="8" xfId="598" applyFont="1" applyBorder="1" applyAlignment="1">
      <alignment horizontal="center" vertical="top"/>
    </xf>
    <xf numFmtId="0" fontId="160" fillId="0" borderId="7" xfId="598" applyFont="1" applyBorder="1" applyAlignment="1">
      <alignment horizontal="left" vertical="top"/>
    </xf>
    <xf numFmtId="0" fontId="160" fillId="0" borderId="8" xfId="598" applyFont="1" applyBorder="1" applyAlignment="1">
      <alignment horizontal="left" vertical="top"/>
    </xf>
    <xf numFmtId="0" fontId="218" fillId="0" borderId="0" xfId="187" applyFont="1" applyAlignment="1">
      <alignment horizontal="justify" vertical="top" wrapText="1"/>
    </xf>
    <xf numFmtId="0" fontId="218" fillId="0" borderId="0" xfId="187" applyFont="1" applyAlignment="1">
      <alignment horizontal="justify" vertical="center" wrapText="1"/>
    </xf>
    <xf numFmtId="0" fontId="232" fillId="0" borderId="0" xfId="187" applyFont="1" applyAlignment="1">
      <alignment horizontal="justify" vertical="top" wrapText="1"/>
    </xf>
    <xf numFmtId="49" fontId="218" fillId="4" borderId="1" xfId="598" applyNumberFormat="1" applyFont="1" applyFill="1" applyBorder="1" applyAlignment="1">
      <alignment horizontal="center" vertical="top" wrapText="1"/>
    </xf>
    <xf numFmtId="43" fontId="216" fillId="0" borderId="1" xfId="1547" applyFont="1" applyBorder="1" applyAlignment="1">
      <alignment horizontal="center" vertical="top"/>
    </xf>
    <xf numFmtId="0" fontId="93" fillId="0" borderId="0" xfId="598" applyFont="1" applyAlignment="1">
      <alignment horizontal="justify" vertical="top" wrapText="1"/>
    </xf>
    <xf numFmtId="0" fontId="225" fillId="0" borderId="0" xfId="187" applyFont="1" applyAlignment="1">
      <alignment horizontal="center" vertical="center"/>
    </xf>
    <xf numFmtId="0" fontId="225" fillId="0" borderId="0" xfId="187" applyFont="1" applyAlignment="1">
      <alignment horizontal="center" vertical="top"/>
    </xf>
    <xf numFmtId="0" fontId="0" fillId="4" borderId="0" xfId="3751" applyFont="1" applyFill="1" applyAlignment="1">
      <alignment horizontal="center" vertical="center" wrapText="1"/>
    </xf>
    <xf numFmtId="0" fontId="216" fillId="4" borderId="24" xfId="598" applyFont="1" applyFill="1" applyBorder="1" applyAlignment="1">
      <alignment horizontal="center" vertical="top" wrapText="1"/>
    </xf>
    <xf numFmtId="0" fontId="216" fillId="4" borderId="3" xfId="598" applyFont="1" applyFill="1" applyBorder="1" applyAlignment="1">
      <alignment horizontal="center" vertical="top" wrapText="1"/>
    </xf>
    <xf numFmtId="0" fontId="216" fillId="4" borderId="15" xfId="598" applyFont="1" applyFill="1" applyBorder="1" applyAlignment="1">
      <alignment horizontal="center" vertical="top" wrapText="1"/>
    </xf>
    <xf numFmtId="10" fontId="218" fillId="4" borderId="0" xfId="187" applyNumberFormat="1" applyFont="1" applyFill="1" applyAlignment="1">
      <alignment horizontal="justify" vertical="top" wrapText="1"/>
    </xf>
    <xf numFmtId="0" fontId="216" fillId="0" borderId="9" xfId="598" applyFont="1" applyBorder="1" applyAlignment="1">
      <alignment horizontal="left" vertical="top" wrapText="1"/>
    </xf>
    <xf numFmtId="0" fontId="407" fillId="0" borderId="1" xfId="0" applyFont="1" applyBorder="1" applyAlignment="1">
      <alignment horizontal="center" vertical="center"/>
    </xf>
    <xf numFmtId="1" fontId="407" fillId="0" borderId="1" xfId="0" applyNumberFormat="1" applyFont="1" applyBorder="1" applyAlignment="1">
      <alignment horizontal="left" vertical="center" wrapText="1"/>
    </xf>
    <xf numFmtId="0" fontId="407" fillId="0" borderId="1" xfId="0" applyFont="1" applyBorder="1" applyAlignment="1">
      <alignment horizontal="left" vertical="center" wrapText="1"/>
    </xf>
    <xf numFmtId="2" fontId="407" fillId="0" borderId="4" xfId="0" applyNumberFormat="1" applyFont="1" applyBorder="1" applyAlignment="1">
      <alignment horizontal="center" vertical="center" wrapText="1"/>
    </xf>
    <xf numFmtId="2" fontId="407" fillId="0" borderId="5" xfId="0" applyNumberFormat="1" applyFont="1" applyBorder="1" applyAlignment="1">
      <alignment horizontal="center" vertical="center" wrapText="1"/>
    </xf>
    <xf numFmtId="0" fontId="381" fillId="0" borderId="1" xfId="0" applyFont="1" applyBorder="1" applyAlignment="1">
      <alignment horizontal="center" vertical="center"/>
    </xf>
    <xf numFmtId="0" fontId="407" fillId="0" borderId="4" xfId="0" applyFont="1" applyBorder="1" applyAlignment="1">
      <alignment horizontal="center" vertical="center"/>
    </xf>
    <xf numFmtId="0" fontId="407" fillId="0" borderId="10" xfId="0" applyFont="1" applyBorder="1" applyAlignment="1">
      <alignment horizontal="center" vertical="center"/>
    </xf>
    <xf numFmtId="0" fontId="407" fillId="0" borderId="5" xfId="0" applyFont="1" applyBorder="1" applyAlignment="1">
      <alignment horizontal="center" vertical="center"/>
    </xf>
    <xf numFmtId="0" fontId="407" fillId="0" borderId="1" xfId="0" applyFont="1" applyBorder="1" applyAlignment="1">
      <alignment horizontal="left" vertical="center"/>
    </xf>
    <xf numFmtId="0" fontId="407" fillId="0" borderId="1" xfId="0" applyFont="1" applyBorder="1" applyAlignment="1">
      <alignment horizontal="right" vertical="center"/>
    </xf>
    <xf numFmtId="0" fontId="407" fillId="0" borderId="0" xfId="0" applyFont="1" applyAlignment="1">
      <alignment horizontal="left" vertical="top" wrapText="1"/>
    </xf>
    <xf numFmtId="14" fontId="381" fillId="0" borderId="0" xfId="0" applyNumberFormat="1" applyFont="1" applyAlignment="1">
      <alignment horizontal="center" vertical="center" wrapText="1"/>
    </xf>
    <xf numFmtId="0" fontId="381" fillId="0" borderId="0" xfId="0" applyFont="1" applyAlignment="1">
      <alignment horizontal="center" vertical="center" wrapText="1"/>
    </xf>
    <xf numFmtId="0" fontId="381" fillId="0" borderId="0" xfId="0" applyFont="1" applyAlignment="1">
      <alignment vertical="center" wrapText="1"/>
    </xf>
    <xf numFmtId="0" fontId="213" fillId="0" borderId="0" xfId="0" applyFont="1" applyAlignment="1">
      <alignment horizontal="center"/>
    </xf>
    <xf numFmtId="0" fontId="212" fillId="0" borderId="0" xfId="0" applyFont="1" applyAlignment="1">
      <alignment horizontal="left" vertical="center"/>
    </xf>
    <xf numFmtId="0" fontId="212" fillId="0" borderId="0" xfId="0" applyFont="1" applyAlignment="1">
      <alignment horizontal="center" vertical="center"/>
    </xf>
    <xf numFmtId="0" fontId="212" fillId="0" borderId="0" xfId="0" applyFont="1" applyAlignment="1">
      <alignment horizontal="left" vertical="top"/>
    </xf>
    <xf numFmtId="0" fontId="214" fillId="0" borderId="0" xfId="0" applyFont="1" applyAlignment="1">
      <alignment horizontal="left" vertical="top" wrapText="1"/>
    </xf>
    <xf numFmtId="0" fontId="212" fillId="0" borderId="0" xfId="0" applyFont="1"/>
    <xf numFmtId="0" fontId="212" fillId="0" borderId="0" xfId="0" applyFont="1" applyAlignment="1">
      <alignment horizontal="right"/>
    </xf>
    <xf numFmtId="0" fontId="212" fillId="0" borderId="0" xfId="0" applyFont="1" applyAlignment="1">
      <alignment horizontal="left" vertical="top" wrapText="1"/>
    </xf>
    <xf numFmtId="0" fontId="212" fillId="0" borderId="0" xfId="0" applyFont="1" applyAlignment="1">
      <alignment horizontal="left"/>
    </xf>
    <xf numFmtId="0" fontId="212" fillId="0" borderId="0" xfId="0" applyFont="1" applyAlignment="1">
      <alignment horizontal="justify" vertical="top" wrapText="1"/>
    </xf>
    <xf numFmtId="0" fontId="4" fillId="0" borderId="0" xfId="0" applyFont="1" applyAlignment="1">
      <alignment horizontal="left" vertical="center"/>
    </xf>
    <xf numFmtId="0" fontId="383" fillId="0" borderId="0" xfId="3753" applyFont="1" applyAlignment="1">
      <alignment horizontal="center" vertical="center"/>
    </xf>
    <xf numFmtId="0" fontId="382" fillId="0" borderId="0" xfId="3753" applyFont="1" applyAlignment="1">
      <alignment horizontal="right" vertical="center"/>
    </xf>
    <xf numFmtId="0" fontId="382" fillId="0" borderId="0" xfId="3753" applyFont="1" applyAlignment="1">
      <alignment horizontal="left" vertical="center" wrapText="1"/>
    </xf>
    <xf numFmtId="2" fontId="382" fillId="0" borderId="0" xfId="3753" applyNumberFormat="1" applyFont="1" applyAlignment="1">
      <alignment horizontal="center" vertical="center"/>
    </xf>
    <xf numFmtId="0" fontId="371" fillId="4" borderId="0" xfId="3753" applyFont="1" applyFill="1" applyAlignment="1">
      <alignment horizontal="justify" vertical="justify" wrapText="1"/>
    </xf>
    <xf numFmtId="0" fontId="371" fillId="0" borderId="0" xfId="3753" applyFont="1" applyAlignment="1">
      <alignment horizontal="justify" vertical="center" wrapText="1"/>
    </xf>
    <xf numFmtId="0" fontId="371" fillId="3" borderId="0" xfId="3753" applyFont="1" applyFill="1" applyAlignment="1">
      <alignment horizontal="justify" vertical="center" wrapText="1"/>
    </xf>
    <xf numFmtId="0" fontId="379" fillId="0" borderId="0" xfId="3753" applyFont="1" applyAlignment="1">
      <alignment horizontal="left" wrapText="1"/>
    </xf>
    <xf numFmtId="0" fontId="371" fillId="0" borderId="0" xfId="3753" applyFont="1" applyAlignment="1">
      <alignment horizontal="left" wrapText="1"/>
    </xf>
    <xf numFmtId="0" fontId="371" fillId="3" borderId="80" xfId="3753" applyFont="1" applyFill="1" applyBorder="1" applyAlignment="1">
      <alignment horizontal="center" vertical="center"/>
    </xf>
    <xf numFmtId="0" fontId="371" fillId="3" borderId="81" xfId="3753" applyFont="1" applyFill="1" applyBorder="1" applyAlignment="1">
      <alignment horizontal="center" vertical="center"/>
    </xf>
    <xf numFmtId="0" fontId="371" fillId="3" borderId="82" xfId="3753" applyFont="1" applyFill="1" applyBorder="1" applyAlignment="1">
      <alignment horizontal="center" vertical="center"/>
    </xf>
    <xf numFmtId="0" fontId="371" fillId="0" borderId="135" xfId="3753" applyFont="1" applyBorder="1" applyAlignment="1">
      <alignment horizontal="left" vertical="center"/>
    </xf>
    <xf numFmtId="0" fontId="371" fillId="0" borderId="136" xfId="3753" applyFont="1" applyBorder="1" applyAlignment="1">
      <alignment horizontal="left" vertical="center"/>
    </xf>
    <xf numFmtId="0" fontId="371" fillId="0" borderId="137" xfId="3753" applyFont="1" applyBorder="1" applyAlignment="1">
      <alignment horizontal="left" vertical="center"/>
    </xf>
    <xf numFmtId="0" fontId="371" fillId="0" borderId="79" xfId="3753" applyFont="1" applyBorder="1" applyAlignment="1">
      <alignment horizontal="center" vertical="center"/>
    </xf>
    <xf numFmtId="0" fontId="371" fillId="0" borderId="80" xfId="3753" applyFont="1" applyBorder="1" applyAlignment="1">
      <alignment horizontal="center" vertical="center"/>
    </xf>
    <xf numFmtId="0" fontId="371" fillId="0" borderId="82" xfId="3753" applyFont="1" applyBorder="1" applyAlignment="1">
      <alignment horizontal="center" vertical="center"/>
    </xf>
    <xf numFmtId="0" fontId="371" fillId="0" borderId="81" xfId="3753" applyFont="1" applyBorder="1" applyAlignment="1">
      <alignment horizontal="center" vertical="center"/>
    </xf>
    <xf numFmtId="0" fontId="371" fillId="3" borderId="79" xfId="3753" applyFont="1" applyFill="1" applyBorder="1" applyAlignment="1">
      <alignment horizontal="left" vertical="center"/>
    </xf>
    <xf numFmtId="0" fontId="371" fillId="3" borderId="80" xfId="3753" applyFont="1" applyFill="1" applyBorder="1" applyAlignment="1">
      <alignment horizontal="center" vertical="center" wrapText="1"/>
    </xf>
    <xf numFmtId="0" fontId="371" fillId="3" borderId="81" xfId="3753" applyFont="1" applyFill="1" applyBorder="1" applyAlignment="1">
      <alignment horizontal="center" vertical="center" wrapText="1"/>
    </xf>
    <xf numFmtId="0" fontId="371" fillId="3" borderId="82" xfId="3753" applyFont="1" applyFill="1" applyBorder="1" applyAlignment="1">
      <alignment horizontal="center" vertical="center" wrapText="1"/>
    </xf>
    <xf numFmtId="0" fontId="371" fillId="3" borderId="79" xfId="3753" applyFont="1" applyFill="1" applyBorder="1" applyAlignment="1">
      <alignment horizontal="center" vertical="center"/>
    </xf>
    <xf numFmtId="0" fontId="371" fillId="0" borderId="0" xfId="3753" applyFont="1" applyAlignment="1">
      <alignment horizontal="left" vertical="top" wrapText="1"/>
    </xf>
    <xf numFmtId="0" fontId="379" fillId="0" borderId="0" xfId="3753" applyFont="1" applyAlignment="1">
      <alignment horizontal="left" vertical="top" wrapText="1"/>
    </xf>
    <xf numFmtId="0" fontId="379" fillId="0" borderId="83" xfId="3753" applyFont="1" applyBorder="1" applyAlignment="1">
      <alignment horizontal="center" vertical="center"/>
    </xf>
    <xf numFmtId="0" fontId="379" fillId="0" borderId="0" xfId="3753" applyFont="1" applyAlignment="1">
      <alignment horizontal="center" vertical="center"/>
    </xf>
    <xf numFmtId="0" fontId="379" fillId="0" borderId="79" xfId="3753" applyFont="1" applyBorder="1" applyAlignment="1">
      <alignment horizontal="left" vertical="center"/>
    </xf>
    <xf numFmtId="0" fontId="379" fillId="0" borderId="79" xfId="3753" applyFont="1" applyBorder="1" applyAlignment="1">
      <alignment horizontal="center" vertical="center"/>
    </xf>
    <xf numFmtId="0" fontId="379" fillId="0" borderId="80" xfId="3753" applyFont="1" applyBorder="1" applyAlignment="1">
      <alignment horizontal="center" vertical="center"/>
    </xf>
    <xf numFmtId="0" fontId="379" fillId="0" borderId="81" xfId="3753" applyFont="1" applyBorder="1" applyAlignment="1">
      <alignment horizontal="center" vertical="center"/>
    </xf>
    <xf numFmtId="0" fontId="379" fillId="0" borderId="82" xfId="3753" applyFont="1" applyBorder="1" applyAlignment="1">
      <alignment horizontal="center" vertical="center"/>
    </xf>
    <xf numFmtId="2" fontId="371" fillId="0" borderId="0" xfId="3745" applyNumberFormat="1" applyFont="1" applyAlignment="1">
      <alignment horizontal="left" vertical="top" wrapText="1"/>
    </xf>
    <xf numFmtId="0" fontId="371" fillId="0" borderId="0" xfId="3745" applyFont="1" applyAlignment="1">
      <alignment horizontal="left" vertical="top" wrapText="1"/>
    </xf>
    <xf numFmtId="0" fontId="415" fillId="0" borderId="0" xfId="2079" applyFont="1" applyAlignment="1">
      <alignment horizontal="center" vertical="top"/>
    </xf>
    <xf numFmtId="0" fontId="416" fillId="0" borderId="0" xfId="2079" applyFont="1" applyAlignment="1">
      <alignment horizontal="center" vertical="top"/>
    </xf>
    <xf numFmtId="0" fontId="371" fillId="0" borderId="71" xfId="3753" applyFont="1" applyBorder="1" applyAlignment="1">
      <alignment horizontal="center" vertical="center"/>
    </xf>
    <xf numFmtId="0" fontId="371" fillId="0" borderId="75" xfId="3753" applyFont="1" applyBorder="1" applyAlignment="1">
      <alignment horizontal="center" vertical="center"/>
    </xf>
    <xf numFmtId="0" fontId="371" fillId="0" borderId="72" xfId="3753" applyFont="1" applyBorder="1" applyAlignment="1">
      <alignment horizontal="center" vertical="center" wrapText="1"/>
    </xf>
    <xf numFmtId="0" fontId="371" fillId="0" borderId="73" xfId="3753" applyFont="1" applyBorder="1" applyAlignment="1">
      <alignment horizontal="center" vertical="center" wrapText="1"/>
    </xf>
    <xf numFmtId="0" fontId="371" fillId="0" borderId="74" xfId="3753" applyFont="1" applyBorder="1" applyAlignment="1">
      <alignment horizontal="center" vertical="center" wrapText="1"/>
    </xf>
    <xf numFmtId="0" fontId="371" fillId="0" borderId="76" xfId="3753" applyFont="1" applyBorder="1" applyAlignment="1">
      <alignment horizontal="center" vertical="center" wrapText="1"/>
    </xf>
    <xf numFmtId="0" fontId="371" fillId="0" borderId="77" xfId="3753" applyFont="1" applyBorder="1" applyAlignment="1">
      <alignment horizontal="center" vertical="center" wrapText="1"/>
    </xf>
    <xf numFmtId="0" fontId="371" fillId="0" borderId="78" xfId="3753" applyFont="1" applyBorder="1" applyAlignment="1">
      <alignment horizontal="center" vertical="center" wrapText="1"/>
    </xf>
    <xf numFmtId="0" fontId="371" fillId="0" borderId="72" xfId="3753" applyFont="1" applyBorder="1" applyAlignment="1">
      <alignment horizontal="center" vertical="center"/>
    </xf>
    <xf numFmtId="0" fontId="371" fillId="0" borderId="73" xfId="3753" applyFont="1" applyBorder="1" applyAlignment="1">
      <alignment horizontal="center" vertical="center"/>
    </xf>
    <xf numFmtId="0" fontId="371" fillId="0" borderId="74" xfId="3753" applyFont="1" applyBorder="1" applyAlignment="1">
      <alignment horizontal="center" vertical="center"/>
    </xf>
    <xf numFmtId="0" fontId="371" fillId="0" borderId="76" xfId="3753" applyFont="1" applyBorder="1" applyAlignment="1">
      <alignment horizontal="center" vertical="center"/>
    </xf>
    <xf numFmtId="0" fontId="371" fillId="0" borderId="77" xfId="3753" applyFont="1" applyBorder="1" applyAlignment="1">
      <alignment horizontal="center" vertical="center"/>
    </xf>
    <xf numFmtId="0" fontId="371" fillId="0" borderId="78" xfId="3753" applyFont="1" applyBorder="1" applyAlignment="1">
      <alignment horizontal="center" vertical="center"/>
    </xf>
    <xf numFmtId="0" fontId="379" fillId="0" borderId="0" xfId="3753" applyFont="1" applyAlignment="1">
      <alignment horizontal="left" vertical="center" wrapText="1"/>
    </xf>
    <xf numFmtId="0" fontId="208" fillId="0" borderId="11" xfId="0" applyFont="1" applyBorder="1" applyAlignment="1">
      <alignment horizontal="center" vertical="center"/>
    </xf>
    <xf numFmtId="0" fontId="208" fillId="0" borderId="12" xfId="0" applyFont="1" applyBorder="1" applyAlignment="1">
      <alignment horizontal="center" vertical="center"/>
    </xf>
    <xf numFmtId="0" fontId="208" fillId="0" borderId="24" xfId="0" applyFont="1" applyBorder="1" applyAlignment="1">
      <alignment horizontal="center" vertical="center"/>
    </xf>
    <xf numFmtId="0" fontId="105" fillId="28" borderId="10" xfId="0" applyFont="1" applyFill="1" applyBorder="1" applyAlignment="1">
      <alignment horizontal="center" vertical="center" wrapText="1"/>
    </xf>
    <xf numFmtId="0" fontId="103" fillId="0" borderId="0" xfId="0" applyFont="1" applyAlignment="1">
      <alignment horizontal="center"/>
    </xf>
    <xf numFmtId="0" fontId="103" fillId="0" borderId="0" xfId="0" applyFont="1" applyAlignment="1">
      <alignment horizontal="center" vertical="center" textRotation="90"/>
    </xf>
    <xf numFmtId="0" fontId="103" fillId="0" borderId="0" xfId="0" applyFont="1" applyAlignment="1">
      <alignment horizontal="center" vertical="center" textRotation="180"/>
    </xf>
    <xf numFmtId="0" fontId="103" fillId="0" borderId="8" xfId="0" applyFont="1" applyBorder="1" applyAlignment="1">
      <alignment horizontal="center" textRotation="90"/>
    </xf>
    <xf numFmtId="0" fontId="103" fillId="0" borderId="8" xfId="0" applyFont="1" applyBorder="1" applyAlignment="1">
      <alignment horizontal="center" vertical="center" textRotation="180" wrapText="1"/>
    </xf>
    <xf numFmtId="0" fontId="7" fillId="30" borderId="4" xfId="2516" applyFont="1" applyFill="1" applyBorder="1" applyAlignment="1">
      <alignment horizontal="center"/>
    </xf>
    <xf numFmtId="0" fontId="7" fillId="30" borderId="5" xfId="2516" applyFont="1" applyFill="1" applyBorder="1" applyAlignment="1">
      <alignment horizontal="center"/>
    </xf>
    <xf numFmtId="0" fontId="207" fillId="0" borderId="22" xfId="2516" applyFont="1" applyBorder="1" applyAlignment="1">
      <alignment horizontal="center"/>
    </xf>
    <xf numFmtId="0" fontId="207" fillId="0" borderId="0" xfId="2516" applyFont="1" applyAlignment="1">
      <alignment horizontal="center"/>
    </xf>
    <xf numFmtId="0" fontId="57" fillId="0" borderId="0" xfId="2516" applyFont="1" applyAlignment="1">
      <alignment horizontal="left"/>
    </xf>
    <xf numFmtId="0" fontId="7" fillId="28" borderId="0" xfId="2516" applyFont="1" applyFill="1" applyAlignment="1">
      <alignment horizontal="center"/>
    </xf>
    <xf numFmtId="0" fontId="202" fillId="0" borderId="0" xfId="1587" applyFont="1" applyAlignment="1">
      <alignment horizontal="center"/>
    </xf>
    <xf numFmtId="0" fontId="187" fillId="0" borderId="0" xfId="1587" applyFont="1" applyAlignment="1">
      <alignment horizontal="center"/>
    </xf>
    <xf numFmtId="0" fontId="7" fillId="0" borderId="1" xfId="1587" applyFont="1" applyBorder="1" applyAlignment="1">
      <alignment horizontal="center"/>
    </xf>
    <xf numFmtId="0" fontId="6" fillId="0" borderId="11" xfId="1587" applyBorder="1" applyAlignment="1">
      <alignment horizontal="center"/>
    </xf>
    <xf numFmtId="0" fontId="6" fillId="0" borderId="12" xfId="1587" applyBorder="1" applyAlignment="1">
      <alignment horizontal="center"/>
    </xf>
    <xf numFmtId="0" fontId="6" fillId="0" borderId="24" xfId="1587" applyBorder="1" applyAlignment="1">
      <alignment horizontal="center"/>
    </xf>
    <xf numFmtId="0" fontId="7" fillId="0" borderId="11" xfId="1587" applyFont="1" applyBorder="1" applyAlignment="1">
      <alignment horizontal="center"/>
    </xf>
    <xf numFmtId="0" fontId="7" fillId="0" borderId="12" xfId="1587" applyFont="1" applyBorder="1" applyAlignment="1">
      <alignment horizontal="center"/>
    </xf>
    <xf numFmtId="0" fontId="7" fillId="0" borderId="24" xfId="1587" applyFont="1" applyBorder="1" applyAlignment="1">
      <alignment horizontal="center"/>
    </xf>
    <xf numFmtId="0" fontId="0" fillId="0" borderId="11" xfId="1587" applyFont="1" applyBorder="1" applyAlignment="1">
      <alignment horizontal="center"/>
    </xf>
    <xf numFmtId="0" fontId="0" fillId="0" borderId="12" xfId="1587" applyFont="1" applyBorder="1" applyAlignment="1">
      <alignment horizontal="center"/>
    </xf>
    <xf numFmtId="0" fontId="0" fillId="0" borderId="20" xfId="1587" applyFont="1" applyBorder="1" applyAlignment="1">
      <alignment horizontal="center"/>
    </xf>
    <xf numFmtId="0" fontId="0" fillId="0" borderId="21" xfId="1587" applyFont="1" applyBorder="1" applyAlignment="1">
      <alignment horizontal="center"/>
    </xf>
    <xf numFmtId="0" fontId="0" fillId="0" borderId="28" xfId="1587" applyFont="1" applyBorder="1" applyAlignment="1">
      <alignment horizontal="center"/>
    </xf>
    <xf numFmtId="0" fontId="7" fillId="0" borderId="1" xfId="1587" applyFont="1" applyBorder="1" applyAlignment="1">
      <alignment horizontal="center" vertical="center"/>
    </xf>
    <xf numFmtId="0" fontId="7" fillId="0" borderId="24" xfId="1587" applyFont="1" applyBorder="1" applyAlignment="1">
      <alignment horizontal="center" vertical="center" wrapText="1"/>
    </xf>
    <xf numFmtId="0" fontId="7" fillId="0" borderId="15" xfId="1587" applyFont="1" applyBorder="1" applyAlignment="1">
      <alignment horizontal="center" vertical="center" wrapText="1"/>
    </xf>
    <xf numFmtId="0" fontId="10" fillId="0" borderId="4" xfId="1587" applyFont="1" applyBorder="1" applyAlignment="1">
      <alignment horizontal="center" vertical="center" wrapText="1"/>
    </xf>
    <xf numFmtId="0" fontId="10" fillId="0" borderId="10" xfId="1587" applyFont="1" applyBorder="1" applyAlignment="1">
      <alignment horizontal="center" vertical="center" wrapText="1"/>
    </xf>
    <xf numFmtId="0" fontId="10" fillId="0" borderId="5" xfId="1587" applyFont="1" applyBorder="1" applyAlignment="1">
      <alignment horizontal="center" vertical="center" wrapText="1"/>
    </xf>
    <xf numFmtId="0" fontId="10" fillId="0" borderId="1" xfId="1587" applyFont="1" applyBorder="1" applyAlignment="1">
      <alignment horizontal="center" vertical="center" wrapText="1"/>
    </xf>
    <xf numFmtId="0" fontId="6" fillId="0" borderId="0" xfId="1587" applyAlignment="1">
      <alignment horizontal="right"/>
    </xf>
    <xf numFmtId="0" fontId="204" fillId="0" borderId="0" xfId="1587" applyFont="1" applyAlignment="1">
      <alignment horizontal="right"/>
    </xf>
    <xf numFmtId="3" fontId="31" fillId="0" borderId="19" xfId="1587" applyNumberFormat="1" applyFont="1" applyBorder="1" applyAlignment="1">
      <alignment horizontal="center"/>
    </xf>
    <xf numFmtId="3" fontId="31" fillId="0" borderId="31" xfId="1587" applyNumberFormat="1" applyFont="1" applyBorder="1" applyAlignment="1">
      <alignment horizontal="center"/>
    </xf>
    <xf numFmtId="0" fontId="143" fillId="0" borderId="19" xfId="196" applyFont="1" applyBorder="1" applyAlignment="1" applyProtection="1">
      <alignment horizontal="center" vertical="center"/>
      <protection locked="0"/>
    </xf>
    <xf numFmtId="0" fontId="143" fillId="0" borderId="31" xfId="196" applyFont="1" applyBorder="1" applyAlignment="1" applyProtection="1">
      <alignment horizontal="center" vertical="center"/>
      <protection locked="0"/>
    </xf>
    <xf numFmtId="0" fontId="143" fillId="0" borderId="1" xfId="196" applyFont="1" applyBorder="1" applyAlignment="1">
      <alignment horizontal="center" vertical="center"/>
    </xf>
    <xf numFmtId="0" fontId="143" fillId="0" borderId="4" xfId="196" applyFont="1" applyBorder="1" applyAlignment="1" applyProtection="1">
      <alignment horizontal="center" vertical="center" wrapText="1"/>
      <protection locked="0"/>
    </xf>
    <xf numFmtId="0" fontId="143" fillId="0" borderId="57" xfId="196" applyFont="1" applyBorder="1" applyAlignment="1" applyProtection="1">
      <alignment horizontal="center" vertical="center" wrapText="1"/>
      <protection locked="0"/>
    </xf>
    <xf numFmtId="0" fontId="143" fillId="0" borderId="11" xfId="196" applyFont="1" applyBorder="1" applyAlignment="1" applyProtection="1">
      <alignment horizontal="center" vertical="center" wrapText="1"/>
      <protection locked="0"/>
    </xf>
    <xf numFmtId="0" fontId="143" fillId="0" borderId="12" xfId="196" applyFont="1" applyBorder="1" applyAlignment="1" applyProtection="1">
      <alignment horizontal="center" vertical="center" wrapText="1"/>
      <protection locked="0"/>
    </xf>
    <xf numFmtId="0" fontId="143" fillId="0" borderId="1" xfId="196" applyFont="1" applyBorder="1" applyAlignment="1" applyProtection="1">
      <alignment horizontal="center" vertical="center" wrapText="1"/>
      <protection locked="0"/>
    </xf>
    <xf numFmtId="0" fontId="143" fillId="0" borderId="7" xfId="196" applyFont="1" applyBorder="1" applyAlignment="1" applyProtection="1">
      <alignment horizontal="center" vertical="center" wrapText="1"/>
      <protection locked="0"/>
    </xf>
    <xf numFmtId="0" fontId="143" fillId="0" borderId="1" xfId="196" applyFont="1" applyBorder="1" applyAlignment="1" applyProtection="1">
      <alignment horizontal="center" wrapText="1"/>
      <protection locked="0"/>
    </xf>
    <xf numFmtId="0" fontId="143" fillId="0" borderId="4" xfId="196" applyFont="1" applyBorder="1" applyAlignment="1">
      <alignment horizontal="center" vertical="center"/>
    </xf>
    <xf numFmtId="0" fontId="143" fillId="0" borderId="10" xfId="196" applyFont="1" applyBorder="1" applyAlignment="1">
      <alignment horizontal="center" vertical="center"/>
    </xf>
    <xf numFmtId="0" fontId="143" fillId="0" borderId="1" xfId="196" applyFont="1" applyBorder="1" applyAlignment="1">
      <alignment horizontal="center" vertical="center" wrapText="1"/>
    </xf>
    <xf numFmtId="0" fontId="143" fillId="0" borderId="4" xfId="196" applyFont="1" applyBorder="1" applyAlignment="1">
      <alignment horizontal="center" vertical="center" wrapText="1"/>
    </xf>
    <xf numFmtId="0" fontId="143" fillId="0" borderId="10" xfId="196" applyFont="1" applyBorder="1" applyAlignment="1" applyProtection="1">
      <alignment horizontal="center" vertical="center" wrapText="1"/>
      <protection locked="0"/>
    </xf>
    <xf numFmtId="0" fontId="143" fillId="0" borderId="19" xfId="196" applyFont="1" applyBorder="1" applyAlignment="1" applyProtection="1">
      <alignment horizontal="center" vertical="center" wrapText="1"/>
      <protection locked="0"/>
    </xf>
    <xf numFmtId="0" fontId="143" fillId="0" borderId="14" xfId="196" applyFont="1" applyBorder="1" applyAlignment="1" applyProtection="1">
      <alignment horizontal="center" vertical="center" wrapText="1"/>
      <protection locked="0"/>
    </xf>
    <xf numFmtId="0" fontId="143" fillId="0" borderId="31" xfId="196" applyFont="1" applyBorder="1" applyAlignment="1" applyProtection="1">
      <alignment horizontal="center" vertical="center" wrapText="1"/>
      <protection locked="0"/>
    </xf>
    <xf numFmtId="0" fontId="143" fillId="23" borderId="55" xfId="196" applyFont="1" applyFill="1" applyBorder="1" applyAlignment="1">
      <alignment horizontal="center" vertical="center"/>
    </xf>
    <xf numFmtId="0" fontId="143" fillId="23" borderId="8" xfId="196" applyFont="1" applyFill="1" applyBorder="1" applyAlignment="1">
      <alignment horizontal="center" vertical="center"/>
    </xf>
    <xf numFmtId="0" fontId="143" fillId="23" borderId="6" xfId="196" applyFont="1" applyFill="1" applyBorder="1" applyAlignment="1">
      <alignment horizontal="center" vertical="center"/>
    </xf>
    <xf numFmtId="0" fontId="156" fillId="24" borderId="27" xfId="196" applyFont="1" applyFill="1" applyBorder="1" applyAlignment="1">
      <alignment horizontal="center" vertical="center"/>
    </xf>
    <xf numFmtId="0" fontId="156" fillId="24" borderId="50" xfId="196" applyFont="1" applyFill="1" applyBorder="1" applyAlignment="1">
      <alignment horizontal="center" vertical="center"/>
    </xf>
    <xf numFmtId="0" fontId="156" fillId="24" borderId="62" xfId="196" applyFont="1" applyFill="1" applyBorder="1" applyAlignment="1">
      <alignment horizontal="center" vertical="center"/>
    </xf>
    <xf numFmtId="0" fontId="143" fillId="0" borderId="1" xfId="196" applyFont="1" applyBorder="1" applyAlignment="1" applyProtection="1">
      <alignment horizontal="center" vertical="center"/>
      <protection locked="0"/>
    </xf>
    <xf numFmtId="0" fontId="143" fillId="0" borderId="61" xfId="196" applyFont="1" applyBorder="1" applyAlignment="1" applyProtection="1">
      <alignment horizontal="center" vertical="center"/>
      <protection locked="0"/>
    </xf>
    <xf numFmtId="0" fontId="143" fillId="25" borderId="27" xfId="196" applyFont="1" applyFill="1" applyBorder="1" applyAlignment="1">
      <alignment horizontal="center" vertical="center"/>
    </xf>
    <xf numFmtId="0" fontId="143" fillId="25" borderId="50" xfId="196" applyFont="1" applyFill="1" applyBorder="1" applyAlignment="1">
      <alignment horizontal="center" vertical="center"/>
    </xf>
    <xf numFmtId="0" fontId="143" fillId="25" borderId="62" xfId="196" applyFont="1" applyFill="1" applyBorder="1" applyAlignment="1">
      <alignment horizontal="center" vertical="center"/>
    </xf>
    <xf numFmtId="0" fontId="143" fillId="0" borderId="0" xfId="196" applyFont="1" applyAlignment="1" applyProtection="1">
      <alignment horizontal="left" vertical="center" wrapText="1"/>
      <protection locked="0"/>
    </xf>
    <xf numFmtId="0" fontId="6" fillId="0" borderId="0" xfId="2079" applyAlignment="1" applyProtection="1">
      <alignment horizontal="center"/>
      <protection locked="0"/>
    </xf>
    <xf numFmtId="0" fontId="7" fillId="0" borderId="0" xfId="2079" applyFont="1" applyAlignment="1" applyProtection="1">
      <alignment horizontal="center"/>
      <protection locked="0"/>
    </xf>
    <xf numFmtId="0" fontId="4" fillId="0" borderId="29" xfId="196" applyBorder="1" applyAlignment="1" applyProtection="1">
      <alignment horizontal="center"/>
      <protection locked="0"/>
    </xf>
    <xf numFmtId="0" fontId="4" fillId="0" borderId="55" xfId="196" applyBorder="1" applyAlignment="1" applyProtection="1">
      <alignment horizontal="center"/>
      <protection locked="0"/>
    </xf>
    <xf numFmtId="0" fontId="4" fillId="0" borderId="60" xfId="196" applyBorder="1" applyAlignment="1" applyProtection="1">
      <alignment horizontal="center"/>
      <protection locked="0"/>
    </xf>
    <xf numFmtId="0" fontId="143" fillId="0" borderId="4" xfId="196" applyFont="1" applyBorder="1" applyAlignment="1" applyProtection="1">
      <alignment horizontal="center"/>
      <protection locked="0"/>
    </xf>
    <xf numFmtId="0" fontId="143" fillId="0" borderId="10" xfId="196" applyFont="1" applyBorder="1" applyAlignment="1" applyProtection="1">
      <alignment horizontal="center"/>
      <protection locked="0"/>
    </xf>
    <xf numFmtId="0" fontId="4" fillId="0" borderId="27" xfId="196" applyBorder="1" applyAlignment="1">
      <alignment horizontal="center" vertical="center"/>
    </xf>
    <xf numFmtId="0" fontId="4" fillId="0" borderId="50" xfId="196" applyBorder="1" applyAlignment="1">
      <alignment horizontal="center" vertical="center"/>
    </xf>
    <xf numFmtId="0" fontId="4" fillId="0" borderId="62" xfId="196" applyBorder="1" applyAlignment="1">
      <alignment horizontal="center" vertical="center"/>
    </xf>
    <xf numFmtId="0" fontId="143" fillId="0" borderId="2" xfId="196" applyFont="1" applyBorder="1" applyAlignment="1" applyProtection="1">
      <alignment horizontal="center"/>
      <protection locked="0"/>
    </xf>
    <xf numFmtId="0" fontId="143" fillId="0" borderId="3" xfId="196" applyFont="1" applyBorder="1" applyAlignment="1" applyProtection="1">
      <alignment horizontal="center"/>
      <protection locked="0"/>
    </xf>
    <xf numFmtId="0" fontId="143" fillId="0" borderId="1" xfId="196" applyFont="1" applyBorder="1" applyAlignment="1" applyProtection="1">
      <alignment horizontal="center"/>
      <protection locked="0"/>
    </xf>
    <xf numFmtId="0" fontId="143" fillId="0" borderId="0" xfId="196" applyFont="1" applyAlignment="1">
      <alignment horizontal="center"/>
    </xf>
    <xf numFmtId="0" fontId="143" fillId="0" borderId="25" xfId="196" applyFont="1" applyBorder="1" applyAlignment="1">
      <alignment horizontal="center"/>
    </xf>
    <xf numFmtId="0" fontId="143" fillId="22" borderId="27" xfId="196" applyFont="1" applyFill="1" applyBorder="1" applyAlignment="1">
      <alignment horizontal="center" vertical="center" wrapText="1"/>
    </xf>
    <xf numFmtId="0" fontId="143" fillId="22" borderId="50" xfId="196" applyFont="1" applyFill="1" applyBorder="1" applyAlignment="1">
      <alignment horizontal="center" vertical="center" wrapText="1"/>
    </xf>
    <xf numFmtId="0" fontId="143" fillId="22" borderId="62" xfId="196" applyFont="1" applyFill="1" applyBorder="1" applyAlignment="1">
      <alignment horizontal="center" vertical="center" wrapText="1"/>
    </xf>
    <xf numFmtId="0" fontId="143" fillId="0" borderId="1" xfId="250" applyFont="1" applyBorder="1" applyAlignment="1">
      <alignment horizontal="center" vertical="center" wrapText="1"/>
    </xf>
    <xf numFmtId="0" fontId="4" fillId="0" borderId="1" xfId="250" applyBorder="1" applyAlignment="1">
      <alignment horizontal="center" vertical="center"/>
    </xf>
    <xf numFmtId="0" fontId="4" fillId="0" borderId="4" xfId="250" applyBorder="1" applyAlignment="1">
      <alignment horizontal="center" vertical="center"/>
    </xf>
    <xf numFmtId="0" fontId="4" fillId="0" borderId="10" xfId="250" applyBorder="1" applyAlignment="1">
      <alignment horizontal="center" vertical="center"/>
    </xf>
    <xf numFmtId="0" fontId="4" fillId="0" borderId="5" xfId="250" applyBorder="1" applyAlignment="1">
      <alignment horizontal="center" vertical="center"/>
    </xf>
    <xf numFmtId="0" fontId="143" fillId="0" borderId="7" xfId="250" applyFont="1" applyBorder="1" applyAlignment="1">
      <alignment horizontal="center" vertical="center" wrapText="1"/>
    </xf>
    <xf numFmtId="0" fontId="143" fillId="0" borderId="2" xfId="250" applyFont="1" applyBorder="1" applyAlignment="1">
      <alignment horizontal="center" vertical="center" wrapText="1"/>
    </xf>
    <xf numFmtId="0" fontId="4" fillId="0" borderId="7" xfId="250" applyBorder="1" applyAlignment="1">
      <alignment horizontal="center" vertical="center" wrapText="1"/>
    </xf>
    <xf numFmtId="0" fontId="4" fillId="0" borderId="2" xfId="250" applyBorder="1" applyAlignment="1">
      <alignment horizontal="center" vertical="center" wrapText="1"/>
    </xf>
    <xf numFmtId="0" fontId="4" fillId="0" borderId="1" xfId="250" applyBorder="1" applyAlignment="1">
      <alignment horizontal="center"/>
    </xf>
    <xf numFmtId="0" fontId="4" fillId="0" borderId="1" xfId="250" applyBorder="1" applyAlignment="1">
      <alignment horizontal="right"/>
    </xf>
    <xf numFmtId="0" fontId="4" fillId="0" borderId="4" xfId="250" applyBorder="1" applyAlignment="1">
      <alignment horizontal="right"/>
    </xf>
    <xf numFmtId="0" fontId="4" fillId="0" borderId="10" xfId="250" applyBorder="1" applyAlignment="1">
      <alignment horizontal="right"/>
    </xf>
    <xf numFmtId="0" fontId="4" fillId="0" borderId="5" xfId="250" applyBorder="1" applyAlignment="1">
      <alignment horizontal="right"/>
    </xf>
    <xf numFmtId="0" fontId="143" fillId="0" borderId="0" xfId="250" applyFont="1" applyAlignment="1">
      <alignment horizontal="center"/>
    </xf>
    <xf numFmtId="0" fontId="4" fillId="0" borderId="20" xfId="250" applyBorder="1" applyAlignment="1">
      <alignment horizontal="center"/>
    </xf>
    <xf numFmtId="0" fontId="4" fillId="0" borderId="21" xfId="250" applyBorder="1" applyAlignment="1">
      <alignment horizontal="center"/>
    </xf>
    <xf numFmtId="0" fontId="4" fillId="0" borderId="28" xfId="250" applyBorder="1" applyAlignment="1">
      <alignment horizontal="center"/>
    </xf>
    <xf numFmtId="0" fontId="143" fillId="12" borderId="27" xfId="250" applyFont="1" applyFill="1" applyBorder="1" applyAlignment="1">
      <alignment horizontal="center" vertical="center" wrapText="1"/>
    </xf>
    <xf numFmtId="0" fontId="143" fillId="12" borderId="50" xfId="250" applyFont="1" applyFill="1" applyBorder="1" applyAlignment="1">
      <alignment horizontal="center" vertical="center" wrapText="1"/>
    </xf>
    <xf numFmtId="0" fontId="143" fillId="12" borderId="51" xfId="250" applyFont="1" applyFill="1" applyBorder="1" applyAlignment="1">
      <alignment horizontal="center" vertical="center" wrapText="1"/>
    </xf>
    <xf numFmtId="0" fontId="143" fillId="17" borderId="55" xfId="250" applyFont="1" applyFill="1" applyBorder="1" applyAlignment="1">
      <alignment horizontal="center" vertical="center"/>
    </xf>
    <xf numFmtId="0" fontId="143" fillId="17" borderId="8" xfId="250" applyFont="1" applyFill="1" applyBorder="1" applyAlignment="1">
      <alignment horizontal="center" vertical="center"/>
    </xf>
    <xf numFmtId="0" fontId="143" fillId="17" borderId="56" xfId="250" applyFont="1" applyFill="1" applyBorder="1" applyAlignment="1">
      <alignment horizontal="center" vertical="center"/>
    </xf>
    <xf numFmtId="0" fontId="143" fillId="19" borderId="27" xfId="250" applyFont="1" applyFill="1" applyBorder="1" applyAlignment="1">
      <alignment horizontal="center" vertical="center"/>
    </xf>
    <xf numFmtId="0" fontId="143" fillId="19" borderId="50" xfId="250" applyFont="1" applyFill="1" applyBorder="1" applyAlignment="1">
      <alignment horizontal="center" vertical="center"/>
    </xf>
    <xf numFmtId="0" fontId="143" fillId="19" borderId="51" xfId="250" applyFont="1" applyFill="1" applyBorder="1" applyAlignment="1">
      <alignment horizontal="center" vertical="center"/>
    </xf>
    <xf numFmtId="0" fontId="4" fillId="0" borderId="1" xfId="250" applyBorder="1" applyAlignment="1">
      <alignment horizontal="center" vertical="center" wrapText="1"/>
    </xf>
    <xf numFmtId="0" fontId="143" fillId="0" borderId="1" xfId="250" applyFont="1" applyBorder="1" applyAlignment="1">
      <alignment horizontal="center" vertical="center"/>
    </xf>
    <xf numFmtId="0" fontId="143" fillId="0" borderId="5" xfId="250" applyFont="1" applyBorder="1" applyAlignment="1">
      <alignment horizontal="center" vertical="center" wrapText="1"/>
    </xf>
    <xf numFmtId="0" fontId="143" fillId="0" borderId="24" xfId="250" applyFont="1" applyBorder="1" applyAlignment="1">
      <alignment horizontal="center" vertical="center" wrapText="1"/>
    </xf>
    <xf numFmtId="0" fontId="143" fillId="0" borderId="25" xfId="250" applyFont="1" applyBorder="1" applyAlignment="1">
      <alignment horizontal="center" vertical="center" wrapText="1"/>
    </xf>
    <xf numFmtId="0" fontId="143" fillId="0" borderId="15" xfId="250" applyFont="1" applyBorder="1" applyAlignment="1">
      <alignment horizontal="center" vertical="center" wrapText="1"/>
    </xf>
    <xf numFmtId="0" fontId="143" fillId="0" borderId="4" xfId="250" applyFont="1" applyBorder="1" applyAlignment="1">
      <alignment horizontal="center" vertical="center"/>
    </xf>
    <xf numFmtId="0" fontId="143" fillId="0" borderId="10" xfId="250" applyFont="1" applyBorder="1" applyAlignment="1">
      <alignment horizontal="center" vertical="center"/>
    </xf>
    <xf numFmtId="0" fontId="4" fillId="0" borderId="5" xfId="250" applyBorder="1" applyAlignment="1">
      <alignment horizontal="center" vertical="center" wrapText="1"/>
    </xf>
    <xf numFmtId="0" fontId="4" fillId="0" borderId="0" xfId="250" applyAlignment="1">
      <alignment horizontal="center" vertical="center" wrapText="1"/>
    </xf>
    <xf numFmtId="0" fontId="143" fillId="20" borderId="27" xfId="250" applyFont="1" applyFill="1" applyBorder="1" applyAlignment="1">
      <alignment horizontal="center" vertical="center"/>
    </xf>
    <xf numFmtId="0" fontId="143" fillId="20" borderId="50" xfId="250" applyFont="1" applyFill="1" applyBorder="1" applyAlignment="1">
      <alignment horizontal="center" vertical="center"/>
    </xf>
    <xf numFmtId="0" fontId="143" fillId="20" borderId="51" xfId="250" applyFont="1" applyFill="1" applyBorder="1" applyAlignment="1">
      <alignment horizontal="center" vertical="center"/>
    </xf>
    <xf numFmtId="0" fontId="143" fillId="0" borderId="27" xfId="250" applyFont="1" applyBorder="1" applyAlignment="1">
      <alignment horizontal="center" vertical="center"/>
    </xf>
    <xf numFmtId="0" fontId="143" fillId="0" borderId="50" xfId="250" applyFont="1" applyBorder="1" applyAlignment="1">
      <alignment horizontal="center" vertical="center"/>
    </xf>
    <xf numFmtId="0" fontId="143" fillId="0" borderId="51" xfId="250" applyFont="1" applyBorder="1" applyAlignment="1">
      <alignment horizontal="center" vertical="center"/>
    </xf>
    <xf numFmtId="0" fontId="143" fillId="0" borderId="19" xfId="250" applyFont="1" applyBorder="1" applyAlignment="1">
      <alignment horizontal="right"/>
    </xf>
    <xf numFmtId="0" fontId="143" fillId="0" borderId="14" xfId="250" applyFont="1" applyBorder="1" applyAlignment="1">
      <alignment horizontal="right"/>
    </xf>
    <xf numFmtId="0" fontId="198" fillId="0" borderId="1" xfId="250" applyFont="1" applyBorder="1" applyAlignment="1">
      <alignment horizontal="center"/>
    </xf>
    <xf numFmtId="0" fontId="4" fillId="0" borderId="4" xfId="250" applyBorder="1" applyAlignment="1">
      <alignment horizontal="center"/>
    </xf>
    <xf numFmtId="0" fontId="4" fillId="0" borderId="10" xfId="250" applyBorder="1" applyAlignment="1">
      <alignment horizontal="center"/>
    </xf>
    <xf numFmtId="0" fontId="4" fillId="0" borderId="5" xfId="250" applyBorder="1" applyAlignment="1">
      <alignment horizontal="center"/>
    </xf>
    <xf numFmtId="0" fontId="4" fillId="0" borderId="7" xfId="250" applyBorder="1" applyAlignment="1">
      <alignment horizontal="center" vertical="center"/>
    </xf>
    <xf numFmtId="0" fontId="4" fillId="0" borderId="2" xfId="250" applyBorder="1" applyAlignment="1">
      <alignment horizontal="center" vertical="center"/>
    </xf>
    <xf numFmtId="0" fontId="4" fillId="0" borderId="1" xfId="196" applyBorder="1" applyAlignment="1">
      <alignment horizontal="center" vertical="center" wrapText="1"/>
    </xf>
    <xf numFmtId="0" fontId="4" fillId="0" borderId="20" xfId="196" applyBorder="1" applyAlignment="1">
      <alignment horizontal="center" vertical="center" wrapText="1"/>
    </xf>
    <xf numFmtId="0" fontId="4" fillId="0" borderId="21" xfId="196" applyBorder="1" applyAlignment="1">
      <alignment horizontal="center" vertical="center" wrapText="1"/>
    </xf>
    <xf numFmtId="0" fontId="4" fillId="0" borderId="28" xfId="196" applyBorder="1" applyAlignment="1">
      <alignment horizontal="center" vertical="center" wrapText="1"/>
    </xf>
    <xf numFmtId="0" fontId="4" fillId="0" borderId="23" xfId="196" applyBorder="1" applyAlignment="1">
      <alignment horizontal="center" vertical="center" wrapText="1"/>
    </xf>
    <xf numFmtId="0" fontId="4" fillId="0" borderId="13" xfId="196" applyBorder="1" applyAlignment="1">
      <alignment horizontal="center" vertical="center" wrapText="1"/>
    </xf>
    <xf numFmtId="0" fontId="4" fillId="0" borderId="26" xfId="196" applyBorder="1" applyAlignment="1">
      <alignment horizontal="center" vertical="center" wrapText="1"/>
    </xf>
    <xf numFmtId="0" fontId="184" fillId="0" borderId="0" xfId="2357" applyFont="1" applyAlignment="1">
      <alignment horizontal="left" vertical="center"/>
    </xf>
    <xf numFmtId="0" fontId="175" fillId="0" borderId="0" xfId="2357" applyFont="1" applyAlignment="1">
      <alignment horizontal="center" wrapText="1"/>
    </xf>
    <xf numFmtId="0" fontId="178" fillId="0" borderId="0" xfId="2357" applyFont="1" applyAlignment="1">
      <alignment horizontal="center" vertical="top" wrapText="1"/>
    </xf>
    <xf numFmtId="1" fontId="181" fillId="0" borderId="0" xfId="2357" applyNumberFormat="1" applyFont="1" applyAlignment="1">
      <alignment horizontal="center" vertical="top" wrapText="1"/>
    </xf>
    <xf numFmtId="0" fontId="181" fillId="0" borderId="0" xfId="2357" applyFont="1" applyAlignment="1">
      <alignment horizontal="center" vertical="top" wrapText="1"/>
    </xf>
    <xf numFmtId="0" fontId="179" fillId="0" borderId="0" xfId="2357" applyFont="1" applyAlignment="1">
      <alignment horizontal="center" vertical="top" wrapText="1"/>
    </xf>
    <xf numFmtId="0" fontId="31" fillId="0" borderId="0" xfId="2357" applyFont="1" applyAlignment="1">
      <alignment horizontal="left"/>
    </xf>
    <xf numFmtId="2" fontId="31" fillId="0" borderId="0" xfId="2357" applyNumberFormat="1" applyFont="1" applyAlignment="1">
      <alignment horizontal="center"/>
    </xf>
    <xf numFmtId="0" fontId="122" fillId="0" borderId="0" xfId="0" applyFont="1" applyAlignment="1">
      <alignment horizontal="center" vertical="top"/>
    </xf>
    <xf numFmtId="0" fontId="122" fillId="0" borderId="0" xfId="0" applyFont="1" applyAlignment="1">
      <alignment horizontal="left" vertical="top" wrapText="1"/>
    </xf>
    <xf numFmtId="1" fontId="122" fillId="0" borderId="1" xfId="0" applyNumberFormat="1" applyFont="1" applyBorder="1" applyAlignment="1">
      <alignment horizontal="center" vertical="top"/>
    </xf>
    <xf numFmtId="0" fontId="100" fillId="0" borderId="1" xfId="0" applyFont="1" applyBorder="1" applyAlignment="1">
      <alignment horizontal="justify" vertical="top" wrapText="1"/>
    </xf>
    <xf numFmtId="0" fontId="100" fillId="0" borderId="1" xfId="0" applyFont="1" applyBorder="1" applyAlignment="1">
      <alignment horizontal="center" vertical="top" wrapText="1"/>
    </xf>
    <xf numFmtId="0" fontId="122" fillId="0" borderId="0" xfId="908" applyFont="1" applyAlignment="1">
      <alignment horizontal="center" vertical="top"/>
    </xf>
    <xf numFmtId="0" fontId="100" fillId="0" borderId="1" xfId="0" applyFont="1" applyBorder="1" applyAlignment="1">
      <alignment horizontal="left" vertical="top" wrapText="1"/>
    </xf>
    <xf numFmtId="14" fontId="362" fillId="0" borderId="0" xfId="1925" applyNumberFormat="1" applyFont="1" applyAlignment="1">
      <alignment horizontal="center"/>
    </xf>
    <xf numFmtId="0" fontId="122" fillId="0" borderId="0" xfId="1925" applyFont="1" applyAlignment="1">
      <alignment horizontal="center"/>
    </xf>
    <xf numFmtId="0" fontId="126" fillId="0" borderId="0" xfId="1925" applyFont="1" applyAlignment="1">
      <alignment horizontal="center" vertical="top" wrapText="1"/>
    </xf>
    <xf numFmtId="0" fontId="100" fillId="0" borderId="1" xfId="3758" applyFont="1" applyBorder="1" applyAlignment="1">
      <alignment horizontal="left" vertical="center" wrapText="1"/>
    </xf>
    <xf numFmtId="0" fontId="122" fillId="0" borderId="4" xfId="3758" applyFont="1" applyBorder="1" applyAlignment="1">
      <alignment horizontal="right" vertical="center" wrapText="1"/>
    </xf>
    <xf numFmtId="0" fontId="122" fillId="0" borderId="5" xfId="3758" applyFont="1" applyBorder="1" applyAlignment="1">
      <alignment horizontal="right" vertical="center" wrapText="1"/>
    </xf>
    <xf numFmtId="0" fontId="100" fillId="0" borderId="0" xfId="1925" applyFont="1" applyAlignment="1">
      <alignment horizontal="justify" vertical="top" wrapText="1"/>
    </xf>
    <xf numFmtId="0" fontId="137" fillId="0" borderId="19" xfId="41" applyFont="1" applyBorder="1" applyAlignment="1">
      <alignment horizontal="center" vertical="center"/>
    </xf>
    <xf numFmtId="0" fontId="137" fillId="0" borderId="14" xfId="41" applyFont="1" applyBorder="1" applyAlignment="1">
      <alignment horizontal="center" vertical="center"/>
    </xf>
    <xf numFmtId="0" fontId="137" fillId="0" borderId="31" xfId="41" applyFont="1" applyBorder="1" applyAlignment="1">
      <alignment horizontal="center" vertical="center"/>
    </xf>
    <xf numFmtId="0" fontId="136" fillId="0" borderId="19" xfId="1925" applyFont="1" applyBorder="1" applyAlignment="1">
      <alignment horizontal="justify" vertical="top" wrapText="1"/>
    </xf>
    <xf numFmtId="0" fontId="136" fillId="0" borderId="14" xfId="1925" applyFont="1" applyBorder="1" applyAlignment="1">
      <alignment horizontal="justify" vertical="top" wrapText="1"/>
    </xf>
    <xf numFmtId="0" fontId="136" fillId="0" borderId="31" xfId="1925" applyFont="1" applyBorder="1" applyAlignment="1">
      <alignment horizontal="justify" vertical="top" wrapText="1"/>
    </xf>
    <xf numFmtId="14" fontId="115" fillId="0" borderId="0" xfId="1925" applyNumberFormat="1" applyFont="1" applyAlignment="1">
      <alignment horizontal="center"/>
    </xf>
    <xf numFmtId="14" fontId="136" fillId="0" borderId="0" xfId="1925" applyNumberFormat="1" applyFont="1" applyAlignment="1">
      <alignment horizontal="center"/>
    </xf>
    <xf numFmtId="0" fontId="94" fillId="0" borderId="0" xfId="0" applyFont="1" applyAlignment="1">
      <alignment horizontal="center" vertical="center" wrapText="1"/>
    </xf>
    <xf numFmtId="0" fontId="93" fillId="0" borderId="0" xfId="0" applyFont="1" applyAlignment="1">
      <alignment vertical="center" wrapText="1"/>
    </xf>
    <xf numFmtId="1" fontId="94" fillId="0" borderId="0" xfId="0" applyNumberFormat="1" applyFont="1" applyAlignment="1">
      <alignment horizontal="right" vertical="top" wrapText="1"/>
    </xf>
    <xf numFmtId="1" fontId="94" fillId="0" borderId="9" xfId="0" applyNumberFormat="1" applyFont="1" applyBorder="1" applyAlignment="1">
      <alignment horizontal="left" vertical="top" wrapText="1"/>
    </xf>
    <xf numFmtId="0" fontId="93" fillId="0" borderId="4" xfId="0" applyFont="1" applyBorder="1" applyAlignment="1">
      <alignment horizontal="center" vertical="center" wrapText="1"/>
    </xf>
    <xf numFmtId="0" fontId="93" fillId="0" borderId="10" xfId="0" applyFont="1" applyBorder="1" applyAlignment="1">
      <alignment horizontal="center" vertical="center" wrapText="1"/>
    </xf>
    <xf numFmtId="0" fontId="93" fillId="0" borderId="5" xfId="0" applyFont="1" applyBorder="1" applyAlignment="1">
      <alignment horizontal="center" vertical="center" wrapText="1"/>
    </xf>
    <xf numFmtId="0" fontId="93" fillId="0" borderId="1" xfId="0" applyFont="1" applyBorder="1" applyAlignment="1">
      <alignment horizontal="center" vertical="center"/>
    </xf>
    <xf numFmtId="0" fontId="93" fillId="4" borderId="1" xfId="0" applyFont="1" applyFill="1" applyBorder="1" applyAlignment="1">
      <alignment horizontal="justify" vertical="top" wrapText="1"/>
    </xf>
    <xf numFmtId="0" fontId="93" fillId="4" borderId="1" xfId="0" applyFont="1" applyFill="1" applyBorder="1" applyAlignment="1">
      <alignment horizontal="justify" vertical="center" wrapText="1"/>
    </xf>
    <xf numFmtId="0" fontId="93" fillId="0" borderId="0" xfId="2192" applyFont="1" applyAlignment="1">
      <alignment horizontal="center" vertical="center"/>
    </xf>
    <xf numFmtId="0" fontId="93" fillId="0" borderId="0" xfId="2192" applyFont="1" applyAlignment="1">
      <alignment horizontal="center" vertical="center" wrapText="1"/>
    </xf>
    <xf numFmtId="2" fontId="93" fillId="0" borderId="0" xfId="1238" applyNumberFormat="1" applyFont="1" applyAlignment="1">
      <alignment horizontal="center"/>
    </xf>
    <xf numFmtId="0" fontId="31" fillId="0" borderId="1" xfId="2062" applyFont="1" applyBorder="1" applyAlignment="1">
      <alignment horizontal="center" vertical="top"/>
    </xf>
    <xf numFmtId="0" fontId="31" fillId="0" borderId="1" xfId="2062" applyFont="1" applyBorder="1" applyAlignment="1">
      <alignment horizontal="center" vertical="top" wrapText="1"/>
    </xf>
    <xf numFmtId="0" fontId="166" fillId="0" borderId="1" xfId="206" applyFont="1" applyBorder="1" applyAlignment="1">
      <alignment vertical="top"/>
    </xf>
    <xf numFmtId="0" fontId="37" fillId="0" borderId="1" xfId="2062" applyFont="1" applyBorder="1" applyAlignment="1">
      <alignment horizontal="left" vertical="top" wrapText="1"/>
    </xf>
    <xf numFmtId="2" fontId="143" fillId="0" borderId="1" xfId="1822" applyNumberFormat="1" applyFont="1" applyBorder="1" applyAlignment="1">
      <alignment horizontal="center" vertical="top" wrapText="1"/>
    </xf>
    <xf numFmtId="0" fontId="6" fillId="0" borderId="1" xfId="2062" applyBorder="1" applyAlignment="1">
      <alignment horizontal="center" vertical="top"/>
    </xf>
    <xf numFmtId="0" fontId="7" fillId="0" borderId="1" xfId="2062" applyFont="1" applyBorder="1" applyAlignment="1">
      <alignment horizontal="center" vertical="top"/>
    </xf>
    <xf numFmtId="0" fontId="142" fillId="0" borderId="1" xfId="206" applyFont="1" applyBorder="1" applyAlignment="1">
      <alignment horizontal="center" vertical="center" wrapText="1"/>
    </xf>
    <xf numFmtId="0" fontId="143" fillId="6" borderId="1" xfId="206" applyFont="1" applyFill="1" applyBorder="1" applyAlignment="1">
      <alignment horizontal="center" vertical="center" wrapText="1"/>
    </xf>
    <xf numFmtId="0" fontId="143" fillId="0" borderId="1" xfId="206" applyFont="1" applyBorder="1" applyAlignment="1">
      <alignment horizontal="center" vertical="center" wrapText="1"/>
    </xf>
    <xf numFmtId="0" fontId="6" fillId="0" borderId="1" xfId="206" applyBorder="1" applyAlignment="1">
      <alignment horizontal="left" vertical="top" wrapText="1"/>
    </xf>
    <xf numFmtId="0" fontId="147" fillId="0" borderId="4" xfId="206" applyFont="1" applyBorder="1" applyAlignment="1">
      <alignment horizontal="center" wrapText="1"/>
    </xf>
    <xf numFmtId="0" fontId="147" fillId="0" borderId="10" xfId="206" applyFont="1" applyBorder="1" applyAlignment="1">
      <alignment horizontal="center" wrapText="1"/>
    </xf>
    <xf numFmtId="0" fontId="147" fillId="0" borderId="5" xfId="206" applyFont="1" applyBorder="1" applyAlignment="1">
      <alignment horizontal="center" wrapText="1"/>
    </xf>
    <xf numFmtId="0" fontId="105" fillId="0" borderId="1" xfId="206" applyFont="1" applyBorder="1" applyAlignment="1">
      <alignment horizontal="center"/>
    </xf>
    <xf numFmtId="0" fontId="159" fillId="0" borderId="1" xfId="206" applyFont="1" applyBorder="1" applyAlignment="1">
      <alignment horizontal="center"/>
    </xf>
    <xf numFmtId="0" fontId="6" fillId="11" borderId="4" xfId="206" applyFill="1" applyBorder="1" applyAlignment="1">
      <alignment horizontal="center" vertical="center" wrapText="1"/>
    </xf>
    <xf numFmtId="0" fontId="6" fillId="11" borderId="10" xfId="206" applyFill="1" applyBorder="1" applyAlignment="1">
      <alignment horizontal="center" vertical="center" wrapText="1"/>
    </xf>
    <xf numFmtId="0" fontId="6" fillId="11" borderId="5" xfId="206" applyFill="1" applyBorder="1" applyAlignment="1">
      <alignment horizontal="center" vertical="center" wrapText="1"/>
    </xf>
    <xf numFmtId="0" fontId="6" fillId="0" borderId="1" xfId="206" applyBorder="1"/>
    <xf numFmtId="0" fontId="106" fillId="0" borderId="4" xfId="206" applyFont="1" applyBorder="1" applyAlignment="1">
      <alignment horizontal="center" vertical="center" wrapText="1"/>
    </xf>
    <xf numFmtId="0" fontId="106" fillId="0" borderId="10" xfId="206" applyFont="1" applyBorder="1" applyAlignment="1">
      <alignment horizontal="center" vertical="center" wrapText="1"/>
    </xf>
    <xf numFmtId="0" fontId="106" fillId="0" borderId="15" xfId="206" applyFont="1" applyBorder="1" applyAlignment="1">
      <alignment horizontal="center" vertical="center" wrapText="1"/>
    </xf>
    <xf numFmtId="0" fontId="6" fillId="0" borderId="1" xfId="206" applyBorder="1" applyAlignment="1">
      <alignment horizontal="center" vertical="center" wrapText="1"/>
    </xf>
    <xf numFmtId="2" fontId="143" fillId="11" borderId="1" xfId="206" applyNumberFormat="1" applyFont="1" applyFill="1" applyBorder="1" applyAlignment="1">
      <alignment horizontal="center" vertical="center" wrapText="1"/>
    </xf>
    <xf numFmtId="0" fontId="143" fillId="11" borderId="1" xfId="206" applyFont="1" applyFill="1" applyBorder="1" applyAlignment="1">
      <alignment horizontal="center" vertical="center" wrapText="1"/>
    </xf>
    <xf numFmtId="0" fontId="152" fillId="0" borderId="1" xfId="206" applyFont="1" applyBorder="1" applyAlignment="1">
      <alignment horizontal="center" vertical="center" wrapText="1"/>
    </xf>
    <xf numFmtId="171" fontId="143" fillId="0" borderId="1" xfId="206" applyNumberFormat="1" applyFont="1" applyBorder="1" applyAlignment="1">
      <alignment horizontal="center" vertical="center" wrapText="1"/>
    </xf>
    <xf numFmtId="0" fontId="6" fillId="10" borderId="1" xfId="206" applyFill="1" applyBorder="1" applyAlignment="1">
      <alignment horizontal="center" vertical="center" wrapText="1"/>
    </xf>
    <xf numFmtId="0" fontId="143" fillId="0" borderId="1" xfId="206" applyFont="1" applyBorder="1" applyAlignment="1">
      <alignment horizontal="center" wrapText="1"/>
    </xf>
    <xf numFmtId="171" fontId="6" fillId="0" borderId="1" xfId="206" applyNumberFormat="1" applyBorder="1" applyAlignment="1">
      <alignment horizontal="center" vertical="center" wrapText="1"/>
    </xf>
    <xf numFmtId="0" fontId="104" fillId="0" borderId="1" xfId="206" applyFont="1" applyBorder="1" applyAlignment="1">
      <alignment horizontal="center" vertical="center" wrapText="1"/>
    </xf>
    <xf numFmtId="1" fontId="104" fillId="0" borderId="1" xfId="206" applyNumberFormat="1" applyFont="1" applyBorder="1" applyAlignment="1">
      <alignment horizontal="center" vertical="center" wrapText="1"/>
    </xf>
    <xf numFmtId="0" fontId="163" fillId="0" borderId="1" xfId="206" applyFont="1" applyBorder="1" applyAlignment="1">
      <alignment horizontal="center" vertical="center" wrapText="1"/>
    </xf>
    <xf numFmtId="2" fontId="6" fillId="0" borderId="1" xfId="206" applyNumberFormat="1" applyBorder="1" applyAlignment="1">
      <alignment horizontal="center" vertical="center" wrapText="1"/>
    </xf>
    <xf numFmtId="184" fontId="6" fillId="0" borderId="1" xfId="206" applyNumberFormat="1" applyBorder="1" applyAlignment="1">
      <alignment horizontal="center" vertical="center" wrapText="1"/>
    </xf>
    <xf numFmtId="184" fontId="104" fillId="0" borderId="1" xfId="206" applyNumberFormat="1" applyFont="1" applyBorder="1" applyAlignment="1">
      <alignment horizontal="center" vertical="center" wrapText="1"/>
    </xf>
    <xf numFmtId="0" fontId="0" fillId="0" borderId="1" xfId="206" applyFont="1" applyBorder="1" applyAlignment="1">
      <alignment horizontal="center" vertical="center" wrapText="1"/>
    </xf>
    <xf numFmtId="184" fontId="6" fillId="0" borderId="7" xfId="206" applyNumberFormat="1" applyBorder="1" applyAlignment="1">
      <alignment horizontal="right" vertical="center" wrapText="1"/>
    </xf>
    <xf numFmtId="184" fontId="6" fillId="0" borderId="8" xfId="206" applyNumberFormat="1" applyBorder="1" applyAlignment="1">
      <alignment horizontal="right" vertical="center" wrapText="1"/>
    </xf>
    <xf numFmtId="184" fontId="6" fillId="0" borderId="2" xfId="206" applyNumberFormat="1" applyBorder="1" applyAlignment="1">
      <alignment horizontal="right" vertical="center" wrapText="1"/>
    </xf>
    <xf numFmtId="0" fontId="162" fillId="0" borderId="0" xfId="206" applyFont="1" applyAlignment="1">
      <alignment horizontal="center" vertical="center" wrapText="1"/>
    </xf>
    <xf numFmtId="0" fontId="142" fillId="0" borderId="1" xfId="206" applyFont="1" applyBorder="1" applyAlignment="1">
      <alignment horizontal="center" wrapText="1"/>
    </xf>
    <xf numFmtId="0" fontId="164" fillId="0" borderId="1" xfId="206" applyFont="1" applyBorder="1" applyAlignment="1">
      <alignment horizontal="center" wrapText="1"/>
    </xf>
    <xf numFmtId="0" fontId="105" fillId="0" borderId="1" xfId="206" applyFont="1" applyBorder="1" applyAlignment="1">
      <alignment horizontal="center" vertical="center" wrapText="1"/>
    </xf>
    <xf numFmtId="0" fontId="134" fillId="3" borderId="35" xfId="0" applyFont="1" applyFill="1" applyBorder="1" applyAlignment="1">
      <alignment horizontal="center" vertical="top" wrapText="1"/>
    </xf>
    <xf numFmtId="0" fontId="43" fillId="9" borderId="35" xfId="539" applyFont="1" applyFill="1" applyBorder="1" applyAlignment="1">
      <alignment horizontal="center" vertical="top" wrapText="1"/>
    </xf>
    <xf numFmtId="2" fontId="41" fillId="9" borderId="35" xfId="539" applyNumberFormat="1" applyFont="1" applyFill="1" applyBorder="1" applyAlignment="1">
      <alignment horizontal="left" vertical="top" wrapText="1"/>
    </xf>
    <xf numFmtId="2" fontId="41" fillId="9" borderId="35" xfId="539" applyNumberFormat="1" applyFont="1" applyFill="1" applyBorder="1" applyAlignment="1">
      <alignment horizontal="center" vertical="center" wrapText="1"/>
    </xf>
    <xf numFmtId="0" fontId="41" fillId="9" borderId="0" xfId="539" applyFont="1" applyFill="1" applyAlignment="1">
      <alignment horizontal="center" vertical="center" wrapText="1"/>
    </xf>
    <xf numFmtId="2" fontId="41" fillId="9" borderId="0" xfId="539" applyNumberFormat="1" applyFont="1" applyFill="1" applyAlignment="1">
      <alignment vertical="center" wrapText="1"/>
    </xf>
    <xf numFmtId="2" fontId="43" fillId="9" borderId="35" xfId="539" applyNumberFormat="1" applyFont="1" applyFill="1" applyBorder="1" applyAlignment="1">
      <alignment horizontal="left" vertical="top" wrapText="1"/>
    </xf>
    <xf numFmtId="2" fontId="43" fillId="9" borderId="35" xfId="539" applyNumberFormat="1" applyFont="1" applyFill="1" applyBorder="1" applyAlignment="1">
      <alignment horizontal="left" vertical="center" wrapText="1"/>
    </xf>
    <xf numFmtId="0" fontId="41" fillId="0" borderId="35" xfId="0" applyFont="1" applyBorder="1" applyAlignment="1">
      <alignment horizontal="center" vertical="top" wrapText="1"/>
    </xf>
    <xf numFmtId="2" fontId="43" fillId="0" borderId="35" xfId="539" applyNumberFormat="1" applyFont="1" applyBorder="1" applyAlignment="1">
      <alignment horizontal="left" vertical="top" wrapText="1"/>
    </xf>
    <xf numFmtId="0" fontId="43" fillId="0" borderId="35" xfId="0" applyFont="1" applyBorder="1" applyAlignment="1">
      <alignment horizontal="center" vertical="top" wrapText="1"/>
    </xf>
    <xf numFmtId="0" fontId="41" fillId="0" borderId="43" xfId="0" applyFont="1" applyBorder="1" applyAlignment="1">
      <alignment horizontal="left" vertical="top" wrapText="1"/>
    </xf>
    <xf numFmtId="0" fontId="41" fillId="0" borderId="44" xfId="0" applyFont="1" applyBorder="1" applyAlignment="1">
      <alignment horizontal="left" vertical="top" wrapText="1"/>
    </xf>
    <xf numFmtId="0" fontId="41" fillId="0" borderId="45" xfId="0" applyFont="1" applyBorder="1" applyAlignment="1">
      <alignment horizontal="left" vertical="top" wrapText="1"/>
    </xf>
    <xf numFmtId="185" fontId="41" fillId="0" borderId="35" xfId="0" applyNumberFormat="1" applyFont="1" applyBorder="1" applyAlignment="1">
      <alignment horizontal="center" vertical="center" wrapText="1"/>
    </xf>
    <xf numFmtId="198" fontId="43" fillId="0" borderId="35" xfId="0" applyNumberFormat="1" applyFont="1" applyBorder="1" applyAlignment="1">
      <alignment horizontal="center" vertical="center" wrapText="1"/>
    </xf>
    <xf numFmtId="0" fontId="41" fillId="0" borderId="43" xfId="0" applyFont="1" applyBorder="1" applyAlignment="1">
      <alignment horizontal="justify" vertical="top" wrapText="1"/>
    </xf>
    <xf numFmtId="0" fontId="41" fillId="0" borderId="44" xfId="0" applyFont="1" applyBorder="1" applyAlignment="1">
      <alignment horizontal="justify" vertical="top" wrapText="1"/>
    </xf>
    <xf numFmtId="0" fontId="41" fillId="0" borderId="45" xfId="0" applyFont="1" applyBorder="1" applyAlignment="1">
      <alignment horizontal="justify" vertical="top" wrapText="1"/>
    </xf>
    <xf numFmtId="2" fontId="43" fillId="0" borderId="35" xfId="0" applyNumberFormat="1" applyFont="1" applyBorder="1" applyAlignment="1">
      <alignment horizontal="center" vertical="center" wrapText="1"/>
    </xf>
    <xf numFmtId="2" fontId="41" fillId="0" borderId="35" xfId="0" applyNumberFormat="1" applyFont="1" applyBorder="1" applyAlignment="1">
      <alignment horizontal="center" vertical="center" wrapText="1"/>
    </xf>
    <xf numFmtId="0" fontId="43" fillId="0" borderId="35" xfId="0" applyFont="1" applyBorder="1" applyAlignment="1">
      <alignment vertical="top" wrapText="1"/>
    </xf>
    <xf numFmtId="0" fontId="41" fillId="0" borderId="35" xfId="0" applyFont="1" applyBorder="1" applyAlignment="1">
      <alignment horizontal="left" vertical="center" wrapText="1"/>
    </xf>
    <xf numFmtId="0" fontId="41" fillId="0" borderId="35" xfId="0" applyFont="1" applyBorder="1" applyAlignment="1">
      <alignment horizontal="center" vertical="center" wrapText="1"/>
    </xf>
    <xf numFmtId="0" fontId="43" fillId="0" borderId="35" xfId="0" applyFont="1" applyBorder="1" applyAlignment="1">
      <alignment horizontal="left" vertical="center" wrapText="1"/>
    </xf>
    <xf numFmtId="2" fontId="41" fillId="0" borderId="43" xfId="0" applyNumberFormat="1" applyFont="1" applyBorder="1" applyAlignment="1">
      <alignment horizontal="justify" vertical="top" wrapText="1"/>
    </xf>
    <xf numFmtId="2" fontId="41" fillId="0" borderId="44" xfId="0" applyNumberFormat="1" applyFont="1" applyBorder="1" applyAlignment="1">
      <alignment horizontal="justify" vertical="top" wrapText="1"/>
    </xf>
    <xf numFmtId="2" fontId="41" fillId="0" borderId="45" xfId="0" applyNumberFormat="1" applyFont="1" applyBorder="1" applyAlignment="1">
      <alignment horizontal="justify" vertical="top" wrapText="1"/>
    </xf>
    <xf numFmtId="0" fontId="43" fillId="0" borderId="35" xfId="0" applyFont="1" applyBorder="1" applyAlignment="1">
      <alignment vertical="center" wrapText="1"/>
    </xf>
    <xf numFmtId="2" fontId="41" fillId="0" borderId="35" xfId="3756" applyNumberFormat="1" applyFont="1" applyBorder="1" applyAlignment="1">
      <alignment horizontal="left" vertical="center" wrapText="1"/>
    </xf>
    <xf numFmtId="0" fontId="43" fillId="0" borderId="43" xfId="1238" applyFont="1" applyBorder="1" applyAlignment="1">
      <alignment horizontal="left" vertical="top" wrapText="1"/>
    </xf>
    <xf numFmtId="0" fontId="43" fillId="0" borderId="44" xfId="1238" applyFont="1" applyBorder="1" applyAlignment="1">
      <alignment horizontal="left" vertical="top" wrapText="1"/>
    </xf>
    <xf numFmtId="0" fontId="43" fillId="0" borderId="45" xfId="1238" applyFont="1" applyBorder="1" applyAlignment="1">
      <alignment horizontal="left" vertical="top" wrapText="1"/>
    </xf>
    <xf numFmtId="2" fontId="41" fillId="0" borderId="43" xfId="1238" applyNumberFormat="1" applyFont="1" applyBorder="1" applyAlignment="1">
      <alignment horizontal="left" vertical="top" wrapText="1"/>
    </xf>
    <xf numFmtId="2" fontId="41" fillId="0" borderId="44" xfId="1238" applyNumberFormat="1" applyFont="1" applyBorder="1" applyAlignment="1">
      <alignment horizontal="left" vertical="top" wrapText="1"/>
    </xf>
    <xf numFmtId="2" fontId="41" fillId="0" borderId="45" xfId="1238" applyNumberFormat="1" applyFont="1" applyBorder="1" applyAlignment="1">
      <alignment horizontal="left" vertical="top" wrapText="1"/>
    </xf>
    <xf numFmtId="0" fontId="41" fillId="0" borderId="35" xfId="2637" applyFont="1" applyBorder="1" applyAlignment="1">
      <alignment horizontal="center" vertical="center" wrapText="1"/>
    </xf>
    <xf numFmtId="2" fontId="43" fillId="0" borderId="43" xfId="2637" applyNumberFormat="1" applyFont="1" applyBorder="1" applyAlignment="1">
      <alignment horizontal="left" vertical="center" wrapText="1"/>
    </xf>
    <xf numFmtId="2" fontId="43" fillId="0" borderId="44" xfId="2637" applyNumberFormat="1" applyFont="1" applyBorder="1" applyAlignment="1">
      <alignment horizontal="left" vertical="center" wrapText="1"/>
    </xf>
    <xf numFmtId="2" fontId="43" fillId="0" borderId="45" xfId="2637" applyNumberFormat="1" applyFont="1" applyBorder="1" applyAlignment="1">
      <alignment horizontal="left" vertical="center" wrapText="1"/>
    </xf>
    <xf numFmtId="171" fontId="41" fillId="0" borderId="43" xfId="2637" applyNumberFormat="1" applyFont="1" applyBorder="1" applyAlignment="1">
      <alignment horizontal="left" vertical="center" wrapText="1"/>
    </xf>
    <xf numFmtId="171" fontId="41" fillId="0" borderId="44" xfId="2637" applyNumberFormat="1" applyFont="1" applyBorder="1" applyAlignment="1">
      <alignment horizontal="left" vertical="center" wrapText="1"/>
    </xf>
    <xf numFmtId="171" fontId="41" fillId="0" borderId="45" xfId="2637" applyNumberFormat="1" applyFont="1" applyBorder="1" applyAlignment="1">
      <alignment horizontal="left" vertical="center" wrapText="1"/>
    </xf>
    <xf numFmtId="171" fontId="43" fillId="0" borderId="43" xfId="2637" applyNumberFormat="1" applyFont="1" applyBorder="1" applyAlignment="1">
      <alignment horizontal="left" vertical="top" wrapText="1"/>
    </xf>
    <xf numFmtId="171" fontId="43" fillId="0" borderId="44" xfId="2637" applyNumberFormat="1" applyFont="1" applyBorder="1" applyAlignment="1">
      <alignment horizontal="left" vertical="top" wrapText="1"/>
    </xf>
    <xf numFmtId="171" fontId="43" fillId="0" borderId="45" xfId="2637" applyNumberFormat="1" applyFont="1" applyBorder="1" applyAlignment="1">
      <alignment horizontal="left" vertical="top" wrapText="1"/>
    </xf>
    <xf numFmtId="199" fontId="41" fillId="0" borderId="35" xfId="2637" applyNumberFormat="1" applyFont="1" applyBorder="1" applyAlignment="1">
      <alignment horizontal="center" vertical="center" wrapText="1"/>
    </xf>
    <xf numFmtId="199" fontId="103" fillId="0" borderId="0" xfId="2595" applyNumberFormat="1" applyFont="1" applyAlignment="1">
      <alignment horizontal="center" vertical="center" wrapText="1"/>
    </xf>
    <xf numFmtId="0" fontId="106" fillId="0" borderId="0" xfId="2595" applyFont="1" applyAlignment="1">
      <alignment horizontal="center" vertical="center" wrapText="1"/>
    </xf>
    <xf numFmtId="199" fontId="103" fillId="0" borderId="0" xfId="2595" applyNumberFormat="1" applyFont="1" applyAlignment="1">
      <alignment horizontal="center" vertical="top" wrapText="1"/>
    </xf>
    <xf numFmtId="0" fontId="97" fillId="0" borderId="0" xfId="0" applyFont="1" applyAlignment="1">
      <alignment horizontal="center" vertical="center" wrapText="1"/>
    </xf>
    <xf numFmtId="0" fontId="95" fillId="0" borderId="0" xfId="0" applyFont="1" applyAlignment="1">
      <alignment vertical="center" wrapText="1"/>
    </xf>
    <xf numFmtId="1" fontId="98" fillId="0" borderId="0" xfId="0" applyNumberFormat="1" applyFont="1" applyAlignment="1">
      <alignment horizontal="center" vertical="center" wrapText="1"/>
    </xf>
    <xf numFmtId="1" fontId="97" fillId="0" borderId="0" xfId="0" applyNumberFormat="1" applyFont="1" applyAlignment="1">
      <alignment horizontal="left" vertical="center" wrapText="1"/>
    </xf>
    <xf numFmtId="0" fontId="95" fillId="0" borderId="1" xfId="0" applyFont="1" applyBorder="1" applyAlignment="1">
      <alignment horizontal="center" vertical="center" wrapText="1"/>
    </xf>
    <xf numFmtId="0" fontId="95" fillId="0" borderId="1" xfId="0" applyFont="1" applyBorder="1" applyAlignment="1">
      <alignment horizontal="center" vertical="center"/>
    </xf>
    <xf numFmtId="0" fontId="95" fillId="0" borderId="1" xfId="0" applyFont="1" applyBorder="1" applyAlignment="1">
      <alignment horizontal="justify" vertical="top" wrapText="1"/>
    </xf>
    <xf numFmtId="2" fontId="95" fillId="0" borderId="1" xfId="0" applyNumberFormat="1" applyFont="1" applyBorder="1" applyAlignment="1">
      <alignment horizontal="justify" vertical="top" wrapText="1"/>
    </xf>
    <xf numFmtId="0" fontId="95" fillId="0" borderId="1" xfId="0" applyFont="1" applyBorder="1" applyAlignment="1">
      <alignment horizontal="justify" vertical="center" wrapText="1"/>
    </xf>
    <xf numFmtId="0" fontId="95" fillId="0" borderId="1" xfId="0" applyFont="1" applyBorder="1" applyAlignment="1">
      <alignment vertical="center" wrapText="1"/>
    </xf>
    <xf numFmtId="0" fontId="95" fillId="0" borderId="0" xfId="2192" applyFont="1" applyAlignment="1">
      <alignment horizontal="center" vertical="center" wrapText="1"/>
    </xf>
    <xf numFmtId="2" fontId="95" fillId="0" borderId="0" xfId="2192" applyNumberFormat="1" applyFont="1" applyAlignment="1">
      <alignment horizontal="center" vertical="center" wrapText="1"/>
    </xf>
    <xf numFmtId="0" fontId="339" fillId="0" borderId="0" xfId="0" applyFont="1" applyAlignment="1">
      <alignment horizontal="center" vertical="center" wrapText="1"/>
    </xf>
    <xf numFmtId="0" fontId="97" fillId="0" borderId="0" xfId="0" applyFont="1" applyAlignment="1">
      <alignment horizontal="center" vertical="center"/>
    </xf>
    <xf numFmtId="0" fontId="95" fillId="0" borderId="4" xfId="0" applyFont="1" applyBorder="1" applyAlignment="1">
      <alignment horizontal="center" vertical="center" wrapText="1"/>
    </xf>
    <xf numFmtId="0" fontId="95" fillId="0" borderId="10" xfId="0" applyFont="1" applyBorder="1" applyAlignment="1">
      <alignment horizontal="center" vertical="center" wrapText="1"/>
    </xf>
    <xf numFmtId="0" fontId="95" fillId="0" borderId="5" xfId="0" applyFont="1" applyBorder="1" applyAlignment="1">
      <alignment horizontal="center" vertical="center" wrapText="1"/>
    </xf>
    <xf numFmtId="0" fontId="95" fillId="0" borderId="0" xfId="2192" applyFont="1" applyAlignment="1">
      <alignment horizontal="left" vertical="center" wrapText="1"/>
    </xf>
    <xf numFmtId="0" fontId="110" fillId="0" borderId="0" xfId="0" applyFont="1" applyAlignment="1">
      <alignment horizontal="center" vertical="center" wrapText="1"/>
    </xf>
    <xf numFmtId="0" fontId="37" fillId="0" borderId="0" xfId="0" applyFont="1" applyAlignment="1">
      <alignment vertical="center" wrapText="1"/>
    </xf>
    <xf numFmtId="1" fontId="111" fillId="0" borderId="0" xfId="0" applyNumberFormat="1" applyFont="1" applyAlignment="1">
      <alignment horizontal="center" vertical="center" wrapText="1"/>
    </xf>
    <xf numFmtId="1" fontId="109" fillId="0" borderId="0" xfId="0" applyNumberFormat="1" applyFont="1" applyAlignment="1">
      <alignment horizontal="left" vertical="center" wrapText="1"/>
    </xf>
    <xf numFmtId="0" fontId="110" fillId="0" borderId="9" xfId="0" applyFont="1" applyBorder="1" applyAlignment="1">
      <alignment horizontal="center" vertical="center"/>
    </xf>
    <xf numFmtId="0" fontId="110" fillId="0" borderId="1" xfId="0" applyFont="1" applyBorder="1" applyAlignment="1">
      <alignment horizontal="center" vertical="center" wrapText="1"/>
    </xf>
    <xf numFmtId="0" fontId="110" fillId="0" borderId="1" xfId="0" applyFont="1" applyBorder="1" applyAlignment="1">
      <alignment horizontal="center" vertical="center"/>
    </xf>
    <xf numFmtId="0" fontId="37" fillId="0" borderId="7" xfId="0" applyFont="1" applyBorder="1" applyAlignment="1">
      <alignment horizontal="justify" vertical="top" wrapText="1"/>
    </xf>
    <xf numFmtId="2" fontId="37" fillId="0" borderId="8" xfId="0" applyNumberFormat="1" applyFont="1" applyBorder="1" applyAlignment="1">
      <alignment horizontal="justify" vertical="top" wrapText="1"/>
    </xf>
    <xf numFmtId="0" fontId="37" fillId="0" borderId="8" xfId="0" applyFont="1" applyBorder="1" applyAlignment="1">
      <alignment horizontal="justify" vertical="top" wrapText="1"/>
    </xf>
    <xf numFmtId="0" fontId="37" fillId="0" borderId="0" xfId="2192" applyFont="1" applyAlignment="1">
      <alignment horizontal="center" vertical="center" wrapText="1"/>
    </xf>
    <xf numFmtId="2" fontId="37" fillId="0" borderId="0" xfId="1238" applyNumberFormat="1" applyFont="1" applyAlignment="1">
      <alignment horizontal="center"/>
    </xf>
    <xf numFmtId="0" fontId="114" fillId="0" borderId="1" xfId="3771" applyFont="1" applyBorder="1" applyAlignment="1">
      <alignment horizontal="center" vertical="center"/>
    </xf>
    <xf numFmtId="2" fontId="99" fillId="0" borderId="1" xfId="3771" applyNumberFormat="1" applyFont="1" applyBorder="1" applyAlignment="1">
      <alignment horizontal="center" vertical="center" wrapText="1"/>
    </xf>
    <xf numFmtId="2" fontId="99" fillId="0" borderId="1" xfId="3771" applyNumberFormat="1" applyFont="1" applyBorder="1" applyAlignment="1">
      <alignment horizontal="center" vertical="center"/>
    </xf>
    <xf numFmtId="1" fontId="99" fillId="0" borderId="1" xfId="3771" applyNumberFormat="1" applyFont="1" applyBorder="1" applyAlignment="1">
      <alignment horizontal="center" vertical="center"/>
    </xf>
    <xf numFmtId="0" fontId="96" fillId="0" borderId="1" xfId="3771" applyFont="1" applyBorder="1" applyAlignment="1">
      <alignment horizontal="justify" vertical="top" wrapText="1"/>
    </xf>
    <xf numFmtId="0" fontId="340" fillId="0" borderId="1" xfId="3771" applyFont="1" applyBorder="1" applyAlignment="1">
      <alignment horizontal="justify" vertical="top" wrapText="1"/>
    </xf>
    <xf numFmtId="1" fontId="112" fillId="0" borderId="0" xfId="0" applyNumberFormat="1" applyFont="1" applyAlignment="1">
      <alignment horizontal="left" vertical="center" wrapText="1"/>
    </xf>
    <xf numFmtId="0" fontId="110" fillId="0" borderId="4" xfId="0" applyFont="1" applyBorder="1" applyAlignment="1">
      <alignment horizontal="center" vertical="center" wrapText="1"/>
    </xf>
    <xf numFmtId="0" fontId="110" fillId="0" borderId="10" xfId="0" applyFont="1" applyBorder="1" applyAlignment="1">
      <alignment horizontal="center" vertical="center" wrapText="1"/>
    </xf>
    <xf numFmtId="0" fontId="110" fillId="0" borderId="5" xfId="0" applyFont="1" applyBorder="1" applyAlignment="1">
      <alignment horizontal="center" vertical="center" wrapText="1"/>
    </xf>
    <xf numFmtId="0" fontId="110" fillId="0" borderId="4" xfId="0" applyFont="1" applyBorder="1" applyAlignment="1">
      <alignment horizontal="center" vertical="center"/>
    </xf>
    <xf numFmtId="0" fontId="110" fillId="0" borderId="10" xfId="0" applyFont="1" applyBorder="1" applyAlignment="1">
      <alignment horizontal="center" vertical="center"/>
    </xf>
    <xf numFmtId="0" fontId="110" fillId="0" borderId="5" xfId="0" applyFont="1" applyBorder="1" applyAlignment="1">
      <alignment horizontal="center" vertical="center"/>
    </xf>
    <xf numFmtId="2" fontId="37" fillId="0" borderId="1" xfId="0" applyNumberFormat="1" applyFont="1" applyBorder="1" applyAlignment="1">
      <alignment horizontal="justify" vertical="top" wrapText="1"/>
    </xf>
    <xf numFmtId="0" fontId="37" fillId="0" borderId="1" xfId="0" applyFont="1" applyBorder="1" applyAlignment="1">
      <alignment horizontal="justify" vertical="top" wrapText="1"/>
    </xf>
    <xf numFmtId="0" fontId="6" fillId="0" borderId="43" xfId="18963" applyFont="1" applyBorder="1" applyAlignment="1">
      <alignment horizontal="justify" vertical="top" wrapText="1"/>
    </xf>
    <xf numFmtId="0" fontId="6" fillId="0" borderId="44" xfId="18963" applyFont="1" applyBorder="1" applyAlignment="1">
      <alignment horizontal="justify" vertical="top" wrapText="1"/>
    </xf>
    <xf numFmtId="0" fontId="6" fillId="0" borderId="45" xfId="18963" applyFont="1" applyBorder="1" applyAlignment="1">
      <alignment horizontal="justify" vertical="top" wrapText="1"/>
    </xf>
    <xf numFmtId="0" fontId="6" fillId="0" borderId="0" xfId="6358" applyFont="1" applyAlignment="1">
      <alignment horizontal="justify" vertical="top" wrapText="1"/>
    </xf>
    <xf numFmtId="0" fontId="6" fillId="0" borderId="107" xfId="18961" applyBorder="1" applyAlignment="1">
      <alignment horizontal="center" vertical="center"/>
    </xf>
    <xf numFmtId="0" fontId="6" fillId="0" borderId="2" xfId="18961" applyBorder="1" applyAlignment="1">
      <alignment horizontal="center" vertical="center"/>
    </xf>
    <xf numFmtId="0" fontId="6" fillId="0" borderId="0" xfId="18963" applyFont="1" applyAlignment="1">
      <alignment horizontal="justify" vertical="top" wrapText="1"/>
    </xf>
    <xf numFmtId="2" fontId="6" fillId="0" borderId="43" xfId="18963" applyNumberFormat="1" applyFont="1" applyBorder="1" applyAlignment="1">
      <alignment horizontal="justify" vertical="top" wrapText="1"/>
    </xf>
    <xf numFmtId="0" fontId="205" fillId="0" borderId="0" xfId="6358" applyFont="1" applyAlignment="1">
      <alignment horizontal="center"/>
    </xf>
    <xf numFmtId="1" fontId="356" fillId="0" borderId="0" xfId="18958" applyNumberFormat="1" applyFont="1" applyAlignment="1" applyProtection="1">
      <alignment horizontal="center" vertical="center" wrapText="1"/>
      <protection locked="0"/>
    </xf>
    <xf numFmtId="0" fontId="356" fillId="0" borderId="0" xfId="18958" applyFont="1" applyAlignment="1" applyProtection="1">
      <alignment horizontal="center" vertical="center" wrapText="1"/>
      <protection locked="0"/>
    </xf>
    <xf numFmtId="0" fontId="7" fillId="0" borderId="9" xfId="18961" applyFont="1" applyBorder="1" applyAlignment="1">
      <alignment horizontal="center" vertical="center"/>
    </xf>
    <xf numFmtId="0" fontId="19" fillId="0" borderId="107" xfId="18961" applyFont="1" applyBorder="1" applyAlignment="1">
      <alignment horizontal="center" vertical="center" wrapText="1"/>
    </xf>
    <xf numFmtId="0" fontId="19" fillId="0" borderId="2" xfId="18961" applyFont="1" applyBorder="1" applyAlignment="1">
      <alignment horizontal="center" vertical="center" wrapText="1"/>
    </xf>
    <xf numFmtId="178" fontId="340" fillId="0" borderId="0" xfId="0" applyNumberFormat="1" applyFont="1" applyAlignment="1">
      <alignment horizontal="center" vertical="center" wrapText="1"/>
    </xf>
    <xf numFmtId="0" fontId="100" fillId="0" borderId="0" xfId="0" applyFont="1" applyAlignment="1">
      <alignment vertical="center" wrapText="1"/>
    </xf>
    <xf numFmtId="0" fontId="122" fillId="0" borderId="0" xfId="0" applyFont="1" applyAlignment="1">
      <alignment vertical="center" wrapText="1"/>
    </xf>
    <xf numFmtId="178" fontId="123" fillId="0" borderId="0" xfId="0" applyNumberFormat="1" applyFont="1" applyAlignment="1">
      <alignment horizontal="center" vertical="center" wrapText="1"/>
    </xf>
    <xf numFmtId="1" fontId="123" fillId="0" borderId="0" xfId="0" applyNumberFormat="1" applyFont="1" applyAlignment="1">
      <alignment horizontal="center" vertical="center" wrapText="1"/>
    </xf>
    <xf numFmtId="1" fontId="100" fillId="0" borderId="0" xfId="0" applyNumberFormat="1" applyFont="1" applyAlignment="1">
      <alignment horizontal="left" vertical="center" wrapText="1"/>
    </xf>
    <xf numFmtId="1" fontId="122" fillId="0" borderId="0" xfId="0" applyNumberFormat="1" applyFont="1" applyAlignment="1">
      <alignment horizontal="left" vertical="center" wrapText="1"/>
    </xf>
    <xf numFmtId="178" fontId="100" fillId="0" borderId="9" xfId="0" applyNumberFormat="1" applyFont="1" applyBorder="1" applyAlignment="1">
      <alignment horizontal="center" vertical="center"/>
    </xf>
    <xf numFmtId="0" fontId="100" fillId="0" borderId="9" xfId="0" applyFont="1" applyBorder="1" applyAlignment="1">
      <alignment horizontal="center" vertical="center"/>
    </xf>
    <xf numFmtId="0" fontId="122" fillId="0" borderId="9" xfId="0" applyFont="1" applyBorder="1" applyAlignment="1">
      <alignment horizontal="center" vertical="center"/>
    </xf>
    <xf numFmtId="0" fontId="100" fillId="0" borderId="1" xfId="0" applyFont="1" applyBorder="1" applyAlignment="1">
      <alignment horizontal="center" vertical="center" wrapText="1"/>
    </xf>
    <xf numFmtId="194" fontId="100" fillId="0" borderId="1" xfId="0" applyNumberFormat="1" applyFont="1" applyBorder="1" applyAlignment="1">
      <alignment horizontal="center" vertical="center"/>
    </xf>
    <xf numFmtId="194" fontId="100" fillId="0" borderId="7" xfId="0" applyNumberFormat="1" applyFont="1" applyBorder="1" applyAlignment="1">
      <alignment horizontal="justify" vertical="top" wrapText="1"/>
    </xf>
    <xf numFmtId="194" fontId="100" fillId="0" borderId="8" xfId="0" applyNumberFormat="1" applyFont="1" applyBorder="1" applyAlignment="1">
      <alignment horizontal="justify" vertical="top" wrapText="1"/>
    </xf>
    <xf numFmtId="194" fontId="100" fillId="0" borderId="40" xfId="0" applyNumberFormat="1" applyFont="1" applyBorder="1" applyAlignment="1">
      <alignment horizontal="justify" vertical="top" wrapText="1"/>
    </xf>
    <xf numFmtId="194" fontId="100" fillId="0" borderId="41" xfId="0" applyNumberFormat="1" applyFont="1" applyBorder="1" applyAlignment="1">
      <alignment horizontal="justify" vertical="top" wrapText="1"/>
    </xf>
    <xf numFmtId="194" fontId="100" fillId="0" borderId="42" xfId="0" applyNumberFormat="1" applyFont="1" applyBorder="1" applyAlignment="1">
      <alignment horizontal="justify" vertical="top" wrapText="1"/>
    </xf>
    <xf numFmtId="0" fontId="100" fillId="0" borderId="0" xfId="2192" applyFont="1" applyAlignment="1">
      <alignment horizontal="center" vertical="center" wrapText="1"/>
    </xf>
    <xf numFmtId="2" fontId="100" fillId="0" borderId="0" xfId="1238" applyNumberFormat="1" applyFont="1" applyAlignment="1">
      <alignment horizontal="center"/>
    </xf>
    <xf numFmtId="1" fontId="126" fillId="0" borderId="0" xfId="0" applyNumberFormat="1" applyFont="1" applyAlignment="1">
      <alignment horizontal="center" vertical="center" wrapText="1"/>
    </xf>
    <xf numFmtId="0" fontId="97" fillId="0" borderId="9" xfId="0" applyFont="1" applyBorder="1" applyAlignment="1">
      <alignment horizontal="center" vertical="center"/>
    </xf>
    <xf numFmtId="0" fontId="122" fillId="0" borderId="1" xfId="0" applyFont="1" applyBorder="1" applyAlignment="1">
      <alignment horizontal="center" vertical="center" wrapText="1"/>
    </xf>
    <xf numFmtId="0" fontId="122" fillId="0" borderId="1" xfId="0" applyFont="1" applyBorder="1" applyAlignment="1">
      <alignment horizontal="center" vertical="center"/>
    </xf>
    <xf numFmtId="2" fontId="100" fillId="0" borderId="1" xfId="0" applyNumberFormat="1" applyFont="1" applyBorder="1" applyAlignment="1">
      <alignment horizontal="justify" vertical="top" wrapText="1"/>
    </xf>
    <xf numFmtId="0" fontId="363" fillId="0" borderId="116" xfId="35078" applyFont="1" applyFill="1" applyBorder="1" applyAlignment="1">
      <alignment horizontal="center" vertical="center" wrapText="1"/>
    </xf>
    <xf numFmtId="0" fontId="363" fillId="0" borderId="108" xfId="35078" applyFont="1" applyFill="1" applyBorder="1" applyAlignment="1">
      <alignment horizontal="center" vertical="center" wrapText="1"/>
    </xf>
    <xf numFmtId="0" fontId="363" fillId="0" borderId="117" xfId="35078" applyFont="1" applyFill="1" applyBorder="1" applyAlignment="1">
      <alignment horizontal="center" vertical="center" wrapText="1"/>
    </xf>
    <xf numFmtId="0" fontId="37" fillId="0" borderId="35" xfId="35078" applyNumberFormat="1" applyFont="1" applyFill="1" applyBorder="1" applyAlignment="1">
      <alignment horizontal="justify" vertical="top" wrapText="1"/>
    </xf>
    <xf numFmtId="0" fontId="365" fillId="0" borderId="116" xfId="35078" applyFont="1" applyFill="1" applyBorder="1" applyAlignment="1">
      <alignment horizontal="center" vertical="center" wrapText="1"/>
    </xf>
    <xf numFmtId="0" fontId="365" fillId="0" borderId="117" xfId="35078" applyFont="1" applyFill="1" applyBorder="1" applyAlignment="1">
      <alignment horizontal="center" vertical="center" wrapText="1"/>
    </xf>
    <xf numFmtId="0" fontId="37" fillId="0" borderId="119" xfId="35078" applyNumberFormat="1" applyFont="1" applyFill="1" applyBorder="1" applyAlignment="1">
      <alignment horizontal="justify" vertical="top" wrapText="1"/>
    </xf>
    <xf numFmtId="1" fontId="363" fillId="0" borderId="108" xfId="35078" applyNumberFormat="1" applyFont="1" applyFill="1" applyBorder="1" applyAlignment="1">
      <alignment horizontal="center" vertical="center" wrapText="1"/>
    </xf>
    <xf numFmtId="2" fontId="375" fillId="0" borderId="106" xfId="0" applyNumberFormat="1" applyFont="1" applyBorder="1" applyAlignment="1">
      <alignment horizontal="justify" vertical="top" wrapText="1"/>
    </xf>
    <xf numFmtId="0" fontId="375" fillId="0" borderId="106" xfId="0" applyFont="1" applyBorder="1" applyAlignment="1">
      <alignment horizontal="justify" vertical="top" wrapText="1"/>
    </xf>
    <xf numFmtId="0" fontId="382" fillId="0" borderId="0" xfId="0" applyFont="1" applyAlignment="1">
      <alignment horizontal="center" vertical="center" wrapText="1"/>
    </xf>
    <xf numFmtId="0" fontId="375" fillId="0" borderId="0" xfId="0" applyFont="1" applyAlignment="1">
      <alignment vertical="center" wrapText="1"/>
    </xf>
    <xf numFmtId="1" fontId="383" fillId="0" borderId="0" xfId="0" applyNumberFormat="1" applyFont="1" applyAlignment="1">
      <alignment horizontal="center" vertical="center" wrapText="1"/>
    </xf>
    <xf numFmtId="1" fontId="382" fillId="0" borderId="0" xfId="0" applyNumberFormat="1" applyFont="1" applyAlignment="1">
      <alignment horizontal="left" vertical="center" wrapText="1"/>
    </xf>
    <xf numFmtId="0" fontId="382" fillId="0" borderId="0" xfId="0" applyFont="1" applyAlignment="1">
      <alignment horizontal="center" vertical="center"/>
    </xf>
    <xf numFmtId="0" fontId="382" fillId="0" borderId="106" xfId="0" applyFont="1" applyBorder="1" applyAlignment="1">
      <alignment horizontal="center" vertical="center" wrapText="1"/>
    </xf>
    <xf numFmtId="0" fontId="382" fillId="0" borderId="106" xfId="0" applyFont="1" applyBorder="1" applyAlignment="1">
      <alignment horizontal="center" vertical="center"/>
    </xf>
    <xf numFmtId="0" fontId="375" fillId="0" borderId="0" xfId="2192" applyFont="1" applyFill="1" applyAlignment="1">
      <alignment horizontal="center" vertical="center" wrapText="1"/>
    </xf>
    <xf numFmtId="2" fontId="375" fillId="0" borderId="0" xfId="1238" applyNumberFormat="1" applyFont="1" applyFill="1" applyAlignment="1">
      <alignment horizontal="center"/>
    </xf>
    <xf numFmtId="2" fontId="386" fillId="0" borderId="1" xfId="0" applyNumberFormat="1" applyFont="1" applyFill="1" applyBorder="1" applyAlignment="1">
      <alignment horizontal="center" vertical="center" wrapText="1"/>
    </xf>
    <xf numFmtId="0" fontId="385" fillId="0" borderId="1" xfId="0" applyFont="1" applyFill="1" applyBorder="1" applyAlignment="1">
      <alignment horizontal="center" vertical="center" wrapText="1"/>
    </xf>
    <xf numFmtId="1" fontId="386" fillId="0" borderId="1" xfId="0" applyNumberFormat="1" applyFont="1" applyFill="1" applyBorder="1" applyAlignment="1">
      <alignment horizontal="left" vertical="top" wrapText="1"/>
    </xf>
    <xf numFmtId="1" fontId="385" fillId="0" borderId="1" xfId="0" applyNumberFormat="1" applyFont="1" applyFill="1" applyBorder="1" applyAlignment="1">
      <alignment horizontal="left" vertical="top" wrapText="1"/>
    </xf>
    <xf numFmtId="0" fontId="386" fillId="0" borderId="1" xfId="0" applyFont="1" applyFill="1" applyBorder="1" applyAlignment="1">
      <alignment horizontal="center" vertical="center" wrapText="1"/>
    </xf>
    <xf numFmtId="0" fontId="386" fillId="0" borderId="1" xfId="0" applyFont="1" applyFill="1" applyBorder="1" applyAlignment="1">
      <alignment horizontal="center" vertical="center"/>
    </xf>
    <xf numFmtId="0" fontId="385" fillId="0" borderId="1" xfId="0" applyFont="1" applyFill="1" applyBorder="1" applyAlignment="1" applyProtection="1">
      <alignment horizontal="justify" vertical="center" wrapText="1"/>
      <protection locked="0"/>
    </xf>
    <xf numFmtId="0" fontId="389" fillId="0" borderId="1" xfId="0" applyFont="1" applyFill="1" applyBorder="1" applyAlignment="1">
      <alignment horizontal="left" vertical="top" wrapText="1"/>
    </xf>
    <xf numFmtId="0" fontId="385" fillId="0" borderId="1" xfId="0" applyFont="1" applyFill="1" applyBorder="1" applyAlignment="1" applyProtection="1">
      <alignment horizontal="justify" vertical="top" wrapText="1"/>
      <protection locked="0"/>
    </xf>
    <xf numFmtId="0" fontId="385" fillId="0" borderId="1" xfId="0" applyFont="1" applyFill="1" applyBorder="1" applyAlignment="1">
      <alignment horizontal="justify" vertical="top" wrapText="1"/>
    </xf>
    <xf numFmtId="2" fontId="385" fillId="0" borderId="1" xfId="0" applyNumberFormat="1" applyFont="1" applyFill="1" applyBorder="1" applyAlignment="1">
      <alignment horizontal="center" vertical="center" wrapText="1"/>
    </xf>
    <xf numFmtId="0" fontId="385" fillId="0" borderId="1" xfId="0" applyFont="1" applyFill="1" applyBorder="1" applyAlignment="1" applyProtection="1">
      <alignment horizontal="justify" vertical="top" wrapText="1"/>
      <protection hidden="1"/>
    </xf>
    <xf numFmtId="0" fontId="386" fillId="0" borderId="1" xfId="0" applyFont="1" applyFill="1" applyBorder="1" applyAlignment="1" applyProtection="1">
      <alignment horizontal="center" vertical="center"/>
      <protection hidden="1"/>
    </xf>
    <xf numFmtId="2" fontId="386" fillId="0" borderId="1" xfId="0" applyNumberFormat="1" applyFont="1" applyFill="1" applyBorder="1" applyAlignment="1" applyProtection="1">
      <alignment horizontal="left" vertical="center"/>
      <protection hidden="1"/>
    </xf>
    <xf numFmtId="0" fontId="386" fillId="0" borderId="1" xfId="0" applyFont="1" applyFill="1" applyBorder="1" applyAlignment="1" applyProtection="1">
      <alignment horizontal="left" vertical="center"/>
      <protection hidden="1"/>
    </xf>
    <xf numFmtId="2" fontId="385" fillId="0" borderId="1" xfId="0" applyNumberFormat="1" applyFont="1" applyFill="1" applyBorder="1" applyAlignment="1" applyProtection="1">
      <alignment horizontal="left" vertical="center"/>
      <protection hidden="1"/>
    </xf>
    <xf numFmtId="0" fontId="385" fillId="0" borderId="1" xfId="0" applyFont="1" applyFill="1" applyBorder="1" applyAlignment="1" applyProtection="1">
      <alignment horizontal="left" vertical="center"/>
      <protection hidden="1"/>
    </xf>
    <xf numFmtId="0" fontId="386" fillId="0" borderId="1" xfId="0" applyFont="1" applyFill="1" applyBorder="1" applyAlignment="1" applyProtection="1">
      <alignment horizontal="right" vertical="center"/>
      <protection hidden="1"/>
    </xf>
    <xf numFmtId="0" fontId="386" fillId="0" borderId="1" xfId="0" applyFont="1" applyFill="1" applyBorder="1" applyAlignment="1" applyProtection="1">
      <alignment horizontal="left" vertical="center" wrapText="1"/>
      <protection hidden="1"/>
    </xf>
    <xf numFmtId="0" fontId="385" fillId="0" borderId="1" xfId="0" applyFont="1" applyFill="1" applyBorder="1" applyAlignment="1" applyProtection="1">
      <alignment horizontal="left" vertical="center" wrapText="1"/>
      <protection hidden="1"/>
    </xf>
    <xf numFmtId="2" fontId="385" fillId="0" borderId="1" xfId="0" applyNumberFormat="1" applyFont="1" applyFill="1" applyBorder="1" applyAlignment="1" applyProtection="1">
      <alignment horizontal="left" vertical="center" wrapText="1"/>
      <protection hidden="1"/>
    </xf>
    <xf numFmtId="2" fontId="385" fillId="0" borderId="1" xfId="0" applyNumberFormat="1" applyFont="1" applyFill="1" applyBorder="1" applyAlignment="1" applyProtection="1">
      <alignment horizontal="left" vertical="top" wrapText="1"/>
      <protection hidden="1"/>
    </xf>
    <xf numFmtId="0" fontId="385" fillId="0" borderId="1" xfId="0" applyFont="1" applyFill="1" applyBorder="1" applyAlignment="1" applyProtection="1">
      <alignment vertical="top" wrapText="1"/>
      <protection hidden="1"/>
    </xf>
    <xf numFmtId="0" fontId="385" fillId="0" borderId="1" xfId="0" applyFont="1" applyFill="1" applyBorder="1" applyAlignment="1" applyProtection="1">
      <alignment horizontal="left" vertical="top" wrapText="1"/>
      <protection hidden="1"/>
    </xf>
    <xf numFmtId="0" fontId="386" fillId="0" borderId="1" xfId="0" applyFont="1" applyFill="1" applyBorder="1" applyAlignment="1" applyProtection="1">
      <alignment vertical="top" wrapText="1"/>
      <protection hidden="1"/>
    </xf>
    <xf numFmtId="1" fontId="373" fillId="0" borderId="0" xfId="26860" applyNumberFormat="1" applyFont="1" applyBorder="1" applyAlignment="1">
      <alignment horizontal="left" vertical="justify"/>
    </xf>
    <xf numFmtId="0" fontId="373" fillId="0" borderId="0" xfId="26860" applyFont="1" applyBorder="1" applyAlignment="1">
      <alignment horizontal="left" vertical="justify"/>
    </xf>
    <xf numFmtId="0" fontId="371" fillId="0" borderId="115" xfId="35080" applyFont="1" applyBorder="1" applyAlignment="1">
      <alignment horizontal="center" vertical="center" wrapText="1"/>
    </xf>
    <xf numFmtId="0" fontId="371" fillId="0" borderId="115" xfId="35080" applyFont="1" applyBorder="1" applyAlignment="1">
      <alignment horizontal="left" vertical="center" wrapText="1"/>
    </xf>
    <xf numFmtId="0" fontId="371" fillId="0" borderId="0" xfId="35082" applyFont="1" applyFill="1" applyBorder="1" applyAlignment="1">
      <alignment horizontal="justify" vertical="top" wrapText="1"/>
    </xf>
    <xf numFmtId="0" fontId="374" fillId="0" borderId="115" xfId="35080" applyFont="1" applyBorder="1" applyAlignment="1">
      <alignment horizontal="center" vertical="center" wrapText="1"/>
    </xf>
    <xf numFmtId="0" fontId="371" fillId="0" borderId="0" xfId="26860" applyFont="1" applyAlignment="1">
      <alignment horizontal="left" vertical="justify"/>
    </xf>
    <xf numFmtId="0" fontId="374" fillId="0" borderId="0" xfId="35080" applyFont="1" applyBorder="1" applyAlignment="1">
      <alignment horizontal="center" vertical="center" wrapText="1"/>
    </xf>
    <xf numFmtId="0" fontId="371" fillId="0" borderId="0" xfId="35080" applyFont="1" applyBorder="1" applyAlignment="1">
      <alignment horizontal="center" vertical="center" wrapText="1"/>
    </xf>
    <xf numFmtId="1" fontId="97" fillId="0" borderId="0" xfId="2477" applyNumberFormat="1" applyFont="1" applyAlignment="1">
      <alignment horizontal="center" vertical="center"/>
    </xf>
    <xf numFmtId="0" fontId="97" fillId="0" borderId="9" xfId="1617" applyFont="1" applyBorder="1" applyAlignment="1">
      <alignment horizontal="center" vertical="center" wrapText="1"/>
    </xf>
    <xf numFmtId="2" fontId="97" fillId="0" borderId="1" xfId="2477" applyNumberFormat="1" applyFont="1" applyBorder="1" applyAlignment="1">
      <alignment horizontal="center" vertical="center"/>
    </xf>
    <xf numFmtId="0" fontId="95" fillId="0" borderId="7" xfId="2477" applyFont="1" applyBorder="1" applyAlignment="1">
      <alignment horizontal="justify" vertical="center" wrapText="1"/>
    </xf>
    <xf numFmtId="2" fontId="95" fillId="0" borderId="0" xfId="1238" applyNumberFormat="1" applyFont="1" applyAlignment="1">
      <alignment horizontal="center"/>
    </xf>
    <xf numFmtId="0" fontId="95" fillId="0" borderId="8" xfId="2477" applyFont="1" applyBorder="1" applyAlignment="1">
      <alignment horizontal="justify" vertical="top" wrapText="1"/>
    </xf>
    <xf numFmtId="2" fontId="95" fillId="0" borderId="8" xfId="2477" applyNumberFormat="1" applyFont="1" applyBorder="1" applyAlignment="1">
      <alignment horizontal="left" vertical="center"/>
    </xf>
    <xf numFmtId="2" fontId="97" fillId="0" borderId="0" xfId="0" applyNumberFormat="1" applyFont="1" applyFill="1" applyAlignment="1">
      <alignment horizontal="center" vertical="center" wrapText="1"/>
    </xf>
    <xf numFmtId="0" fontId="95" fillId="0" borderId="0" xfId="0" applyFont="1" applyFill="1" applyAlignment="1">
      <alignment horizontal="center" vertical="center" wrapText="1"/>
    </xf>
    <xf numFmtId="2" fontId="97" fillId="0" borderId="0" xfId="0" applyNumberFormat="1" applyFont="1" applyFill="1" applyAlignment="1">
      <alignment horizontal="right" vertical="top"/>
    </xf>
    <xf numFmtId="0" fontId="95" fillId="0" borderId="0" xfId="0" applyFont="1" applyFill="1" applyAlignment="1">
      <alignment horizontal="center" vertical="center"/>
    </xf>
    <xf numFmtId="0" fontId="97" fillId="0" borderId="1" xfId="0" applyFont="1" applyFill="1" applyBorder="1" applyAlignment="1">
      <alignment horizontal="center" vertical="center" wrapText="1"/>
    </xf>
    <xf numFmtId="0" fontId="95" fillId="0" borderId="1" xfId="0" applyFont="1" applyFill="1" applyBorder="1" applyAlignment="1">
      <alignment horizontal="justify" vertical="top" wrapText="1"/>
    </xf>
    <xf numFmtId="0" fontId="95" fillId="0" borderId="1" xfId="0" applyFont="1" applyFill="1" applyBorder="1" applyAlignment="1">
      <alignment horizontal="left"/>
    </xf>
    <xf numFmtId="0" fontId="95" fillId="0" borderId="1" xfId="0" applyFont="1" applyFill="1" applyBorder="1" applyAlignment="1">
      <alignment horizontal="left" vertical="top" wrapText="1"/>
    </xf>
    <xf numFmtId="0" fontId="95" fillId="0" borderId="1" xfId="0" applyFont="1" applyFill="1" applyBorder="1" applyAlignment="1" applyProtection="1">
      <alignment horizontal="justify" vertical="top" wrapText="1"/>
      <protection hidden="1"/>
    </xf>
    <xf numFmtId="0" fontId="97" fillId="0" borderId="1" xfId="0" applyFont="1" applyFill="1" applyBorder="1" applyAlignment="1">
      <alignment horizontal="left" vertical="center" wrapText="1"/>
    </xf>
    <xf numFmtId="2" fontId="97" fillId="0" borderId="1" xfId="0" applyNumberFormat="1" applyFont="1" applyFill="1" applyBorder="1" applyAlignment="1">
      <alignment horizontal="left" vertical="center" shrinkToFit="1"/>
    </xf>
    <xf numFmtId="0" fontId="95" fillId="0" borderId="1" xfId="0" applyFont="1" applyFill="1" applyBorder="1" applyAlignment="1">
      <alignment vertical="top"/>
    </xf>
    <xf numFmtId="0" fontId="95" fillId="0" borderId="1" xfId="0" applyFont="1" applyFill="1" applyBorder="1" applyAlignment="1">
      <alignment vertical="top" wrapText="1"/>
    </xf>
    <xf numFmtId="0" fontId="97" fillId="0" borderId="1" xfId="0" applyFont="1" applyFill="1" applyBorder="1" applyAlignment="1">
      <alignment horizontal="justify" vertical="center" wrapText="1"/>
    </xf>
    <xf numFmtId="0" fontId="95" fillId="0" borderId="1" xfId="0" applyFont="1" applyFill="1" applyBorder="1" applyAlignment="1">
      <alignment horizontal="justify" vertical="center" wrapText="1"/>
    </xf>
    <xf numFmtId="0" fontId="340" fillId="0" borderId="1" xfId="0" applyFont="1" applyFill="1" applyBorder="1" applyAlignment="1">
      <alignment horizontal="justify" vertical="top" wrapText="1"/>
    </xf>
    <xf numFmtId="0" fontId="97" fillId="0" borderId="1" xfId="0" applyFont="1" applyFill="1" applyBorder="1" applyAlignment="1">
      <alignment horizontal="justify" vertical="top" wrapText="1"/>
    </xf>
    <xf numFmtId="2" fontId="95" fillId="0" borderId="1" xfId="0" applyNumberFormat="1" applyFont="1" applyFill="1" applyBorder="1" applyAlignment="1">
      <alignment horizontal="center" vertical="center"/>
    </xf>
    <xf numFmtId="2" fontId="95" fillId="0" borderId="0" xfId="0" applyNumberFormat="1" applyFont="1" applyFill="1" applyAlignment="1">
      <alignment horizontal="center" vertical="center"/>
    </xf>
    <xf numFmtId="1" fontId="97" fillId="0" borderId="0" xfId="0" applyNumberFormat="1" applyFont="1" applyFill="1" applyAlignment="1">
      <alignment horizontal="left" vertical="top" wrapText="1"/>
    </xf>
    <xf numFmtId="1" fontId="95" fillId="0" borderId="0" xfId="0" applyNumberFormat="1" applyFont="1" applyFill="1" applyAlignment="1">
      <alignment horizontal="left" vertical="top" wrapText="1"/>
    </xf>
    <xf numFmtId="1" fontId="95" fillId="0" borderId="0" xfId="0" applyNumberFormat="1" applyFont="1" applyFill="1" applyAlignment="1">
      <alignment horizontal="left" vertical="center" wrapText="1"/>
    </xf>
    <xf numFmtId="0" fontId="95" fillId="0" borderId="1" xfId="0" applyFont="1" applyFill="1" applyBorder="1" applyAlignment="1">
      <alignment horizontal="justify" vertical="top"/>
    </xf>
    <xf numFmtId="2" fontId="95" fillId="0" borderId="1" xfId="0" applyNumberFormat="1" applyFont="1" applyFill="1" applyBorder="1" applyAlignment="1">
      <alignment horizontal="left" vertical="center" wrapText="1"/>
    </xf>
    <xf numFmtId="0" fontId="95" fillId="0" borderId="1" xfId="3756" applyFont="1" applyFill="1" applyBorder="1" applyAlignment="1">
      <alignment horizontal="justify" vertical="top" wrapText="1"/>
    </xf>
    <xf numFmtId="0" fontId="95" fillId="0" borderId="1" xfId="3756" applyFont="1" applyFill="1" applyBorder="1" applyAlignment="1">
      <alignment horizontal="justify" vertical="top"/>
    </xf>
    <xf numFmtId="2" fontId="95" fillId="0" borderId="1" xfId="3756" applyNumberFormat="1" applyFont="1" applyFill="1" applyBorder="1" applyAlignment="1">
      <alignment horizontal="left" vertical="top" wrapText="1"/>
    </xf>
    <xf numFmtId="0" fontId="387" fillId="0" borderId="1" xfId="0" applyFont="1" applyBorder="1" applyAlignment="1" applyProtection="1">
      <alignment horizontal="center" vertical="center" wrapText="1"/>
      <protection locked="0"/>
    </xf>
    <xf numFmtId="0" fontId="386" fillId="0" borderId="1" xfId="0" applyFont="1" applyBorder="1" applyAlignment="1" applyProtection="1">
      <alignment horizontal="center" vertical="center" wrapText="1"/>
      <protection locked="0"/>
    </xf>
    <xf numFmtId="1" fontId="386" fillId="0" borderId="4" xfId="0" applyNumberFormat="1" applyFont="1" applyBorder="1" applyAlignment="1" applyProtection="1">
      <alignment horizontal="center" vertical="center" wrapText="1"/>
      <protection locked="0"/>
    </xf>
    <xf numFmtId="0" fontId="386" fillId="0" borderId="10" xfId="0" applyFont="1" applyBorder="1" applyAlignment="1" applyProtection="1">
      <alignment horizontal="center" vertical="center" wrapText="1"/>
      <protection locked="0"/>
    </xf>
    <xf numFmtId="0" fontId="386" fillId="0" borderId="5" xfId="0" applyFont="1" applyBorder="1" applyAlignment="1" applyProtection="1">
      <alignment horizontal="center" vertical="center" wrapText="1"/>
      <protection locked="0"/>
    </xf>
    <xf numFmtId="0" fontId="385" fillId="0" borderId="0" xfId="0" applyFont="1" applyAlignment="1" applyProtection="1">
      <alignment horizontal="left" wrapText="1"/>
      <protection locked="0"/>
    </xf>
    <xf numFmtId="0" fontId="385" fillId="0" borderId="0" xfId="2192" applyFont="1" applyAlignment="1" applyProtection="1">
      <alignment horizontal="left" vertical="top" wrapText="1"/>
      <protection locked="0"/>
    </xf>
    <xf numFmtId="0" fontId="385" fillId="0" borderId="0" xfId="0" applyFont="1" applyAlignment="1" applyProtection="1">
      <alignment horizontal="left" vertical="top" wrapText="1"/>
      <protection locked="0"/>
    </xf>
    <xf numFmtId="2" fontId="382" fillId="0" borderId="0" xfId="0" applyNumberFormat="1" applyFont="1" applyAlignment="1">
      <alignment horizontal="center" vertical="center" wrapText="1"/>
    </xf>
    <xf numFmtId="2" fontId="382" fillId="0" borderId="0" xfId="0" applyNumberFormat="1" applyFont="1" applyAlignment="1">
      <alignment horizontal="right" vertical="top"/>
    </xf>
    <xf numFmtId="1" fontId="382" fillId="0" borderId="0" xfId="0" applyNumberFormat="1" applyFont="1" applyAlignment="1">
      <alignment horizontal="left" vertical="top" wrapText="1"/>
    </xf>
    <xf numFmtId="1" fontId="375" fillId="0" borderId="0" xfId="0" applyNumberFormat="1" applyFont="1" applyAlignment="1">
      <alignment horizontal="left" vertical="top" wrapText="1"/>
    </xf>
    <xf numFmtId="0" fontId="375" fillId="0" borderId="1" xfId="0" applyFont="1" applyBorder="1" applyAlignment="1">
      <alignment horizontal="center" vertical="center" wrapText="1"/>
    </xf>
    <xf numFmtId="0" fontId="375" fillId="0" borderId="1" xfId="0" applyFont="1" applyBorder="1" applyAlignment="1">
      <alignment horizontal="justify" vertical="top" wrapText="1"/>
    </xf>
    <xf numFmtId="0" fontId="382" fillId="0" borderId="1" xfId="0" applyFont="1" applyBorder="1" applyAlignment="1">
      <alignment horizontal="left" vertical="center" wrapText="1"/>
    </xf>
    <xf numFmtId="0" fontId="382" fillId="0" borderId="1" xfId="0" applyFont="1" applyBorder="1" applyAlignment="1" applyProtection="1">
      <alignment horizontal="left" vertical="center"/>
      <protection hidden="1"/>
    </xf>
    <xf numFmtId="0" fontId="375" fillId="0" borderId="1" xfId="0" applyFont="1" applyBorder="1" applyAlignment="1" applyProtection="1">
      <alignment horizontal="justify" vertical="top" wrapText="1"/>
      <protection locked="0"/>
    </xf>
    <xf numFmtId="0" fontId="375" fillId="0" borderId="1" xfId="0" applyFont="1" applyBorder="1" applyAlignment="1" applyProtection="1">
      <alignment horizontal="justify" vertical="top" wrapText="1"/>
      <protection hidden="1"/>
    </xf>
    <xf numFmtId="2" fontId="375" fillId="0" borderId="0" xfId="0" applyNumberFormat="1" applyFont="1" applyAlignment="1">
      <alignment horizontal="left" vertical="center"/>
    </xf>
    <xf numFmtId="0" fontId="375" fillId="0" borderId="1" xfId="0" applyFont="1" applyBorder="1" applyAlignment="1">
      <alignment horizontal="center" vertical="center"/>
    </xf>
    <xf numFmtId="0" fontId="375" fillId="0" borderId="1" xfId="0" applyFont="1" applyBorder="1" applyAlignment="1" applyProtection="1">
      <alignment horizontal="justify" vertical="center" wrapText="1"/>
      <protection hidden="1"/>
    </xf>
    <xf numFmtId="0" fontId="382" fillId="0" borderId="1" xfId="0" applyFont="1" applyBorder="1" applyAlignment="1" applyProtection="1">
      <alignment horizontal="center" vertical="center" wrapText="1"/>
      <protection hidden="1"/>
    </xf>
    <xf numFmtId="0" fontId="375" fillId="0" borderId="1" xfId="0" applyFont="1" applyBorder="1" applyAlignment="1">
      <alignment horizontal="justify" vertical="center" wrapText="1"/>
    </xf>
    <xf numFmtId="0" fontId="375" fillId="0" borderId="0" xfId="0" applyFont="1" applyAlignment="1">
      <alignment horizontal="left" vertical="center"/>
    </xf>
    <xf numFmtId="0" fontId="371" fillId="0" borderId="0" xfId="1618" applyFont="1" applyAlignment="1">
      <alignment horizontal="center" vertical="center"/>
    </xf>
    <xf numFmtId="2" fontId="379" fillId="0" borderId="1" xfId="1618" applyNumberFormat="1" applyFont="1" applyBorder="1" applyAlignment="1">
      <alignment horizontal="center" vertical="center" wrapText="1"/>
    </xf>
    <xf numFmtId="0" fontId="379" fillId="0" borderId="1" xfId="1618" applyFont="1" applyBorder="1" applyAlignment="1">
      <alignment horizontal="right" vertical="center" wrapText="1"/>
    </xf>
    <xf numFmtId="0" fontId="386" fillId="0" borderId="0" xfId="1618" applyFont="1" applyAlignment="1">
      <alignment horizontal="center"/>
    </xf>
    <xf numFmtId="1" fontId="382" fillId="0" borderId="9" xfId="1618" applyNumberFormat="1" applyFont="1" applyBorder="1" applyAlignment="1">
      <alignment horizontal="center" vertical="center" wrapText="1"/>
    </xf>
    <xf numFmtId="0" fontId="382" fillId="0" borderId="9" xfId="1618" applyFont="1" applyBorder="1" applyAlignment="1">
      <alignment horizontal="center" vertical="center" wrapText="1"/>
    </xf>
    <xf numFmtId="0" fontId="38" fillId="0" borderId="0" xfId="0" applyFont="1" applyAlignment="1">
      <alignment horizontal="center"/>
    </xf>
    <xf numFmtId="0" fontId="38" fillId="0" borderId="0" xfId="0" applyFont="1"/>
    <xf numFmtId="0" fontId="88" fillId="0" borderId="0" xfId="0" applyFont="1" applyAlignment="1">
      <alignment horizontal="center" vertical="top"/>
    </xf>
    <xf numFmtId="1" fontId="88" fillId="0" borderId="0" xfId="0" applyNumberFormat="1" applyFont="1" applyAlignment="1">
      <alignment horizontal="justify" vertical="justify" wrapText="1"/>
    </xf>
    <xf numFmtId="0" fontId="88" fillId="0" borderId="0" xfId="0" applyFont="1"/>
    <xf numFmtId="2" fontId="88" fillId="0" borderId="1" xfId="0" applyNumberFormat="1" applyFont="1" applyBorder="1" applyAlignment="1">
      <alignment horizontal="center" vertical="center"/>
    </xf>
    <xf numFmtId="0" fontId="38" fillId="0" borderId="0" xfId="0" applyFont="1" applyAlignment="1">
      <alignment horizontal="justify" vertical="top" wrapText="1"/>
    </xf>
    <xf numFmtId="0" fontId="38" fillId="0" borderId="0" xfId="0" applyFont="1" applyAlignment="1">
      <alignment horizontal="left"/>
    </xf>
    <xf numFmtId="0" fontId="88" fillId="0" borderId="0" xfId="0" applyFont="1" applyAlignment="1">
      <alignment horizontal="center" wrapText="1"/>
    </xf>
    <xf numFmtId="0" fontId="88" fillId="0" borderId="0" xfId="0" applyFont="1" applyAlignment="1">
      <alignment horizontal="left"/>
    </xf>
    <xf numFmtId="0" fontId="67" fillId="3" borderId="16" xfId="598" applyFont="1" applyFill="1" applyBorder="1" applyAlignment="1">
      <alignment horizontal="left" vertical="top" wrapText="1"/>
    </xf>
    <xf numFmtId="0" fontId="67" fillId="3" borderId="17" xfId="598" applyFont="1" applyFill="1" applyBorder="1" applyAlignment="1">
      <alignment horizontal="left" vertical="top" wrapText="1"/>
    </xf>
    <xf numFmtId="0" fontId="67" fillId="3" borderId="30" xfId="598" applyFont="1" applyFill="1" applyBorder="1" applyAlignment="1">
      <alignment horizontal="left" vertical="top" wrapText="1"/>
    </xf>
    <xf numFmtId="0" fontId="68" fillId="0" borderId="19" xfId="598" applyFont="1" applyBorder="1" applyAlignment="1">
      <alignment horizontal="center" vertical="top"/>
    </xf>
    <xf numFmtId="0" fontId="68" fillId="0" borderId="14" xfId="598" applyFont="1" applyBorder="1" applyAlignment="1">
      <alignment horizontal="center" vertical="top"/>
    </xf>
    <xf numFmtId="0" fontId="68" fillId="0" borderId="31" xfId="598" applyFont="1" applyBorder="1" applyAlignment="1">
      <alignment horizontal="center" vertical="top"/>
    </xf>
    <xf numFmtId="0" fontId="45" fillId="0" borderId="0" xfId="598" applyFont="1" applyAlignment="1">
      <alignment horizontal="center" vertical="center"/>
    </xf>
    <xf numFmtId="0" fontId="46" fillId="0" borderId="0" xfId="598" applyFont="1" applyAlignment="1">
      <alignment horizontal="center" vertical="top"/>
    </xf>
    <xf numFmtId="0" fontId="41" fillId="0" borderId="0" xfId="598" applyFont="1" applyAlignment="1">
      <alignment horizontal="justify" vertical="top" wrapText="1"/>
    </xf>
    <xf numFmtId="0" fontId="41" fillId="0" borderId="0" xfId="598" applyFont="1" applyAlignment="1">
      <alignment vertical="top" wrapText="1"/>
    </xf>
    <xf numFmtId="0" fontId="48" fillId="0" borderId="0" xfId="598" applyFont="1" applyAlignment="1">
      <alignment vertical="top" wrapText="1"/>
    </xf>
    <xf numFmtId="0" fontId="41" fillId="0" borderId="0" xfId="598" applyFont="1" applyAlignment="1">
      <alignment horizontal="center" vertical="top" wrapText="1"/>
    </xf>
    <xf numFmtId="0" fontId="49" fillId="0" borderId="0" xfId="598" quotePrefix="1" applyFont="1" applyAlignment="1">
      <alignment horizontal="center" vertical="top" wrapText="1"/>
    </xf>
    <xf numFmtId="0" fontId="49" fillId="0" borderId="0" xfId="598" applyFont="1" applyAlignment="1">
      <alignment horizontal="center" vertical="top" wrapText="1"/>
    </xf>
    <xf numFmtId="0" fontId="50" fillId="0" borderId="0" xfId="3472" applyFont="1" applyAlignment="1">
      <alignment horizontal="left" vertical="top" wrapText="1"/>
    </xf>
    <xf numFmtId="0" fontId="41" fillId="0" borderId="9" xfId="598" applyFont="1" applyBorder="1" applyAlignment="1">
      <alignment horizontal="justify" vertical="top" wrapText="1"/>
    </xf>
    <xf numFmtId="168" fontId="42" fillId="0" borderId="1" xfId="598" applyNumberFormat="1" applyFont="1" applyBorder="1" applyAlignment="1">
      <alignment horizontal="center" vertical="top" wrapText="1"/>
    </xf>
    <xf numFmtId="0" fontId="41" fillId="0" borderId="1" xfId="598" applyFont="1" applyBorder="1" applyAlignment="1">
      <alignment horizontal="left" vertical="top" wrapText="1"/>
    </xf>
    <xf numFmtId="168" fontId="52" fillId="0" borderId="1" xfId="598" applyNumberFormat="1" applyFont="1" applyBorder="1" applyAlignment="1">
      <alignment horizontal="center" vertical="top" wrapText="1"/>
    </xf>
    <xf numFmtId="170" fontId="53" fillId="0" borderId="4" xfId="598" applyNumberFormat="1" applyFont="1" applyBorder="1" applyAlignment="1">
      <alignment horizontal="center" vertical="top" wrapText="1"/>
    </xf>
    <xf numFmtId="170" fontId="53" fillId="0" borderId="5" xfId="598" applyNumberFormat="1" applyFont="1" applyBorder="1" applyAlignment="1">
      <alignment horizontal="center" vertical="top" wrapText="1"/>
    </xf>
    <xf numFmtId="0" fontId="41" fillId="0" borderId="0" xfId="598" applyFont="1" applyAlignment="1">
      <alignment horizontal="justify" vertical="center" wrapText="1"/>
    </xf>
    <xf numFmtId="0" fontId="41" fillId="0" borderId="1" xfId="3472" applyFont="1" applyBorder="1" applyAlignment="1">
      <alignment horizontal="center" vertical="top" wrapText="1"/>
    </xf>
    <xf numFmtId="2" fontId="41" fillId="0" borderId="1" xfId="3472" applyNumberFormat="1" applyFont="1" applyBorder="1" applyAlignment="1">
      <alignment horizontal="center" vertical="top" wrapText="1"/>
    </xf>
    <xf numFmtId="0" fontId="54" fillId="0" borderId="4" xfId="3472" applyFont="1" applyBorder="1" applyAlignment="1">
      <alignment horizontal="left" vertical="center" wrapText="1"/>
    </xf>
    <xf numFmtId="0" fontId="54" fillId="0" borderId="5" xfId="3472" applyFont="1" applyBorder="1" applyAlignment="1">
      <alignment horizontal="left" vertical="center" wrapText="1"/>
    </xf>
    <xf numFmtId="2" fontId="55" fillId="0" borderId="1" xfId="3472" applyNumberFormat="1" applyFont="1" applyBorder="1" applyAlignment="1">
      <alignment horizontal="center" vertical="center" wrapText="1"/>
    </xf>
    <xf numFmtId="2" fontId="42" fillId="0" borderId="1" xfId="3472" applyNumberFormat="1" applyFont="1" applyBorder="1" applyAlignment="1">
      <alignment horizontal="center" vertical="center" wrapText="1"/>
    </xf>
    <xf numFmtId="0" fontId="54" fillId="0" borderId="4" xfId="3472" applyFont="1" applyBorder="1" applyAlignment="1">
      <alignment horizontal="left" vertical="top" wrapText="1"/>
    </xf>
    <xf numFmtId="0" fontId="54" fillId="0" borderId="5" xfId="3472" applyFont="1" applyBorder="1" applyAlignment="1">
      <alignment horizontal="left" vertical="top" wrapText="1"/>
    </xf>
    <xf numFmtId="2" fontId="55" fillId="0" borderId="1" xfId="3472" applyNumberFormat="1" applyFont="1" applyBorder="1" applyAlignment="1">
      <alignment horizontal="center" vertical="top" wrapText="1"/>
    </xf>
    <xf numFmtId="2" fontId="42" fillId="0" borderId="1" xfId="3472" applyNumberFormat="1" applyFont="1" applyBorder="1" applyAlignment="1">
      <alignment horizontal="center" vertical="top" wrapText="1"/>
    </xf>
    <xf numFmtId="0" fontId="54" fillId="0" borderId="1" xfId="3472" applyFont="1" applyBorder="1" applyAlignment="1">
      <alignment horizontal="left" vertical="top" wrapText="1"/>
    </xf>
    <xf numFmtId="2" fontId="55" fillId="0" borderId="4" xfId="3472" applyNumberFormat="1" applyFont="1" applyBorder="1" applyAlignment="1">
      <alignment horizontal="center" vertical="top" wrapText="1"/>
    </xf>
    <xf numFmtId="2" fontId="55" fillId="0" borderId="5" xfId="3472" applyNumberFormat="1" applyFont="1" applyBorder="1" applyAlignment="1">
      <alignment horizontal="center" vertical="top" wrapText="1"/>
    </xf>
    <xf numFmtId="2" fontId="56" fillId="0" borderId="1" xfId="3472" applyNumberFormat="1" applyFont="1" applyBorder="1" applyAlignment="1">
      <alignment horizontal="center" vertical="top" wrapText="1"/>
    </xf>
    <xf numFmtId="2" fontId="42" fillId="0" borderId="4" xfId="3472" applyNumberFormat="1" applyFont="1" applyBorder="1" applyAlignment="1">
      <alignment horizontal="left" vertical="top" wrapText="1"/>
    </xf>
    <xf numFmtId="2" fontId="42" fillId="0" borderId="5" xfId="3472" applyNumberFormat="1" applyFont="1" applyBorder="1" applyAlignment="1">
      <alignment horizontal="left" vertical="top" wrapText="1"/>
    </xf>
    <xf numFmtId="0" fontId="57" fillId="0" borderId="3" xfId="3472" applyFont="1" applyBorder="1" applyAlignment="1">
      <alignment horizontal="center" wrapText="1"/>
    </xf>
    <xf numFmtId="0" fontId="57" fillId="0" borderId="9" xfId="3472" applyFont="1" applyBorder="1" applyAlignment="1">
      <alignment horizontal="center" wrapText="1"/>
    </xf>
    <xf numFmtId="0" fontId="57" fillId="0" borderId="15" xfId="3472" applyFont="1" applyBorder="1" applyAlignment="1">
      <alignment horizontal="center" wrapText="1"/>
    </xf>
    <xf numFmtId="0" fontId="43" fillId="0" borderId="2" xfId="3472" applyFont="1" applyBorder="1" applyAlignment="1">
      <alignment horizontal="left" vertical="center" wrapText="1"/>
    </xf>
    <xf numFmtId="0" fontId="57" fillId="0" borderId="1" xfId="3472" applyFont="1" applyBorder="1" applyAlignment="1">
      <alignment horizontal="center" vertical="center" wrapText="1"/>
    </xf>
    <xf numFmtId="0" fontId="43" fillId="0" borderId="1" xfId="3472" applyFont="1" applyBorder="1" applyAlignment="1">
      <alignment horizontal="left" vertical="center" wrapText="1"/>
    </xf>
    <xf numFmtId="0" fontId="41" fillId="0" borderId="4" xfId="3472" applyFont="1" applyBorder="1" applyAlignment="1">
      <alignment horizontal="center" vertical="center" wrapText="1"/>
    </xf>
    <xf numFmtId="0" fontId="41" fillId="0" borderId="10" xfId="3472" applyFont="1" applyBorder="1" applyAlignment="1">
      <alignment horizontal="center" vertical="center" wrapText="1"/>
    </xf>
    <xf numFmtId="0" fontId="41" fillId="0" borderId="5" xfId="3472" applyFont="1" applyBorder="1" applyAlignment="1">
      <alignment horizontal="center" vertical="center" wrapText="1"/>
    </xf>
    <xf numFmtId="0" fontId="41" fillId="0" borderId="4" xfId="3472" applyFont="1" applyBorder="1" applyAlignment="1">
      <alignment horizontal="left" vertical="center" wrapText="1"/>
    </xf>
    <xf numFmtId="0" fontId="41" fillId="0" borderId="10" xfId="3472" applyFont="1" applyBorder="1" applyAlignment="1">
      <alignment horizontal="left" vertical="center" wrapText="1"/>
    </xf>
    <xf numFmtId="0" fontId="41" fillId="0" borderId="5" xfId="3472" applyFont="1" applyBorder="1" applyAlignment="1">
      <alignment horizontal="left" vertical="center" wrapText="1"/>
    </xf>
    <xf numFmtId="0" fontId="47" fillId="0" borderId="4" xfId="3472" applyFont="1" applyBorder="1" applyAlignment="1">
      <alignment horizontal="center" vertical="center"/>
    </xf>
    <xf numFmtId="0" fontId="47" fillId="0" borderId="5" xfId="3472" applyFont="1" applyBorder="1" applyAlignment="1">
      <alignment horizontal="center" vertical="center"/>
    </xf>
    <xf numFmtId="0" fontId="41" fillId="0" borderId="4" xfId="3472" applyFont="1" applyBorder="1" applyAlignment="1">
      <alignment horizontal="left" vertical="top" wrapText="1"/>
    </xf>
    <xf numFmtId="0" fontId="41" fillId="0" borderId="10" xfId="3472" applyFont="1" applyBorder="1" applyAlignment="1">
      <alignment horizontal="left" vertical="top" wrapText="1"/>
    </xf>
    <xf numFmtId="0" fontId="41" fillId="0" borderId="5" xfId="3472" applyFont="1" applyBorder="1" applyAlignment="1">
      <alignment horizontal="left" vertical="top" wrapText="1"/>
    </xf>
    <xf numFmtId="196" fontId="59" fillId="0" borderId="0" xfId="3472" applyNumberFormat="1" applyFont="1" applyAlignment="1">
      <alignment horizontal="left" vertical="top" wrapText="1"/>
    </xf>
    <xf numFmtId="0" fontId="48" fillId="0" borderId="1" xfId="3472" applyFont="1" applyBorder="1" applyAlignment="1">
      <alignment horizontal="left" vertical="top" wrapText="1"/>
    </xf>
    <xf numFmtId="0" fontId="41" fillId="0" borderId="4" xfId="3472" applyFont="1" applyBorder="1" applyAlignment="1">
      <alignment horizontal="center" vertical="top" wrapText="1"/>
    </xf>
    <xf numFmtId="0" fontId="41" fillId="0" borderId="5" xfId="3472" applyFont="1" applyBorder="1" applyAlignment="1">
      <alignment horizontal="center" vertical="top" wrapText="1"/>
    </xf>
    <xf numFmtId="0" fontId="58" fillId="0" borderId="1" xfId="3472" applyFont="1" applyBorder="1" applyAlignment="1">
      <alignment horizontal="left" vertical="top" wrapText="1"/>
    </xf>
    <xf numFmtId="0" fontId="41" fillId="0" borderId="4" xfId="3472" applyFont="1" applyBorder="1" applyAlignment="1">
      <alignment vertical="top" wrapText="1"/>
    </xf>
    <xf numFmtId="0" fontId="41" fillId="0" borderId="10" xfId="3472" applyFont="1" applyBorder="1" applyAlignment="1">
      <alignment vertical="top" wrapText="1"/>
    </xf>
    <xf numFmtId="0" fontId="41" fillId="0" borderId="5" xfId="3472" applyFont="1" applyBorder="1" applyAlignment="1">
      <alignment vertical="top" wrapText="1"/>
    </xf>
    <xf numFmtId="0" fontId="43" fillId="0" borderId="4" xfId="3472" applyFont="1" applyBorder="1" applyAlignment="1">
      <alignment horizontal="center" vertical="top" wrapText="1"/>
    </xf>
    <xf numFmtId="0" fontId="43" fillId="0" borderId="5" xfId="3472" applyFont="1" applyBorder="1" applyAlignment="1">
      <alignment horizontal="center" vertical="top" wrapText="1"/>
    </xf>
    <xf numFmtId="0" fontId="58" fillId="0" borderId="4" xfId="3472" applyFont="1" applyBorder="1" applyAlignment="1">
      <alignment horizontal="center" vertical="top" wrapText="1"/>
    </xf>
    <xf numFmtId="0" fontId="58" fillId="0" borderId="10" xfId="3472" applyFont="1" applyBorder="1" applyAlignment="1">
      <alignment horizontal="center" vertical="top" wrapText="1"/>
    </xf>
    <xf numFmtId="200" fontId="59" fillId="0" borderId="0" xfId="3472" applyNumberFormat="1" applyFont="1" applyAlignment="1">
      <alignment horizontal="left" vertical="top" wrapText="1"/>
    </xf>
    <xf numFmtId="0" fontId="60" fillId="0" borderId="4" xfId="3472" applyFont="1" applyBorder="1" applyAlignment="1">
      <alignment horizontal="left" vertical="top" wrapText="1"/>
    </xf>
    <xf numFmtId="0" fontId="60" fillId="0" borderId="10" xfId="3472" applyFont="1" applyBorder="1" applyAlignment="1">
      <alignment horizontal="left" vertical="top" wrapText="1"/>
    </xf>
    <xf numFmtId="0" fontId="60" fillId="0" borderId="5" xfId="3472" applyFont="1" applyBorder="1" applyAlignment="1">
      <alignment horizontal="left" vertical="top" wrapText="1"/>
    </xf>
    <xf numFmtId="2" fontId="41" fillId="0" borderId="4" xfId="3472" applyNumberFormat="1" applyFont="1" applyBorder="1" applyAlignment="1">
      <alignment horizontal="left" vertical="top" wrapText="1"/>
    </xf>
    <xf numFmtId="2" fontId="41" fillId="0" borderId="5" xfId="3472" applyNumberFormat="1" applyFont="1" applyBorder="1" applyAlignment="1">
      <alignment horizontal="left" vertical="top" wrapText="1"/>
    </xf>
    <xf numFmtId="0" fontId="58" fillId="0" borderId="4" xfId="3472" applyFont="1" applyBorder="1" applyAlignment="1">
      <alignment horizontal="left" vertical="top" wrapText="1"/>
    </xf>
    <xf numFmtId="0" fontId="58" fillId="0" borderId="10" xfId="3472" applyFont="1" applyBorder="1" applyAlignment="1">
      <alignment horizontal="left" vertical="top" wrapText="1"/>
    </xf>
    <xf numFmtId="0" fontId="58" fillId="0" borderId="5" xfId="3472" applyFont="1" applyBorder="1" applyAlignment="1">
      <alignment horizontal="left" vertical="top" wrapText="1"/>
    </xf>
    <xf numFmtId="0" fontId="58" fillId="0" borderId="5" xfId="3472" applyFont="1" applyBorder="1" applyAlignment="1">
      <alignment horizontal="center" vertical="top" wrapText="1"/>
    </xf>
    <xf numFmtId="2" fontId="41" fillId="3" borderId="4" xfId="3472" applyNumberFormat="1" applyFont="1" applyFill="1" applyBorder="1" applyAlignment="1">
      <alignment horizontal="left" vertical="top" wrapText="1"/>
    </xf>
    <xf numFmtId="2" fontId="41" fillId="3" borderId="5" xfId="3472" applyNumberFormat="1" applyFont="1" applyFill="1" applyBorder="1" applyAlignment="1">
      <alignment horizontal="left" vertical="top" wrapText="1"/>
    </xf>
    <xf numFmtId="0" fontId="41" fillId="3" borderId="4" xfId="3472" applyFont="1" applyFill="1" applyBorder="1" applyAlignment="1">
      <alignment vertical="top" wrapText="1"/>
    </xf>
    <xf numFmtId="0" fontId="41" fillId="3" borderId="10" xfId="3472" applyFont="1" applyFill="1" applyBorder="1" applyAlignment="1">
      <alignment vertical="top" wrapText="1"/>
    </xf>
    <xf numFmtId="0" fontId="58" fillId="3" borderId="4" xfId="3472" applyFont="1" applyFill="1" applyBorder="1" applyAlignment="1">
      <alignment horizontal="center" vertical="top" wrapText="1"/>
    </xf>
    <xf numFmtId="0" fontId="58" fillId="3" borderId="10" xfId="3472" applyFont="1" applyFill="1" applyBorder="1" applyAlignment="1">
      <alignment horizontal="center" vertical="top" wrapText="1"/>
    </xf>
    <xf numFmtId="0" fontId="63" fillId="0" borderId="4" xfId="2516" applyFont="1" applyBorder="1" applyAlignment="1">
      <alignment horizontal="left" vertical="top" wrapText="1"/>
    </xf>
    <xf numFmtId="0" fontId="63" fillId="0" borderId="10" xfId="2516" applyFont="1" applyBorder="1" applyAlignment="1">
      <alignment horizontal="left" vertical="top" wrapText="1"/>
    </xf>
    <xf numFmtId="0" fontId="63" fillId="0" borderId="5" xfId="2516" applyFont="1" applyBorder="1" applyAlignment="1">
      <alignment horizontal="left" vertical="top" wrapText="1"/>
    </xf>
    <xf numFmtId="2" fontId="53" fillId="0" borderId="4" xfId="2516" applyNumberFormat="1" applyFont="1" applyBorder="1" applyAlignment="1">
      <alignment horizontal="center" vertical="top" wrapText="1"/>
    </xf>
    <xf numFmtId="2" fontId="53" fillId="0" borderId="5" xfId="2516" applyNumberFormat="1" applyFont="1" applyBorder="1" applyAlignment="1">
      <alignment horizontal="center" vertical="top" wrapText="1"/>
    </xf>
    <xf numFmtId="0" fontId="60" fillId="0" borderId="4" xfId="2516" applyFont="1" applyBorder="1" applyAlignment="1">
      <alignment horizontal="left" vertical="top" wrapText="1"/>
    </xf>
    <xf numFmtId="0" fontId="60" fillId="0" borderId="5" xfId="2516" applyFont="1" applyBorder="1" applyAlignment="1">
      <alignment horizontal="left" vertical="top" wrapText="1"/>
    </xf>
    <xf numFmtId="0" fontId="43" fillId="0" borderId="4" xfId="2516" applyFont="1" applyBorder="1" applyAlignment="1">
      <alignment horizontal="center" vertical="top" wrapText="1"/>
    </xf>
    <xf numFmtId="0" fontId="43" fillId="0" borderId="10" xfId="2516" applyFont="1" applyBorder="1" applyAlignment="1">
      <alignment horizontal="center" vertical="top" wrapText="1"/>
    </xf>
    <xf numFmtId="0" fontId="43" fillId="0" borderId="5" xfId="2516" applyFont="1" applyBorder="1" applyAlignment="1">
      <alignment horizontal="center" vertical="top" wrapText="1"/>
    </xf>
    <xf numFmtId="2" fontId="53" fillId="0" borderId="1" xfId="2516" applyNumberFormat="1" applyFont="1" applyBorder="1" applyAlignment="1">
      <alignment horizontal="center" vertical="top" wrapText="1"/>
    </xf>
    <xf numFmtId="0" fontId="41" fillId="0" borderId="1" xfId="2516" applyFont="1" applyBorder="1" applyAlignment="1">
      <alignment horizontal="left" vertical="top"/>
    </xf>
    <xf numFmtId="0" fontId="51" fillId="0" borderId="1" xfId="3472" applyFont="1" applyBorder="1" applyAlignment="1">
      <alignment horizontal="left" vertical="top"/>
    </xf>
    <xf numFmtId="0" fontId="43" fillId="0" borderId="1" xfId="2516" applyFont="1" applyBorder="1" applyAlignment="1">
      <alignment horizontal="center" vertical="top" wrapText="1"/>
    </xf>
    <xf numFmtId="0" fontId="43" fillId="0" borderId="1" xfId="2516" applyFont="1" applyBorder="1" applyAlignment="1">
      <alignment horizontal="left" vertical="top"/>
    </xf>
    <xf numFmtId="0" fontId="43" fillId="0" borderId="1" xfId="2516" applyFont="1" applyBorder="1" applyAlignment="1">
      <alignment horizontal="center" vertical="top"/>
    </xf>
    <xf numFmtId="2" fontId="52" fillId="0" borderId="1" xfId="2516" applyNumberFormat="1" applyFont="1" applyBorder="1" applyAlignment="1">
      <alignment horizontal="center" vertical="top"/>
    </xf>
    <xf numFmtId="0" fontId="43" fillId="0" borderId="1" xfId="2516" applyFont="1" applyBorder="1" applyAlignment="1">
      <alignment horizontal="left" vertical="top" wrapText="1"/>
    </xf>
    <xf numFmtId="2" fontId="43" fillId="0" borderId="33" xfId="2516" applyNumberFormat="1" applyFont="1" applyBorder="1" applyAlignment="1">
      <alignment horizontal="center" vertical="top"/>
    </xf>
    <xf numFmtId="2" fontId="63" fillId="0" borderId="2" xfId="2516" applyNumberFormat="1" applyFont="1" applyBorder="1" applyAlignment="1">
      <alignment horizontal="center" vertical="top"/>
    </xf>
    <xf numFmtId="0" fontId="63" fillId="0" borderId="2" xfId="2516" applyFont="1" applyBorder="1" applyAlignment="1">
      <alignment horizontal="center" vertical="top"/>
    </xf>
    <xf numFmtId="0" fontId="48" fillId="0" borderId="4" xfId="2516" applyFont="1" applyBorder="1" applyAlignment="1">
      <alignment horizontal="center" vertical="top" wrapText="1"/>
    </xf>
    <xf numFmtId="0" fontId="48" fillId="0" borderId="5" xfId="2516" applyFont="1" applyBorder="1" applyAlignment="1">
      <alignment horizontal="center" vertical="top" wrapText="1"/>
    </xf>
    <xf numFmtId="2" fontId="43" fillId="0" borderId="1" xfId="2516" applyNumberFormat="1" applyFont="1" applyBorder="1" applyAlignment="1">
      <alignment horizontal="center" vertical="top"/>
    </xf>
    <xf numFmtId="184" fontId="43" fillId="0" borderId="1" xfId="2516" applyNumberFormat="1" applyFont="1" applyBorder="1" applyAlignment="1">
      <alignment horizontal="center" vertical="top"/>
    </xf>
    <xf numFmtId="175" fontId="53" fillId="0" borderId="1" xfId="2516" applyNumberFormat="1" applyFont="1" applyBorder="1" applyAlignment="1">
      <alignment horizontal="center" vertical="top"/>
    </xf>
    <xf numFmtId="0" fontId="51" fillId="0" borderId="0" xfId="3472" applyFont="1" applyAlignment="1">
      <alignment horizontal="justify" vertical="top" wrapText="1"/>
    </xf>
    <xf numFmtId="0" fontId="77" fillId="0" borderId="0" xfId="3472" applyFont="1" applyAlignment="1">
      <alignment horizontal="left" vertical="top" wrapText="1"/>
    </xf>
    <xf numFmtId="0" fontId="78" fillId="0" borderId="0" xfId="598" applyFont="1" applyAlignment="1">
      <alignment horizontal="justify" vertical="top" wrapText="1"/>
    </xf>
    <xf numFmtId="0" fontId="71" fillId="0" borderId="0" xfId="3472" applyFont="1" applyAlignment="1">
      <alignment horizontal="center" vertical="top"/>
    </xf>
    <xf numFmtId="0" fontId="79" fillId="0" borderId="0" xfId="3472" applyFont="1" applyAlignment="1">
      <alignment horizontal="center" vertical="top"/>
    </xf>
    <xf numFmtId="0" fontId="51" fillId="0" borderId="0" xfId="3472" applyFont="1" applyAlignment="1">
      <alignment horizontal="left" vertical="top" wrapText="1"/>
    </xf>
    <xf numFmtId="0" fontId="87" fillId="0" borderId="1" xfId="598" applyFont="1" applyBorder="1" applyAlignment="1">
      <alignment horizontal="left" vertical="top" wrapText="1"/>
    </xf>
    <xf numFmtId="0" fontId="41" fillId="0" borderId="0" xfId="598" applyFont="1" applyAlignment="1">
      <alignment horizontal="center" vertical="top"/>
    </xf>
    <xf numFmtId="0" fontId="47" fillId="0" borderId="0" xfId="598" applyFont="1" applyAlignment="1">
      <alignment horizontal="center" vertical="top"/>
    </xf>
    <xf numFmtId="0" fontId="58" fillId="0" borderId="11" xfId="3472" applyFont="1" applyBorder="1" applyAlignment="1">
      <alignment horizontal="center" vertical="center" wrapText="1"/>
    </xf>
    <xf numFmtId="0" fontId="58" fillId="0" borderId="12" xfId="3472" applyFont="1" applyBorder="1" applyAlignment="1">
      <alignment horizontal="center" vertical="center" wrapText="1"/>
    </xf>
    <xf numFmtId="0" fontId="58" fillId="0" borderId="24" xfId="3472" applyFont="1" applyBorder="1" applyAlignment="1">
      <alignment horizontal="center" vertical="center" wrapText="1"/>
    </xf>
    <xf numFmtId="0" fontId="58" fillId="0" borderId="6" xfId="3472" applyFont="1" applyBorder="1" applyAlignment="1">
      <alignment horizontal="center" vertical="center" wrapText="1"/>
    </xf>
    <xf numFmtId="0" fontId="58" fillId="0" borderId="0" xfId="3472" applyFont="1" applyAlignment="1">
      <alignment horizontal="center" vertical="center" wrapText="1"/>
    </xf>
    <xf numFmtId="0" fontId="58" fillId="0" borderId="25" xfId="3472" applyFont="1" applyBorder="1" applyAlignment="1">
      <alignment horizontal="center" vertical="center" wrapText="1"/>
    </xf>
    <xf numFmtId="0" fontId="58" fillId="0" borderId="3" xfId="3472" applyFont="1" applyBorder="1" applyAlignment="1">
      <alignment horizontal="center" vertical="center" wrapText="1"/>
    </xf>
    <xf numFmtId="0" fontId="58" fillId="0" borderId="9" xfId="3472" applyFont="1" applyBorder="1" applyAlignment="1">
      <alignment horizontal="center" vertical="center" wrapText="1"/>
    </xf>
    <xf numFmtId="0" fontId="58" fillId="0" borderId="15" xfId="3472" applyFont="1" applyBorder="1" applyAlignment="1">
      <alignment horizontal="center" vertical="center" wrapText="1"/>
    </xf>
    <xf numFmtId="0" fontId="43" fillId="0" borderId="2" xfId="3472" applyFont="1" applyBorder="1" applyAlignment="1">
      <alignment horizontal="center" vertical="center" wrapText="1"/>
    </xf>
    <xf numFmtId="0" fontId="43" fillId="0" borderId="1" xfId="3472" applyFont="1" applyBorder="1" applyAlignment="1">
      <alignment horizontal="center" vertical="center" wrapText="1"/>
    </xf>
    <xf numFmtId="0" fontId="67" fillId="0" borderId="20" xfId="598" applyFont="1" applyBorder="1" applyAlignment="1">
      <alignment horizontal="left" vertical="top" wrapText="1"/>
    </xf>
    <xf numFmtId="0" fontId="67" fillId="0" borderId="21" xfId="598" applyFont="1" applyBorder="1" applyAlignment="1">
      <alignment horizontal="left" vertical="top" wrapText="1"/>
    </xf>
    <xf numFmtId="0" fontId="67" fillId="0" borderId="28" xfId="598" applyFont="1" applyBorder="1" applyAlignment="1">
      <alignment horizontal="left" vertical="top" wrapText="1"/>
    </xf>
    <xf numFmtId="0" fontId="67" fillId="0" borderId="22" xfId="598" applyFont="1" applyBorder="1" applyAlignment="1">
      <alignment horizontal="left" vertical="top" wrapText="1"/>
    </xf>
    <xf numFmtId="0" fontId="67" fillId="0" borderId="0" xfId="598" applyFont="1" applyAlignment="1">
      <alignment horizontal="left" vertical="top" wrapText="1"/>
    </xf>
    <xf numFmtId="0" fontId="67" fillId="0" borderId="32" xfId="598" applyFont="1" applyBorder="1" applyAlignment="1">
      <alignment horizontal="left" vertical="top" wrapText="1"/>
    </xf>
    <xf numFmtId="0" fontId="67" fillId="0" borderId="23" xfId="598" applyFont="1" applyBorder="1" applyAlignment="1">
      <alignment horizontal="left" vertical="top" wrapText="1"/>
    </xf>
    <xf numFmtId="0" fontId="67" fillId="0" borderId="13" xfId="598" applyFont="1" applyBorder="1" applyAlignment="1">
      <alignment horizontal="left" vertical="top" wrapText="1"/>
    </xf>
    <xf numFmtId="0" fontId="67" fillId="0" borderId="26" xfId="598" applyFont="1" applyBorder="1" applyAlignment="1">
      <alignment horizontal="left" vertical="top" wrapText="1"/>
    </xf>
    <xf numFmtId="0" fontId="80" fillId="0" borderId="0" xfId="3472" applyFont="1" applyAlignment="1">
      <alignment horizontal="left" vertical="top" wrapText="1"/>
    </xf>
    <xf numFmtId="0" fontId="379" fillId="0" borderId="1" xfId="3757" applyFont="1" applyBorder="1" applyAlignment="1">
      <alignment horizontal="center" vertical="center" wrapText="1"/>
    </xf>
    <xf numFmtId="1" fontId="379" fillId="0" borderId="1" xfId="3760" applyNumberFormat="1" applyFont="1" applyBorder="1" applyAlignment="1">
      <alignment horizontal="center" vertical="center" wrapText="1"/>
    </xf>
    <xf numFmtId="0" fontId="379" fillId="0" borderId="1" xfId="3760" applyFont="1" applyBorder="1" applyAlignment="1">
      <alignment horizontal="center" vertical="center" wrapText="1"/>
    </xf>
    <xf numFmtId="197" fontId="371" fillId="0" borderId="1" xfId="3757" applyNumberFormat="1" applyFont="1" applyBorder="1" applyAlignment="1">
      <alignment horizontal="center" vertical="center" wrapText="1"/>
    </xf>
    <xf numFmtId="0" fontId="371" fillId="0" borderId="1" xfId="3757" applyFont="1" applyBorder="1" applyAlignment="1">
      <alignment horizontal="center" vertical="center" wrapText="1"/>
    </xf>
    <xf numFmtId="0" fontId="379" fillId="0" borderId="7" xfId="3757" applyFont="1" applyBorder="1" applyAlignment="1">
      <alignment horizontal="center" vertical="center"/>
    </xf>
    <xf numFmtId="197" fontId="371" fillId="0" borderId="8" xfId="3757" applyNumberFormat="1" applyFont="1" applyBorder="1" applyAlignment="1">
      <alignment horizontal="center" vertical="center" wrapText="1"/>
    </xf>
    <xf numFmtId="197" fontId="373" fillId="0" borderId="8" xfId="3757" applyNumberFormat="1" applyFont="1" applyBorder="1" applyAlignment="1">
      <alignment horizontal="center" vertical="center" wrapText="1"/>
    </xf>
    <xf numFmtId="0" fontId="379" fillId="6" borderId="8" xfId="3757" applyFont="1" applyFill="1" applyBorder="1" applyAlignment="1">
      <alignment horizontal="center" wrapText="1"/>
    </xf>
    <xf numFmtId="0" fontId="371" fillId="0" borderId="8" xfId="2100" applyFont="1" applyBorder="1" applyAlignment="1">
      <alignment horizontal="justify" vertical="top" wrapText="1"/>
    </xf>
    <xf numFmtId="0" fontId="379" fillId="6" borderId="8" xfId="3757" applyFont="1" applyFill="1" applyBorder="1" applyAlignment="1">
      <alignment horizontal="left"/>
    </xf>
    <xf numFmtId="0" fontId="398" fillId="6" borderId="8" xfId="3757" applyFont="1" applyFill="1" applyBorder="1" applyAlignment="1">
      <alignment horizontal="center" vertical="top" wrapText="1"/>
    </xf>
    <xf numFmtId="0" fontId="371" fillId="0" borderId="0" xfId="3757" applyFont="1" applyAlignment="1">
      <alignment horizontal="center" vertical="center" wrapText="1"/>
    </xf>
    <xf numFmtId="2" fontId="371" fillId="0" borderId="0" xfId="3757" applyNumberFormat="1" applyFont="1" applyAlignment="1">
      <alignment horizontal="center" vertical="center" wrapText="1"/>
    </xf>
    <xf numFmtId="0" fontId="371" fillId="0" borderId="0" xfId="3757" applyFont="1" applyAlignment="1">
      <alignment horizontal="center" vertical="top" wrapText="1"/>
    </xf>
    <xf numFmtId="2" fontId="371" fillId="0" borderId="0" xfId="3757" applyNumberFormat="1" applyFont="1" applyAlignment="1">
      <alignment horizontal="center" vertical="top" wrapText="1"/>
    </xf>
    <xf numFmtId="0" fontId="371" fillId="0" borderId="8" xfId="2100" applyFont="1" applyBorder="1" applyAlignment="1">
      <alignment horizontal="left" vertical="top" wrapText="1"/>
    </xf>
    <xf numFmtId="0" fontId="371" fillId="3" borderId="8" xfId="2100" applyFont="1" applyFill="1" applyBorder="1" applyAlignment="1">
      <alignment horizontal="justify" vertical="top" wrapText="1"/>
    </xf>
    <xf numFmtId="2" fontId="379" fillId="0" borderId="8" xfId="3757" applyNumberFormat="1" applyFont="1" applyBorder="1" applyAlignment="1">
      <alignment horizontal="left" vertical="top" wrapText="1"/>
    </xf>
    <xf numFmtId="0" fontId="371" fillId="0" borderId="0" xfId="2192" applyFont="1" applyAlignment="1">
      <alignment horizontal="center" vertical="center"/>
    </xf>
    <xf numFmtId="0" fontId="379" fillId="0" borderId="8" xfId="3757" applyFont="1" applyBorder="1" applyAlignment="1">
      <alignment horizontal="center" vertical="top" wrapText="1"/>
    </xf>
    <xf numFmtId="0" fontId="397" fillId="0" borderId="8" xfId="3757" applyFont="1" applyBorder="1" applyAlignment="1">
      <alignment horizontal="center" vertical="top" wrapText="1"/>
    </xf>
    <xf numFmtId="0" fontId="379" fillId="0" borderId="8" xfId="3757" applyFont="1" applyBorder="1" applyAlignment="1">
      <alignment horizontal="justify" vertical="top" wrapText="1"/>
    </xf>
    <xf numFmtId="0" fontId="371" fillId="0" borderId="8" xfId="3757" applyFont="1" applyBorder="1" applyAlignment="1">
      <alignment horizontal="justify" vertical="top" wrapText="1"/>
    </xf>
    <xf numFmtId="0" fontId="397" fillId="0" borderId="8" xfId="3757" applyFont="1" applyBorder="1" applyAlignment="1">
      <alignment horizontal="left" vertical="top" wrapText="1"/>
    </xf>
    <xf numFmtId="0" fontId="379" fillId="0" borderId="8" xfId="2100" applyFont="1" applyBorder="1" applyAlignment="1">
      <alignment horizontal="justify" vertical="top" wrapText="1"/>
    </xf>
    <xf numFmtId="2" fontId="371" fillId="0" borderId="8" xfId="3757" applyNumberFormat="1" applyFont="1" applyBorder="1" applyAlignment="1">
      <alignment horizontal="justify" vertical="top" wrapText="1"/>
    </xf>
    <xf numFmtId="0" fontId="7" fillId="0" borderId="1" xfId="0" applyFont="1" applyBorder="1" applyAlignment="1">
      <alignment horizontal="center" wrapText="1"/>
    </xf>
    <xf numFmtId="0" fontId="7" fillId="0" borderId="0" xfId="0" applyFont="1" applyAlignment="1">
      <alignment horizontal="center"/>
    </xf>
    <xf numFmtId="0" fontId="7" fillId="0" borderId="0" xfId="0" applyFont="1" applyAlignment="1">
      <alignment horizontal="center" wrapText="1"/>
    </xf>
    <xf numFmtId="0" fontId="0" fillId="0" borderId="0" xfId="0" applyAlignment="1">
      <alignment horizontal="center"/>
    </xf>
    <xf numFmtId="0" fontId="5" fillId="0" borderId="1" xfId="0" applyFont="1" applyBorder="1" applyAlignment="1">
      <alignment horizontal="center"/>
    </xf>
    <xf numFmtId="0" fontId="5" fillId="0" borderId="4" xfId="0" applyFont="1" applyBorder="1" applyAlignment="1">
      <alignment horizontal="center"/>
    </xf>
    <xf numFmtId="0" fontId="26" fillId="0" borderId="1" xfId="0" applyFont="1" applyBorder="1" applyAlignment="1">
      <alignment horizontal="center"/>
    </xf>
    <xf numFmtId="0" fontId="0" fillId="0" borderId="1" xfId="3470" applyFont="1" applyBorder="1" applyAlignment="1">
      <alignment horizontal="center"/>
    </xf>
    <xf numFmtId="0" fontId="0" fillId="0" borderId="1" xfId="3470" applyFont="1" applyBorder="1" applyAlignment="1">
      <alignment horizontal="center" vertical="top" wrapText="1"/>
    </xf>
    <xf numFmtId="2" fontId="13" fillId="0" borderId="1" xfId="3747" applyNumberFormat="1" applyFont="1" applyAlignment="1">
      <alignment horizontal="center" vertical="top" wrapText="1"/>
    </xf>
  </cellXfs>
  <cellStyles count="35085">
    <cellStyle name="20% - Accent1 2" xfId="227"/>
    <cellStyle name="20% - Accent1 2 2" xfId="56"/>
    <cellStyle name="20% - Accent1 2 2 2" xfId="4155"/>
    <cellStyle name="20% - Accent1 2 2 2 2" xfId="20318"/>
    <cellStyle name="20% - Accent1 2 3" xfId="204"/>
    <cellStyle name="20% - Accent1 2 3 2" xfId="4174"/>
    <cellStyle name="20% - Accent1 2 3 2 2" xfId="20337"/>
    <cellStyle name="20% - Accent1 2 4" xfId="4181"/>
    <cellStyle name="20% - Accent1 2 4 2" xfId="20344"/>
    <cellStyle name="20% - Accent1 2_Achampally-Gattubuthkur-Ganga-CRR" xfId="233"/>
    <cellStyle name="20% - Accent1 3" xfId="237"/>
    <cellStyle name="20% - Accent1 3 2" xfId="4185"/>
    <cellStyle name="20% - Accent1 3 2 2" xfId="20348"/>
    <cellStyle name="20% - Accent1 4" xfId="7826"/>
    <cellStyle name="20% - Accent1 4 2" xfId="23988"/>
    <cellStyle name="20% - Accent1 5" xfId="7827"/>
    <cellStyle name="20% - Accent1 5 2" xfId="23989"/>
    <cellStyle name="20% - Accent1 6" xfId="7828"/>
    <cellStyle name="20% - Accent1 6 2" xfId="23990"/>
    <cellStyle name="20% - Accent2 2" xfId="240"/>
    <cellStyle name="20% - Accent2 2 2" xfId="245"/>
    <cellStyle name="20% - Accent2 2 2 2" xfId="4195"/>
    <cellStyle name="20% - Accent2 2 2 2 2" xfId="20358"/>
    <cellStyle name="20% - Accent2 2 3" xfId="247"/>
    <cellStyle name="20% - Accent2 2 3 2" xfId="4197"/>
    <cellStyle name="20% - Accent2 2 3 2 2" xfId="20360"/>
    <cellStyle name="20% - Accent2 2 4" xfId="4192"/>
    <cellStyle name="20% - Accent2 2 4 2" xfId="20355"/>
    <cellStyle name="20% - Accent2 2_Achampally-Gattubuthkur-Ganga-CRR" xfId="146"/>
    <cellStyle name="20% - Accent2 3" xfId="140"/>
    <cellStyle name="20% - Accent2 3 2" xfId="4166"/>
    <cellStyle name="20% - Accent2 3 2 2" xfId="20329"/>
    <cellStyle name="20% - Accent2 4" xfId="7829"/>
    <cellStyle name="20% - Accent2 4 2" xfId="23991"/>
    <cellStyle name="20% - Accent2 5" xfId="7830"/>
    <cellStyle name="20% - Accent2 5 2" xfId="23992"/>
    <cellStyle name="20% - Accent2 6" xfId="7831"/>
    <cellStyle name="20% - Accent2 6 2" xfId="23993"/>
    <cellStyle name="20% - Accent3 2" xfId="76"/>
    <cellStyle name="20% - Accent3 2 2" xfId="96"/>
    <cellStyle name="20% - Accent3 2 2 2" xfId="4161"/>
    <cellStyle name="20% - Accent3 2 2 2 2" xfId="20324"/>
    <cellStyle name="20% - Accent3 2 3" xfId="30"/>
    <cellStyle name="20% - Accent3 2 3 2" xfId="4154"/>
    <cellStyle name="20% - Accent3 2 3 2 2" xfId="20317"/>
    <cellStyle name="20% - Accent3 2 4" xfId="4034"/>
    <cellStyle name="20% - Accent3 2 4 2" xfId="20197"/>
    <cellStyle name="20% - Accent3 2_Achampally-Gattubuthkur-Ganga-CRR" xfId="156"/>
    <cellStyle name="20% - Accent3 3" xfId="91"/>
    <cellStyle name="20% - Accent3 3 2" xfId="4037"/>
    <cellStyle name="20% - Accent3 3 2 2" xfId="20200"/>
    <cellStyle name="20% - Accent3 4" xfId="7832"/>
    <cellStyle name="20% - Accent3 4 2" xfId="23994"/>
    <cellStyle name="20% - Accent3 5" xfId="7833"/>
    <cellStyle name="20% - Accent3 5 2" xfId="23995"/>
    <cellStyle name="20% - Accent3 6" xfId="7834"/>
    <cellStyle name="20% - Accent3 6 2" xfId="23996"/>
    <cellStyle name="20% - Accent4 2" xfId="251"/>
    <cellStyle name="20% - Accent4 2 2" xfId="253"/>
    <cellStyle name="20% - Accent4 2 2 2" xfId="4203"/>
    <cellStyle name="20% - Accent4 2 2 2 2" xfId="20366"/>
    <cellStyle name="20% - Accent4 2 3" xfId="255"/>
    <cellStyle name="20% - Accent4 2 3 2" xfId="4205"/>
    <cellStyle name="20% - Accent4 2 3 2 2" xfId="20368"/>
    <cellStyle name="20% - Accent4 2 4" xfId="4198"/>
    <cellStyle name="20% - Accent4 2 4 2" xfId="20361"/>
    <cellStyle name="20% - Accent4 2_Achampally-Gattubuthkur-Ganga-CRR" xfId="259"/>
    <cellStyle name="20% - Accent4 3" xfId="262"/>
    <cellStyle name="20% - Accent4 3 2" xfId="4212"/>
    <cellStyle name="20% - Accent4 3 2 2" xfId="20375"/>
    <cellStyle name="20% - Accent4 4" xfId="7835"/>
    <cellStyle name="20% - Accent4 4 2" xfId="23997"/>
    <cellStyle name="20% - Accent4 5" xfId="7836"/>
    <cellStyle name="20% - Accent4 5 2" xfId="23998"/>
    <cellStyle name="20% - Accent4 6" xfId="7837"/>
    <cellStyle name="20% - Accent4 6 2" xfId="23999"/>
    <cellStyle name="20% - Accent5 2" xfId="265"/>
    <cellStyle name="20% - Accent5 2 2" xfId="273"/>
    <cellStyle name="20% - Accent5 2 2 2" xfId="4219"/>
    <cellStyle name="20% - Accent5 2 2 2 2" xfId="20382"/>
    <cellStyle name="20% - Accent5 2 3" xfId="280"/>
    <cellStyle name="20% - Accent5 2 3 2" xfId="4223"/>
    <cellStyle name="20% - Accent5 2 3 2 2" xfId="20386"/>
    <cellStyle name="20% - Accent5 2 4" xfId="4217"/>
    <cellStyle name="20% - Accent5 2 4 2" xfId="20380"/>
    <cellStyle name="20% - Accent5 2_Achampally-Gattubuthkur-Ganga-CRR" xfId="282"/>
    <cellStyle name="20% - Accent5 3" xfId="284"/>
    <cellStyle name="20% - Accent5 3 2" xfId="4234"/>
    <cellStyle name="20% - Accent5 3 2 2" xfId="20397"/>
    <cellStyle name="20% - Accent5 4" xfId="7838"/>
    <cellStyle name="20% - Accent5 4 2" xfId="24000"/>
    <cellStyle name="20% - Accent5 5" xfId="7839"/>
    <cellStyle name="20% - Accent5 5 2" xfId="24001"/>
    <cellStyle name="20% - Accent5 6" xfId="7840"/>
    <cellStyle name="20% - Accent5 6 2" xfId="24002"/>
    <cellStyle name="20% - Accent6 2" xfId="289"/>
    <cellStyle name="20% - Accent6 2 2" xfId="303"/>
    <cellStyle name="20% - Accent6 2 2 2" xfId="4251"/>
    <cellStyle name="20% - Accent6 2 2 2 2" xfId="20414"/>
    <cellStyle name="20% - Accent6 2 3" xfId="311"/>
    <cellStyle name="20% - Accent6 2 3 2" xfId="4258"/>
    <cellStyle name="20% - Accent6 2 3 2 2" xfId="20421"/>
    <cellStyle name="20% - Accent6 2 4" xfId="4245"/>
    <cellStyle name="20% - Accent6 2 4 2" xfId="20408"/>
    <cellStyle name="20% - Accent6 2_Achampally-Gattubuthkur-Ganga-CRR" xfId="315"/>
    <cellStyle name="20% - Accent6 3" xfId="134"/>
    <cellStyle name="20% - Accent6 3 2" xfId="4072"/>
    <cellStyle name="20% - Accent6 3 2 2" xfId="20235"/>
    <cellStyle name="20% - Accent6 4" xfId="7841"/>
    <cellStyle name="20% - Accent6 4 2" xfId="24003"/>
    <cellStyle name="20% - Accent6 5" xfId="7842"/>
    <cellStyle name="20% - Accent6 5 2" xfId="24004"/>
    <cellStyle name="20% - Accent6 6" xfId="7843"/>
    <cellStyle name="20% - Accent6 6 2" xfId="24005"/>
    <cellStyle name="40% - Accent1 2" xfId="316"/>
    <cellStyle name="40% - Accent1 2 2" xfId="318"/>
    <cellStyle name="40% - Accent1 2 2 2" xfId="4264"/>
    <cellStyle name="40% - Accent1 2 2 2 2" xfId="20427"/>
    <cellStyle name="40% - Accent1 2 3" xfId="320"/>
    <cellStyle name="40% - Accent1 2 3 2" xfId="4266"/>
    <cellStyle name="40% - Accent1 2 3 2 2" xfId="20429"/>
    <cellStyle name="40% - Accent1 2 4" xfId="4262"/>
    <cellStyle name="40% - Accent1 2 4 2" xfId="20425"/>
    <cellStyle name="40% - Accent1 2_Achampally-Gattubuthkur-Ganga-CRR" xfId="322"/>
    <cellStyle name="40% - Accent1 3" xfId="323"/>
    <cellStyle name="40% - Accent1 3 2" xfId="4268"/>
    <cellStyle name="40% - Accent1 3 2 2" xfId="20431"/>
    <cellStyle name="40% - Accent1 4" xfId="7844"/>
    <cellStyle name="40% - Accent1 4 2" xfId="24006"/>
    <cellStyle name="40% - Accent1 5" xfId="7845"/>
    <cellStyle name="40% - Accent1 5 2" xfId="24007"/>
    <cellStyle name="40% - Accent1 6" xfId="7846"/>
    <cellStyle name="40% - Accent1 6 2" xfId="24008"/>
    <cellStyle name="40% - Accent2 2" xfId="324"/>
    <cellStyle name="40% - Accent2 2 2" xfId="328"/>
    <cellStyle name="40% - Accent2 2 2 2" xfId="4270"/>
    <cellStyle name="40% - Accent2 2 2 2 2" xfId="20433"/>
    <cellStyle name="40% - Accent2 2 3" xfId="333"/>
    <cellStyle name="40% - Accent2 2 3 2" xfId="4275"/>
    <cellStyle name="40% - Accent2 2 3 2 2" xfId="20438"/>
    <cellStyle name="40% - Accent2 2 4" xfId="4269"/>
    <cellStyle name="40% - Accent2 2 4 2" xfId="20432"/>
    <cellStyle name="40% - Accent2 2_Achampally-Gattubuthkur-Ganga-CRR" xfId="97"/>
    <cellStyle name="40% - Accent2 3" xfId="335"/>
    <cellStyle name="40% - Accent2 3 2" xfId="4280"/>
    <cellStyle name="40% - Accent2 3 2 2" xfId="20443"/>
    <cellStyle name="40% - Accent2 4" xfId="7847"/>
    <cellStyle name="40% - Accent2 4 2" xfId="24009"/>
    <cellStyle name="40% - Accent2 5" xfId="7848"/>
    <cellStyle name="40% - Accent2 5 2" xfId="24010"/>
    <cellStyle name="40% - Accent2 6" xfId="7849"/>
    <cellStyle name="40% - Accent2 6 2" xfId="24011"/>
    <cellStyle name="40% - Accent3 2" xfId="336"/>
    <cellStyle name="40% - Accent3 2 2" xfId="341"/>
    <cellStyle name="40% - Accent3 2 2 2" xfId="4283"/>
    <cellStyle name="40% - Accent3 2 2 2 2" xfId="20446"/>
    <cellStyle name="40% - Accent3 2 3" xfId="345"/>
    <cellStyle name="40% - Accent3 2 3 2" xfId="4288"/>
    <cellStyle name="40% - Accent3 2 3 2 2" xfId="20451"/>
    <cellStyle name="40% - Accent3 2 4" xfId="4281"/>
    <cellStyle name="40% - Accent3 2 4 2" xfId="20444"/>
    <cellStyle name="40% - Accent3 2_Achampally-Gattubuthkur-Ganga-CRR" xfId="350"/>
    <cellStyle name="40% - Accent3 3" xfId="351"/>
    <cellStyle name="40% - Accent3 3 2" xfId="4295"/>
    <cellStyle name="40% - Accent3 3 2 2" xfId="20458"/>
    <cellStyle name="40% - Accent3 4" xfId="7850"/>
    <cellStyle name="40% - Accent3 4 2" xfId="24012"/>
    <cellStyle name="40% - Accent3 5" xfId="7851"/>
    <cellStyle name="40% - Accent3 5 2" xfId="24013"/>
    <cellStyle name="40% - Accent3 6" xfId="7852"/>
    <cellStyle name="40% - Accent3 6 2" xfId="24014"/>
    <cellStyle name="40% - Accent4 2" xfId="348"/>
    <cellStyle name="40% - Accent4 2 2" xfId="356"/>
    <cellStyle name="40% - Accent4 2 2 2" xfId="4299"/>
    <cellStyle name="40% - Accent4 2 2 2 2" xfId="20462"/>
    <cellStyle name="40% - Accent4 2 3" xfId="358"/>
    <cellStyle name="40% - Accent4 2 3 2" xfId="4301"/>
    <cellStyle name="40% - Accent4 2 3 2 2" xfId="20464"/>
    <cellStyle name="40% - Accent4 2 4" xfId="4294"/>
    <cellStyle name="40% - Accent4 2 4 2" xfId="20457"/>
    <cellStyle name="40% - Accent4 2_Achampally-Gattubuthkur-Ganga-CRR" xfId="119"/>
    <cellStyle name="40% - Accent4 3" xfId="361"/>
    <cellStyle name="40% - Accent4 3 2" xfId="4304"/>
    <cellStyle name="40% - Accent4 3 2 2" xfId="20467"/>
    <cellStyle name="40% - Accent4 4" xfId="7853"/>
    <cellStyle name="40% - Accent4 4 2" xfId="24015"/>
    <cellStyle name="40% - Accent4 5" xfId="7854"/>
    <cellStyle name="40% - Accent4 5 2" xfId="24016"/>
    <cellStyle name="40% - Accent4 6" xfId="7855"/>
    <cellStyle name="40% - Accent4 6 2" xfId="24017"/>
    <cellStyle name="40% - Accent5 2" xfId="365"/>
    <cellStyle name="40% - Accent5 2 2" xfId="370"/>
    <cellStyle name="40% - Accent5 2 2 2" xfId="4309"/>
    <cellStyle name="40% - Accent5 2 2 2 2" xfId="20472"/>
    <cellStyle name="40% - Accent5 2 3" xfId="378"/>
    <cellStyle name="40% - Accent5 2 3 2" xfId="4316"/>
    <cellStyle name="40% - Accent5 2 3 2 2" xfId="20479"/>
    <cellStyle name="40% - Accent5 2 4" xfId="4306"/>
    <cellStyle name="40% - Accent5 2 4 2" xfId="20469"/>
    <cellStyle name="40% - Accent5 2_Achampally-Gattubuthkur-Ganga-CRR" xfId="381"/>
    <cellStyle name="40% - Accent5 3" xfId="384"/>
    <cellStyle name="40% - Accent5 3 2" xfId="4325"/>
    <cellStyle name="40% - Accent5 3 2 2" xfId="20488"/>
    <cellStyle name="40% - Accent5 4" xfId="7856"/>
    <cellStyle name="40% - Accent5 4 2" xfId="24018"/>
    <cellStyle name="40% - Accent5 5" xfId="7857"/>
    <cellStyle name="40% - Accent5 5 2" xfId="24019"/>
    <cellStyle name="40% - Accent5 6" xfId="7858"/>
    <cellStyle name="40% - Accent5 6 2" xfId="24020"/>
    <cellStyle name="40% - Accent6 2" xfId="386"/>
    <cellStyle name="40% - Accent6 2 2" xfId="398"/>
    <cellStyle name="40% - Accent6 2 2 2" xfId="4332"/>
    <cellStyle name="40% - Accent6 2 2 2 2" xfId="20495"/>
    <cellStyle name="40% - Accent6 2 3" xfId="409"/>
    <cellStyle name="40% - Accent6 2 3 2" xfId="4342"/>
    <cellStyle name="40% - Accent6 2 3 2 2" xfId="20505"/>
    <cellStyle name="40% - Accent6 2 4" xfId="4327"/>
    <cellStyle name="40% - Accent6 2 4 2" xfId="20490"/>
    <cellStyle name="40% - Accent6 2_Achampally-Gattubuthkur-Ganga-CRR" xfId="416"/>
    <cellStyle name="40% - Accent6 3" xfId="418"/>
    <cellStyle name="40% - Accent6 3 2" xfId="4358"/>
    <cellStyle name="40% - Accent6 3 2 2" xfId="20521"/>
    <cellStyle name="40% - Accent6 4" xfId="7859"/>
    <cellStyle name="40% - Accent6 4 2" xfId="24021"/>
    <cellStyle name="40% - Accent6 5" xfId="7860"/>
    <cellStyle name="40% - Accent6 5 2" xfId="24022"/>
    <cellStyle name="40% - Accent6 6" xfId="7861"/>
    <cellStyle name="40% - Accent6 6 2" xfId="24023"/>
    <cellStyle name="60% - Accent1 2" xfId="423"/>
    <cellStyle name="60% - Accent1 2 2" xfId="426"/>
    <cellStyle name="60% - Accent1 2 2 2" xfId="4366"/>
    <cellStyle name="60% - Accent1 2 2 2 2" xfId="20529"/>
    <cellStyle name="60% - Accent1 2 3" xfId="388"/>
    <cellStyle name="60% - Accent1 2 3 2" xfId="4329"/>
    <cellStyle name="60% - Accent1 2 3 2 2" xfId="20492"/>
    <cellStyle name="60% - Accent1 2 4" xfId="4362"/>
    <cellStyle name="60% - Accent1 2 4 2" xfId="20525"/>
    <cellStyle name="60% - Accent1 3" xfId="434"/>
    <cellStyle name="60% - Accent1 3 2" xfId="4370"/>
    <cellStyle name="60% - Accent1 3 2 2" xfId="20533"/>
    <cellStyle name="60% - Accent1 4" xfId="7862"/>
    <cellStyle name="60% - Accent1 4 2" xfId="24024"/>
    <cellStyle name="60% - Accent1 5" xfId="7863"/>
    <cellStyle name="60% - Accent1 5 2" xfId="24025"/>
    <cellStyle name="60% - Accent2 2" xfId="436"/>
    <cellStyle name="60% - Accent2 2 2" xfId="438"/>
    <cellStyle name="60% - Accent2 2 2 2" xfId="4377"/>
    <cellStyle name="60% - Accent2 2 2 2 2" xfId="20540"/>
    <cellStyle name="60% - Accent2 2 3" xfId="440"/>
    <cellStyle name="60% - Accent2 2 3 2" xfId="4379"/>
    <cellStyle name="60% - Accent2 2 3 2 2" xfId="20542"/>
    <cellStyle name="60% - Accent2 2 4" xfId="4376"/>
    <cellStyle name="60% - Accent2 2 4 2" xfId="20539"/>
    <cellStyle name="60% - Accent2 3" xfId="445"/>
    <cellStyle name="60% - Accent2 3 2" xfId="4382"/>
    <cellStyle name="60% - Accent2 3 2 2" xfId="20545"/>
    <cellStyle name="60% - Accent2 4" xfId="7864"/>
    <cellStyle name="60% - Accent2 4 2" xfId="24026"/>
    <cellStyle name="60% - Accent2 5" xfId="7865"/>
    <cellStyle name="60% - Accent2 5 2" xfId="24027"/>
    <cellStyle name="60% - Accent3 2" xfId="125"/>
    <cellStyle name="60% - Accent3 2 2" xfId="448"/>
    <cellStyle name="60% - Accent3 2 2 2" xfId="4387"/>
    <cellStyle name="60% - Accent3 2 2 2 2" xfId="20550"/>
    <cellStyle name="60% - Accent3 2 3" xfId="54"/>
    <cellStyle name="60% - Accent3 2 3 2" xfId="4007"/>
    <cellStyle name="60% - Accent3 2 3 2 2" xfId="20170"/>
    <cellStyle name="60% - Accent3 2 4" xfId="4069"/>
    <cellStyle name="60% - Accent3 2 4 2" xfId="20232"/>
    <cellStyle name="60% - Accent3 3" xfId="450"/>
    <cellStyle name="60% - Accent3 3 2" xfId="4390"/>
    <cellStyle name="60% - Accent3 3 2 2" xfId="20553"/>
    <cellStyle name="60% - Accent3 4" xfId="7866"/>
    <cellStyle name="60% - Accent3 4 2" xfId="24028"/>
    <cellStyle name="60% - Accent3 5" xfId="7867"/>
    <cellStyle name="60% - Accent3 5 2" xfId="24029"/>
    <cellStyle name="60% - Accent4 2" xfId="453"/>
    <cellStyle name="60% - Accent4 2 2" xfId="456"/>
    <cellStyle name="60% - Accent4 2 2 2" xfId="4394"/>
    <cellStyle name="60% - Accent4 2 2 2 2" xfId="20557"/>
    <cellStyle name="60% - Accent4 2 3" xfId="460"/>
    <cellStyle name="60% - Accent4 2 3 2" xfId="4398"/>
    <cellStyle name="60% - Accent4 2 3 2 2" xfId="20561"/>
    <cellStyle name="60% - Accent4 2 4" xfId="4393"/>
    <cellStyle name="60% - Accent4 2 4 2" xfId="20556"/>
    <cellStyle name="60% - Accent4 3" xfId="413"/>
    <cellStyle name="60% - Accent4 3 2" xfId="4354"/>
    <cellStyle name="60% - Accent4 3 2 2" xfId="20517"/>
    <cellStyle name="60% - Accent4 4" xfId="7868"/>
    <cellStyle name="60% - Accent4 4 2" xfId="24030"/>
    <cellStyle name="60% - Accent4 5" xfId="7869"/>
    <cellStyle name="60% - Accent4 5 2" xfId="24031"/>
    <cellStyle name="60% - Accent5 2" xfId="462"/>
    <cellStyle name="60% - Accent5 2 2" xfId="463"/>
    <cellStyle name="60% - Accent5 2 2 2" xfId="4404"/>
    <cellStyle name="60% - Accent5 2 2 2 2" xfId="20567"/>
    <cellStyle name="60% - Accent5 2 3" xfId="467"/>
    <cellStyle name="60% - Accent5 2 3 2" xfId="4407"/>
    <cellStyle name="60% - Accent5 2 3 2 2" xfId="20570"/>
    <cellStyle name="60% - Accent5 2 4" xfId="4402"/>
    <cellStyle name="60% - Accent5 2 4 2" xfId="20565"/>
    <cellStyle name="60% - Accent5 3" xfId="472"/>
    <cellStyle name="60% - Accent5 3 2" xfId="4410"/>
    <cellStyle name="60% - Accent5 3 2 2" xfId="20573"/>
    <cellStyle name="60% - Accent5 4" xfId="7870"/>
    <cellStyle name="60% - Accent5 4 2" xfId="24032"/>
    <cellStyle name="60% - Accent5 5" xfId="7871"/>
    <cellStyle name="60% - Accent5 5 2" xfId="24033"/>
    <cellStyle name="60% - Accent6 2" xfId="475"/>
    <cellStyle name="60% - Accent6 2 2" xfId="482"/>
    <cellStyle name="60% - Accent6 2 2 2" xfId="4421"/>
    <cellStyle name="60% - Accent6 2 2 2 2" xfId="20584"/>
    <cellStyle name="60% - Accent6 2 3" xfId="484"/>
    <cellStyle name="60% - Accent6 2 3 2" xfId="4424"/>
    <cellStyle name="60% - Accent6 2 3 2 2" xfId="20587"/>
    <cellStyle name="60% - Accent6 2 4" xfId="4415"/>
    <cellStyle name="60% - Accent6 2 4 2" xfId="20578"/>
    <cellStyle name="60% - Accent6 3" xfId="489"/>
    <cellStyle name="60% - Accent6 3 2" xfId="4429"/>
    <cellStyle name="60% - Accent6 3 2 2" xfId="20592"/>
    <cellStyle name="60% - Accent6 4" xfId="7872"/>
    <cellStyle name="60% - Accent6 4 2" xfId="24034"/>
    <cellStyle name="60% - Accent6 5" xfId="7873"/>
    <cellStyle name="60% - Accent6 5 2" xfId="24035"/>
    <cellStyle name="Accent1 - 20%" xfId="112"/>
    <cellStyle name="Accent1 - 20% 2" xfId="228"/>
    <cellStyle name="Accent1 - 20% 2 2" xfId="4182"/>
    <cellStyle name="Accent1 - 20% 2 2 2" xfId="20345"/>
    <cellStyle name="Accent1 - 20% 3" xfId="238"/>
    <cellStyle name="Accent1 - 20% 3 2" xfId="4186"/>
    <cellStyle name="Accent1 - 20% 3 2 2" xfId="20349"/>
    <cellStyle name="Accent1 - 20% 4" xfId="4052"/>
    <cellStyle name="Accent1 - 20% 4 2" xfId="20215"/>
    <cellStyle name="Accent1 - 20%_Achampally-Gattubuthkur-Ganga-CRR" xfId="493"/>
    <cellStyle name="Accent1 - 40%" xfId="495"/>
    <cellStyle name="Accent1 - 40% 2" xfId="498"/>
    <cellStyle name="Accent1 - 40% 2 2" xfId="4434"/>
    <cellStyle name="Accent1 - 40% 2 2 2" xfId="20597"/>
    <cellStyle name="Accent1 - 40% 3" xfId="501"/>
    <cellStyle name="Accent1 - 40% 3 2" xfId="4438"/>
    <cellStyle name="Accent1 - 40% 3 2 2" xfId="20601"/>
    <cellStyle name="Accent1 - 40% 4" xfId="4432"/>
    <cellStyle name="Accent1 - 40% 4 2" xfId="20595"/>
    <cellStyle name="Accent1 - 40%_Achampally-Gattubuthkur-Ganga-CRR" xfId="503"/>
    <cellStyle name="Accent1 - 60%" xfId="513"/>
    <cellStyle name="Accent1 - 60% 2" xfId="517"/>
    <cellStyle name="Accent1 - 60% 2 2" xfId="4453"/>
    <cellStyle name="Accent1 - 60% 2 2 2" xfId="20616"/>
    <cellStyle name="Accent1 - 60% 3" xfId="521"/>
    <cellStyle name="Accent1 - 60% 3 2" xfId="4456"/>
    <cellStyle name="Accent1 - 60% 3 2 2" xfId="20619"/>
    <cellStyle name="Accent1 - 60% 4" xfId="4449"/>
    <cellStyle name="Accent1 - 60% 4 2" xfId="20612"/>
    <cellStyle name="Accent1 10" xfId="7874"/>
    <cellStyle name="Accent1 10 2" xfId="24036"/>
    <cellStyle name="Accent1 11" xfId="7875"/>
    <cellStyle name="Accent1 11 2" xfId="24037"/>
    <cellStyle name="Accent1 12" xfId="7876"/>
    <cellStyle name="Accent1 12 2" xfId="24038"/>
    <cellStyle name="Accent1 13" xfId="7877"/>
    <cellStyle name="Accent1 13 2" xfId="24039"/>
    <cellStyle name="Accent1 14" xfId="7878"/>
    <cellStyle name="Accent1 14 2" xfId="24040"/>
    <cellStyle name="Accent1 15" xfId="7879"/>
    <cellStyle name="Accent1 15 2" xfId="24041"/>
    <cellStyle name="Accent1 16" xfId="7880"/>
    <cellStyle name="Accent1 16 2" xfId="24042"/>
    <cellStyle name="Accent1 17" xfId="7881"/>
    <cellStyle name="Accent1 17 2" xfId="24043"/>
    <cellStyle name="Accent1 2" xfId="522"/>
    <cellStyle name="Accent1 2 2" xfId="525"/>
    <cellStyle name="Accent1 2 2 2" xfId="4460"/>
    <cellStyle name="Accent1 2 2 2 2" xfId="20623"/>
    <cellStyle name="Accent1 2 3" xfId="383"/>
    <cellStyle name="Accent1 2 3 2" xfId="4324"/>
    <cellStyle name="Accent1 2 3 2 2" xfId="20487"/>
    <cellStyle name="Accent1 2 4" xfId="4459"/>
    <cellStyle name="Accent1 2 4 2" xfId="20622"/>
    <cellStyle name="Accent1 3" xfId="526"/>
    <cellStyle name="Accent1 3 2" xfId="4462"/>
    <cellStyle name="Accent1 3 2 2" xfId="20625"/>
    <cellStyle name="Accent1 4" xfId="7882"/>
    <cellStyle name="Accent1 4 2" xfId="24044"/>
    <cellStyle name="Accent1 5" xfId="7883"/>
    <cellStyle name="Accent1 5 2" xfId="24045"/>
    <cellStyle name="Accent1 6" xfId="7884"/>
    <cellStyle name="Accent1 6 2" xfId="24046"/>
    <cellStyle name="Accent1 7" xfId="7885"/>
    <cellStyle name="Accent1 7 2" xfId="24047"/>
    <cellStyle name="Accent1 8" xfId="7886"/>
    <cellStyle name="Accent1 8 2" xfId="24048"/>
    <cellStyle name="Accent1 9" xfId="7887"/>
    <cellStyle name="Accent1 9 2" xfId="24049"/>
    <cellStyle name="Accent2 - 20%" xfId="529"/>
    <cellStyle name="Accent2 - 20% 2" xfId="536"/>
    <cellStyle name="Accent2 - 20% 2 2" xfId="4469"/>
    <cellStyle name="Accent2 - 20% 2 2 2" xfId="20632"/>
    <cellStyle name="Accent2 - 20% 3" xfId="13"/>
    <cellStyle name="Accent2 - 20% 3 2" xfId="3975"/>
    <cellStyle name="Accent2 - 20% 3 2 2" xfId="20138"/>
    <cellStyle name="Accent2 - 20% 4" xfId="4464"/>
    <cellStyle name="Accent2 - 20% 4 2" xfId="20627"/>
    <cellStyle name="Accent2 - 20%_Achampally-Gattubuthkur-Ganga-CRR" xfId="540"/>
    <cellStyle name="Accent2 - 40%" xfId="21"/>
    <cellStyle name="Accent2 - 40% 2" xfId="545"/>
    <cellStyle name="Accent2 - 40% 2 2" xfId="4479"/>
    <cellStyle name="Accent2 - 40% 2 2 2" xfId="20642"/>
    <cellStyle name="Accent2 - 40% 3" xfId="552"/>
    <cellStyle name="Accent2 - 40% 3 2" xfId="4486"/>
    <cellStyle name="Accent2 - 40% 3 2 2" xfId="20649"/>
    <cellStyle name="Accent2 - 40% 4" xfId="3987"/>
    <cellStyle name="Accent2 - 40% 4 2" xfId="20150"/>
    <cellStyle name="Accent2 - 40%_Achampally-Gattubuthkur-Ganga-CRR" xfId="558"/>
    <cellStyle name="Accent2 - 60%" xfId="560"/>
    <cellStyle name="Accent2 - 60% 2" xfId="430"/>
    <cellStyle name="Accent2 - 60% 2 2" xfId="4373"/>
    <cellStyle name="Accent2 - 60% 2 2 2" xfId="20536"/>
    <cellStyle name="Accent2 - 60% 3" xfId="564"/>
    <cellStyle name="Accent2 - 60% 3 2" xfId="4496"/>
    <cellStyle name="Accent2 - 60% 3 2 2" xfId="20659"/>
    <cellStyle name="Accent2 - 60% 4" xfId="4493"/>
    <cellStyle name="Accent2 - 60% 4 2" xfId="20656"/>
    <cellStyle name="Accent2 10" xfId="7888"/>
    <cellStyle name="Accent2 10 2" xfId="24050"/>
    <cellStyle name="Accent2 11" xfId="7889"/>
    <cellStyle name="Accent2 11 2" xfId="24051"/>
    <cellStyle name="Accent2 12" xfId="7890"/>
    <cellStyle name="Accent2 12 2" xfId="24052"/>
    <cellStyle name="Accent2 13" xfId="7891"/>
    <cellStyle name="Accent2 13 2" xfId="24053"/>
    <cellStyle name="Accent2 14" xfId="7892"/>
    <cellStyle name="Accent2 14 2" xfId="24054"/>
    <cellStyle name="Accent2 15" xfId="7893"/>
    <cellStyle name="Accent2 15 2" xfId="24055"/>
    <cellStyle name="Accent2 16" xfId="7894"/>
    <cellStyle name="Accent2 16 2" xfId="24056"/>
    <cellStyle name="Accent2 17" xfId="7895"/>
    <cellStyle name="Accent2 17 2" xfId="24057"/>
    <cellStyle name="Accent2 2" xfId="572"/>
    <cellStyle name="Accent2 2 2" xfId="223"/>
    <cellStyle name="Accent2 2 2 2" xfId="4151"/>
    <cellStyle name="Accent2 2 2 2 2" xfId="20314"/>
    <cellStyle name="Accent2 2 3" xfId="574"/>
    <cellStyle name="Accent2 2 3 2" xfId="4505"/>
    <cellStyle name="Accent2 2 3 2 2" xfId="20668"/>
    <cellStyle name="Accent2 2 4" xfId="4504"/>
    <cellStyle name="Accent2 2 4 2" xfId="20667"/>
    <cellStyle name="Accent2 3" xfId="577"/>
    <cellStyle name="Accent2 3 2" xfId="4509"/>
    <cellStyle name="Accent2 3 2 2" xfId="20672"/>
    <cellStyle name="Accent2 4" xfId="7896"/>
    <cellStyle name="Accent2 4 2" xfId="24058"/>
    <cellStyle name="Accent2 5" xfId="7897"/>
    <cellStyle name="Accent2 5 2" xfId="24059"/>
    <cellStyle name="Accent2 6" xfId="7898"/>
    <cellStyle name="Accent2 6 2" xfId="24060"/>
    <cellStyle name="Accent2 7" xfId="7899"/>
    <cellStyle name="Accent2 7 2" xfId="24061"/>
    <cellStyle name="Accent2 8" xfId="7900"/>
    <cellStyle name="Accent2 8 2" xfId="24062"/>
    <cellStyle name="Accent2 9" xfId="7901"/>
    <cellStyle name="Accent2 9 2" xfId="24063"/>
    <cellStyle name="Accent3 - 20%" xfId="584"/>
    <cellStyle name="Accent3 - 20% 2" xfId="591"/>
    <cellStyle name="Accent3 - 20% 2 2" xfId="4523"/>
    <cellStyle name="Accent3 - 20% 2 2 2" xfId="20686"/>
    <cellStyle name="Accent3 - 20% 3" xfId="596"/>
    <cellStyle name="Accent3 - 20% 3 2" xfId="4528"/>
    <cellStyle name="Accent3 - 20% 3 2 2" xfId="20691"/>
    <cellStyle name="Accent3 - 20% 4" xfId="4519"/>
    <cellStyle name="Accent3 - 20% 4 2" xfId="20682"/>
    <cellStyle name="Accent3 - 20%_Achampally-Gattubuthkur-Ganga-CRR" xfId="43"/>
    <cellStyle name="Accent3 - 40%" xfId="605"/>
    <cellStyle name="Accent3 - 40% 2" xfId="609"/>
    <cellStyle name="Accent3 - 40% 2 2" xfId="4541"/>
    <cellStyle name="Accent3 - 40% 2 2 2" xfId="20703"/>
    <cellStyle name="Accent3 - 40% 3" xfId="610"/>
    <cellStyle name="Accent3 - 40% 3 2" xfId="4544"/>
    <cellStyle name="Accent3 - 40% 3 2 2" xfId="20706"/>
    <cellStyle name="Accent3 - 40% 4" xfId="4537"/>
    <cellStyle name="Accent3 - 40% 4 2" xfId="20699"/>
    <cellStyle name="Accent3 - 40%_Achampally-Gattubuthkur-Ganga-CRR" xfId="468"/>
    <cellStyle name="Accent3 - 60%" xfId="623"/>
    <cellStyle name="Accent3 - 60% 2" xfId="632"/>
    <cellStyle name="Accent3 - 60% 2 2" xfId="4564"/>
    <cellStyle name="Accent3 - 60% 2 2 2" xfId="20726"/>
    <cellStyle name="Accent3 - 60% 3" xfId="635"/>
    <cellStyle name="Accent3 - 60% 3 2" xfId="4567"/>
    <cellStyle name="Accent3 - 60% 3 2 2" xfId="20729"/>
    <cellStyle name="Accent3 - 60% 4" xfId="4557"/>
    <cellStyle name="Accent3 - 60% 4 2" xfId="20719"/>
    <cellStyle name="Accent3 10" xfId="7902"/>
    <cellStyle name="Accent3 10 2" xfId="24064"/>
    <cellStyle name="Accent3 11" xfId="7903"/>
    <cellStyle name="Accent3 11 2" xfId="24065"/>
    <cellStyle name="Accent3 12" xfId="7904"/>
    <cellStyle name="Accent3 12 2" xfId="24066"/>
    <cellStyle name="Accent3 13" xfId="7905"/>
    <cellStyle name="Accent3 13 2" xfId="24067"/>
    <cellStyle name="Accent3 14" xfId="7906"/>
    <cellStyle name="Accent3 14 2" xfId="24068"/>
    <cellStyle name="Accent3 15" xfId="7907"/>
    <cellStyle name="Accent3 15 2" xfId="24069"/>
    <cellStyle name="Accent3 16" xfId="7908"/>
    <cellStyle name="Accent3 16 2" xfId="24070"/>
    <cellStyle name="Accent3 17" xfId="7909"/>
    <cellStyle name="Accent3 17 2" xfId="24071"/>
    <cellStyle name="Accent3 2" xfId="642"/>
    <cellStyle name="Accent3 2 2" xfId="647"/>
    <cellStyle name="Accent3 2 2 2" xfId="4579"/>
    <cellStyle name="Accent3 2 2 2 2" xfId="20741"/>
    <cellStyle name="Accent3 2 3" xfId="648"/>
    <cellStyle name="Accent3 2 3 2" xfId="4580"/>
    <cellStyle name="Accent3 2 3 2 2" xfId="20742"/>
    <cellStyle name="Accent3 2 4" xfId="4574"/>
    <cellStyle name="Accent3 2 4 2" xfId="20736"/>
    <cellStyle name="Accent3 3" xfId="120"/>
    <cellStyle name="Accent3 3 2" xfId="4067"/>
    <cellStyle name="Accent3 3 2 2" xfId="20230"/>
    <cellStyle name="Accent3 4" xfId="7910"/>
    <cellStyle name="Accent3 4 2" xfId="24072"/>
    <cellStyle name="Accent3 5" xfId="7911"/>
    <cellStyle name="Accent3 5 2" xfId="24073"/>
    <cellStyle name="Accent3 6" xfId="7912"/>
    <cellStyle name="Accent3 6 2" xfId="24074"/>
    <cellStyle name="Accent3 7" xfId="7913"/>
    <cellStyle name="Accent3 7 2" xfId="24075"/>
    <cellStyle name="Accent3 8" xfId="7914"/>
    <cellStyle name="Accent3 8 2" xfId="24076"/>
    <cellStyle name="Accent3 9" xfId="7915"/>
    <cellStyle name="Accent3 9 2" xfId="24077"/>
    <cellStyle name="Accent4 - 20%" xfId="653"/>
    <cellStyle name="Accent4 - 20% 2" xfId="657"/>
    <cellStyle name="Accent4 - 20% 2 2" xfId="4588"/>
    <cellStyle name="Accent4 - 20% 2 2 2" xfId="20750"/>
    <cellStyle name="Accent4 - 20% 3" xfId="424"/>
    <cellStyle name="Accent4 - 20% 3 2" xfId="4359"/>
    <cellStyle name="Accent4 - 20% 3 2 2" xfId="20522"/>
    <cellStyle name="Accent4 - 20% 4" xfId="4582"/>
    <cellStyle name="Accent4 - 20% 4 2" xfId="20744"/>
    <cellStyle name="Accent4 - 20%_Achampally-Gattubuthkur-Ganga-CRR" xfId="660"/>
    <cellStyle name="Accent4 - 40%" xfId="667"/>
    <cellStyle name="Accent4 - 40% 2" xfId="673"/>
    <cellStyle name="Accent4 - 40% 2 2" xfId="4603"/>
    <cellStyle name="Accent4 - 40% 2 2 2" xfId="20765"/>
    <cellStyle name="Accent4 - 40% 3" xfId="676"/>
    <cellStyle name="Accent4 - 40% 3 2" xfId="4606"/>
    <cellStyle name="Accent4 - 40% 3 2 2" xfId="20768"/>
    <cellStyle name="Accent4 - 40% 4" xfId="4592"/>
    <cellStyle name="Accent4 - 40% 4 2" xfId="20754"/>
    <cellStyle name="Accent4 - 40%_Achampally-Gattubuthkur-Ganga-CRR" xfId="681"/>
    <cellStyle name="Accent4 - 60%" xfId="613"/>
    <cellStyle name="Accent4 - 60% 2" xfId="683"/>
    <cellStyle name="Accent4 - 60% 2 2" xfId="4613"/>
    <cellStyle name="Accent4 - 60% 2 2 2" xfId="20775"/>
    <cellStyle name="Accent4 - 60% 3" xfId="689"/>
    <cellStyle name="Accent4 - 60% 3 2" xfId="4619"/>
    <cellStyle name="Accent4 - 60% 3 2 2" xfId="20781"/>
    <cellStyle name="Accent4 - 60% 4" xfId="4546"/>
    <cellStyle name="Accent4 - 60% 4 2" xfId="20708"/>
    <cellStyle name="Accent4 10" xfId="7916"/>
    <cellStyle name="Accent4 10 2" xfId="24078"/>
    <cellStyle name="Accent4 11" xfId="7917"/>
    <cellStyle name="Accent4 11 2" xfId="24079"/>
    <cellStyle name="Accent4 12" xfId="7918"/>
    <cellStyle name="Accent4 12 2" xfId="24080"/>
    <cellStyle name="Accent4 13" xfId="7919"/>
    <cellStyle name="Accent4 13 2" xfId="24081"/>
    <cellStyle name="Accent4 14" xfId="7920"/>
    <cellStyle name="Accent4 14 2" xfId="24082"/>
    <cellStyle name="Accent4 15" xfId="7921"/>
    <cellStyle name="Accent4 15 2" xfId="24083"/>
    <cellStyle name="Accent4 16" xfId="7922"/>
    <cellStyle name="Accent4 16 2" xfId="24084"/>
    <cellStyle name="Accent4 17" xfId="7923"/>
    <cellStyle name="Accent4 17 2" xfId="24085"/>
    <cellStyle name="Accent4 2" xfId="220"/>
    <cellStyle name="Accent4 2 2" xfId="509"/>
    <cellStyle name="Accent4 2 2 2" xfId="4445"/>
    <cellStyle name="Accent4 2 2 2 2" xfId="20608"/>
    <cellStyle name="Accent4 2 3" xfId="698"/>
    <cellStyle name="Accent4 2 3 2" xfId="4628"/>
    <cellStyle name="Accent4 2 3 2 2" xfId="20790"/>
    <cellStyle name="Accent4 2 4" xfId="4142"/>
    <cellStyle name="Accent4 2 4 2" xfId="20305"/>
    <cellStyle name="Accent4 3" xfId="702"/>
    <cellStyle name="Accent4 3 2" xfId="4630"/>
    <cellStyle name="Accent4 3 2 2" xfId="20792"/>
    <cellStyle name="Accent4 4" xfId="7924"/>
    <cellStyle name="Accent4 4 2" xfId="24086"/>
    <cellStyle name="Accent4 5" xfId="7925"/>
    <cellStyle name="Accent4 5 2" xfId="24087"/>
    <cellStyle name="Accent4 6" xfId="7926"/>
    <cellStyle name="Accent4 6 2" xfId="24088"/>
    <cellStyle name="Accent4 7" xfId="7927"/>
    <cellStyle name="Accent4 7 2" xfId="24089"/>
    <cellStyle name="Accent4 8" xfId="7928"/>
    <cellStyle name="Accent4 8 2" xfId="24090"/>
    <cellStyle name="Accent4 9" xfId="7929"/>
    <cellStyle name="Accent4 9 2" xfId="24091"/>
    <cellStyle name="Accent5 - 20%" xfId="55"/>
    <cellStyle name="Accent5 - 20% 2" xfId="705"/>
    <cellStyle name="Accent5 - 20% 2 2" xfId="4633"/>
    <cellStyle name="Accent5 - 20% 2 2 2" xfId="20795"/>
    <cellStyle name="Accent5 - 20% 3" xfId="708"/>
    <cellStyle name="Accent5 - 20% 3 2" xfId="4636"/>
    <cellStyle name="Accent5 - 20% 3 2 2" xfId="20798"/>
    <cellStyle name="Accent5 - 20% 4" xfId="4156"/>
    <cellStyle name="Accent5 - 20% 4 2" xfId="20319"/>
    <cellStyle name="Accent5 - 20%_Achampally-Gattubuthkur-Ganga-CRR" xfId="709"/>
    <cellStyle name="Accent5 - 40%" xfId="713"/>
    <cellStyle name="Accent5 - 40% 2" xfId="716"/>
    <cellStyle name="Accent5 - 40% 2 2" xfId="4642"/>
    <cellStyle name="Accent5 - 40% 2 2 2" xfId="20804"/>
    <cellStyle name="Accent5 - 40% 3" xfId="719"/>
    <cellStyle name="Accent5 - 40% 3 2" xfId="4644"/>
    <cellStyle name="Accent5 - 40% 3 2 2" xfId="20806"/>
    <cellStyle name="Accent5 - 40% 4" xfId="4640"/>
    <cellStyle name="Accent5 - 40% 4 2" xfId="20802"/>
    <cellStyle name="Accent5 - 40%_Achampally-Gattubuthkur-Ganga-CRR" xfId="527"/>
    <cellStyle name="Accent5 - 60%" xfId="337"/>
    <cellStyle name="Accent5 - 60% 2" xfId="720"/>
    <cellStyle name="Accent5 - 60% 2 2" xfId="4647"/>
    <cellStyle name="Accent5 - 60% 2 2 2" xfId="20809"/>
    <cellStyle name="Accent5 - 60% 3" xfId="721"/>
    <cellStyle name="Accent5 - 60% 3 2" xfId="4648"/>
    <cellStyle name="Accent5 - 60% 3 2 2" xfId="20810"/>
    <cellStyle name="Accent5 - 60% 4" xfId="4284"/>
    <cellStyle name="Accent5 - 60% 4 2" xfId="20447"/>
    <cellStyle name="Accent5 10" xfId="7930"/>
    <cellStyle name="Accent5 10 2" xfId="24092"/>
    <cellStyle name="Accent5 11" xfId="7931"/>
    <cellStyle name="Accent5 11 2" xfId="24093"/>
    <cellStyle name="Accent5 12" xfId="7932"/>
    <cellStyle name="Accent5 12 2" xfId="24094"/>
    <cellStyle name="Accent5 13" xfId="7933"/>
    <cellStyle name="Accent5 13 2" xfId="24095"/>
    <cellStyle name="Accent5 14" xfId="7934"/>
    <cellStyle name="Accent5 14 2" xfId="24096"/>
    <cellStyle name="Accent5 15" xfId="7935"/>
    <cellStyle name="Accent5 15 2" xfId="24097"/>
    <cellStyle name="Accent5 16" xfId="7936"/>
    <cellStyle name="Accent5 16 2" xfId="24098"/>
    <cellStyle name="Accent5 17" xfId="7937"/>
    <cellStyle name="Accent5 17 2" xfId="24099"/>
    <cellStyle name="Accent5 2" xfId="587"/>
    <cellStyle name="Accent5 2 2" xfId="592"/>
    <cellStyle name="Accent5 2 2 2" xfId="4520"/>
    <cellStyle name="Accent5 2 2 2 2" xfId="20683"/>
    <cellStyle name="Accent5 2 3" xfId="597"/>
    <cellStyle name="Accent5 2 3 2" xfId="4525"/>
    <cellStyle name="Accent5 2 3 2 2" xfId="20688"/>
    <cellStyle name="Accent5 2 4" xfId="4513"/>
    <cellStyle name="Accent5 2 4 2" xfId="20676"/>
    <cellStyle name="Accent5 3" xfId="726"/>
    <cellStyle name="Accent5 3 2" xfId="4649"/>
    <cellStyle name="Accent5 3 2 2" xfId="20811"/>
    <cellStyle name="Accent5 4" xfId="7938"/>
    <cellStyle name="Accent5 4 2" xfId="24100"/>
    <cellStyle name="Accent5 5" xfId="7939"/>
    <cellStyle name="Accent5 5 2" xfId="24101"/>
    <cellStyle name="Accent5 6" xfId="7940"/>
    <cellStyle name="Accent5 6 2" xfId="24102"/>
    <cellStyle name="Accent5 7" xfId="7941"/>
    <cellStyle name="Accent5 7 2" xfId="24103"/>
    <cellStyle name="Accent5 8" xfId="7942"/>
    <cellStyle name="Accent5 8 2" xfId="24104"/>
    <cellStyle name="Accent5 9" xfId="7943"/>
    <cellStyle name="Accent5 9 2" xfId="24105"/>
    <cellStyle name="Accent6 - 20%" xfId="728"/>
    <cellStyle name="Accent6 - 20% 2" xfId="736"/>
    <cellStyle name="Accent6 - 20% 2 2" xfId="4663"/>
    <cellStyle name="Accent6 - 20% 2 2 2" xfId="20825"/>
    <cellStyle name="Accent6 - 20% 3" xfId="746"/>
    <cellStyle name="Accent6 - 20% 3 2" xfId="4673"/>
    <cellStyle name="Accent6 - 20% 3 2 2" xfId="20835"/>
    <cellStyle name="Accent6 - 20% 4" xfId="4654"/>
    <cellStyle name="Accent6 - 20% 4 2" xfId="20816"/>
    <cellStyle name="Accent6 - 20%_Achampally-Gattubuthkur-Ganga-CRR" xfId="751"/>
    <cellStyle name="Accent6 - 40%" xfId="669"/>
    <cellStyle name="Accent6 - 40% 2" xfId="752"/>
    <cellStyle name="Accent6 - 40% 2 2" xfId="4678"/>
    <cellStyle name="Accent6 - 40% 2 2 2" xfId="20840"/>
    <cellStyle name="Accent6 - 40% 3" xfId="760"/>
    <cellStyle name="Accent6 - 40% 3 2" xfId="4686"/>
    <cellStyle name="Accent6 - 40% 3 2 2" xfId="20848"/>
    <cellStyle name="Accent6 - 40% 4" xfId="4600"/>
    <cellStyle name="Accent6 - 40% 4 2" xfId="20762"/>
    <cellStyle name="Accent6 - 40%_Achampally-Gattubuthkur-Ganga-CRR" xfId="364"/>
    <cellStyle name="Accent6 - 60%" xfId="765"/>
    <cellStyle name="Accent6 - 60% 2" xfId="200"/>
    <cellStyle name="Accent6 - 60% 2 2" xfId="4123"/>
    <cellStyle name="Accent6 - 60% 2 2 2" xfId="20286"/>
    <cellStyle name="Accent6 - 60% 3" xfId="152"/>
    <cellStyle name="Accent6 - 60% 3 2" xfId="4085"/>
    <cellStyle name="Accent6 - 60% 3 2 2" xfId="20248"/>
    <cellStyle name="Accent6 - 60% 4" xfId="4690"/>
    <cellStyle name="Accent6 - 60% 4 2" xfId="20852"/>
    <cellStyle name="Accent6 10" xfId="7944"/>
    <cellStyle name="Accent6 10 2" xfId="24106"/>
    <cellStyle name="Accent6 11" xfId="7945"/>
    <cellStyle name="Accent6 11 2" xfId="24107"/>
    <cellStyle name="Accent6 12" xfId="7946"/>
    <cellStyle name="Accent6 12 2" xfId="24108"/>
    <cellStyle name="Accent6 13" xfId="7947"/>
    <cellStyle name="Accent6 13 2" xfId="24109"/>
    <cellStyle name="Accent6 14" xfId="7948"/>
    <cellStyle name="Accent6 14 2" xfId="24110"/>
    <cellStyle name="Accent6 15" xfId="7949"/>
    <cellStyle name="Accent6 15 2" xfId="24111"/>
    <cellStyle name="Accent6 16" xfId="7950"/>
    <cellStyle name="Accent6 16 2" xfId="24112"/>
    <cellStyle name="Accent6 17" xfId="7951"/>
    <cellStyle name="Accent6 17 2" xfId="24113"/>
    <cellStyle name="Accent6 2" xfId="511"/>
    <cellStyle name="Accent6 2 2" xfId="86"/>
    <cellStyle name="Accent6 2 2 2" xfId="4041"/>
    <cellStyle name="Accent6 2 2 2 2" xfId="20204"/>
    <cellStyle name="Accent6 2 3" xfId="768"/>
    <cellStyle name="Accent6 2 3 2" xfId="4694"/>
    <cellStyle name="Accent6 2 3 2 2" xfId="20856"/>
    <cellStyle name="Accent6 2 4" xfId="4443"/>
    <cellStyle name="Accent6 2 4 2" xfId="20606"/>
    <cellStyle name="Accent6 3" xfId="700"/>
    <cellStyle name="Accent6 3 2" xfId="4625"/>
    <cellStyle name="Accent6 3 2 2" xfId="20787"/>
    <cellStyle name="Accent6 4" xfId="7952"/>
    <cellStyle name="Accent6 4 2" xfId="24114"/>
    <cellStyle name="Accent6 5" xfId="7953"/>
    <cellStyle name="Accent6 5 2" xfId="24115"/>
    <cellStyle name="Accent6 6" xfId="7954"/>
    <cellStyle name="Accent6 6 2" xfId="24116"/>
    <cellStyle name="Accent6 7" xfId="7955"/>
    <cellStyle name="Accent6 7 2" xfId="24117"/>
    <cellStyle name="Accent6 8" xfId="7956"/>
    <cellStyle name="Accent6 8 2" xfId="24118"/>
    <cellStyle name="Accent6 9" xfId="7957"/>
    <cellStyle name="Accent6 9 2" xfId="24119"/>
    <cellStyle name="Bad 2" xfId="446"/>
    <cellStyle name="Bad 2 2" xfId="769"/>
    <cellStyle name="Bad 2 2 2" xfId="4695"/>
    <cellStyle name="Bad 2 2 2 2" xfId="20857"/>
    <cellStyle name="Bad 2 3" xfId="770"/>
    <cellStyle name="Bad 2 3 2" xfId="4696"/>
    <cellStyle name="Bad 2 3 2 2" xfId="20858"/>
    <cellStyle name="Bad 2 4" xfId="4388"/>
    <cellStyle name="Bad 2 4 2" xfId="20551"/>
    <cellStyle name="Bad 3" xfId="52"/>
    <cellStyle name="Bad 3 2" xfId="4008"/>
    <cellStyle name="Bad 3 2 2" xfId="20171"/>
    <cellStyle name="Bad 4" xfId="7958"/>
    <cellStyle name="Bad 4 2" xfId="24120"/>
    <cellStyle name="Bad 5" xfId="7959"/>
    <cellStyle name="Bad 5 2" xfId="24121"/>
    <cellStyle name="BOOKMAN" xfId="257"/>
    <cellStyle name="BOOKMAN 2" xfId="4207"/>
    <cellStyle name="BOOKMAN 2 2" xfId="20370"/>
    <cellStyle name="Calc Currency (0)" xfId="780"/>
    <cellStyle name="Calc Currency (0) 2" xfId="758"/>
    <cellStyle name="Calc Currency (0) 2 2" xfId="4681"/>
    <cellStyle name="Calc Currency (0) 2 2 2" xfId="20843"/>
    <cellStyle name="Calc Currency (0) 3" xfId="68"/>
    <cellStyle name="Calc Currency (0) 3 2" xfId="4019"/>
    <cellStyle name="Calc Currency (0) 3 2 2" xfId="20182"/>
    <cellStyle name="Calc Currency (0) 4" xfId="4702"/>
    <cellStyle name="Calc Currency (0) 4 2" xfId="20864"/>
    <cellStyle name="Calculation 2" xfId="309"/>
    <cellStyle name="Calculation 2 2" xfId="61"/>
    <cellStyle name="Calculation 2 2 2" xfId="4013"/>
    <cellStyle name="Calculation 2 2 2 2" xfId="20176"/>
    <cellStyle name="Calculation 2 2 3" xfId="18977"/>
    <cellStyle name="Calculation 2 3" xfId="782"/>
    <cellStyle name="Calculation 2 3 2" xfId="4708"/>
    <cellStyle name="Calculation 2 3 2 2" xfId="20870"/>
    <cellStyle name="Calculation 2 3 3" xfId="19182"/>
    <cellStyle name="Calculation 2 4" xfId="4259"/>
    <cellStyle name="Calculation 2 4 2" xfId="20422"/>
    <cellStyle name="Calculation 2 5" xfId="19061"/>
    <cellStyle name="Calculation 3" xfId="786"/>
    <cellStyle name="Calculation 3 2" xfId="4712"/>
    <cellStyle name="Calculation 3 2 2" xfId="20874"/>
    <cellStyle name="Calculation 3 3" xfId="19184"/>
    <cellStyle name="Calculation 4" xfId="7960"/>
    <cellStyle name="Calculation 4 2" xfId="24122"/>
    <cellStyle name="Calculation 5" xfId="7961"/>
    <cellStyle name="Calculation 5 2" xfId="24123"/>
    <cellStyle name="Check Cell 2" xfId="788"/>
    <cellStyle name="Check Cell 2 2" xfId="612"/>
    <cellStyle name="Check Cell 2 2 2" xfId="4542"/>
    <cellStyle name="Check Cell 2 2 2 2" xfId="20704"/>
    <cellStyle name="Check Cell 2 3" xfId="113"/>
    <cellStyle name="Check Cell 2 3 2" xfId="4059"/>
    <cellStyle name="Check Cell 2 3 2 2" xfId="20222"/>
    <cellStyle name="Check Cell 2 4" xfId="4713"/>
    <cellStyle name="Check Cell 2 4 2" xfId="20875"/>
    <cellStyle name="Check Cell 3" xfId="791"/>
    <cellStyle name="Check Cell 3 2" xfId="4715"/>
    <cellStyle name="Check Cell 3 2 2" xfId="20877"/>
    <cellStyle name="Check Cell 4" xfId="7962"/>
    <cellStyle name="Check Cell 4 2" xfId="24124"/>
    <cellStyle name="Check Cell 5" xfId="7963"/>
    <cellStyle name="Check Cell 5 2" xfId="24125"/>
    <cellStyle name="Comma" xfId="3" builtinId="3"/>
    <cellStyle name="Comma  - Style1" xfId="797"/>
    <cellStyle name="Comma  - Style1 10" xfId="7964"/>
    <cellStyle name="Comma  - Style1 10 2" xfId="24126"/>
    <cellStyle name="Comma  - Style1 11" xfId="7965"/>
    <cellStyle name="Comma  - Style1 11 2" xfId="24127"/>
    <cellStyle name="Comma  - Style1 12" xfId="7966"/>
    <cellStyle name="Comma  - Style1 12 2" xfId="24128"/>
    <cellStyle name="Comma  - Style1 13" xfId="7967"/>
    <cellStyle name="Comma  - Style1 13 2" xfId="24129"/>
    <cellStyle name="Comma  - Style1 14" xfId="7968"/>
    <cellStyle name="Comma  - Style1 14 2" xfId="24130"/>
    <cellStyle name="Comma  - Style1 15" xfId="7969"/>
    <cellStyle name="Comma  - Style1 15 2" xfId="24131"/>
    <cellStyle name="Comma  - Style1 16" xfId="7970"/>
    <cellStyle name="Comma  - Style1 16 2" xfId="24132"/>
    <cellStyle name="Comma  - Style1 17" xfId="7971"/>
    <cellStyle name="Comma  - Style1 17 2" xfId="24133"/>
    <cellStyle name="Comma  - Style1 18" xfId="4721"/>
    <cellStyle name="Comma  - Style1 18 2" xfId="20883"/>
    <cellStyle name="Comma  - Style1 2" xfId="800"/>
    <cellStyle name="Comma  - Style1 2 2" xfId="4724"/>
    <cellStyle name="Comma  - Style1 2 2 2" xfId="20886"/>
    <cellStyle name="Comma  - Style1 3" xfId="145"/>
    <cellStyle name="Comma  - Style1 3 2" xfId="4167"/>
    <cellStyle name="Comma  - Style1 3 2 2" xfId="20330"/>
    <cellStyle name="Comma  - Style1 4" xfId="801"/>
    <cellStyle name="Comma  - Style1 4 2" xfId="7972"/>
    <cellStyle name="Comma  - Style1 4 2 2" xfId="24134"/>
    <cellStyle name="Comma  - Style1 4 3" xfId="4727"/>
    <cellStyle name="Comma  - Style1 4 3 2" xfId="20889"/>
    <cellStyle name="Comma  - Style1 5" xfId="102"/>
    <cellStyle name="Comma  - Style1 5 2" xfId="4047"/>
    <cellStyle name="Comma  - Style1 5 2 2" xfId="20210"/>
    <cellStyle name="Comma  - Style1 6" xfId="36"/>
    <cellStyle name="Comma  - Style1 6 2" xfId="3994"/>
    <cellStyle name="Comma  - Style1 6 2 2" xfId="20157"/>
    <cellStyle name="Comma  - Style1 7" xfId="339"/>
    <cellStyle name="Comma  - Style1 7 2" xfId="4286"/>
    <cellStyle name="Comma  - Style1 7 2 2" xfId="20449"/>
    <cellStyle name="Comma  - Style1 8" xfId="343"/>
    <cellStyle name="Comma  - Style1 8 2" xfId="4290"/>
    <cellStyle name="Comma  - Style1 8 2 2" xfId="20453"/>
    <cellStyle name="Comma  - Style1 9" xfId="7973"/>
    <cellStyle name="Comma  - Style1 9 2" xfId="24135"/>
    <cellStyle name="Comma  - Style1_2015-16 MASTER CC ROAD &amp; DRAIN" xfId="7974"/>
    <cellStyle name="Comma  - Style2" xfId="583"/>
    <cellStyle name="Comma  - Style2 10" xfId="7975"/>
    <cellStyle name="Comma  - Style2 10 2" xfId="24136"/>
    <cellStyle name="Comma  - Style2 11" xfId="7976"/>
    <cellStyle name="Comma  - Style2 11 2" xfId="24137"/>
    <cellStyle name="Comma  - Style2 12" xfId="7977"/>
    <cellStyle name="Comma  - Style2 12 2" xfId="24138"/>
    <cellStyle name="Comma  - Style2 13" xfId="7978"/>
    <cellStyle name="Comma  - Style2 13 2" xfId="24139"/>
    <cellStyle name="Comma  - Style2 14" xfId="7979"/>
    <cellStyle name="Comma  - Style2 14 2" xfId="24140"/>
    <cellStyle name="Comma  - Style2 15" xfId="7980"/>
    <cellStyle name="Comma  - Style2 15 2" xfId="24141"/>
    <cellStyle name="Comma  - Style2 16" xfId="7981"/>
    <cellStyle name="Comma  - Style2 16 2" xfId="24142"/>
    <cellStyle name="Comma  - Style2 17" xfId="7982"/>
    <cellStyle name="Comma  - Style2 17 2" xfId="24143"/>
    <cellStyle name="Comma  - Style2 18" xfId="4516"/>
    <cellStyle name="Comma  - Style2 18 2" xfId="20679"/>
    <cellStyle name="Comma  - Style2 2" xfId="589"/>
    <cellStyle name="Comma  - Style2 2 2" xfId="4521"/>
    <cellStyle name="Comma  - Style2 2 2 2" xfId="20684"/>
    <cellStyle name="Comma  - Style2 3" xfId="594"/>
    <cellStyle name="Comma  - Style2 3 2" xfId="4526"/>
    <cellStyle name="Comma  - Style2 3 2 2" xfId="20689"/>
    <cellStyle name="Comma  - Style2 4" xfId="516"/>
    <cellStyle name="Comma  - Style2 4 2" xfId="7983"/>
    <cellStyle name="Comma  - Style2 4 2 2" xfId="24144"/>
    <cellStyle name="Comma  - Style2 4 3" xfId="4451"/>
    <cellStyle name="Comma  - Style2 4 3 2" xfId="20614"/>
    <cellStyle name="Comma  - Style2 5" xfId="520"/>
    <cellStyle name="Comma  - Style2 5 2" xfId="4454"/>
    <cellStyle name="Comma  - Style2 5 2 2" xfId="20617"/>
    <cellStyle name="Comma  - Style2 6" xfId="70"/>
    <cellStyle name="Comma  - Style2 6 2" xfId="4022"/>
    <cellStyle name="Comma  - Style2 6 2 2" xfId="20185"/>
    <cellStyle name="Comma  - Style2 7" xfId="802"/>
    <cellStyle name="Comma  - Style2 7 2" xfId="4728"/>
    <cellStyle name="Comma  - Style2 7 2 2" xfId="20890"/>
    <cellStyle name="Comma  - Style2 8" xfId="1"/>
    <cellStyle name="Comma  - Style2 8 2" xfId="3967"/>
    <cellStyle name="Comma  - Style2 8 2 2" xfId="20130"/>
    <cellStyle name="Comma  - Style2 9" xfId="7984"/>
    <cellStyle name="Comma  - Style2 9 2" xfId="24145"/>
    <cellStyle name="Comma  - Style2_2015-16 MASTER CC ROAD &amp; DRAIN" xfId="7985"/>
    <cellStyle name="Comma  - Style3" xfId="723"/>
    <cellStyle name="Comma  - Style3 10" xfId="7986"/>
    <cellStyle name="Comma  - Style3 10 2" xfId="24146"/>
    <cellStyle name="Comma  - Style3 11" xfId="7987"/>
    <cellStyle name="Comma  - Style3 11 2" xfId="24147"/>
    <cellStyle name="Comma  - Style3 12" xfId="7988"/>
    <cellStyle name="Comma  - Style3 12 2" xfId="24148"/>
    <cellStyle name="Comma  - Style3 13" xfId="7989"/>
    <cellStyle name="Comma  - Style3 13 2" xfId="24149"/>
    <cellStyle name="Comma  - Style3 14" xfId="7990"/>
    <cellStyle name="Comma  - Style3 14 2" xfId="24150"/>
    <cellStyle name="Comma  - Style3 15" xfId="7991"/>
    <cellStyle name="Comma  - Style3 15 2" xfId="24151"/>
    <cellStyle name="Comma  - Style3 16" xfId="7992"/>
    <cellStyle name="Comma  - Style3 16 2" xfId="24152"/>
    <cellStyle name="Comma  - Style3 17" xfId="7993"/>
    <cellStyle name="Comma  - Style3 17 2" xfId="24153"/>
    <cellStyle name="Comma  - Style3 18" xfId="4652"/>
    <cellStyle name="Comma  - Style3 18 2" xfId="20814"/>
    <cellStyle name="Comma  - Style3 2" xfId="804"/>
    <cellStyle name="Comma  - Style3 2 2" xfId="4729"/>
    <cellStyle name="Comma  - Style3 2 2 2" xfId="20891"/>
    <cellStyle name="Comma  - Style3 3" xfId="806"/>
    <cellStyle name="Comma  - Style3 3 2" xfId="4731"/>
    <cellStyle name="Comma  - Style3 3 2 2" xfId="20893"/>
    <cellStyle name="Comma  - Style3 4" xfId="808"/>
    <cellStyle name="Comma  - Style3 4 2" xfId="7994"/>
    <cellStyle name="Comma  - Style3 4 2 2" xfId="24154"/>
    <cellStyle name="Comma  - Style3 4 3" xfId="4733"/>
    <cellStyle name="Comma  - Style3 4 3 2" xfId="20895"/>
    <cellStyle name="Comma  - Style3 5" xfId="810"/>
    <cellStyle name="Comma  - Style3 5 2" xfId="4735"/>
    <cellStyle name="Comma  - Style3 5 2 2" xfId="20897"/>
    <cellStyle name="Comma  - Style3 6" xfId="812"/>
    <cellStyle name="Comma  - Style3 6 2" xfId="4737"/>
    <cellStyle name="Comma  - Style3 6 2 2" xfId="20899"/>
    <cellStyle name="Comma  - Style3 7" xfId="813"/>
    <cellStyle name="Comma  - Style3 7 2" xfId="4739"/>
    <cellStyle name="Comma  - Style3 7 2 2" xfId="20901"/>
    <cellStyle name="Comma  - Style3 8" xfId="534"/>
    <cellStyle name="Comma  - Style3 8 2" xfId="4468"/>
    <cellStyle name="Comma  - Style3 8 2 2" xfId="20631"/>
    <cellStyle name="Comma  - Style3 9" xfId="7995"/>
    <cellStyle name="Comma  - Style3 9 2" xfId="24155"/>
    <cellStyle name="Comma  - Style3_2015-16 MASTER CC ROAD &amp; DRAIN" xfId="7996"/>
    <cellStyle name="Comma  - Style4" xfId="814"/>
    <cellStyle name="Comma  - Style4 10" xfId="7997"/>
    <cellStyle name="Comma  - Style4 10 2" xfId="24156"/>
    <cellStyle name="Comma  - Style4 11" xfId="7998"/>
    <cellStyle name="Comma  - Style4 11 2" xfId="24157"/>
    <cellStyle name="Comma  - Style4 12" xfId="7999"/>
    <cellStyle name="Comma  - Style4 12 2" xfId="24158"/>
    <cellStyle name="Comma  - Style4 13" xfId="8000"/>
    <cellStyle name="Comma  - Style4 13 2" xfId="24159"/>
    <cellStyle name="Comma  - Style4 14" xfId="8001"/>
    <cellStyle name="Comma  - Style4 14 2" xfId="24160"/>
    <cellStyle name="Comma  - Style4 15" xfId="8002"/>
    <cellStyle name="Comma  - Style4 15 2" xfId="24161"/>
    <cellStyle name="Comma  - Style4 16" xfId="8003"/>
    <cellStyle name="Comma  - Style4 16 2" xfId="24162"/>
    <cellStyle name="Comma  - Style4 17" xfId="8004"/>
    <cellStyle name="Comma  - Style4 17 2" xfId="24163"/>
    <cellStyle name="Comma  - Style4 18" xfId="4740"/>
    <cellStyle name="Comma  - Style4 18 2" xfId="20902"/>
    <cellStyle name="Comma  - Style4 2" xfId="18"/>
    <cellStyle name="Comma  - Style4 2 2" xfId="3981"/>
    <cellStyle name="Comma  - Style4 2 2 2" xfId="20144"/>
    <cellStyle name="Comma  - Style4 3" xfId="817"/>
    <cellStyle name="Comma  - Style4 3 2" xfId="4741"/>
    <cellStyle name="Comma  - Style4 3 2 2" xfId="20903"/>
    <cellStyle name="Comma  - Style4 4" xfId="820"/>
    <cellStyle name="Comma  - Style4 4 2" xfId="8005"/>
    <cellStyle name="Comma  - Style4 4 2 2" xfId="24164"/>
    <cellStyle name="Comma  - Style4 4 3" xfId="4744"/>
    <cellStyle name="Comma  - Style4 4 3 2" xfId="20906"/>
    <cellStyle name="Comma  - Style4 5" xfId="823"/>
    <cellStyle name="Comma  - Style4 5 2" xfId="4747"/>
    <cellStyle name="Comma  - Style4 5 2 2" xfId="20909"/>
    <cellStyle name="Comma  - Style4 6" xfId="826"/>
    <cellStyle name="Comma  - Style4 6 2" xfId="4750"/>
    <cellStyle name="Comma  - Style4 6 2 2" xfId="20912"/>
    <cellStyle name="Comma  - Style4 7" xfId="829"/>
    <cellStyle name="Comma  - Style4 7 2" xfId="4753"/>
    <cellStyle name="Comma  - Style4 7 2 2" xfId="20915"/>
    <cellStyle name="Comma  - Style4 8" xfId="830"/>
    <cellStyle name="Comma  - Style4 8 2" xfId="4756"/>
    <cellStyle name="Comma  - Style4 8 2 2" xfId="20918"/>
    <cellStyle name="Comma  - Style4 9" xfId="8006"/>
    <cellStyle name="Comma  - Style4 9 2" xfId="24165"/>
    <cellStyle name="Comma  - Style4_2015-16 MASTER CC ROAD &amp; DRAIN" xfId="8007"/>
    <cellStyle name="Comma  - Style5" xfId="836"/>
    <cellStyle name="Comma  - Style5 10" xfId="8008"/>
    <cellStyle name="Comma  - Style5 10 2" xfId="24166"/>
    <cellStyle name="Comma  - Style5 11" xfId="8009"/>
    <cellStyle name="Comma  - Style5 11 2" xfId="24167"/>
    <cellStyle name="Comma  - Style5 12" xfId="8010"/>
    <cellStyle name="Comma  - Style5 12 2" xfId="24168"/>
    <cellStyle name="Comma  - Style5 13" xfId="8011"/>
    <cellStyle name="Comma  - Style5 13 2" xfId="24169"/>
    <cellStyle name="Comma  - Style5 14" xfId="8012"/>
    <cellStyle name="Comma  - Style5 14 2" xfId="24170"/>
    <cellStyle name="Comma  - Style5 15" xfId="8013"/>
    <cellStyle name="Comma  - Style5 15 2" xfId="24171"/>
    <cellStyle name="Comma  - Style5 16" xfId="8014"/>
    <cellStyle name="Comma  - Style5 16 2" xfId="24172"/>
    <cellStyle name="Comma  - Style5 17" xfId="8015"/>
    <cellStyle name="Comma  - Style5 17 2" xfId="24173"/>
    <cellStyle name="Comma  - Style5 18" xfId="4762"/>
    <cellStyle name="Comma  - Style5 18 2" xfId="20924"/>
    <cellStyle name="Comma  - Style5 2" xfId="839"/>
    <cellStyle name="Comma  - Style5 2 2" xfId="4765"/>
    <cellStyle name="Comma  - Style5 2 2 2" xfId="20927"/>
    <cellStyle name="Comma  - Style5 3" xfId="117"/>
    <cellStyle name="Comma  - Style5 3 2" xfId="4060"/>
    <cellStyle name="Comma  - Style5 3 2 2" xfId="20223"/>
    <cellStyle name="Comma  - Style5 4" xfId="842"/>
    <cellStyle name="Comma  - Style5 4 2" xfId="8016"/>
    <cellStyle name="Comma  - Style5 4 2 2" xfId="24174"/>
    <cellStyle name="Comma  - Style5 4 3" xfId="4768"/>
    <cellStyle name="Comma  - Style5 4 3 2" xfId="20930"/>
    <cellStyle name="Comma  - Style5 5" xfId="845"/>
    <cellStyle name="Comma  - Style5 5 2" xfId="4771"/>
    <cellStyle name="Comma  - Style5 5 2 2" xfId="20933"/>
    <cellStyle name="Comma  - Style5 6" xfId="849"/>
    <cellStyle name="Comma  - Style5 6 2" xfId="4773"/>
    <cellStyle name="Comma  - Style5 6 2 2" xfId="20935"/>
    <cellStyle name="Comma  - Style5 7" xfId="465"/>
    <cellStyle name="Comma  - Style5 7 2" xfId="4403"/>
    <cellStyle name="Comma  - Style5 7 2 2" xfId="20566"/>
    <cellStyle name="Comma  - Style5 8" xfId="470"/>
    <cellStyle name="Comma  - Style5 8 2" xfId="4409"/>
    <cellStyle name="Comma  - Style5 8 2 2" xfId="20572"/>
    <cellStyle name="Comma  - Style5 9" xfId="8017"/>
    <cellStyle name="Comma  - Style5 9 2" xfId="24175"/>
    <cellStyle name="Comma  - Style5_2015-16 MASTER CC ROAD &amp; DRAIN" xfId="8018"/>
    <cellStyle name="Comma  - Style6" xfId="850"/>
    <cellStyle name="Comma  - Style6 10" xfId="8019"/>
    <cellStyle name="Comma  - Style6 10 2" xfId="24176"/>
    <cellStyle name="Comma  - Style6 11" xfId="8020"/>
    <cellStyle name="Comma  - Style6 11 2" xfId="24177"/>
    <cellStyle name="Comma  - Style6 12" xfId="8021"/>
    <cellStyle name="Comma  - Style6 12 2" xfId="24178"/>
    <cellStyle name="Comma  - Style6 13" xfId="8022"/>
    <cellStyle name="Comma  - Style6 13 2" xfId="24179"/>
    <cellStyle name="Comma  - Style6 14" xfId="8023"/>
    <cellStyle name="Comma  - Style6 14 2" xfId="24180"/>
    <cellStyle name="Comma  - Style6 15" xfId="8024"/>
    <cellStyle name="Comma  - Style6 15 2" xfId="24181"/>
    <cellStyle name="Comma  - Style6 16" xfId="8025"/>
    <cellStyle name="Comma  - Style6 16 2" xfId="24182"/>
    <cellStyle name="Comma  - Style6 17" xfId="8026"/>
    <cellStyle name="Comma  - Style6 17 2" xfId="24183"/>
    <cellStyle name="Comma  - Style6 18" xfId="4775"/>
    <cellStyle name="Comma  - Style6 18 2" xfId="20937"/>
    <cellStyle name="Comma  - Style6 2" xfId="854"/>
    <cellStyle name="Comma  - Style6 2 2" xfId="4778"/>
    <cellStyle name="Comma  - Style6 2 2 2" xfId="20940"/>
    <cellStyle name="Comma  - Style6 3" xfId="858"/>
    <cellStyle name="Comma  - Style6 3 2" xfId="4782"/>
    <cellStyle name="Comma  - Style6 3 2 2" xfId="20944"/>
    <cellStyle name="Comma  - Style6 4" xfId="861"/>
    <cellStyle name="Comma  - Style6 4 2" xfId="8027"/>
    <cellStyle name="Comma  - Style6 4 2 2" xfId="24184"/>
    <cellStyle name="Comma  - Style6 4 3" xfId="4786"/>
    <cellStyle name="Comma  - Style6 4 3 2" xfId="20948"/>
    <cellStyle name="Comma  - Style6 5" xfId="868"/>
    <cellStyle name="Comma  - Style6 5 2" xfId="4790"/>
    <cellStyle name="Comma  - Style6 5 2 2" xfId="20952"/>
    <cellStyle name="Comma  - Style6 6" xfId="873"/>
    <cellStyle name="Comma  - Style6 6 2" xfId="4796"/>
    <cellStyle name="Comma  - Style6 6 2 2" xfId="20958"/>
    <cellStyle name="Comma  - Style6 7" xfId="875"/>
    <cellStyle name="Comma  - Style6 7 2" xfId="4799"/>
    <cellStyle name="Comma  - Style6 7 2 2" xfId="20961"/>
    <cellStyle name="Comma  - Style6 8" xfId="98"/>
    <cellStyle name="Comma  - Style6 8 2" xfId="4157"/>
    <cellStyle name="Comma  - Style6 8 2 2" xfId="20320"/>
    <cellStyle name="Comma  - Style6 9" xfId="8028"/>
    <cellStyle name="Comma  - Style6 9 2" xfId="24185"/>
    <cellStyle name="Comma  - Style6_2015-16 MASTER CC ROAD &amp; DRAIN" xfId="8029"/>
    <cellStyle name="Comma  - Style7" xfId="325"/>
    <cellStyle name="Comma  - Style7 10" xfId="8030"/>
    <cellStyle name="Comma  - Style7 10 2" xfId="24186"/>
    <cellStyle name="Comma  - Style7 11" xfId="8031"/>
    <cellStyle name="Comma  - Style7 11 2" xfId="24187"/>
    <cellStyle name="Comma  - Style7 12" xfId="8032"/>
    <cellStyle name="Comma  - Style7 12 2" xfId="24188"/>
    <cellStyle name="Comma  - Style7 13" xfId="8033"/>
    <cellStyle name="Comma  - Style7 13 2" xfId="24189"/>
    <cellStyle name="Comma  - Style7 14" xfId="8034"/>
    <cellStyle name="Comma  - Style7 14 2" xfId="24190"/>
    <cellStyle name="Comma  - Style7 15" xfId="8035"/>
    <cellStyle name="Comma  - Style7 15 2" xfId="24191"/>
    <cellStyle name="Comma  - Style7 16" xfId="8036"/>
    <cellStyle name="Comma  - Style7 16 2" xfId="24192"/>
    <cellStyle name="Comma  - Style7 17" xfId="8037"/>
    <cellStyle name="Comma  - Style7 17 2" xfId="24193"/>
    <cellStyle name="Comma  - Style7 18" xfId="4274"/>
    <cellStyle name="Comma  - Style7 18 2" xfId="20437"/>
    <cellStyle name="Comma  - Style7 2" xfId="880"/>
    <cellStyle name="Comma  - Style7 2 2" xfId="4803"/>
    <cellStyle name="Comma  - Style7 2 2 2" xfId="20965"/>
    <cellStyle name="Comma  - Style7 3" xfId="881"/>
    <cellStyle name="Comma  - Style7 3 2" xfId="4804"/>
    <cellStyle name="Comma  - Style7 3 2 2" xfId="20966"/>
    <cellStyle name="Comma  - Style7 4" xfId="649"/>
    <cellStyle name="Comma  - Style7 4 2" xfId="8038"/>
    <cellStyle name="Comma  - Style7 4 2 2" xfId="24194"/>
    <cellStyle name="Comma  - Style7 4 3" xfId="4581"/>
    <cellStyle name="Comma  - Style7 4 3 2" xfId="20743"/>
    <cellStyle name="Comma  - Style7 5" xfId="883"/>
    <cellStyle name="Comma  - Style7 5 2" xfId="4805"/>
    <cellStyle name="Comma  - Style7 5 2 2" xfId="20967"/>
    <cellStyle name="Comma  - Style7 6" xfId="885"/>
    <cellStyle name="Comma  - Style7 6 2" xfId="4807"/>
    <cellStyle name="Comma  - Style7 6 2 2" xfId="20969"/>
    <cellStyle name="Comma  - Style7 7" xfId="886"/>
    <cellStyle name="Comma  - Style7 7 2" xfId="4809"/>
    <cellStyle name="Comma  - Style7 7 2 2" xfId="20971"/>
    <cellStyle name="Comma  - Style7 8" xfId="887"/>
    <cellStyle name="Comma  - Style7 8 2" xfId="4810"/>
    <cellStyle name="Comma  - Style7 8 2 2" xfId="20972"/>
    <cellStyle name="Comma  - Style7 9" xfId="8039"/>
    <cellStyle name="Comma  - Style7 9 2" xfId="24195"/>
    <cellStyle name="Comma  - Style7_2015-16 MASTER CC ROAD &amp; DRAIN" xfId="8040"/>
    <cellStyle name="Comma  - Style8" xfId="330"/>
    <cellStyle name="Comma  - Style8 10" xfId="8041"/>
    <cellStyle name="Comma  - Style8 10 2" xfId="24196"/>
    <cellStyle name="Comma  - Style8 11" xfId="8042"/>
    <cellStyle name="Comma  - Style8 11 2" xfId="24197"/>
    <cellStyle name="Comma  - Style8 12" xfId="8043"/>
    <cellStyle name="Comma  - Style8 12 2" xfId="24198"/>
    <cellStyle name="Comma  - Style8 13" xfId="8044"/>
    <cellStyle name="Comma  - Style8 13 2" xfId="24199"/>
    <cellStyle name="Comma  - Style8 14" xfId="8045"/>
    <cellStyle name="Comma  - Style8 14 2" xfId="24200"/>
    <cellStyle name="Comma  - Style8 15" xfId="8046"/>
    <cellStyle name="Comma  - Style8 15 2" xfId="24201"/>
    <cellStyle name="Comma  - Style8 16" xfId="8047"/>
    <cellStyle name="Comma  - Style8 16 2" xfId="24202"/>
    <cellStyle name="Comma  - Style8 17" xfId="8048"/>
    <cellStyle name="Comma  - Style8 17 2" xfId="24203"/>
    <cellStyle name="Comma  - Style8 18" xfId="4278"/>
    <cellStyle name="Comma  - Style8 18 2" xfId="20441"/>
    <cellStyle name="Comma  - Style8 2" xfId="889"/>
    <cellStyle name="Comma  - Style8 2 2" xfId="4812"/>
    <cellStyle name="Comma  - Style8 2 2 2" xfId="20974"/>
    <cellStyle name="Comma  - Style8 3" xfId="890"/>
    <cellStyle name="Comma  - Style8 3 2" xfId="4813"/>
    <cellStyle name="Comma  - Style8 3 2 2" xfId="20975"/>
    <cellStyle name="Comma  - Style8 4" xfId="891"/>
    <cellStyle name="Comma  - Style8 4 2" xfId="8049"/>
    <cellStyle name="Comma  - Style8 4 2 2" xfId="24204"/>
    <cellStyle name="Comma  - Style8 4 3" xfId="4814"/>
    <cellStyle name="Comma  - Style8 4 3 2" xfId="20976"/>
    <cellStyle name="Comma  - Style8 5" xfId="893"/>
    <cellStyle name="Comma  - Style8 5 2" xfId="4815"/>
    <cellStyle name="Comma  - Style8 5 2 2" xfId="20977"/>
    <cellStyle name="Comma  - Style8 6" xfId="896"/>
    <cellStyle name="Comma  - Style8 6 2" xfId="4817"/>
    <cellStyle name="Comma  - Style8 6 2 2" xfId="20979"/>
    <cellStyle name="Comma  - Style8 7" xfId="900"/>
    <cellStyle name="Comma  - Style8 7 2" xfId="4821"/>
    <cellStyle name="Comma  - Style8 7 2 2" xfId="20983"/>
    <cellStyle name="Comma  - Style8 8" xfId="902"/>
    <cellStyle name="Comma  - Style8 8 2" xfId="4823"/>
    <cellStyle name="Comma  - Style8 8 2 2" xfId="20985"/>
    <cellStyle name="Comma  - Style8 9" xfId="8050"/>
    <cellStyle name="Comma  - Style8 9 2" xfId="24205"/>
    <cellStyle name="Comma  - Style8_2015-16 MASTER CC ROAD &amp; DRAIN" xfId="8051"/>
    <cellStyle name="Comma 10" xfId="905"/>
    <cellStyle name="Comma 10 2" xfId="835"/>
    <cellStyle name="Comma 10 2 2" xfId="8052"/>
    <cellStyle name="Comma 10 2 2 2" xfId="24206"/>
    <cellStyle name="Comma 10 2 3" xfId="4760"/>
    <cellStyle name="Comma 10 2 3 2" xfId="20922"/>
    <cellStyle name="Comma 10 3" xfId="4829"/>
    <cellStyle name="Comma 10 3 2" xfId="20991"/>
    <cellStyle name="Comma 11" xfId="916"/>
    <cellStyle name="Comma 11 2" xfId="8053"/>
    <cellStyle name="Comma 11 2 2" xfId="8054"/>
    <cellStyle name="Comma 11 2 2 2" xfId="24208"/>
    <cellStyle name="Comma 11 2 3" xfId="24207"/>
    <cellStyle name="Comma 11 3" xfId="4832"/>
    <cellStyle name="Comma 11 3 2" xfId="20994"/>
    <cellStyle name="Comma 12" xfId="157"/>
    <cellStyle name="Comma 12 2" xfId="8055"/>
    <cellStyle name="Comma 12 2 2" xfId="8056"/>
    <cellStyle name="Comma 12 2 2 2" xfId="24210"/>
    <cellStyle name="Comma 12 2 3" xfId="24209"/>
    <cellStyle name="Comma 12 3" xfId="4169"/>
    <cellStyle name="Comma 12 3 2" xfId="20332"/>
    <cellStyle name="Comma 13" xfId="619"/>
    <cellStyle name="Comma 13 2" xfId="8057"/>
    <cellStyle name="Comma 13 2 2" xfId="24211"/>
    <cellStyle name="Comma 13 3" xfId="4553"/>
    <cellStyle name="Comma 13 3 2" xfId="20715"/>
    <cellStyle name="Comma 14" xfId="921"/>
    <cellStyle name="Comma 14 2" xfId="8058"/>
    <cellStyle name="Comma 14 2 2" xfId="24212"/>
    <cellStyle name="Comma 14 3" xfId="4842"/>
    <cellStyle name="Comma 14 3 2" xfId="21004"/>
    <cellStyle name="Comma 15" xfId="923"/>
    <cellStyle name="Comma 15 2" xfId="8059"/>
    <cellStyle name="Comma 15 2 2" xfId="24213"/>
    <cellStyle name="Comma 15 3" xfId="4845"/>
    <cellStyle name="Comma 15 3 2" xfId="21007"/>
    <cellStyle name="Comma 16" xfId="926"/>
    <cellStyle name="Comma 16 2" xfId="8060"/>
    <cellStyle name="Comma 16 2 2" xfId="24214"/>
    <cellStyle name="Comma 16 3" xfId="4849"/>
    <cellStyle name="Comma 16 3 2" xfId="21011"/>
    <cellStyle name="Comma 17" xfId="929"/>
    <cellStyle name="Comma 17 2" xfId="4853"/>
    <cellStyle name="Comma 17 2 2" xfId="21015"/>
    <cellStyle name="Comma 18" xfId="454"/>
    <cellStyle name="Comma 18 2" xfId="932"/>
    <cellStyle name="Comma 18 2 2" xfId="933"/>
    <cellStyle name="Comma 18 2 2 2" xfId="4855"/>
    <cellStyle name="Comma 18 2 2 2 2" xfId="21017"/>
    <cellStyle name="Comma 18 2 3" xfId="4854"/>
    <cellStyle name="Comma 18 2 3 2" xfId="21016"/>
    <cellStyle name="Comma 18 3" xfId="4395"/>
    <cellStyle name="Comma 18 3 2" xfId="20558"/>
    <cellStyle name="Comma 19" xfId="457"/>
    <cellStyle name="Comma 19 2" xfId="4399"/>
    <cellStyle name="Comma 19 2 2" xfId="20562"/>
    <cellStyle name="Comma 2" xfId="937"/>
    <cellStyle name="Comma 2 10" xfId="944"/>
    <cellStyle name="Comma 2 10 10" xfId="8061"/>
    <cellStyle name="Comma 2 10 10 2" xfId="24215"/>
    <cellStyle name="Comma 2 10 11" xfId="8062"/>
    <cellStyle name="Comma 2 10 11 2" xfId="24216"/>
    <cellStyle name="Comma 2 10 12" xfId="8063"/>
    <cellStyle name="Comma 2 10 12 2" xfId="24217"/>
    <cellStyle name="Comma 2 10 13" xfId="8064"/>
    <cellStyle name="Comma 2 10 13 2" xfId="24218"/>
    <cellStyle name="Comma 2 10 14" xfId="8065"/>
    <cellStyle name="Comma 2 10 14 2" xfId="24219"/>
    <cellStyle name="Comma 2 10 15" xfId="8066"/>
    <cellStyle name="Comma 2 10 15 2" xfId="24220"/>
    <cellStyle name="Comma 2 10 16" xfId="8067"/>
    <cellStyle name="Comma 2 10 16 2" xfId="24221"/>
    <cellStyle name="Comma 2 10 17" xfId="8068"/>
    <cellStyle name="Comma 2 10 17 2" xfId="24222"/>
    <cellStyle name="Comma 2 10 18" xfId="4865"/>
    <cellStyle name="Comma 2 10 18 2" xfId="21027"/>
    <cellStyle name="Comma 2 10 19" xfId="19243"/>
    <cellStyle name="Comma 2 10 2" xfId="948"/>
    <cellStyle name="Comma 2 10 2 2" xfId="4870"/>
    <cellStyle name="Comma 2 10 2 2 2" xfId="21032"/>
    <cellStyle name="Comma 2 10 2 3" xfId="19245"/>
    <cellStyle name="Comma 2 10 3" xfId="952"/>
    <cellStyle name="Comma 2 10 3 2" xfId="4874"/>
    <cellStyle name="Comma 2 10 3 2 2" xfId="21036"/>
    <cellStyle name="Comma 2 10 3 3" xfId="19247"/>
    <cellStyle name="Comma 2 10 4" xfId="955"/>
    <cellStyle name="Comma 2 10 4 2" xfId="4877"/>
    <cellStyle name="Comma 2 10 4 2 2" xfId="21039"/>
    <cellStyle name="Comma 2 10 4 3" xfId="19249"/>
    <cellStyle name="Comma 2 10 5" xfId="958"/>
    <cellStyle name="Comma 2 10 5 2" xfId="4881"/>
    <cellStyle name="Comma 2 10 5 2 2" xfId="21043"/>
    <cellStyle name="Comma 2 10 5 3" xfId="19251"/>
    <cellStyle name="Comma 2 10 6" xfId="504"/>
    <cellStyle name="Comma 2 10 6 2" xfId="4442"/>
    <cellStyle name="Comma 2 10 6 2 2" xfId="20605"/>
    <cellStyle name="Comma 2 10 6 3" xfId="19098"/>
    <cellStyle name="Comma 2 10 7" xfId="695"/>
    <cellStyle name="Comma 2 10 7 2" xfId="4624"/>
    <cellStyle name="Comma 2 10 7 2 2" xfId="20786"/>
    <cellStyle name="Comma 2 10 7 3" xfId="19160"/>
    <cellStyle name="Comma 2 10 8" xfId="961"/>
    <cellStyle name="Comma 2 10 8 2" xfId="4884"/>
    <cellStyle name="Comma 2 10 8 2 2" xfId="21046"/>
    <cellStyle name="Comma 2 10 8 3" xfId="19253"/>
    <cellStyle name="Comma 2 10 9" xfId="8069"/>
    <cellStyle name="Comma 2 10 9 2" xfId="24223"/>
    <cellStyle name="Comma 2 11" xfId="968"/>
    <cellStyle name="Comma 2 11 10" xfId="8070"/>
    <cellStyle name="Comma 2 11 10 2" xfId="24224"/>
    <cellStyle name="Comma 2 11 11" xfId="8071"/>
    <cellStyle name="Comma 2 11 11 2" xfId="24225"/>
    <cellStyle name="Comma 2 11 12" xfId="8072"/>
    <cellStyle name="Comma 2 11 12 2" xfId="24226"/>
    <cellStyle name="Comma 2 11 13" xfId="8073"/>
    <cellStyle name="Comma 2 11 13 2" xfId="24227"/>
    <cellStyle name="Comma 2 11 14" xfId="8074"/>
    <cellStyle name="Comma 2 11 14 2" xfId="24228"/>
    <cellStyle name="Comma 2 11 15" xfId="8075"/>
    <cellStyle name="Comma 2 11 15 2" xfId="24229"/>
    <cellStyle name="Comma 2 11 16" xfId="8076"/>
    <cellStyle name="Comma 2 11 16 2" xfId="24230"/>
    <cellStyle name="Comma 2 11 17" xfId="8077"/>
    <cellStyle name="Comma 2 11 17 2" xfId="24231"/>
    <cellStyle name="Comma 2 11 18" xfId="4890"/>
    <cellStyle name="Comma 2 11 18 2" xfId="21052"/>
    <cellStyle name="Comma 2 11 19" xfId="19256"/>
    <cellStyle name="Comma 2 11 2" xfId="744"/>
    <cellStyle name="Comma 2 11 2 2" xfId="4670"/>
    <cellStyle name="Comma 2 11 2 2 2" xfId="20832"/>
    <cellStyle name="Comma 2 11 2 3" xfId="19175"/>
    <cellStyle name="Comma 2 11 3" xfId="687"/>
    <cellStyle name="Comma 2 11 3 2" xfId="4615"/>
    <cellStyle name="Comma 2 11 3 2 2" xfId="20777"/>
    <cellStyle name="Comma 2 11 3 3" xfId="19154"/>
    <cellStyle name="Comma 2 11 4" xfId="693"/>
    <cellStyle name="Comma 2 11 4 2" xfId="4621"/>
    <cellStyle name="Comma 2 11 4 2 2" xfId="20783"/>
    <cellStyle name="Comma 2 11 4 3" xfId="19158"/>
    <cellStyle name="Comma 2 11 5" xfId="971"/>
    <cellStyle name="Comma 2 11 5 2" xfId="4894"/>
    <cellStyle name="Comma 2 11 5 2 2" xfId="21056"/>
    <cellStyle name="Comma 2 11 5 3" xfId="19257"/>
    <cellStyle name="Comma 2 11 6" xfId="600"/>
    <cellStyle name="Comma 2 11 6 2" xfId="4532"/>
    <cellStyle name="Comma 2 11 6 2 2" xfId="20695"/>
    <cellStyle name="Comma 2 11 6 3" xfId="19122"/>
    <cellStyle name="Comma 2 11 7" xfId="976"/>
    <cellStyle name="Comma 2 11 7 2" xfId="4899"/>
    <cellStyle name="Comma 2 11 7 2 2" xfId="21061"/>
    <cellStyle name="Comma 2 11 7 3" xfId="19260"/>
    <cellStyle name="Comma 2 11 8" xfId="980"/>
    <cellStyle name="Comma 2 11 8 2" xfId="4902"/>
    <cellStyle name="Comma 2 11 8 2 2" xfId="21064"/>
    <cellStyle name="Comma 2 11 8 3" xfId="19263"/>
    <cellStyle name="Comma 2 11 9" xfId="8078"/>
    <cellStyle name="Comma 2 11 9 2" xfId="24232"/>
    <cellStyle name="Comma 2 12" xfId="299"/>
    <cellStyle name="Comma 2 12 2" xfId="4240"/>
    <cellStyle name="Comma 2 12 2 2" xfId="20403"/>
    <cellStyle name="Comma 2 12 3" xfId="19057"/>
    <cellStyle name="Comma 2 13" xfId="132"/>
    <cellStyle name="Comma 2 13 2" xfId="4080"/>
    <cellStyle name="Comma 2 13 2 2" xfId="20243"/>
    <cellStyle name="Comma 2 13 3" xfId="18997"/>
    <cellStyle name="Comma 2 14" xfId="983"/>
    <cellStyle name="Comma 2 14 2" xfId="4904"/>
    <cellStyle name="Comma 2 14 2 2" xfId="21066"/>
    <cellStyle name="Comma 2 14 3" xfId="19264"/>
    <cellStyle name="Comma 2 15" xfId="985"/>
    <cellStyle name="Comma 2 15 2" xfId="4906"/>
    <cellStyle name="Comma 2 15 2 2" xfId="21068"/>
    <cellStyle name="Comma 2 15 3" xfId="19265"/>
    <cellStyle name="Comma 2 16" xfId="990"/>
    <cellStyle name="Comma 2 16 2" xfId="4911"/>
    <cellStyle name="Comma 2 16 2 2" xfId="21073"/>
    <cellStyle name="Comma 2 16 3" xfId="19266"/>
    <cellStyle name="Comma 2 17" xfId="993"/>
    <cellStyle name="Comma 2 17 2" xfId="4914"/>
    <cellStyle name="Comma 2 17 2 2" xfId="21076"/>
    <cellStyle name="Comma 2 17 3" xfId="19267"/>
    <cellStyle name="Comma 2 18" xfId="480"/>
    <cellStyle name="Comma 2 18 2" xfId="4417"/>
    <cellStyle name="Comma 2 18 2 2" xfId="20580"/>
    <cellStyle name="Comma 2 18 3" xfId="19095"/>
    <cellStyle name="Comma 2 19" xfId="8079"/>
    <cellStyle name="Comma 2 19 2" xfId="24233"/>
    <cellStyle name="Comma 2 2" xfId="994"/>
    <cellStyle name="Comma 2 2 10" xfId="8080"/>
    <cellStyle name="Comma 2 2 10 2" xfId="24234"/>
    <cellStyle name="Comma 2 2 11" xfId="8081"/>
    <cellStyle name="Comma 2 2 11 2" xfId="24235"/>
    <cellStyle name="Comma 2 2 12" xfId="8082"/>
    <cellStyle name="Comma 2 2 12 2" xfId="24236"/>
    <cellStyle name="Comma 2 2 13" xfId="8083"/>
    <cellStyle name="Comma 2 2 13 2" xfId="24237"/>
    <cellStyle name="Comma 2 2 14" xfId="8084"/>
    <cellStyle name="Comma 2 2 14 2" xfId="24238"/>
    <cellStyle name="Comma 2 2 15" xfId="8085"/>
    <cellStyle name="Comma 2 2 15 2" xfId="24239"/>
    <cellStyle name="Comma 2 2 16" xfId="8086"/>
    <cellStyle name="Comma 2 2 16 2" xfId="24240"/>
    <cellStyle name="Comma 2 2 17" xfId="8087"/>
    <cellStyle name="Comma 2 2 17 2" xfId="24241"/>
    <cellStyle name="Comma 2 2 18" xfId="8088"/>
    <cellStyle name="Comma 2 2 18 2" xfId="24242"/>
    <cellStyle name="Comma 2 2 19" xfId="4915"/>
    <cellStyle name="Comma 2 2 19 2" xfId="21077"/>
    <cellStyle name="Comma 2 2 2" xfId="996"/>
    <cellStyle name="Comma 2 2 2 10" xfId="8089"/>
    <cellStyle name="Comma 2 2 2 10 2" xfId="24243"/>
    <cellStyle name="Comma 2 2 2 11" xfId="8090"/>
    <cellStyle name="Comma 2 2 2 11 2" xfId="24244"/>
    <cellStyle name="Comma 2 2 2 12" xfId="8091"/>
    <cellStyle name="Comma 2 2 2 12 2" xfId="24245"/>
    <cellStyle name="Comma 2 2 2 13" xfId="8092"/>
    <cellStyle name="Comma 2 2 2 13 2" xfId="24246"/>
    <cellStyle name="Comma 2 2 2 14" xfId="8093"/>
    <cellStyle name="Comma 2 2 2 14 2" xfId="24247"/>
    <cellStyle name="Comma 2 2 2 15" xfId="8094"/>
    <cellStyle name="Comma 2 2 2 15 2" xfId="24248"/>
    <cellStyle name="Comma 2 2 2 16" xfId="8095"/>
    <cellStyle name="Comma 2 2 2 16 2" xfId="24249"/>
    <cellStyle name="Comma 2 2 2 17" xfId="8096"/>
    <cellStyle name="Comma 2 2 2 17 2" xfId="24250"/>
    <cellStyle name="Comma 2 2 2 18" xfId="4919"/>
    <cellStyle name="Comma 2 2 2 18 2" xfId="21081"/>
    <cellStyle name="Comma 2 2 2 19" xfId="19269"/>
    <cellStyle name="Comma 2 2 2 2" xfId="537"/>
    <cellStyle name="Comma 2 2 2 2 2" xfId="4472"/>
    <cellStyle name="Comma 2 2 2 2 2 2" xfId="20635"/>
    <cellStyle name="Comma 2 2 2 2 3" xfId="19104"/>
    <cellStyle name="Comma 2 2 2 3" xfId="999"/>
    <cellStyle name="Comma 2 2 2 3 2" xfId="4921"/>
    <cellStyle name="Comma 2 2 2 3 2 2" xfId="21083"/>
    <cellStyle name="Comma 2 2 2 3 3" xfId="19271"/>
    <cellStyle name="Comma 2 2 2 4" xfId="1002"/>
    <cellStyle name="Comma 2 2 2 4 2" xfId="4923"/>
    <cellStyle name="Comma 2 2 2 4 2 2" xfId="21085"/>
    <cellStyle name="Comma 2 2 2 4 3" xfId="19272"/>
    <cellStyle name="Comma 2 2 2 5" xfId="1004"/>
    <cellStyle name="Comma 2 2 2 5 2" xfId="4925"/>
    <cellStyle name="Comma 2 2 2 5 2 2" xfId="21087"/>
    <cellStyle name="Comma 2 2 2 5 3" xfId="19273"/>
    <cellStyle name="Comma 2 2 2 6" xfId="523"/>
    <cellStyle name="Comma 2 2 2 6 2" xfId="4458"/>
    <cellStyle name="Comma 2 2 2 6 2 2" xfId="20621"/>
    <cellStyle name="Comma 2 2 2 6 3" xfId="19101"/>
    <cellStyle name="Comma 2 2 2 7" xfId="528"/>
    <cellStyle name="Comma 2 2 2 7 2" xfId="4461"/>
    <cellStyle name="Comma 2 2 2 7 2 2" xfId="20624"/>
    <cellStyle name="Comma 2 2 2 7 3" xfId="19102"/>
    <cellStyle name="Comma 2 2 2 8" xfId="1007"/>
    <cellStyle name="Comma 2 2 2 8 2" xfId="4928"/>
    <cellStyle name="Comma 2 2 2 8 2 2" xfId="21090"/>
    <cellStyle name="Comma 2 2 2 8 3" xfId="19275"/>
    <cellStyle name="Comma 2 2 2 9" xfId="8097"/>
    <cellStyle name="Comma 2 2 2 9 2" xfId="24251"/>
    <cellStyle name="Comma 2 2 20" xfId="19268"/>
    <cellStyle name="Comma 2 2 3" xfId="1008"/>
    <cellStyle name="Comma 2 2 3 2" xfId="4929"/>
    <cellStyle name="Comma 2 2 3 2 2" xfId="21091"/>
    <cellStyle name="Comma 2 2 3 3" xfId="19276"/>
    <cellStyle name="Comma 2 2 4" xfId="1010"/>
    <cellStyle name="Comma 2 2 4 2" xfId="4933"/>
    <cellStyle name="Comma 2 2 4 2 2" xfId="21095"/>
    <cellStyle name="Comma 2 2 4 3" xfId="19278"/>
    <cellStyle name="Comma 2 2 5" xfId="1014"/>
    <cellStyle name="Comma 2 2 5 2" xfId="4937"/>
    <cellStyle name="Comma 2 2 5 2 2" xfId="21099"/>
    <cellStyle name="Comma 2 2 5 3" xfId="19281"/>
    <cellStyle name="Comma 2 2 6" xfId="1017"/>
    <cellStyle name="Comma 2 2 6 2" xfId="4940"/>
    <cellStyle name="Comma 2 2 6 2 2" xfId="21102"/>
    <cellStyle name="Comma 2 2 6 3" xfId="19283"/>
    <cellStyle name="Comma 2 2 7" xfId="938"/>
    <cellStyle name="Comma 2 2 7 2" xfId="4861"/>
    <cellStyle name="Comma 2 2 7 2 2" xfId="21023"/>
    <cellStyle name="Comma 2 2 7 3" xfId="19240"/>
    <cellStyle name="Comma 2 2 8" xfId="963"/>
    <cellStyle name="Comma 2 2 8 2" xfId="4886"/>
    <cellStyle name="Comma 2 2 8 2 2" xfId="21048"/>
    <cellStyle name="Comma 2 2 8 3" xfId="19254"/>
    <cellStyle name="Comma 2 2 9" xfId="290"/>
    <cellStyle name="Comma 2 2 9 2" xfId="4246"/>
    <cellStyle name="Comma 2 2 9 2 2" xfId="20409"/>
    <cellStyle name="Comma 2 2 9 3" xfId="19054"/>
    <cellStyle name="Comma 2 20" xfId="8098"/>
    <cellStyle name="Comma 2 20 2" xfId="24252"/>
    <cellStyle name="Comma 2 21" xfId="8099"/>
    <cellStyle name="Comma 2 21 2" xfId="24253"/>
    <cellStyle name="Comma 2 22" xfId="8100"/>
    <cellStyle name="Comma 2 22 2" xfId="24254"/>
    <cellStyle name="Comma 2 23" xfId="8101"/>
    <cellStyle name="Comma 2 23 2" xfId="24255"/>
    <cellStyle name="Comma 2 24" xfId="8102"/>
    <cellStyle name="Comma 2 24 2" xfId="24256"/>
    <cellStyle name="Comma 2 25" xfId="8103"/>
    <cellStyle name="Comma 2 25 2" xfId="24257"/>
    <cellStyle name="Comma 2 26" xfId="8104"/>
    <cellStyle name="Comma 2 26 2" xfId="24258"/>
    <cellStyle name="Comma 2 27" xfId="8105"/>
    <cellStyle name="Comma 2 27 2" xfId="24259"/>
    <cellStyle name="Comma 2 28" xfId="4859"/>
    <cellStyle name="Comma 2 28 2" xfId="21021"/>
    <cellStyle name="Comma 2 29" xfId="19239"/>
    <cellStyle name="Comma 2 3" xfId="837"/>
    <cellStyle name="Comma 2 3 10" xfId="8106"/>
    <cellStyle name="Comma 2 3 10 2" xfId="24260"/>
    <cellStyle name="Comma 2 3 11" xfId="8107"/>
    <cellStyle name="Comma 2 3 11 2" xfId="24261"/>
    <cellStyle name="Comma 2 3 12" xfId="8108"/>
    <cellStyle name="Comma 2 3 12 2" xfId="24262"/>
    <cellStyle name="Comma 2 3 13" xfId="8109"/>
    <cellStyle name="Comma 2 3 13 2" xfId="24263"/>
    <cellStyle name="Comma 2 3 14" xfId="8110"/>
    <cellStyle name="Comma 2 3 14 2" xfId="24264"/>
    <cellStyle name="Comma 2 3 15" xfId="8111"/>
    <cellStyle name="Comma 2 3 15 2" xfId="24265"/>
    <cellStyle name="Comma 2 3 16" xfId="8112"/>
    <cellStyle name="Comma 2 3 16 2" xfId="24266"/>
    <cellStyle name="Comma 2 3 17" xfId="8113"/>
    <cellStyle name="Comma 2 3 17 2" xfId="24267"/>
    <cellStyle name="Comma 2 3 18" xfId="4764"/>
    <cellStyle name="Comma 2 3 18 2" xfId="20926"/>
    <cellStyle name="Comma 2 3 19" xfId="19202"/>
    <cellStyle name="Comma 2 3 2" xfId="1021"/>
    <cellStyle name="Comma 2 3 2 2" xfId="4942"/>
    <cellStyle name="Comma 2 3 2 2 2" xfId="21104"/>
    <cellStyle name="Comma 2 3 2 3" xfId="19285"/>
    <cellStyle name="Comma 2 3 3" xfId="367"/>
    <cellStyle name="Comma 2 3 3 2" xfId="4312"/>
    <cellStyle name="Comma 2 3 3 2 2" xfId="20475"/>
    <cellStyle name="Comma 2 3 3 3" xfId="19067"/>
    <cellStyle name="Comma 2 3 4" xfId="374"/>
    <cellStyle name="Comma 2 3 4 2" xfId="4320"/>
    <cellStyle name="Comma 2 3 4 2 2" xfId="20483"/>
    <cellStyle name="Comma 2 3 4 3" xfId="19069"/>
    <cellStyle name="Comma 2 3 5" xfId="1025"/>
    <cellStyle name="Comma 2 3 5 2" xfId="4946"/>
    <cellStyle name="Comma 2 3 5 2 2" xfId="21108"/>
    <cellStyle name="Comma 2 3 5 3" xfId="19287"/>
    <cellStyle name="Comma 2 3 6" xfId="561"/>
    <cellStyle name="Comma 2 3 6 2" xfId="4492"/>
    <cellStyle name="Comma 2 3 6 2 2" xfId="20655"/>
    <cellStyle name="Comma 2 3 6 3" xfId="19110"/>
    <cellStyle name="Comma 2 3 7" xfId="1028"/>
    <cellStyle name="Comma 2 3 7 2" xfId="4949"/>
    <cellStyle name="Comma 2 3 7 2 2" xfId="21111"/>
    <cellStyle name="Comma 2 3 7 3" xfId="19288"/>
    <cellStyle name="Comma 2 3 8" xfId="1031"/>
    <cellStyle name="Comma 2 3 8 2" xfId="4952"/>
    <cellStyle name="Comma 2 3 8 2 2" xfId="21114"/>
    <cellStyle name="Comma 2 3 8 3" xfId="19289"/>
    <cellStyle name="Comma 2 3 9" xfId="8114"/>
    <cellStyle name="Comma 2 3 9 2" xfId="24268"/>
    <cellStyle name="Comma 2 4" xfId="115"/>
    <cellStyle name="Comma 2 4 10" xfId="8115"/>
    <cellStyle name="Comma 2 4 10 2" xfId="24269"/>
    <cellStyle name="Comma 2 4 11" xfId="8116"/>
    <cellStyle name="Comma 2 4 11 2" xfId="24270"/>
    <cellStyle name="Comma 2 4 12" xfId="8117"/>
    <cellStyle name="Comma 2 4 12 2" xfId="24271"/>
    <cellStyle name="Comma 2 4 13" xfId="8118"/>
    <cellStyle name="Comma 2 4 13 2" xfId="24272"/>
    <cellStyle name="Comma 2 4 14" xfId="8119"/>
    <cellStyle name="Comma 2 4 14 2" xfId="24273"/>
    <cellStyle name="Comma 2 4 15" xfId="8120"/>
    <cellStyle name="Comma 2 4 15 2" xfId="24274"/>
    <cellStyle name="Comma 2 4 16" xfId="8121"/>
    <cellStyle name="Comma 2 4 16 2" xfId="24275"/>
    <cellStyle name="Comma 2 4 17" xfId="8122"/>
    <cellStyle name="Comma 2 4 17 2" xfId="24276"/>
    <cellStyle name="Comma 2 4 18" xfId="4062"/>
    <cellStyle name="Comma 2 4 18 2" xfId="20225"/>
    <cellStyle name="Comma 2 4 19" xfId="18994"/>
    <cellStyle name="Comma 2 4 2" xfId="1036"/>
    <cellStyle name="Comma 2 4 2 2" xfId="4957"/>
    <cellStyle name="Comma 2 4 2 2 2" xfId="21119"/>
    <cellStyle name="Comma 2 4 2 3" xfId="19290"/>
    <cellStyle name="Comma 2 4 3" xfId="1039"/>
    <cellStyle name="Comma 2 4 3 2" xfId="4960"/>
    <cellStyle name="Comma 2 4 3 2 2" xfId="21122"/>
    <cellStyle name="Comma 2 4 3 3" xfId="19291"/>
    <cellStyle name="Comma 2 4 4" xfId="1043"/>
    <cellStyle name="Comma 2 4 4 2" xfId="4964"/>
    <cellStyle name="Comma 2 4 4 2 2" xfId="21126"/>
    <cellStyle name="Comma 2 4 4 3" xfId="19293"/>
    <cellStyle name="Comma 2 4 5" xfId="1048"/>
    <cellStyle name="Comma 2 4 5 2" xfId="4969"/>
    <cellStyle name="Comma 2 4 5 2 2" xfId="21131"/>
    <cellStyle name="Comma 2 4 5 3" xfId="19295"/>
    <cellStyle name="Comma 2 4 6" xfId="1053"/>
    <cellStyle name="Comma 2 4 6 2" xfId="4974"/>
    <cellStyle name="Comma 2 4 6 2 2" xfId="21136"/>
    <cellStyle name="Comma 2 4 6 3" xfId="19296"/>
    <cellStyle name="Comma 2 4 7" xfId="1056"/>
    <cellStyle name="Comma 2 4 7 2" xfId="4977"/>
    <cellStyle name="Comma 2 4 7 2 2" xfId="21139"/>
    <cellStyle name="Comma 2 4 7 3" xfId="19297"/>
    <cellStyle name="Comma 2 4 8" xfId="773"/>
    <cellStyle name="Comma 2 4 8 2" xfId="4699"/>
    <cellStyle name="Comma 2 4 8 2 2" xfId="20861"/>
    <cellStyle name="Comma 2 4 8 3" xfId="19180"/>
    <cellStyle name="Comma 2 4 9" xfId="8123"/>
    <cellStyle name="Comma 2 4 9 2" xfId="24277"/>
    <cellStyle name="Comma 2 5" xfId="840"/>
    <cellStyle name="Comma 2 5 10" xfId="8124"/>
    <cellStyle name="Comma 2 5 10 2" xfId="24278"/>
    <cellStyle name="Comma 2 5 11" xfId="8125"/>
    <cellStyle name="Comma 2 5 11 2" xfId="24279"/>
    <cellStyle name="Comma 2 5 12" xfId="8126"/>
    <cellStyle name="Comma 2 5 12 2" xfId="24280"/>
    <cellStyle name="Comma 2 5 13" xfId="8127"/>
    <cellStyle name="Comma 2 5 13 2" xfId="24281"/>
    <cellStyle name="Comma 2 5 14" xfId="8128"/>
    <cellStyle name="Comma 2 5 14 2" xfId="24282"/>
    <cellStyle name="Comma 2 5 15" xfId="8129"/>
    <cellStyle name="Comma 2 5 15 2" xfId="24283"/>
    <cellStyle name="Comma 2 5 16" xfId="8130"/>
    <cellStyle name="Comma 2 5 16 2" xfId="24284"/>
    <cellStyle name="Comma 2 5 17" xfId="8131"/>
    <cellStyle name="Comma 2 5 17 2" xfId="24285"/>
    <cellStyle name="Comma 2 5 18" xfId="4767"/>
    <cellStyle name="Comma 2 5 18 2" xfId="20929"/>
    <cellStyle name="Comma 2 5 19" xfId="19203"/>
    <cellStyle name="Comma 2 5 2" xfId="1060"/>
    <cellStyle name="Comma 2 5 2 2" xfId="4981"/>
    <cellStyle name="Comma 2 5 2 2 2" xfId="21143"/>
    <cellStyle name="Comma 2 5 2 3" xfId="19298"/>
    <cellStyle name="Comma 2 5 3" xfId="9"/>
    <cellStyle name="Comma 2 5 3 2" xfId="3972"/>
    <cellStyle name="Comma 2 5 3 2 2" xfId="20135"/>
    <cellStyle name="Comma 2 5 3 3" xfId="18968"/>
    <cellStyle name="Comma 2 5 4" xfId="543"/>
    <cellStyle name="Comma 2 5 4 2" xfId="4475"/>
    <cellStyle name="Comma 2 5 4 2 2" xfId="20638"/>
    <cellStyle name="Comma 2 5 4 3" xfId="19105"/>
    <cellStyle name="Comma 2 5 5" xfId="550"/>
    <cellStyle name="Comma 2 5 5 2" xfId="4481"/>
    <cellStyle name="Comma 2 5 5 2 2" xfId="20644"/>
    <cellStyle name="Comma 2 5 5 3" xfId="19107"/>
    <cellStyle name="Comma 2 5 6" xfId="1065"/>
    <cellStyle name="Comma 2 5 6 2" xfId="4986"/>
    <cellStyle name="Comma 2 5 6 2 2" xfId="21148"/>
    <cellStyle name="Comma 2 5 6 3" xfId="19300"/>
    <cellStyle name="Comma 2 5 7" xfId="1067"/>
    <cellStyle name="Comma 2 5 7 2" xfId="4988"/>
    <cellStyle name="Comma 2 5 7 2 2" xfId="21150"/>
    <cellStyle name="Comma 2 5 7 3" xfId="19301"/>
    <cellStyle name="Comma 2 5 8" xfId="1070"/>
    <cellStyle name="Comma 2 5 8 2" xfId="4991"/>
    <cellStyle name="Comma 2 5 8 2 2" xfId="21153"/>
    <cellStyle name="Comma 2 5 8 3" xfId="19302"/>
    <cellStyle name="Comma 2 5 9" xfId="8132"/>
    <cellStyle name="Comma 2 5 9 2" xfId="24286"/>
    <cellStyle name="Comma 2 6" xfId="843"/>
    <cellStyle name="Comma 2 6 10" xfId="8133"/>
    <cellStyle name="Comma 2 6 10 2" xfId="24287"/>
    <cellStyle name="Comma 2 6 11" xfId="8134"/>
    <cellStyle name="Comma 2 6 11 2" xfId="24288"/>
    <cellStyle name="Comma 2 6 12" xfId="8135"/>
    <cellStyle name="Comma 2 6 12 2" xfId="24289"/>
    <cellStyle name="Comma 2 6 13" xfId="8136"/>
    <cellStyle name="Comma 2 6 13 2" xfId="24290"/>
    <cellStyle name="Comma 2 6 14" xfId="8137"/>
    <cellStyle name="Comma 2 6 14 2" xfId="24291"/>
    <cellStyle name="Comma 2 6 15" xfId="8138"/>
    <cellStyle name="Comma 2 6 15 2" xfId="24292"/>
    <cellStyle name="Comma 2 6 16" xfId="8139"/>
    <cellStyle name="Comma 2 6 16 2" xfId="24293"/>
    <cellStyle name="Comma 2 6 17" xfId="8140"/>
    <cellStyle name="Comma 2 6 17 2" xfId="24294"/>
    <cellStyle name="Comma 2 6 18" xfId="4770"/>
    <cellStyle name="Comma 2 6 18 2" xfId="20932"/>
    <cellStyle name="Comma 2 6 19" xfId="19204"/>
    <cellStyle name="Comma 2 6 2" xfId="1073"/>
    <cellStyle name="Comma 2 6 2 2" xfId="4996"/>
    <cellStyle name="Comma 2 6 2 2 2" xfId="21158"/>
    <cellStyle name="Comma 2 6 2 3" xfId="19303"/>
    <cellStyle name="Comma 2 6 3" xfId="1079"/>
    <cellStyle name="Comma 2 6 3 2" xfId="5002"/>
    <cellStyle name="Comma 2 6 3 2 2" xfId="21164"/>
    <cellStyle name="Comma 2 6 3 3" xfId="19305"/>
    <cellStyle name="Comma 2 6 4" xfId="1085"/>
    <cellStyle name="Comma 2 6 4 2" xfId="5007"/>
    <cellStyle name="Comma 2 6 4 2 2" xfId="21169"/>
    <cellStyle name="Comma 2 6 4 3" xfId="19307"/>
    <cellStyle name="Comma 2 6 5" xfId="1090"/>
    <cellStyle name="Comma 2 6 5 2" xfId="5012"/>
    <cellStyle name="Comma 2 6 5 2 2" xfId="21174"/>
    <cellStyle name="Comma 2 6 5 3" xfId="19308"/>
    <cellStyle name="Comma 2 6 6" xfId="1095"/>
    <cellStyle name="Comma 2 6 6 2" xfId="5017"/>
    <cellStyle name="Comma 2 6 6 2 2" xfId="21179"/>
    <cellStyle name="Comma 2 6 6 3" xfId="19309"/>
    <cellStyle name="Comma 2 6 7" xfId="1099"/>
    <cellStyle name="Comma 2 6 7 2" xfId="5021"/>
    <cellStyle name="Comma 2 6 7 2 2" xfId="21183"/>
    <cellStyle name="Comma 2 6 7 3" xfId="19310"/>
    <cellStyle name="Comma 2 6 8" xfId="643"/>
    <cellStyle name="Comma 2 6 8 2" xfId="4577"/>
    <cellStyle name="Comma 2 6 8 2 2" xfId="20739"/>
    <cellStyle name="Comma 2 6 8 3" xfId="19142"/>
    <cellStyle name="Comma 2 6 9" xfId="8141"/>
    <cellStyle name="Comma 2 6 9 2" xfId="24295"/>
    <cellStyle name="Comma 2 7" xfId="846"/>
    <cellStyle name="Comma 2 7 10" xfId="8142"/>
    <cellStyle name="Comma 2 7 10 2" xfId="24296"/>
    <cellStyle name="Comma 2 7 11" xfId="8143"/>
    <cellStyle name="Comma 2 7 11 2" xfId="24297"/>
    <cellStyle name="Comma 2 7 12" xfId="8144"/>
    <cellStyle name="Comma 2 7 12 2" xfId="24298"/>
    <cellStyle name="Comma 2 7 13" xfId="8145"/>
    <cellStyle name="Comma 2 7 13 2" xfId="24299"/>
    <cellStyle name="Comma 2 7 14" xfId="8146"/>
    <cellStyle name="Comma 2 7 14 2" xfId="24300"/>
    <cellStyle name="Comma 2 7 15" xfId="8147"/>
    <cellStyle name="Comma 2 7 15 2" xfId="24301"/>
    <cellStyle name="Comma 2 7 16" xfId="8148"/>
    <cellStyle name="Comma 2 7 16 2" xfId="24302"/>
    <cellStyle name="Comma 2 7 17" xfId="8149"/>
    <cellStyle name="Comma 2 7 17 2" xfId="24303"/>
    <cellStyle name="Comma 2 7 18" xfId="4772"/>
    <cellStyle name="Comma 2 7 18 2" xfId="20934"/>
    <cellStyle name="Comma 2 7 19" xfId="19205"/>
    <cellStyle name="Comma 2 7 2" xfId="711"/>
    <cellStyle name="Comma 2 7 2 2" xfId="4638"/>
    <cellStyle name="Comma 2 7 2 2 2" xfId="20800"/>
    <cellStyle name="Comma 2 7 2 3" xfId="19165"/>
    <cellStyle name="Comma 2 7 3" xfId="1105"/>
    <cellStyle name="Comma 2 7 3 2" xfId="5026"/>
    <cellStyle name="Comma 2 7 3 2 2" xfId="21188"/>
    <cellStyle name="Comma 2 7 3 3" xfId="19311"/>
    <cellStyle name="Comma 2 7 4" xfId="1107"/>
    <cellStyle name="Comma 2 7 4 2" xfId="5028"/>
    <cellStyle name="Comma 2 7 4 2 2" xfId="21190"/>
    <cellStyle name="Comma 2 7 4 3" xfId="19312"/>
    <cellStyle name="Comma 2 7 5" xfId="1113"/>
    <cellStyle name="Comma 2 7 5 2" xfId="5033"/>
    <cellStyle name="Comma 2 7 5 2 2" xfId="21195"/>
    <cellStyle name="Comma 2 7 5 3" xfId="19314"/>
    <cellStyle name="Comma 2 7 6" xfId="1119"/>
    <cellStyle name="Comma 2 7 6 2" xfId="5039"/>
    <cellStyle name="Comma 2 7 6 2 2" xfId="21201"/>
    <cellStyle name="Comma 2 7 6 3" xfId="19316"/>
    <cellStyle name="Comma 2 7 7" xfId="1125"/>
    <cellStyle name="Comma 2 7 7 2" xfId="5047"/>
    <cellStyle name="Comma 2 7 7 2 2" xfId="21209"/>
    <cellStyle name="Comma 2 7 7 3" xfId="19320"/>
    <cellStyle name="Comma 2 7 8" xfId="1129"/>
    <cellStyle name="Comma 2 7 8 2" xfId="5051"/>
    <cellStyle name="Comma 2 7 8 2 2" xfId="21213"/>
    <cellStyle name="Comma 2 7 8 3" xfId="19322"/>
    <cellStyle name="Comma 2 7 9" xfId="8150"/>
    <cellStyle name="Comma 2 7 9 2" xfId="24304"/>
    <cellStyle name="Comma 2 8" xfId="464"/>
    <cellStyle name="Comma 2 8 10" xfId="8151"/>
    <cellStyle name="Comma 2 8 10 2" xfId="24305"/>
    <cellStyle name="Comma 2 8 11" xfId="8152"/>
    <cellStyle name="Comma 2 8 11 2" xfId="24306"/>
    <cellStyle name="Comma 2 8 12" xfId="8153"/>
    <cellStyle name="Comma 2 8 12 2" xfId="24307"/>
    <cellStyle name="Comma 2 8 13" xfId="8154"/>
    <cellStyle name="Comma 2 8 13 2" xfId="24308"/>
    <cellStyle name="Comma 2 8 14" xfId="8155"/>
    <cellStyle name="Comma 2 8 14 2" xfId="24309"/>
    <cellStyle name="Comma 2 8 15" xfId="8156"/>
    <cellStyle name="Comma 2 8 15 2" xfId="24310"/>
    <cellStyle name="Comma 2 8 16" xfId="8157"/>
    <cellStyle name="Comma 2 8 16 2" xfId="24311"/>
    <cellStyle name="Comma 2 8 17" xfId="8158"/>
    <cellStyle name="Comma 2 8 17 2" xfId="24312"/>
    <cellStyle name="Comma 2 8 18" xfId="4405"/>
    <cellStyle name="Comma 2 8 18 2" xfId="20568"/>
    <cellStyle name="Comma 2 8 19" xfId="19092"/>
    <cellStyle name="Comma 2 8 2" xfId="1133"/>
    <cellStyle name="Comma 2 8 2 2" xfId="5054"/>
    <cellStyle name="Comma 2 8 2 2 2" xfId="21216"/>
    <cellStyle name="Comma 2 8 2 3" xfId="19323"/>
    <cellStyle name="Comma 2 8 3" xfId="1135"/>
    <cellStyle name="Comma 2 8 3 2" xfId="5056"/>
    <cellStyle name="Comma 2 8 3 2 2" xfId="21218"/>
    <cellStyle name="Comma 2 8 3 3" xfId="19324"/>
    <cellStyle name="Comma 2 8 4" xfId="271"/>
    <cellStyle name="Comma 2 8 4 2" xfId="4222"/>
    <cellStyle name="Comma 2 8 4 2 2" xfId="20385"/>
    <cellStyle name="Comma 2 8 4 3" xfId="19049"/>
    <cellStyle name="Comma 2 8 5" xfId="278"/>
    <cellStyle name="Comma 2 8 5 2" xfId="4228"/>
    <cellStyle name="Comma 2 8 5 2 2" xfId="20391"/>
    <cellStyle name="Comma 2 8 5 3" xfId="19051"/>
    <cellStyle name="Comma 2 8 6" xfId="1140"/>
    <cellStyle name="Comma 2 8 6 2" xfId="5060"/>
    <cellStyle name="Comma 2 8 6 2 2" xfId="21222"/>
    <cellStyle name="Comma 2 8 6 3" xfId="19326"/>
    <cellStyle name="Comma 2 8 7" xfId="1142"/>
    <cellStyle name="Comma 2 8 7 2" xfId="5062"/>
    <cellStyle name="Comma 2 8 7 2 2" xfId="21224"/>
    <cellStyle name="Comma 2 8 7 3" xfId="19327"/>
    <cellStyle name="Comma 2 8 8" xfId="936"/>
    <cellStyle name="Comma 2 8 8 2" xfId="4858"/>
    <cellStyle name="Comma 2 8 8 2 2" xfId="21020"/>
    <cellStyle name="Comma 2 8 8 3" xfId="19238"/>
    <cellStyle name="Comma 2 8 9" xfId="8159"/>
    <cellStyle name="Comma 2 8 9 2" xfId="24313"/>
    <cellStyle name="Comma 2 9" xfId="469"/>
    <cellStyle name="Comma 2 9 10" xfId="8160"/>
    <cellStyle name="Comma 2 9 10 2" xfId="24314"/>
    <cellStyle name="Comma 2 9 11" xfId="8161"/>
    <cellStyle name="Comma 2 9 11 2" xfId="24315"/>
    <cellStyle name="Comma 2 9 12" xfId="8162"/>
    <cellStyle name="Comma 2 9 12 2" xfId="24316"/>
    <cellStyle name="Comma 2 9 13" xfId="8163"/>
    <cellStyle name="Comma 2 9 13 2" xfId="24317"/>
    <cellStyle name="Comma 2 9 14" xfId="8164"/>
    <cellStyle name="Comma 2 9 14 2" xfId="24318"/>
    <cellStyle name="Comma 2 9 15" xfId="8165"/>
    <cellStyle name="Comma 2 9 15 2" xfId="24319"/>
    <cellStyle name="Comma 2 9 16" xfId="8166"/>
    <cellStyle name="Comma 2 9 16 2" xfId="24320"/>
    <cellStyle name="Comma 2 9 17" xfId="8167"/>
    <cellStyle name="Comma 2 9 17 2" xfId="24321"/>
    <cellStyle name="Comma 2 9 18" xfId="4406"/>
    <cellStyle name="Comma 2 9 18 2" xfId="20569"/>
    <cellStyle name="Comma 2 9 19" xfId="19093"/>
    <cellStyle name="Comma 2 9 2" xfId="1146"/>
    <cellStyle name="Comma 2 9 2 2" xfId="5067"/>
    <cellStyle name="Comma 2 9 2 2 2" xfId="21229"/>
    <cellStyle name="Comma 2 9 2 3" xfId="19328"/>
    <cellStyle name="Comma 2 9 3" xfId="109"/>
    <cellStyle name="Comma 2 9 3 2" xfId="4057"/>
    <cellStyle name="Comma 2 9 3 2 2" xfId="20220"/>
    <cellStyle name="Comma 2 9 3 3" xfId="18992"/>
    <cellStyle name="Comma 2 9 4" xfId="169"/>
    <cellStyle name="Comma 2 9 4 2" xfId="4102"/>
    <cellStyle name="Comma 2 9 4 2 2" xfId="20265"/>
    <cellStyle name="Comma 2 9 4 3" xfId="19009"/>
    <cellStyle name="Comma 2 9 5" xfId="186"/>
    <cellStyle name="Comma 2 9 5 2" xfId="4117"/>
    <cellStyle name="Comma 2 9 5 2 2" xfId="20280"/>
    <cellStyle name="Comma 2 9 5 3" xfId="19015"/>
    <cellStyle name="Comma 2 9 6" xfId="194"/>
    <cellStyle name="Comma 2 9 6 2" xfId="4128"/>
    <cellStyle name="Comma 2 9 6 2 2" xfId="20291"/>
    <cellStyle name="Comma 2 9 6 3" xfId="19020"/>
    <cellStyle name="Comma 2 9 7" xfId="148"/>
    <cellStyle name="Comma 2 9 7 2" xfId="4089"/>
    <cellStyle name="Comma 2 9 7 2 2" xfId="20252"/>
    <cellStyle name="Comma 2 9 7 3" xfId="19003"/>
    <cellStyle name="Comma 2 9 8" xfId="173"/>
    <cellStyle name="Comma 2 9 8 2" xfId="4103"/>
    <cellStyle name="Comma 2 9 8 2 2" xfId="20266"/>
    <cellStyle name="Comma 2 9 8 3" xfId="19011"/>
    <cellStyle name="Comma 2 9 9" xfId="8168"/>
    <cellStyle name="Comma 2 9 9 2" xfId="24322"/>
    <cellStyle name="Comma 2_2bhk_19122016" xfId="8169"/>
    <cellStyle name="Comma 20" xfId="924"/>
    <cellStyle name="Comma 20 2" xfId="4844"/>
    <cellStyle name="Comma 20 2 2" xfId="21006"/>
    <cellStyle name="Comma 21" xfId="927"/>
    <cellStyle name="Comma 21 2" xfId="4848"/>
    <cellStyle name="Comma 21 2 2" xfId="21010"/>
    <cellStyle name="Comma 22" xfId="930"/>
    <cellStyle name="Comma 22 2" xfId="4852"/>
    <cellStyle name="Comma 22 2 2" xfId="21014"/>
    <cellStyle name="Comma 23" xfId="455"/>
    <cellStyle name="Comma 23 2" xfId="4396"/>
    <cellStyle name="Comma 23 2 2" xfId="20559"/>
    <cellStyle name="Comma 24" xfId="458"/>
    <cellStyle name="Comma 24 2" xfId="4400"/>
    <cellStyle name="Comma 24 2 2" xfId="20563"/>
    <cellStyle name="Comma 25" xfId="654"/>
    <cellStyle name="Comma 25 2" xfId="4586"/>
    <cellStyle name="Comma 25 2 2" xfId="20748"/>
    <cellStyle name="Comma 26" xfId="420"/>
    <cellStyle name="Comma 26 2" xfId="4364"/>
    <cellStyle name="Comma 26 2 2" xfId="20527"/>
    <cellStyle name="Comma 27" xfId="431"/>
    <cellStyle name="Comma 27 2" xfId="4374"/>
    <cellStyle name="Comma 27 2 2" xfId="20537"/>
    <cellStyle name="Comma 28" xfId="565"/>
    <cellStyle name="Comma 28 2" xfId="4495"/>
    <cellStyle name="Comma 28 2 2" xfId="20658"/>
    <cellStyle name="Comma 29" xfId="1151"/>
    <cellStyle name="Comma 29 10" xfId="8170"/>
    <cellStyle name="Comma 29 10 2" xfId="24323"/>
    <cellStyle name="Comma 29 11" xfId="8171"/>
    <cellStyle name="Comma 29 11 2" xfId="24324"/>
    <cellStyle name="Comma 29 12" xfId="8172"/>
    <cellStyle name="Comma 29 12 2" xfId="24325"/>
    <cellStyle name="Comma 29 13" xfId="5074"/>
    <cellStyle name="Comma 29 13 2" xfId="21236"/>
    <cellStyle name="Comma 29 14" xfId="19329"/>
    <cellStyle name="Comma 29 2" xfId="1156"/>
    <cellStyle name="Comma 29 2 10" xfId="8173"/>
    <cellStyle name="Comma 29 2 10 2" xfId="24326"/>
    <cellStyle name="Comma 29 2 11" xfId="5075"/>
    <cellStyle name="Comma 29 2 11 2" xfId="21237"/>
    <cellStyle name="Comma 29 2 12" xfId="19332"/>
    <cellStyle name="Comma 29 2 2" xfId="8174"/>
    <cellStyle name="Comma 29 2 2 2" xfId="24327"/>
    <cellStyle name="Comma 29 2 3" xfId="8175"/>
    <cellStyle name="Comma 29 2 3 2" xfId="24328"/>
    <cellStyle name="Comma 29 2 4" xfId="8176"/>
    <cellStyle name="Comma 29 2 4 2" xfId="24329"/>
    <cellStyle name="Comma 29 2 5" xfId="8177"/>
    <cellStyle name="Comma 29 2 5 2" xfId="24330"/>
    <cellStyle name="Comma 29 2 6" xfId="8178"/>
    <cellStyle name="Comma 29 2 6 2" xfId="24331"/>
    <cellStyle name="Comma 29 2 7" xfId="8179"/>
    <cellStyle name="Comma 29 2 7 2" xfId="24332"/>
    <cellStyle name="Comma 29 2 8" xfId="8180"/>
    <cellStyle name="Comma 29 2 8 2" xfId="24333"/>
    <cellStyle name="Comma 29 2 9" xfId="8181"/>
    <cellStyle name="Comma 29 2 9 2" xfId="24334"/>
    <cellStyle name="Comma 29 3" xfId="1159"/>
    <cellStyle name="Comma 29 3 10" xfId="8182"/>
    <cellStyle name="Comma 29 3 10 2" xfId="24335"/>
    <cellStyle name="Comma 29 3 11" xfId="5078"/>
    <cellStyle name="Comma 29 3 11 2" xfId="21240"/>
    <cellStyle name="Comma 29 3 12" xfId="19334"/>
    <cellStyle name="Comma 29 3 2" xfId="8183"/>
    <cellStyle name="Comma 29 3 2 2" xfId="24336"/>
    <cellStyle name="Comma 29 3 3" xfId="8184"/>
    <cellStyle name="Comma 29 3 3 2" xfId="24337"/>
    <cellStyle name="Comma 29 3 4" xfId="8185"/>
    <cellStyle name="Comma 29 3 4 2" xfId="24338"/>
    <cellStyle name="Comma 29 3 5" xfId="8186"/>
    <cellStyle name="Comma 29 3 5 2" xfId="24339"/>
    <cellStyle name="Comma 29 3 6" xfId="8187"/>
    <cellStyle name="Comma 29 3 6 2" xfId="24340"/>
    <cellStyle name="Comma 29 3 7" xfId="8188"/>
    <cellStyle name="Comma 29 3 7 2" xfId="24341"/>
    <cellStyle name="Comma 29 3 8" xfId="8189"/>
    <cellStyle name="Comma 29 3 8 2" xfId="24342"/>
    <cellStyle name="Comma 29 3 9" xfId="8190"/>
    <cellStyle name="Comma 29 3 9 2" xfId="24343"/>
    <cellStyle name="Comma 29 4" xfId="8191"/>
    <cellStyle name="Comma 29 4 2" xfId="24344"/>
    <cellStyle name="Comma 29 5" xfId="8192"/>
    <cellStyle name="Comma 29 5 2" xfId="24345"/>
    <cellStyle name="Comma 29 6" xfId="8193"/>
    <cellStyle name="Comma 29 6 2" xfId="24346"/>
    <cellStyle name="Comma 29 7" xfId="8194"/>
    <cellStyle name="Comma 29 7 2" xfId="24347"/>
    <cellStyle name="Comma 29 8" xfId="8195"/>
    <cellStyle name="Comma 29 8 2" xfId="24348"/>
    <cellStyle name="Comma 29 9" xfId="8196"/>
    <cellStyle name="Comma 29 9 2" xfId="24349"/>
    <cellStyle name="Comma 3" xfId="1160"/>
    <cellStyle name="Comma 3 10" xfId="1123"/>
    <cellStyle name="Comma 3 10 10" xfId="8197"/>
    <cellStyle name="Comma 3 10 10 2" xfId="24350"/>
    <cellStyle name="Comma 3 10 11" xfId="8198"/>
    <cellStyle name="Comma 3 10 11 2" xfId="24351"/>
    <cellStyle name="Comma 3 10 12" xfId="8199"/>
    <cellStyle name="Comma 3 10 12 2" xfId="24352"/>
    <cellStyle name="Comma 3 10 13" xfId="8200"/>
    <cellStyle name="Comma 3 10 13 2" xfId="24353"/>
    <cellStyle name="Comma 3 10 14" xfId="8201"/>
    <cellStyle name="Comma 3 10 14 2" xfId="24354"/>
    <cellStyle name="Comma 3 10 15" xfId="8202"/>
    <cellStyle name="Comma 3 10 15 2" xfId="24355"/>
    <cellStyle name="Comma 3 10 16" xfId="8203"/>
    <cellStyle name="Comma 3 10 16 2" xfId="24356"/>
    <cellStyle name="Comma 3 10 17" xfId="8204"/>
    <cellStyle name="Comma 3 10 17 2" xfId="24357"/>
    <cellStyle name="Comma 3 10 18" xfId="5042"/>
    <cellStyle name="Comma 3 10 18 2" xfId="21204"/>
    <cellStyle name="Comma 3 10 19" xfId="19318"/>
    <cellStyle name="Comma 3 10 2" xfId="1162"/>
    <cellStyle name="Comma 3 10 2 2" xfId="5083"/>
    <cellStyle name="Comma 3 10 2 2 2" xfId="21245"/>
    <cellStyle name="Comma 3 10 2 3" xfId="19336"/>
    <cellStyle name="Comma 3 10 3" xfId="1167"/>
    <cellStyle name="Comma 3 10 3 2" xfId="5088"/>
    <cellStyle name="Comma 3 10 3 2 2" xfId="21250"/>
    <cellStyle name="Comma 3 10 3 3" xfId="19339"/>
    <cellStyle name="Comma 3 10 4" xfId="704"/>
    <cellStyle name="Comma 3 10 4 2" xfId="4631"/>
    <cellStyle name="Comma 3 10 4 2 2" xfId="20793"/>
    <cellStyle name="Comma 3 10 4 3" xfId="19162"/>
    <cellStyle name="Comma 3 10 5" xfId="707"/>
    <cellStyle name="Comma 3 10 5 2" xfId="4634"/>
    <cellStyle name="Comma 3 10 5 2 2" xfId="20796"/>
    <cellStyle name="Comma 3 10 5 3" xfId="19164"/>
    <cellStyle name="Comma 3 10 6" xfId="630"/>
    <cellStyle name="Comma 3 10 6 2" xfId="4562"/>
    <cellStyle name="Comma 3 10 6 2 2" xfId="20724"/>
    <cellStyle name="Comma 3 10 6 3" xfId="19136"/>
    <cellStyle name="Comma 3 10 7" xfId="633"/>
    <cellStyle name="Comma 3 10 7 2" xfId="4566"/>
    <cellStyle name="Comma 3 10 7 2 2" xfId="20728"/>
    <cellStyle name="Comma 3 10 7 3" xfId="19138"/>
    <cellStyle name="Comma 3 10 8" xfId="1170"/>
    <cellStyle name="Comma 3 10 8 2" xfId="5091"/>
    <cellStyle name="Comma 3 10 8 2 2" xfId="21253"/>
    <cellStyle name="Comma 3 10 8 3" xfId="19341"/>
    <cellStyle name="Comma 3 10 9" xfId="8205"/>
    <cellStyle name="Comma 3 10 9 2" xfId="24358"/>
    <cellStyle name="Comma 3 11" xfId="8206"/>
    <cellStyle name="Comma 3 11 2" xfId="24359"/>
    <cellStyle name="Comma 3 12" xfId="8207"/>
    <cellStyle name="Comma 3 12 2" xfId="24360"/>
    <cellStyle name="Comma 3 13" xfId="5081"/>
    <cellStyle name="Comma 3 13 2" xfId="21243"/>
    <cellStyle name="Comma 3 2" xfId="1171"/>
    <cellStyle name="Comma 3 2 10" xfId="8208"/>
    <cellStyle name="Comma 3 2 10 2" xfId="24361"/>
    <cellStyle name="Comma 3 2 11" xfId="8209"/>
    <cellStyle name="Comma 3 2 11 2" xfId="24362"/>
    <cellStyle name="Comma 3 2 12" xfId="8210"/>
    <cellStyle name="Comma 3 2 12 2" xfId="24363"/>
    <cellStyle name="Comma 3 2 13" xfId="8211"/>
    <cellStyle name="Comma 3 2 13 2" xfId="24364"/>
    <cellStyle name="Comma 3 2 14" xfId="8212"/>
    <cellStyle name="Comma 3 2 14 2" xfId="24365"/>
    <cellStyle name="Comma 3 2 15" xfId="8213"/>
    <cellStyle name="Comma 3 2 15 2" xfId="24366"/>
    <cellStyle name="Comma 3 2 16" xfId="8214"/>
    <cellStyle name="Comma 3 2 16 2" xfId="24367"/>
    <cellStyle name="Comma 3 2 17" xfId="8215"/>
    <cellStyle name="Comma 3 2 17 2" xfId="24368"/>
    <cellStyle name="Comma 3 2 18" xfId="5092"/>
    <cellStyle name="Comma 3 2 18 2" xfId="21254"/>
    <cellStyle name="Comma 3 2 19" xfId="19342"/>
    <cellStyle name="Comma 3 2 2" xfId="1173"/>
    <cellStyle name="Comma 3 2 2 2" xfId="5094"/>
    <cellStyle name="Comma 3 2 2 2 2" xfId="21256"/>
    <cellStyle name="Comma 3 2 2 3" xfId="19343"/>
    <cellStyle name="Comma 3 2 3" xfId="1174"/>
    <cellStyle name="Comma 3 2 3 2" xfId="5095"/>
    <cellStyle name="Comma 3 2 3 2 2" xfId="21257"/>
    <cellStyle name="Comma 3 2 3 3" xfId="19344"/>
    <cellStyle name="Comma 3 2 4" xfId="1176"/>
    <cellStyle name="Comma 3 2 4 2" xfId="5098"/>
    <cellStyle name="Comma 3 2 4 2 2" xfId="21260"/>
    <cellStyle name="Comma 3 2 4 3" xfId="19346"/>
    <cellStyle name="Comma 3 2 5" xfId="1180"/>
    <cellStyle name="Comma 3 2 5 2" xfId="5102"/>
    <cellStyle name="Comma 3 2 5 2 2" xfId="21264"/>
    <cellStyle name="Comma 3 2 5 3" xfId="19349"/>
    <cellStyle name="Comma 3 2 6" xfId="1182"/>
    <cellStyle name="Comma 3 2 6 2" xfId="5104"/>
    <cellStyle name="Comma 3 2 6 2 2" xfId="21266"/>
    <cellStyle name="Comma 3 2 6 3" xfId="19351"/>
    <cellStyle name="Comma 3 2 7" xfId="103"/>
    <cellStyle name="Comma 3 2 7 2" xfId="4049"/>
    <cellStyle name="Comma 3 2 7 2 2" xfId="20212"/>
    <cellStyle name="Comma 3 2 7 3" xfId="18989"/>
    <cellStyle name="Comma 3 2 8" xfId="568"/>
    <cellStyle name="Comma 3 2 8 2" xfId="4502"/>
    <cellStyle name="Comma 3 2 8 2 2" xfId="20665"/>
    <cellStyle name="Comma 3 2 8 3" xfId="19112"/>
    <cellStyle name="Comma 3 2 9" xfId="8216"/>
    <cellStyle name="Comma 3 2 9 2" xfId="24369"/>
    <cellStyle name="Comma 3 2_Rukmapur (CPD)-wk" xfId="1184"/>
    <cellStyle name="Comma 3 3" xfId="851"/>
    <cellStyle name="Comma 3 3 10" xfId="8217"/>
    <cellStyle name="Comma 3 3 10 2" xfId="24370"/>
    <cellStyle name="Comma 3 3 11" xfId="8218"/>
    <cellStyle name="Comma 3 3 11 2" xfId="24371"/>
    <cellStyle name="Comma 3 3 12" xfId="8219"/>
    <cellStyle name="Comma 3 3 12 2" xfId="24372"/>
    <cellStyle name="Comma 3 3 13" xfId="8220"/>
    <cellStyle name="Comma 3 3 13 2" xfId="24373"/>
    <cellStyle name="Comma 3 3 14" xfId="8221"/>
    <cellStyle name="Comma 3 3 14 2" xfId="24374"/>
    <cellStyle name="Comma 3 3 15" xfId="8222"/>
    <cellStyle name="Comma 3 3 15 2" xfId="24375"/>
    <cellStyle name="Comma 3 3 16" xfId="8223"/>
    <cellStyle name="Comma 3 3 16 2" xfId="24376"/>
    <cellStyle name="Comma 3 3 17" xfId="8224"/>
    <cellStyle name="Comma 3 3 17 2" xfId="24377"/>
    <cellStyle name="Comma 3 3 18" xfId="4777"/>
    <cellStyle name="Comma 3 3 18 2" xfId="20939"/>
    <cellStyle name="Comma 3 3 19" xfId="19206"/>
    <cellStyle name="Comma 3 3 2" xfId="1187"/>
    <cellStyle name="Comma 3 3 2 2" xfId="5108"/>
    <cellStyle name="Comma 3 3 2 2 2" xfId="21270"/>
    <cellStyle name="Comma 3 3 2 3" xfId="19353"/>
    <cellStyle name="Comma 3 3 3" xfId="392"/>
    <cellStyle name="Comma 3 3 3 2" xfId="4340"/>
    <cellStyle name="Comma 3 3 3 2 2" xfId="20503"/>
    <cellStyle name="Comma 3 3 3 3" xfId="19074"/>
    <cellStyle name="Comma 3 3 4" xfId="403"/>
    <cellStyle name="Comma 3 3 4 2" xfId="4351"/>
    <cellStyle name="Comma 3 3 4 2 2" xfId="20514"/>
    <cellStyle name="Comma 3 3 4 3" xfId="19078"/>
    <cellStyle name="Comma 3 3 5" xfId="1192"/>
    <cellStyle name="Comma 3 3 5 2" xfId="5113"/>
    <cellStyle name="Comma 3 3 5 2 2" xfId="21275"/>
    <cellStyle name="Comma 3 3 5 3" xfId="19355"/>
    <cellStyle name="Comma 3 3 6" xfId="1196"/>
    <cellStyle name="Comma 3 3 6 2" xfId="5117"/>
    <cellStyle name="Comma 3 3 6 2 2" xfId="21279"/>
    <cellStyle name="Comma 3 3 6 3" xfId="19356"/>
    <cellStyle name="Comma 3 3 7" xfId="1203"/>
    <cellStyle name="Comma 3 3 7 2" xfId="5123"/>
    <cellStyle name="Comma 3 3 7 2 2" xfId="21285"/>
    <cellStyle name="Comma 3 3 7 3" xfId="19357"/>
    <cellStyle name="Comma 3 3 8" xfId="638"/>
    <cellStyle name="Comma 3 3 8 2" xfId="4571"/>
    <cellStyle name="Comma 3 3 8 2 2" xfId="20733"/>
    <cellStyle name="Comma 3 3 8 3" xfId="19140"/>
    <cellStyle name="Comma 3 3 9" xfId="8225"/>
    <cellStyle name="Comma 3 3 9 2" xfId="24378"/>
    <cellStyle name="Comma 3 4" xfId="855"/>
    <cellStyle name="Comma 3 4 10" xfId="8226"/>
    <cellStyle name="Comma 3 4 10 2" xfId="24379"/>
    <cellStyle name="Comma 3 4 11" xfId="8227"/>
    <cellStyle name="Comma 3 4 11 2" xfId="24380"/>
    <cellStyle name="Comma 3 4 12" xfId="8228"/>
    <cellStyle name="Comma 3 4 12 2" xfId="24381"/>
    <cellStyle name="Comma 3 4 13" xfId="8229"/>
    <cellStyle name="Comma 3 4 13 2" xfId="24382"/>
    <cellStyle name="Comma 3 4 14" xfId="8230"/>
    <cellStyle name="Comma 3 4 14 2" xfId="24383"/>
    <cellStyle name="Comma 3 4 15" xfId="8231"/>
    <cellStyle name="Comma 3 4 15 2" xfId="24384"/>
    <cellStyle name="Comma 3 4 16" xfId="8232"/>
    <cellStyle name="Comma 3 4 16 2" xfId="24385"/>
    <cellStyle name="Comma 3 4 17" xfId="8233"/>
    <cellStyle name="Comma 3 4 17 2" xfId="24386"/>
    <cellStyle name="Comma 3 4 18" xfId="4781"/>
    <cellStyle name="Comma 3 4 18 2" xfId="20943"/>
    <cellStyle name="Comma 3 4 19" xfId="19208"/>
    <cellStyle name="Comma 3 4 2" xfId="1209"/>
    <cellStyle name="Comma 3 4 2 2" xfId="5129"/>
    <cellStyle name="Comma 3 4 2 2 2" xfId="21291"/>
    <cellStyle name="Comma 3 4 2 3" xfId="19359"/>
    <cellStyle name="Comma 3 4 3" xfId="142"/>
    <cellStyle name="Comma 3 4 3 2" xfId="4084"/>
    <cellStyle name="Comma 3 4 3 2 2" xfId="20247"/>
    <cellStyle name="Comma 3 4 3 3" xfId="19001"/>
    <cellStyle name="Comma 3 4 4" xfId="165"/>
    <cellStyle name="Comma 3 4 4 2" xfId="4098"/>
    <cellStyle name="Comma 3 4 4 2 2" xfId="20261"/>
    <cellStyle name="Comma 3 4 4 3" xfId="19007"/>
    <cellStyle name="Comma 3 4 5" xfId="179"/>
    <cellStyle name="Comma 3 4 5 2" xfId="4113"/>
    <cellStyle name="Comma 3 4 5 2 2" xfId="20276"/>
    <cellStyle name="Comma 3 4 5 3" xfId="19013"/>
    <cellStyle name="Comma 3 4 6" xfId="189"/>
    <cellStyle name="Comma 3 4 6 2" xfId="4120"/>
    <cellStyle name="Comma 3 4 6 2 2" xfId="20283"/>
    <cellStyle name="Comma 3 4 6 3" xfId="19018"/>
    <cellStyle name="Comma 3 4 7" xfId="208"/>
    <cellStyle name="Comma 3 4 7 2" xfId="4134"/>
    <cellStyle name="Comma 3 4 7 2 2" xfId="20297"/>
    <cellStyle name="Comma 3 4 7 3" xfId="19026"/>
    <cellStyle name="Comma 3 4 8" xfId="216"/>
    <cellStyle name="Comma 3 4 8 2" xfId="4143"/>
    <cellStyle name="Comma 3 4 8 2 2" xfId="20306"/>
    <cellStyle name="Comma 3 4 8 3" xfId="19030"/>
    <cellStyle name="Comma 3 4 9" xfId="8234"/>
    <cellStyle name="Comma 3 4 9 2" xfId="24387"/>
    <cellStyle name="Comma 3 5" xfId="859"/>
    <cellStyle name="Comma 3 5 10" xfId="8235"/>
    <cellStyle name="Comma 3 5 10 2" xfId="24388"/>
    <cellStyle name="Comma 3 5 11" xfId="8236"/>
    <cellStyle name="Comma 3 5 11 2" xfId="24389"/>
    <cellStyle name="Comma 3 5 12" xfId="8237"/>
    <cellStyle name="Comma 3 5 12 2" xfId="24390"/>
    <cellStyle name="Comma 3 5 13" xfId="8238"/>
    <cellStyle name="Comma 3 5 13 2" xfId="24391"/>
    <cellStyle name="Comma 3 5 14" xfId="8239"/>
    <cellStyle name="Comma 3 5 14 2" xfId="24392"/>
    <cellStyle name="Comma 3 5 15" xfId="8240"/>
    <cellStyle name="Comma 3 5 15 2" xfId="24393"/>
    <cellStyle name="Comma 3 5 16" xfId="8241"/>
    <cellStyle name="Comma 3 5 16 2" xfId="24394"/>
    <cellStyle name="Comma 3 5 17" xfId="8242"/>
    <cellStyle name="Comma 3 5 17 2" xfId="24395"/>
    <cellStyle name="Comma 3 5 18" xfId="4785"/>
    <cellStyle name="Comma 3 5 18 2" xfId="20947"/>
    <cellStyle name="Comma 3 5 19" xfId="19210"/>
    <cellStyle name="Comma 3 5 2" xfId="1211"/>
    <cellStyle name="Comma 3 5 2 2" xfId="5131"/>
    <cellStyle name="Comma 3 5 2 2 2" xfId="21293"/>
    <cellStyle name="Comma 3 5 2 3" xfId="19360"/>
    <cellStyle name="Comma 3 5 3" xfId="1212"/>
    <cellStyle name="Comma 3 5 3 2" xfId="5132"/>
    <cellStyle name="Comma 3 5 3 2 2" xfId="21294"/>
    <cellStyle name="Comma 3 5 3 3" xfId="19361"/>
    <cellStyle name="Comma 3 5 4" xfId="1215"/>
    <cellStyle name="Comma 3 5 4 2" xfId="5135"/>
    <cellStyle name="Comma 3 5 4 2 2" xfId="21297"/>
    <cellStyle name="Comma 3 5 4 3" xfId="19363"/>
    <cellStyle name="Comma 3 5 5" xfId="1218"/>
    <cellStyle name="Comma 3 5 5 2" xfId="5138"/>
    <cellStyle name="Comma 3 5 5 2 2" xfId="21300"/>
    <cellStyle name="Comma 3 5 5 3" xfId="19365"/>
    <cellStyle name="Comma 3 5 6" xfId="1219"/>
    <cellStyle name="Comma 3 5 6 2" xfId="5139"/>
    <cellStyle name="Comma 3 5 6 2 2" xfId="21301"/>
    <cellStyle name="Comma 3 5 6 3" xfId="19366"/>
    <cellStyle name="Comma 3 5 7" xfId="792"/>
    <cellStyle name="Comma 3 5 7 2" xfId="4720"/>
    <cellStyle name="Comma 3 5 7 2 2" xfId="20882"/>
    <cellStyle name="Comma 3 5 7 3" xfId="19185"/>
    <cellStyle name="Comma 3 5 8" xfId="578"/>
    <cellStyle name="Comma 3 5 8 2" xfId="4512"/>
    <cellStyle name="Comma 3 5 8 2 2" xfId="20675"/>
    <cellStyle name="Comma 3 5 8 3" xfId="19116"/>
    <cellStyle name="Comma 3 5 9" xfId="8243"/>
    <cellStyle name="Comma 3 5 9 2" xfId="24396"/>
    <cellStyle name="Comma 3 6" xfId="863"/>
    <cellStyle name="Comma 3 6 10" xfId="8244"/>
    <cellStyle name="Comma 3 6 10 2" xfId="24397"/>
    <cellStyle name="Comma 3 6 11" xfId="8245"/>
    <cellStyle name="Comma 3 6 11 2" xfId="24398"/>
    <cellStyle name="Comma 3 6 12" xfId="8246"/>
    <cellStyle name="Comma 3 6 12 2" xfId="24399"/>
    <cellStyle name="Comma 3 6 13" xfId="8247"/>
    <cellStyle name="Comma 3 6 13 2" xfId="24400"/>
    <cellStyle name="Comma 3 6 14" xfId="8248"/>
    <cellStyle name="Comma 3 6 14 2" xfId="24401"/>
    <cellStyle name="Comma 3 6 15" xfId="8249"/>
    <cellStyle name="Comma 3 6 15 2" xfId="24402"/>
    <cellStyle name="Comma 3 6 16" xfId="8250"/>
    <cellStyle name="Comma 3 6 16 2" xfId="24403"/>
    <cellStyle name="Comma 3 6 17" xfId="8251"/>
    <cellStyle name="Comma 3 6 17 2" xfId="24404"/>
    <cellStyle name="Comma 3 6 18" xfId="4788"/>
    <cellStyle name="Comma 3 6 18 2" xfId="20950"/>
    <cellStyle name="Comma 3 6 19" xfId="19212"/>
    <cellStyle name="Comma 3 6 2" xfId="203"/>
    <cellStyle name="Comma 3 6 2 2" xfId="4177"/>
    <cellStyle name="Comma 3 6 2 2 2" xfId="20340"/>
    <cellStyle name="Comma 3 6 2 3" xfId="19023"/>
    <cellStyle name="Comma 3 6 3" xfId="1223"/>
    <cellStyle name="Comma 3 6 3 2" xfId="5143"/>
    <cellStyle name="Comma 3 6 3 2 2" xfId="21305"/>
    <cellStyle name="Comma 3 6 3 3" xfId="19369"/>
    <cellStyle name="Comma 3 6 4" xfId="949"/>
    <cellStyle name="Comma 3 6 4 2" xfId="4869"/>
    <cellStyle name="Comma 3 6 4 2 2" xfId="21031"/>
    <cellStyle name="Comma 3 6 4 3" xfId="19246"/>
    <cellStyle name="Comma 3 6 5" xfId="953"/>
    <cellStyle name="Comma 3 6 5 2" xfId="4873"/>
    <cellStyle name="Comma 3 6 5 2 2" xfId="21035"/>
    <cellStyle name="Comma 3 6 5 3" xfId="19248"/>
    <cellStyle name="Comma 3 6 6" xfId="956"/>
    <cellStyle name="Comma 3 6 6 2" xfId="4876"/>
    <cellStyle name="Comma 3 6 6 2 2" xfId="21038"/>
    <cellStyle name="Comma 3 6 6 3" xfId="19250"/>
    <cellStyle name="Comma 3 6 7" xfId="959"/>
    <cellStyle name="Comma 3 6 7 2" xfId="4880"/>
    <cellStyle name="Comma 3 6 7 2 2" xfId="21042"/>
    <cellStyle name="Comma 3 6 7 3" xfId="19252"/>
    <cellStyle name="Comma 3 6 8" xfId="505"/>
    <cellStyle name="Comma 3 6 8 2" xfId="4441"/>
    <cellStyle name="Comma 3 6 8 2 2" xfId="20604"/>
    <cellStyle name="Comma 3 6 8 3" xfId="19099"/>
    <cellStyle name="Comma 3 6 9" xfId="8252"/>
    <cellStyle name="Comma 3 6 9 2" xfId="24405"/>
    <cellStyle name="Comma 3 7" xfId="869"/>
    <cellStyle name="Comma 3 7 10" xfId="8253"/>
    <cellStyle name="Comma 3 7 10 2" xfId="24406"/>
    <cellStyle name="Comma 3 7 11" xfId="8254"/>
    <cellStyle name="Comma 3 7 11 2" xfId="24407"/>
    <cellStyle name="Comma 3 7 12" xfId="8255"/>
    <cellStyle name="Comma 3 7 12 2" xfId="24408"/>
    <cellStyle name="Comma 3 7 13" xfId="8256"/>
    <cellStyle name="Comma 3 7 13 2" xfId="24409"/>
    <cellStyle name="Comma 3 7 14" xfId="8257"/>
    <cellStyle name="Comma 3 7 14 2" xfId="24410"/>
    <cellStyle name="Comma 3 7 15" xfId="8258"/>
    <cellStyle name="Comma 3 7 15 2" xfId="24411"/>
    <cellStyle name="Comma 3 7 16" xfId="8259"/>
    <cellStyle name="Comma 3 7 16 2" xfId="24412"/>
    <cellStyle name="Comma 3 7 17" xfId="8260"/>
    <cellStyle name="Comma 3 7 17 2" xfId="24413"/>
    <cellStyle name="Comma 3 7 18" xfId="4794"/>
    <cellStyle name="Comma 3 7 18 2" xfId="20956"/>
    <cellStyle name="Comma 3 7 19" xfId="19215"/>
    <cellStyle name="Comma 3 7 2" xfId="1227"/>
    <cellStyle name="Comma 3 7 2 2" xfId="5145"/>
    <cellStyle name="Comma 3 7 2 2 2" xfId="21307"/>
    <cellStyle name="Comma 3 7 2 3" xfId="19371"/>
    <cellStyle name="Comma 3 7 3" xfId="735"/>
    <cellStyle name="Comma 3 7 3 2" xfId="4660"/>
    <cellStyle name="Comma 3 7 3 2 2" xfId="20822"/>
    <cellStyle name="Comma 3 7 3 3" xfId="19171"/>
    <cellStyle name="Comma 3 7 4" xfId="745"/>
    <cellStyle name="Comma 3 7 4 2" xfId="4669"/>
    <cellStyle name="Comma 3 7 4 2 2" xfId="20831"/>
    <cellStyle name="Comma 3 7 4 3" xfId="19176"/>
    <cellStyle name="Comma 3 7 5" xfId="688"/>
    <cellStyle name="Comma 3 7 5 2" xfId="4614"/>
    <cellStyle name="Comma 3 7 5 2 2" xfId="20776"/>
    <cellStyle name="Comma 3 7 5 3" xfId="19155"/>
    <cellStyle name="Comma 3 7 6" xfId="694"/>
    <cellStyle name="Comma 3 7 6 2" xfId="4620"/>
    <cellStyle name="Comma 3 7 6 2 2" xfId="20782"/>
    <cellStyle name="Comma 3 7 6 3" xfId="19159"/>
    <cellStyle name="Comma 3 7 7" xfId="972"/>
    <cellStyle name="Comma 3 7 7 2" xfId="4893"/>
    <cellStyle name="Comma 3 7 7 2 2" xfId="21055"/>
    <cellStyle name="Comma 3 7 7 3" xfId="19258"/>
    <cellStyle name="Comma 3 7 8" xfId="601"/>
    <cellStyle name="Comma 3 7 8 2" xfId="4531"/>
    <cellStyle name="Comma 3 7 8 2 2" xfId="20694"/>
    <cellStyle name="Comma 3 7 8 3" xfId="19123"/>
    <cellStyle name="Comma 3 7 9" xfId="8261"/>
    <cellStyle name="Comma 3 7 9 2" xfId="24414"/>
    <cellStyle name="Comma 3 8" xfId="874"/>
    <cellStyle name="Comma 3 8 10" xfId="8262"/>
    <cellStyle name="Comma 3 8 10 2" xfId="24415"/>
    <cellStyle name="Comma 3 8 11" xfId="8263"/>
    <cellStyle name="Comma 3 8 11 2" xfId="24416"/>
    <cellStyle name="Comma 3 8 12" xfId="8264"/>
    <cellStyle name="Comma 3 8 12 2" xfId="24417"/>
    <cellStyle name="Comma 3 8 13" xfId="8265"/>
    <cellStyle name="Comma 3 8 13 2" xfId="24418"/>
    <cellStyle name="Comma 3 8 14" xfId="8266"/>
    <cellStyle name="Comma 3 8 14 2" xfId="24419"/>
    <cellStyle name="Comma 3 8 15" xfId="8267"/>
    <cellStyle name="Comma 3 8 15 2" xfId="24420"/>
    <cellStyle name="Comma 3 8 16" xfId="8268"/>
    <cellStyle name="Comma 3 8 16 2" xfId="24421"/>
    <cellStyle name="Comma 3 8 17" xfId="8269"/>
    <cellStyle name="Comma 3 8 17 2" xfId="24422"/>
    <cellStyle name="Comma 3 8 18" xfId="4798"/>
    <cellStyle name="Comma 3 8 18 2" xfId="20960"/>
    <cellStyle name="Comma 3 8 19" xfId="19219"/>
    <cellStyle name="Comma 3 8 2" xfId="283"/>
    <cellStyle name="Comma 3 8 2 2" xfId="4231"/>
    <cellStyle name="Comma 3 8 2 2 2" xfId="20394"/>
    <cellStyle name="Comma 3 8 2 3" xfId="19052"/>
    <cellStyle name="Comma 3 8 3" xfId="1229"/>
    <cellStyle name="Comma 3 8 3 2" xfId="5149"/>
    <cellStyle name="Comma 3 8 3 2 2" xfId="21311"/>
    <cellStyle name="Comma 3 8 3 3" xfId="19372"/>
    <cellStyle name="Comma 3 8 4" xfId="302"/>
    <cellStyle name="Comma 3 8 4 2" xfId="4253"/>
    <cellStyle name="Comma 3 8 4 2 2" xfId="20416"/>
    <cellStyle name="Comma 3 8 4 3" xfId="19058"/>
    <cellStyle name="Comma 3 8 5" xfId="308"/>
    <cellStyle name="Comma 3 8 5 2" xfId="4261"/>
    <cellStyle name="Comma 3 8 5 2 2" xfId="20424"/>
    <cellStyle name="Comma 3 8 5 3" xfId="19060"/>
    <cellStyle name="Comma 3 8 6" xfId="785"/>
    <cellStyle name="Comma 3 8 6 2" xfId="4710"/>
    <cellStyle name="Comma 3 8 6 2 2" xfId="20872"/>
    <cellStyle name="Comma 3 8 6 3" xfId="19183"/>
    <cellStyle name="Comma 3 8 7" xfId="1164"/>
    <cellStyle name="Comma 3 8 7 2" xfId="5085"/>
    <cellStyle name="Comma 3 8 7 2 2" xfId="21247"/>
    <cellStyle name="Comma 3 8 7 3" xfId="19337"/>
    <cellStyle name="Comma 3 8 8" xfId="1168"/>
    <cellStyle name="Comma 3 8 8 2" xfId="5089"/>
    <cellStyle name="Comma 3 8 8 2 2" xfId="21251"/>
    <cellStyle name="Comma 3 8 8 3" xfId="19340"/>
    <cellStyle name="Comma 3 8 9" xfId="8270"/>
    <cellStyle name="Comma 3 8 9 2" xfId="24423"/>
    <cellStyle name="Comma 3 9" xfId="95"/>
    <cellStyle name="Comma 3 9 10" xfId="8271"/>
    <cellStyle name="Comma 3 9 10 2" xfId="24424"/>
    <cellStyle name="Comma 3 9 11" xfId="8272"/>
    <cellStyle name="Comma 3 9 11 2" xfId="24425"/>
    <cellStyle name="Comma 3 9 12" xfId="8273"/>
    <cellStyle name="Comma 3 9 12 2" xfId="24426"/>
    <cellStyle name="Comma 3 9 13" xfId="8274"/>
    <cellStyle name="Comma 3 9 13 2" xfId="24427"/>
    <cellStyle name="Comma 3 9 14" xfId="8275"/>
    <cellStyle name="Comma 3 9 14 2" xfId="24428"/>
    <cellStyle name="Comma 3 9 15" xfId="8276"/>
    <cellStyle name="Comma 3 9 15 2" xfId="24429"/>
    <cellStyle name="Comma 3 9 16" xfId="8277"/>
    <cellStyle name="Comma 3 9 16 2" xfId="24430"/>
    <cellStyle name="Comma 3 9 17" xfId="8278"/>
    <cellStyle name="Comma 3 9 17 2" xfId="24431"/>
    <cellStyle name="Comma 3 9 18" xfId="4162"/>
    <cellStyle name="Comma 3 9 18 2" xfId="20325"/>
    <cellStyle name="Comma 3 9 19" xfId="18988"/>
    <cellStyle name="Comma 3 9 2" xfId="1232"/>
    <cellStyle name="Comma 3 9 2 2" xfId="5152"/>
    <cellStyle name="Comma 3 9 2 2 2" xfId="21314"/>
    <cellStyle name="Comma 3 9 2 3" xfId="19373"/>
    <cellStyle name="Comma 3 9 3" xfId="1237"/>
    <cellStyle name="Comma 3 9 3 2" xfId="5157"/>
    <cellStyle name="Comma 3 9 3 2 2" xfId="21319"/>
    <cellStyle name="Comma 3 9 3 3" xfId="19375"/>
    <cellStyle name="Comma 3 9 4" xfId="1242"/>
    <cellStyle name="Comma 3 9 4 2" xfId="5162"/>
    <cellStyle name="Comma 3 9 4 2 2" xfId="21324"/>
    <cellStyle name="Comma 3 9 4 3" xfId="19376"/>
    <cellStyle name="Comma 3 9 5" xfId="907"/>
    <cellStyle name="Comma 3 9 5 2" xfId="4827"/>
    <cellStyle name="Comma 3 9 5 2 2" xfId="20989"/>
    <cellStyle name="Comma 3 9 5 3" xfId="19228"/>
    <cellStyle name="Comma 3 9 6" xfId="912"/>
    <cellStyle name="Comma 3 9 6 2" xfId="4836"/>
    <cellStyle name="Comma 3 9 6 2 2" xfId="20998"/>
    <cellStyle name="Comma 3 9 6 3" xfId="19229"/>
    <cellStyle name="Comma 3 9 7" xfId="160"/>
    <cellStyle name="Comma 3 9 7 2" xfId="4172"/>
    <cellStyle name="Comma 3 9 7 2 2" xfId="20335"/>
    <cellStyle name="Comma 3 9 7 3" xfId="19005"/>
    <cellStyle name="Comma 3 9 8" xfId="621"/>
    <cellStyle name="Comma 3 9 8 2" xfId="4548"/>
    <cellStyle name="Comma 3 9 8 2 2" xfId="20710"/>
    <cellStyle name="Comma 3 9 8 3" xfId="19132"/>
    <cellStyle name="Comma 3 9 9" xfId="8279"/>
    <cellStyle name="Comma 3 9 9 2" xfId="24432"/>
    <cellStyle name="Comma 3_Bandalingampally (Ypet-wd)" xfId="898"/>
    <cellStyle name="Comma 30" xfId="655"/>
    <cellStyle name="Comma 30 2" xfId="4585"/>
    <cellStyle name="Comma 30 2 2" xfId="20747"/>
    <cellStyle name="Comma 30 3" xfId="19143"/>
    <cellStyle name="Comma 31" xfId="8280"/>
    <cellStyle name="Comma 31 2" xfId="24433"/>
    <cellStyle name="Comma 32" xfId="3966"/>
    <cellStyle name="Comma 32 2" xfId="20129"/>
    <cellStyle name="Comma 33" xfId="18965"/>
    <cellStyle name="Comma 4" xfId="1245"/>
    <cellStyle name="Comma 4 10" xfId="1248"/>
    <cellStyle name="Comma 4 10 2" xfId="5166"/>
    <cellStyle name="Comma 4 10 2 2" xfId="21328"/>
    <cellStyle name="Comma 4 11" xfId="1251"/>
    <cellStyle name="Comma 4 11 2" xfId="5169"/>
    <cellStyle name="Comma 4 11 2 2" xfId="21331"/>
    <cellStyle name="Comma 4 12" xfId="8281"/>
    <cellStyle name="Comma 4 12 2" xfId="24434"/>
    <cellStyle name="Comma 4 13" xfId="8282"/>
    <cellStyle name="Comma 4 13 2" xfId="24435"/>
    <cellStyle name="Comma 4 14" xfId="5165"/>
    <cellStyle name="Comma 4 14 2" xfId="21327"/>
    <cellStyle name="Comma 4 2" xfId="1253"/>
    <cellStyle name="Comma 4 2 2" xfId="494"/>
    <cellStyle name="Comma 4 2 2 2" xfId="8283"/>
    <cellStyle name="Comma 4 2 2 2 2" xfId="24436"/>
    <cellStyle name="Comma 4 2 2 3" xfId="4431"/>
    <cellStyle name="Comma 4 2 2 3 2" xfId="20594"/>
    <cellStyle name="Comma 4 2 3" xfId="1255"/>
    <cellStyle name="Comma 4 2 3 2" xfId="5175"/>
    <cellStyle name="Comma 4 2 3 2 2" xfId="21337"/>
    <cellStyle name="Comma 4 2 4" xfId="5173"/>
    <cellStyle name="Comma 4 2 4 2" xfId="21335"/>
    <cellStyle name="Comma 4 3" xfId="877"/>
    <cellStyle name="Comma 4 3 10" xfId="8284"/>
    <cellStyle name="Comma 4 3 10 2" xfId="24437"/>
    <cellStyle name="Comma 4 3 11" xfId="8285"/>
    <cellStyle name="Comma 4 3 11 2" xfId="24438"/>
    <cellStyle name="Comma 4 3 12" xfId="8286"/>
    <cellStyle name="Comma 4 3 12 2" xfId="24439"/>
    <cellStyle name="Comma 4 3 13" xfId="8287"/>
    <cellStyle name="Comma 4 3 13 2" xfId="24440"/>
    <cellStyle name="Comma 4 3 14" xfId="8288"/>
    <cellStyle name="Comma 4 3 14 2" xfId="24441"/>
    <cellStyle name="Comma 4 3 15" xfId="8289"/>
    <cellStyle name="Comma 4 3 15 2" xfId="24442"/>
    <cellStyle name="Comma 4 3 16" xfId="8290"/>
    <cellStyle name="Comma 4 3 16 2" xfId="24443"/>
    <cellStyle name="Comma 4 3 17" xfId="8291"/>
    <cellStyle name="Comma 4 3 17 2" xfId="24444"/>
    <cellStyle name="Comma 4 3 18" xfId="4801"/>
    <cellStyle name="Comma 4 3 18 2" xfId="20963"/>
    <cellStyle name="Comma 4 3 19" xfId="19221"/>
    <cellStyle name="Comma 4 3 2" xfId="1257"/>
    <cellStyle name="Comma 4 3 2 2" xfId="5177"/>
    <cellStyle name="Comma 4 3 2 2 2" xfId="21339"/>
    <cellStyle name="Comma 4 3 2 3" xfId="19380"/>
    <cellStyle name="Comma 4 3 3" xfId="1259"/>
    <cellStyle name="Comma 4 3 3 2" xfId="5179"/>
    <cellStyle name="Comma 4 3 3 2 2" xfId="21341"/>
    <cellStyle name="Comma 4 3 3 3" xfId="19382"/>
    <cellStyle name="Comma 4 3 4" xfId="1262"/>
    <cellStyle name="Comma 4 3 4 2" xfId="5182"/>
    <cellStyle name="Comma 4 3 4 2 2" xfId="21344"/>
    <cellStyle name="Comma 4 3 4 3" xfId="19385"/>
    <cellStyle name="Comma 4 3 5" xfId="680"/>
    <cellStyle name="Comma 4 3 5 2" xfId="4608"/>
    <cellStyle name="Comma 4 3 5 2 2" xfId="20770"/>
    <cellStyle name="Comma 4 3 5 3" xfId="19152"/>
    <cellStyle name="Comma 4 3 6" xfId="1265"/>
    <cellStyle name="Comma 4 3 6 2" xfId="5185"/>
    <cellStyle name="Comma 4 3 6 2 2" xfId="21347"/>
    <cellStyle name="Comma 4 3 6 3" xfId="19388"/>
    <cellStyle name="Comma 4 3 7" xfId="1268"/>
    <cellStyle name="Comma 4 3 7 2" xfId="5188"/>
    <cellStyle name="Comma 4 3 7 2 2" xfId="21350"/>
    <cellStyle name="Comma 4 3 7 3" xfId="19391"/>
    <cellStyle name="Comma 4 3 8" xfId="1270"/>
    <cellStyle name="Comma 4 3 8 2" xfId="5190"/>
    <cellStyle name="Comma 4 3 8 2 2" xfId="21352"/>
    <cellStyle name="Comma 4 3 8 3" xfId="19393"/>
    <cellStyle name="Comma 4 3 9" xfId="8292"/>
    <cellStyle name="Comma 4 3 9 2" xfId="24445"/>
    <cellStyle name="Comma 4 4" xfId="1272"/>
    <cellStyle name="Comma 4 4 2" xfId="5192"/>
    <cellStyle name="Comma 4 4 2 2" xfId="21354"/>
    <cellStyle name="Comma 4 5" xfId="650"/>
    <cellStyle name="Comma 4 5 2" xfId="4584"/>
    <cellStyle name="Comma 4 5 2 2" xfId="20746"/>
    <cellStyle name="Comma 4 6" xfId="1274"/>
    <cellStyle name="Comma 4 6 2" xfId="8293"/>
    <cellStyle name="Comma 4 6 2 2" xfId="24446"/>
    <cellStyle name="Comma 4 6 3" xfId="5194"/>
    <cellStyle name="Comma 4 6 3 2" xfId="21356"/>
    <cellStyle name="Comma 4 7" xfId="1276"/>
    <cellStyle name="Comma 4 7 2" xfId="5196"/>
    <cellStyle name="Comma 4 7 2 2" xfId="21358"/>
    <cellStyle name="Comma 4 8" xfId="1277"/>
    <cellStyle name="Comma 4 8 2" xfId="5197"/>
    <cellStyle name="Comma 4 8 2 2" xfId="21359"/>
    <cellStyle name="Comma 4 9" xfId="1279"/>
    <cellStyle name="Comma 4 9 2" xfId="5199"/>
    <cellStyle name="Comma 4 9 2 2" xfId="21361"/>
    <cellStyle name="Comma 4_Book1" xfId="8294"/>
    <cellStyle name="Comma 5" xfId="1280"/>
    <cellStyle name="Comma 5 10" xfId="1283"/>
    <cellStyle name="Comma 5 10 10" xfId="8295"/>
    <cellStyle name="Comma 5 10 10 2" xfId="24447"/>
    <cellStyle name="Comma 5 10 11" xfId="8296"/>
    <cellStyle name="Comma 5 10 11 2" xfId="24448"/>
    <cellStyle name="Comma 5 10 12" xfId="8297"/>
    <cellStyle name="Comma 5 10 12 2" xfId="24449"/>
    <cellStyle name="Comma 5 10 13" xfId="8298"/>
    <cellStyle name="Comma 5 10 13 2" xfId="24450"/>
    <cellStyle name="Comma 5 10 14" xfId="8299"/>
    <cellStyle name="Comma 5 10 14 2" xfId="24451"/>
    <cellStyle name="Comma 5 10 15" xfId="8300"/>
    <cellStyle name="Comma 5 10 15 2" xfId="24452"/>
    <cellStyle name="Comma 5 10 16" xfId="8301"/>
    <cellStyle name="Comma 5 10 16 2" xfId="24453"/>
    <cellStyle name="Comma 5 10 17" xfId="8302"/>
    <cellStyle name="Comma 5 10 17 2" xfId="24454"/>
    <cellStyle name="Comma 5 10 18" xfId="5203"/>
    <cellStyle name="Comma 5 10 18 2" xfId="21365"/>
    <cellStyle name="Comma 5 10 19" xfId="19397"/>
    <cellStyle name="Comma 5 10 2" xfId="334"/>
    <cellStyle name="Comma 5 10 2 2" xfId="4279"/>
    <cellStyle name="Comma 5 10 2 2 2" xfId="20442"/>
    <cellStyle name="Comma 5 10 2 3" xfId="19065"/>
    <cellStyle name="Comma 5 10 3" xfId="1285"/>
    <cellStyle name="Comma 5 10 3 2" xfId="5205"/>
    <cellStyle name="Comma 5 10 3 2 2" xfId="21367"/>
    <cellStyle name="Comma 5 10 3 3" xfId="19398"/>
    <cellStyle name="Comma 5 10 4" xfId="1287"/>
    <cellStyle name="Comma 5 10 4 2" xfId="5207"/>
    <cellStyle name="Comma 5 10 4 2 2" xfId="21369"/>
    <cellStyle name="Comma 5 10 4 3" xfId="19399"/>
    <cellStyle name="Comma 5 10 5" xfId="452"/>
    <cellStyle name="Comma 5 10 5 2" xfId="4392"/>
    <cellStyle name="Comma 5 10 5 2 2" xfId="20555"/>
    <cellStyle name="Comma 5 10 5 3" xfId="19091"/>
    <cellStyle name="Comma 5 10 6" xfId="412"/>
    <cellStyle name="Comma 5 10 6 2" xfId="4353"/>
    <cellStyle name="Comma 5 10 6 2 2" xfId="20516"/>
    <cellStyle name="Comma 5 10 6 3" xfId="19081"/>
    <cellStyle name="Comma 5 10 7" xfId="1289"/>
    <cellStyle name="Comma 5 10 7 2" xfId="5209"/>
    <cellStyle name="Comma 5 10 7 2 2" xfId="21371"/>
    <cellStyle name="Comma 5 10 7 3" xfId="19400"/>
    <cellStyle name="Comma 5 10 8" xfId="1282"/>
    <cellStyle name="Comma 5 10 8 2" xfId="5202"/>
    <cellStyle name="Comma 5 10 8 2 2" xfId="21364"/>
    <cellStyle name="Comma 5 10 8 3" xfId="19396"/>
    <cellStyle name="Comma 5 10 9" xfId="8303"/>
    <cellStyle name="Comma 5 10 9 2" xfId="24455"/>
    <cellStyle name="Comma 5 11" xfId="1291"/>
    <cellStyle name="Comma 5 11 2" xfId="5211"/>
    <cellStyle name="Comma 5 11 2 2" xfId="21373"/>
    <cellStyle name="Comma 5 11 3" xfId="19401"/>
    <cellStyle name="Comma 5 12" xfId="16"/>
    <cellStyle name="Comma 5 12 2" xfId="3977"/>
    <cellStyle name="Comma 5 12 2 2" xfId="20140"/>
    <cellStyle name="Comma 5 12 3" xfId="18970"/>
    <cellStyle name="Comma 5 13" xfId="816"/>
    <cellStyle name="Comma 5 13 2" xfId="4742"/>
    <cellStyle name="Comma 5 13 2 2" xfId="20904"/>
    <cellStyle name="Comma 5 13 3" xfId="19191"/>
    <cellStyle name="Comma 5 14" xfId="819"/>
    <cellStyle name="Comma 5 14 2" xfId="4745"/>
    <cellStyle name="Comma 5 14 2 2" xfId="20907"/>
    <cellStyle name="Comma 5 14 3" xfId="19193"/>
    <cellStyle name="Comma 5 15" xfId="822"/>
    <cellStyle name="Comma 5 15 2" xfId="4748"/>
    <cellStyle name="Comma 5 15 2 2" xfId="20910"/>
    <cellStyle name="Comma 5 15 3" xfId="19195"/>
    <cellStyle name="Comma 5 16" xfId="825"/>
    <cellStyle name="Comma 5 16 2" xfId="4751"/>
    <cellStyle name="Comma 5 16 2 2" xfId="20913"/>
    <cellStyle name="Comma 5 16 3" xfId="19197"/>
    <cellStyle name="Comma 5 17" xfId="828"/>
    <cellStyle name="Comma 5 17 2" xfId="4754"/>
    <cellStyle name="Comma 5 17 2 2" xfId="20916"/>
    <cellStyle name="Comma 5 17 3" xfId="19199"/>
    <cellStyle name="Comma 5 18" xfId="8304"/>
    <cellStyle name="Comma 5 18 2" xfId="24456"/>
    <cellStyle name="Comma 5 19" xfId="8305"/>
    <cellStyle name="Comma 5 19 2" xfId="24457"/>
    <cellStyle name="Comma 5 2" xfId="1294"/>
    <cellStyle name="Comma 5 2 10" xfId="8306"/>
    <cellStyle name="Comma 5 2 10 2" xfId="24458"/>
    <cellStyle name="Comma 5 2 11" xfId="8307"/>
    <cellStyle name="Comma 5 2 11 2" xfId="24459"/>
    <cellStyle name="Comma 5 2 12" xfId="8308"/>
    <cellStyle name="Comma 5 2 12 2" xfId="24460"/>
    <cellStyle name="Comma 5 2 13" xfId="8309"/>
    <cellStyle name="Comma 5 2 13 2" xfId="24461"/>
    <cellStyle name="Comma 5 2 14" xfId="8310"/>
    <cellStyle name="Comma 5 2 14 2" xfId="24462"/>
    <cellStyle name="Comma 5 2 15" xfId="8311"/>
    <cellStyle name="Comma 5 2 15 2" xfId="24463"/>
    <cellStyle name="Comma 5 2 16" xfId="8312"/>
    <cellStyle name="Comma 5 2 16 2" xfId="24464"/>
    <cellStyle name="Comma 5 2 17" xfId="8313"/>
    <cellStyle name="Comma 5 2 17 2" xfId="24465"/>
    <cellStyle name="Comma 5 2 18" xfId="5214"/>
    <cellStyle name="Comma 5 2 18 2" xfId="21376"/>
    <cellStyle name="Comma 5 2 19" xfId="19404"/>
    <cellStyle name="Comma 5 2 2" xfId="63"/>
    <cellStyle name="Comma 5 2 2 2" xfId="4015"/>
    <cellStyle name="Comma 5 2 2 2 2" xfId="20178"/>
    <cellStyle name="Comma 5 2 2 3" xfId="18978"/>
    <cellStyle name="Comma 5 2 3" xfId="57"/>
    <cellStyle name="Comma 5 2 3 2" xfId="4009"/>
    <cellStyle name="Comma 5 2 3 2 2" xfId="20172"/>
    <cellStyle name="Comma 5 2 3 3" xfId="18975"/>
    <cellStyle name="Comma 5 2 4" xfId="207"/>
    <cellStyle name="Comma 5 2 4 2" xfId="4132"/>
    <cellStyle name="Comma 5 2 4 2 2" xfId="20295"/>
    <cellStyle name="Comma 5 2 4 3" xfId="19025"/>
    <cellStyle name="Comma 5 2 5" xfId="213"/>
    <cellStyle name="Comma 5 2 5 2" xfId="4138"/>
    <cellStyle name="Comma 5 2 5 2 2" xfId="20301"/>
    <cellStyle name="Comma 5 2 5 3" xfId="19029"/>
    <cellStyle name="Comma 5 2 6" xfId="221"/>
    <cellStyle name="Comma 5 2 6 2" xfId="4146"/>
    <cellStyle name="Comma 5 2 6 2 2" xfId="20309"/>
    <cellStyle name="Comma 5 2 6 3" xfId="19032"/>
    <cellStyle name="Comma 5 2 7" xfId="1296"/>
    <cellStyle name="Comma 5 2 7 2" xfId="5216"/>
    <cellStyle name="Comma 5 2 7 2 2" xfId="21378"/>
    <cellStyle name="Comma 5 2 7 3" xfId="19405"/>
    <cellStyle name="Comma 5 2 8" xfId="1298"/>
    <cellStyle name="Comma 5 2 8 2" xfId="5218"/>
    <cellStyle name="Comma 5 2 8 2 2" xfId="21380"/>
    <cellStyle name="Comma 5 2 8 3" xfId="19407"/>
    <cellStyle name="Comma 5 2 9" xfId="8314"/>
    <cellStyle name="Comma 5 2 9 2" xfId="24466"/>
    <cellStyle name="Comma 5 20" xfId="8315"/>
    <cellStyle name="Comma 5 20 2" xfId="24467"/>
    <cellStyle name="Comma 5 21" xfId="8316"/>
    <cellStyle name="Comma 5 21 2" xfId="24468"/>
    <cellStyle name="Comma 5 22" xfId="8317"/>
    <cellStyle name="Comma 5 22 2" xfId="24469"/>
    <cellStyle name="Comma 5 23" xfId="8318"/>
    <cellStyle name="Comma 5 23 2" xfId="24470"/>
    <cellStyle name="Comma 5 24" xfId="8319"/>
    <cellStyle name="Comma 5 24 2" xfId="24471"/>
    <cellStyle name="Comma 5 25" xfId="8320"/>
    <cellStyle name="Comma 5 25 2" xfId="24472"/>
    <cellStyle name="Comma 5 26" xfId="8321"/>
    <cellStyle name="Comma 5 26 2" xfId="24473"/>
    <cellStyle name="Comma 5 27" xfId="5200"/>
    <cellStyle name="Comma 5 27 2" xfId="21362"/>
    <cellStyle name="Comma 5 28" xfId="19395"/>
    <cellStyle name="Comma 5 3" xfId="1301"/>
    <cellStyle name="Comma 5 3 10" xfId="8322"/>
    <cellStyle name="Comma 5 3 10 2" xfId="24474"/>
    <cellStyle name="Comma 5 3 11" xfId="8323"/>
    <cellStyle name="Comma 5 3 11 2" xfId="24475"/>
    <cellStyle name="Comma 5 3 12" xfId="8324"/>
    <cellStyle name="Comma 5 3 12 2" xfId="24476"/>
    <cellStyle name="Comma 5 3 13" xfId="8325"/>
    <cellStyle name="Comma 5 3 13 2" xfId="24477"/>
    <cellStyle name="Comma 5 3 14" xfId="8326"/>
    <cellStyle name="Comma 5 3 14 2" xfId="24478"/>
    <cellStyle name="Comma 5 3 15" xfId="8327"/>
    <cellStyle name="Comma 5 3 15 2" xfId="24479"/>
    <cellStyle name="Comma 5 3 16" xfId="8328"/>
    <cellStyle name="Comma 5 3 16 2" xfId="24480"/>
    <cellStyle name="Comma 5 3 17" xfId="8329"/>
    <cellStyle name="Comma 5 3 17 2" xfId="24481"/>
    <cellStyle name="Comma 5 3 18" xfId="5221"/>
    <cellStyle name="Comma 5 3 18 2" xfId="21383"/>
    <cellStyle name="Comma 5 3 19" xfId="19410"/>
    <cellStyle name="Comma 5 3 2" xfId="1304"/>
    <cellStyle name="Comma 5 3 2 2" xfId="5224"/>
    <cellStyle name="Comma 5 3 2 2 2" xfId="21386"/>
    <cellStyle name="Comma 5 3 2 3" xfId="19412"/>
    <cellStyle name="Comma 5 3 3" xfId="1306"/>
    <cellStyle name="Comma 5 3 3 2" xfId="5226"/>
    <cellStyle name="Comma 5 3 3 2 2" xfId="21388"/>
    <cellStyle name="Comma 5 3 3 3" xfId="19414"/>
    <cellStyle name="Comma 5 3 4" xfId="1309"/>
    <cellStyle name="Comma 5 3 4 2" xfId="5229"/>
    <cellStyle name="Comma 5 3 4 2 2" xfId="21391"/>
    <cellStyle name="Comma 5 3 4 3" xfId="19417"/>
    <cellStyle name="Comma 5 3 5" xfId="1312"/>
    <cellStyle name="Comma 5 3 5 2" xfId="5232"/>
    <cellStyle name="Comma 5 3 5 2 2" xfId="21394"/>
    <cellStyle name="Comma 5 3 5 3" xfId="19420"/>
    <cellStyle name="Comma 5 3 6" xfId="1314"/>
    <cellStyle name="Comma 5 3 6 2" xfId="5234"/>
    <cellStyle name="Comma 5 3 6 2 2" xfId="21396"/>
    <cellStyle name="Comma 5 3 6 3" xfId="19422"/>
    <cellStyle name="Comma 5 3 7" xfId="1316"/>
    <cellStyle name="Comma 5 3 7 2" xfId="5236"/>
    <cellStyle name="Comma 5 3 7 2 2" xfId="21398"/>
    <cellStyle name="Comma 5 3 7 3" xfId="19424"/>
    <cellStyle name="Comma 5 3 8" xfId="1319"/>
    <cellStyle name="Comma 5 3 8 2" xfId="5239"/>
    <cellStyle name="Comma 5 3 8 2 2" xfId="21401"/>
    <cellStyle name="Comma 5 3 8 3" xfId="19427"/>
    <cellStyle name="Comma 5 3 9" xfId="8330"/>
    <cellStyle name="Comma 5 3 9 2" xfId="24482"/>
    <cellStyle name="Comma 5 4" xfId="1322"/>
    <cellStyle name="Comma 5 4 10" xfId="8331"/>
    <cellStyle name="Comma 5 4 10 2" xfId="24483"/>
    <cellStyle name="Comma 5 4 11" xfId="8332"/>
    <cellStyle name="Comma 5 4 11 2" xfId="24484"/>
    <cellStyle name="Comma 5 4 12" xfId="8333"/>
    <cellStyle name="Comma 5 4 12 2" xfId="24485"/>
    <cellStyle name="Comma 5 4 13" xfId="8334"/>
    <cellStyle name="Comma 5 4 13 2" xfId="24486"/>
    <cellStyle name="Comma 5 4 14" xfId="8335"/>
    <cellStyle name="Comma 5 4 14 2" xfId="24487"/>
    <cellStyle name="Comma 5 4 15" xfId="8336"/>
    <cellStyle name="Comma 5 4 15 2" xfId="24488"/>
    <cellStyle name="Comma 5 4 16" xfId="8337"/>
    <cellStyle name="Comma 5 4 16 2" xfId="24489"/>
    <cellStyle name="Comma 5 4 17" xfId="8338"/>
    <cellStyle name="Comma 5 4 17 2" xfId="24490"/>
    <cellStyle name="Comma 5 4 18" xfId="5242"/>
    <cellStyle name="Comma 5 4 18 2" xfId="21404"/>
    <cellStyle name="Comma 5 4 19" xfId="19430"/>
    <cellStyle name="Comma 5 4 2" xfId="1327"/>
    <cellStyle name="Comma 5 4 2 2" xfId="5246"/>
    <cellStyle name="Comma 5 4 2 2 2" xfId="21408"/>
    <cellStyle name="Comma 5 4 2 3" xfId="19432"/>
    <cellStyle name="Comma 5 4 3" xfId="1330"/>
    <cellStyle name="Comma 5 4 3 2" xfId="5249"/>
    <cellStyle name="Comma 5 4 3 2 2" xfId="21411"/>
    <cellStyle name="Comma 5 4 3 3" xfId="19433"/>
    <cellStyle name="Comma 5 4 4" xfId="1334"/>
    <cellStyle name="Comma 5 4 4 2" xfId="5253"/>
    <cellStyle name="Comma 5 4 4 2 2" xfId="21415"/>
    <cellStyle name="Comma 5 4 4 3" xfId="19435"/>
    <cellStyle name="Comma 5 4 5" xfId="1339"/>
    <cellStyle name="Comma 5 4 5 2" xfId="5257"/>
    <cellStyle name="Comma 5 4 5 2 2" xfId="21419"/>
    <cellStyle name="Comma 5 4 5 3" xfId="19437"/>
    <cellStyle name="Comma 5 4 6" xfId="1342"/>
    <cellStyle name="Comma 5 4 6 2" xfId="5260"/>
    <cellStyle name="Comma 5 4 6 2 2" xfId="21422"/>
    <cellStyle name="Comma 5 4 6 3" xfId="19438"/>
    <cellStyle name="Comma 5 4 7" xfId="231"/>
    <cellStyle name="Comma 5 4 7 2" xfId="4179"/>
    <cellStyle name="Comma 5 4 7 2 2" xfId="20342"/>
    <cellStyle name="Comma 5 4 7 3" xfId="19034"/>
    <cellStyle name="Comma 5 4 8" xfId="234"/>
    <cellStyle name="Comma 5 4 8 2" xfId="4187"/>
    <cellStyle name="Comma 5 4 8 2 2" xfId="20350"/>
    <cellStyle name="Comma 5 4 8 3" xfId="19036"/>
    <cellStyle name="Comma 5 4 9" xfId="8339"/>
    <cellStyle name="Comma 5 4 9 2" xfId="24491"/>
    <cellStyle name="Comma 5 5" xfId="1343"/>
    <cellStyle name="Comma 5 5 10" xfId="8340"/>
    <cellStyle name="Comma 5 5 10 2" xfId="24492"/>
    <cellStyle name="Comma 5 5 11" xfId="8341"/>
    <cellStyle name="Comma 5 5 11 2" xfId="24493"/>
    <cellStyle name="Comma 5 5 12" xfId="8342"/>
    <cellStyle name="Comma 5 5 12 2" xfId="24494"/>
    <cellStyle name="Comma 5 5 13" xfId="8343"/>
    <cellStyle name="Comma 5 5 13 2" xfId="24495"/>
    <cellStyle name="Comma 5 5 14" xfId="8344"/>
    <cellStyle name="Comma 5 5 14 2" xfId="24496"/>
    <cellStyle name="Comma 5 5 15" xfId="8345"/>
    <cellStyle name="Comma 5 5 15 2" xfId="24497"/>
    <cellStyle name="Comma 5 5 16" xfId="8346"/>
    <cellStyle name="Comma 5 5 16 2" xfId="24498"/>
    <cellStyle name="Comma 5 5 17" xfId="8347"/>
    <cellStyle name="Comma 5 5 17 2" xfId="24499"/>
    <cellStyle name="Comma 5 5 18" xfId="5262"/>
    <cellStyle name="Comma 5 5 18 2" xfId="21424"/>
    <cellStyle name="Comma 5 5 19" xfId="19439"/>
    <cellStyle name="Comma 5 5 2" xfId="1348"/>
    <cellStyle name="Comma 5 5 2 2" xfId="5266"/>
    <cellStyle name="Comma 5 5 2 2 2" xfId="21428"/>
    <cellStyle name="Comma 5 5 2 3" xfId="19441"/>
    <cellStyle name="Comma 5 5 3" xfId="1351"/>
    <cellStyle name="Comma 5 5 3 2" xfId="5269"/>
    <cellStyle name="Comma 5 5 3 2 2" xfId="21431"/>
    <cellStyle name="Comma 5 5 3 3" xfId="19442"/>
    <cellStyle name="Comma 5 5 4" xfId="1354"/>
    <cellStyle name="Comma 5 5 4 2" xfId="5272"/>
    <cellStyle name="Comma 5 5 4 2 2" xfId="21434"/>
    <cellStyle name="Comma 5 5 4 3" xfId="19443"/>
    <cellStyle name="Comma 5 5 5" xfId="1359"/>
    <cellStyle name="Comma 5 5 5 2" xfId="5277"/>
    <cellStyle name="Comma 5 5 5 2 2" xfId="21439"/>
    <cellStyle name="Comma 5 5 5 3" xfId="19445"/>
    <cellStyle name="Comma 5 5 6" xfId="1364"/>
    <cellStyle name="Comma 5 5 6 2" xfId="5281"/>
    <cellStyle name="Comma 5 5 6 2 2" xfId="21443"/>
    <cellStyle name="Comma 5 5 6 3" xfId="19446"/>
    <cellStyle name="Comma 5 5 7" xfId="243"/>
    <cellStyle name="Comma 5 5 7 2" xfId="4191"/>
    <cellStyle name="Comma 5 5 7 2 2" xfId="20354"/>
    <cellStyle name="Comma 5 5 7 3" xfId="19039"/>
    <cellStyle name="Comma 5 5 8" xfId="141"/>
    <cellStyle name="Comma 5 5 8 2" xfId="4164"/>
    <cellStyle name="Comma 5 5 8 2 2" xfId="20327"/>
    <cellStyle name="Comma 5 5 8 3" xfId="19000"/>
    <cellStyle name="Comma 5 5 9" xfId="8348"/>
    <cellStyle name="Comma 5 5 9 2" xfId="24500"/>
    <cellStyle name="Comma 5 6" xfId="1366"/>
    <cellStyle name="Comma 5 6 10" xfId="8349"/>
    <cellStyle name="Comma 5 6 10 2" xfId="24501"/>
    <cellStyle name="Comma 5 6 11" xfId="8350"/>
    <cellStyle name="Comma 5 6 11 2" xfId="24502"/>
    <cellStyle name="Comma 5 6 12" xfId="8351"/>
    <cellStyle name="Comma 5 6 12 2" xfId="24503"/>
    <cellStyle name="Comma 5 6 13" xfId="8352"/>
    <cellStyle name="Comma 5 6 13 2" xfId="24504"/>
    <cellStyle name="Comma 5 6 14" xfId="8353"/>
    <cellStyle name="Comma 5 6 14 2" xfId="24505"/>
    <cellStyle name="Comma 5 6 15" xfId="8354"/>
    <cellStyle name="Comma 5 6 15 2" xfId="24506"/>
    <cellStyle name="Comma 5 6 16" xfId="8355"/>
    <cellStyle name="Comma 5 6 16 2" xfId="24507"/>
    <cellStyle name="Comma 5 6 17" xfId="8356"/>
    <cellStyle name="Comma 5 6 17 2" xfId="24508"/>
    <cellStyle name="Comma 5 6 18" xfId="5284"/>
    <cellStyle name="Comma 5 6 18 2" xfId="21446"/>
    <cellStyle name="Comma 5 6 19" xfId="19447"/>
    <cellStyle name="Comma 5 6 2" xfId="1371"/>
    <cellStyle name="Comma 5 6 2 2" xfId="5288"/>
    <cellStyle name="Comma 5 6 2 2 2" xfId="21450"/>
    <cellStyle name="Comma 5 6 2 3" xfId="19448"/>
    <cellStyle name="Comma 5 6 3" xfId="1375"/>
    <cellStyle name="Comma 5 6 3 2" xfId="5292"/>
    <cellStyle name="Comma 5 6 3 2 2" xfId="21454"/>
    <cellStyle name="Comma 5 6 3 3" xfId="19449"/>
    <cellStyle name="Comma 5 6 4" xfId="533"/>
    <cellStyle name="Comma 5 6 4 2" xfId="4465"/>
    <cellStyle name="Comma 5 6 4 2 2" xfId="20628"/>
    <cellStyle name="Comma 5 6 4 3" xfId="19103"/>
    <cellStyle name="Comma 5 6 5" xfId="74"/>
    <cellStyle name="Comma 5 6 5 2" xfId="4026"/>
    <cellStyle name="Comma 5 6 5 2 2" xfId="20189"/>
    <cellStyle name="Comma 5 6 5 3" xfId="18981"/>
    <cellStyle name="Comma 5 6 6" xfId="51"/>
    <cellStyle name="Comma 5 6 6 2" xfId="4000"/>
    <cellStyle name="Comma 5 6 6 2 2" xfId="20163"/>
    <cellStyle name="Comma 5 6 6 3" xfId="18974"/>
    <cellStyle name="Comma 5 6 7" xfId="80"/>
    <cellStyle name="Comma 5 6 7 2" xfId="4032"/>
    <cellStyle name="Comma 5 6 7 2 2" xfId="20195"/>
    <cellStyle name="Comma 5 6 7 3" xfId="18983"/>
    <cellStyle name="Comma 5 6 8" xfId="88"/>
    <cellStyle name="Comma 5 6 8 2" xfId="4039"/>
    <cellStyle name="Comma 5 6 8 2 2" xfId="20202"/>
    <cellStyle name="Comma 5 6 8 3" xfId="18985"/>
    <cellStyle name="Comma 5 6 9" xfId="8357"/>
    <cellStyle name="Comma 5 6 9 2" xfId="24509"/>
    <cellStyle name="Comma 5 7" xfId="1376"/>
    <cellStyle name="Comma 5 7 10" xfId="8358"/>
    <cellStyle name="Comma 5 7 10 2" xfId="24510"/>
    <cellStyle name="Comma 5 7 11" xfId="8359"/>
    <cellStyle name="Comma 5 7 11 2" xfId="24511"/>
    <cellStyle name="Comma 5 7 12" xfId="8360"/>
    <cellStyle name="Comma 5 7 12 2" xfId="24512"/>
    <cellStyle name="Comma 5 7 13" xfId="8361"/>
    <cellStyle name="Comma 5 7 13 2" xfId="24513"/>
    <cellStyle name="Comma 5 7 14" xfId="8362"/>
    <cellStyle name="Comma 5 7 14 2" xfId="24514"/>
    <cellStyle name="Comma 5 7 15" xfId="8363"/>
    <cellStyle name="Comma 5 7 15 2" xfId="24515"/>
    <cellStyle name="Comma 5 7 16" xfId="8364"/>
    <cellStyle name="Comma 5 7 16 2" xfId="24516"/>
    <cellStyle name="Comma 5 7 17" xfId="8365"/>
    <cellStyle name="Comma 5 7 17 2" xfId="24517"/>
    <cellStyle name="Comma 5 7 18" xfId="5294"/>
    <cellStyle name="Comma 5 7 18 2" xfId="21456"/>
    <cellStyle name="Comma 5 7 19" xfId="19450"/>
    <cellStyle name="Comma 5 7 2" xfId="1378"/>
    <cellStyle name="Comma 5 7 2 2" xfId="5296"/>
    <cellStyle name="Comma 5 7 2 2 2" xfId="21458"/>
    <cellStyle name="Comma 5 7 2 3" xfId="19451"/>
    <cellStyle name="Comma 5 7 3" xfId="1380"/>
    <cellStyle name="Comma 5 7 3 2" xfId="5298"/>
    <cellStyle name="Comma 5 7 3 2 2" xfId="21460"/>
    <cellStyle name="Comma 5 7 3 3" xfId="19452"/>
    <cellStyle name="Comma 5 7 4" xfId="755"/>
    <cellStyle name="Comma 5 7 4 2" xfId="4683"/>
    <cellStyle name="Comma 5 7 4 2 2" xfId="20845"/>
    <cellStyle name="Comma 5 7 4 3" xfId="19179"/>
    <cellStyle name="Comma 5 7 5" xfId="66"/>
    <cellStyle name="Comma 5 7 5 2" xfId="4017"/>
    <cellStyle name="Comma 5 7 5 2 2" xfId="20180"/>
    <cellStyle name="Comma 5 7 5 3" xfId="18980"/>
    <cellStyle name="Comma 5 7 6" xfId="1383"/>
    <cellStyle name="Comma 5 7 6 2" xfId="5300"/>
    <cellStyle name="Comma 5 7 6 2 2" xfId="21462"/>
    <cellStyle name="Comma 5 7 6 3" xfId="19454"/>
    <cellStyle name="Comma 5 7 7" xfId="249"/>
    <cellStyle name="Comma 5 7 7 2" xfId="4201"/>
    <cellStyle name="Comma 5 7 7 2 2" xfId="20364"/>
    <cellStyle name="Comma 5 7 7 3" xfId="19040"/>
    <cellStyle name="Comma 5 7 8" xfId="264"/>
    <cellStyle name="Comma 5 7 8 2" xfId="4210"/>
    <cellStyle name="Comma 5 7 8 2 2" xfId="20373"/>
    <cellStyle name="Comma 5 7 8 3" xfId="19047"/>
    <cellStyle name="Comma 5 7 9" xfId="8366"/>
    <cellStyle name="Comma 5 7 9 2" xfId="24518"/>
    <cellStyle name="Comma 5 8" xfId="897"/>
    <cellStyle name="Comma 5 8 10" xfId="8367"/>
    <cellStyle name="Comma 5 8 10 2" xfId="24519"/>
    <cellStyle name="Comma 5 8 11" xfId="8368"/>
    <cellStyle name="Comma 5 8 11 2" xfId="24520"/>
    <cellStyle name="Comma 5 8 12" xfId="8369"/>
    <cellStyle name="Comma 5 8 12 2" xfId="24521"/>
    <cellStyle name="Comma 5 8 13" xfId="8370"/>
    <cellStyle name="Comma 5 8 13 2" xfId="24522"/>
    <cellStyle name="Comma 5 8 14" xfId="8371"/>
    <cellStyle name="Comma 5 8 14 2" xfId="24523"/>
    <cellStyle name="Comma 5 8 15" xfId="8372"/>
    <cellStyle name="Comma 5 8 15 2" xfId="24524"/>
    <cellStyle name="Comma 5 8 16" xfId="8373"/>
    <cellStyle name="Comma 5 8 16 2" xfId="24525"/>
    <cellStyle name="Comma 5 8 17" xfId="8374"/>
    <cellStyle name="Comma 5 8 17 2" xfId="24526"/>
    <cellStyle name="Comma 5 8 18" xfId="4820"/>
    <cellStyle name="Comma 5 8 18 2" xfId="20982"/>
    <cellStyle name="Comma 5 8 19" xfId="19226"/>
    <cellStyle name="Comma 5 8 2" xfId="1386"/>
    <cellStyle name="Comma 5 8 2 2" xfId="5306"/>
    <cellStyle name="Comma 5 8 2 2 2" xfId="21468"/>
    <cellStyle name="Comma 5 8 2 3" xfId="19456"/>
    <cellStyle name="Comma 5 8 3" xfId="1390"/>
    <cellStyle name="Comma 5 8 3 2" xfId="5310"/>
    <cellStyle name="Comma 5 8 3 2 2" xfId="21472"/>
    <cellStyle name="Comma 5 8 3 3" xfId="19458"/>
    <cellStyle name="Comma 5 8 4" xfId="23"/>
    <cellStyle name="Comma 5 8 4 2" xfId="3986"/>
    <cellStyle name="Comma 5 8 4 2 2" xfId="20149"/>
    <cellStyle name="Comma 5 8 4 3" xfId="18971"/>
    <cellStyle name="Comma 5 8 5" xfId="1395"/>
    <cellStyle name="Comma 5 8 5 2" xfId="5312"/>
    <cellStyle name="Comma 5 8 5 2 2" xfId="21474"/>
    <cellStyle name="Comma 5 8 5 3" xfId="19460"/>
    <cellStyle name="Comma 5 8 6" xfId="1398"/>
    <cellStyle name="Comma 5 8 6 2" xfId="5315"/>
    <cellStyle name="Comma 5 8 6 2 2" xfId="21477"/>
    <cellStyle name="Comma 5 8 6 3" xfId="19461"/>
    <cellStyle name="Comma 5 8 7" xfId="269"/>
    <cellStyle name="Comma 5 8 7 2" xfId="4216"/>
    <cellStyle name="Comma 5 8 7 2 2" xfId="20379"/>
    <cellStyle name="Comma 5 8 7 3" xfId="19048"/>
    <cellStyle name="Comma 5 8 8" xfId="287"/>
    <cellStyle name="Comma 5 8 8 2" xfId="4233"/>
    <cellStyle name="Comma 5 8 8 2 2" xfId="20396"/>
    <cellStyle name="Comma 5 8 8 3" xfId="19053"/>
    <cellStyle name="Comma 5 8 9" xfId="8375"/>
    <cellStyle name="Comma 5 8 9 2" xfId="24527"/>
    <cellStyle name="Comma 5 9" xfId="1399"/>
    <cellStyle name="Comma 5 9 10" xfId="8376"/>
    <cellStyle name="Comma 5 9 10 2" xfId="24528"/>
    <cellStyle name="Comma 5 9 11" xfId="8377"/>
    <cellStyle name="Comma 5 9 11 2" xfId="24529"/>
    <cellStyle name="Comma 5 9 12" xfId="8378"/>
    <cellStyle name="Comma 5 9 12 2" xfId="24530"/>
    <cellStyle name="Comma 5 9 13" xfId="8379"/>
    <cellStyle name="Comma 5 9 13 2" xfId="24531"/>
    <cellStyle name="Comma 5 9 14" xfId="8380"/>
    <cellStyle name="Comma 5 9 14 2" xfId="24532"/>
    <cellStyle name="Comma 5 9 15" xfId="8381"/>
    <cellStyle name="Comma 5 9 15 2" xfId="24533"/>
    <cellStyle name="Comma 5 9 16" xfId="8382"/>
    <cellStyle name="Comma 5 9 16 2" xfId="24534"/>
    <cellStyle name="Comma 5 9 17" xfId="8383"/>
    <cellStyle name="Comma 5 9 17 2" xfId="24535"/>
    <cellStyle name="Comma 5 9 18" xfId="5317"/>
    <cellStyle name="Comma 5 9 18 2" xfId="21479"/>
    <cellStyle name="Comma 5 9 19" xfId="19462"/>
    <cellStyle name="Comma 5 9 2" xfId="1012"/>
    <cellStyle name="Comma 5 9 2 2" xfId="4931"/>
    <cellStyle name="Comma 5 9 2 2 2" xfId="21093"/>
    <cellStyle name="Comma 5 9 2 3" xfId="19279"/>
    <cellStyle name="Comma 5 9 3" xfId="1016"/>
    <cellStyle name="Comma 5 9 3 2" xfId="4935"/>
    <cellStyle name="Comma 5 9 3 2 2" xfId="21097"/>
    <cellStyle name="Comma 5 9 3 3" xfId="19282"/>
    <cellStyle name="Comma 5 9 4" xfId="1019"/>
    <cellStyle name="Comma 5 9 4 2" xfId="4939"/>
    <cellStyle name="Comma 5 9 4 2 2" xfId="21101"/>
    <cellStyle name="Comma 5 9 4 3" xfId="19284"/>
    <cellStyle name="Comma 5 9 5" xfId="941"/>
    <cellStyle name="Comma 5 9 5 2" xfId="4862"/>
    <cellStyle name="Comma 5 9 5 2 2" xfId="21024"/>
    <cellStyle name="Comma 5 9 5 3" xfId="19241"/>
    <cellStyle name="Comma 5 9 6" xfId="966"/>
    <cellStyle name="Comma 5 9 6 2" xfId="4887"/>
    <cellStyle name="Comma 5 9 6 2 2" xfId="21049"/>
    <cellStyle name="Comma 5 9 6 3" xfId="19255"/>
    <cellStyle name="Comma 5 9 7" xfId="294"/>
    <cellStyle name="Comma 5 9 7 2" xfId="4244"/>
    <cellStyle name="Comma 5 9 7 2 2" xfId="20407"/>
    <cellStyle name="Comma 5 9 7 3" xfId="19055"/>
    <cellStyle name="Comma 5 9 8" xfId="137"/>
    <cellStyle name="Comma 5 9 8 2" xfId="4071"/>
    <cellStyle name="Comma 5 9 8 2 2" xfId="20234"/>
    <cellStyle name="Comma 5 9 8 3" xfId="18998"/>
    <cellStyle name="Comma 5 9 9" xfId="8384"/>
    <cellStyle name="Comma 5 9 9 2" xfId="24536"/>
    <cellStyle name="Comma 5_Choppadandi-Thogurumamidikunta (Choppadandi)" xfId="1338"/>
    <cellStyle name="Comma 6" xfId="1400"/>
    <cellStyle name="Comma 6 10" xfId="224"/>
    <cellStyle name="Comma 6 10 10" xfId="8385"/>
    <cellStyle name="Comma 6 10 10 2" xfId="24537"/>
    <cellStyle name="Comma 6 10 11" xfId="8386"/>
    <cellStyle name="Comma 6 10 11 2" xfId="24538"/>
    <cellStyle name="Comma 6 10 12" xfId="8387"/>
    <cellStyle name="Comma 6 10 12 2" xfId="24539"/>
    <cellStyle name="Comma 6 10 13" xfId="8388"/>
    <cellStyle name="Comma 6 10 13 2" xfId="24540"/>
    <cellStyle name="Comma 6 10 14" xfId="8389"/>
    <cellStyle name="Comma 6 10 14 2" xfId="24541"/>
    <cellStyle name="Comma 6 10 15" xfId="8390"/>
    <cellStyle name="Comma 6 10 15 2" xfId="24542"/>
    <cellStyle name="Comma 6 10 16" xfId="8391"/>
    <cellStyle name="Comma 6 10 16 2" xfId="24543"/>
    <cellStyle name="Comma 6 10 17" xfId="8392"/>
    <cellStyle name="Comma 6 10 17 2" xfId="24544"/>
    <cellStyle name="Comma 6 10 18" xfId="4149"/>
    <cellStyle name="Comma 6 10 18 2" xfId="20312"/>
    <cellStyle name="Comma 6 10 19" xfId="19033"/>
    <cellStyle name="Comma 6 10 2" xfId="477"/>
    <cellStyle name="Comma 6 10 2 2" xfId="4413"/>
    <cellStyle name="Comma 6 10 2 2 2" xfId="20576"/>
    <cellStyle name="Comma 6 10 2 3" xfId="19094"/>
    <cellStyle name="Comma 6 10 3" xfId="491"/>
    <cellStyle name="Comma 6 10 3 2" xfId="4427"/>
    <cellStyle name="Comma 6 10 3 2 2" xfId="20590"/>
    <cellStyle name="Comma 6 10 3 3" xfId="19096"/>
    <cellStyle name="Comma 6 10 4" xfId="1403"/>
    <cellStyle name="Comma 6 10 4 2" xfId="5321"/>
    <cellStyle name="Comma 6 10 4 2 2" xfId="21483"/>
    <cellStyle name="Comma 6 10 4 3" xfId="19464"/>
    <cellStyle name="Comma 6 10 5" xfId="1407"/>
    <cellStyle name="Comma 6 10 5 2" xfId="5325"/>
    <cellStyle name="Comma 6 10 5 2 2" xfId="21487"/>
    <cellStyle name="Comma 6 10 5 3" xfId="19465"/>
    <cellStyle name="Comma 6 10 6" xfId="1411"/>
    <cellStyle name="Comma 6 10 6 2" xfId="5329"/>
    <cellStyle name="Comma 6 10 6 2 2" xfId="21491"/>
    <cellStyle name="Comma 6 10 6 3" xfId="19466"/>
    <cellStyle name="Comma 6 10 7" xfId="853"/>
    <cellStyle name="Comma 6 10 7 2" xfId="4779"/>
    <cellStyle name="Comma 6 10 7 2 2" xfId="20941"/>
    <cellStyle name="Comma 6 10 7 3" xfId="19207"/>
    <cellStyle name="Comma 6 10 8" xfId="857"/>
    <cellStyle name="Comma 6 10 8 2" xfId="4783"/>
    <cellStyle name="Comma 6 10 8 2 2" xfId="20945"/>
    <cellStyle name="Comma 6 10 8 3" xfId="19209"/>
    <cellStyle name="Comma 6 10 9" xfId="8393"/>
    <cellStyle name="Comma 6 10 9 2" xfId="24545"/>
    <cellStyle name="Comma 6 11" xfId="576"/>
    <cellStyle name="Comma 6 11 2" xfId="4507"/>
    <cellStyle name="Comma 6 11 2 2" xfId="20670"/>
    <cellStyle name="Comma 6 11 3" xfId="19115"/>
    <cellStyle name="Comma 6 12" xfId="1414"/>
    <cellStyle name="Comma 6 12 2" xfId="5332"/>
    <cellStyle name="Comma 6 12 2 2" xfId="21494"/>
    <cellStyle name="Comma 6 12 3" xfId="19467"/>
    <cellStyle name="Comma 6 13" xfId="1416"/>
    <cellStyle name="Comma 6 13 2" xfId="5334"/>
    <cellStyle name="Comma 6 13 2 2" xfId="21496"/>
    <cellStyle name="Comma 6 13 3" xfId="19468"/>
    <cellStyle name="Comma 6 14" xfId="1418"/>
    <cellStyle name="Comma 6 14 2" xfId="5336"/>
    <cellStyle name="Comma 6 14 2 2" xfId="21498"/>
    <cellStyle name="Comma 6 14 3" xfId="19469"/>
    <cellStyle name="Comma 6 15" xfId="1420"/>
    <cellStyle name="Comma 6 15 2" xfId="5338"/>
    <cellStyle name="Comma 6 15 2 2" xfId="21500"/>
    <cellStyle name="Comma 6 15 3" xfId="19470"/>
    <cellStyle name="Comma 6 16" xfId="1422"/>
    <cellStyle name="Comma 6 16 2" xfId="5340"/>
    <cellStyle name="Comma 6 16 2 2" xfId="21502"/>
    <cellStyle name="Comma 6 16 3" xfId="19471"/>
    <cellStyle name="Comma 6 17" xfId="998"/>
    <cellStyle name="Comma 6 17 2" xfId="4918"/>
    <cellStyle name="Comma 6 17 2 2" xfId="21080"/>
    <cellStyle name="Comma 6 17 3" xfId="19270"/>
    <cellStyle name="Comma 6 18" xfId="8394"/>
    <cellStyle name="Comma 6 18 2" xfId="24546"/>
    <cellStyle name="Comma 6 19" xfId="8395"/>
    <cellStyle name="Comma 6 19 2" xfId="24547"/>
    <cellStyle name="Comma 6 2" xfId="1425"/>
    <cellStyle name="Comma 6 2 10" xfId="8396"/>
    <cellStyle name="Comma 6 2 10 2" xfId="24548"/>
    <cellStyle name="Comma 6 2 11" xfId="8397"/>
    <cellStyle name="Comma 6 2 11 2" xfId="24549"/>
    <cellStyle name="Comma 6 2 12" xfId="8398"/>
    <cellStyle name="Comma 6 2 12 2" xfId="24550"/>
    <cellStyle name="Comma 6 2 13" xfId="8399"/>
    <cellStyle name="Comma 6 2 13 2" xfId="24551"/>
    <cellStyle name="Comma 6 2 14" xfId="8400"/>
    <cellStyle name="Comma 6 2 14 2" xfId="24552"/>
    <cellStyle name="Comma 6 2 15" xfId="8401"/>
    <cellStyle name="Comma 6 2 15 2" xfId="24553"/>
    <cellStyle name="Comma 6 2 16" xfId="8402"/>
    <cellStyle name="Comma 6 2 16 2" xfId="24554"/>
    <cellStyle name="Comma 6 2 17" xfId="8403"/>
    <cellStyle name="Comma 6 2 17 2" xfId="24555"/>
    <cellStyle name="Comma 6 2 18" xfId="5343"/>
    <cellStyle name="Comma 6 2 18 2" xfId="21505"/>
    <cellStyle name="Comma 6 2 19" xfId="19473"/>
    <cellStyle name="Comma 6 2 2" xfId="1427"/>
    <cellStyle name="Comma 6 2 2 2" xfId="5345"/>
    <cellStyle name="Comma 6 2 2 2 2" xfId="21507"/>
    <cellStyle name="Comma 6 2 2 3" xfId="19474"/>
    <cellStyle name="Comma 6 2 3" xfId="321"/>
    <cellStyle name="Comma 6 2 3 2" xfId="4267"/>
    <cellStyle name="Comma 6 2 3 2 2" xfId="20430"/>
    <cellStyle name="Comma 6 2 3 3" xfId="19064"/>
    <cellStyle name="Comma 6 2 4" xfId="1429"/>
    <cellStyle name="Comma 6 2 4 2" xfId="5347"/>
    <cellStyle name="Comma 6 2 4 2 2" xfId="21509"/>
    <cellStyle name="Comma 6 2 4 3" xfId="19476"/>
    <cellStyle name="Comma 6 2 5" xfId="1431"/>
    <cellStyle name="Comma 6 2 5 2" xfId="5349"/>
    <cellStyle name="Comma 6 2 5 2 2" xfId="21511"/>
    <cellStyle name="Comma 6 2 5 3" xfId="19478"/>
    <cellStyle name="Comma 6 2 6" xfId="1252"/>
    <cellStyle name="Comma 6 2 6 2" xfId="5172"/>
    <cellStyle name="Comma 6 2 6 2 2" xfId="21334"/>
    <cellStyle name="Comma 6 2 6 3" xfId="19378"/>
    <cellStyle name="Comma 6 2 7" xfId="876"/>
    <cellStyle name="Comma 6 2 7 2" xfId="4802"/>
    <cellStyle name="Comma 6 2 7 2 2" xfId="20964"/>
    <cellStyle name="Comma 6 2 7 3" xfId="19220"/>
    <cellStyle name="Comma 6 2 8" xfId="1271"/>
    <cellStyle name="Comma 6 2 8 2" xfId="5191"/>
    <cellStyle name="Comma 6 2 8 2 2" xfId="21353"/>
    <cellStyle name="Comma 6 2 8 3" xfId="19394"/>
    <cellStyle name="Comma 6 2 9" xfId="8404"/>
    <cellStyle name="Comma 6 2 9 2" xfId="24556"/>
    <cellStyle name="Comma 6 20" xfId="8405"/>
    <cellStyle name="Comma 6 20 2" xfId="24557"/>
    <cellStyle name="Comma 6 21" xfId="8406"/>
    <cellStyle name="Comma 6 21 2" xfId="24558"/>
    <cellStyle name="Comma 6 22" xfId="8407"/>
    <cellStyle name="Comma 6 22 2" xfId="24559"/>
    <cellStyle name="Comma 6 23" xfId="8408"/>
    <cellStyle name="Comma 6 23 2" xfId="24560"/>
    <cellStyle name="Comma 6 24" xfId="8409"/>
    <cellStyle name="Comma 6 24 2" xfId="24561"/>
    <cellStyle name="Comma 6 25" xfId="8410"/>
    <cellStyle name="Comma 6 25 2" xfId="24562"/>
    <cellStyle name="Comma 6 26" xfId="8411"/>
    <cellStyle name="Comma 6 26 2" xfId="24563"/>
    <cellStyle name="Comma 6 27" xfId="5318"/>
    <cellStyle name="Comma 6 27 2" xfId="21480"/>
    <cellStyle name="Comma 6 28" xfId="19463"/>
    <cellStyle name="Comma 6 3" xfId="1434"/>
    <cellStyle name="Comma 6 3 10" xfId="8412"/>
    <cellStyle name="Comma 6 3 10 2" xfId="24564"/>
    <cellStyle name="Comma 6 3 11" xfId="8413"/>
    <cellStyle name="Comma 6 3 11 2" xfId="24565"/>
    <cellStyle name="Comma 6 3 12" xfId="8414"/>
    <cellStyle name="Comma 6 3 12 2" xfId="24566"/>
    <cellStyle name="Comma 6 3 13" xfId="8415"/>
    <cellStyle name="Comma 6 3 13 2" xfId="24567"/>
    <cellStyle name="Comma 6 3 14" xfId="8416"/>
    <cellStyle name="Comma 6 3 14 2" xfId="24568"/>
    <cellStyle name="Comma 6 3 15" xfId="8417"/>
    <cellStyle name="Comma 6 3 15 2" xfId="24569"/>
    <cellStyle name="Comma 6 3 16" xfId="8418"/>
    <cellStyle name="Comma 6 3 16 2" xfId="24570"/>
    <cellStyle name="Comma 6 3 17" xfId="8419"/>
    <cellStyle name="Comma 6 3 17 2" xfId="24571"/>
    <cellStyle name="Comma 6 3 18" xfId="5352"/>
    <cellStyle name="Comma 6 3 18 2" xfId="21514"/>
    <cellStyle name="Comma 6 3 19" xfId="19480"/>
    <cellStyle name="Comma 6 3 2" xfId="1437"/>
    <cellStyle name="Comma 6 3 2 2" xfId="5355"/>
    <cellStyle name="Comma 6 3 2 2 2" xfId="21517"/>
    <cellStyle name="Comma 6 3 2 3" xfId="19482"/>
    <cellStyle name="Comma 6 3 3" xfId="750"/>
    <cellStyle name="Comma 6 3 3 2" xfId="4677"/>
    <cellStyle name="Comma 6 3 3 2 2" xfId="20839"/>
    <cellStyle name="Comma 6 3 3 3" xfId="19178"/>
    <cellStyle name="Comma 6 3 4" xfId="1439"/>
    <cellStyle name="Comma 6 3 4 2" xfId="5357"/>
    <cellStyle name="Comma 6 3 4 2 2" xfId="21519"/>
    <cellStyle name="Comma 6 3 4 3" xfId="19484"/>
    <cellStyle name="Comma 6 3 5" xfId="1442"/>
    <cellStyle name="Comma 6 3 5 2" xfId="5360"/>
    <cellStyle name="Comma 6 3 5 2 2" xfId="21522"/>
    <cellStyle name="Comma 6 3 5 3" xfId="19487"/>
    <cellStyle name="Comma 6 3 6" xfId="1293"/>
    <cellStyle name="Comma 6 3 6 2" xfId="5213"/>
    <cellStyle name="Comma 6 3 6 2 2" xfId="21375"/>
    <cellStyle name="Comma 6 3 6 3" xfId="19403"/>
    <cellStyle name="Comma 6 3 7" xfId="1300"/>
    <cellStyle name="Comma 6 3 7 2" xfId="5220"/>
    <cellStyle name="Comma 6 3 7 2 2" xfId="21382"/>
    <cellStyle name="Comma 6 3 7 3" xfId="19409"/>
    <cellStyle name="Comma 6 3 8" xfId="1321"/>
    <cellStyle name="Comma 6 3 8 2" xfId="5241"/>
    <cellStyle name="Comma 6 3 8 2 2" xfId="21403"/>
    <cellStyle name="Comma 6 3 8 3" xfId="19429"/>
    <cellStyle name="Comma 6 3 9" xfId="8420"/>
    <cellStyle name="Comma 6 3 9 2" xfId="24572"/>
    <cellStyle name="Comma 6 4" xfId="1448"/>
    <cellStyle name="Comma 6 4 10" xfId="8421"/>
    <cellStyle name="Comma 6 4 10 2" xfId="24573"/>
    <cellStyle name="Comma 6 4 11" xfId="8422"/>
    <cellStyle name="Comma 6 4 11 2" xfId="24574"/>
    <cellStyle name="Comma 6 4 12" xfId="8423"/>
    <cellStyle name="Comma 6 4 12 2" xfId="24575"/>
    <cellStyle name="Comma 6 4 13" xfId="8424"/>
    <cellStyle name="Comma 6 4 13 2" xfId="24576"/>
    <cellStyle name="Comma 6 4 14" xfId="8425"/>
    <cellStyle name="Comma 6 4 14 2" xfId="24577"/>
    <cellStyle name="Comma 6 4 15" xfId="8426"/>
    <cellStyle name="Comma 6 4 15 2" xfId="24578"/>
    <cellStyle name="Comma 6 4 16" xfId="8427"/>
    <cellStyle name="Comma 6 4 16 2" xfId="24579"/>
    <cellStyle name="Comma 6 4 17" xfId="8428"/>
    <cellStyle name="Comma 6 4 17 2" xfId="24580"/>
    <cellStyle name="Comma 6 4 18" xfId="5364"/>
    <cellStyle name="Comma 6 4 18 2" xfId="21526"/>
    <cellStyle name="Comma 6 4 19" xfId="19491"/>
    <cellStyle name="Comma 6 4 2" xfId="1453"/>
    <cellStyle name="Comma 6 4 2 2" xfId="5369"/>
    <cellStyle name="Comma 6 4 2 2 2" xfId="21531"/>
    <cellStyle name="Comma 6 4 2 3" xfId="19494"/>
    <cellStyle name="Comma 6 4 3" xfId="1457"/>
    <cellStyle name="Comma 6 4 3 2" xfId="5372"/>
    <cellStyle name="Comma 6 4 3 2 2" xfId="21534"/>
    <cellStyle name="Comma 6 4 3 3" xfId="19496"/>
    <cellStyle name="Comma 6 4 4" xfId="1460"/>
    <cellStyle name="Comma 6 4 4 2" xfId="5376"/>
    <cellStyle name="Comma 6 4 4 2 2" xfId="21538"/>
    <cellStyle name="Comma 6 4 4 3" xfId="19498"/>
    <cellStyle name="Comma 6 4 5" xfId="1463"/>
    <cellStyle name="Comma 6 4 5 2" xfId="5379"/>
    <cellStyle name="Comma 6 4 5 2 2" xfId="21541"/>
    <cellStyle name="Comma 6 4 5 3" xfId="19500"/>
    <cellStyle name="Comma 6 4 6" xfId="1424"/>
    <cellStyle name="Comma 6 4 6 2" xfId="5341"/>
    <cellStyle name="Comma 6 4 6 2 2" xfId="21503"/>
    <cellStyle name="Comma 6 4 6 3" xfId="19472"/>
    <cellStyle name="Comma 6 4 7" xfId="1433"/>
    <cellStyle name="Comma 6 4 7 2" xfId="5350"/>
    <cellStyle name="Comma 6 4 7 2 2" xfId="21512"/>
    <cellStyle name="Comma 6 4 7 3" xfId="19479"/>
    <cellStyle name="Comma 6 4 8" xfId="1445"/>
    <cellStyle name="Comma 6 4 8 2" xfId="5361"/>
    <cellStyle name="Comma 6 4 8 2 2" xfId="21523"/>
    <cellStyle name="Comma 6 4 8 3" xfId="19489"/>
    <cellStyle name="Comma 6 4 9" xfId="8429"/>
    <cellStyle name="Comma 6 4 9 2" xfId="24581"/>
    <cellStyle name="Comma 6 5" xfId="663"/>
    <cellStyle name="Comma 6 5 10" xfId="8430"/>
    <cellStyle name="Comma 6 5 10 2" xfId="24582"/>
    <cellStyle name="Comma 6 5 11" xfId="8431"/>
    <cellStyle name="Comma 6 5 11 2" xfId="24583"/>
    <cellStyle name="Comma 6 5 12" xfId="8432"/>
    <cellStyle name="Comma 6 5 12 2" xfId="24584"/>
    <cellStyle name="Comma 6 5 13" xfId="8433"/>
    <cellStyle name="Comma 6 5 13 2" xfId="24585"/>
    <cellStyle name="Comma 6 5 14" xfId="8434"/>
    <cellStyle name="Comma 6 5 14 2" xfId="24586"/>
    <cellStyle name="Comma 6 5 15" xfId="8435"/>
    <cellStyle name="Comma 6 5 15 2" xfId="24587"/>
    <cellStyle name="Comma 6 5 16" xfId="8436"/>
    <cellStyle name="Comma 6 5 16 2" xfId="24588"/>
    <cellStyle name="Comma 6 5 17" xfId="8437"/>
    <cellStyle name="Comma 6 5 17 2" xfId="24589"/>
    <cellStyle name="Comma 6 5 18" xfId="4598"/>
    <cellStyle name="Comma 6 5 18 2" xfId="20760"/>
    <cellStyle name="Comma 6 5 19" xfId="19146"/>
    <cellStyle name="Comma 6 5 2" xfId="672"/>
    <cellStyle name="Comma 6 5 2 2" xfId="4604"/>
    <cellStyle name="Comma 6 5 2 2 2" xfId="20766"/>
    <cellStyle name="Comma 6 5 2 3" xfId="19148"/>
    <cellStyle name="Comma 6 5 3" xfId="675"/>
    <cellStyle name="Comma 6 5 3 2" xfId="4607"/>
    <cellStyle name="Comma 6 5 3 2 2" xfId="20769"/>
    <cellStyle name="Comma 6 5 3 3" xfId="19149"/>
    <cellStyle name="Comma 6 5 4" xfId="1464"/>
    <cellStyle name="Comma 6 5 4 2" xfId="5381"/>
    <cellStyle name="Comma 6 5 4 2 2" xfId="21543"/>
    <cellStyle name="Comma 6 5 4 3" xfId="19501"/>
    <cellStyle name="Comma 6 5 5" xfId="5"/>
    <cellStyle name="Comma 6 5 5 2" xfId="3965"/>
    <cellStyle name="Comma 6 5 5 2 2" xfId="20128"/>
    <cellStyle name="Comma 6 5 5 3" xfId="18966"/>
    <cellStyle name="Comma 6 5 6" xfId="1468"/>
    <cellStyle name="Comma 6 5 6 2" xfId="5385"/>
    <cellStyle name="Comma 6 5 6 2 2" xfId="21547"/>
    <cellStyle name="Comma 6 5 6 3" xfId="19503"/>
    <cellStyle name="Comma 6 5 7" xfId="1472"/>
    <cellStyle name="Comma 6 5 7 2" xfId="5389"/>
    <cellStyle name="Comma 6 5 7 2 2" xfId="21551"/>
    <cellStyle name="Comma 6 5 7 3" xfId="19505"/>
    <cellStyle name="Comma 6 5 8" xfId="1477"/>
    <cellStyle name="Comma 6 5 8 2" xfId="5394"/>
    <cellStyle name="Comma 6 5 8 2 2" xfId="21556"/>
    <cellStyle name="Comma 6 5 8 3" xfId="19508"/>
    <cellStyle name="Comma 6 5 9" xfId="8438"/>
    <cellStyle name="Comma 6 5 9 2" xfId="24590"/>
    <cellStyle name="Comma 6 6" xfId="1480"/>
    <cellStyle name="Comma 6 6 10" xfId="8439"/>
    <cellStyle name="Comma 6 6 10 2" xfId="24591"/>
    <cellStyle name="Comma 6 6 11" xfId="8440"/>
    <cellStyle name="Comma 6 6 11 2" xfId="24592"/>
    <cellStyle name="Comma 6 6 12" xfId="8441"/>
    <cellStyle name="Comma 6 6 12 2" xfId="24593"/>
    <cellStyle name="Comma 6 6 13" xfId="8442"/>
    <cellStyle name="Comma 6 6 13 2" xfId="24594"/>
    <cellStyle name="Comma 6 6 14" xfId="8443"/>
    <cellStyle name="Comma 6 6 14 2" xfId="24595"/>
    <cellStyle name="Comma 6 6 15" xfId="8444"/>
    <cellStyle name="Comma 6 6 15 2" xfId="24596"/>
    <cellStyle name="Comma 6 6 16" xfId="8445"/>
    <cellStyle name="Comma 6 6 16 2" xfId="24597"/>
    <cellStyle name="Comma 6 6 17" xfId="8446"/>
    <cellStyle name="Comma 6 6 17 2" xfId="24598"/>
    <cellStyle name="Comma 6 6 18" xfId="5395"/>
    <cellStyle name="Comma 6 6 18 2" xfId="21557"/>
    <cellStyle name="Comma 6 6 19" xfId="19510"/>
    <cellStyle name="Comma 6 6 2" xfId="1482"/>
    <cellStyle name="Comma 6 6 2 2" xfId="5399"/>
    <cellStyle name="Comma 6 6 2 2 2" xfId="21561"/>
    <cellStyle name="Comma 6 6 2 3" xfId="19511"/>
    <cellStyle name="Comma 6 6 3" xfId="1483"/>
    <cellStyle name="Comma 6 6 3 2" xfId="5400"/>
    <cellStyle name="Comma 6 6 3 2 2" xfId="21562"/>
    <cellStyle name="Comma 6 6 3 3" xfId="19512"/>
    <cellStyle name="Comma 6 6 4" xfId="1484"/>
    <cellStyle name="Comma 6 6 4 2" xfId="5401"/>
    <cellStyle name="Comma 6 6 4 2 2" xfId="21563"/>
    <cellStyle name="Comma 6 6 4 3" xfId="19513"/>
    <cellStyle name="Comma 6 6 5" xfId="1485"/>
    <cellStyle name="Comma 6 6 5 2" xfId="5402"/>
    <cellStyle name="Comma 6 6 5 2 2" xfId="21564"/>
    <cellStyle name="Comma 6 6 5 3" xfId="19514"/>
    <cellStyle name="Comma 6 6 6" xfId="1489"/>
    <cellStyle name="Comma 6 6 6 2" xfId="5406"/>
    <cellStyle name="Comma 6 6 6 2 2" xfId="21568"/>
    <cellStyle name="Comma 6 6 6 3" xfId="19516"/>
    <cellStyle name="Comma 6 6 7" xfId="1493"/>
    <cellStyle name="Comma 6 6 7 2" xfId="5410"/>
    <cellStyle name="Comma 6 6 7 2 2" xfId="21572"/>
    <cellStyle name="Comma 6 6 7 3" xfId="19519"/>
    <cellStyle name="Comma 6 6 8" xfId="1494"/>
    <cellStyle name="Comma 6 6 8 2" xfId="5411"/>
    <cellStyle name="Comma 6 6 8 2 2" xfId="21573"/>
    <cellStyle name="Comma 6 6 8 3" xfId="19520"/>
    <cellStyle name="Comma 6 6 9" xfId="8447"/>
    <cellStyle name="Comma 6 6 9 2" xfId="24599"/>
    <cellStyle name="Comma 6 7" xfId="1498"/>
    <cellStyle name="Comma 6 7 10" xfId="8448"/>
    <cellStyle name="Comma 6 7 10 2" xfId="24600"/>
    <cellStyle name="Comma 6 7 11" xfId="8449"/>
    <cellStyle name="Comma 6 7 11 2" xfId="24601"/>
    <cellStyle name="Comma 6 7 12" xfId="8450"/>
    <cellStyle name="Comma 6 7 12 2" xfId="24602"/>
    <cellStyle name="Comma 6 7 13" xfId="8451"/>
    <cellStyle name="Comma 6 7 13 2" xfId="24603"/>
    <cellStyle name="Comma 6 7 14" xfId="8452"/>
    <cellStyle name="Comma 6 7 14 2" xfId="24604"/>
    <cellStyle name="Comma 6 7 15" xfId="8453"/>
    <cellStyle name="Comma 6 7 15 2" xfId="24605"/>
    <cellStyle name="Comma 6 7 16" xfId="8454"/>
    <cellStyle name="Comma 6 7 16 2" xfId="24606"/>
    <cellStyle name="Comma 6 7 17" xfId="8455"/>
    <cellStyle name="Comma 6 7 17 2" xfId="24607"/>
    <cellStyle name="Comma 6 7 18" xfId="5412"/>
    <cellStyle name="Comma 6 7 18 2" xfId="21574"/>
    <cellStyle name="Comma 6 7 19" xfId="19523"/>
    <cellStyle name="Comma 6 7 2" xfId="1499"/>
    <cellStyle name="Comma 6 7 2 2" xfId="5416"/>
    <cellStyle name="Comma 6 7 2 2 2" xfId="21578"/>
    <cellStyle name="Comma 6 7 2 3" xfId="19524"/>
    <cellStyle name="Comma 6 7 3" xfId="1500"/>
    <cellStyle name="Comma 6 7 3 2" xfId="5417"/>
    <cellStyle name="Comma 6 7 3 2 2" xfId="21579"/>
    <cellStyle name="Comma 6 7 3 3" xfId="19525"/>
    <cellStyle name="Comma 6 7 4" xfId="1501"/>
    <cellStyle name="Comma 6 7 4 2" xfId="5419"/>
    <cellStyle name="Comma 6 7 4 2 2" xfId="21581"/>
    <cellStyle name="Comma 6 7 4 3" xfId="19526"/>
    <cellStyle name="Comma 6 7 5" xfId="1506"/>
    <cellStyle name="Comma 6 7 5 2" xfId="5420"/>
    <cellStyle name="Comma 6 7 5 2 2" xfId="21582"/>
    <cellStyle name="Comma 6 7 5 3" xfId="19528"/>
    <cellStyle name="Comma 6 7 6" xfId="1511"/>
    <cellStyle name="Comma 6 7 6 2" xfId="5426"/>
    <cellStyle name="Comma 6 7 6 2 2" xfId="21588"/>
    <cellStyle name="Comma 6 7 6 3" xfId="19531"/>
    <cellStyle name="Comma 6 7 7" xfId="1515"/>
    <cellStyle name="Comma 6 7 7 2" xfId="5432"/>
    <cellStyle name="Comma 6 7 7 2 2" xfId="21594"/>
    <cellStyle name="Comma 6 7 7 3" xfId="19533"/>
    <cellStyle name="Comma 6 7 8" xfId="1516"/>
    <cellStyle name="Comma 6 7 8 2" xfId="5433"/>
    <cellStyle name="Comma 6 7 8 2 2" xfId="21595"/>
    <cellStyle name="Comma 6 7 8 3" xfId="19534"/>
    <cellStyle name="Comma 6 7 9" xfId="8456"/>
    <cellStyle name="Comma 6 7 9 2" xfId="24608"/>
    <cellStyle name="Comma 6 8" xfId="1519"/>
    <cellStyle name="Comma 6 8 10" xfId="8457"/>
    <cellStyle name="Comma 6 8 10 2" xfId="24609"/>
    <cellStyle name="Comma 6 8 11" xfId="8458"/>
    <cellStyle name="Comma 6 8 11 2" xfId="24610"/>
    <cellStyle name="Comma 6 8 12" xfId="8459"/>
    <cellStyle name="Comma 6 8 12 2" xfId="24611"/>
    <cellStyle name="Comma 6 8 13" xfId="8460"/>
    <cellStyle name="Comma 6 8 13 2" xfId="24612"/>
    <cellStyle name="Comma 6 8 14" xfId="8461"/>
    <cellStyle name="Comma 6 8 14 2" xfId="24613"/>
    <cellStyle name="Comma 6 8 15" xfId="8462"/>
    <cellStyle name="Comma 6 8 15 2" xfId="24614"/>
    <cellStyle name="Comma 6 8 16" xfId="8463"/>
    <cellStyle name="Comma 6 8 16 2" xfId="24615"/>
    <cellStyle name="Comma 6 8 17" xfId="8464"/>
    <cellStyle name="Comma 6 8 17 2" xfId="24616"/>
    <cellStyle name="Comma 6 8 18" xfId="5434"/>
    <cellStyle name="Comma 6 8 18 2" xfId="21596"/>
    <cellStyle name="Comma 6 8 19" xfId="19536"/>
    <cellStyle name="Comma 6 8 2" xfId="1520"/>
    <cellStyle name="Comma 6 8 2 2" xfId="5437"/>
    <cellStyle name="Comma 6 8 2 2 2" xfId="21599"/>
    <cellStyle name="Comma 6 8 2 3" xfId="19537"/>
    <cellStyle name="Comma 6 8 3" xfId="1521"/>
    <cellStyle name="Comma 6 8 3 2" xfId="5438"/>
    <cellStyle name="Comma 6 8 3 2 2" xfId="21600"/>
    <cellStyle name="Comma 6 8 3 3" xfId="19538"/>
    <cellStyle name="Comma 6 8 4" xfId="1522"/>
    <cellStyle name="Comma 6 8 4 2" xfId="5439"/>
    <cellStyle name="Comma 6 8 4 2 2" xfId="21601"/>
    <cellStyle name="Comma 6 8 4 3" xfId="19539"/>
    <cellStyle name="Comma 6 8 5" xfId="1525"/>
    <cellStyle name="Comma 6 8 5 2" xfId="5440"/>
    <cellStyle name="Comma 6 8 5 2 2" xfId="21602"/>
    <cellStyle name="Comma 6 8 5 3" xfId="19541"/>
    <cellStyle name="Comma 6 8 6" xfId="1528"/>
    <cellStyle name="Comma 6 8 6 2" xfId="5443"/>
    <cellStyle name="Comma 6 8 6 2 2" xfId="21605"/>
    <cellStyle name="Comma 6 8 6 3" xfId="19543"/>
    <cellStyle name="Comma 6 8 7" xfId="1532"/>
    <cellStyle name="Comma 6 8 7 2" xfId="5448"/>
    <cellStyle name="Comma 6 8 7 2 2" xfId="21610"/>
    <cellStyle name="Comma 6 8 7 3" xfId="19544"/>
    <cellStyle name="Comma 6 8 8" xfId="1534"/>
    <cellStyle name="Comma 6 8 8 2" xfId="5450"/>
    <cellStyle name="Comma 6 8 8 2 2" xfId="21612"/>
    <cellStyle name="Comma 6 8 8 3" xfId="19545"/>
    <cellStyle name="Comma 6 8 9" xfId="8465"/>
    <cellStyle name="Comma 6 8 9 2" xfId="24617"/>
    <cellStyle name="Comma 6 9" xfId="1537"/>
    <cellStyle name="Comma 6 9 10" xfId="8466"/>
    <cellStyle name="Comma 6 9 10 2" xfId="24618"/>
    <cellStyle name="Comma 6 9 11" xfId="8467"/>
    <cellStyle name="Comma 6 9 11 2" xfId="24619"/>
    <cellStyle name="Comma 6 9 12" xfId="8468"/>
    <cellStyle name="Comma 6 9 12 2" xfId="24620"/>
    <cellStyle name="Comma 6 9 13" xfId="8469"/>
    <cellStyle name="Comma 6 9 13 2" xfId="24621"/>
    <cellStyle name="Comma 6 9 14" xfId="8470"/>
    <cellStyle name="Comma 6 9 14 2" xfId="24622"/>
    <cellStyle name="Comma 6 9 15" xfId="8471"/>
    <cellStyle name="Comma 6 9 15 2" xfId="24623"/>
    <cellStyle name="Comma 6 9 16" xfId="8472"/>
    <cellStyle name="Comma 6 9 16 2" xfId="24624"/>
    <cellStyle name="Comma 6 9 17" xfId="8473"/>
    <cellStyle name="Comma 6 9 17 2" xfId="24625"/>
    <cellStyle name="Comma 6 9 18" xfId="5452"/>
    <cellStyle name="Comma 6 9 18 2" xfId="21614"/>
    <cellStyle name="Comma 6 9 19" xfId="19547"/>
    <cellStyle name="Comma 6 9 2" xfId="1177"/>
    <cellStyle name="Comma 6 9 2 2" xfId="5096"/>
    <cellStyle name="Comma 6 9 2 2 2" xfId="21258"/>
    <cellStyle name="Comma 6 9 2 3" xfId="19347"/>
    <cellStyle name="Comma 6 9 3" xfId="1181"/>
    <cellStyle name="Comma 6 9 3 2" xfId="5100"/>
    <cellStyle name="Comma 6 9 3 2 2" xfId="21262"/>
    <cellStyle name="Comma 6 9 3 3" xfId="19350"/>
    <cellStyle name="Comma 6 9 4" xfId="1183"/>
    <cellStyle name="Comma 6 9 4 2" xfId="5103"/>
    <cellStyle name="Comma 6 9 4 2 2" xfId="21265"/>
    <cellStyle name="Comma 6 9 4 3" xfId="19352"/>
    <cellStyle name="Comma 6 9 5" xfId="106"/>
    <cellStyle name="Comma 6 9 5 2" xfId="4048"/>
    <cellStyle name="Comma 6 9 5 2 2" xfId="20211"/>
    <cellStyle name="Comma 6 9 5 3" xfId="18991"/>
    <cellStyle name="Comma 6 9 6" xfId="571"/>
    <cellStyle name="Comma 6 9 6 2" xfId="4503"/>
    <cellStyle name="Comma 6 9 6 2 2" xfId="20666"/>
    <cellStyle name="Comma 6 9 6 3" xfId="19114"/>
    <cellStyle name="Comma 6 9 7" xfId="1539"/>
    <cellStyle name="Comma 6 9 7 2" xfId="5455"/>
    <cellStyle name="Comma 6 9 7 2 2" xfId="21617"/>
    <cellStyle name="Comma 6 9 7 3" xfId="19548"/>
    <cellStyle name="Comma 6 9 8" xfId="1541"/>
    <cellStyle name="Comma 6 9 8 2" xfId="5457"/>
    <cellStyle name="Comma 6 9 8 2 2" xfId="21619"/>
    <cellStyle name="Comma 6 9 8 3" xfId="19549"/>
    <cellStyle name="Comma 6 9 9" xfId="8474"/>
    <cellStyle name="Comma 6 9 9 2" xfId="24626"/>
    <cellStyle name="Comma 7" xfId="1542"/>
    <cellStyle name="Comma 7 2" xfId="1465"/>
    <cellStyle name="Comma 7 2 2" xfId="5383"/>
    <cellStyle name="Comma 7 2 2 2" xfId="21545"/>
    <cellStyle name="Comma 7 2 3" xfId="19502"/>
    <cellStyle name="Comma 7 3" xfId="1469"/>
    <cellStyle name="Comma 7 3 10" xfId="8475"/>
    <cellStyle name="Comma 7 3 10 2" xfId="24627"/>
    <cellStyle name="Comma 7 3 11" xfId="8476"/>
    <cellStyle name="Comma 7 3 11 2" xfId="24628"/>
    <cellStyle name="Comma 7 3 12" xfId="8477"/>
    <cellStyle name="Comma 7 3 12 2" xfId="24629"/>
    <cellStyle name="Comma 7 3 13" xfId="5387"/>
    <cellStyle name="Comma 7 3 13 2" xfId="21549"/>
    <cellStyle name="Comma 7 3 14" xfId="19504"/>
    <cellStyle name="Comma 7 3 2" xfId="548"/>
    <cellStyle name="Comma 7 3 2 10" xfId="8478"/>
    <cellStyle name="Comma 7 3 2 10 2" xfId="24630"/>
    <cellStyle name="Comma 7 3 2 11" xfId="4484"/>
    <cellStyle name="Comma 7 3 2 11 2" xfId="20647"/>
    <cellStyle name="Comma 7 3 2 12" xfId="19106"/>
    <cellStyle name="Comma 7 3 2 2" xfId="8479"/>
    <cellStyle name="Comma 7 3 2 2 2" xfId="24631"/>
    <cellStyle name="Comma 7 3 2 3" xfId="8480"/>
    <cellStyle name="Comma 7 3 2 3 2" xfId="24632"/>
    <cellStyle name="Comma 7 3 2 4" xfId="8481"/>
    <cellStyle name="Comma 7 3 2 4 2" xfId="24633"/>
    <cellStyle name="Comma 7 3 2 5" xfId="8482"/>
    <cellStyle name="Comma 7 3 2 5 2" xfId="24634"/>
    <cellStyle name="Comma 7 3 2 6" xfId="8483"/>
    <cellStyle name="Comma 7 3 2 6 2" xfId="24635"/>
    <cellStyle name="Comma 7 3 2 7" xfId="8484"/>
    <cellStyle name="Comma 7 3 2 7 2" xfId="24636"/>
    <cellStyle name="Comma 7 3 2 8" xfId="8485"/>
    <cellStyle name="Comma 7 3 2 8 2" xfId="24637"/>
    <cellStyle name="Comma 7 3 2 9" xfId="8486"/>
    <cellStyle name="Comma 7 3 2 9 2" xfId="24638"/>
    <cellStyle name="Comma 7 3 3" xfId="1063"/>
    <cellStyle name="Comma 7 3 3 10" xfId="8487"/>
    <cellStyle name="Comma 7 3 3 10 2" xfId="24639"/>
    <cellStyle name="Comma 7 3 3 11" xfId="4983"/>
    <cellStyle name="Comma 7 3 3 11 2" xfId="21145"/>
    <cellStyle name="Comma 7 3 3 12" xfId="19299"/>
    <cellStyle name="Comma 7 3 3 2" xfId="8488"/>
    <cellStyle name="Comma 7 3 3 2 2" xfId="24640"/>
    <cellStyle name="Comma 7 3 3 3" xfId="8489"/>
    <cellStyle name="Comma 7 3 3 3 2" xfId="24641"/>
    <cellStyle name="Comma 7 3 3 4" xfId="8490"/>
    <cellStyle name="Comma 7 3 3 4 2" xfId="24642"/>
    <cellStyle name="Comma 7 3 3 5" xfId="8491"/>
    <cellStyle name="Comma 7 3 3 5 2" xfId="24643"/>
    <cellStyle name="Comma 7 3 3 6" xfId="8492"/>
    <cellStyle name="Comma 7 3 3 6 2" xfId="24644"/>
    <cellStyle name="Comma 7 3 3 7" xfId="8493"/>
    <cellStyle name="Comma 7 3 3 7 2" xfId="24645"/>
    <cellStyle name="Comma 7 3 3 8" xfId="8494"/>
    <cellStyle name="Comma 7 3 3 8 2" xfId="24646"/>
    <cellStyle name="Comma 7 3 3 9" xfId="8495"/>
    <cellStyle name="Comma 7 3 3 9 2" xfId="24647"/>
    <cellStyle name="Comma 7 3 4" xfId="8496"/>
    <cellStyle name="Comma 7 3 4 2" xfId="24648"/>
    <cellStyle name="Comma 7 3 5" xfId="8497"/>
    <cellStyle name="Comma 7 3 5 2" xfId="24649"/>
    <cellStyle name="Comma 7 3 6" xfId="8498"/>
    <cellStyle name="Comma 7 3 6 2" xfId="24650"/>
    <cellStyle name="Comma 7 3 7" xfId="8499"/>
    <cellStyle name="Comma 7 3 7 2" xfId="24651"/>
    <cellStyle name="Comma 7 3 8" xfId="8500"/>
    <cellStyle name="Comma 7 3 8 2" xfId="24652"/>
    <cellStyle name="Comma 7 3 9" xfId="8501"/>
    <cellStyle name="Comma 7 3 9 2" xfId="24653"/>
    <cellStyle name="Comma 7 4" xfId="1473"/>
    <cellStyle name="Comma 7 4 2" xfId="5391"/>
    <cellStyle name="Comma 7 4 2 2" xfId="21553"/>
    <cellStyle name="Comma 7 4 3" xfId="19506"/>
    <cellStyle name="Comma 7 5" xfId="1543"/>
    <cellStyle name="Comma 7 5 10" xfId="8502"/>
    <cellStyle name="Comma 7 5 10 2" xfId="24654"/>
    <cellStyle name="Comma 7 5 11" xfId="8503"/>
    <cellStyle name="Comma 7 5 11 2" xfId="24655"/>
    <cellStyle name="Comma 7 5 12" xfId="8504"/>
    <cellStyle name="Comma 7 5 12 2" xfId="24656"/>
    <cellStyle name="Comma 7 5 13" xfId="5461"/>
    <cellStyle name="Comma 7 5 13 2" xfId="21623"/>
    <cellStyle name="Comma 7 5 14" xfId="19550"/>
    <cellStyle name="Comma 7 5 2" xfId="1110"/>
    <cellStyle name="Comma 7 5 2 10" xfId="8505"/>
    <cellStyle name="Comma 7 5 2 10 2" xfId="24657"/>
    <cellStyle name="Comma 7 5 2 11" xfId="5030"/>
    <cellStyle name="Comma 7 5 2 11 2" xfId="21192"/>
    <cellStyle name="Comma 7 5 2 12" xfId="19313"/>
    <cellStyle name="Comma 7 5 2 2" xfId="8506"/>
    <cellStyle name="Comma 7 5 2 2 2" xfId="24658"/>
    <cellStyle name="Comma 7 5 2 3" xfId="8507"/>
    <cellStyle name="Comma 7 5 2 3 2" xfId="24659"/>
    <cellStyle name="Comma 7 5 2 4" xfId="8508"/>
    <cellStyle name="Comma 7 5 2 4 2" xfId="24660"/>
    <cellStyle name="Comma 7 5 2 5" xfId="8509"/>
    <cellStyle name="Comma 7 5 2 5 2" xfId="24661"/>
    <cellStyle name="Comma 7 5 2 6" xfId="8510"/>
    <cellStyle name="Comma 7 5 2 6 2" xfId="24662"/>
    <cellStyle name="Comma 7 5 2 7" xfId="8511"/>
    <cellStyle name="Comma 7 5 2 7 2" xfId="24663"/>
    <cellStyle name="Comma 7 5 2 8" xfId="8512"/>
    <cellStyle name="Comma 7 5 2 8 2" xfId="24664"/>
    <cellStyle name="Comma 7 5 2 9" xfId="8513"/>
    <cellStyle name="Comma 7 5 2 9 2" xfId="24665"/>
    <cellStyle name="Comma 7 5 3" xfId="1116"/>
    <cellStyle name="Comma 7 5 3 10" xfId="8514"/>
    <cellStyle name="Comma 7 5 3 10 2" xfId="24666"/>
    <cellStyle name="Comma 7 5 3 11" xfId="5036"/>
    <cellStyle name="Comma 7 5 3 11 2" xfId="21198"/>
    <cellStyle name="Comma 7 5 3 12" xfId="19315"/>
    <cellStyle name="Comma 7 5 3 2" xfId="8515"/>
    <cellStyle name="Comma 7 5 3 2 2" xfId="24667"/>
    <cellStyle name="Comma 7 5 3 3" xfId="8516"/>
    <cellStyle name="Comma 7 5 3 3 2" xfId="24668"/>
    <cellStyle name="Comma 7 5 3 4" xfId="8517"/>
    <cellStyle name="Comma 7 5 3 4 2" xfId="24669"/>
    <cellStyle name="Comma 7 5 3 5" xfId="8518"/>
    <cellStyle name="Comma 7 5 3 5 2" xfId="24670"/>
    <cellStyle name="Comma 7 5 3 6" xfId="8519"/>
    <cellStyle name="Comma 7 5 3 6 2" xfId="24671"/>
    <cellStyle name="Comma 7 5 3 7" xfId="8520"/>
    <cellStyle name="Comma 7 5 3 7 2" xfId="24672"/>
    <cellStyle name="Comma 7 5 3 8" xfId="8521"/>
    <cellStyle name="Comma 7 5 3 8 2" xfId="24673"/>
    <cellStyle name="Comma 7 5 3 9" xfId="8522"/>
    <cellStyle name="Comma 7 5 3 9 2" xfId="24674"/>
    <cellStyle name="Comma 7 5 4" xfId="8523"/>
    <cellStyle name="Comma 7 5 4 2" xfId="24675"/>
    <cellStyle name="Comma 7 5 5" xfId="8524"/>
    <cellStyle name="Comma 7 5 5 2" xfId="24676"/>
    <cellStyle name="Comma 7 5 6" xfId="8525"/>
    <cellStyle name="Comma 7 5 6 2" xfId="24677"/>
    <cellStyle name="Comma 7 5 7" xfId="8526"/>
    <cellStyle name="Comma 7 5 7 2" xfId="24678"/>
    <cellStyle name="Comma 7 5 8" xfId="8527"/>
    <cellStyle name="Comma 7 5 8 2" xfId="24679"/>
    <cellStyle name="Comma 7 5 9" xfId="8528"/>
    <cellStyle name="Comma 7 5 9 2" xfId="24680"/>
    <cellStyle name="Comma 7 6" xfId="1547"/>
    <cellStyle name="Comma 7 6 10" xfId="8529"/>
    <cellStyle name="Comma 7 6 10 2" xfId="24681"/>
    <cellStyle name="Comma 7 6 11" xfId="8530"/>
    <cellStyle name="Comma 7 6 11 2" xfId="24682"/>
    <cellStyle name="Comma 7 6 12" xfId="8531"/>
    <cellStyle name="Comma 7 6 12 2" xfId="24683"/>
    <cellStyle name="Comma 7 6 13" xfId="5464"/>
    <cellStyle name="Comma 7 6 13 2" xfId="21626"/>
    <cellStyle name="Comma 7 6 14" xfId="19552"/>
    <cellStyle name="Comma 7 6 2" xfId="275"/>
    <cellStyle name="Comma 7 6 2 10" xfId="8532"/>
    <cellStyle name="Comma 7 6 2 10 2" xfId="24684"/>
    <cellStyle name="Comma 7 6 2 11" xfId="4226"/>
    <cellStyle name="Comma 7 6 2 11 2" xfId="20389"/>
    <cellStyle name="Comma 7 6 2 12" xfId="19050"/>
    <cellStyle name="Comma 7 6 2 2" xfId="8533"/>
    <cellStyle name="Comma 7 6 2 2 2" xfId="24685"/>
    <cellStyle name="Comma 7 6 2 3" xfId="8534"/>
    <cellStyle name="Comma 7 6 2 3 2" xfId="24686"/>
    <cellStyle name="Comma 7 6 2 4" xfId="8535"/>
    <cellStyle name="Comma 7 6 2 4 2" xfId="24687"/>
    <cellStyle name="Comma 7 6 2 5" xfId="8536"/>
    <cellStyle name="Comma 7 6 2 5 2" xfId="24688"/>
    <cellStyle name="Comma 7 6 2 6" xfId="8537"/>
    <cellStyle name="Comma 7 6 2 6 2" xfId="24689"/>
    <cellStyle name="Comma 7 6 2 7" xfId="8538"/>
    <cellStyle name="Comma 7 6 2 7 2" xfId="24690"/>
    <cellStyle name="Comma 7 6 2 8" xfId="8539"/>
    <cellStyle name="Comma 7 6 2 8 2" xfId="24691"/>
    <cellStyle name="Comma 7 6 2 9" xfId="8540"/>
    <cellStyle name="Comma 7 6 2 9 2" xfId="24692"/>
    <cellStyle name="Comma 7 6 3" xfId="1137"/>
    <cellStyle name="Comma 7 6 3 10" xfId="8541"/>
    <cellStyle name="Comma 7 6 3 10 2" xfId="24693"/>
    <cellStyle name="Comma 7 6 3 11" xfId="5058"/>
    <cellStyle name="Comma 7 6 3 11 2" xfId="21220"/>
    <cellStyle name="Comma 7 6 3 12" xfId="19325"/>
    <cellStyle name="Comma 7 6 3 2" xfId="8542"/>
    <cellStyle name="Comma 7 6 3 2 2" xfId="24694"/>
    <cellStyle name="Comma 7 6 3 3" xfId="8543"/>
    <cellStyle name="Comma 7 6 3 3 2" xfId="24695"/>
    <cellStyle name="Comma 7 6 3 4" xfId="8544"/>
    <cellStyle name="Comma 7 6 3 4 2" xfId="24696"/>
    <cellStyle name="Comma 7 6 3 5" xfId="8545"/>
    <cellStyle name="Comma 7 6 3 5 2" xfId="24697"/>
    <cellStyle name="Comma 7 6 3 6" xfId="8546"/>
    <cellStyle name="Comma 7 6 3 6 2" xfId="24698"/>
    <cellStyle name="Comma 7 6 3 7" xfId="8547"/>
    <cellStyle name="Comma 7 6 3 7 2" xfId="24699"/>
    <cellStyle name="Comma 7 6 3 8" xfId="8548"/>
    <cellStyle name="Comma 7 6 3 8 2" xfId="24700"/>
    <cellStyle name="Comma 7 6 3 9" xfId="8549"/>
    <cellStyle name="Comma 7 6 3 9 2" xfId="24701"/>
    <cellStyle name="Comma 7 6 4" xfId="8550"/>
    <cellStyle name="Comma 7 6 4 2" xfId="24702"/>
    <cellStyle name="Comma 7 6 5" xfId="8551"/>
    <cellStyle name="Comma 7 6 5 2" xfId="24703"/>
    <cellStyle name="Comma 7 6 6" xfId="8552"/>
    <cellStyle name="Comma 7 6 6 2" xfId="24704"/>
    <cellStyle name="Comma 7 6 7" xfId="8553"/>
    <cellStyle name="Comma 7 6 7 2" xfId="24705"/>
    <cellStyle name="Comma 7 6 8" xfId="8554"/>
    <cellStyle name="Comma 7 6 8 2" xfId="24706"/>
    <cellStyle name="Comma 7 6 9" xfId="8555"/>
    <cellStyle name="Comma 7 6 9 2" xfId="24707"/>
    <cellStyle name="Comma 7 7" xfId="5459"/>
    <cellStyle name="Comma 7 7 2" xfId="21621"/>
    <cellStyle name="Comma 8" xfId="1550"/>
    <cellStyle name="Comma 8 2" xfId="1487"/>
    <cellStyle name="Comma 8 2 2" xfId="8556"/>
    <cellStyle name="Comma 8 2 2 2" xfId="24708"/>
    <cellStyle name="Comma 8 2 3" xfId="5404"/>
    <cellStyle name="Comma 8 2 3 2" xfId="21566"/>
    <cellStyle name="Comma 8 3" xfId="1491"/>
    <cellStyle name="Comma 8 3 2" xfId="5408"/>
    <cellStyle name="Comma 8 3 2 2" xfId="21570"/>
    <cellStyle name="Comma 8 3 3" xfId="19518"/>
    <cellStyle name="Comma 8 4" xfId="5467"/>
    <cellStyle name="Comma 8 4 2" xfId="21629"/>
    <cellStyle name="Comma 8_Rukmapur (CPD)-wk" xfId="866"/>
    <cellStyle name="Comma 9" xfId="1208"/>
    <cellStyle name="Comma 9 2" xfId="1508"/>
    <cellStyle name="Comma 9 2 2" xfId="8557"/>
    <cellStyle name="Comma 9 2 2 2" xfId="24709"/>
    <cellStyle name="Comma 9 2 3" xfId="5424"/>
    <cellStyle name="Comma 9 2 3 2" xfId="21586"/>
    <cellStyle name="Comma 9 2 4" xfId="19529"/>
    <cellStyle name="Comma 9 3" xfId="1513"/>
    <cellStyle name="Comma 9 3 2" xfId="5429"/>
    <cellStyle name="Comma 9 3 2 2" xfId="21591"/>
    <cellStyle name="Comma 9 3 3" xfId="19532"/>
    <cellStyle name="Comma 9 4" xfId="5128"/>
    <cellStyle name="Comma 9 4 2" xfId="21290"/>
    <cellStyle name="Comma_PMGSY_CGG_DATA_MODEL_2010_11" xfId="18962"/>
    <cellStyle name="Comma_Road Furniture Data(9-12)" xfId="34"/>
    <cellStyle name="Copied" xfId="1551"/>
    <cellStyle name="Copied 2" xfId="1502"/>
    <cellStyle name="Copied 2 2" xfId="1554"/>
    <cellStyle name="Copied 2 2 2" xfId="5471"/>
    <cellStyle name="Copied 2 2 2 2" xfId="21633"/>
    <cellStyle name="Copied 2 3" xfId="5418"/>
    <cellStyle name="Copied 2 3 2" xfId="21580"/>
    <cellStyle name="Copied 3" xfId="1503"/>
    <cellStyle name="Copied 3 2" xfId="5421"/>
    <cellStyle name="Copied 3 2 2" xfId="21583"/>
    <cellStyle name="Copied 4" xfId="5468"/>
    <cellStyle name="Copied 4 2" xfId="21630"/>
    <cellStyle name="Copied_Kallepally-Gunturpalli (Bejjenki)6m-2v" xfId="1361"/>
    <cellStyle name="Currency 2" xfId="894"/>
    <cellStyle name="Currency 2 10" xfId="8558"/>
    <cellStyle name="Currency 2 10 2" xfId="24710"/>
    <cellStyle name="Currency 2 11" xfId="8559"/>
    <cellStyle name="Currency 2 11 2" xfId="24711"/>
    <cellStyle name="Currency 2 12" xfId="8560"/>
    <cellStyle name="Currency 2 12 2" xfId="24712"/>
    <cellStyle name="Currency 2 13" xfId="8561"/>
    <cellStyle name="Currency 2 13 2" xfId="24713"/>
    <cellStyle name="Currency 2 14" xfId="8562"/>
    <cellStyle name="Currency 2 14 2" xfId="24714"/>
    <cellStyle name="Currency 2 15" xfId="8563"/>
    <cellStyle name="Currency 2 15 2" xfId="24715"/>
    <cellStyle name="Currency 2 16" xfId="8564"/>
    <cellStyle name="Currency 2 16 2" xfId="24716"/>
    <cellStyle name="Currency 2 17" xfId="8565"/>
    <cellStyle name="Currency 2 17 2" xfId="24717"/>
    <cellStyle name="Currency 2 18" xfId="4819"/>
    <cellStyle name="Currency 2 18 2" xfId="20981"/>
    <cellStyle name="Currency 2 2" xfId="1556"/>
    <cellStyle name="Currency 2 2 2" xfId="5473"/>
    <cellStyle name="Currency 2 2 2 2" xfId="21635"/>
    <cellStyle name="Currency 2 3" xfId="753"/>
    <cellStyle name="Currency 2 3 2" xfId="4679"/>
    <cellStyle name="Currency 2 3 2 2" xfId="20841"/>
    <cellStyle name="Currency 2 4" xfId="762"/>
    <cellStyle name="Currency 2 4 2" xfId="4688"/>
    <cellStyle name="Currency 2 4 2 2" xfId="20850"/>
    <cellStyle name="Currency 2 5" xfId="1559"/>
    <cellStyle name="Currency 2 5 2" xfId="5474"/>
    <cellStyle name="Currency 2 5 2 2" xfId="21636"/>
    <cellStyle name="Currency 2 6" xfId="1562"/>
    <cellStyle name="Currency 2 6 2" xfId="5477"/>
    <cellStyle name="Currency 2 6 2 2" xfId="21639"/>
    <cellStyle name="Currency 2 7" xfId="1564"/>
    <cellStyle name="Currency 2 7 2" xfId="5480"/>
    <cellStyle name="Currency 2 7 2 2" xfId="21642"/>
    <cellStyle name="Currency 2 8" xfId="1567"/>
    <cellStyle name="Currency 2 8 2" xfId="5482"/>
    <cellStyle name="Currency 2 8 2 2" xfId="21644"/>
    <cellStyle name="Currency 2 9" xfId="8566"/>
    <cellStyle name="Currency 2 9 2" xfId="24718"/>
    <cellStyle name="Currency 3" xfId="899"/>
    <cellStyle name="Currency 3 10" xfId="8567"/>
    <cellStyle name="Currency 3 10 2" xfId="24719"/>
    <cellStyle name="Currency 3 11" xfId="8568"/>
    <cellStyle name="Currency 3 11 2" xfId="24720"/>
    <cellStyle name="Currency 3 12" xfId="8569"/>
    <cellStyle name="Currency 3 12 2" xfId="24721"/>
    <cellStyle name="Currency 3 13" xfId="8570"/>
    <cellStyle name="Currency 3 13 2" xfId="24722"/>
    <cellStyle name="Currency 3 14" xfId="8571"/>
    <cellStyle name="Currency 3 14 2" xfId="24723"/>
    <cellStyle name="Currency 3 15" xfId="8572"/>
    <cellStyle name="Currency 3 15 2" xfId="24724"/>
    <cellStyle name="Currency 3 16" xfId="8573"/>
    <cellStyle name="Currency 3 16 2" xfId="24725"/>
    <cellStyle name="Currency 3 17" xfId="8574"/>
    <cellStyle name="Currency 3 17 2" xfId="24726"/>
    <cellStyle name="Currency 3 18" xfId="4822"/>
    <cellStyle name="Currency 3 18 2" xfId="20984"/>
    <cellStyle name="Currency 3 2" xfId="1568"/>
    <cellStyle name="Currency 3 2 2" xfId="5485"/>
    <cellStyle name="Currency 3 2 2 2" xfId="21647"/>
    <cellStyle name="Currency 3 3" xfId="6"/>
    <cellStyle name="Currency 3 3 2" xfId="3969"/>
    <cellStyle name="Currency 3 3 2 2" xfId="20132"/>
    <cellStyle name="Currency 3 4" xfId="26"/>
    <cellStyle name="Currency 3 4 2" xfId="3982"/>
    <cellStyle name="Currency 3 4 2 2" xfId="20145"/>
    <cellStyle name="Currency 3 5" xfId="1569"/>
    <cellStyle name="Currency 3 5 2" xfId="5486"/>
    <cellStyle name="Currency 3 5 2 2" xfId="21648"/>
    <cellStyle name="Currency 3 6" xfId="1570"/>
    <cellStyle name="Currency 3 6 2" xfId="5487"/>
    <cellStyle name="Currency 3 6 2 2" xfId="21649"/>
    <cellStyle name="Currency 3 7" xfId="1571"/>
    <cellStyle name="Currency 3 7 2" xfId="5488"/>
    <cellStyle name="Currency 3 7 2 2" xfId="21650"/>
    <cellStyle name="Currency 3 8" xfId="1573"/>
    <cellStyle name="Currency 3 8 2" xfId="5490"/>
    <cellStyle name="Currency 3 8 2 2" xfId="21652"/>
    <cellStyle name="Currency 3 9" xfId="8575"/>
    <cellStyle name="Currency 3 9 2" xfId="24727"/>
    <cellStyle name="Currency 4" xfId="901"/>
    <cellStyle name="Currency 4 10" xfId="8576"/>
    <cellStyle name="Currency 4 10 2" xfId="24728"/>
    <cellStyle name="Currency 4 11" xfId="8577"/>
    <cellStyle name="Currency 4 11 2" xfId="24729"/>
    <cellStyle name="Currency 4 12" xfId="8578"/>
    <cellStyle name="Currency 4 12 2" xfId="24730"/>
    <cellStyle name="Currency 4 13" xfId="8579"/>
    <cellStyle name="Currency 4 13 2" xfId="24731"/>
    <cellStyle name="Currency 4 14" xfId="8580"/>
    <cellStyle name="Currency 4 14 2" xfId="24732"/>
    <cellStyle name="Currency 4 15" xfId="8581"/>
    <cellStyle name="Currency 4 15 2" xfId="24733"/>
    <cellStyle name="Currency 4 16" xfId="8582"/>
    <cellStyle name="Currency 4 16 2" xfId="24734"/>
    <cellStyle name="Currency 4 17" xfId="8583"/>
    <cellStyle name="Currency 4 17 2" xfId="24735"/>
    <cellStyle name="Currency 4 18" xfId="4824"/>
    <cellStyle name="Currency 4 18 2" xfId="20986"/>
    <cellStyle name="Currency 4 2" xfId="1574"/>
    <cellStyle name="Currency 4 2 2" xfId="5491"/>
    <cellStyle name="Currency 4 2 2 2" xfId="21653"/>
    <cellStyle name="Currency 4 3" xfId="1577"/>
    <cellStyle name="Currency 4 3 2" xfId="5494"/>
    <cellStyle name="Currency 4 3 2 2" xfId="21656"/>
    <cellStyle name="Currency 4 4" xfId="1580"/>
    <cellStyle name="Currency 4 4 2" xfId="5497"/>
    <cellStyle name="Currency 4 4 2 2" xfId="21659"/>
    <cellStyle name="Currency 4 5" xfId="942"/>
    <cellStyle name="Currency 4 5 2" xfId="4867"/>
    <cellStyle name="Currency 4 5 2 2" xfId="21029"/>
    <cellStyle name="Currency 4 6" xfId="967"/>
    <cellStyle name="Currency 4 6 2" xfId="4891"/>
    <cellStyle name="Currency 4 6 2 2" xfId="21053"/>
    <cellStyle name="Currency 4 7" xfId="298"/>
    <cellStyle name="Currency 4 7 2" xfId="4236"/>
    <cellStyle name="Currency 4 7 2 2" xfId="20399"/>
    <cellStyle name="Currency 4 8" xfId="131"/>
    <cellStyle name="Currency 4 8 2" xfId="4076"/>
    <cellStyle name="Currency 4 8 2 2" xfId="20239"/>
    <cellStyle name="Currency 4 9" xfId="8584"/>
    <cellStyle name="Currency 4 9 2" xfId="24736"/>
    <cellStyle name="Currency 5" xfId="1388"/>
    <cellStyle name="Currency 5 10" xfId="8585"/>
    <cellStyle name="Currency 5 10 2" xfId="24737"/>
    <cellStyle name="Currency 5 11" xfId="8586"/>
    <cellStyle name="Currency 5 11 2" xfId="24738"/>
    <cellStyle name="Currency 5 12" xfId="8587"/>
    <cellStyle name="Currency 5 12 2" xfId="24739"/>
    <cellStyle name="Currency 5 13" xfId="8588"/>
    <cellStyle name="Currency 5 13 2" xfId="24740"/>
    <cellStyle name="Currency 5 14" xfId="8589"/>
    <cellStyle name="Currency 5 14 2" xfId="24741"/>
    <cellStyle name="Currency 5 15" xfId="8590"/>
    <cellStyle name="Currency 5 15 2" xfId="24742"/>
    <cellStyle name="Currency 5 16" xfId="8591"/>
    <cellStyle name="Currency 5 16 2" xfId="24743"/>
    <cellStyle name="Currency 5 17" xfId="8592"/>
    <cellStyle name="Currency 5 17 2" xfId="24744"/>
    <cellStyle name="Currency 5 18" xfId="5304"/>
    <cellStyle name="Currency 5 18 2" xfId="21466"/>
    <cellStyle name="Currency 5 2" xfId="377"/>
    <cellStyle name="Currency 5 2 2" xfId="4315"/>
    <cellStyle name="Currency 5 2 2 2" xfId="20478"/>
    <cellStyle name="Currency 5 3" xfId="1583"/>
    <cellStyle name="Currency 5 3 2" xfId="5500"/>
    <cellStyle name="Currency 5 3 2 2" xfId="21662"/>
    <cellStyle name="Currency 5 4" xfId="1585"/>
    <cellStyle name="Currency 5 4 2" xfId="5502"/>
    <cellStyle name="Currency 5 4 2 2" xfId="21664"/>
    <cellStyle name="Currency 5 5" xfId="1588"/>
    <cellStyle name="Currency 5 5 2" xfId="5505"/>
    <cellStyle name="Currency 5 5 2 2" xfId="21667"/>
    <cellStyle name="Currency 5 6" xfId="1590"/>
    <cellStyle name="Currency 5 6 2" xfId="5507"/>
    <cellStyle name="Currency 5 6 2 2" xfId="21669"/>
    <cellStyle name="Currency 5 7" xfId="1593"/>
    <cellStyle name="Currency 5 7 2" xfId="5510"/>
    <cellStyle name="Currency 5 7 2 2" xfId="21672"/>
    <cellStyle name="Currency 5 8" xfId="1597"/>
    <cellStyle name="Currency 5 8 2" xfId="5514"/>
    <cellStyle name="Currency 5 8 2 2" xfId="21676"/>
    <cellStyle name="Currency 5 9" xfId="8593"/>
    <cellStyle name="Currency 5 9 2" xfId="24745"/>
    <cellStyle name="Currency 6" xfId="1392"/>
    <cellStyle name="Currency 6 2" xfId="5308"/>
    <cellStyle name="Currency 6 2 2" xfId="21470"/>
    <cellStyle name="Emphasis 1" xfId="1598"/>
    <cellStyle name="Emphasis 1 2" xfId="627"/>
    <cellStyle name="Emphasis 1 2 2" xfId="4556"/>
    <cellStyle name="Emphasis 1 2 2 2" xfId="20718"/>
    <cellStyle name="Emphasis 1 3" xfId="1600"/>
    <cellStyle name="Emphasis 1 3 2" xfId="5517"/>
    <cellStyle name="Emphasis 1 3 2 2" xfId="21679"/>
    <cellStyle name="Emphasis 1 4" xfId="5515"/>
    <cellStyle name="Emphasis 1 4 2" xfId="21677"/>
    <cellStyle name="Emphasis 2" xfId="1602"/>
    <cellStyle name="Emphasis 2 2" xfId="1605"/>
    <cellStyle name="Emphasis 2 2 2" xfId="5524"/>
    <cellStyle name="Emphasis 2 2 2 2" xfId="21686"/>
    <cellStyle name="Emphasis 2 3" xfId="1612"/>
    <cellStyle name="Emphasis 2 3 2" xfId="5531"/>
    <cellStyle name="Emphasis 2 3 2 2" xfId="21693"/>
    <cellStyle name="Emphasis 2 4" xfId="5519"/>
    <cellStyle name="Emphasis 2 4 2" xfId="21681"/>
    <cellStyle name="Emphasis 3" xfId="1619"/>
    <cellStyle name="Emphasis 3 2" xfId="1620"/>
    <cellStyle name="Emphasis 3 2 2" xfId="5535"/>
    <cellStyle name="Emphasis 3 2 2 2" xfId="21697"/>
    <cellStyle name="Emphasis 3 3" xfId="1628"/>
    <cellStyle name="Emphasis 3 3 2" xfId="5541"/>
    <cellStyle name="Emphasis 3 3 2 2" xfId="21703"/>
    <cellStyle name="Emphasis 3 4" xfId="5534"/>
    <cellStyle name="Emphasis 3 4 2" xfId="21696"/>
    <cellStyle name="Entered" xfId="701"/>
    <cellStyle name="Entered 2" xfId="1565"/>
    <cellStyle name="Entered 2 2" xfId="1632"/>
    <cellStyle name="Entered 2 2 2" xfId="5547"/>
    <cellStyle name="Entered 2 2 2 2" xfId="21709"/>
    <cellStyle name="Entered 2 3" xfId="5483"/>
    <cellStyle name="Entered 2 3 2" xfId="21645"/>
    <cellStyle name="Entered 3" xfId="1633"/>
    <cellStyle name="Entered 3 2" xfId="5548"/>
    <cellStyle name="Entered 3 2 2" xfId="21710"/>
    <cellStyle name="Entered 4" xfId="4627"/>
    <cellStyle name="Entered 4 2" xfId="20789"/>
    <cellStyle name="Entered_Kallepally-Gunturpalli (Bejjenki)6m-2v" xfId="1635"/>
    <cellStyle name="Euro" xfId="1638"/>
    <cellStyle name="Euro 10" xfId="8594"/>
    <cellStyle name="Euro 10 2" xfId="24746"/>
    <cellStyle name="Euro 11" xfId="8595"/>
    <cellStyle name="Euro 11 2" xfId="24747"/>
    <cellStyle name="Euro 12" xfId="8596"/>
    <cellStyle name="Euro 12 2" xfId="24748"/>
    <cellStyle name="Euro 13" xfId="8597"/>
    <cellStyle name="Euro 13 2" xfId="24749"/>
    <cellStyle name="Euro 14" xfId="8598"/>
    <cellStyle name="Euro 14 2" xfId="24750"/>
    <cellStyle name="Euro 15" xfId="8599"/>
    <cellStyle name="Euro 15 2" xfId="24751"/>
    <cellStyle name="Euro 16" xfId="8600"/>
    <cellStyle name="Euro 16 2" xfId="24752"/>
    <cellStyle name="Euro 17" xfId="8601"/>
    <cellStyle name="Euro 17 2" xfId="24753"/>
    <cellStyle name="Euro 18" xfId="5551"/>
    <cellStyle name="Euro 18 2" xfId="21713"/>
    <cellStyle name="Euro 2" xfId="1641"/>
    <cellStyle name="Euro 2 2" xfId="5553"/>
    <cellStyle name="Euro 2 2 2" xfId="21715"/>
    <cellStyle name="Euro 3" xfId="1644"/>
    <cellStyle name="Euro 3 2" xfId="5556"/>
    <cellStyle name="Euro 3 2 2" xfId="21718"/>
    <cellStyle name="Euro 4" xfId="1647"/>
    <cellStyle name="Euro 4 2" xfId="5558"/>
    <cellStyle name="Euro 4 2 2" xfId="21720"/>
    <cellStyle name="Euro 5" xfId="1650"/>
    <cellStyle name="Euro 5 2" xfId="5561"/>
    <cellStyle name="Euro 5 2 2" xfId="21723"/>
    <cellStyle name="Euro 6" xfId="1651"/>
    <cellStyle name="Euro 6 2" xfId="5564"/>
    <cellStyle name="Euro 6 2 2" xfId="21726"/>
    <cellStyle name="Euro 7" xfId="535"/>
    <cellStyle name="Euro 7 2" xfId="4470"/>
    <cellStyle name="Euro 7 2 2" xfId="20633"/>
    <cellStyle name="Euro 8" xfId="12"/>
    <cellStyle name="Euro 8 2" xfId="3976"/>
    <cellStyle name="Euro 8 2 2" xfId="20139"/>
    <cellStyle name="Euro 9" xfId="8602"/>
    <cellStyle name="Euro 9 2" xfId="24754"/>
    <cellStyle name="Excel Built-in Normal" xfId="848"/>
    <cellStyle name="Excel Built-in Normal 2" xfId="1653"/>
    <cellStyle name="Excel Built-in Normal 2 2" xfId="5566"/>
    <cellStyle name="Excel Built-in Normal 2 2 2" xfId="21728"/>
    <cellStyle name="Excel Built-in Normal 3" xfId="1656"/>
    <cellStyle name="Excel Built-in Normal 3 2" xfId="5570"/>
    <cellStyle name="Excel Built-in Normal 3 2 2" xfId="21732"/>
    <cellStyle name="Excel Built-in Normal 4" xfId="4774"/>
    <cellStyle name="Excel Built-in Normal 4 2" xfId="20936"/>
    <cellStyle name="Excel Built-in Normal_Schedule-1" xfId="8603"/>
    <cellStyle name="Explanatory Text 2" xfId="1659"/>
    <cellStyle name="Explanatory Text 2 2" xfId="1662"/>
    <cellStyle name="Explanatory Text 2 2 2" xfId="5575"/>
    <cellStyle name="Explanatory Text 2 2 2 2" xfId="21737"/>
    <cellStyle name="Explanatory Text 2 3" xfId="1120"/>
    <cellStyle name="Explanatory Text 2 3 2" xfId="5043"/>
    <cellStyle name="Explanatory Text 2 3 2 2" xfId="21205"/>
    <cellStyle name="Explanatory Text 2 4" xfId="5573"/>
    <cellStyle name="Explanatory Text 2 4 2" xfId="21735"/>
    <cellStyle name="Explanatory Text 3" xfId="1664"/>
    <cellStyle name="Explanatory Text 3 2" xfId="5578"/>
    <cellStyle name="Explanatory Text 3 2 2" xfId="21740"/>
    <cellStyle name="Explanatory Text 4" xfId="8604"/>
    <cellStyle name="Explanatory Text 4 2" xfId="24755"/>
    <cellStyle name="Explanatory Text 5" xfId="8605"/>
    <cellStyle name="Explanatory Text 5 2" xfId="24756"/>
    <cellStyle name="Fixed" xfId="1365"/>
    <cellStyle name="Fixed 10" xfId="8606"/>
    <cellStyle name="Fixed 10 2" xfId="24757"/>
    <cellStyle name="Fixed 11" xfId="8607"/>
    <cellStyle name="Fixed 11 2" xfId="24758"/>
    <cellStyle name="Fixed 12" xfId="8608"/>
    <cellStyle name="Fixed 12 2" xfId="24759"/>
    <cellStyle name="Fixed 13" xfId="8609"/>
    <cellStyle name="Fixed 13 2" xfId="24760"/>
    <cellStyle name="Fixed 14" xfId="8610"/>
    <cellStyle name="Fixed 14 2" xfId="24761"/>
    <cellStyle name="Fixed 15" xfId="8611"/>
    <cellStyle name="Fixed 15 2" xfId="24762"/>
    <cellStyle name="Fixed 16" xfId="8612"/>
    <cellStyle name="Fixed 16 2" xfId="24763"/>
    <cellStyle name="Fixed 17" xfId="8613"/>
    <cellStyle name="Fixed 17 2" xfId="24764"/>
    <cellStyle name="Fixed 18" xfId="5283"/>
    <cellStyle name="Fixed 18 2" xfId="21445"/>
    <cellStyle name="Fixed 2" xfId="1370"/>
    <cellStyle name="Fixed 2 2" xfId="5287"/>
    <cellStyle name="Fixed 2 2 2" xfId="21449"/>
    <cellStyle name="Fixed 3" xfId="1374"/>
    <cellStyle name="Fixed 3 2" xfId="5291"/>
    <cellStyle name="Fixed 3 2 2" xfId="21453"/>
    <cellStyle name="Fixed 4" xfId="532"/>
    <cellStyle name="Fixed 4 2" xfId="8614"/>
    <cellStyle name="Fixed 4 2 2" xfId="24765"/>
    <cellStyle name="Fixed 4 3" xfId="4466"/>
    <cellStyle name="Fixed 4 3 2" xfId="20629"/>
    <cellStyle name="Fixed 5" xfId="73"/>
    <cellStyle name="Fixed 5 2" xfId="4025"/>
    <cellStyle name="Fixed 5 2 2" xfId="20188"/>
    <cellStyle name="Fixed 6" xfId="50"/>
    <cellStyle name="Fixed 6 2" xfId="3999"/>
    <cellStyle name="Fixed 6 2 2" xfId="20162"/>
    <cellStyle name="Fixed 7" xfId="79"/>
    <cellStyle name="Fixed 7 2" xfId="4031"/>
    <cellStyle name="Fixed 7 2 2" xfId="20194"/>
    <cellStyle name="Fixed 8" xfId="87"/>
    <cellStyle name="Fixed 8 2" xfId="4038"/>
    <cellStyle name="Fixed 8 2 2" xfId="20201"/>
    <cellStyle name="Fixed 9" xfId="8615"/>
    <cellStyle name="Fixed 9 2" xfId="24766"/>
    <cellStyle name="general" xfId="1530"/>
    <cellStyle name="general 10" xfId="554"/>
    <cellStyle name="general 10 10" xfId="8616"/>
    <cellStyle name="general 10 10 2" xfId="24767"/>
    <cellStyle name="general 10 11" xfId="8617"/>
    <cellStyle name="general 10 11 2" xfId="24768"/>
    <cellStyle name="general 10 12" xfId="8618"/>
    <cellStyle name="general 10 12 2" xfId="24769"/>
    <cellStyle name="general 10 13" xfId="8619"/>
    <cellStyle name="general 10 13 2" xfId="24770"/>
    <cellStyle name="general 10 14" xfId="8620"/>
    <cellStyle name="general 10 14 2" xfId="24771"/>
    <cellStyle name="general 10 15" xfId="8621"/>
    <cellStyle name="general 10 15 2" xfId="24772"/>
    <cellStyle name="general 10 16" xfId="8622"/>
    <cellStyle name="general 10 16 2" xfId="24773"/>
    <cellStyle name="general 10 17" xfId="8623"/>
    <cellStyle name="general 10 17 2" xfId="24774"/>
    <cellStyle name="general 10 18" xfId="4490"/>
    <cellStyle name="general 10 18 2" xfId="20653"/>
    <cellStyle name="general 10 2" xfId="1668"/>
    <cellStyle name="general 10 2 2" xfId="5581"/>
    <cellStyle name="general 10 2 2 2" xfId="21743"/>
    <cellStyle name="general 10 3" xfId="1670"/>
    <cellStyle name="general 10 3 2" xfId="5584"/>
    <cellStyle name="general 10 3 2 2" xfId="21746"/>
    <cellStyle name="general 10 4" xfId="776"/>
    <cellStyle name="general 10 4 2" xfId="4705"/>
    <cellStyle name="general 10 4 2 2" xfId="20867"/>
    <cellStyle name="general 10 5" xfId="1672"/>
    <cellStyle name="general 10 5 2" xfId="5586"/>
    <cellStyle name="general 10 5 2 2" xfId="21748"/>
    <cellStyle name="general 10 6" xfId="1674"/>
    <cellStyle name="general 10 6 2" xfId="5588"/>
    <cellStyle name="general 10 6 2 2" xfId="21750"/>
    <cellStyle name="general 10 7" xfId="1676"/>
    <cellStyle name="general 10 7 2" xfId="5590"/>
    <cellStyle name="general 10 7 2 2" xfId="21752"/>
    <cellStyle name="general 10 8" xfId="1678"/>
    <cellStyle name="general 10 8 2" xfId="5593"/>
    <cellStyle name="general 10 8 2 2" xfId="21755"/>
    <cellStyle name="general 10 9" xfId="8624"/>
    <cellStyle name="general 10 9 2" xfId="24775"/>
    <cellStyle name="general 11" xfId="1681"/>
    <cellStyle name="general 11 2" xfId="5594"/>
    <cellStyle name="general 11 2 2" xfId="21756"/>
    <cellStyle name="general 12" xfId="1682"/>
    <cellStyle name="general 12 2" xfId="5595"/>
    <cellStyle name="general 12 2 2" xfId="21757"/>
    <cellStyle name="general 13" xfId="1661"/>
    <cellStyle name="general 13 2" xfId="5572"/>
    <cellStyle name="general 13 2 2" xfId="21734"/>
    <cellStyle name="general 14" xfId="1666"/>
    <cellStyle name="general 14 2" xfId="5577"/>
    <cellStyle name="general 14 2 2" xfId="21739"/>
    <cellStyle name="general 15" xfId="764"/>
    <cellStyle name="general 15 2" xfId="4691"/>
    <cellStyle name="general 15 2 2" xfId="20853"/>
    <cellStyle name="general 16" xfId="1684"/>
    <cellStyle name="general 16 2" xfId="5596"/>
    <cellStyle name="general 16 2 2" xfId="21758"/>
    <cellStyle name="general 17" xfId="1686"/>
    <cellStyle name="general 17 2" xfId="5598"/>
    <cellStyle name="general 17 2 2" xfId="21760"/>
    <cellStyle name="general 18" xfId="8625"/>
    <cellStyle name="general 18 2" xfId="24776"/>
    <cellStyle name="general 19" xfId="8626"/>
    <cellStyle name="general 19 2" xfId="24777"/>
    <cellStyle name="general 2" xfId="1356"/>
    <cellStyle name="general 2 10" xfId="8627"/>
    <cellStyle name="general 2 10 2" xfId="24778"/>
    <cellStyle name="general 2 11" xfId="8628"/>
    <cellStyle name="general 2 11 2" xfId="24779"/>
    <cellStyle name="general 2 12" xfId="8629"/>
    <cellStyle name="general 2 12 2" xfId="24780"/>
    <cellStyle name="general 2 13" xfId="8630"/>
    <cellStyle name="general 2 13 2" xfId="24781"/>
    <cellStyle name="general 2 14" xfId="8631"/>
    <cellStyle name="general 2 14 2" xfId="24782"/>
    <cellStyle name="general 2 15" xfId="8632"/>
    <cellStyle name="general 2 15 2" xfId="24783"/>
    <cellStyle name="general 2 16" xfId="8633"/>
    <cellStyle name="general 2 16 2" xfId="24784"/>
    <cellStyle name="general 2 17" xfId="8634"/>
    <cellStyle name="general 2 17 2" xfId="24785"/>
    <cellStyle name="general 2 18" xfId="5275"/>
    <cellStyle name="general 2 18 2" xfId="21437"/>
    <cellStyle name="general 2 2" xfId="1687"/>
    <cellStyle name="general 2 2 2" xfId="5600"/>
    <cellStyle name="general 2 2 2 2" xfId="21762"/>
    <cellStyle name="general 2 3" xfId="512"/>
    <cellStyle name="general 2 3 2" xfId="4450"/>
    <cellStyle name="general 2 3 2 2" xfId="20613"/>
    <cellStyle name="general 2 4" xfId="1689"/>
    <cellStyle name="general 2 4 2" xfId="5602"/>
    <cellStyle name="general 2 4 2 2" xfId="21764"/>
    <cellStyle name="general 2 5" xfId="1691"/>
    <cellStyle name="general 2 5 2" xfId="5604"/>
    <cellStyle name="general 2 5 2 2" xfId="21766"/>
    <cellStyle name="general 2 6" xfId="1693"/>
    <cellStyle name="general 2 6 2" xfId="5606"/>
    <cellStyle name="general 2 6 2 2" xfId="21768"/>
    <cellStyle name="general 2 7" xfId="1695"/>
    <cellStyle name="general 2 7 2" xfId="5608"/>
    <cellStyle name="general 2 7 2 2" xfId="21770"/>
    <cellStyle name="general 2 8" xfId="1697"/>
    <cellStyle name="general 2 8 2" xfId="5610"/>
    <cellStyle name="general 2 8 2 2" xfId="21772"/>
    <cellStyle name="general 2 9" xfId="8635"/>
    <cellStyle name="general 2 9 2" xfId="24786"/>
    <cellStyle name="general 20" xfId="8636"/>
    <cellStyle name="general 20 2" xfId="24787"/>
    <cellStyle name="general 21" xfId="8637"/>
    <cellStyle name="general 21 2" xfId="24788"/>
    <cellStyle name="general 22" xfId="8638"/>
    <cellStyle name="general 22 2" xfId="24789"/>
    <cellStyle name="general 23" xfId="8639"/>
    <cellStyle name="general 23 2" xfId="24790"/>
    <cellStyle name="general 24" xfId="8640"/>
    <cellStyle name="general 24 2" xfId="24791"/>
    <cellStyle name="general 25" xfId="8641"/>
    <cellStyle name="general 25 2" xfId="24792"/>
    <cellStyle name="general 26" xfId="8642"/>
    <cellStyle name="general 26 2" xfId="24793"/>
    <cellStyle name="general 27" xfId="5446"/>
    <cellStyle name="general 27 2" xfId="21608"/>
    <cellStyle name="general 3" xfId="1360"/>
    <cellStyle name="general 3 10" xfId="8643"/>
    <cellStyle name="general 3 10 2" xfId="24794"/>
    <cellStyle name="general 3 11" xfId="8644"/>
    <cellStyle name="general 3 11 2" xfId="24795"/>
    <cellStyle name="general 3 12" xfId="8645"/>
    <cellStyle name="general 3 12 2" xfId="24796"/>
    <cellStyle name="general 3 13" xfId="8646"/>
    <cellStyle name="general 3 13 2" xfId="24797"/>
    <cellStyle name="general 3 14" xfId="8647"/>
    <cellStyle name="general 3 14 2" xfId="24798"/>
    <cellStyle name="general 3 15" xfId="8648"/>
    <cellStyle name="general 3 15 2" xfId="24799"/>
    <cellStyle name="general 3 16" xfId="8649"/>
    <cellStyle name="general 3 16 2" xfId="24800"/>
    <cellStyle name="general 3 17" xfId="8650"/>
    <cellStyle name="general 3 17 2" xfId="24801"/>
    <cellStyle name="general 3 18" xfId="5279"/>
    <cellStyle name="general 3 18 2" xfId="21441"/>
    <cellStyle name="general 3 2" xfId="459"/>
    <cellStyle name="general 3 2 2" xfId="4397"/>
    <cellStyle name="general 3 2 2 2" xfId="20560"/>
    <cellStyle name="general 3 3" xfId="656"/>
    <cellStyle name="general 3 3 2" xfId="4587"/>
    <cellStyle name="general 3 3 2 2" xfId="20749"/>
    <cellStyle name="general 3 4" xfId="422"/>
    <cellStyle name="general 3 4 2" xfId="4361"/>
    <cellStyle name="general 3 4 2 2" xfId="20524"/>
    <cellStyle name="general 3 5" xfId="433"/>
    <cellStyle name="general 3 5 2" xfId="4369"/>
    <cellStyle name="general 3 5 2 2" xfId="20532"/>
    <cellStyle name="general 3 6" xfId="567"/>
    <cellStyle name="general 3 6 2" xfId="4498"/>
    <cellStyle name="general 3 6 2 2" xfId="20661"/>
    <cellStyle name="general 3 7" xfId="1153"/>
    <cellStyle name="general 3 7 2" xfId="5072"/>
    <cellStyle name="general 3 7 2 2" xfId="21234"/>
    <cellStyle name="general 3 8" xfId="1699"/>
    <cellStyle name="general 3 8 2" xfId="5612"/>
    <cellStyle name="general 3 8 2 2" xfId="21774"/>
    <cellStyle name="general 3 9" xfId="8651"/>
    <cellStyle name="general 3 9 2" xfId="24802"/>
    <cellStyle name="general 4" xfId="239"/>
    <cellStyle name="general 4 10" xfId="8652"/>
    <cellStyle name="general 4 10 2" xfId="24803"/>
    <cellStyle name="general 4 11" xfId="8653"/>
    <cellStyle name="general 4 11 2" xfId="24804"/>
    <cellStyle name="general 4 12" xfId="8654"/>
    <cellStyle name="general 4 12 2" xfId="24805"/>
    <cellStyle name="general 4 13" xfId="8655"/>
    <cellStyle name="general 4 13 2" xfId="24806"/>
    <cellStyle name="general 4 14" xfId="8656"/>
    <cellStyle name="general 4 14 2" xfId="24807"/>
    <cellStyle name="general 4 15" xfId="8657"/>
    <cellStyle name="general 4 15 2" xfId="24808"/>
    <cellStyle name="general 4 16" xfId="8658"/>
    <cellStyle name="general 4 16 2" xfId="24809"/>
    <cellStyle name="general 4 17" xfId="8659"/>
    <cellStyle name="general 4 17 2" xfId="24810"/>
    <cellStyle name="general 4 18" xfId="4189"/>
    <cellStyle name="general 4 18 2" xfId="20352"/>
    <cellStyle name="general 4 2" xfId="244"/>
    <cellStyle name="general 4 2 2" xfId="4194"/>
    <cellStyle name="general 4 2 2 2" xfId="20357"/>
    <cellStyle name="general 4 3" xfId="246"/>
    <cellStyle name="general 4 3 2" xfId="4196"/>
    <cellStyle name="general 4 3 2 2" xfId="20359"/>
    <cellStyle name="general 4 4" xfId="435"/>
    <cellStyle name="general 4 4 2" xfId="4375"/>
    <cellStyle name="general 4 4 2 2" xfId="20538"/>
    <cellStyle name="general 4 5" xfId="444"/>
    <cellStyle name="general 4 5 2" xfId="4381"/>
    <cellStyle name="general 4 5 2 2" xfId="20544"/>
    <cellStyle name="general 4 6" xfId="1700"/>
    <cellStyle name="general 4 6 2" xfId="5613"/>
    <cellStyle name="general 4 6 2 2" xfId="21775"/>
    <cellStyle name="general 4 7" xfId="1701"/>
    <cellStyle name="general 4 7 2" xfId="5614"/>
    <cellStyle name="general 4 7 2 2" xfId="21776"/>
    <cellStyle name="general 4 8" xfId="1702"/>
    <cellStyle name="general 4 8 2" xfId="5615"/>
    <cellStyle name="general 4 8 2 2" xfId="21777"/>
    <cellStyle name="general 4 9" xfId="8660"/>
    <cellStyle name="general 4 9 2" xfId="24811"/>
    <cellStyle name="general 5" xfId="138"/>
    <cellStyle name="general 5 10" xfId="8661"/>
    <cellStyle name="general 5 10 2" xfId="24812"/>
    <cellStyle name="general 5 11" xfId="8662"/>
    <cellStyle name="general 5 11 2" xfId="24813"/>
    <cellStyle name="general 5 12" xfId="8663"/>
    <cellStyle name="general 5 12 2" xfId="24814"/>
    <cellStyle name="general 5 13" xfId="8664"/>
    <cellStyle name="general 5 13 2" xfId="24815"/>
    <cellStyle name="general 5 14" xfId="8665"/>
    <cellStyle name="general 5 14 2" xfId="24816"/>
    <cellStyle name="general 5 15" xfId="8666"/>
    <cellStyle name="general 5 15 2" xfId="24817"/>
    <cellStyle name="general 5 16" xfId="8667"/>
    <cellStyle name="general 5 16 2" xfId="24818"/>
    <cellStyle name="general 5 17" xfId="8668"/>
    <cellStyle name="general 5 17 2" xfId="24819"/>
    <cellStyle name="general 5 18" xfId="4163"/>
    <cellStyle name="general 5 18 2" xfId="20326"/>
    <cellStyle name="general 5 2" xfId="1703"/>
    <cellStyle name="general 5 2 2" xfId="5616"/>
    <cellStyle name="general 5 2 2 2" xfId="21778"/>
    <cellStyle name="general 5 3" xfId="1704"/>
    <cellStyle name="general 5 3 2" xfId="5617"/>
    <cellStyle name="general 5 3 2 2" xfId="21779"/>
    <cellStyle name="general 5 4" xfId="124"/>
    <cellStyle name="general 5 4 2" xfId="4068"/>
    <cellStyle name="general 5 4 2 2" xfId="20231"/>
    <cellStyle name="general 5 5" xfId="449"/>
    <cellStyle name="general 5 5 2" xfId="4389"/>
    <cellStyle name="general 5 5 2 2" xfId="20552"/>
    <cellStyle name="general 5 6" xfId="1706"/>
    <cellStyle name="general 5 6 2" xfId="5619"/>
    <cellStyle name="general 5 6 2 2" xfId="21781"/>
    <cellStyle name="general 5 7" xfId="1708"/>
    <cellStyle name="general 5 7 2" xfId="5621"/>
    <cellStyle name="general 5 7 2 2" xfId="21783"/>
    <cellStyle name="general 5 8" xfId="1712"/>
    <cellStyle name="general 5 8 2" xfId="5625"/>
    <cellStyle name="general 5 8 2 2" xfId="21787"/>
    <cellStyle name="general 5 9" xfId="8669"/>
    <cellStyle name="general 5 9 2" xfId="24820"/>
    <cellStyle name="general 6" xfId="1713"/>
    <cellStyle name="general 6 10" xfId="8670"/>
    <cellStyle name="general 6 10 2" xfId="24821"/>
    <cellStyle name="general 6 11" xfId="8671"/>
    <cellStyle name="general 6 11 2" xfId="24822"/>
    <cellStyle name="general 6 12" xfId="8672"/>
    <cellStyle name="general 6 12 2" xfId="24823"/>
    <cellStyle name="general 6 13" xfId="8673"/>
    <cellStyle name="general 6 13 2" xfId="24824"/>
    <cellStyle name="general 6 14" xfId="8674"/>
    <cellStyle name="general 6 14 2" xfId="24825"/>
    <cellStyle name="general 6 15" xfId="8675"/>
    <cellStyle name="general 6 15 2" xfId="24826"/>
    <cellStyle name="general 6 16" xfId="8676"/>
    <cellStyle name="general 6 16 2" xfId="24827"/>
    <cellStyle name="general 6 17" xfId="8677"/>
    <cellStyle name="general 6 17 2" xfId="24828"/>
    <cellStyle name="general 6 18" xfId="5626"/>
    <cellStyle name="general 6 18 2" xfId="21788"/>
    <cellStyle name="general 6 2" xfId="1284"/>
    <cellStyle name="general 6 2 2" xfId="5204"/>
    <cellStyle name="general 6 2 2 2" xfId="21366"/>
    <cellStyle name="general 6 3" xfId="1286"/>
    <cellStyle name="general 6 3 2" xfId="5206"/>
    <cellStyle name="general 6 3 2 2" xfId="21368"/>
    <cellStyle name="general 6 4" xfId="451"/>
    <cellStyle name="general 6 4 2" xfId="4391"/>
    <cellStyle name="general 6 4 2 2" xfId="20554"/>
    <cellStyle name="general 6 5" xfId="411"/>
    <cellStyle name="general 6 5 2" xfId="4352"/>
    <cellStyle name="general 6 5 2 2" xfId="20515"/>
    <cellStyle name="general 6 6" xfId="1288"/>
    <cellStyle name="general 6 6 2" xfId="5208"/>
    <cellStyle name="general 6 6 2 2" xfId="21370"/>
    <cellStyle name="general 6 7" xfId="1281"/>
    <cellStyle name="general 6 7 2" xfId="5201"/>
    <cellStyle name="general 6 7 2 2" xfId="21363"/>
    <cellStyle name="general 6 8" xfId="1290"/>
    <cellStyle name="general 6 8 2" xfId="5210"/>
    <cellStyle name="general 6 8 2 2" xfId="21372"/>
    <cellStyle name="general 6 9" xfId="8678"/>
    <cellStyle name="general 6 9 2" xfId="24829"/>
    <cellStyle name="general 7" xfId="1714"/>
    <cellStyle name="general 7 10" xfId="8679"/>
    <cellStyle name="general 7 10 2" xfId="24830"/>
    <cellStyle name="general 7 11" xfId="8680"/>
    <cellStyle name="general 7 11 2" xfId="24831"/>
    <cellStyle name="general 7 12" xfId="8681"/>
    <cellStyle name="general 7 12 2" xfId="24832"/>
    <cellStyle name="general 7 13" xfId="8682"/>
    <cellStyle name="general 7 13 2" xfId="24833"/>
    <cellStyle name="general 7 14" xfId="8683"/>
    <cellStyle name="general 7 14 2" xfId="24834"/>
    <cellStyle name="general 7 15" xfId="8684"/>
    <cellStyle name="general 7 15 2" xfId="24835"/>
    <cellStyle name="general 7 16" xfId="8685"/>
    <cellStyle name="general 7 16 2" xfId="24836"/>
    <cellStyle name="general 7 17" xfId="8686"/>
    <cellStyle name="general 7 17 2" xfId="24837"/>
    <cellStyle name="general 7 18" xfId="5627"/>
    <cellStyle name="general 7 18 2" xfId="21789"/>
    <cellStyle name="general 7 2" xfId="1716"/>
    <cellStyle name="general 7 2 2" xfId="5628"/>
    <cellStyle name="general 7 2 2 2" xfId="21790"/>
    <cellStyle name="general 7 3" xfId="1717"/>
    <cellStyle name="general 7 3 2" xfId="5629"/>
    <cellStyle name="general 7 3 2 2" xfId="21791"/>
    <cellStyle name="general 7 4" xfId="461"/>
    <cellStyle name="general 7 4 2" xfId="4401"/>
    <cellStyle name="general 7 4 2 2" xfId="20564"/>
    <cellStyle name="general 7 5" xfId="471"/>
    <cellStyle name="general 7 5 2" xfId="4411"/>
    <cellStyle name="general 7 5 2 2" xfId="20574"/>
    <cellStyle name="general 7 6" xfId="1718"/>
    <cellStyle name="general 7 6 2" xfId="5630"/>
    <cellStyle name="general 7 6 2 2" xfId="21792"/>
    <cellStyle name="general 7 7" xfId="1719"/>
    <cellStyle name="general 7 7 2" xfId="5631"/>
    <cellStyle name="general 7 7 2 2" xfId="21793"/>
    <cellStyle name="general 7 8" xfId="1720"/>
    <cellStyle name="general 7 8 2" xfId="5632"/>
    <cellStyle name="general 7 8 2 2" xfId="21794"/>
    <cellStyle name="general 7 9" xfId="8687"/>
    <cellStyle name="general 7 9 2" xfId="24838"/>
    <cellStyle name="general 8" xfId="347"/>
    <cellStyle name="general 8 10" xfId="8688"/>
    <cellStyle name="general 8 10 2" xfId="24839"/>
    <cellStyle name="general 8 11" xfId="8689"/>
    <cellStyle name="general 8 11 2" xfId="24840"/>
    <cellStyle name="general 8 12" xfId="8690"/>
    <cellStyle name="general 8 12 2" xfId="24841"/>
    <cellStyle name="general 8 13" xfId="8691"/>
    <cellStyle name="general 8 13 2" xfId="24842"/>
    <cellStyle name="general 8 14" xfId="8692"/>
    <cellStyle name="general 8 14 2" xfId="24843"/>
    <cellStyle name="general 8 15" xfId="8693"/>
    <cellStyle name="general 8 15 2" xfId="24844"/>
    <cellStyle name="general 8 16" xfId="8694"/>
    <cellStyle name="general 8 16 2" xfId="24845"/>
    <cellStyle name="general 8 17" xfId="8695"/>
    <cellStyle name="general 8 17 2" xfId="24846"/>
    <cellStyle name="general 8 18" xfId="4293"/>
    <cellStyle name="general 8 18 2" xfId="20456"/>
    <cellStyle name="general 8 2" xfId="355"/>
    <cellStyle name="general 8 2 2" xfId="4298"/>
    <cellStyle name="general 8 2 2 2" xfId="20461"/>
    <cellStyle name="general 8 3" xfId="357"/>
    <cellStyle name="general 8 3 2" xfId="4300"/>
    <cellStyle name="general 8 3 2 2" xfId="20463"/>
    <cellStyle name="general 8 4" xfId="474"/>
    <cellStyle name="general 8 4 2" xfId="4416"/>
    <cellStyle name="general 8 4 2 2" xfId="20579"/>
    <cellStyle name="general 8 5" xfId="488"/>
    <cellStyle name="general 8 5 2" xfId="4430"/>
    <cellStyle name="general 8 5 2 2" xfId="20593"/>
    <cellStyle name="general 8 6" xfId="1401"/>
    <cellStyle name="general 8 6 2" xfId="5319"/>
    <cellStyle name="general 8 6 2 2" xfId="21481"/>
    <cellStyle name="general 8 7" xfId="1405"/>
    <cellStyle name="general 8 7 2" xfId="5323"/>
    <cellStyle name="general 8 7 2 2" xfId="21485"/>
    <cellStyle name="general 8 8" xfId="1409"/>
    <cellStyle name="general 8 8 2" xfId="5327"/>
    <cellStyle name="general 8 8 2 2" xfId="21489"/>
    <cellStyle name="general 8 9" xfId="8696"/>
    <cellStyle name="general 8 9 2" xfId="24847"/>
    <cellStyle name="general 9" xfId="360"/>
    <cellStyle name="general 9 10" xfId="8697"/>
    <cellStyle name="general 9 10 2" xfId="24848"/>
    <cellStyle name="general 9 11" xfId="8698"/>
    <cellStyle name="general 9 11 2" xfId="24849"/>
    <cellStyle name="general 9 12" xfId="8699"/>
    <cellStyle name="general 9 12 2" xfId="24850"/>
    <cellStyle name="general 9 13" xfId="8700"/>
    <cellStyle name="general 9 13 2" xfId="24851"/>
    <cellStyle name="general 9 14" xfId="8701"/>
    <cellStyle name="general 9 14 2" xfId="24852"/>
    <cellStyle name="general 9 15" xfId="8702"/>
    <cellStyle name="general 9 15 2" xfId="24853"/>
    <cellStyle name="general 9 16" xfId="8703"/>
    <cellStyle name="general 9 16 2" xfId="24854"/>
    <cellStyle name="general 9 17" xfId="8704"/>
    <cellStyle name="general 9 17 2" xfId="24855"/>
    <cellStyle name="general 9 18" xfId="4303"/>
    <cellStyle name="general 9 18 2" xfId="20466"/>
    <cellStyle name="general 9 2" xfId="1722"/>
    <cellStyle name="general 9 2 2" xfId="5634"/>
    <cellStyle name="general 9 2 2 2" xfId="21796"/>
    <cellStyle name="general 9 3" xfId="1724"/>
    <cellStyle name="general 9 3 2" xfId="5636"/>
    <cellStyle name="general 9 3 2 2" xfId="21798"/>
    <cellStyle name="general 9 4" xfId="1726"/>
    <cellStyle name="general 9 4 2" xfId="5638"/>
    <cellStyle name="general 9 4 2 2" xfId="21800"/>
    <cellStyle name="general 9 5" xfId="1728"/>
    <cellStyle name="general 9 5 2" xfId="5640"/>
    <cellStyle name="general 9 5 2 2" xfId="21802"/>
    <cellStyle name="general 9 6" xfId="1730"/>
    <cellStyle name="general 9 6 2" xfId="5642"/>
    <cellStyle name="general 9 6 2 2" xfId="21804"/>
    <cellStyle name="general 9 7" xfId="1732"/>
    <cellStyle name="general 9 7 2" xfId="5644"/>
    <cellStyle name="general 9 7 2 2" xfId="21806"/>
    <cellStyle name="general 9 8" xfId="1734"/>
    <cellStyle name="general 9 8 2" xfId="5646"/>
    <cellStyle name="general 9 8 2 2" xfId="21808"/>
    <cellStyle name="general 9 9" xfId="8705"/>
    <cellStyle name="general 9 9 2" xfId="24856"/>
    <cellStyle name="general_Achampally-Gattubuthkur-Ganga-CRR" xfId="1715"/>
    <cellStyle name="Good 2" xfId="1737"/>
    <cellStyle name="Good 2 2" xfId="575"/>
    <cellStyle name="Good 2 2 2" xfId="4508"/>
    <cellStyle name="Good 2 2 2 2" xfId="20671"/>
    <cellStyle name="Good 2 3" xfId="1413"/>
    <cellStyle name="Good 2 3 2" xfId="5331"/>
    <cellStyle name="Good 2 3 2 2" xfId="21493"/>
    <cellStyle name="Good 2 4" xfId="5649"/>
    <cellStyle name="Good 2 4 2" xfId="21811"/>
    <cellStyle name="Good 3" xfId="1739"/>
    <cellStyle name="Good 3 2" xfId="5651"/>
    <cellStyle name="Good 3 2 2" xfId="21813"/>
    <cellStyle name="Good 4" xfId="8706"/>
    <cellStyle name="Good 4 2" xfId="24857"/>
    <cellStyle name="Good 5" xfId="8707"/>
    <cellStyle name="Good 5 2" xfId="24858"/>
    <cellStyle name="Grey" xfId="1710"/>
    <cellStyle name="Grey 2" xfId="789"/>
    <cellStyle name="Grey 2 2" xfId="4717"/>
    <cellStyle name="Grey 2 2 2" xfId="20879"/>
    <cellStyle name="Grey 3" xfId="934"/>
    <cellStyle name="Grey 3 2" xfId="4856"/>
    <cellStyle name="Grey 3 2 2" xfId="21018"/>
    <cellStyle name="Grey 4" xfId="5623"/>
    <cellStyle name="Grey 4 2" xfId="21785"/>
    <cellStyle name="Grey_Main-Est-Formats-puligundala" xfId="1742"/>
    <cellStyle name="Header1" xfId="1576"/>
    <cellStyle name="Header1 2" xfId="162"/>
    <cellStyle name="Header1 2 2" xfId="4095"/>
    <cellStyle name="Header1 2 2 2" xfId="20258"/>
    <cellStyle name="Header1 3" xfId="176"/>
    <cellStyle name="Header1 3 2" xfId="4110"/>
    <cellStyle name="Header1 3 2 2" xfId="20273"/>
    <cellStyle name="Header1 4" xfId="5493"/>
    <cellStyle name="Header1 4 2" xfId="21655"/>
    <cellStyle name="Header2" xfId="1579"/>
    <cellStyle name="Header2 2" xfId="1213"/>
    <cellStyle name="Header2 2 2" xfId="5133"/>
    <cellStyle name="Header2 2 2 2" xfId="21295"/>
    <cellStyle name="Header2 2 3" xfId="19362"/>
    <cellStyle name="Header2 3" xfId="1216"/>
    <cellStyle name="Header2 3 2" xfId="5136"/>
    <cellStyle name="Header2 3 2 2" xfId="21298"/>
    <cellStyle name="Header2 3 3" xfId="19364"/>
    <cellStyle name="Header2 4" xfId="5496"/>
    <cellStyle name="Header2 4 2" xfId="21658"/>
    <cellStyle name="Header2 5" xfId="19556"/>
    <cellStyle name="Heading 1 2" xfId="1746"/>
    <cellStyle name="Heading 1 2 2" xfId="1748"/>
    <cellStyle name="Heading 1 2 2 2" xfId="5659"/>
    <cellStyle name="Heading 1 2 2 2 2" xfId="21821"/>
    <cellStyle name="Heading 1 2 3" xfId="1750"/>
    <cellStyle name="Heading 1 2 3 2" xfId="5661"/>
    <cellStyle name="Heading 1 2 3 2 2" xfId="21823"/>
    <cellStyle name="Heading 1 2 4" xfId="5657"/>
    <cellStyle name="Heading 1 2 4 2" xfId="21819"/>
    <cellStyle name="Heading 1 3" xfId="1751"/>
    <cellStyle name="Heading 1 3 2" xfId="5662"/>
    <cellStyle name="Heading 1 3 2 2" xfId="21824"/>
    <cellStyle name="Heading 1 4" xfId="8708"/>
    <cellStyle name="Heading 1 4 2" xfId="24859"/>
    <cellStyle name="Heading 1 5" xfId="8709"/>
    <cellStyle name="Heading 1 5 2" xfId="24860"/>
    <cellStyle name="Heading 2 2" xfId="466"/>
    <cellStyle name="Heading 2 2 2" xfId="1144"/>
    <cellStyle name="Heading 2 2 2 2" xfId="5065"/>
    <cellStyle name="Heading 2 2 2 2 2" xfId="21227"/>
    <cellStyle name="Heading 2 2 3" xfId="107"/>
    <cellStyle name="Heading 2 2 3 2" xfId="4055"/>
    <cellStyle name="Heading 2 2 3 2 2" xfId="20218"/>
    <cellStyle name="Heading 2 2 4" xfId="4408"/>
    <cellStyle name="Heading 2 2 4 2" xfId="20571"/>
    <cellStyle name="Heading 2 3" xfId="1752"/>
    <cellStyle name="Heading 2 3 2" xfId="5663"/>
    <cellStyle name="Heading 2 3 2 2" xfId="21825"/>
    <cellStyle name="Heading 2 4" xfId="8710"/>
    <cellStyle name="Heading 2 4 2" xfId="24861"/>
    <cellStyle name="Heading 2 5" xfId="8711"/>
    <cellStyle name="Heading 2 5 2" xfId="24862"/>
    <cellStyle name="Heading 3 2" xfId="94"/>
    <cellStyle name="Heading 3 2 2" xfId="1230"/>
    <cellStyle name="Heading 3 2 2 2" xfId="5150"/>
    <cellStyle name="Heading 3 2 2 2 2" xfId="21312"/>
    <cellStyle name="Heading 3 2 3" xfId="1235"/>
    <cellStyle name="Heading 3 2 3 2" xfId="5155"/>
    <cellStyle name="Heading 3 2 3 2 2" xfId="21317"/>
    <cellStyle name="Heading 3 2 4" xfId="4159"/>
    <cellStyle name="Heading 3 2 4 2" xfId="20322"/>
    <cellStyle name="Heading 3 3" xfId="29"/>
    <cellStyle name="Heading 3 3 2" xfId="4152"/>
    <cellStyle name="Heading 3 3 2 2" xfId="20315"/>
    <cellStyle name="Heading 3 4" xfId="8712"/>
    <cellStyle name="Heading 3 4 2" xfId="24863"/>
    <cellStyle name="Heading 3 5" xfId="8713"/>
    <cellStyle name="Heading 3 5 2" xfId="24864"/>
    <cellStyle name="Heading 4 2" xfId="1278"/>
    <cellStyle name="Heading 4 2 2" xfId="1636"/>
    <cellStyle name="Heading 4 2 2 2" xfId="5550"/>
    <cellStyle name="Heading 4 2 2 2 2" xfId="21712"/>
    <cellStyle name="Heading 4 2 3" xfId="1753"/>
    <cellStyle name="Heading 4 2 3 2" xfId="5664"/>
    <cellStyle name="Heading 4 2 3 2 2" xfId="21826"/>
    <cellStyle name="Heading 4 2 4" xfId="5198"/>
    <cellStyle name="Heading 4 2 4 2" xfId="21360"/>
    <cellStyle name="Heading 4 3" xfId="1555"/>
    <cellStyle name="Heading 4 3 2" xfId="5472"/>
    <cellStyle name="Heading 4 3 2 2" xfId="21634"/>
    <cellStyle name="Heading 4 4" xfId="8714"/>
    <cellStyle name="Heading 4 4 2" xfId="24865"/>
    <cellStyle name="Heading 4 5" xfId="8715"/>
    <cellStyle name="Heading 4 5 2" xfId="24866"/>
    <cellStyle name="Hyperlink" xfId="25" builtinId="8"/>
    <cellStyle name="Hyperlink 2" xfId="541"/>
    <cellStyle name="Hyperlink 2 2" xfId="1756"/>
    <cellStyle name="Hyperlink 2 2 2" xfId="5667"/>
    <cellStyle name="Hyperlink 2 2 2 2" xfId="21829"/>
    <cellStyle name="Hyperlink 2 3" xfId="1759"/>
    <cellStyle name="Hyperlink 2 3 2" xfId="5670"/>
    <cellStyle name="Hyperlink 2 3 2 2" xfId="21832"/>
    <cellStyle name="Hyperlink 2 4" xfId="4477"/>
    <cellStyle name="Hyperlink 2 4 2" xfId="20640"/>
    <cellStyle name="Hyperlink 2_Rukmapur (CPD)-wk" xfId="183"/>
    <cellStyle name="Hyperlink 3" xfId="3983"/>
    <cellStyle name="Hyperlink 3 2" xfId="20146"/>
    <cellStyle name="Input [yellow]" xfId="1384"/>
    <cellStyle name="Input [yellow] 2" xfId="376"/>
    <cellStyle name="Input [yellow] 2 2" xfId="4314"/>
    <cellStyle name="Input [yellow] 2 2 2" xfId="20477"/>
    <cellStyle name="Input [yellow] 2 3" xfId="19070"/>
    <cellStyle name="Input [yellow] 3" xfId="1582"/>
    <cellStyle name="Input [yellow] 3 2" xfId="5499"/>
    <cellStyle name="Input [yellow] 3 2 2" xfId="21661"/>
    <cellStyle name="Input [yellow] 3 3" xfId="19557"/>
    <cellStyle name="Input [yellow] 4" xfId="5302"/>
    <cellStyle name="Input [yellow] 4 2" xfId="21464"/>
    <cellStyle name="Input [yellow] 5" xfId="19455"/>
    <cellStyle name="Input [yellow]_Main-Est-Formats-puligundala" xfId="1761"/>
    <cellStyle name="Input 10" xfId="8716"/>
    <cellStyle name="Input 10 2" xfId="24867"/>
    <cellStyle name="Input 11" xfId="8717"/>
    <cellStyle name="Input 11 2" xfId="24868"/>
    <cellStyle name="Input 12" xfId="8718"/>
    <cellStyle name="Input 12 2" xfId="24869"/>
    <cellStyle name="Input 13" xfId="8719"/>
    <cellStyle name="Input 13 2" xfId="24870"/>
    <cellStyle name="Input 14" xfId="8720"/>
    <cellStyle name="Input 14 2" xfId="24871"/>
    <cellStyle name="Input 15" xfId="8721"/>
    <cellStyle name="Input 15 2" xfId="24872"/>
    <cellStyle name="Input 16" xfId="8722"/>
    <cellStyle name="Input 16 2" xfId="24873"/>
    <cellStyle name="Input 17" xfId="8723"/>
    <cellStyle name="Input 17 2" xfId="24874"/>
    <cellStyle name="Input 2" xfId="862"/>
    <cellStyle name="Input 2 2" xfId="201"/>
    <cellStyle name="Input 2 2 2" xfId="4175"/>
    <cellStyle name="Input 2 2 2 2" xfId="20338"/>
    <cellStyle name="Input 2 2 3" xfId="19022"/>
    <cellStyle name="Input 2 3" xfId="1220"/>
    <cellStyle name="Input 2 3 2" xfId="5140"/>
    <cellStyle name="Input 2 3 2 2" xfId="21302"/>
    <cellStyle name="Input 2 3 3" xfId="19367"/>
    <cellStyle name="Input 2 4" xfId="4789"/>
    <cellStyle name="Input 2 4 2" xfId="20951"/>
    <cellStyle name="Input 2 5" xfId="19211"/>
    <cellStyle name="Input 3" xfId="871"/>
    <cellStyle name="Input 3 2" xfId="8724"/>
    <cellStyle name="Input 3 2 2" xfId="24875"/>
    <cellStyle name="Input 3 3" xfId="8725"/>
    <cellStyle name="Input 3 3 2" xfId="24876"/>
    <cellStyle name="Input 3 4" xfId="4793"/>
    <cellStyle name="Input 3 4 2" xfId="20955"/>
    <cellStyle name="Input 3 5" xfId="19217"/>
    <cellStyle name="Input 4" xfId="8726"/>
    <cellStyle name="Input 4 2" xfId="24877"/>
    <cellStyle name="Input 5" xfId="8727"/>
    <cellStyle name="Input 5 2" xfId="24878"/>
    <cellStyle name="Input 6" xfId="8728"/>
    <cellStyle name="Input 6 2" xfId="24879"/>
    <cellStyle name="Input 7" xfId="8729"/>
    <cellStyle name="Input 7 2" xfId="24880"/>
    <cellStyle name="Input 8" xfId="8730"/>
    <cellStyle name="Input 8 2" xfId="24881"/>
    <cellStyle name="Input 9" xfId="8731"/>
    <cellStyle name="Input 9 2" xfId="24882"/>
    <cellStyle name="Linked Cell 2" xfId="1766"/>
    <cellStyle name="Linked Cell 2 2" xfId="1768"/>
    <cellStyle name="Linked Cell 2 2 2" xfId="5678"/>
    <cellStyle name="Linked Cell 2 2 2 2" xfId="21840"/>
    <cellStyle name="Linked Cell 2 3" xfId="1770"/>
    <cellStyle name="Linked Cell 2 3 2" xfId="5680"/>
    <cellStyle name="Linked Cell 2 3 2 2" xfId="21842"/>
    <cellStyle name="Linked Cell 2 4" xfId="5676"/>
    <cellStyle name="Linked Cell 2 4 2" xfId="21838"/>
    <cellStyle name="Linked Cell 3" xfId="1772"/>
    <cellStyle name="Linked Cell 3 2" xfId="5682"/>
    <cellStyle name="Linked Cell 3 2 2" xfId="21844"/>
    <cellStyle name="Linked Cell 4" xfId="8732"/>
    <cellStyle name="Linked Cell 4 2" xfId="24883"/>
    <cellStyle name="Linked Cell 5" xfId="8733"/>
    <cellStyle name="Linked Cell 5 2" xfId="24884"/>
    <cellStyle name="M head" xfId="911"/>
    <cellStyle name="M head 2" xfId="1774"/>
    <cellStyle name="M head 2 2" xfId="5683"/>
    <cellStyle name="M head 2 2 2" xfId="21845"/>
    <cellStyle name="M head 3" xfId="1776"/>
    <cellStyle name="M head 3 2" xfId="5685"/>
    <cellStyle name="M head 3 2 2" xfId="21847"/>
    <cellStyle name="M head 4" xfId="1779"/>
    <cellStyle name="M head 4 2" xfId="5688"/>
    <cellStyle name="M head 4 2 2" xfId="21850"/>
    <cellStyle name="M head 5" xfId="4837"/>
    <cellStyle name="M head 5 2" xfId="20999"/>
    <cellStyle name="M Head_2015-16 MASTER CC ROAD &amp; DRAIN" xfId="8734"/>
    <cellStyle name="Main Heading" xfId="93"/>
    <cellStyle name="Main Heading 2" xfId="4158"/>
    <cellStyle name="Main Heading 2 2" xfId="20321"/>
    <cellStyle name="MANKAD" xfId="1624"/>
    <cellStyle name="MANKAD 2" xfId="989"/>
    <cellStyle name="MANKAD 2 2" xfId="4910"/>
    <cellStyle name="MANKAD 2 2 2" xfId="21072"/>
    <cellStyle name="MANKAD 3" xfId="992"/>
    <cellStyle name="MANKAD 3 2" xfId="4913"/>
    <cellStyle name="MANKAD 3 2 2" xfId="21075"/>
    <cellStyle name="MANKAD 4" xfId="479"/>
    <cellStyle name="MANKAD 4 2" xfId="4418"/>
    <cellStyle name="MANKAD 4 2 2" xfId="20581"/>
    <cellStyle name="MANKAD 5" xfId="1780"/>
    <cellStyle name="MANKAD 5 2" xfId="5690"/>
    <cellStyle name="MANKAD 5 2 2" xfId="21852"/>
    <cellStyle name="MANKAD 6" xfId="5538"/>
    <cellStyle name="MANKAD 6 2" xfId="21700"/>
    <cellStyle name="Minor Head" xfId="870"/>
    <cellStyle name="Minor Head 2" xfId="1224"/>
    <cellStyle name="Minor Head 2 2" xfId="5146"/>
    <cellStyle name="Minor Head 2 2 2" xfId="21308"/>
    <cellStyle name="Minor Head 2 3" xfId="19370"/>
    <cellStyle name="Minor Head 3" xfId="731"/>
    <cellStyle name="Minor Head 3 2" xfId="4658"/>
    <cellStyle name="Minor Head 3 2 2" xfId="20820"/>
    <cellStyle name="Minor Head 3 3" xfId="19169"/>
    <cellStyle name="Minor Head 4" xfId="4795"/>
    <cellStyle name="Minor Head 4 2" xfId="20957"/>
    <cellStyle name="Minor Head 5" xfId="19216"/>
    <cellStyle name="Neutral 2" xfId="1240"/>
    <cellStyle name="Neutral 2 2" xfId="1781"/>
    <cellStyle name="Neutral 2 2 2" xfId="5691"/>
    <cellStyle name="Neutral 2 2 2 2" xfId="21853"/>
    <cellStyle name="Neutral 2 3" xfId="1741"/>
    <cellStyle name="Neutral 2 3 2" xfId="5653"/>
    <cellStyle name="Neutral 2 3 2 2" xfId="21815"/>
    <cellStyle name="Neutral 2 4" xfId="5160"/>
    <cellStyle name="Neutral 2 4 2" xfId="21322"/>
    <cellStyle name="Neutral 3" xfId="904"/>
    <cellStyle name="Neutral 3 2" xfId="4830"/>
    <cellStyle name="Neutral 3 2 2" xfId="20992"/>
    <cellStyle name="Neutral 4" xfId="8735"/>
    <cellStyle name="Neutral 4 2" xfId="24885"/>
    <cellStyle name="Neutral 5" xfId="8736"/>
    <cellStyle name="Neutral 5 2" xfId="24886"/>
    <cellStyle name="no dec" xfId="310"/>
    <cellStyle name="no dec 2" xfId="1785"/>
    <cellStyle name="no dec 2 2" xfId="1199"/>
    <cellStyle name="no dec 2 2 2" xfId="5119"/>
    <cellStyle name="no dec 2 2 2 2" xfId="21281"/>
    <cellStyle name="no dec 2 3" xfId="5693"/>
    <cellStyle name="no dec 2 3 2" xfId="21855"/>
    <cellStyle name="no dec 3" xfId="1787"/>
    <cellStyle name="no dec 3 2" xfId="5696"/>
    <cellStyle name="no dec 3 2 2" xfId="21858"/>
    <cellStyle name="no dec 4" xfId="1789"/>
    <cellStyle name="no dec 4 2" xfId="5698"/>
    <cellStyle name="no dec 4 2 2" xfId="21860"/>
    <cellStyle name="no dec 5" xfId="1791"/>
    <cellStyle name="no dec 5 2" xfId="5700"/>
    <cellStyle name="no dec 5 2 2" xfId="21862"/>
    <cellStyle name="no dec 6" xfId="4257"/>
    <cellStyle name="no dec 6 2" xfId="20420"/>
    <cellStyle name="no dec_Kallepally-Gunturpalli (Bejjenki)6m-2v" xfId="191"/>
    <cellStyle name="Normal" xfId="0" builtinId="0"/>
    <cellStyle name="Normal - Style1" xfId="206"/>
    <cellStyle name="Normal - Style1 10" xfId="539"/>
    <cellStyle name="Normal - Style1 10 2" xfId="8737"/>
    <cellStyle name="Normal - Style1 10 2 2" xfId="24887"/>
    <cellStyle name="Normal - Style1 10 3" xfId="8738"/>
    <cellStyle name="Normal - Style1 10 3 2" xfId="24888"/>
    <cellStyle name="Normal - Style1 10 4" xfId="4473"/>
    <cellStyle name="Normal - Style1 10 4 2" xfId="20636"/>
    <cellStyle name="Normal - Style1 11" xfId="1001"/>
    <cellStyle name="Normal - Style1 11 2" xfId="4920"/>
    <cellStyle name="Normal - Style1 11 2 2" xfId="21082"/>
    <cellStyle name="Normal - Style1 12" xfId="8739"/>
    <cellStyle name="Normal - Style1 12 2" xfId="24889"/>
    <cellStyle name="Normal - Style1 13" xfId="8740"/>
    <cellStyle name="Normal - Style1 13 2" xfId="24890"/>
    <cellStyle name="Normal - Style1 14" xfId="8741"/>
    <cellStyle name="Normal - Style1 14 2" xfId="24891"/>
    <cellStyle name="Normal - Style1 15" xfId="8742"/>
    <cellStyle name="Normal - Style1 15 2" xfId="24892"/>
    <cellStyle name="Normal - Style1 16" xfId="8743"/>
    <cellStyle name="Normal - Style1 16 2" xfId="24893"/>
    <cellStyle name="Normal - Style1 17" xfId="8744"/>
    <cellStyle name="Normal - Style1 17 2" xfId="24894"/>
    <cellStyle name="Normal - Style1 18" xfId="8745"/>
    <cellStyle name="Normal - Style1 18 2" xfId="24895"/>
    <cellStyle name="Normal - Style1 19" xfId="8746"/>
    <cellStyle name="Normal - Style1 19 2" xfId="24896"/>
    <cellStyle name="Normal - Style1 2" xfId="346"/>
    <cellStyle name="Normal - Style1 2 10" xfId="1077"/>
    <cellStyle name="Normal - Style1 2 10 10" xfId="8747"/>
    <cellStyle name="Normal - Style1 2 10 10 2" xfId="24897"/>
    <cellStyle name="Normal - Style1 2 10 11" xfId="8748"/>
    <cellStyle name="Normal - Style1 2 10 11 2" xfId="24898"/>
    <cellStyle name="Normal - Style1 2 10 12" xfId="8749"/>
    <cellStyle name="Normal - Style1 2 10 12 2" xfId="24899"/>
    <cellStyle name="Normal - Style1 2 10 13" xfId="8750"/>
    <cellStyle name="Normal - Style1 2 10 13 2" xfId="24900"/>
    <cellStyle name="Normal - Style1 2 10 14" xfId="8751"/>
    <cellStyle name="Normal - Style1 2 10 14 2" xfId="24901"/>
    <cellStyle name="Normal - Style1 2 10 15" xfId="8752"/>
    <cellStyle name="Normal - Style1 2 10 15 2" xfId="24902"/>
    <cellStyle name="Normal - Style1 2 10 16" xfId="8753"/>
    <cellStyle name="Normal - Style1 2 10 16 2" xfId="24903"/>
    <cellStyle name="Normal - Style1 2 10 17" xfId="8754"/>
    <cellStyle name="Normal - Style1 2 10 17 2" xfId="24904"/>
    <cellStyle name="Normal - Style1 2 10 18" xfId="4994"/>
    <cellStyle name="Normal - Style1 2 10 18 2" xfId="21156"/>
    <cellStyle name="Normal - Style1 2 10 2" xfId="1587"/>
    <cellStyle name="Normal - Style1 2 10 2 2" xfId="8755"/>
    <cellStyle name="Normal - Style1 2 10 2 2 2" xfId="24905"/>
    <cellStyle name="Normal - Style1 2 10 2 3" xfId="5504"/>
    <cellStyle name="Normal - Style1 2 10 2 3 2" xfId="21666"/>
    <cellStyle name="Normal - Style1 2 10 3" xfId="1589"/>
    <cellStyle name="Normal - Style1 2 10 3 2" xfId="5506"/>
    <cellStyle name="Normal - Style1 2 10 3 2 2" xfId="21668"/>
    <cellStyle name="Normal - Style1 2 10 4" xfId="1591"/>
    <cellStyle name="Normal - Style1 2 10 4 2" xfId="5508"/>
    <cellStyle name="Normal - Style1 2 10 4 2 2" xfId="21670"/>
    <cellStyle name="Normal - Style1 2 10 5" xfId="1594"/>
    <cellStyle name="Normal - Style1 2 10 5 2" xfId="5511"/>
    <cellStyle name="Normal - Style1 2 10 5 2 2" xfId="21673"/>
    <cellStyle name="Normal - Style1 2 10 6" xfId="1792"/>
    <cellStyle name="Normal - Style1 2 10 6 2" xfId="5702"/>
    <cellStyle name="Normal - Style1 2 10 6 2 2" xfId="21864"/>
    <cellStyle name="Normal - Style1 2 10 7" xfId="1794"/>
    <cellStyle name="Normal - Style1 2 10 7 2" xfId="5704"/>
    <cellStyle name="Normal - Style1 2 10 7 2 2" xfId="21866"/>
    <cellStyle name="Normal - Style1 2 10 8" xfId="1796"/>
    <cellStyle name="Normal - Style1 2 10 8 2" xfId="5706"/>
    <cellStyle name="Normal - Style1 2 10 8 2 2" xfId="21868"/>
    <cellStyle name="Normal - Style1 2 10 9" xfId="8756"/>
    <cellStyle name="Normal - Style1 2 10 9 2" xfId="24906"/>
    <cellStyle name="Normal - Style1 2 11" xfId="1083"/>
    <cellStyle name="Normal - Style1 2 11 10" xfId="8757"/>
    <cellStyle name="Normal - Style1 2 11 10 2" xfId="24907"/>
    <cellStyle name="Normal - Style1 2 11 11" xfId="8758"/>
    <cellStyle name="Normal - Style1 2 11 11 2" xfId="24908"/>
    <cellStyle name="Normal - Style1 2 11 12" xfId="8759"/>
    <cellStyle name="Normal - Style1 2 11 12 2" xfId="24909"/>
    <cellStyle name="Normal - Style1 2 11 13" xfId="8760"/>
    <cellStyle name="Normal - Style1 2 11 13 2" xfId="24910"/>
    <cellStyle name="Normal - Style1 2 11 14" xfId="8761"/>
    <cellStyle name="Normal - Style1 2 11 14 2" xfId="24911"/>
    <cellStyle name="Normal - Style1 2 11 15" xfId="8762"/>
    <cellStyle name="Normal - Style1 2 11 15 2" xfId="24912"/>
    <cellStyle name="Normal - Style1 2 11 16" xfId="8763"/>
    <cellStyle name="Normal - Style1 2 11 16 2" xfId="24913"/>
    <cellStyle name="Normal - Style1 2 11 17" xfId="8764"/>
    <cellStyle name="Normal - Style1 2 11 17 2" xfId="24914"/>
    <cellStyle name="Normal - Style1 2 11 18" xfId="5000"/>
    <cellStyle name="Normal - Style1 2 11 18 2" xfId="21162"/>
    <cellStyle name="Normal - Style1 2 11 2" xfId="1671"/>
    <cellStyle name="Normal - Style1 2 11 2 2" xfId="5582"/>
    <cellStyle name="Normal - Style1 2 11 2 2 2" xfId="21744"/>
    <cellStyle name="Normal - Style1 2 11 3" xfId="777"/>
    <cellStyle name="Normal - Style1 2 11 3 2" xfId="4706"/>
    <cellStyle name="Normal - Style1 2 11 3 2 2" xfId="20868"/>
    <cellStyle name="Normal - Style1 2 11 4" xfId="1673"/>
    <cellStyle name="Normal - Style1 2 11 4 2" xfId="5585"/>
    <cellStyle name="Normal - Style1 2 11 4 2 2" xfId="21747"/>
    <cellStyle name="Normal - Style1 2 11 5" xfId="1675"/>
    <cellStyle name="Normal - Style1 2 11 5 2" xfId="5587"/>
    <cellStyle name="Normal - Style1 2 11 5 2 2" xfId="21749"/>
    <cellStyle name="Normal - Style1 2 11 6" xfId="1677"/>
    <cellStyle name="Normal - Style1 2 11 6 2" xfId="5589"/>
    <cellStyle name="Normal - Style1 2 11 6 2 2" xfId="21751"/>
    <cellStyle name="Normal - Style1 2 11 7" xfId="1680"/>
    <cellStyle name="Normal - Style1 2 11 7 2" xfId="5592"/>
    <cellStyle name="Normal - Style1 2 11 7 2 2" xfId="21754"/>
    <cellStyle name="Normal - Style1 2 11 8" xfId="1798"/>
    <cellStyle name="Normal - Style1 2 11 8 2" xfId="5708"/>
    <cellStyle name="Normal - Style1 2 11 8 2 2" xfId="21870"/>
    <cellStyle name="Normal - Style1 2 11 9" xfId="8765"/>
    <cellStyle name="Normal - Style1 2 11 9 2" xfId="24915"/>
    <cellStyle name="Normal - Style1 2 12" xfId="1088"/>
    <cellStyle name="Normal - Style1 2 12 2" xfId="5005"/>
    <cellStyle name="Normal - Style1 2 12 2 2" xfId="21167"/>
    <cellStyle name="Normal - Style1 2 13" xfId="1093"/>
    <cellStyle name="Normal - Style1 2 13 2" xfId="5010"/>
    <cellStyle name="Normal - Style1 2 13 2 2" xfId="21172"/>
    <cellStyle name="Normal - Style1 2 14" xfId="1098"/>
    <cellStyle name="Normal - Style1 2 14 2" xfId="5015"/>
    <cellStyle name="Normal - Style1 2 14 2 2" xfId="21177"/>
    <cellStyle name="Normal - Style1 2 15" xfId="1103"/>
    <cellStyle name="Normal - Style1 2 15 2" xfId="5020"/>
    <cellStyle name="Normal - Style1 2 15 2 2" xfId="21182"/>
    <cellStyle name="Normal - Style1 2 16" xfId="646"/>
    <cellStyle name="Normal - Style1 2 16 2" xfId="4578"/>
    <cellStyle name="Normal - Style1 2 16 2 2" xfId="20740"/>
    <cellStyle name="Normal - Style1 2 17" xfId="1800"/>
    <cellStyle name="Normal - Style1 2 17 2" xfId="5709"/>
    <cellStyle name="Normal - Style1 2 17 2 2" xfId="21871"/>
    <cellStyle name="Normal - Style1 2 18" xfId="497"/>
    <cellStyle name="Normal - Style1 2 18 2" xfId="4436"/>
    <cellStyle name="Normal - Style1 2 18 2 2" xfId="20599"/>
    <cellStyle name="Normal - Style1 2 19" xfId="8766"/>
    <cellStyle name="Normal - Style1 2 19 2" xfId="24916"/>
    <cellStyle name="Normal - Style1 2 2" xfId="354"/>
    <cellStyle name="Normal - Style1 2 2 10" xfId="1801"/>
    <cellStyle name="Normal - Style1 2 2 10 10" xfId="8767"/>
    <cellStyle name="Normal - Style1 2 2 10 10 2" xfId="24917"/>
    <cellStyle name="Normal - Style1 2 2 10 11" xfId="8768"/>
    <cellStyle name="Normal - Style1 2 2 10 11 2" xfId="24918"/>
    <cellStyle name="Normal - Style1 2 2 10 12" xfId="8769"/>
    <cellStyle name="Normal - Style1 2 2 10 12 2" xfId="24919"/>
    <cellStyle name="Normal - Style1 2 2 10 13" xfId="8770"/>
    <cellStyle name="Normal - Style1 2 2 10 13 2" xfId="24920"/>
    <cellStyle name="Normal - Style1 2 2 10 14" xfId="8771"/>
    <cellStyle name="Normal - Style1 2 2 10 14 2" xfId="24921"/>
    <cellStyle name="Normal - Style1 2 2 10 15" xfId="8772"/>
    <cellStyle name="Normal - Style1 2 2 10 15 2" xfId="24922"/>
    <cellStyle name="Normal - Style1 2 2 10 16" xfId="8773"/>
    <cellStyle name="Normal - Style1 2 2 10 16 2" xfId="24923"/>
    <cellStyle name="Normal - Style1 2 2 10 17" xfId="8774"/>
    <cellStyle name="Normal - Style1 2 2 10 17 2" xfId="24924"/>
    <cellStyle name="Normal - Style1 2 2 10 18" xfId="5711"/>
    <cellStyle name="Normal - Style1 2 2 10 18 2" xfId="21873"/>
    <cellStyle name="Normal - Style1 2 2 10 2" xfId="1802"/>
    <cellStyle name="Normal - Style1 2 2 10 2 2" xfId="5712"/>
    <cellStyle name="Normal - Style1 2 2 10 2 2 2" xfId="21874"/>
    <cellStyle name="Normal - Style1 2 2 10 3" xfId="1803"/>
    <cellStyle name="Normal - Style1 2 2 10 3 2" xfId="5713"/>
    <cellStyle name="Normal - Style1 2 2 10 3 2 2" xfId="21875"/>
    <cellStyle name="Normal - Style1 2 2 10 4" xfId="1188"/>
    <cellStyle name="Normal - Style1 2 2 10 4 2" xfId="5105"/>
    <cellStyle name="Normal - Style1 2 2 10 4 2 2" xfId="21267"/>
    <cellStyle name="Normal - Style1 2 2 10 5" xfId="393"/>
    <cellStyle name="Normal - Style1 2 2 10 5 2" xfId="4337"/>
    <cellStyle name="Normal - Style1 2 2 10 5 2 2" xfId="20500"/>
    <cellStyle name="Normal - Style1 2 2 10 6" xfId="404"/>
    <cellStyle name="Normal - Style1 2 2 10 6 2" xfId="4347"/>
    <cellStyle name="Normal - Style1 2 2 10 6 2 2" xfId="20510"/>
    <cellStyle name="Normal - Style1 2 2 10 7" xfId="1193"/>
    <cellStyle name="Normal - Style1 2 2 10 7 2" xfId="5109"/>
    <cellStyle name="Normal - Style1 2 2 10 7 2 2" xfId="21271"/>
    <cellStyle name="Normal - Style1 2 2 10 8" xfId="1197"/>
    <cellStyle name="Normal - Style1 2 2 10 8 2" xfId="5114"/>
    <cellStyle name="Normal - Style1 2 2 10 8 2 2" xfId="21276"/>
    <cellStyle name="Normal - Style1 2 2 10 9" xfId="8775"/>
    <cellStyle name="Normal - Style1 2 2 10 9 2" xfId="24925"/>
    <cellStyle name="Normal - Style1 2 2 11" xfId="1804"/>
    <cellStyle name="Normal - Style1 2 2 11 2" xfId="5714"/>
    <cellStyle name="Normal - Style1 2 2 11 2 2" xfId="21876"/>
    <cellStyle name="Normal - Style1 2 2 12" xfId="1805"/>
    <cellStyle name="Normal - Style1 2 2 12 2" xfId="5715"/>
    <cellStyle name="Normal - Style1 2 2 12 2 2" xfId="21877"/>
    <cellStyle name="Normal - Style1 2 2 13" xfId="1806"/>
    <cellStyle name="Normal - Style1 2 2 13 2" xfId="5716"/>
    <cellStyle name="Normal - Style1 2 2 13 2 2" xfId="21878"/>
    <cellStyle name="Normal - Style1 2 2 14" xfId="1807"/>
    <cellStyle name="Normal - Style1 2 2 14 2" xfId="5717"/>
    <cellStyle name="Normal - Style1 2 2 14 2 2" xfId="21879"/>
    <cellStyle name="Normal - Style1 2 2 15" xfId="1147"/>
    <cellStyle name="Normal - Style1 2 2 15 2" xfId="5069"/>
    <cellStyle name="Normal - Style1 2 2 15 2 2" xfId="21231"/>
    <cellStyle name="Normal - Style1 2 2 16" xfId="1809"/>
    <cellStyle name="Normal - Style1 2 2 16 2" xfId="5719"/>
    <cellStyle name="Normal - Style1 2 2 16 2 2" xfId="21881"/>
    <cellStyle name="Normal - Style1 2 2 17" xfId="1812"/>
    <cellStyle name="Normal - Style1 2 2 17 2" xfId="5722"/>
    <cellStyle name="Normal - Style1 2 2 17 2 2" xfId="21884"/>
    <cellStyle name="Normal - Style1 2 2 18" xfId="8776"/>
    <cellStyle name="Normal - Style1 2 2 18 2" xfId="24926"/>
    <cellStyle name="Normal - Style1 2 2 19" xfId="8777"/>
    <cellStyle name="Normal - Style1 2 2 19 2" xfId="24927"/>
    <cellStyle name="Normal - Style1 2 2 2" xfId="1814"/>
    <cellStyle name="Normal - Style1 2 2 2 10" xfId="8778"/>
    <cellStyle name="Normal - Style1 2 2 2 10 2" xfId="24928"/>
    <cellStyle name="Normal - Style1 2 2 2 11" xfId="8779"/>
    <cellStyle name="Normal - Style1 2 2 2 11 2" xfId="24929"/>
    <cellStyle name="Normal - Style1 2 2 2 12" xfId="8780"/>
    <cellStyle name="Normal - Style1 2 2 2 12 2" xfId="24930"/>
    <cellStyle name="Normal - Style1 2 2 2 13" xfId="8781"/>
    <cellStyle name="Normal - Style1 2 2 2 13 2" xfId="24931"/>
    <cellStyle name="Normal - Style1 2 2 2 14" xfId="8782"/>
    <cellStyle name="Normal - Style1 2 2 2 14 2" xfId="24932"/>
    <cellStyle name="Normal - Style1 2 2 2 15" xfId="8783"/>
    <cellStyle name="Normal - Style1 2 2 2 15 2" xfId="24933"/>
    <cellStyle name="Normal - Style1 2 2 2 16" xfId="8784"/>
    <cellStyle name="Normal - Style1 2 2 2 16 2" xfId="24934"/>
    <cellStyle name="Normal - Style1 2 2 2 17" xfId="8785"/>
    <cellStyle name="Normal - Style1 2 2 2 17 2" xfId="24935"/>
    <cellStyle name="Normal - Style1 2 2 2 18" xfId="5724"/>
    <cellStyle name="Normal - Style1 2 2 2 18 2" xfId="21886"/>
    <cellStyle name="Normal - Style1 2 2 2 2" xfId="1817"/>
    <cellStyle name="Normal - Style1 2 2 2 2 2" xfId="5727"/>
    <cellStyle name="Normal - Style1 2 2 2 2 2 2" xfId="21889"/>
    <cellStyle name="Normal - Style1 2 2 2 3" xfId="1820"/>
    <cellStyle name="Normal - Style1 2 2 2 3 2" xfId="5730"/>
    <cellStyle name="Normal - Style1 2 2 2 3 2 2" xfId="21892"/>
    <cellStyle name="Normal - Style1 2 2 2 4" xfId="1824"/>
    <cellStyle name="Normal - Style1 2 2 2 4 2" xfId="5733"/>
    <cellStyle name="Normal - Style1 2 2 2 4 2 2" xfId="21895"/>
    <cellStyle name="Normal - Style1 2 2 2 5" xfId="1826"/>
    <cellStyle name="Normal - Style1 2 2 2 5 2" xfId="5735"/>
    <cellStyle name="Normal - Style1 2 2 2 5 2 2" xfId="21897"/>
    <cellStyle name="Normal - Style1 2 2 2 6" xfId="796"/>
    <cellStyle name="Normal - Style1 2 2 2 6 2" xfId="4722"/>
    <cellStyle name="Normal - Style1 2 2 2 6 2 2" xfId="20884"/>
    <cellStyle name="Normal - Style1 2 2 2 7" xfId="582"/>
    <cellStyle name="Normal - Style1 2 2 2 7 2" xfId="4517"/>
    <cellStyle name="Normal - Style1 2 2 2 7 2 2" xfId="20680"/>
    <cellStyle name="Normal - Style1 2 2 2 8" xfId="722"/>
    <cellStyle name="Normal - Style1 2 2 2 8 2" xfId="4653"/>
    <cellStyle name="Normal - Style1 2 2 2 8 2 2" xfId="20815"/>
    <cellStyle name="Normal - Style1 2 2 2 9" xfId="8786"/>
    <cellStyle name="Normal - Style1 2 2 2 9 2" xfId="24936"/>
    <cellStyle name="Normal - Style1 2 2 20" xfId="8787"/>
    <cellStyle name="Normal - Style1 2 2 20 2" xfId="24937"/>
    <cellStyle name="Normal - Style1 2 2 21" xfId="8788"/>
    <cellStyle name="Normal - Style1 2 2 21 2" xfId="24938"/>
    <cellStyle name="Normal - Style1 2 2 22" xfId="8789"/>
    <cellStyle name="Normal - Style1 2 2 22 2" xfId="24939"/>
    <cellStyle name="Normal - Style1 2 2 23" xfId="8790"/>
    <cellStyle name="Normal - Style1 2 2 23 2" xfId="24940"/>
    <cellStyle name="Normal - Style1 2 2 24" xfId="8791"/>
    <cellStyle name="Normal - Style1 2 2 24 2" xfId="24941"/>
    <cellStyle name="Normal - Style1 2 2 25" xfId="8792"/>
    <cellStyle name="Normal - Style1 2 2 25 2" xfId="24942"/>
    <cellStyle name="Normal - Style1 2 2 26" xfId="8793"/>
    <cellStyle name="Normal - Style1 2 2 26 2" xfId="24943"/>
    <cellStyle name="Normal - Style1 2 2 27" xfId="4297"/>
    <cellStyle name="Normal - Style1 2 2 27 2" xfId="20460"/>
    <cellStyle name="Normal - Style1 2 2 3" xfId="1827"/>
    <cellStyle name="Normal - Style1 2 2 3 10" xfId="8794"/>
    <cellStyle name="Normal - Style1 2 2 3 10 2" xfId="24944"/>
    <cellStyle name="Normal - Style1 2 2 3 11" xfId="8795"/>
    <cellStyle name="Normal - Style1 2 2 3 11 2" xfId="24945"/>
    <cellStyle name="Normal - Style1 2 2 3 12" xfId="8796"/>
    <cellStyle name="Normal - Style1 2 2 3 12 2" xfId="24946"/>
    <cellStyle name="Normal - Style1 2 2 3 13" xfId="8797"/>
    <cellStyle name="Normal - Style1 2 2 3 13 2" xfId="24947"/>
    <cellStyle name="Normal - Style1 2 2 3 14" xfId="8798"/>
    <cellStyle name="Normal - Style1 2 2 3 14 2" xfId="24948"/>
    <cellStyle name="Normal - Style1 2 2 3 15" xfId="8799"/>
    <cellStyle name="Normal - Style1 2 2 3 15 2" xfId="24949"/>
    <cellStyle name="Normal - Style1 2 2 3 16" xfId="8800"/>
    <cellStyle name="Normal - Style1 2 2 3 16 2" xfId="24950"/>
    <cellStyle name="Normal - Style1 2 2 3 17" xfId="8801"/>
    <cellStyle name="Normal - Style1 2 2 3 17 2" xfId="24951"/>
    <cellStyle name="Normal - Style1 2 2 3 18" xfId="5736"/>
    <cellStyle name="Normal - Style1 2 2 3 18 2" xfId="21898"/>
    <cellStyle name="Normal - Style1 2 2 3 2" xfId="1764"/>
    <cellStyle name="Normal - Style1 2 2 3 2 2" xfId="5673"/>
    <cellStyle name="Normal - Style1 2 2 3 2 2 2" xfId="21835"/>
    <cellStyle name="Normal - Style1 2 2 3 3" xfId="1830"/>
    <cellStyle name="Normal - Style1 2 2 3 3 2" xfId="5739"/>
    <cellStyle name="Normal - Style1 2 2 3 3 2 2" xfId="21901"/>
    <cellStyle name="Normal - Style1 2 2 3 4" xfId="1833"/>
    <cellStyle name="Normal - Style1 2 2 3 4 2" xfId="5742"/>
    <cellStyle name="Normal - Style1 2 2 3 4 2 2" xfId="21904"/>
    <cellStyle name="Normal - Style1 2 2 3 5" xfId="1835"/>
    <cellStyle name="Normal - Style1 2 2 3 5 2" xfId="5744"/>
    <cellStyle name="Normal - Style1 2 2 3 5 2 2" xfId="21906"/>
    <cellStyle name="Normal - Style1 2 2 3 6" xfId="1837"/>
    <cellStyle name="Normal - Style1 2 2 3 6 2" xfId="5746"/>
    <cellStyle name="Normal - Style1 2 2 3 6 2 2" xfId="21908"/>
    <cellStyle name="Normal - Style1 2 2 3 7" xfId="508"/>
    <cellStyle name="Normal - Style1 2 2 3 7 2" xfId="4446"/>
    <cellStyle name="Normal - Style1 2 2 3 7 2 2" xfId="20609"/>
    <cellStyle name="Normal - Style1 2 2 3 8" xfId="697"/>
    <cellStyle name="Normal - Style1 2 2 3 8 2" xfId="4629"/>
    <cellStyle name="Normal - Style1 2 2 3 8 2 2" xfId="20791"/>
    <cellStyle name="Normal - Style1 2 2 3 9" xfId="8802"/>
    <cellStyle name="Normal - Style1 2 2 3 9 2" xfId="24952"/>
    <cellStyle name="Normal - Style1 2 2 4" xfId="729"/>
    <cellStyle name="Normal - Style1 2 2 4 10" xfId="8803"/>
    <cellStyle name="Normal - Style1 2 2 4 10 2" xfId="24953"/>
    <cellStyle name="Normal - Style1 2 2 4 11" xfId="8804"/>
    <cellStyle name="Normal - Style1 2 2 4 11 2" xfId="24954"/>
    <cellStyle name="Normal - Style1 2 2 4 12" xfId="8805"/>
    <cellStyle name="Normal - Style1 2 2 4 12 2" xfId="24955"/>
    <cellStyle name="Normal - Style1 2 2 4 13" xfId="8806"/>
    <cellStyle name="Normal - Style1 2 2 4 13 2" xfId="24956"/>
    <cellStyle name="Normal - Style1 2 2 4 14" xfId="8807"/>
    <cellStyle name="Normal - Style1 2 2 4 14 2" xfId="24957"/>
    <cellStyle name="Normal - Style1 2 2 4 15" xfId="8808"/>
    <cellStyle name="Normal - Style1 2 2 4 15 2" xfId="24958"/>
    <cellStyle name="Normal - Style1 2 2 4 16" xfId="8809"/>
    <cellStyle name="Normal - Style1 2 2 4 16 2" xfId="24959"/>
    <cellStyle name="Normal - Style1 2 2 4 17" xfId="8810"/>
    <cellStyle name="Normal - Style1 2 2 4 17 2" xfId="24960"/>
    <cellStyle name="Normal - Style1 2 2 4 18" xfId="4656"/>
    <cellStyle name="Normal - Style1 2 2 4 18 2" xfId="20818"/>
    <cellStyle name="Normal - Style1 2 2 4 2" xfId="739"/>
    <cellStyle name="Normal - Style1 2 2 4 2 2" xfId="4664"/>
    <cellStyle name="Normal - Style1 2 2 4 2 2 2" xfId="20826"/>
    <cellStyle name="Normal - Style1 2 2 4 3" xfId="749"/>
    <cellStyle name="Normal - Style1 2 2 4 3 2" xfId="4674"/>
    <cellStyle name="Normal - Style1 2 2 4 3 2 2" xfId="20836"/>
    <cellStyle name="Normal - Style1 2 2 4 4" xfId="1840"/>
    <cellStyle name="Normal - Style1 2 2 4 4 2" xfId="5749"/>
    <cellStyle name="Normal - Style1 2 2 4 4 2 2" xfId="21911"/>
    <cellStyle name="Normal - Style1 2 2 4 5" xfId="1843"/>
    <cellStyle name="Normal - Style1 2 2 4 5 2" xfId="5752"/>
    <cellStyle name="Normal - Style1 2 2 4 5 2 2" xfId="21914"/>
    <cellStyle name="Normal - Style1 2 2 4 6" xfId="1846"/>
    <cellStyle name="Normal - Style1 2 2 4 6 2" xfId="5755"/>
    <cellStyle name="Normal - Style1 2 2 4 6 2 2" xfId="21917"/>
    <cellStyle name="Normal - Style1 2 2 4 7" xfId="608"/>
    <cellStyle name="Normal - Style1 2 2 4 7 2" xfId="4538"/>
    <cellStyle name="Normal - Style1 2 2 4 7 2 2" xfId="20700"/>
    <cellStyle name="Normal - Style1 2 2 4 8" xfId="1848"/>
    <cellStyle name="Normal - Style1 2 2 4 8 2" xfId="5757"/>
    <cellStyle name="Normal - Style1 2 2 4 8 2 2" xfId="21919"/>
    <cellStyle name="Normal - Style1 2 2 4 9" xfId="8811"/>
    <cellStyle name="Normal - Style1 2 2 4 9 2" xfId="24961"/>
    <cellStyle name="Normal - Style1 2 2 5" xfId="1849"/>
    <cellStyle name="Normal - Style1 2 2 5 10" xfId="8812"/>
    <cellStyle name="Normal - Style1 2 2 5 10 2" xfId="24962"/>
    <cellStyle name="Normal - Style1 2 2 5 11" xfId="8813"/>
    <cellStyle name="Normal - Style1 2 2 5 11 2" xfId="24963"/>
    <cellStyle name="Normal - Style1 2 2 5 12" xfId="8814"/>
    <cellStyle name="Normal - Style1 2 2 5 12 2" xfId="24964"/>
    <cellStyle name="Normal - Style1 2 2 5 13" xfId="8815"/>
    <cellStyle name="Normal - Style1 2 2 5 13 2" xfId="24965"/>
    <cellStyle name="Normal - Style1 2 2 5 14" xfId="8816"/>
    <cellStyle name="Normal - Style1 2 2 5 14 2" xfId="24966"/>
    <cellStyle name="Normal - Style1 2 2 5 15" xfId="8817"/>
    <cellStyle name="Normal - Style1 2 2 5 15 2" xfId="24967"/>
    <cellStyle name="Normal - Style1 2 2 5 16" xfId="8818"/>
    <cellStyle name="Normal - Style1 2 2 5 16 2" xfId="24968"/>
    <cellStyle name="Normal - Style1 2 2 5 17" xfId="8819"/>
    <cellStyle name="Normal - Style1 2 2 5 17 2" xfId="24969"/>
    <cellStyle name="Normal - Style1 2 2 5 18" xfId="5758"/>
    <cellStyle name="Normal - Style1 2 2 5 18 2" xfId="21920"/>
    <cellStyle name="Normal - Style1 2 2 5 2" xfId="1852"/>
    <cellStyle name="Normal - Style1 2 2 5 2 2" xfId="5761"/>
    <cellStyle name="Normal - Style1 2 2 5 2 2 2" xfId="21923"/>
    <cellStyle name="Normal - Style1 2 2 5 3" xfId="306"/>
    <cellStyle name="Normal - Style1 2 2 5 3 2" xfId="4250"/>
    <cellStyle name="Normal - Style1 2 2 5 3 2 2" xfId="20413"/>
    <cellStyle name="Normal - Style1 2 2 5 4" xfId="314"/>
    <cellStyle name="Normal - Style1 2 2 5 4 2" xfId="4256"/>
    <cellStyle name="Normal - Style1 2 2 5 4 2 2" xfId="20419"/>
    <cellStyle name="Normal - Style1 2 2 5 5" xfId="1854"/>
    <cellStyle name="Normal - Style1 2 2 5 5 2" xfId="5763"/>
    <cellStyle name="Normal - Style1 2 2 5 5 2 2" xfId="21925"/>
    <cellStyle name="Normal - Style1 2 2 5 6" xfId="1856"/>
    <cellStyle name="Normal - Style1 2 2 5 6 2" xfId="5765"/>
    <cellStyle name="Normal - Style1 2 2 5 6 2 2" xfId="21927"/>
    <cellStyle name="Normal - Style1 2 2 5 7" xfId="1858"/>
    <cellStyle name="Normal - Style1 2 2 5 7 2" xfId="5767"/>
    <cellStyle name="Normal - Style1 2 2 5 7 2 2" xfId="21929"/>
    <cellStyle name="Normal - Style1 2 2 5 8" xfId="1859"/>
    <cellStyle name="Normal - Style1 2 2 5 8 2" xfId="5768"/>
    <cellStyle name="Normal - Style1 2 2 5 8 2 2" xfId="21930"/>
    <cellStyle name="Normal - Style1 2 2 5 9" xfId="8820"/>
    <cellStyle name="Normal - Style1 2 2 5 9 2" xfId="24970"/>
    <cellStyle name="Normal - Style1 2 2 6" xfId="1754"/>
    <cellStyle name="Normal - Style1 2 2 6 10" xfId="8821"/>
    <cellStyle name="Normal - Style1 2 2 6 10 2" xfId="24971"/>
    <cellStyle name="Normal - Style1 2 2 6 11" xfId="8822"/>
    <cellStyle name="Normal - Style1 2 2 6 11 2" xfId="24972"/>
    <cellStyle name="Normal - Style1 2 2 6 12" xfId="8823"/>
    <cellStyle name="Normal - Style1 2 2 6 12 2" xfId="24973"/>
    <cellStyle name="Normal - Style1 2 2 6 13" xfId="8824"/>
    <cellStyle name="Normal - Style1 2 2 6 13 2" xfId="24974"/>
    <cellStyle name="Normal - Style1 2 2 6 14" xfId="8825"/>
    <cellStyle name="Normal - Style1 2 2 6 14 2" xfId="24975"/>
    <cellStyle name="Normal - Style1 2 2 6 15" xfId="8826"/>
    <cellStyle name="Normal - Style1 2 2 6 15 2" xfId="24976"/>
    <cellStyle name="Normal - Style1 2 2 6 16" xfId="8827"/>
    <cellStyle name="Normal - Style1 2 2 6 16 2" xfId="24977"/>
    <cellStyle name="Normal - Style1 2 2 6 17" xfId="8828"/>
    <cellStyle name="Normal - Style1 2 2 6 17 2" xfId="24978"/>
    <cellStyle name="Normal - Style1 2 2 6 18" xfId="5665"/>
    <cellStyle name="Normal - Style1 2 2 6 18 2" xfId="21827"/>
    <cellStyle name="Normal - Style1 2 2 6 2" xfId="1862"/>
    <cellStyle name="Normal - Style1 2 2 6 2 2" xfId="5771"/>
    <cellStyle name="Normal - Style1 2 2 6 2 2 2" xfId="21933"/>
    <cellStyle name="Normal - Style1 2 2 6 3" xfId="1865"/>
    <cellStyle name="Normal - Style1 2 2 6 3 2" xfId="5774"/>
    <cellStyle name="Normal - Style1 2 2 6 3 2 2" xfId="21936"/>
    <cellStyle name="Normal - Style1 2 2 6 4" xfId="1868"/>
    <cellStyle name="Normal - Style1 2 2 6 4 2" xfId="5777"/>
    <cellStyle name="Normal - Style1 2 2 6 4 2 2" xfId="21939"/>
    <cellStyle name="Normal - Style1 2 2 6 5" xfId="1871"/>
    <cellStyle name="Normal - Style1 2 2 6 5 2" xfId="5779"/>
    <cellStyle name="Normal - Style1 2 2 6 5 2 2" xfId="21941"/>
    <cellStyle name="Normal - Style1 2 2 6 6" xfId="1874"/>
    <cellStyle name="Normal - Style1 2 2 6 6 2" xfId="5782"/>
    <cellStyle name="Normal - Style1 2 2 6 6 2 2" xfId="21944"/>
    <cellStyle name="Normal - Style1 2 2 6 7" xfId="626"/>
    <cellStyle name="Normal - Style1 2 2 6 7 2" xfId="4558"/>
    <cellStyle name="Normal - Style1 2 2 6 7 2 2" xfId="20720"/>
    <cellStyle name="Normal - Style1 2 2 6 8" xfId="1599"/>
    <cellStyle name="Normal - Style1 2 2 6 8 2" xfId="5516"/>
    <cellStyle name="Normal - Style1 2 2 6 8 2 2" xfId="21678"/>
    <cellStyle name="Normal - Style1 2 2 6 9" xfId="8829"/>
    <cellStyle name="Normal - Style1 2 2 6 9 2" xfId="24979"/>
    <cellStyle name="Normal - Style1 2 2 7" xfId="1757"/>
    <cellStyle name="Normal - Style1 2 2 7 10" xfId="8830"/>
    <cellStyle name="Normal - Style1 2 2 7 10 2" xfId="24980"/>
    <cellStyle name="Normal - Style1 2 2 7 11" xfId="8831"/>
    <cellStyle name="Normal - Style1 2 2 7 11 2" xfId="24981"/>
    <cellStyle name="Normal - Style1 2 2 7 12" xfId="8832"/>
    <cellStyle name="Normal - Style1 2 2 7 12 2" xfId="24982"/>
    <cellStyle name="Normal - Style1 2 2 7 13" xfId="8833"/>
    <cellStyle name="Normal - Style1 2 2 7 13 2" xfId="24983"/>
    <cellStyle name="Normal - Style1 2 2 7 14" xfId="8834"/>
    <cellStyle name="Normal - Style1 2 2 7 14 2" xfId="24984"/>
    <cellStyle name="Normal - Style1 2 2 7 15" xfId="8835"/>
    <cellStyle name="Normal - Style1 2 2 7 15 2" xfId="24985"/>
    <cellStyle name="Normal - Style1 2 2 7 16" xfId="8836"/>
    <cellStyle name="Normal - Style1 2 2 7 16 2" xfId="24986"/>
    <cellStyle name="Normal - Style1 2 2 7 17" xfId="8837"/>
    <cellStyle name="Normal - Style1 2 2 7 17 2" xfId="24987"/>
    <cellStyle name="Normal - Style1 2 2 7 18" xfId="5668"/>
    <cellStyle name="Normal - Style1 2 2 7 18 2" xfId="21830"/>
    <cellStyle name="Normal - Style1 2 2 7 2" xfId="1876"/>
    <cellStyle name="Normal - Style1 2 2 7 2 2" xfId="5784"/>
    <cellStyle name="Normal - Style1 2 2 7 2 2 2" xfId="21946"/>
    <cellStyle name="Normal - Style1 2 2 7 3" xfId="1878"/>
    <cellStyle name="Normal - Style1 2 2 7 3 2" xfId="5786"/>
    <cellStyle name="Normal - Style1 2 2 7 3 2 2" xfId="21948"/>
    <cellStyle name="Normal - Style1 2 2 7 4" xfId="1880"/>
    <cellStyle name="Normal - Style1 2 2 7 4 2" xfId="5788"/>
    <cellStyle name="Normal - Style1 2 2 7 4 2 2" xfId="21950"/>
    <cellStyle name="Normal - Style1 2 2 7 5" xfId="1881"/>
    <cellStyle name="Normal - Style1 2 2 7 5 2" xfId="5789"/>
    <cellStyle name="Normal - Style1 2 2 7 5 2 2" xfId="21951"/>
    <cellStyle name="Normal - Style1 2 2 7 6" xfId="1882"/>
    <cellStyle name="Normal - Style1 2 2 7 6 2" xfId="5790"/>
    <cellStyle name="Normal - Style1 2 2 7 6 2 2" xfId="21952"/>
    <cellStyle name="Normal - Style1 2 2 7 7" xfId="1603"/>
    <cellStyle name="Normal - Style1 2 2 7 7 2" xfId="5520"/>
    <cellStyle name="Normal - Style1 2 2 7 7 2 2" xfId="21682"/>
    <cellStyle name="Normal - Style1 2 2 7 8" xfId="1610"/>
    <cellStyle name="Normal - Style1 2 2 7 8 2" xfId="5527"/>
    <cellStyle name="Normal - Style1 2 2 7 8 2 2" xfId="21689"/>
    <cellStyle name="Normal - Style1 2 2 7 9" xfId="8838"/>
    <cellStyle name="Normal - Style1 2 2 7 9 2" xfId="24988"/>
    <cellStyle name="Normal - Style1 2 2 8" xfId="1883"/>
    <cellStyle name="Normal - Style1 2 2 8 10" xfId="8839"/>
    <cellStyle name="Normal - Style1 2 2 8 10 2" xfId="24989"/>
    <cellStyle name="Normal - Style1 2 2 8 11" xfId="8840"/>
    <cellStyle name="Normal - Style1 2 2 8 11 2" xfId="24990"/>
    <cellStyle name="Normal - Style1 2 2 8 12" xfId="8841"/>
    <cellStyle name="Normal - Style1 2 2 8 12 2" xfId="24991"/>
    <cellStyle name="Normal - Style1 2 2 8 13" xfId="8842"/>
    <cellStyle name="Normal - Style1 2 2 8 13 2" xfId="24992"/>
    <cellStyle name="Normal - Style1 2 2 8 14" xfId="8843"/>
    <cellStyle name="Normal - Style1 2 2 8 14 2" xfId="24993"/>
    <cellStyle name="Normal - Style1 2 2 8 15" xfId="8844"/>
    <cellStyle name="Normal - Style1 2 2 8 15 2" xfId="24994"/>
    <cellStyle name="Normal - Style1 2 2 8 16" xfId="8845"/>
    <cellStyle name="Normal - Style1 2 2 8 16 2" xfId="24995"/>
    <cellStyle name="Normal - Style1 2 2 8 17" xfId="8846"/>
    <cellStyle name="Normal - Style1 2 2 8 17 2" xfId="24996"/>
    <cellStyle name="Normal - Style1 2 2 8 18" xfId="5791"/>
    <cellStyle name="Normal - Style1 2 2 8 18 2" xfId="21953"/>
    <cellStyle name="Normal - Style1 2 2 8 2" xfId="1884"/>
    <cellStyle name="Normal - Style1 2 2 8 2 2" xfId="5792"/>
    <cellStyle name="Normal - Style1 2 2 8 2 2 2" xfId="21954"/>
    <cellStyle name="Normal - Style1 2 2 8 3" xfId="1885"/>
    <cellStyle name="Normal - Style1 2 2 8 3 2" xfId="5793"/>
    <cellStyle name="Normal - Style1 2 2 8 3 2 2" xfId="21955"/>
    <cellStyle name="Normal - Style1 2 2 8 4" xfId="1886"/>
    <cellStyle name="Normal - Style1 2 2 8 4 2" xfId="5794"/>
    <cellStyle name="Normal - Style1 2 2 8 4 2 2" xfId="21956"/>
    <cellStyle name="Normal - Style1 2 2 8 5" xfId="1887"/>
    <cellStyle name="Normal - Style1 2 2 8 5 2" xfId="5795"/>
    <cellStyle name="Normal - Style1 2 2 8 5 2 2" xfId="21957"/>
    <cellStyle name="Normal - Style1 2 2 8 6" xfId="1889"/>
    <cellStyle name="Normal - Style1 2 2 8 6 2" xfId="5796"/>
    <cellStyle name="Normal - Style1 2 2 8 6 2 2" xfId="21958"/>
    <cellStyle name="Normal - Style1 2 2 8 7" xfId="1891"/>
    <cellStyle name="Normal - Style1 2 2 8 7 2" xfId="5798"/>
    <cellStyle name="Normal - Style1 2 2 8 7 2 2" xfId="21960"/>
    <cellStyle name="Normal - Style1 2 2 8 8" xfId="1625"/>
    <cellStyle name="Normal - Style1 2 2 8 8 2" xfId="5539"/>
    <cellStyle name="Normal - Style1 2 2 8 8 2 2" xfId="21701"/>
    <cellStyle name="Normal - Style1 2 2 8 9" xfId="8847"/>
    <cellStyle name="Normal - Style1 2 2 8 9 2" xfId="24997"/>
    <cellStyle name="Normal - Style1 2 2 9" xfId="888"/>
    <cellStyle name="Normal - Style1 2 2 9 10" xfId="8848"/>
    <cellStyle name="Normal - Style1 2 2 9 10 2" xfId="24998"/>
    <cellStyle name="Normal - Style1 2 2 9 11" xfId="8849"/>
    <cellStyle name="Normal - Style1 2 2 9 11 2" xfId="24999"/>
    <cellStyle name="Normal - Style1 2 2 9 12" xfId="8850"/>
    <cellStyle name="Normal - Style1 2 2 9 12 2" xfId="25000"/>
    <cellStyle name="Normal - Style1 2 2 9 13" xfId="8851"/>
    <cellStyle name="Normal - Style1 2 2 9 13 2" xfId="25001"/>
    <cellStyle name="Normal - Style1 2 2 9 14" xfId="8852"/>
    <cellStyle name="Normal - Style1 2 2 9 14 2" xfId="25002"/>
    <cellStyle name="Normal - Style1 2 2 9 15" xfId="8853"/>
    <cellStyle name="Normal - Style1 2 2 9 15 2" xfId="25003"/>
    <cellStyle name="Normal - Style1 2 2 9 16" xfId="8854"/>
    <cellStyle name="Normal - Style1 2 2 9 16 2" xfId="25004"/>
    <cellStyle name="Normal - Style1 2 2 9 17" xfId="8855"/>
    <cellStyle name="Normal - Style1 2 2 9 17 2" xfId="25005"/>
    <cellStyle name="Normal - Style1 2 2 9 18" xfId="4811"/>
    <cellStyle name="Normal - Style1 2 2 9 18 2" xfId="20973"/>
    <cellStyle name="Normal - Style1 2 2 9 2" xfId="14"/>
    <cellStyle name="Normal - Style1 2 2 9 2 2" xfId="3974"/>
    <cellStyle name="Normal - Style1 2 2 9 2 2 2" xfId="20137"/>
    <cellStyle name="Normal - Style1 2 2 9 3" xfId="1892"/>
    <cellStyle name="Normal - Style1 2 2 9 3 2" xfId="5800"/>
    <cellStyle name="Normal - Style1 2 2 9 3 2 2" xfId="21962"/>
    <cellStyle name="Normal - Style1 2 2 9 4" xfId="1893"/>
    <cellStyle name="Normal - Style1 2 2 9 4 2" xfId="5801"/>
    <cellStyle name="Normal - Style1 2 2 9 4 2 2" xfId="21963"/>
    <cellStyle name="Normal - Style1 2 2 9 5" xfId="1894"/>
    <cellStyle name="Normal - Style1 2 2 9 5 2" xfId="5802"/>
    <cellStyle name="Normal - Style1 2 2 9 5 2 2" xfId="21964"/>
    <cellStyle name="Normal - Style1 2 2 9 6" xfId="1895"/>
    <cellStyle name="Normal - Style1 2 2 9 6 2" xfId="5803"/>
    <cellStyle name="Normal - Style1 2 2 9 6 2 2" xfId="21965"/>
    <cellStyle name="Normal - Style1 2 2 9 7" xfId="1896"/>
    <cellStyle name="Normal - Style1 2 2 9 7 2" xfId="5804"/>
    <cellStyle name="Normal - Style1 2 2 9 7 2 2" xfId="21966"/>
    <cellStyle name="Normal - Style1 2 2 9 8" xfId="1897"/>
    <cellStyle name="Normal - Style1 2 2 9 8 2" xfId="5805"/>
    <cellStyle name="Normal - Style1 2 2 9 8 2 2" xfId="21967"/>
    <cellStyle name="Normal - Style1 2 2 9 9" xfId="8856"/>
    <cellStyle name="Normal - Style1 2 2 9 9 2" xfId="25006"/>
    <cellStyle name="Normal - Style1 2 2_Achampally-Gattubuthkur-Ganga-CRR" xfId="1900"/>
    <cellStyle name="Normal - Style1 2 20" xfId="8857"/>
    <cellStyle name="Normal - Style1 2 20 2" xfId="25007"/>
    <cellStyle name="Normal - Style1 2 21" xfId="8858"/>
    <cellStyle name="Normal - Style1 2 21 2" xfId="25008"/>
    <cellStyle name="Normal - Style1 2 22" xfId="8859"/>
    <cellStyle name="Normal - Style1 2 22 2" xfId="25009"/>
    <cellStyle name="Normal - Style1 2 23" xfId="8860"/>
    <cellStyle name="Normal - Style1 2 23 2" xfId="25010"/>
    <cellStyle name="Normal - Style1 2 24" xfId="8861"/>
    <cellStyle name="Normal - Style1 2 24 2" xfId="25011"/>
    <cellStyle name="Normal - Style1 2 25" xfId="8862"/>
    <cellStyle name="Normal - Style1 2 25 2" xfId="25012"/>
    <cellStyle name="Normal - Style1 2 26" xfId="8863"/>
    <cellStyle name="Normal - Style1 2 26 2" xfId="25013"/>
    <cellStyle name="Normal - Style1 2 27" xfId="8864"/>
    <cellStyle name="Normal - Style1 2 27 2" xfId="25014"/>
    <cellStyle name="Normal - Style1 2 28" xfId="4292"/>
    <cellStyle name="Normal - Style1 2 28 2" xfId="20455"/>
    <cellStyle name="Normal - Style1 2 3" xfId="359"/>
    <cellStyle name="Normal - Style1 2 3 10" xfId="8865"/>
    <cellStyle name="Normal - Style1 2 3 10 2" xfId="25015"/>
    <cellStyle name="Normal - Style1 2 3 11" xfId="8866"/>
    <cellStyle name="Normal - Style1 2 3 11 2" xfId="25016"/>
    <cellStyle name="Normal - Style1 2 3 12" xfId="8867"/>
    <cellStyle name="Normal - Style1 2 3 12 2" xfId="25017"/>
    <cellStyle name="Normal - Style1 2 3 13" xfId="8868"/>
    <cellStyle name="Normal - Style1 2 3 13 2" xfId="25018"/>
    <cellStyle name="Normal - Style1 2 3 14" xfId="8869"/>
    <cellStyle name="Normal - Style1 2 3 14 2" xfId="25019"/>
    <cellStyle name="Normal - Style1 2 3 15" xfId="8870"/>
    <cellStyle name="Normal - Style1 2 3 15 2" xfId="25020"/>
    <cellStyle name="Normal - Style1 2 3 16" xfId="8871"/>
    <cellStyle name="Normal - Style1 2 3 16 2" xfId="25021"/>
    <cellStyle name="Normal - Style1 2 3 17" xfId="8872"/>
    <cellStyle name="Normal - Style1 2 3 17 2" xfId="25022"/>
    <cellStyle name="Normal - Style1 2 3 18" xfId="4302"/>
    <cellStyle name="Normal - Style1 2 3 18 2" xfId="20465"/>
    <cellStyle name="Normal - Style1 2 3 2" xfId="154"/>
    <cellStyle name="Normal - Style1 2 3 2 2" xfId="4092"/>
    <cellStyle name="Normal - Style1 2 3 2 2 2" xfId="20255"/>
    <cellStyle name="Normal - Style1 2 3 3" xfId="175"/>
    <cellStyle name="Normal - Style1 2 3 3 2" xfId="4106"/>
    <cellStyle name="Normal - Style1 2 3 3 2 2" xfId="20269"/>
    <cellStyle name="Normal - Style1 2 3 4" xfId="100"/>
    <cellStyle name="Normal - Style1 2 3 4 2" xfId="4045"/>
    <cellStyle name="Normal - Style1 2 3 4 2 2" xfId="20208"/>
    <cellStyle name="Normal - Style1 2 3 5" xfId="32"/>
    <cellStyle name="Normal - Style1 2 3 5 2" xfId="3990"/>
    <cellStyle name="Normal - Style1 2 3 5 2 2" xfId="20153"/>
    <cellStyle name="Normal - Style1 2 3 6" xfId="215"/>
    <cellStyle name="Normal - Style1 2 3 6 2" xfId="4140"/>
    <cellStyle name="Normal - Style1 2 3 6 2 2" xfId="20303"/>
    <cellStyle name="Normal - Style1 2 3 7" xfId="226"/>
    <cellStyle name="Normal - Style1 2 3 7 2" xfId="4148"/>
    <cellStyle name="Normal - Style1 2 3 7 2 2" xfId="20311"/>
    <cellStyle name="Normal - Style1 2 3 8" xfId="1902"/>
    <cellStyle name="Normal - Style1 2 3 8 2" xfId="5809"/>
    <cellStyle name="Normal - Style1 2 3 8 2 2" xfId="21971"/>
    <cellStyle name="Normal - Style1 2 3 9" xfId="8873"/>
    <cellStyle name="Normal - Style1 2 3 9 2" xfId="25023"/>
    <cellStyle name="Normal - Style1 2 4" xfId="476"/>
    <cellStyle name="Normal - Style1 2 4 10" xfId="8874"/>
    <cellStyle name="Normal - Style1 2 4 10 2" xfId="25024"/>
    <cellStyle name="Normal - Style1 2 4 11" xfId="8875"/>
    <cellStyle name="Normal - Style1 2 4 11 2" xfId="25025"/>
    <cellStyle name="Normal - Style1 2 4 12" xfId="8876"/>
    <cellStyle name="Normal - Style1 2 4 12 2" xfId="25026"/>
    <cellStyle name="Normal - Style1 2 4 13" xfId="8877"/>
    <cellStyle name="Normal - Style1 2 4 13 2" xfId="25027"/>
    <cellStyle name="Normal - Style1 2 4 14" xfId="8878"/>
    <cellStyle name="Normal - Style1 2 4 14 2" xfId="25028"/>
    <cellStyle name="Normal - Style1 2 4 15" xfId="8879"/>
    <cellStyle name="Normal - Style1 2 4 15 2" xfId="25029"/>
    <cellStyle name="Normal - Style1 2 4 16" xfId="8880"/>
    <cellStyle name="Normal - Style1 2 4 16 2" xfId="25030"/>
    <cellStyle name="Normal - Style1 2 4 17" xfId="8881"/>
    <cellStyle name="Normal - Style1 2 4 17 2" xfId="25031"/>
    <cellStyle name="Normal - Style1 2 4 18" xfId="4414"/>
    <cellStyle name="Normal - Style1 2 4 18 2" xfId="20577"/>
    <cellStyle name="Normal - Style1 2 4 2" xfId="483"/>
    <cellStyle name="Normal - Style1 2 4 2 2" xfId="4420"/>
    <cellStyle name="Normal - Style1 2 4 2 2 2" xfId="20583"/>
    <cellStyle name="Normal - Style1 2 4 3" xfId="485"/>
    <cellStyle name="Normal - Style1 2 4 3 2" xfId="4423"/>
    <cellStyle name="Normal - Style1 2 4 3 2 2" xfId="20586"/>
    <cellStyle name="Normal - Style1 2 4 4" xfId="671"/>
    <cellStyle name="Normal - Style1 2 4 4 2" xfId="4601"/>
    <cellStyle name="Normal - Style1 2 4 4 2 2" xfId="20763"/>
    <cellStyle name="Normal - Style1 2 4 5" xfId="1904"/>
    <cellStyle name="Normal - Style1 2 4 5 2" xfId="5810"/>
    <cellStyle name="Normal - Style1 2 4 5 2 2" xfId="21972"/>
    <cellStyle name="Normal - Style1 2 4 6" xfId="1906"/>
    <cellStyle name="Normal - Style1 2 4 6 2" xfId="5812"/>
    <cellStyle name="Normal - Style1 2 4 6 2 2" xfId="21974"/>
    <cellStyle name="Normal - Style1 2 4 7" xfId="1907"/>
    <cellStyle name="Normal - Style1 2 4 7 2" xfId="5814"/>
    <cellStyle name="Normal - Style1 2 4 7 2 2" xfId="21976"/>
    <cellStyle name="Normal - Style1 2 4 8" xfId="1908"/>
    <cellStyle name="Normal - Style1 2 4 8 2" xfId="5815"/>
    <cellStyle name="Normal - Style1 2 4 8 2 2" xfId="21977"/>
    <cellStyle name="Normal - Style1 2 4 9" xfId="8882"/>
    <cellStyle name="Normal - Style1 2 4 9 2" xfId="25032"/>
    <cellStyle name="Normal - Style1 2 5" xfId="490"/>
    <cellStyle name="Normal - Style1 2 5 10" xfId="8883"/>
    <cellStyle name="Normal - Style1 2 5 10 2" xfId="25033"/>
    <cellStyle name="Normal - Style1 2 5 11" xfId="8884"/>
    <cellStyle name="Normal - Style1 2 5 11 2" xfId="25034"/>
    <cellStyle name="Normal - Style1 2 5 12" xfId="8885"/>
    <cellStyle name="Normal - Style1 2 5 12 2" xfId="25035"/>
    <cellStyle name="Normal - Style1 2 5 13" xfId="8886"/>
    <cellStyle name="Normal - Style1 2 5 13 2" xfId="25036"/>
    <cellStyle name="Normal - Style1 2 5 14" xfId="8887"/>
    <cellStyle name="Normal - Style1 2 5 14 2" xfId="25037"/>
    <cellStyle name="Normal - Style1 2 5 15" xfId="8888"/>
    <cellStyle name="Normal - Style1 2 5 15 2" xfId="25038"/>
    <cellStyle name="Normal - Style1 2 5 16" xfId="8889"/>
    <cellStyle name="Normal - Style1 2 5 16 2" xfId="25039"/>
    <cellStyle name="Normal - Style1 2 5 17" xfId="8890"/>
    <cellStyle name="Normal - Style1 2 5 17 2" xfId="25040"/>
    <cellStyle name="Normal - Style1 2 5 18" xfId="4428"/>
    <cellStyle name="Normal - Style1 2 5 18 2" xfId="20591"/>
    <cellStyle name="Normal - Style1 2 5 2" xfId="1909"/>
    <cellStyle name="Normal - Style1 2 5 2 2" xfId="5816"/>
    <cellStyle name="Normal - Style1 2 5 2 2 2" xfId="21978"/>
    <cellStyle name="Normal - Style1 2 5 3" xfId="1910"/>
    <cellStyle name="Normal - Style1 2 5 3 2" xfId="5817"/>
    <cellStyle name="Normal - Style1 2 5 3 2 2" xfId="21979"/>
    <cellStyle name="Normal - Style1 2 5 4" xfId="258"/>
    <cellStyle name="Normal - Style1 2 5 4 2" xfId="4208"/>
    <cellStyle name="Normal - Style1 2 5 4 2 2" xfId="20371"/>
    <cellStyle name="Normal - Style1 2 5 5" xfId="1911"/>
    <cellStyle name="Normal - Style1 2 5 5 2" xfId="5818"/>
    <cellStyle name="Normal - Style1 2 5 5 2 2" xfId="21980"/>
    <cellStyle name="Normal - Style1 2 5 6" xfId="1912"/>
    <cellStyle name="Normal - Style1 2 5 6 2" xfId="5819"/>
    <cellStyle name="Normal - Style1 2 5 6 2 2" xfId="21981"/>
    <cellStyle name="Normal - Style1 2 5 7" xfId="1914"/>
    <cellStyle name="Normal - Style1 2 5 7 2" xfId="5821"/>
    <cellStyle name="Normal - Style1 2 5 7 2 2" xfId="21983"/>
    <cellStyle name="Normal - Style1 2 5 8" xfId="1916"/>
    <cellStyle name="Normal - Style1 2 5 8 2" xfId="5823"/>
    <cellStyle name="Normal - Style1 2 5 8 2 2" xfId="21985"/>
    <cellStyle name="Normal - Style1 2 5 9" xfId="8891"/>
    <cellStyle name="Normal - Style1 2 5 9 2" xfId="25041"/>
    <cellStyle name="Normal - Style1 2 6" xfId="1402"/>
    <cellStyle name="Normal - Style1 2 6 10" xfId="8892"/>
    <cellStyle name="Normal - Style1 2 6 10 2" xfId="25042"/>
    <cellStyle name="Normal - Style1 2 6 11" xfId="8893"/>
    <cellStyle name="Normal - Style1 2 6 11 2" xfId="25043"/>
    <cellStyle name="Normal - Style1 2 6 12" xfId="8894"/>
    <cellStyle name="Normal - Style1 2 6 12 2" xfId="25044"/>
    <cellStyle name="Normal - Style1 2 6 13" xfId="8895"/>
    <cellStyle name="Normal - Style1 2 6 13 2" xfId="25045"/>
    <cellStyle name="Normal - Style1 2 6 14" xfId="8896"/>
    <cellStyle name="Normal - Style1 2 6 14 2" xfId="25046"/>
    <cellStyle name="Normal - Style1 2 6 15" xfId="8897"/>
    <cellStyle name="Normal - Style1 2 6 15 2" xfId="25047"/>
    <cellStyle name="Normal - Style1 2 6 16" xfId="8898"/>
    <cellStyle name="Normal - Style1 2 6 16 2" xfId="25048"/>
    <cellStyle name="Normal - Style1 2 6 17" xfId="8899"/>
    <cellStyle name="Normal - Style1 2 6 17 2" xfId="25049"/>
    <cellStyle name="Normal - Style1 2 6 18" xfId="5320"/>
    <cellStyle name="Normal - Style1 2 6 18 2" xfId="21482"/>
    <cellStyle name="Normal - Style1 2 6 2" xfId="1660"/>
    <cellStyle name="Normal - Style1 2 6 2 2" xfId="5574"/>
    <cellStyle name="Normal - Style1 2 6 2 2 2" xfId="21736"/>
    <cellStyle name="Normal - Style1 2 6 3" xfId="1665"/>
    <cellStyle name="Normal - Style1 2 6 3 2" xfId="5579"/>
    <cellStyle name="Normal - Style1 2 6 3 2 2" xfId="21741"/>
    <cellStyle name="Normal - Style1 2 6 4" xfId="763"/>
    <cellStyle name="Normal - Style1 2 6 4 2" xfId="4689"/>
    <cellStyle name="Normal - Style1 2 6 4 2 2" xfId="20851"/>
    <cellStyle name="Normal - Style1 2 6 5" xfId="1683"/>
    <cellStyle name="Normal - Style1 2 6 5 2" xfId="5597"/>
    <cellStyle name="Normal - Style1 2 6 5 2 2" xfId="21759"/>
    <cellStyle name="Normal - Style1 2 6 6" xfId="1685"/>
    <cellStyle name="Normal - Style1 2 6 6 2" xfId="5599"/>
    <cellStyle name="Normal - Style1 2 6 6 2 2" xfId="21761"/>
    <cellStyle name="Normal - Style1 2 6 7" xfId="1917"/>
    <cellStyle name="Normal - Style1 2 6 7 2" xfId="5824"/>
    <cellStyle name="Normal - Style1 2 6 7 2 2" xfId="21986"/>
    <cellStyle name="Normal - Style1 2 6 8" xfId="1918"/>
    <cellStyle name="Normal - Style1 2 6 8 2" xfId="5825"/>
    <cellStyle name="Normal - Style1 2 6 8 2 2" xfId="21987"/>
    <cellStyle name="Normal - Style1 2 6 9" xfId="8900"/>
    <cellStyle name="Normal - Style1 2 6 9 2" xfId="25050"/>
    <cellStyle name="Normal - Style1 2 7" xfId="1406"/>
    <cellStyle name="Normal - Style1 2 7 10" xfId="8901"/>
    <cellStyle name="Normal - Style1 2 7 10 2" xfId="25051"/>
    <cellStyle name="Normal - Style1 2 7 11" xfId="8902"/>
    <cellStyle name="Normal - Style1 2 7 11 2" xfId="25052"/>
    <cellStyle name="Normal - Style1 2 7 12" xfId="8903"/>
    <cellStyle name="Normal - Style1 2 7 12 2" xfId="25053"/>
    <cellStyle name="Normal - Style1 2 7 13" xfId="8904"/>
    <cellStyle name="Normal - Style1 2 7 13 2" xfId="25054"/>
    <cellStyle name="Normal - Style1 2 7 14" xfId="8905"/>
    <cellStyle name="Normal - Style1 2 7 14 2" xfId="25055"/>
    <cellStyle name="Normal - Style1 2 7 15" xfId="8906"/>
    <cellStyle name="Normal - Style1 2 7 15 2" xfId="25056"/>
    <cellStyle name="Normal - Style1 2 7 16" xfId="8907"/>
    <cellStyle name="Normal - Style1 2 7 16 2" xfId="25057"/>
    <cellStyle name="Normal - Style1 2 7 17" xfId="8908"/>
    <cellStyle name="Normal - Style1 2 7 17 2" xfId="25058"/>
    <cellStyle name="Normal - Style1 2 7 18" xfId="5324"/>
    <cellStyle name="Normal - Style1 2 7 18 2" xfId="21486"/>
    <cellStyle name="Normal - Style1 2 7 2" xfId="1920"/>
    <cellStyle name="Normal - Style1 2 7 2 2" xfId="5827"/>
    <cellStyle name="Normal - Style1 2 7 2 2 2" xfId="21989"/>
    <cellStyle name="Normal - Style1 2 7 3" xfId="1921"/>
    <cellStyle name="Normal - Style1 2 7 3 2" xfId="5828"/>
    <cellStyle name="Normal - Style1 2 7 3 2 2" xfId="21990"/>
    <cellStyle name="Normal - Style1 2 7 4" xfId="538"/>
    <cellStyle name="Normal - Style1 2 7 4 2" xfId="4471"/>
    <cellStyle name="Normal - Style1 2 7 4 2 2" xfId="20634"/>
    <cellStyle name="Normal - Style1 2 7 5" xfId="1000"/>
    <cellStyle name="Normal - Style1 2 7 5 2" xfId="4922"/>
    <cellStyle name="Normal - Style1 2 7 5 2 2" xfId="21084"/>
    <cellStyle name="Normal - Style1 2 7 6" xfId="1003"/>
    <cellStyle name="Normal - Style1 2 7 6 2" xfId="4924"/>
    <cellStyle name="Normal - Style1 2 7 6 2 2" xfId="21086"/>
    <cellStyle name="Normal - Style1 2 7 7" xfId="1005"/>
    <cellStyle name="Normal - Style1 2 7 7 2" xfId="4926"/>
    <cellStyle name="Normal - Style1 2 7 7 2 2" xfId="21088"/>
    <cellStyle name="Normal - Style1 2 7 8" xfId="524"/>
    <cellStyle name="Normal - Style1 2 7 8 2" xfId="4457"/>
    <cellStyle name="Normal - Style1 2 7 8 2 2" xfId="20620"/>
    <cellStyle name="Normal - Style1 2 7 9" xfId="8909"/>
    <cellStyle name="Normal - Style1 2 7 9 2" xfId="25059"/>
    <cellStyle name="Normal - Style1 2 8" xfId="1410"/>
    <cellStyle name="Normal - Style1 2 8 10" xfId="8910"/>
    <cellStyle name="Normal - Style1 2 8 10 2" xfId="25060"/>
    <cellStyle name="Normal - Style1 2 8 11" xfId="8911"/>
    <cellStyle name="Normal - Style1 2 8 11 2" xfId="25061"/>
    <cellStyle name="Normal - Style1 2 8 12" xfId="8912"/>
    <cellStyle name="Normal - Style1 2 8 12 2" xfId="25062"/>
    <cellStyle name="Normal - Style1 2 8 13" xfId="8913"/>
    <cellStyle name="Normal - Style1 2 8 13 2" xfId="25063"/>
    <cellStyle name="Normal - Style1 2 8 14" xfId="8914"/>
    <cellStyle name="Normal - Style1 2 8 14 2" xfId="25064"/>
    <cellStyle name="Normal - Style1 2 8 15" xfId="8915"/>
    <cellStyle name="Normal - Style1 2 8 15 2" xfId="25065"/>
    <cellStyle name="Normal - Style1 2 8 16" xfId="8916"/>
    <cellStyle name="Normal - Style1 2 8 16 2" xfId="25066"/>
    <cellStyle name="Normal - Style1 2 8 17" xfId="8917"/>
    <cellStyle name="Normal - Style1 2 8 17 2" xfId="25067"/>
    <cellStyle name="Normal - Style1 2 8 18" xfId="5328"/>
    <cellStyle name="Normal - Style1 2 8 18 2" xfId="21490"/>
    <cellStyle name="Normal - Style1 2 8 2" xfId="1923"/>
    <cellStyle name="Normal - Style1 2 8 2 2" xfId="5830"/>
    <cellStyle name="Normal - Style1 2 8 2 2 2" xfId="21992"/>
    <cellStyle name="Normal - Style1 2 8 3" xfId="1927"/>
    <cellStyle name="Normal - Style1 2 8 3 2" xfId="5833"/>
    <cellStyle name="Normal - Style1 2 8 3 2 2" xfId="21995"/>
    <cellStyle name="Normal - Style1 2 8 4" xfId="1930"/>
    <cellStyle name="Normal - Style1 2 8 4 2" xfId="5836"/>
    <cellStyle name="Normal - Style1 2 8 4 2 2" xfId="21998"/>
    <cellStyle name="Normal - Style1 2 8 5" xfId="1932"/>
    <cellStyle name="Normal - Style1 2 8 5 2" xfId="5838"/>
    <cellStyle name="Normal - Style1 2 8 5 2 2" xfId="22000"/>
    <cellStyle name="Normal - Style1 2 8 6" xfId="1934"/>
    <cellStyle name="Normal - Style1 2 8 6 2" xfId="5840"/>
    <cellStyle name="Normal - Style1 2 8 6 2 2" xfId="22002"/>
    <cellStyle name="Normal - Style1 2 8 7" xfId="1936"/>
    <cellStyle name="Normal - Style1 2 8 7 2" xfId="5842"/>
    <cellStyle name="Normal - Style1 2 8 7 2 2" xfId="22004"/>
    <cellStyle name="Normal - Style1 2 8 8" xfId="1938"/>
    <cellStyle name="Normal - Style1 2 8 8 2" xfId="5844"/>
    <cellStyle name="Normal - Style1 2 8 8 2 2" xfId="22006"/>
    <cellStyle name="Normal - Style1 2 8 9" xfId="8918"/>
    <cellStyle name="Normal - Style1 2 8 9 2" xfId="25068"/>
    <cellStyle name="Normal - Style1 2 9" xfId="1940"/>
    <cellStyle name="Normal - Style1 2 9 10" xfId="8919"/>
    <cellStyle name="Normal - Style1 2 9 10 2" xfId="25069"/>
    <cellStyle name="Normal - Style1 2 9 11" xfId="8920"/>
    <cellStyle name="Normal - Style1 2 9 11 2" xfId="25070"/>
    <cellStyle name="Normal - Style1 2 9 12" xfId="8921"/>
    <cellStyle name="Normal - Style1 2 9 12 2" xfId="25071"/>
    <cellStyle name="Normal - Style1 2 9 13" xfId="8922"/>
    <cellStyle name="Normal - Style1 2 9 13 2" xfId="25072"/>
    <cellStyle name="Normal - Style1 2 9 14" xfId="8923"/>
    <cellStyle name="Normal - Style1 2 9 14 2" xfId="25073"/>
    <cellStyle name="Normal - Style1 2 9 15" xfId="8924"/>
    <cellStyle name="Normal - Style1 2 9 15 2" xfId="25074"/>
    <cellStyle name="Normal - Style1 2 9 16" xfId="8925"/>
    <cellStyle name="Normal - Style1 2 9 16 2" xfId="25075"/>
    <cellStyle name="Normal - Style1 2 9 17" xfId="8926"/>
    <cellStyle name="Normal - Style1 2 9 17 2" xfId="25076"/>
    <cellStyle name="Normal - Style1 2 9 18" xfId="5846"/>
    <cellStyle name="Normal - Style1 2 9 18 2" xfId="22008"/>
    <cellStyle name="Normal - Style1 2 9 2" xfId="1944"/>
    <cellStyle name="Normal - Style1 2 9 2 2" xfId="5847"/>
    <cellStyle name="Normal - Style1 2 9 2 2 2" xfId="22009"/>
    <cellStyle name="Normal - Style1 2 9 3" xfId="399"/>
    <cellStyle name="Normal - Style1 2 9 3 2" xfId="4333"/>
    <cellStyle name="Normal - Style1 2 9 3 2 2" xfId="20496"/>
    <cellStyle name="Normal - Style1 2 9 4" xfId="410"/>
    <cellStyle name="Normal - Style1 2 9 4 2" xfId="4343"/>
    <cellStyle name="Normal - Style1 2 9 4 2 2" xfId="20506"/>
    <cellStyle name="Normal - Style1 2 9 5" xfId="1945"/>
    <cellStyle name="Normal - Style1 2 9 5 2" xfId="5851"/>
    <cellStyle name="Normal - Style1 2 9 5 2 2" xfId="22013"/>
    <cellStyle name="Normal - Style1 2 9 6" xfId="1946"/>
    <cellStyle name="Normal - Style1 2 9 6 2" xfId="5852"/>
    <cellStyle name="Normal - Style1 2 9 6 2 2" xfId="22014"/>
    <cellStyle name="Normal - Style1 2 9 7" xfId="1947"/>
    <cellStyle name="Normal - Style1 2 9 7 2" xfId="5853"/>
    <cellStyle name="Normal - Style1 2 9 7 2 2" xfId="22015"/>
    <cellStyle name="Normal - Style1 2 9 8" xfId="1948"/>
    <cellStyle name="Normal - Style1 2 9 8 2" xfId="5854"/>
    <cellStyle name="Normal - Style1 2 9 8 2 2" xfId="22016"/>
    <cellStyle name="Normal - Style1 2 9 9" xfId="8927"/>
    <cellStyle name="Normal - Style1 2 9 9 2" xfId="25077"/>
    <cellStyle name="Normal - Style1 2_1) NREGS  Report Uppudi" xfId="1949"/>
    <cellStyle name="Normal - Style1 20" xfId="8928"/>
    <cellStyle name="Normal - Style1 20 2" xfId="25078"/>
    <cellStyle name="Normal - Style1 21" xfId="8929"/>
    <cellStyle name="Normal - Style1 21 2" xfId="25079"/>
    <cellStyle name="Normal - Style1 22" xfId="4131"/>
    <cellStyle name="Normal - Style1 22 2" xfId="20294"/>
    <cellStyle name="Normal - Style1 3" xfId="362"/>
    <cellStyle name="Normal - Style1 3 10" xfId="1953"/>
    <cellStyle name="Normal - Style1 3 10 10" xfId="8930"/>
    <cellStyle name="Normal - Style1 3 10 10 2" xfId="25080"/>
    <cellStyle name="Normal - Style1 3 10 11" xfId="8931"/>
    <cellStyle name="Normal - Style1 3 10 11 2" xfId="25081"/>
    <cellStyle name="Normal - Style1 3 10 12" xfId="8932"/>
    <cellStyle name="Normal - Style1 3 10 12 2" xfId="25082"/>
    <cellStyle name="Normal - Style1 3 10 13" xfId="8933"/>
    <cellStyle name="Normal - Style1 3 10 13 2" xfId="25083"/>
    <cellStyle name="Normal - Style1 3 10 14" xfId="8934"/>
    <cellStyle name="Normal - Style1 3 10 14 2" xfId="25084"/>
    <cellStyle name="Normal - Style1 3 10 15" xfId="8935"/>
    <cellStyle name="Normal - Style1 3 10 15 2" xfId="25085"/>
    <cellStyle name="Normal - Style1 3 10 16" xfId="8936"/>
    <cellStyle name="Normal - Style1 3 10 16 2" xfId="25086"/>
    <cellStyle name="Normal - Style1 3 10 17" xfId="8937"/>
    <cellStyle name="Normal - Style1 3 10 17 2" xfId="25087"/>
    <cellStyle name="Normal - Style1 3 10 18" xfId="5858"/>
    <cellStyle name="Normal - Style1 3 10 18 2" xfId="22020"/>
    <cellStyle name="Normal - Style1 3 10 2" xfId="1955"/>
    <cellStyle name="Normal - Style1 3 10 2 2" xfId="5860"/>
    <cellStyle name="Normal - Style1 3 10 2 2 2" xfId="22022"/>
    <cellStyle name="Normal - Style1 3 10 3" xfId="1783"/>
    <cellStyle name="Normal - Style1 3 10 3 2" xfId="5695"/>
    <cellStyle name="Normal - Style1 3 10 3 2 2" xfId="21857"/>
    <cellStyle name="Normal - Style1 3 10 4" xfId="1786"/>
    <cellStyle name="Normal - Style1 3 10 4 2" xfId="5697"/>
    <cellStyle name="Normal - Style1 3 10 4 2 2" xfId="21859"/>
    <cellStyle name="Normal - Style1 3 10 5" xfId="1788"/>
    <cellStyle name="Normal - Style1 3 10 5 2" xfId="5699"/>
    <cellStyle name="Normal - Style1 3 10 5 2 2" xfId="21861"/>
    <cellStyle name="Normal - Style1 3 10 6" xfId="1790"/>
    <cellStyle name="Normal - Style1 3 10 6 2" xfId="5701"/>
    <cellStyle name="Normal - Style1 3 10 6 2 2" xfId="21863"/>
    <cellStyle name="Normal - Style1 3 10 7" xfId="1956"/>
    <cellStyle name="Normal - Style1 3 10 7 2" xfId="5861"/>
    <cellStyle name="Normal - Style1 3 10 7 2 2" xfId="22023"/>
    <cellStyle name="Normal - Style1 3 10 8" xfId="1957"/>
    <cellStyle name="Normal - Style1 3 10 8 2" xfId="5862"/>
    <cellStyle name="Normal - Style1 3 10 8 2 2" xfId="22024"/>
    <cellStyle name="Normal - Style1 3 10 9" xfId="8938"/>
    <cellStyle name="Normal - Style1 3 10 9 2" xfId="25088"/>
    <cellStyle name="Normal - Style1 3 11" xfId="1959"/>
    <cellStyle name="Normal - Style1 3 11 2" xfId="5864"/>
    <cellStyle name="Normal - Style1 3 11 2 2" xfId="22026"/>
    <cellStyle name="Normal - Style1 3 12" xfId="1961"/>
    <cellStyle name="Normal - Style1 3 12 2" xfId="5866"/>
    <cellStyle name="Normal - Style1 3 12 2 2" xfId="22028"/>
    <cellStyle name="Normal - Style1 3 13" xfId="1963"/>
    <cellStyle name="Normal - Style1 3 13 2" xfId="5868"/>
    <cellStyle name="Normal - Style1 3 13 2 2" xfId="22030"/>
    <cellStyle name="Normal - Style1 3 14" xfId="1966"/>
    <cellStyle name="Normal - Style1 3 14 2" xfId="5871"/>
    <cellStyle name="Normal - Style1 3 14 2 2" xfId="22033"/>
    <cellStyle name="Normal - Style1 3 15" xfId="1968"/>
    <cellStyle name="Normal - Style1 3 15 2" xfId="5873"/>
    <cellStyle name="Normal - Style1 3 15 2 2" xfId="22035"/>
    <cellStyle name="Normal - Style1 3 16" xfId="1970"/>
    <cellStyle name="Normal - Style1 3 16 2" xfId="5875"/>
    <cellStyle name="Normal - Style1 3 16 2 2" xfId="22037"/>
    <cellStyle name="Normal - Style1 3 17" xfId="1972"/>
    <cellStyle name="Normal - Style1 3 17 2" xfId="5877"/>
    <cellStyle name="Normal - Style1 3 17 2 2" xfId="22039"/>
    <cellStyle name="Normal - Style1 3 18" xfId="8939"/>
    <cellStyle name="Normal - Style1 3 18 2" xfId="25089"/>
    <cellStyle name="Normal - Style1 3 19" xfId="8940"/>
    <cellStyle name="Normal - Style1 3 19 2" xfId="25090"/>
    <cellStyle name="Normal - Style1 3 2" xfId="1723"/>
    <cellStyle name="Normal - Style1 3 2 10" xfId="8941"/>
    <cellStyle name="Normal - Style1 3 2 10 2" xfId="25091"/>
    <cellStyle name="Normal - Style1 3 2 11" xfId="8942"/>
    <cellStyle name="Normal - Style1 3 2 11 2" xfId="25092"/>
    <cellStyle name="Normal - Style1 3 2 12" xfId="8943"/>
    <cellStyle name="Normal - Style1 3 2 12 2" xfId="25093"/>
    <cellStyle name="Normal - Style1 3 2 13" xfId="8944"/>
    <cellStyle name="Normal - Style1 3 2 13 2" xfId="25094"/>
    <cellStyle name="Normal - Style1 3 2 14" xfId="8945"/>
    <cellStyle name="Normal - Style1 3 2 14 2" xfId="25095"/>
    <cellStyle name="Normal - Style1 3 2 15" xfId="8946"/>
    <cellStyle name="Normal - Style1 3 2 15 2" xfId="25096"/>
    <cellStyle name="Normal - Style1 3 2 16" xfId="8947"/>
    <cellStyle name="Normal - Style1 3 2 16 2" xfId="25097"/>
    <cellStyle name="Normal - Style1 3 2 17" xfId="8948"/>
    <cellStyle name="Normal - Style1 3 2 17 2" xfId="25098"/>
    <cellStyle name="Normal - Style1 3 2 18" xfId="5635"/>
    <cellStyle name="Normal - Style1 3 2 18 2" xfId="21797"/>
    <cellStyle name="Normal - Style1 3 2 2" xfId="11"/>
    <cellStyle name="Normal - Style1 3 2 2 2" xfId="3970"/>
    <cellStyle name="Normal - Style1 3 2 2 2 2" xfId="20133"/>
    <cellStyle name="Normal - Style1 3 2 3" xfId="1974"/>
    <cellStyle name="Normal - Style1 3 2 3 2" xfId="5879"/>
    <cellStyle name="Normal - Style1 3 2 3 2 2" xfId="22041"/>
    <cellStyle name="Normal - Style1 3 2 4" xfId="1975"/>
    <cellStyle name="Normal - Style1 3 2 4 2" xfId="5880"/>
    <cellStyle name="Normal - Style1 3 2 4 2 2" xfId="22042"/>
    <cellStyle name="Normal - Style1 3 2 5" xfId="1976"/>
    <cellStyle name="Normal - Style1 3 2 5 2" xfId="5881"/>
    <cellStyle name="Normal - Style1 3 2 5 2 2" xfId="22043"/>
    <cellStyle name="Normal - Style1 3 2 6" xfId="1977"/>
    <cellStyle name="Normal - Style1 3 2 6 2" xfId="5882"/>
    <cellStyle name="Normal - Style1 3 2 6 2 2" xfId="22044"/>
    <cellStyle name="Normal - Style1 3 2 7" xfId="1552"/>
    <cellStyle name="Normal - Style1 3 2 7 2" xfId="5469"/>
    <cellStyle name="Normal - Style1 3 2 7 2 2" xfId="21631"/>
    <cellStyle name="Normal - Style1 3 2 8" xfId="1979"/>
    <cellStyle name="Normal - Style1 3 2 8 2" xfId="5883"/>
    <cellStyle name="Normal - Style1 3 2 8 2 2" xfId="22045"/>
    <cellStyle name="Normal - Style1 3 2 9" xfId="8949"/>
    <cellStyle name="Normal - Style1 3 2 9 2" xfId="25099"/>
    <cellStyle name="Normal - Style1 3 20" xfId="8950"/>
    <cellStyle name="Normal - Style1 3 20 2" xfId="25100"/>
    <cellStyle name="Normal - Style1 3 21" xfId="8951"/>
    <cellStyle name="Normal - Style1 3 21 2" xfId="25101"/>
    <cellStyle name="Normal - Style1 3 22" xfId="8952"/>
    <cellStyle name="Normal - Style1 3 22 2" xfId="25102"/>
    <cellStyle name="Normal - Style1 3 23" xfId="8953"/>
    <cellStyle name="Normal - Style1 3 23 2" xfId="25103"/>
    <cellStyle name="Normal - Style1 3 24" xfId="8954"/>
    <cellStyle name="Normal - Style1 3 24 2" xfId="25104"/>
    <cellStyle name="Normal - Style1 3 25" xfId="8955"/>
    <cellStyle name="Normal - Style1 3 25 2" xfId="25105"/>
    <cellStyle name="Normal - Style1 3 26" xfId="8956"/>
    <cellStyle name="Normal - Style1 3 26 2" xfId="25106"/>
    <cellStyle name="Normal - Style1 3 27" xfId="4305"/>
    <cellStyle name="Normal - Style1 3 27 2" xfId="20468"/>
    <cellStyle name="Normal - Style1 3 3" xfId="1725"/>
    <cellStyle name="Normal - Style1 3 3 10" xfId="8957"/>
    <cellStyle name="Normal - Style1 3 3 10 2" xfId="25107"/>
    <cellStyle name="Normal - Style1 3 3 11" xfId="8958"/>
    <cellStyle name="Normal - Style1 3 3 11 2" xfId="25108"/>
    <cellStyle name="Normal - Style1 3 3 12" xfId="8959"/>
    <cellStyle name="Normal - Style1 3 3 12 2" xfId="25109"/>
    <cellStyle name="Normal - Style1 3 3 13" xfId="8960"/>
    <cellStyle name="Normal - Style1 3 3 13 2" xfId="25110"/>
    <cellStyle name="Normal - Style1 3 3 14" xfId="8961"/>
    <cellStyle name="Normal - Style1 3 3 14 2" xfId="25111"/>
    <cellStyle name="Normal - Style1 3 3 15" xfId="8962"/>
    <cellStyle name="Normal - Style1 3 3 15 2" xfId="25112"/>
    <cellStyle name="Normal - Style1 3 3 16" xfId="8963"/>
    <cellStyle name="Normal - Style1 3 3 16 2" xfId="25113"/>
    <cellStyle name="Normal - Style1 3 3 17" xfId="8964"/>
    <cellStyle name="Normal - Style1 3 3 17 2" xfId="25114"/>
    <cellStyle name="Normal - Style1 3 3 18" xfId="5637"/>
    <cellStyle name="Normal - Style1 3 3 18 2" xfId="21799"/>
    <cellStyle name="Normal - Style1 3 3 2" xfId="1980"/>
    <cellStyle name="Normal - Style1 3 3 2 2" xfId="5884"/>
    <cellStyle name="Normal - Style1 3 3 2 2 2" xfId="22046"/>
    <cellStyle name="Normal - Style1 3 3 3" xfId="1981"/>
    <cellStyle name="Normal - Style1 3 3 3 2" xfId="5885"/>
    <cellStyle name="Normal - Style1 3 3 3 2 2" xfId="22047"/>
    <cellStyle name="Normal - Style1 3 3 4" xfId="1982"/>
    <cellStyle name="Normal - Style1 3 3 4 2" xfId="5886"/>
    <cellStyle name="Normal - Style1 3 3 4 2 2" xfId="22048"/>
    <cellStyle name="Normal - Style1 3 3 5" xfId="1983"/>
    <cellStyle name="Normal - Style1 3 3 5 2" xfId="5887"/>
    <cellStyle name="Normal - Style1 3 3 5 2 2" xfId="22049"/>
    <cellStyle name="Normal - Style1 3 3 6" xfId="1984"/>
    <cellStyle name="Normal - Style1 3 3 6 2" xfId="5888"/>
    <cellStyle name="Normal - Style1 3 3 6 2 2" xfId="22050"/>
    <cellStyle name="Normal - Style1 3 3 7" xfId="1985"/>
    <cellStyle name="Normal - Style1 3 3 7 2" xfId="5889"/>
    <cellStyle name="Normal - Style1 3 3 7 2 2" xfId="22051"/>
    <cellStyle name="Normal - Style1 3 3 8" xfId="1987"/>
    <cellStyle name="Normal - Style1 3 3 8 2" xfId="5891"/>
    <cellStyle name="Normal - Style1 3 3 8 2 2" xfId="22053"/>
    <cellStyle name="Normal - Style1 3 3 9" xfId="8965"/>
    <cellStyle name="Normal - Style1 3 3 9 2" xfId="25115"/>
    <cellStyle name="Normal - Style1 3 4" xfId="1727"/>
    <cellStyle name="Normal - Style1 3 4 10" xfId="8966"/>
    <cellStyle name="Normal - Style1 3 4 10 2" xfId="25116"/>
    <cellStyle name="Normal - Style1 3 4 11" xfId="8967"/>
    <cellStyle name="Normal - Style1 3 4 11 2" xfId="25117"/>
    <cellStyle name="Normal - Style1 3 4 12" xfId="8968"/>
    <cellStyle name="Normal - Style1 3 4 12 2" xfId="25118"/>
    <cellStyle name="Normal - Style1 3 4 13" xfId="8969"/>
    <cellStyle name="Normal - Style1 3 4 13 2" xfId="25119"/>
    <cellStyle name="Normal - Style1 3 4 14" xfId="8970"/>
    <cellStyle name="Normal - Style1 3 4 14 2" xfId="25120"/>
    <cellStyle name="Normal - Style1 3 4 15" xfId="8971"/>
    <cellStyle name="Normal - Style1 3 4 15 2" xfId="25121"/>
    <cellStyle name="Normal - Style1 3 4 16" xfId="8972"/>
    <cellStyle name="Normal - Style1 3 4 16 2" xfId="25122"/>
    <cellStyle name="Normal - Style1 3 4 17" xfId="8973"/>
    <cellStyle name="Normal - Style1 3 4 17 2" xfId="25123"/>
    <cellStyle name="Normal - Style1 3 4 18" xfId="5639"/>
    <cellStyle name="Normal - Style1 3 4 18 2" xfId="21801"/>
    <cellStyle name="Normal - Style1 3 4 2" xfId="1658"/>
    <cellStyle name="Normal - Style1 3 4 2 2" xfId="5568"/>
    <cellStyle name="Normal - Style1 3 4 2 2 2" xfId="21730"/>
    <cellStyle name="Normal - Style1 3 4 3" xfId="1990"/>
    <cellStyle name="Normal - Style1 3 4 3 2" xfId="5892"/>
    <cellStyle name="Normal - Style1 3 4 3 2 2" xfId="22054"/>
    <cellStyle name="Normal - Style1 3 4 4" xfId="1993"/>
    <cellStyle name="Normal - Style1 3 4 4 2" xfId="5895"/>
    <cellStyle name="Normal - Style1 3 4 4 2 2" xfId="22057"/>
    <cellStyle name="Normal - Style1 3 4 5" xfId="1663"/>
    <cellStyle name="Normal - Style1 3 4 5 2" xfId="5576"/>
    <cellStyle name="Normal - Style1 3 4 5 2 2" xfId="21738"/>
    <cellStyle name="Normal - Style1 3 4 6" xfId="1121"/>
    <cellStyle name="Normal - Style1 3 4 6 2" xfId="5044"/>
    <cellStyle name="Normal - Style1 3 4 6 2 2" xfId="21206"/>
    <cellStyle name="Normal - Style1 3 4 7" xfId="1994"/>
    <cellStyle name="Normal - Style1 3 4 7 2" xfId="5898"/>
    <cellStyle name="Normal - Style1 3 4 7 2 2" xfId="22060"/>
    <cellStyle name="Normal - Style1 3 4 8" xfId="1995"/>
    <cellStyle name="Normal - Style1 3 4 8 2" xfId="5899"/>
    <cellStyle name="Normal - Style1 3 4 8 2 2" xfId="22061"/>
    <cellStyle name="Normal - Style1 3 4 9" xfId="8974"/>
    <cellStyle name="Normal - Style1 3 4 9 2" xfId="25124"/>
    <cellStyle name="Normal - Style1 3 5" xfId="1729"/>
    <cellStyle name="Normal - Style1 3 5 10" xfId="8975"/>
    <cellStyle name="Normal - Style1 3 5 10 2" xfId="25125"/>
    <cellStyle name="Normal - Style1 3 5 11" xfId="8976"/>
    <cellStyle name="Normal - Style1 3 5 11 2" xfId="25126"/>
    <cellStyle name="Normal - Style1 3 5 12" xfId="8977"/>
    <cellStyle name="Normal - Style1 3 5 12 2" xfId="25127"/>
    <cellStyle name="Normal - Style1 3 5 13" xfId="8978"/>
    <cellStyle name="Normal - Style1 3 5 13 2" xfId="25128"/>
    <cellStyle name="Normal - Style1 3 5 14" xfId="8979"/>
    <cellStyle name="Normal - Style1 3 5 14 2" xfId="25129"/>
    <cellStyle name="Normal - Style1 3 5 15" xfId="8980"/>
    <cellStyle name="Normal - Style1 3 5 15 2" xfId="25130"/>
    <cellStyle name="Normal - Style1 3 5 16" xfId="8981"/>
    <cellStyle name="Normal - Style1 3 5 16 2" xfId="25131"/>
    <cellStyle name="Normal - Style1 3 5 17" xfId="8982"/>
    <cellStyle name="Normal - Style1 3 5 17 2" xfId="25132"/>
    <cellStyle name="Normal - Style1 3 5 18" xfId="5641"/>
    <cellStyle name="Normal - Style1 3 5 18 2" xfId="21803"/>
    <cellStyle name="Normal - Style1 3 5 2" xfId="1996"/>
    <cellStyle name="Normal - Style1 3 5 2 2" xfId="5900"/>
    <cellStyle name="Normal - Style1 3 5 2 2 2" xfId="22062"/>
    <cellStyle name="Normal - Style1 3 5 3" xfId="1997"/>
    <cellStyle name="Normal - Style1 3 5 3 2" xfId="5901"/>
    <cellStyle name="Normal - Style1 3 5 3 2 2" xfId="22063"/>
    <cellStyle name="Normal - Style1 3 5 4" xfId="1999"/>
    <cellStyle name="Normal - Style1 3 5 4 2" xfId="5902"/>
    <cellStyle name="Normal - Style1 3 5 4 2 2" xfId="22064"/>
    <cellStyle name="Normal - Style1 3 5 5" xfId="2001"/>
    <cellStyle name="Normal - Style1 3 5 5 2" xfId="5904"/>
    <cellStyle name="Normal - Style1 3 5 5 2 2" xfId="22066"/>
    <cellStyle name="Normal - Style1 3 5 6" xfId="2003"/>
    <cellStyle name="Normal - Style1 3 5 6 2" xfId="5906"/>
    <cellStyle name="Normal - Style1 3 5 6 2 2" xfId="22068"/>
    <cellStyle name="Normal - Style1 3 5 7" xfId="2005"/>
    <cellStyle name="Normal - Style1 3 5 7 2" xfId="5908"/>
    <cellStyle name="Normal - Style1 3 5 7 2 2" xfId="22070"/>
    <cellStyle name="Normal - Style1 3 5 8" xfId="2007"/>
    <cellStyle name="Normal - Style1 3 5 8 2" xfId="5910"/>
    <cellStyle name="Normal - Style1 3 5 8 2 2" xfId="22072"/>
    <cellStyle name="Normal - Style1 3 5 9" xfId="8983"/>
    <cellStyle name="Normal - Style1 3 5 9 2" xfId="25133"/>
    <cellStyle name="Normal - Style1 3 6" xfId="1731"/>
    <cellStyle name="Normal - Style1 3 6 10" xfId="8984"/>
    <cellStyle name="Normal - Style1 3 6 10 2" xfId="25134"/>
    <cellStyle name="Normal - Style1 3 6 11" xfId="8985"/>
    <cellStyle name="Normal - Style1 3 6 11 2" xfId="25135"/>
    <cellStyle name="Normal - Style1 3 6 12" xfId="8986"/>
    <cellStyle name="Normal - Style1 3 6 12 2" xfId="25136"/>
    <cellStyle name="Normal - Style1 3 6 13" xfId="8987"/>
    <cellStyle name="Normal - Style1 3 6 13 2" xfId="25137"/>
    <cellStyle name="Normal - Style1 3 6 14" xfId="8988"/>
    <cellStyle name="Normal - Style1 3 6 14 2" xfId="25138"/>
    <cellStyle name="Normal - Style1 3 6 15" xfId="8989"/>
    <cellStyle name="Normal - Style1 3 6 15 2" xfId="25139"/>
    <cellStyle name="Normal - Style1 3 6 16" xfId="8990"/>
    <cellStyle name="Normal - Style1 3 6 16 2" xfId="25140"/>
    <cellStyle name="Normal - Style1 3 6 17" xfId="8991"/>
    <cellStyle name="Normal - Style1 3 6 17 2" xfId="25141"/>
    <cellStyle name="Normal - Style1 3 6 18" xfId="5643"/>
    <cellStyle name="Normal - Style1 3 6 18 2" xfId="21805"/>
    <cellStyle name="Normal - Style1 3 6 2" xfId="2009"/>
    <cellStyle name="Normal - Style1 3 6 2 2" xfId="5912"/>
    <cellStyle name="Normal - Style1 3 6 2 2 2" xfId="22074"/>
    <cellStyle name="Normal - Style1 3 6 3" xfId="2011"/>
    <cellStyle name="Normal - Style1 3 6 3 2" xfId="5914"/>
    <cellStyle name="Normal - Style1 3 6 3 2 2" xfId="22076"/>
    <cellStyle name="Normal - Style1 3 6 4" xfId="2013"/>
    <cellStyle name="Normal - Style1 3 6 4 2" xfId="5917"/>
    <cellStyle name="Normal - Style1 3 6 4 2 2" xfId="22079"/>
    <cellStyle name="Normal - Style1 3 6 5" xfId="198"/>
    <cellStyle name="Normal - Style1 3 6 5 2" xfId="4125"/>
    <cellStyle name="Normal - Style1 3 6 5 2 2" xfId="20288"/>
    <cellStyle name="Normal - Style1 3 6 6" xfId="150"/>
    <cellStyle name="Normal - Style1 3 6 6 2" xfId="4087"/>
    <cellStyle name="Normal - Style1 3 6 6 2 2" xfId="20250"/>
    <cellStyle name="Normal - Style1 3 6 7" xfId="2016"/>
    <cellStyle name="Normal - Style1 3 6 7 2" xfId="5920"/>
    <cellStyle name="Normal - Style1 3 6 7 2 2" xfId="22082"/>
    <cellStyle name="Normal - Style1 3 6 8" xfId="2019"/>
    <cellStyle name="Normal - Style1 3 6 8 2" xfId="5923"/>
    <cellStyle name="Normal - Style1 3 6 8 2 2" xfId="22085"/>
    <cellStyle name="Normal - Style1 3 6 9" xfId="8992"/>
    <cellStyle name="Normal - Style1 3 6 9 2" xfId="25142"/>
    <cellStyle name="Normal - Style1 3 7" xfId="1733"/>
    <cellStyle name="Normal - Style1 3 7 10" xfId="8993"/>
    <cellStyle name="Normal - Style1 3 7 10 2" xfId="25143"/>
    <cellStyle name="Normal - Style1 3 7 11" xfId="8994"/>
    <cellStyle name="Normal - Style1 3 7 11 2" xfId="25144"/>
    <cellStyle name="Normal - Style1 3 7 12" xfId="8995"/>
    <cellStyle name="Normal - Style1 3 7 12 2" xfId="25145"/>
    <cellStyle name="Normal - Style1 3 7 13" xfId="8996"/>
    <cellStyle name="Normal - Style1 3 7 13 2" xfId="25146"/>
    <cellStyle name="Normal - Style1 3 7 14" xfId="8997"/>
    <cellStyle name="Normal - Style1 3 7 14 2" xfId="25147"/>
    <cellStyle name="Normal - Style1 3 7 15" xfId="8998"/>
    <cellStyle name="Normal - Style1 3 7 15 2" xfId="25148"/>
    <cellStyle name="Normal - Style1 3 7 16" xfId="8999"/>
    <cellStyle name="Normal - Style1 3 7 16 2" xfId="25149"/>
    <cellStyle name="Normal - Style1 3 7 17" xfId="9000"/>
    <cellStyle name="Normal - Style1 3 7 17 2" xfId="25150"/>
    <cellStyle name="Normal - Style1 3 7 18" xfId="5645"/>
    <cellStyle name="Normal - Style1 3 7 18 2" xfId="21807"/>
    <cellStyle name="Normal - Style1 3 7 2" xfId="2022"/>
    <cellStyle name="Normal - Style1 3 7 2 2" xfId="5926"/>
    <cellStyle name="Normal - Style1 3 7 2 2 2" xfId="22088"/>
    <cellStyle name="Normal - Style1 3 7 3" xfId="2026"/>
    <cellStyle name="Normal - Style1 3 7 3 2" xfId="5929"/>
    <cellStyle name="Normal - Style1 3 7 3 2 2" xfId="22091"/>
    <cellStyle name="Normal - Style1 3 7 4" xfId="2029"/>
    <cellStyle name="Normal - Style1 3 7 4 2" xfId="5932"/>
    <cellStyle name="Normal - Style1 3 7 4 2 2" xfId="22094"/>
    <cellStyle name="Normal - Style1 3 7 5" xfId="2032"/>
    <cellStyle name="Normal - Style1 3 7 5 2" xfId="5936"/>
    <cellStyle name="Normal - Style1 3 7 5 2 2" xfId="22098"/>
    <cellStyle name="Normal - Style1 3 7 6" xfId="2035"/>
    <cellStyle name="Normal - Style1 3 7 6 2" xfId="5939"/>
    <cellStyle name="Normal - Style1 3 7 6 2 2" xfId="22101"/>
    <cellStyle name="Normal - Style1 3 7 7" xfId="2038"/>
    <cellStyle name="Normal - Style1 3 7 7 2" xfId="5942"/>
    <cellStyle name="Normal - Style1 3 7 7 2 2" xfId="22104"/>
    <cellStyle name="Normal - Style1 3 7 8" xfId="2041"/>
    <cellStyle name="Normal - Style1 3 7 8 2" xfId="5945"/>
    <cellStyle name="Normal - Style1 3 7 8 2 2" xfId="22107"/>
    <cellStyle name="Normal - Style1 3 7 9" xfId="9001"/>
    <cellStyle name="Normal - Style1 3 7 9 2" xfId="25151"/>
    <cellStyle name="Normal - Style1 3 8" xfId="1735"/>
    <cellStyle name="Normal - Style1 3 8 10" xfId="9002"/>
    <cellStyle name="Normal - Style1 3 8 10 2" xfId="25152"/>
    <cellStyle name="Normal - Style1 3 8 11" xfId="9003"/>
    <cellStyle name="Normal - Style1 3 8 11 2" xfId="25153"/>
    <cellStyle name="Normal - Style1 3 8 12" xfId="9004"/>
    <cellStyle name="Normal - Style1 3 8 12 2" xfId="25154"/>
    <cellStyle name="Normal - Style1 3 8 13" xfId="9005"/>
    <cellStyle name="Normal - Style1 3 8 13 2" xfId="25155"/>
    <cellStyle name="Normal - Style1 3 8 14" xfId="9006"/>
    <cellStyle name="Normal - Style1 3 8 14 2" xfId="25156"/>
    <cellStyle name="Normal - Style1 3 8 15" xfId="9007"/>
    <cellStyle name="Normal - Style1 3 8 15 2" xfId="25157"/>
    <cellStyle name="Normal - Style1 3 8 16" xfId="9008"/>
    <cellStyle name="Normal - Style1 3 8 16 2" xfId="25158"/>
    <cellStyle name="Normal - Style1 3 8 17" xfId="9009"/>
    <cellStyle name="Normal - Style1 3 8 17 2" xfId="25159"/>
    <cellStyle name="Normal - Style1 3 8 18" xfId="5647"/>
    <cellStyle name="Normal - Style1 3 8 18 2" xfId="21809"/>
    <cellStyle name="Normal - Style1 3 8 2" xfId="2043"/>
    <cellStyle name="Normal - Style1 3 8 2 2" xfId="5947"/>
    <cellStyle name="Normal - Style1 3 8 2 2 2" xfId="22109"/>
    <cellStyle name="Normal - Style1 3 8 3" xfId="2045"/>
    <cellStyle name="Normal - Style1 3 8 3 2" xfId="5948"/>
    <cellStyle name="Normal - Style1 3 8 3 2 2" xfId="22110"/>
    <cellStyle name="Normal - Style1 3 8 4" xfId="2048"/>
    <cellStyle name="Normal - Style1 3 8 4 2" xfId="5951"/>
    <cellStyle name="Normal - Style1 3 8 4 2 2" xfId="22113"/>
    <cellStyle name="Normal - Style1 3 8 5" xfId="2051"/>
    <cellStyle name="Normal - Style1 3 8 5 2" xfId="5955"/>
    <cellStyle name="Normal - Style1 3 8 5 2 2" xfId="22117"/>
    <cellStyle name="Normal - Style1 3 8 6" xfId="2054"/>
    <cellStyle name="Normal - Style1 3 8 6 2" xfId="5958"/>
    <cellStyle name="Normal - Style1 3 8 6 2 2" xfId="22120"/>
    <cellStyle name="Normal - Style1 3 8 7" xfId="2057"/>
    <cellStyle name="Normal - Style1 3 8 7 2" xfId="5961"/>
    <cellStyle name="Normal - Style1 3 8 7 2 2" xfId="22123"/>
    <cellStyle name="Normal - Style1 3 8 8" xfId="2060"/>
    <cellStyle name="Normal - Style1 3 8 8 2" xfId="5964"/>
    <cellStyle name="Normal - Style1 3 8 8 2 2" xfId="22126"/>
    <cellStyle name="Normal - Style1 3 8 9" xfId="9010"/>
    <cellStyle name="Normal - Style1 3 8 9 2" xfId="25160"/>
    <cellStyle name="Normal - Style1 3 9" xfId="2064"/>
    <cellStyle name="Normal - Style1 3 9 10" xfId="9011"/>
    <cellStyle name="Normal - Style1 3 9 10 2" xfId="25161"/>
    <cellStyle name="Normal - Style1 3 9 11" xfId="9012"/>
    <cellStyle name="Normal - Style1 3 9 11 2" xfId="25162"/>
    <cellStyle name="Normal - Style1 3 9 12" xfId="9013"/>
    <cellStyle name="Normal - Style1 3 9 12 2" xfId="25163"/>
    <cellStyle name="Normal - Style1 3 9 13" xfId="9014"/>
    <cellStyle name="Normal - Style1 3 9 13 2" xfId="25164"/>
    <cellStyle name="Normal - Style1 3 9 14" xfId="9015"/>
    <cellStyle name="Normal - Style1 3 9 14 2" xfId="25165"/>
    <cellStyle name="Normal - Style1 3 9 15" xfId="9016"/>
    <cellStyle name="Normal - Style1 3 9 15 2" xfId="25166"/>
    <cellStyle name="Normal - Style1 3 9 16" xfId="9017"/>
    <cellStyle name="Normal - Style1 3 9 16 2" xfId="25167"/>
    <cellStyle name="Normal - Style1 3 9 17" xfId="9018"/>
    <cellStyle name="Normal - Style1 3 9 17 2" xfId="25168"/>
    <cellStyle name="Normal - Style1 3 9 18" xfId="5966"/>
    <cellStyle name="Normal - Style1 3 9 18 2" xfId="22128"/>
    <cellStyle name="Normal - Style1 3 9 2" xfId="2065"/>
    <cellStyle name="Normal - Style1 3 9 2 2" xfId="5968"/>
    <cellStyle name="Normal - Style1 3 9 2 2 2" xfId="22130"/>
    <cellStyle name="Normal - Style1 3 9 3" xfId="2067"/>
    <cellStyle name="Normal - Style1 3 9 3 2" xfId="5969"/>
    <cellStyle name="Normal - Style1 3 9 3 2 2" xfId="22131"/>
    <cellStyle name="Normal - Style1 3 9 4" xfId="2070"/>
    <cellStyle name="Normal - Style1 3 9 4 2" xfId="5972"/>
    <cellStyle name="Normal - Style1 3 9 4 2 2" xfId="22134"/>
    <cellStyle name="Normal - Style1 3 9 5" xfId="2073"/>
    <cellStyle name="Normal - Style1 3 9 5 2" xfId="5976"/>
    <cellStyle name="Normal - Style1 3 9 5 2 2" xfId="22138"/>
    <cellStyle name="Normal - Style1 3 9 6" xfId="1247"/>
    <cellStyle name="Normal - Style1 3 9 6 2" xfId="5168"/>
    <cellStyle name="Normal - Style1 3 9 6 2 2" xfId="21330"/>
    <cellStyle name="Normal - Style1 3 9 7" xfId="1250"/>
    <cellStyle name="Normal - Style1 3 9 7 2" xfId="5171"/>
    <cellStyle name="Normal - Style1 3 9 7 2 2" xfId="21333"/>
    <cellStyle name="Normal - Style1 3 9 8" xfId="2076"/>
    <cellStyle name="Normal - Style1 3 9 8 2" xfId="5978"/>
    <cellStyle name="Normal - Style1 3 9 8 2 2" xfId="22140"/>
    <cellStyle name="Normal - Style1 3 9 9" xfId="9019"/>
    <cellStyle name="Normal - Style1 3 9 9 2" xfId="25169"/>
    <cellStyle name="Normal - Style1 3_Achampally-Gattubuthkur-Ganga-CRR" xfId="2078"/>
    <cellStyle name="Normal - Style1 4" xfId="2079"/>
    <cellStyle name="Normal - Style1 4 2" xfId="5981"/>
    <cellStyle name="Normal - Style1 4 2 2" xfId="22143"/>
    <cellStyle name="Normal - Style1 5" xfId="2080"/>
    <cellStyle name="Normal - Style1 5 2" xfId="5982"/>
    <cellStyle name="Normal - Style1 5 2 2" xfId="22144"/>
    <cellStyle name="Normal - Style1 6" xfId="478"/>
    <cellStyle name="Normal - Style1 6 2" xfId="9020"/>
    <cellStyle name="Normal - Style1 6 2 2" xfId="25170"/>
    <cellStyle name="Normal - Style1 6 3" xfId="4412"/>
    <cellStyle name="Normal - Style1 6 3 2" xfId="20575"/>
    <cellStyle name="Normal - Style1 7" xfId="492"/>
    <cellStyle name="Normal - Style1 7 2" xfId="9021"/>
    <cellStyle name="Normal - Style1 7 2 2" xfId="25171"/>
    <cellStyle name="Normal - Style1 7 3" xfId="4426"/>
    <cellStyle name="Normal - Style1 7 3 2" xfId="20589"/>
    <cellStyle name="Normal - Style1 8" xfId="1404"/>
    <cellStyle name="Normal - Style1 8 2" xfId="9022"/>
    <cellStyle name="Normal - Style1 8 2 2" xfId="25172"/>
    <cellStyle name="Normal - Style1 8 3" xfId="5322"/>
    <cellStyle name="Normal - Style1 8 3 2" xfId="21484"/>
    <cellStyle name="Normal - Style1 9" xfId="1408"/>
    <cellStyle name="Normal - Style1 9 2" xfId="9023"/>
    <cellStyle name="Normal - Style1 9 2 2" xfId="25173"/>
    <cellStyle name="Normal - Style1 9 3" xfId="5326"/>
    <cellStyle name="Normal - Style1 9 3 2" xfId="21488"/>
    <cellStyle name="Normal - Style1_1_Pattapupalem_road estt-NCRMP" xfId="2081"/>
    <cellStyle name="Normal 10" xfId="2082"/>
    <cellStyle name="Normal 10 10" xfId="2083"/>
    <cellStyle name="Normal 10 10 10" xfId="9024"/>
    <cellStyle name="Normal 10 10 10 2" xfId="25174"/>
    <cellStyle name="Normal 10 10 11" xfId="9025"/>
    <cellStyle name="Normal 10 10 11 2" xfId="25175"/>
    <cellStyle name="Normal 10 10 12" xfId="9026"/>
    <cellStyle name="Normal 10 10 12 2" xfId="25176"/>
    <cellStyle name="Normal 10 10 13" xfId="9027"/>
    <cellStyle name="Normal 10 10 13 2" xfId="25177"/>
    <cellStyle name="Normal 10 10 14" xfId="9028"/>
    <cellStyle name="Normal 10 10 14 2" xfId="25178"/>
    <cellStyle name="Normal 10 10 15" xfId="9029"/>
    <cellStyle name="Normal 10 10 15 2" xfId="25179"/>
    <cellStyle name="Normal 10 10 16" xfId="9030"/>
    <cellStyle name="Normal 10 10 16 2" xfId="25180"/>
    <cellStyle name="Normal 10 10 17" xfId="9031"/>
    <cellStyle name="Normal 10 10 17 2" xfId="25181"/>
    <cellStyle name="Normal 10 10 18" xfId="5985"/>
    <cellStyle name="Normal 10 10 18 2" xfId="22147"/>
    <cellStyle name="Normal 10 10 2" xfId="2085"/>
    <cellStyle name="Normal 10 10 2 2" xfId="5986"/>
    <cellStyle name="Normal 10 10 2 2 2" xfId="22148"/>
    <cellStyle name="Normal 10 10 3" xfId="2086"/>
    <cellStyle name="Normal 10 10 3 2" xfId="5987"/>
    <cellStyle name="Normal 10 10 3 2 2" xfId="22149"/>
    <cellStyle name="Normal 10 10 4" xfId="2087"/>
    <cellStyle name="Normal 10 10 4 2" xfId="5988"/>
    <cellStyle name="Normal 10 10 4 2 2" xfId="22150"/>
    <cellStyle name="Normal 10 10 5" xfId="2088"/>
    <cellStyle name="Normal 10 10 5 2" xfId="5989"/>
    <cellStyle name="Normal 10 10 5 2 2" xfId="22151"/>
    <cellStyle name="Normal 10 10 6" xfId="628"/>
    <cellStyle name="Normal 10 10 6 2" xfId="4555"/>
    <cellStyle name="Normal 10 10 6 2 2" xfId="20717"/>
    <cellStyle name="Normal 10 10 7" xfId="1601"/>
    <cellStyle name="Normal 10 10 7 2" xfId="5518"/>
    <cellStyle name="Normal 10 10 7 2 2" xfId="21680"/>
    <cellStyle name="Normal 10 10 8" xfId="2089"/>
    <cellStyle name="Normal 10 10 8 2" xfId="5990"/>
    <cellStyle name="Normal 10 10 8 2 2" xfId="22152"/>
    <cellStyle name="Normal 10 10 9" xfId="9032"/>
    <cellStyle name="Normal 10 10 9 2" xfId="25182"/>
    <cellStyle name="Normal 10 11" xfId="2090"/>
    <cellStyle name="Normal 10 11 10" xfId="9033"/>
    <cellStyle name="Normal 10 11 10 2" xfId="25183"/>
    <cellStyle name="Normal 10 11 11" xfId="9034"/>
    <cellStyle name="Normal 10 11 11 2" xfId="25184"/>
    <cellStyle name="Normal 10 11 12" xfId="9035"/>
    <cellStyle name="Normal 10 11 12 2" xfId="25185"/>
    <cellStyle name="Normal 10 11 13" xfId="9036"/>
    <cellStyle name="Normal 10 11 13 2" xfId="25186"/>
    <cellStyle name="Normal 10 11 14" xfId="9037"/>
    <cellStyle name="Normal 10 11 14 2" xfId="25187"/>
    <cellStyle name="Normal 10 11 15" xfId="9038"/>
    <cellStyle name="Normal 10 11 15 2" xfId="25188"/>
    <cellStyle name="Normal 10 11 16" xfId="9039"/>
    <cellStyle name="Normal 10 11 16 2" xfId="25189"/>
    <cellStyle name="Normal 10 11 17" xfId="9040"/>
    <cellStyle name="Normal 10 11 17 2" xfId="25190"/>
    <cellStyle name="Normal 10 11 18" xfId="5992"/>
    <cellStyle name="Normal 10 11 18 2" xfId="22154"/>
    <cellStyle name="Normal 10 11 2" xfId="2092"/>
    <cellStyle name="Normal 10 11 2 2" xfId="5993"/>
    <cellStyle name="Normal 10 11 2 2 2" xfId="22155"/>
    <cellStyle name="Normal 10 11 3" xfId="2094"/>
    <cellStyle name="Normal 10 11 3 2" xfId="5995"/>
    <cellStyle name="Normal 10 11 3 2 2" xfId="22157"/>
    <cellStyle name="Normal 10 11 4" xfId="2097"/>
    <cellStyle name="Normal 10 11 4 2" xfId="5998"/>
    <cellStyle name="Normal 10 11 4 2 2" xfId="22160"/>
    <cellStyle name="Normal 10 11 5" xfId="2102"/>
    <cellStyle name="Normal 10 11 5 2" xfId="6003"/>
    <cellStyle name="Normal 10 11 5 2 2" xfId="22165"/>
    <cellStyle name="Normal 10 11 6" xfId="1606"/>
    <cellStyle name="Normal 10 11 6 2" xfId="5525"/>
    <cellStyle name="Normal 10 11 6 2 2" xfId="21687"/>
    <cellStyle name="Normal 10 11 7" xfId="1613"/>
    <cellStyle name="Normal 10 11 7 2" xfId="5532"/>
    <cellStyle name="Normal 10 11 7 2 2" xfId="21694"/>
    <cellStyle name="Normal 10 11 8" xfId="2107"/>
    <cellStyle name="Normal 10 11 8 2" xfId="6008"/>
    <cellStyle name="Normal 10 11 8 2 2" xfId="22170"/>
    <cellStyle name="Normal 10 11 9" xfId="9041"/>
    <cellStyle name="Normal 10 11 9 2" xfId="25191"/>
    <cellStyle name="Normal 10 12" xfId="2111"/>
    <cellStyle name="Normal 10 12 10" xfId="9042"/>
    <cellStyle name="Normal 10 12 10 2" xfId="25192"/>
    <cellStyle name="Normal 10 12 11" xfId="9043"/>
    <cellStyle name="Normal 10 12 11 2" xfId="25193"/>
    <cellStyle name="Normal 10 12 12" xfId="9044"/>
    <cellStyle name="Normal 10 12 12 2" xfId="25194"/>
    <cellStyle name="Normal 10 12 13" xfId="9045"/>
    <cellStyle name="Normal 10 12 13 2" xfId="25195"/>
    <cellStyle name="Normal 10 12 14" xfId="9046"/>
    <cellStyle name="Normal 10 12 14 2" xfId="25196"/>
    <cellStyle name="Normal 10 12 15" xfId="9047"/>
    <cellStyle name="Normal 10 12 15 2" xfId="25197"/>
    <cellStyle name="Normal 10 12 16" xfId="9048"/>
    <cellStyle name="Normal 10 12 16 2" xfId="25198"/>
    <cellStyle name="Normal 10 12 17" xfId="9049"/>
    <cellStyle name="Normal 10 12 17 2" xfId="25199"/>
    <cellStyle name="Normal 10 12 18" xfId="6012"/>
    <cellStyle name="Normal 10 12 18 2" xfId="22174"/>
    <cellStyle name="Normal 10 12 2" xfId="2112"/>
    <cellStyle name="Normal 10 12 2 2" xfId="6013"/>
    <cellStyle name="Normal 10 12 2 2 2" xfId="22175"/>
    <cellStyle name="Normal 10 12 3" xfId="2113"/>
    <cellStyle name="Normal 10 12 3 2" xfId="6015"/>
    <cellStyle name="Normal 10 12 3 2 2" xfId="22177"/>
    <cellStyle name="Normal 10 12 4" xfId="2115"/>
    <cellStyle name="Normal 10 12 4 2" xfId="6017"/>
    <cellStyle name="Normal 10 12 4 2 2" xfId="22179"/>
    <cellStyle name="Normal 10 12 5" xfId="2117"/>
    <cellStyle name="Normal 10 12 5 2" xfId="6019"/>
    <cellStyle name="Normal 10 12 5 2 2" xfId="22181"/>
    <cellStyle name="Normal 10 12 6" xfId="1621"/>
    <cellStyle name="Normal 10 12 6 2" xfId="5536"/>
    <cellStyle name="Normal 10 12 6 2 2" xfId="21698"/>
    <cellStyle name="Normal 10 12 7" xfId="1629"/>
    <cellStyle name="Normal 10 12 7 2" xfId="5542"/>
    <cellStyle name="Normal 10 12 7 2 2" xfId="21704"/>
    <cellStyle name="Normal 10 12 8" xfId="2119"/>
    <cellStyle name="Normal 10 12 8 2" xfId="6021"/>
    <cellStyle name="Normal 10 12 8 2 2" xfId="22183"/>
    <cellStyle name="Normal 10 12 9" xfId="9050"/>
    <cellStyle name="Normal 10 12 9 2" xfId="25200"/>
    <cellStyle name="Normal 10 13" xfId="2121"/>
    <cellStyle name="Normal 10 13 2" xfId="6022"/>
    <cellStyle name="Normal 10 13 2 2" xfId="22184"/>
    <cellStyle name="Normal 10 14" xfId="2122"/>
    <cellStyle name="Normal 10 14 2" xfId="6023"/>
    <cellStyle name="Normal 10 14 2 2" xfId="22185"/>
    <cellStyle name="Normal 10 15" xfId="481"/>
    <cellStyle name="Normal 10 15 2" xfId="4419"/>
    <cellStyle name="Normal 10 15 2 2" xfId="20582"/>
    <cellStyle name="Normal 10 16" xfId="487"/>
    <cellStyle name="Normal 10 16 2" xfId="4425"/>
    <cellStyle name="Normal 10 16 2 2" xfId="20588"/>
    <cellStyle name="Normal 10 17" xfId="670"/>
    <cellStyle name="Normal 10 17 2" xfId="4599"/>
    <cellStyle name="Normal 10 17 2 2" xfId="20761"/>
    <cellStyle name="Normal 10 18" xfId="1903"/>
    <cellStyle name="Normal 10 18 2" xfId="5811"/>
    <cellStyle name="Normal 10 18 2 2" xfId="21973"/>
    <cellStyle name="Normal 10 19" xfId="1905"/>
    <cellStyle name="Normal 10 19 2" xfId="5813"/>
    <cellStyle name="Normal 10 19 2 2" xfId="21975"/>
    <cellStyle name="Normal 10 2" xfId="668"/>
    <cellStyle name="Normal 10 2 10" xfId="2124"/>
    <cellStyle name="Normal 10 2 10 10" xfId="9051"/>
    <cellStyle name="Normal 10 2 10 10 2" xfId="25201"/>
    <cellStyle name="Normal 10 2 10 11" xfId="9052"/>
    <cellStyle name="Normal 10 2 10 11 2" xfId="25202"/>
    <cellStyle name="Normal 10 2 10 12" xfId="9053"/>
    <cellStyle name="Normal 10 2 10 12 2" xfId="25203"/>
    <cellStyle name="Normal 10 2 10 13" xfId="9054"/>
    <cellStyle name="Normal 10 2 10 13 2" xfId="25204"/>
    <cellStyle name="Normal 10 2 10 14" xfId="9055"/>
    <cellStyle name="Normal 10 2 10 14 2" xfId="25205"/>
    <cellStyle name="Normal 10 2 10 15" xfId="9056"/>
    <cellStyle name="Normal 10 2 10 15 2" xfId="25206"/>
    <cellStyle name="Normal 10 2 10 16" xfId="9057"/>
    <cellStyle name="Normal 10 2 10 16 2" xfId="25207"/>
    <cellStyle name="Normal 10 2 10 17" xfId="9058"/>
    <cellStyle name="Normal 10 2 10 17 2" xfId="25208"/>
    <cellStyle name="Normal 10 2 10 18" xfId="6024"/>
    <cellStyle name="Normal 10 2 10 18 2" xfId="22186"/>
    <cellStyle name="Normal 10 2 10 2" xfId="2126"/>
    <cellStyle name="Normal 10 2 10 2 2" xfId="6026"/>
    <cellStyle name="Normal 10 2 10 2 2 2" xfId="22188"/>
    <cellStyle name="Normal 10 2 10 3" xfId="2127"/>
    <cellStyle name="Normal 10 2 10 3 2" xfId="6028"/>
    <cellStyle name="Normal 10 2 10 3 2 2" xfId="22190"/>
    <cellStyle name="Normal 10 2 10 4" xfId="2128"/>
    <cellStyle name="Normal 10 2 10 4 2" xfId="6029"/>
    <cellStyle name="Normal 10 2 10 4 2 2" xfId="22191"/>
    <cellStyle name="Normal 10 2 10 5" xfId="2129"/>
    <cellStyle name="Normal 10 2 10 5 2" xfId="6030"/>
    <cellStyle name="Normal 10 2 10 5 2 2" xfId="22192"/>
    <cellStyle name="Normal 10 2 10 6" xfId="2130"/>
    <cellStyle name="Normal 10 2 10 6 2" xfId="6031"/>
    <cellStyle name="Normal 10 2 10 6 2 2" xfId="22193"/>
    <cellStyle name="Normal 10 2 10 7" xfId="2131"/>
    <cellStyle name="Normal 10 2 10 7 2" xfId="6032"/>
    <cellStyle name="Normal 10 2 10 7 2 2" xfId="22194"/>
    <cellStyle name="Normal 10 2 10 8" xfId="2132"/>
    <cellStyle name="Normal 10 2 10 8 2" xfId="6033"/>
    <cellStyle name="Normal 10 2 10 8 2 2" xfId="22195"/>
    <cellStyle name="Normal 10 2 10 9" xfId="9059"/>
    <cellStyle name="Normal 10 2 10 9 2" xfId="25209"/>
    <cellStyle name="Normal 10 2 11" xfId="2134"/>
    <cellStyle name="Normal 10 2 11 2" xfId="6035"/>
    <cellStyle name="Normal 10 2 11 2 2" xfId="22197"/>
    <cellStyle name="Normal 10 2 12" xfId="1074"/>
    <cellStyle name="Normal 10 2 12 2" xfId="4997"/>
    <cellStyle name="Normal 10 2 12 2 2" xfId="21159"/>
    <cellStyle name="Normal 10 2 13" xfId="1080"/>
    <cellStyle name="Normal 10 2 13 2" xfId="5003"/>
    <cellStyle name="Normal 10 2 13 2 2" xfId="21165"/>
    <cellStyle name="Normal 10 2 14" xfId="1086"/>
    <cellStyle name="Normal 10 2 14 2" xfId="5008"/>
    <cellStyle name="Normal 10 2 14 2 2" xfId="21170"/>
    <cellStyle name="Normal 10 2 15" xfId="1091"/>
    <cellStyle name="Normal 10 2 15 2" xfId="5013"/>
    <cellStyle name="Normal 10 2 15 2 2" xfId="21175"/>
    <cellStyle name="Normal 10 2 16" xfId="1096"/>
    <cellStyle name="Normal 10 2 16 2" xfId="5018"/>
    <cellStyle name="Normal 10 2 16 2 2" xfId="21180"/>
    <cellStyle name="Normal 10 2 17" xfId="1100"/>
    <cellStyle name="Normal 10 2 17 2" xfId="5022"/>
    <cellStyle name="Normal 10 2 17 2 2" xfId="21184"/>
    <cellStyle name="Normal 10 2 18" xfId="9060"/>
    <cellStyle name="Normal 10 2 18 2" xfId="25210"/>
    <cellStyle name="Normal 10 2 19" xfId="9061"/>
    <cellStyle name="Normal 10 2 19 2" xfId="25211"/>
    <cellStyle name="Normal 10 2 2" xfId="674"/>
    <cellStyle name="Normal 10 2 2 10" xfId="9062"/>
    <cellStyle name="Normal 10 2 2 10 2" xfId="25212"/>
    <cellStyle name="Normal 10 2 2 11" xfId="9063"/>
    <cellStyle name="Normal 10 2 2 11 2" xfId="25213"/>
    <cellStyle name="Normal 10 2 2 12" xfId="9064"/>
    <cellStyle name="Normal 10 2 2 12 2" xfId="25214"/>
    <cellStyle name="Normal 10 2 2 13" xfId="9065"/>
    <cellStyle name="Normal 10 2 2 13 2" xfId="25215"/>
    <cellStyle name="Normal 10 2 2 14" xfId="9066"/>
    <cellStyle name="Normal 10 2 2 14 2" xfId="25216"/>
    <cellStyle name="Normal 10 2 2 15" xfId="9067"/>
    <cellStyle name="Normal 10 2 2 15 2" xfId="25217"/>
    <cellStyle name="Normal 10 2 2 16" xfId="9068"/>
    <cellStyle name="Normal 10 2 2 16 2" xfId="25218"/>
    <cellStyle name="Normal 10 2 2 17" xfId="9069"/>
    <cellStyle name="Normal 10 2 2 17 2" xfId="25219"/>
    <cellStyle name="Normal 10 2 2 18" xfId="4602"/>
    <cellStyle name="Normal 10 2 2 18 2" xfId="20764"/>
    <cellStyle name="Normal 10 2 2 2" xfId="2136"/>
    <cellStyle name="Normal 10 2 2 2 2" xfId="6037"/>
    <cellStyle name="Normal 10 2 2 2 2 2" xfId="22199"/>
    <cellStyle name="Normal 10 2 2 3" xfId="756"/>
    <cellStyle name="Normal 10 2 2 3 2" xfId="4680"/>
    <cellStyle name="Normal 10 2 2 3 2 2" xfId="20842"/>
    <cellStyle name="Normal 10 2 2 4" xfId="67"/>
    <cellStyle name="Normal 10 2 2 4 2" xfId="4020"/>
    <cellStyle name="Normal 10 2 2 4 2 2" xfId="20183"/>
    <cellStyle name="Normal 10 2 2 5" xfId="2137"/>
    <cellStyle name="Normal 10 2 2 5 2" xfId="6038"/>
    <cellStyle name="Normal 10 2 2 5 2 2" xfId="22200"/>
    <cellStyle name="Normal 10 2 2 6" xfId="2138"/>
    <cellStyle name="Normal 10 2 2 6 2" xfId="6039"/>
    <cellStyle name="Normal 10 2 2 6 2 2" xfId="22201"/>
    <cellStyle name="Normal 10 2 2 7" xfId="1950"/>
    <cellStyle name="Normal 10 2 2 7 2" xfId="5855"/>
    <cellStyle name="Normal 10 2 2 7 2 2" xfId="22017"/>
    <cellStyle name="Normal 10 2 2 8" xfId="2139"/>
    <cellStyle name="Normal 10 2 2 8 2" xfId="6040"/>
    <cellStyle name="Normal 10 2 2 8 2 2" xfId="22202"/>
    <cellStyle name="Normal 10 2 2 9" xfId="9070"/>
    <cellStyle name="Normal 10 2 2 9 2" xfId="25220"/>
    <cellStyle name="Normal 10 2 20" xfId="9071"/>
    <cellStyle name="Normal 10 2 20 2" xfId="25221"/>
    <cellStyle name="Normal 10 2 21" xfId="9072"/>
    <cellStyle name="Normal 10 2 21 2" xfId="25222"/>
    <cellStyle name="Normal 10 2 22" xfId="9073"/>
    <cellStyle name="Normal 10 2 22 2" xfId="25223"/>
    <cellStyle name="Normal 10 2 23" xfId="9074"/>
    <cellStyle name="Normal 10 2 23 2" xfId="25224"/>
    <cellStyle name="Normal 10 2 24" xfId="9075"/>
    <cellStyle name="Normal 10 2 24 2" xfId="25225"/>
    <cellStyle name="Normal 10 2 25" xfId="9076"/>
    <cellStyle name="Normal 10 2 25 2" xfId="25226"/>
    <cellStyle name="Normal 10 2 26" xfId="9077"/>
    <cellStyle name="Normal 10 2 26 2" xfId="25227"/>
    <cellStyle name="Normal 10 2 27" xfId="4591"/>
    <cellStyle name="Normal 10 2 27 2" xfId="20753"/>
    <cellStyle name="Normal 10 2 3" xfId="677"/>
    <cellStyle name="Normal 10 2 3 10" xfId="9078"/>
    <cellStyle name="Normal 10 2 3 10 2" xfId="25228"/>
    <cellStyle name="Normal 10 2 3 11" xfId="9079"/>
    <cellStyle name="Normal 10 2 3 11 2" xfId="25229"/>
    <cellStyle name="Normal 10 2 3 12" xfId="9080"/>
    <cellStyle name="Normal 10 2 3 12 2" xfId="25230"/>
    <cellStyle name="Normal 10 2 3 13" xfId="9081"/>
    <cellStyle name="Normal 10 2 3 13 2" xfId="25231"/>
    <cellStyle name="Normal 10 2 3 14" xfId="9082"/>
    <cellStyle name="Normal 10 2 3 14 2" xfId="25232"/>
    <cellStyle name="Normal 10 2 3 15" xfId="9083"/>
    <cellStyle name="Normal 10 2 3 15 2" xfId="25233"/>
    <cellStyle name="Normal 10 2 3 16" xfId="9084"/>
    <cellStyle name="Normal 10 2 3 16 2" xfId="25234"/>
    <cellStyle name="Normal 10 2 3 17" xfId="9085"/>
    <cellStyle name="Normal 10 2 3 17 2" xfId="25235"/>
    <cellStyle name="Normal 10 2 3 18" xfId="4605"/>
    <cellStyle name="Normal 10 2 3 18 2" xfId="20767"/>
    <cellStyle name="Normal 10 2 3 2" xfId="2140"/>
    <cellStyle name="Normal 10 2 3 2 2" xfId="6041"/>
    <cellStyle name="Normal 10 2 3 2 2 2" xfId="22203"/>
    <cellStyle name="Normal 10 2 3 3" xfId="2141"/>
    <cellStyle name="Normal 10 2 3 3 2" xfId="6042"/>
    <cellStyle name="Normal 10 2 3 3 2 2" xfId="22204"/>
    <cellStyle name="Normal 10 2 3 4" xfId="2142"/>
    <cellStyle name="Normal 10 2 3 4 2" xfId="6043"/>
    <cellStyle name="Normal 10 2 3 4 2 2" xfId="22205"/>
    <cellStyle name="Normal 10 2 3 5" xfId="2143"/>
    <cellStyle name="Normal 10 2 3 5 2" xfId="6044"/>
    <cellStyle name="Normal 10 2 3 5 2 2" xfId="22206"/>
    <cellStyle name="Normal 10 2 3 6" xfId="2144"/>
    <cellStyle name="Normal 10 2 3 6 2" xfId="6045"/>
    <cellStyle name="Normal 10 2 3 6 2 2" xfId="22207"/>
    <cellStyle name="Normal 10 2 3 7" xfId="2145"/>
    <cellStyle name="Normal 10 2 3 7 2" xfId="6046"/>
    <cellStyle name="Normal 10 2 3 7 2 2" xfId="22208"/>
    <cellStyle name="Normal 10 2 3 8" xfId="714"/>
    <cellStyle name="Normal 10 2 3 8 2" xfId="4641"/>
    <cellStyle name="Normal 10 2 3 8 2 2" xfId="20803"/>
    <cellStyle name="Normal 10 2 3 9" xfId="9086"/>
    <cellStyle name="Normal 10 2 3 9 2" xfId="25236"/>
    <cellStyle name="Normal 10 2 4" xfId="2147"/>
    <cellStyle name="Normal 10 2 4 10" xfId="9087"/>
    <cellStyle name="Normal 10 2 4 10 2" xfId="25237"/>
    <cellStyle name="Normal 10 2 4 11" xfId="9088"/>
    <cellStyle name="Normal 10 2 4 11 2" xfId="25238"/>
    <cellStyle name="Normal 10 2 4 12" xfId="9089"/>
    <cellStyle name="Normal 10 2 4 12 2" xfId="25239"/>
    <cellStyle name="Normal 10 2 4 13" xfId="9090"/>
    <cellStyle name="Normal 10 2 4 13 2" xfId="25240"/>
    <cellStyle name="Normal 10 2 4 14" xfId="9091"/>
    <cellStyle name="Normal 10 2 4 14 2" xfId="25241"/>
    <cellStyle name="Normal 10 2 4 15" xfId="9092"/>
    <cellStyle name="Normal 10 2 4 15 2" xfId="25242"/>
    <cellStyle name="Normal 10 2 4 16" xfId="9093"/>
    <cellStyle name="Normal 10 2 4 16 2" xfId="25243"/>
    <cellStyle name="Normal 10 2 4 17" xfId="9094"/>
    <cellStyle name="Normal 10 2 4 17 2" xfId="25244"/>
    <cellStyle name="Normal 10 2 4 18" xfId="6048"/>
    <cellStyle name="Normal 10 2 4 18 2" xfId="22210"/>
    <cellStyle name="Normal 10 2 4 2" xfId="2148"/>
    <cellStyle name="Normal 10 2 4 2 2" xfId="6049"/>
    <cellStyle name="Normal 10 2 4 2 2 2" xfId="22211"/>
    <cellStyle name="Normal 10 2 4 3" xfId="2149"/>
    <cellStyle name="Normal 10 2 4 3 2" xfId="6050"/>
    <cellStyle name="Normal 10 2 4 3 2 2" xfId="22212"/>
    <cellStyle name="Normal 10 2 4 4" xfId="2151"/>
    <cellStyle name="Normal 10 2 4 4 2" xfId="6052"/>
    <cellStyle name="Normal 10 2 4 4 2 2" xfId="22214"/>
    <cellStyle name="Normal 10 2 4 5" xfId="2152"/>
    <cellStyle name="Normal 10 2 4 5 2" xfId="6053"/>
    <cellStyle name="Normal 10 2 4 5 2 2" xfId="22215"/>
    <cellStyle name="Normal 10 2 4 6" xfId="2153"/>
    <cellStyle name="Normal 10 2 4 6 2" xfId="6054"/>
    <cellStyle name="Normal 10 2 4 6 2 2" xfId="22216"/>
    <cellStyle name="Normal 10 2 4 7" xfId="2084"/>
    <cellStyle name="Normal 10 2 4 7 2" xfId="5984"/>
    <cellStyle name="Normal 10 2 4 7 2 2" xfId="22146"/>
    <cellStyle name="Normal 10 2 4 8" xfId="2091"/>
    <cellStyle name="Normal 10 2 4 8 2" xfId="5991"/>
    <cellStyle name="Normal 10 2 4 8 2 2" xfId="22153"/>
    <cellStyle name="Normal 10 2 4 9" xfId="9095"/>
    <cellStyle name="Normal 10 2 4 9 2" xfId="25245"/>
    <cellStyle name="Normal 10 2 5" xfId="2155"/>
    <cellStyle name="Normal 10 2 5 10" xfId="9096"/>
    <cellStyle name="Normal 10 2 5 10 2" xfId="25246"/>
    <cellStyle name="Normal 10 2 5 11" xfId="9097"/>
    <cellStyle name="Normal 10 2 5 11 2" xfId="25247"/>
    <cellStyle name="Normal 10 2 5 12" xfId="9098"/>
    <cellStyle name="Normal 10 2 5 12 2" xfId="25248"/>
    <cellStyle name="Normal 10 2 5 13" xfId="9099"/>
    <cellStyle name="Normal 10 2 5 13 2" xfId="25249"/>
    <cellStyle name="Normal 10 2 5 14" xfId="9100"/>
    <cellStyle name="Normal 10 2 5 14 2" xfId="25250"/>
    <cellStyle name="Normal 10 2 5 15" xfId="9101"/>
    <cellStyle name="Normal 10 2 5 15 2" xfId="25251"/>
    <cellStyle name="Normal 10 2 5 16" xfId="9102"/>
    <cellStyle name="Normal 10 2 5 16 2" xfId="25252"/>
    <cellStyle name="Normal 10 2 5 17" xfId="9103"/>
    <cellStyle name="Normal 10 2 5 17 2" xfId="25253"/>
    <cellStyle name="Normal 10 2 5 18" xfId="6056"/>
    <cellStyle name="Normal 10 2 5 18 2" xfId="22218"/>
    <cellStyle name="Normal 10 2 5 2" xfId="2156"/>
    <cellStyle name="Normal 10 2 5 2 2" xfId="6057"/>
    <cellStyle name="Normal 10 2 5 2 2 2" xfId="22219"/>
    <cellStyle name="Normal 10 2 5 3" xfId="2157"/>
    <cellStyle name="Normal 10 2 5 3 2" xfId="6058"/>
    <cellStyle name="Normal 10 2 5 3 2 2" xfId="22220"/>
    <cellStyle name="Normal 10 2 5 4" xfId="2158"/>
    <cellStyle name="Normal 10 2 5 4 2" xfId="6059"/>
    <cellStyle name="Normal 10 2 5 4 2 2" xfId="22221"/>
    <cellStyle name="Normal 10 2 5 5" xfId="2161"/>
    <cellStyle name="Normal 10 2 5 5 2" xfId="6062"/>
    <cellStyle name="Normal 10 2 5 5 2 2" xfId="22224"/>
    <cellStyle name="Normal 10 2 5 6" xfId="2163"/>
    <cellStyle name="Normal 10 2 5 6 2" xfId="6064"/>
    <cellStyle name="Normal 10 2 5 6 2 2" xfId="22226"/>
    <cellStyle name="Normal 10 2 5 7" xfId="2164"/>
    <cellStyle name="Normal 10 2 5 7 2" xfId="6065"/>
    <cellStyle name="Normal 10 2 5 7 2 2" xfId="22227"/>
    <cellStyle name="Normal 10 2 5 8" xfId="2165"/>
    <cellStyle name="Normal 10 2 5 8 2" xfId="6066"/>
    <cellStyle name="Normal 10 2 5 8 2 2" xfId="22228"/>
    <cellStyle name="Normal 10 2 5 9" xfId="9104"/>
    <cellStyle name="Normal 10 2 5 9 2" xfId="25254"/>
    <cellStyle name="Normal 10 2 6" xfId="1467"/>
    <cellStyle name="Normal 10 2 6 10" xfId="9105"/>
    <cellStyle name="Normal 10 2 6 10 2" xfId="25255"/>
    <cellStyle name="Normal 10 2 6 11" xfId="9106"/>
    <cellStyle name="Normal 10 2 6 11 2" xfId="25256"/>
    <cellStyle name="Normal 10 2 6 12" xfId="9107"/>
    <cellStyle name="Normal 10 2 6 12 2" xfId="25257"/>
    <cellStyle name="Normal 10 2 6 13" xfId="9108"/>
    <cellStyle name="Normal 10 2 6 13 2" xfId="25258"/>
    <cellStyle name="Normal 10 2 6 14" xfId="9109"/>
    <cellStyle name="Normal 10 2 6 14 2" xfId="25259"/>
    <cellStyle name="Normal 10 2 6 15" xfId="9110"/>
    <cellStyle name="Normal 10 2 6 15 2" xfId="25260"/>
    <cellStyle name="Normal 10 2 6 16" xfId="9111"/>
    <cellStyle name="Normal 10 2 6 16 2" xfId="25261"/>
    <cellStyle name="Normal 10 2 6 17" xfId="9112"/>
    <cellStyle name="Normal 10 2 6 17 2" xfId="25262"/>
    <cellStyle name="Normal 10 2 6 18" xfId="5382"/>
    <cellStyle name="Normal 10 2 6 18 2" xfId="21544"/>
    <cellStyle name="Normal 10 2 6 2" xfId="2166"/>
    <cellStyle name="Normal 10 2 6 2 2" xfId="6067"/>
    <cellStyle name="Normal 10 2 6 2 2 2" xfId="22229"/>
    <cellStyle name="Normal 10 2 6 3" xfId="2168"/>
    <cellStyle name="Normal 10 2 6 3 2" xfId="6068"/>
    <cellStyle name="Normal 10 2 6 3 2 2" xfId="22230"/>
    <cellStyle name="Normal 10 2 6 4" xfId="2169"/>
    <cellStyle name="Normal 10 2 6 4 2" xfId="6069"/>
    <cellStyle name="Normal 10 2 6 4 2 2" xfId="22231"/>
    <cellStyle name="Normal 10 2 6 5" xfId="2170"/>
    <cellStyle name="Normal 10 2 6 5 2" xfId="6070"/>
    <cellStyle name="Normal 10 2 6 5 2 2" xfId="22232"/>
    <cellStyle name="Normal 10 2 6 6" xfId="2171"/>
    <cellStyle name="Normal 10 2 6 6 2" xfId="6071"/>
    <cellStyle name="Normal 10 2 6 6 2 2" xfId="22233"/>
    <cellStyle name="Normal 10 2 6 7" xfId="2172"/>
    <cellStyle name="Normal 10 2 6 7 2" xfId="6072"/>
    <cellStyle name="Normal 10 2 6 7 2 2" xfId="22234"/>
    <cellStyle name="Normal 10 2 6 8" xfId="2173"/>
    <cellStyle name="Normal 10 2 6 8 2" xfId="6073"/>
    <cellStyle name="Normal 10 2 6 8 2 2" xfId="22235"/>
    <cellStyle name="Normal 10 2 6 9" xfId="9113"/>
    <cellStyle name="Normal 10 2 6 9 2" xfId="25263"/>
    <cellStyle name="Normal 10 2 7" xfId="1471"/>
    <cellStyle name="Normal 10 2 7 10" xfId="9114"/>
    <cellStyle name="Normal 10 2 7 10 2" xfId="25264"/>
    <cellStyle name="Normal 10 2 7 11" xfId="9115"/>
    <cellStyle name="Normal 10 2 7 11 2" xfId="25265"/>
    <cellStyle name="Normal 10 2 7 12" xfId="9116"/>
    <cellStyle name="Normal 10 2 7 12 2" xfId="25266"/>
    <cellStyle name="Normal 10 2 7 13" xfId="9117"/>
    <cellStyle name="Normal 10 2 7 13 2" xfId="25267"/>
    <cellStyle name="Normal 10 2 7 14" xfId="9118"/>
    <cellStyle name="Normal 10 2 7 14 2" xfId="25268"/>
    <cellStyle name="Normal 10 2 7 15" xfId="9119"/>
    <cellStyle name="Normal 10 2 7 15 2" xfId="25269"/>
    <cellStyle name="Normal 10 2 7 16" xfId="9120"/>
    <cellStyle name="Normal 10 2 7 16 2" xfId="25270"/>
    <cellStyle name="Normal 10 2 7 17" xfId="9121"/>
    <cellStyle name="Normal 10 2 7 17 2" xfId="25271"/>
    <cellStyle name="Normal 10 2 7 18" xfId="5386"/>
    <cellStyle name="Normal 10 2 7 18 2" xfId="21548"/>
    <cellStyle name="Normal 10 2 7 2" xfId="547"/>
    <cellStyle name="Normal 10 2 7 2 2" xfId="4483"/>
    <cellStyle name="Normal 10 2 7 2 2 2" xfId="20646"/>
    <cellStyle name="Normal 10 2 7 3" xfId="1062"/>
    <cellStyle name="Normal 10 2 7 3 2" xfId="4984"/>
    <cellStyle name="Normal 10 2 7 3 2 2" xfId="21146"/>
    <cellStyle name="Normal 10 2 7 4" xfId="2174"/>
    <cellStyle name="Normal 10 2 7 4 2" xfId="6074"/>
    <cellStyle name="Normal 10 2 7 4 2 2" xfId="22236"/>
    <cellStyle name="Normal 10 2 7 5" xfId="2175"/>
    <cellStyle name="Normal 10 2 7 5 2" xfId="6075"/>
    <cellStyle name="Normal 10 2 7 5 2 2" xfId="22237"/>
    <cellStyle name="Normal 10 2 7 6" xfId="2176"/>
    <cellStyle name="Normal 10 2 7 6 2" xfId="6076"/>
    <cellStyle name="Normal 10 2 7 6 2 2" xfId="22238"/>
    <cellStyle name="Normal 10 2 7 7" xfId="2177"/>
    <cellStyle name="Normal 10 2 7 7 2" xfId="6077"/>
    <cellStyle name="Normal 10 2 7 7 2 2" xfId="22239"/>
    <cellStyle name="Normal 10 2 7 8" xfId="59"/>
    <cellStyle name="Normal 10 2 7 8 2" xfId="4012"/>
    <cellStyle name="Normal 10 2 7 8 2 2" xfId="20175"/>
    <cellStyle name="Normal 10 2 7 9" xfId="9122"/>
    <cellStyle name="Normal 10 2 7 9 2" xfId="25272"/>
    <cellStyle name="Normal 10 2 8" xfId="1476"/>
    <cellStyle name="Normal 10 2 8 10" xfId="9123"/>
    <cellStyle name="Normal 10 2 8 10 2" xfId="25273"/>
    <cellStyle name="Normal 10 2 8 11" xfId="9124"/>
    <cellStyle name="Normal 10 2 8 11 2" xfId="25274"/>
    <cellStyle name="Normal 10 2 8 12" xfId="9125"/>
    <cellStyle name="Normal 10 2 8 12 2" xfId="25275"/>
    <cellStyle name="Normal 10 2 8 13" xfId="9126"/>
    <cellStyle name="Normal 10 2 8 13 2" xfId="25276"/>
    <cellStyle name="Normal 10 2 8 14" xfId="9127"/>
    <cellStyle name="Normal 10 2 8 14 2" xfId="25277"/>
    <cellStyle name="Normal 10 2 8 15" xfId="9128"/>
    <cellStyle name="Normal 10 2 8 15 2" xfId="25278"/>
    <cellStyle name="Normal 10 2 8 16" xfId="9129"/>
    <cellStyle name="Normal 10 2 8 16 2" xfId="25279"/>
    <cellStyle name="Normal 10 2 8 17" xfId="9130"/>
    <cellStyle name="Normal 10 2 8 17 2" xfId="25280"/>
    <cellStyle name="Normal 10 2 8 18" xfId="5390"/>
    <cellStyle name="Normal 10 2 8 18 2" xfId="21552"/>
    <cellStyle name="Normal 10 2 8 2" xfId="2178"/>
    <cellStyle name="Normal 10 2 8 2 2" xfId="6078"/>
    <cellStyle name="Normal 10 2 8 2 2 2" xfId="22240"/>
    <cellStyle name="Normal 10 2 8 3" xfId="2179"/>
    <cellStyle name="Normal 10 2 8 3 2" xfId="6079"/>
    <cellStyle name="Normal 10 2 8 3 2 2" xfId="22241"/>
    <cellStyle name="Normal 10 2 8 4" xfId="2180"/>
    <cellStyle name="Normal 10 2 8 4 2" xfId="6080"/>
    <cellStyle name="Normal 10 2 8 4 2 2" xfId="22242"/>
    <cellStyle name="Normal 10 2 8 5" xfId="2181"/>
    <cellStyle name="Normal 10 2 8 5 2" xfId="6081"/>
    <cellStyle name="Normal 10 2 8 5 2 2" xfId="22243"/>
    <cellStyle name="Normal 10 2 8 6" xfId="2182"/>
    <cellStyle name="Normal 10 2 8 6 2" xfId="6082"/>
    <cellStyle name="Normal 10 2 8 6 2 2" xfId="22244"/>
    <cellStyle name="Normal 10 2 8 7" xfId="499"/>
    <cellStyle name="Normal 10 2 8 7 2" xfId="4433"/>
    <cellStyle name="Normal 10 2 8 7 2 2" xfId="20596"/>
    <cellStyle name="Normal 10 2 8 8" xfId="502"/>
    <cellStyle name="Normal 10 2 8 8 2" xfId="4437"/>
    <cellStyle name="Normal 10 2 8 8 2 2" xfId="20600"/>
    <cellStyle name="Normal 10 2 8 9" xfId="9131"/>
    <cellStyle name="Normal 10 2 8 9 2" xfId="25281"/>
    <cellStyle name="Normal 10 2 9" xfId="1546"/>
    <cellStyle name="Normal 10 2 9 10" xfId="9132"/>
    <cellStyle name="Normal 10 2 9 10 2" xfId="25282"/>
    <cellStyle name="Normal 10 2 9 11" xfId="9133"/>
    <cellStyle name="Normal 10 2 9 11 2" xfId="25283"/>
    <cellStyle name="Normal 10 2 9 12" xfId="9134"/>
    <cellStyle name="Normal 10 2 9 12 2" xfId="25284"/>
    <cellStyle name="Normal 10 2 9 13" xfId="9135"/>
    <cellStyle name="Normal 10 2 9 13 2" xfId="25285"/>
    <cellStyle name="Normal 10 2 9 14" xfId="9136"/>
    <cellStyle name="Normal 10 2 9 14 2" xfId="25286"/>
    <cellStyle name="Normal 10 2 9 15" xfId="9137"/>
    <cellStyle name="Normal 10 2 9 15 2" xfId="25287"/>
    <cellStyle name="Normal 10 2 9 16" xfId="9138"/>
    <cellStyle name="Normal 10 2 9 16 2" xfId="25288"/>
    <cellStyle name="Normal 10 2 9 17" xfId="9139"/>
    <cellStyle name="Normal 10 2 9 17 2" xfId="25289"/>
    <cellStyle name="Normal 10 2 9 18" xfId="5460"/>
    <cellStyle name="Normal 10 2 9 18 2" xfId="21622"/>
    <cellStyle name="Normal 10 2 9 2" xfId="1108"/>
    <cellStyle name="Normal 10 2 9 2 2" xfId="5031"/>
    <cellStyle name="Normal 10 2 9 2 2 2" xfId="21193"/>
    <cellStyle name="Normal 10 2 9 3" xfId="1114"/>
    <cellStyle name="Normal 10 2 9 3 2" xfId="5037"/>
    <cellStyle name="Normal 10 2 9 3 2 2" xfId="21199"/>
    <cellStyle name="Normal 10 2 9 4" xfId="2183"/>
    <cellStyle name="Normal 10 2 9 4 2" xfId="6083"/>
    <cellStyle name="Normal 10 2 9 4 2 2" xfId="22245"/>
    <cellStyle name="Normal 10 2 9 5" xfId="2184"/>
    <cellStyle name="Normal 10 2 9 5 2" xfId="6084"/>
    <cellStyle name="Normal 10 2 9 5 2 2" xfId="22246"/>
    <cellStyle name="Normal 10 2 9 6" xfId="2185"/>
    <cellStyle name="Normal 10 2 9 6 2" xfId="6085"/>
    <cellStyle name="Normal 10 2 9 6 2 2" xfId="22247"/>
    <cellStyle name="Normal 10 2 9 7" xfId="2186"/>
    <cellStyle name="Normal 10 2 9 7 2" xfId="6087"/>
    <cellStyle name="Normal 10 2 9 7 2 2" xfId="22249"/>
    <cellStyle name="Normal 10 2 9 8" xfId="2189"/>
    <cellStyle name="Normal 10 2 9 8 2" xfId="6089"/>
    <cellStyle name="Normal 10 2 9 8 2 2" xfId="22251"/>
    <cellStyle name="Normal 10 2 9 9" xfId="9140"/>
    <cellStyle name="Normal 10 2 9 9 2" xfId="25290"/>
    <cellStyle name="Normal 10 2_Achampally-Gattubuthkur-Ganga-CRR" xfId="682"/>
    <cellStyle name="Normal 10 20" xfId="9141"/>
    <cellStyle name="Normal 10 20 2" xfId="25291"/>
    <cellStyle name="Normal 10 21" xfId="9142"/>
    <cellStyle name="Normal 10 21 2" xfId="25292"/>
    <cellStyle name="Normal 10 22" xfId="9143"/>
    <cellStyle name="Normal 10 22 2" xfId="25293"/>
    <cellStyle name="Normal 10 23" xfId="9144"/>
    <cellStyle name="Normal 10 23 2" xfId="25294"/>
    <cellStyle name="Normal 10 24" xfId="9145"/>
    <cellStyle name="Normal 10 24 2" xfId="25295"/>
    <cellStyle name="Normal 10 25" xfId="9146"/>
    <cellStyle name="Normal 10 25 2" xfId="25296"/>
    <cellStyle name="Normal 10 26" xfId="9147"/>
    <cellStyle name="Normal 10 26 2" xfId="25297"/>
    <cellStyle name="Normal 10 27" xfId="9148"/>
    <cellStyle name="Normal 10 27 2" xfId="25298"/>
    <cellStyle name="Normal 10 28" xfId="9149"/>
    <cellStyle name="Normal 10 28 2" xfId="25299"/>
    <cellStyle name="Normal 10 29" xfId="5983"/>
    <cellStyle name="Normal 10 29 2" xfId="22145"/>
    <cellStyle name="Normal 10 3" xfId="2192"/>
    <cellStyle name="Normal 10 3 2" xfId="2193"/>
    <cellStyle name="Normal 10 3 2 2" xfId="6093"/>
    <cellStyle name="Normal 10 3 2 2 2" xfId="22255"/>
    <cellStyle name="Normal 10 3 3" xfId="9150"/>
    <cellStyle name="Normal 10 3 3 2" xfId="9151"/>
    <cellStyle name="Normal 10 3 3 2 2" xfId="25301"/>
    <cellStyle name="Normal 10 3 3 3" xfId="25300"/>
    <cellStyle name="Normal 10 3 4" xfId="6091"/>
    <cellStyle name="Normal 10 3 4 2" xfId="22253"/>
    <cellStyle name="Normal 10 4" xfId="2194"/>
    <cellStyle name="Normal 10 4 10" xfId="9152"/>
    <cellStyle name="Normal 10 4 10 2" xfId="25302"/>
    <cellStyle name="Normal 10 4 11" xfId="9153"/>
    <cellStyle name="Normal 10 4 11 2" xfId="25303"/>
    <cellStyle name="Normal 10 4 12" xfId="9154"/>
    <cellStyle name="Normal 10 4 12 2" xfId="25304"/>
    <cellStyle name="Normal 10 4 13" xfId="9155"/>
    <cellStyle name="Normal 10 4 13 2" xfId="25305"/>
    <cellStyle name="Normal 10 4 14" xfId="9156"/>
    <cellStyle name="Normal 10 4 14 2" xfId="25306"/>
    <cellStyle name="Normal 10 4 15" xfId="9157"/>
    <cellStyle name="Normal 10 4 15 2" xfId="25307"/>
    <cellStyle name="Normal 10 4 16" xfId="9158"/>
    <cellStyle name="Normal 10 4 16 2" xfId="25308"/>
    <cellStyle name="Normal 10 4 17" xfId="9159"/>
    <cellStyle name="Normal 10 4 17 2" xfId="25309"/>
    <cellStyle name="Normal 10 4 18" xfId="6094"/>
    <cellStyle name="Normal 10 4 18 2" xfId="22256"/>
    <cellStyle name="Normal 10 4 2" xfId="2195"/>
    <cellStyle name="Normal 10 4 2 2" xfId="6095"/>
    <cellStyle name="Normal 10 4 2 2 2" xfId="22257"/>
    <cellStyle name="Normal 10 4 3" xfId="2196"/>
    <cellStyle name="Normal 10 4 3 2" xfId="6096"/>
    <cellStyle name="Normal 10 4 3 2 2" xfId="22258"/>
    <cellStyle name="Normal 10 4 4" xfId="2197"/>
    <cellStyle name="Normal 10 4 4 2" xfId="6097"/>
    <cellStyle name="Normal 10 4 4 2 2" xfId="22259"/>
    <cellStyle name="Normal 10 4 5" xfId="2198"/>
    <cellStyle name="Normal 10 4 5 2" xfId="6098"/>
    <cellStyle name="Normal 10 4 5 2 2" xfId="22260"/>
    <cellStyle name="Normal 10 4 6" xfId="1507"/>
    <cellStyle name="Normal 10 4 6 2" xfId="5425"/>
    <cellStyle name="Normal 10 4 6 2 2" xfId="21587"/>
    <cellStyle name="Normal 10 4 7" xfId="1512"/>
    <cellStyle name="Normal 10 4 7 2" xfId="5430"/>
    <cellStyle name="Normal 10 4 7 2 2" xfId="21592"/>
    <cellStyle name="Normal 10 4 8" xfId="2200"/>
    <cellStyle name="Normal 10 4 8 2" xfId="6100"/>
    <cellStyle name="Normal 10 4 8 2 2" xfId="22262"/>
    <cellStyle name="Normal 10 4 9" xfId="9160"/>
    <cellStyle name="Normal 10 4 9 2" xfId="25310"/>
    <cellStyle name="Normal 10 5" xfId="2201"/>
    <cellStyle name="Normal 10 5 10" xfId="9161"/>
    <cellStyle name="Normal 10 5 10 2" xfId="25311"/>
    <cellStyle name="Normal 10 5 11" xfId="9162"/>
    <cellStyle name="Normal 10 5 11 2" xfId="25312"/>
    <cellStyle name="Normal 10 5 12" xfId="9163"/>
    <cellStyle name="Normal 10 5 12 2" xfId="25313"/>
    <cellStyle name="Normal 10 5 13" xfId="9164"/>
    <cellStyle name="Normal 10 5 13 2" xfId="25314"/>
    <cellStyle name="Normal 10 5 14" xfId="9165"/>
    <cellStyle name="Normal 10 5 14 2" xfId="25315"/>
    <cellStyle name="Normal 10 5 15" xfId="9166"/>
    <cellStyle name="Normal 10 5 15 2" xfId="25316"/>
    <cellStyle name="Normal 10 5 16" xfId="9167"/>
    <cellStyle name="Normal 10 5 16 2" xfId="25317"/>
    <cellStyle name="Normal 10 5 17" xfId="9168"/>
    <cellStyle name="Normal 10 5 17 2" xfId="25318"/>
    <cellStyle name="Normal 10 5 18" xfId="6101"/>
    <cellStyle name="Normal 10 5 18 2" xfId="22263"/>
    <cellStyle name="Normal 10 5 2" xfId="2202"/>
    <cellStyle name="Normal 10 5 2 2" xfId="6102"/>
    <cellStyle name="Normal 10 5 2 2 2" xfId="22264"/>
    <cellStyle name="Normal 10 5 3" xfId="2203"/>
    <cellStyle name="Normal 10 5 3 2" xfId="6103"/>
    <cellStyle name="Normal 10 5 3 2 2" xfId="22265"/>
    <cellStyle name="Normal 10 5 4" xfId="2204"/>
    <cellStyle name="Normal 10 5 4 2" xfId="6104"/>
    <cellStyle name="Normal 10 5 4 2 2" xfId="22266"/>
    <cellStyle name="Normal 10 5 5" xfId="2205"/>
    <cellStyle name="Normal 10 5 5 2" xfId="6105"/>
    <cellStyle name="Normal 10 5 5 2 2" xfId="22267"/>
    <cellStyle name="Normal 10 5 6" xfId="2206"/>
    <cellStyle name="Normal 10 5 6 2" xfId="6106"/>
    <cellStyle name="Normal 10 5 6 2 2" xfId="22268"/>
    <cellStyle name="Normal 10 5 7" xfId="1529"/>
    <cellStyle name="Normal 10 5 7 2" xfId="5447"/>
    <cellStyle name="Normal 10 5 7 2 2" xfId="21609"/>
    <cellStyle name="Normal 10 5 8" xfId="2207"/>
    <cellStyle name="Normal 10 5 8 2" xfId="6107"/>
    <cellStyle name="Normal 10 5 8 2 2" xfId="22269"/>
    <cellStyle name="Normal 10 5 9" xfId="9169"/>
    <cellStyle name="Normal 10 5 9 2" xfId="25319"/>
    <cellStyle name="Normal 10 6" xfId="2208"/>
    <cellStyle name="Normal 10 6 10" xfId="9170"/>
    <cellStyle name="Normal 10 6 10 2" xfId="25320"/>
    <cellStyle name="Normal 10 6 11" xfId="9171"/>
    <cellStyle name="Normal 10 6 11 2" xfId="25321"/>
    <cellStyle name="Normal 10 6 12" xfId="9172"/>
    <cellStyle name="Normal 10 6 12 2" xfId="25322"/>
    <cellStyle name="Normal 10 6 13" xfId="9173"/>
    <cellStyle name="Normal 10 6 13 2" xfId="25323"/>
    <cellStyle name="Normal 10 6 14" xfId="9174"/>
    <cellStyle name="Normal 10 6 14 2" xfId="25324"/>
    <cellStyle name="Normal 10 6 15" xfId="9175"/>
    <cellStyle name="Normal 10 6 15 2" xfId="25325"/>
    <cellStyle name="Normal 10 6 16" xfId="9176"/>
    <cellStyle name="Normal 10 6 16 2" xfId="25326"/>
    <cellStyle name="Normal 10 6 17" xfId="9177"/>
    <cellStyle name="Normal 10 6 17 2" xfId="25327"/>
    <cellStyle name="Normal 10 6 18" xfId="6108"/>
    <cellStyle name="Normal 10 6 18 2" xfId="22270"/>
    <cellStyle name="Normal 10 6 2" xfId="1178"/>
    <cellStyle name="Normal 10 6 2 2" xfId="5099"/>
    <cellStyle name="Normal 10 6 2 2 2" xfId="21261"/>
    <cellStyle name="Normal 10 6 3" xfId="2209"/>
    <cellStyle name="Normal 10 6 3 2" xfId="6109"/>
    <cellStyle name="Normal 10 6 3 2 2" xfId="22271"/>
    <cellStyle name="Normal 10 6 4" xfId="2211"/>
    <cellStyle name="Normal 10 6 4 2" xfId="6110"/>
    <cellStyle name="Normal 10 6 4 2 2" xfId="22272"/>
    <cellStyle name="Normal 10 6 5" xfId="2213"/>
    <cellStyle name="Normal 10 6 5 2" xfId="6112"/>
    <cellStyle name="Normal 10 6 5 2 2" xfId="22274"/>
    <cellStyle name="Normal 10 6 6" xfId="2215"/>
    <cellStyle name="Normal 10 6 6 2" xfId="6114"/>
    <cellStyle name="Normal 10 6 6 2 2" xfId="22276"/>
    <cellStyle name="Normal 10 6 7" xfId="2217"/>
    <cellStyle name="Normal 10 6 7 2" xfId="6116"/>
    <cellStyle name="Normal 10 6 7 2 2" xfId="22278"/>
    <cellStyle name="Normal 10 6 8" xfId="2218"/>
    <cellStyle name="Normal 10 6 8 2" xfId="6119"/>
    <cellStyle name="Normal 10 6 8 2 2" xfId="22281"/>
    <cellStyle name="Normal 10 6 9" xfId="9178"/>
    <cellStyle name="Normal 10 6 9 2" xfId="25328"/>
    <cellStyle name="Normal 10 7" xfId="1575"/>
    <cellStyle name="Normal 10 7 10" xfId="9179"/>
    <cellStyle name="Normal 10 7 10 2" xfId="25329"/>
    <cellStyle name="Normal 10 7 11" xfId="9180"/>
    <cellStyle name="Normal 10 7 11 2" xfId="25330"/>
    <cellStyle name="Normal 10 7 12" xfId="9181"/>
    <cellStyle name="Normal 10 7 12 2" xfId="25331"/>
    <cellStyle name="Normal 10 7 13" xfId="9182"/>
    <cellStyle name="Normal 10 7 13 2" xfId="25332"/>
    <cellStyle name="Normal 10 7 14" xfId="9183"/>
    <cellStyle name="Normal 10 7 14 2" xfId="25333"/>
    <cellStyle name="Normal 10 7 15" xfId="9184"/>
    <cellStyle name="Normal 10 7 15 2" xfId="25334"/>
    <cellStyle name="Normal 10 7 16" xfId="9185"/>
    <cellStyle name="Normal 10 7 16 2" xfId="25335"/>
    <cellStyle name="Normal 10 7 17" xfId="9186"/>
    <cellStyle name="Normal 10 7 17 2" xfId="25336"/>
    <cellStyle name="Normal 10 7 18" xfId="5492"/>
    <cellStyle name="Normal 10 7 18 2" xfId="21654"/>
    <cellStyle name="Normal 10 7 2" xfId="2220"/>
    <cellStyle name="Normal 10 7 2 2" xfId="6120"/>
    <cellStyle name="Normal 10 7 2 2 2" xfId="22282"/>
    <cellStyle name="Normal 10 7 3" xfId="2221"/>
    <cellStyle name="Normal 10 7 3 2" xfId="6121"/>
    <cellStyle name="Normal 10 7 3 2 2" xfId="22283"/>
    <cellStyle name="Normal 10 7 4" xfId="1200"/>
    <cellStyle name="Normal 10 7 4 2" xfId="5120"/>
    <cellStyle name="Normal 10 7 4 2 2" xfId="21282"/>
    <cellStyle name="Normal 10 7 5" xfId="2223"/>
    <cellStyle name="Normal 10 7 5 2" xfId="6122"/>
    <cellStyle name="Normal 10 7 5 2 2" xfId="22284"/>
    <cellStyle name="Normal 10 7 6" xfId="2225"/>
    <cellStyle name="Normal 10 7 6 2" xfId="6124"/>
    <cellStyle name="Normal 10 7 6 2 2" xfId="22286"/>
    <cellStyle name="Normal 10 7 7" xfId="2227"/>
    <cellStyle name="Normal 10 7 7 2" xfId="6126"/>
    <cellStyle name="Normal 10 7 7 2 2" xfId="22288"/>
    <cellStyle name="Normal 10 7 8" xfId="2228"/>
    <cellStyle name="Normal 10 7 8 2" xfId="6128"/>
    <cellStyle name="Normal 10 7 8 2 2" xfId="22290"/>
    <cellStyle name="Normal 10 7 9" xfId="9187"/>
    <cellStyle name="Normal 10 7 9 2" xfId="25337"/>
    <cellStyle name="Normal 10 8" xfId="1578"/>
    <cellStyle name="Normal 10 8 10" xfId="9188"/>
    <cellStyle name="Normal 10 8 10 2" xfId="25338"/>
    <cellStyle name="Normal 10 8 11" xfId="9189"/>
    <cellStyle name="Normal 10 8 11 2" xfId="25339"/>
    <cellStyle name="Normal 10 8 12" xfId="9190"/>
    <cellStyle name="Normal 10 8 12 2" xfId="25340"/>
    <cellStyle name="Normal 10 8 13" xfId="9191"/>
    <cellStyle name="Normal 10 8 13 2" xfId="25341"/>
    <cellStyle name="Normal 10 8 14" xfId="9192"/>
    <cellStyle name="Normal 10 8 14 2" xfId="25342"/>
    <cellStyle name="Normal 10 8 15" xfId="9193"/>
    <cellStyle name="Normal 10 8 15 2" xfId="25343"/>
    <cellStyle name="Normal 10 8 16" xfId="9194"/>
    <cellStyle name="Normal 10 8 16 2" xfId="25344"/>
    <cellStyle name="Normal 10 8 17" xfId="9195"/>
    <cellStyle name="Normal 10 8 17 2" xfId="25345"/>
    <cellStyle name="Normal 10 8 18" xfId="5495"/>
    <cellStyle name="Normal 10 8 18 2" xfId="21657"/>
    <cellStyle name="Normal 10 8 2" xfId="163"/>
    <cellStyle name="Normal 10 8 2 2" xfId="4096"/>
    <cellStyle name="Normal 10 8 2 2 2" xfId="20259"/>
    <cellStyle name="Normal 10 8 3" xfId="177"/>
    <cellStyle name="Normal 10 8 3 2" xfId="4111"/>
    <cellStyle name="Normal 10 8 3 2 2" xfId="20274"/>
    <cellStyle name="Normal 10 8 4" xfId="2229"/>
    <cellStyle name="Normal 10 8 4 2" xfId="6129"/>
    <cellStyle name="Normal 10 8 4 2 2" xfId="22291"/>
    <cellStyle name="Normal 10 8 5" xfId="2230"/>
    <cellStyle name="Normal 10 8 5 2" xfId="6130"/>
    <cellStyle name="Normal 10 8 5 2 2" xfId="22292"/>
    <cellStyle name="Normal 10 8 6" xfId="2231"/>
    <cellStyle name="Normal 10 8 6 2" xfId="6131"/>
    <cellStyle name="Normal 10 8 6 2 2" xfId="22293"/>
    <cellStyle name="Normal 10 8 7" xfId="2232"/>
    <cellStyle name="Normal 10 8 7 2" xfId="6132"/>
    <cellStyle name="Normal 10 8 7 2 2" xfId="22294"/>
    <cellStyle name="Normal 10 8 8" xfId="2233"/>
    <cellStyle name="Normal 10 8 8 2" xfId="6133"/>
    <cellStyle name="Normal 10 8 8 2 2" xfId="22295"/>
    <cellStyle name="Normal 10 8 9" xfId="9196"/>
    <cellStyle name="Normal 10 8 9 2" xfId="25346"/>
    <cellStyle name="Normal 10 9" xfId="1581"/>
    <cellStyle name="Normal 10 9 10" xfId="9197"/>
    <cellStyle name="Normal 10 9 10 2" xfId="25347"/>
    <cellStyle name="Normal 10 9 11" xfId="9198"/>
    <cellStyle name="Normal 10 9 11 2" xfId="25348"/>
    <cellStyle name="Normal 10 9 12" xfId="9199"/>
    <cellStyle name="Normal 10 9 12 2" xfId="25349"/>
    <cellStyle name="Normal 10 9 13" xfId="9200"/>
    <cellStyle name="Normal 10 9 13 2" xfId="25350"/>
    <cellStyle name="Normal 10 9 14" xfId="9201"/>
    <cellStyle name="Normal 10 9 14 2" xfId="25351"/>
    <cellStyle name="Normal 10 9 15" xfId="9202"/>
    <cellStyle name="Normal 10 9 15 2" xfId="25352"/>
    <cellStyle name="Normal 10 9 16" xfId="9203"/>
    <cellStyle name="Normal 10 9 16 2" xfId="25353"/>
    <cellStyle name="Normal 10 9 17" xfId="9204"/>
    <cellStyle name="Normal 10 9 17 2" xfId="25354"/>
    <cellStyle name="Normal 10 9 18" xfId="5498"/>
    <cellStyle name="Normal 10 9 18 2" xfId="21660"/>
    <cellStyle name="Normal 10 9 2" xfId="1214"/>
    <cellStyle name="Normal 10 9 2 2" xfId="5134"/>
    <cellStyle name="Normal 10 9 2 2 2" xfId="21296"/>
    <cellStyle name="Normal 10 9 3" xfId="1217"/>
    <cellStyle name="Normal 10 9 3 2" xfId="5137"/>
    <cellStyle name="Normal 10 9 3 2 2" xfId="21299"/>
    <cellStyle name="Normal 10 9 4" xfId="2234"/>
    <cellStyle name="Normal 10 9 4 2" xfId="6134"/>
    <cellStyle name="Normal 10 9 4 2 2" xfId="22296"/>
    <cellStyle name="Normal 10 9 5" xfId="2235"/>
    <cellStyle name="Normal 10 9 5 2" xfId="6135"/>
    <cellStyle name="Normal 10 9 5 2 2" xfId="22297"/>
    <cellStyle name="Normal 10 9 6" xfId="2236"/>
    <cellStyle name="Normal 10 9 6 2" xfId="6136"/>
    <cellStyle name="Normal 10 9 6 2 2" xfId="22298"/>
    <cellStyle name="Normal 10 9 7" xfId="2237"/>
    <cellStyle name="Normal 10 9 7 2" xfId="6137"/>
    <cellStyle name="Normal 10 9 7 2 2" xfId="22299"/>
    <cellStyle name="Normal 10 9 8" xfId="2241"/>
    <cellStyle name="Normal 10 9 8 2" xfId="6141"/>
    <cellStyle name="Normal 10 9 8 2 2" xfId="22303"/>
    <cellStyle name="Normal 10 9 9" xfId="9205"/>
    <cellStyle name="Normal 10 9 9 2" xfId="25355"/>
    <cellStyle name="Normal 10_2bhk_19122016" xfId="9206"/>
    <cellStyle name="Normal 11" xfId="2242"/>
    <cellStyle name="Normal 11 10" xfId="2187"/>
    <cellStyle name="Normal 11 10 10" xfId="9207"/>
    <cellStyle name="Normal 11 10 10 2" xfId="25356"/>
    <cellStyle name="Normal 11 10 11" xfId="9208"/>
    <cellStyle name="Normal 11 10 11 2" xfId="25357"/>
    <cellStyle name="Normal 11 10 12" xfId="9209"/>
    <cellStyle name="Normal 11 10 12 2" xfId="25358"/>
    <cellStyle name="Normal 11 10 13" xfId="9210"/>
    <cellStyle name="Normal 11 10 13 2" xfId="25359"/>
    <cellStyle name="Normal 11 10 14" xfId="9211"/>
    <cellStyle name="Normal 11 10 14 2" xfId="25360"/>
    <cellStyle name="Normal 11 10 15" xfId="9212"/>
    <cellStyle name="Normal 11 10 15 2" xfId="25361"/>
    <cellStyle name="Normal 11 10 16" xfId="9213"/>
    <cellStyle name="Normal 11 10 16 2" xfId="25362"/>
    <cellStyle name="Normal 11 10 17" xfId="9214"/>
    <cellStyle name="Normal 11 10 17 2" xfId="25363"/>
    <cellStyle name="Normal 11 10 18" xfId="6086"/>
    <cellStyle name="Normal 11 10 18 2" xfId="22248"/>
    <cellStyle name="Normal 11 10 2" xfId="1888"/>
    <cellStyle name="Normal 11 10 2 2" xfId="5797"/>
    <cellStyle name="Normal 11 10 2 2 2" xfId="21959"/>
    <cellStyle name="Normal 11 10 3" xfId="1890"/>
    <cellStyle name="Normal 11 10 3 2" xfId="5799"/>
    <cellStyle name="Normal 11 10 3 2 2" xfId="21961"/>
    <cellStyle name="Normal 11 10 4" xfId="1623"/>
    <cellStyle name="Normal 11 10 4 2" xfId="5540"/>
    <cellStyle name="Normal 11 10 4 2 2" xfId="21702"/>
    <cellStyle name="Normal 11 10 5" xfId="2243"/>
    <cellStyle name="Normal 11 10 5 2" xfId="6143"/>
    <cellStyle name="Normal 11 10 5 2 2" xfId="22305"/>
    <cellStyle name="Normal 11 10 6" xfId="2244"/>
    <cellStyle name="Normal 11 10 6 2" xfId="6144"/>
    <cellStyle name="Normal 11 10 6 2 2" xfId="22306"/>
    <cellStyle name="Normal 11 10 7" xfId="2245"/>
    <cellStyle name="Normal 11 10 7 2" xfId="6145"/>
    <cellStyle name="Normal 11 10 7 2 2" xfId="22307"/>
    <cellStyle name="Normal 11 10 8" xfId="2246"/>
    <cellStyle name="Normal 11 10 8 2" xfId="6146"/>
    <cellStyle name="Normal 11 10 8 2 2" xfId="22308"/>
    <cellStyle name="Normal 11 10 9" xfId="9215"/>
    <cellStyle name="Normal 11 10 9 2" xfId="25364"/>
    <cellStyle name="Normal 11 11" xfId="2190"/>
    <cellStyle name="Normal 11 11 2" xfId="6088"/>
    <cellStyle name="Normal 11 11 2 2" xfId="22250"/>
    <cellStyle name="Normal 11 12" xfId="2250"/>
    <cellStyle name="Normal 11 12 2" xfId="6147"/>
    <cellStyle name="Normal 11 12 2 2" xfId="22309"/>
    <cellStyle name="Normal 11 13" xfId="2253"/>
    <cellStyle name="Normal 11 13 2" xfId="6151"/>
    <cellStyle name="Normal 11 13 2 2" xfId="22313"/>
    <cellStyle name="Normal 11 14" xfId="2255"/>
    <cellStyle name="Normal 11 14 2" xfId="6154"/>
    <cellStyle name="Normal 11 14 2 2" xfId="22316"/>
    <cellStyle name="Normal 11 15" xfId="1943"/>
    <cellStyle name="Normal 11 15 2" xfId="5850"/>
    <cellStyle name="Normal 11 15 2 2" xfId="22012"/>
    <cellStyle name="Normal 11 16" xfId="396"/>
    <cellStyle name="Normal 11 16 2" xfId="4336"/>
    <cellStyle name="Normal 11 16 2 2" xfId="20499"/>
    <cellStyle name="Normal 11 17" xfId="407"/>
    <cellStyle name="Normal 11 17 2" xfId="4346"/>
    <cellStyle name="Normal 11 17 2 2" xfId="20509"/>
    <cellStyle name="Normal 11 18" xfId="9216"/>
    <cellStyle name="Normal 11 18 2" xfId="25365"/>
    <cellStyle name="Normal 11 19" xfId="9217"/>
    <cellStyle name="Normal 11 19 2" xfId="25366"/>
    <cellStyle name="Normal 11 2" xfId="2256"/>
    <cellStyle name="Normal 11 2 10" xfId="9218"/>
    <cellStyle name="Normal 11 2 10 2" xfId="25367"/>
    <cellStyle name="Normal 11 2 11" xfId="9219"/>
    <cellStyle name="Normal 11 2 11 2" xfId="25368"/>
    <cellStyle name="Normal 11 2 12" xfId="9220"/>
    <cellStyle name="Normal 11 2 12 2" xfId="25369"/>
    <cellStyle name="Normal 11 2 13" xfId="9221"/>
    <cellStyle name="Normal 11 2 13 2" xfId="25370"/>
    <cellStyle name="Normal 11 2 14" xfId="9222"/>
    <cellStyle name="Normal 11 2 14 2" xfId="25371"/>
    <cellStyle name="Normal 11 2 15" xfId="9223"/>
    <cellStyle name="Normal 11 2 15 2" xfId="25372"/>
    <cellStyle name="Normal 11 2 16" xfId="9224"/>
    <cellStyle name="Normal 11 2 16 2" xfId="25373"/>
    <cellStyle name="Normal 11 2 17" xfId="9225"/>
    <cellStyle name="Normal 11 2 17 2" xfId="25374"/>
    <cellStyle name="Normal 11 2 18" xfId="6156"/>
    <cellStyle name="Normal 11 2 18 2" xfId="22318"/>
    <cellStyle name="Normal 11 2 2" xfId="1111"/>
    <cellStyle name="Normal 11 2 2 2" xfId="5034"/>
    <cellStyle name="Normal 11 2 2 2 2" xfId="21196"/>
    <cellStyle name="Normal 11 2 3" xfId="1117"/>
    <cellStyle name="Normal 11 2 3 2" xfId="5040"/>
    <cellStyle name="Normal 11 2 3 2 2" xfId="21202"/>
    <cellStyle name="Normal 11 2 4" xfId="1127"/>
    <cellStyle name="Normal 11 2 4 2" xfId="5045"/>
    <cellStyle name="Normal 11 2 4 2 2" xfId="21207"/>
    <cellStyle name="Normal 11 2 5" xfId="1131"/>
    <cellStyle name="Normal 11 2 5 2" xfId="5049"/>
    <cellStyle name="Normal 11 2 5 2 2" xfId="21211"/>
    <cellStyle name="Normal 11 2 6" xfId="2259"/>
    <cellStyle name="Normal 11 2 6 2" xfId="6159"/>
    <cellStyle name="Normal 11 2 6 2 2" xfId="22321"/>
    <cellStyle name="Normal 11 2 7" xfId="2262"/>
    <cellStyle name="Normal 11 2 7 2" xfId="6162"/>
    <cellStyle name="Normal 11 2 7 2 2" xfId="22324"/>
    <cellStyle name="Normal 11 2 8" xfId="2263"/>
    <cellStyle name="Normal 11 2 8 2" xfId="6164"/>
    <cellStyle name="Normal 11 2 8 2 2" xfId="22326"/>
    <cellStyle name="Normal 11 2 9" xfId="9226"/>
    <cellStyle name="Normal 11 2 9 2" xfId="25375"/>
    <cellStyle name="Normal 11 20" xfId="9227"/>
    <cellStyle name="Normal 11 20 2" xfId="25376"/>
    <cellStyle name="Normal 11 21" xfId="9228"/>
    <cellStyle name="Normal 11 21 2" xfId="25377"/>
    <cellStyle name="Normal 11 22" xfId="9229"/>
    <cellStyle name="Normal 11 22 2" xfId="25378"/>
    <cellStyle name="Normal 11 23" xfId="9230"/>
    <cellStyle name="Normal 11 23 2" xfId="25379"/>
    <cellStyle name="Normal 11 24" xfId="9231"/>
    <cellStyle name="Normal 11 24 2" xfId="25380"/>
    <cellStyle name="Normal 11 25" xfId="9232"/>
    <cellStyle name="Normal 11 25 2" xfId="25381"/>
    <cellStyle name="Normal 11 26" xfId="9233"/>
    <cellStyle name="Normal 11 26 2" xfId="25382"/>
    <cellStyle name="Normal 11 27" xfId="6142"/>
    <cellStyle name="Normal 11 27 2" xfId="22304"/>
    <cellStyle name="Normal 11 3" xfId="2267"/>
    <cellStyle name="Normal 11 3 10" xfId="9234"/>
    <cellStyle name="Normal 11 3 10 2" xfId="25383"/>
    <cellStyle name="Normal 11 3 11" xfId="9235"/>
    <cellStyle name="Normal 11 3 11 2" xfId="25384"/>
    <cellStyle name="Normal 11 3 12" xfId="9236"/>
    <cellStyle name="Normal 11 3 12 2" xfId="25385"/>
    <cellStyle name="Normal 11 3 13" xfId="9237"/>
    <cellStyle name="Normal 11 3 13 2" xfId="25386"/>
    <cellStyle name="Normal 11 3 14" xfId="9238"/>
    <cellStyle name="Normal 11 3 14 2" xfId="25387"/>
    <cellStyle name="Normal 11 3 15" xfId="9239"/>
    <cellStyle name="Normal 11 3 15 2" xfId="25388"/>
    <cellStyle name="Normal 11 3 16" xfId="9240"/>
    <cellStyle name="Normal 11 3 16 2" xfId="25389"/>
    <cellStyle name="Normal 11 3 17" xfId="9241"/>
    <cellStyle name="Normal 11 3 17 2" xfId="25390"/>
    <cellStyle name="Normal 11 3 18" xfId="6167"/>
    <cellStyle name="Normal 11 3 18 2" xfId="22329"/>
    <cellStyle name="Normal 11 3 2" xfId="276"/>
    <cellStyle name="Normal 11 3 2 2" xfId="4229"/>
    <cellStyle name="Normal 11 3 2 2 2" xfId="20392"/>
    <cellStyle name="Normal 11 3 3" xfId="1138"/>
    <cellStyle name="Normal 11 3 3 2" xfId="5061"/>
    <cellStyle name="Normal 11 3 3 2 2" xfId="21223"/>
    <cellStyle name="Normal 11 3 4" xfId="1141"/>
    <cellStyle name="Normal 11 3 4 2" xfId="5063"/>
    <cellStyle name="Normal 11 3 4 2 2" xfId="21225"/>
    <cellStyle name="Normal 11 3 5" xfId="935"/>
    <cellStyle name="Normal 11 3 5 2" xfId="4857"/>
    <cellStyle name="Normal 11 3 5 2 2" xfId="21019"/>
    <cellStyle name="Normal 11 3 6" xfId="2268"/>
    <cellStyle name="Normal 11 3 6 2" xfId="6168"/>
    <cellStyle name="Normal 11 3 6 2 2" xfId="22330"/>
    <cellStyle name="Normal 11 3 7" xfId="2269"/>
    <cellStyle name="Normal 11 3 7 2" xfId="6169"/>
    <cellStyle name="Normal 11 3 7 2 2" xfId="22331"/>
    <cellStyle name="Normal 11 3 8" xfId="2270"/>
    <cellStyle name="Normal 11 3 8 2" xfId="6171"/>
    <cellStyle name="Normal 11 3 8 2 2" xfId="22333"/>
    <cellStyle name="Normal 11 3 9" xfId="9242"/>
    <cellStyle name="Normal 11 3 9 2" xfId="25391"/>
    <cellStyle name="Normal 11 4" xfId="2272"/>
    <cellStyle name="Normal 11 4 10" xfId="9243"/>
    <cellStyle name="Normal 11 4 10 2" xfId="25392"/>
    <cellStyle name="Normal 11 4 11" xfId="9244"/>
    <cellStyle name="Normal 11 4 11 2" xfId="25393"/>
    <cellStyle name="Normal 11 4 12" xfId="9245"/>
    <cellStyle name="Normal 11 4 12 2" xfId="25394"/>
    <cellStyle name="Normal 11 4 13" xfId="9246"/>
    <cellStyle name="Normal 11 4 13 2" xfId="25395"/>
    <cellStyle name="Normal 11 4 14" xfId="9247"/>
    <cellStyle name="Normal 11 4 14 2" xfId="25396"/>
    <cellStyle name="Normal 11 4 15" xfId="9248"/>
    <cellStyle name="Normal 11 4 15 2" xfId="25397"/>
    <cellStyle name="Normal 11 4 16" xfId="9249"/>
    <cellStyle name="Normal 11 4 16 2" xfId="25398"/>
    <cellStyle name="Normal 11 4 17" xfId="9250"/>
    <cellStyle name="Normal 11 4 17 2" xfId="25399"/>
    <cellStyle name="Normal 11 4 18" xfId="6172"/>
    <cellStyle name="Normal 11 4 18 2" xfId="22334"/>
    <cellStyle name="Normal 11 4 2" xfId="184"/>
    <cellStyle name="Normal 11 4 2 2" xfId="4118"/>
    <cellStyle name="Normal 11 4 2 2 2" xfId="20281"/>
    <cellStyle name="Normal 11 4 3" xfId="192"/>
    <cellStyle name="Normal 11 4 3 2" xfId="4129"/>
    <cellStyle name="Normal 11 4 3 2 2" xfId="20292"/>
    <cellStyle name="Normal 11 4 4" xfId="147"/>
    <cellStyle name="Normal 11 4 4 2" xfId="4090"/>
    <cellStyle name="Normal 11 4 4 2 2" xfId="20253"/>
    <cellStyle name="Normal 11 4 5" xfId="172"/>
    <cellStyle name="Normal 11 4 5 2" xfId="4104"/>
    <cellStyle name="Normal 11 4 5 2 2" xfId="20267"/>
    <cellStyle name="Normal 11 4 6" xfId="2273"/>
    <cellStyle name="Normal 11 4 6 2" xfId="6173"/>
    <cellStyle name="Normal 11 4 6 2 2" xfId="22335"/>
    <cellStyle name="Normal 11 4 7" xfId="2274"/>
    <cellStyle name="Normal 11 4 7 2" xfId="6174"/>
    <cellStyle name="Normal 11 4 7 2 2" xfId="22336"/>
    <cellStyle name="Normal 11 4 8" xfId="2275"/>
    <cellStyle name="Normal 11 4 8 2" xfId="6175"/>
    <cellStyle name="Normal 11 4 8 2 2" xfId="22337"/>
    <cellStyle name="Normal 11 4 9" xfId="9251"/>
    <cellStyle name="Normal 11 4 9 2" xfId="25400"/>
    <cellStyle name="Normal 11 5" xfId="2276"/>
    <cellStyle name="Normal 11 5 10" xfId="9252"/>
    <cellStyle name="Normal 11 5 10 2" xfId="25401"/>
    <cellStyle name="Normal 11 5 11" xfId="9253"/>
    <cellStyle name="Normal 11 5 11 2" xfId="25402"/>
    <cellStyle name="Normal 11 5 12" xfId="9254"/>
    <cellStyle name="Normal 11 5 12 2" xfId="25403"/>
    <cellStyle name="Normal 11 5 13" xfId="9255"/>
    <cellStyle name="Normal 11 5 13 2" xfId="25404"/>
    <cellStyle name="Normal 11 5 14" xfId="9256"/>
    <cellStyle name="Normal 11 5 14 2" xfId="25405"/>
    <cellStyle name="Normal 11 5 15" xfId="9257"/>
    <cellStyle name="Normal 11 5 15 2" xfId="25406"/>
    <cellStyle name="Normal 11 5 16" xfId="9258"/>
    <cellStyle name="Normal 11 5 16 2" xfId="25407"/>
    <cellStyle name="Normal 11 5 17" xfId="9259"/>
    <cellStyle name="Normal 11 5 17 2" xfId="25408"/>
    <cellStyle name="Normal 11 5 18" xfId="6176"/>
    <cellStyle name="Normal 11 5 18 2" xfId="22338"/>
    <cellStyle name="Normal 11 5 2" xfId="2279"/>
    <cellStyle name="Normal 11 5 2 2" xfId="6177"/>
    <cellStyle name="Normal 11 5 2 2 2" xfId="22339"/>
    <cellStyle name="Normal 11 5 3" xfId="2280"/>
    <cellStyle name="Normal 11 5 3 2" xfId="6180"/>
    <cellStyle name="Normal 11 5 3 2 2" xfId="22342"/>
    <cellStyle name="Normal 11 5 4" xfId="2281"/>
    <cellStyle name="Normal 11 5 4 2" xfId="6181"/>
    <cellStyle name="Normal 11 5 4 2 2" xfId="22343"/>
    <cellStyle name="Normal 11 5 5" xfId="2282"/>
    <cellStyle name="Normal 11 5 5 2" xfId="6182"/>
    <cellStyle name="Normal 11 5 5 2 2" xfId="22344"/>
    <cellStyle name="Normal 11 5 6" xfId="2283"/>
    <cellStyle name="Normal 11 5 6 2" xfId="6183"/>
    <cellStyle name="Normal 11 5 6 2 2" xfId="22345"/>
    <cellStyle name="Normal 11 5 7" xfId="2284"/>
    <cellStyle name="Normal 11 5 7 2" xfId="6184"/>
    <cellStyle name="Normal 11 5 7 2 2" xfId="22346"/>
    <cellStyle name="Normal 11 5 8" xfId="2286"/>
    <cellStyle name="Normal 11 5 8 2" xfId="6185"/>
    <cellStyle name="Normal 11 5 8 2 2" xfId="22347"/>
    <cellStyle name="Normal 11 5 9" xfId="9260"/>
    <cellStyle name="Normal 11 5 9 2" xfId="25409"/>
    <cellStyle name="Normal 11 6" xfId="371"/>
    <cellStyle name="Normal 11 6 10" xfId="9261"/>
    <cellStyle name="Normal 11 6 10 2" xfId="25410"/>
    <cellStyle name="Normal 11 6 11" xfId="9262"/>
    <cellStyle name="Normal 11 6 11 2" xfId="25411"/>
    <cellStyle name="Normal 11 6 12" xfId="9263"/>
    <cellStyle name="Normal 11 6 12 2" xfId="25412"/>
    <cellStyle name="Normal 11 6 13" xfId="9264"/>
    <cellStyle name="Normal 11 6 13 2" xfId="25413"/>
    <cellStyle name="Normal 11 6 14" xfId="9265"/>
    <cellStyle name="Normal 11 6 14 2" xfId="25414"/>
    <cellStyle name="Normal 11 6 15" xfId="9266"/>
    <cellStyle name="Normal 11 6 15 2" xfId="25415"/>
    <cellStyle name="Normal 11 6 16" xfId="9267"/>
    <cellStyle name="Normal 11 6 16 2" xfId="25416"/>
    <cellStyle name="Normal 11 6 17" xfId="9268"/>
    <cellStyle name="Normal 11 6 17 2" xfId="25417"/>
    <cellStyle name="Normal 11 6 18" xfId="4310"/>
    <cellStyle name="Normal 11 6 18 2" xfId="20473"/>
    <cellStyle name="Normal 11 6 2" xfId="1964"/>
    <cellStyle name="Normal 11 6 2 2" xfId="5869"/>
    <cellStyle name="Normal 11 6 2 2 2" xfId="22031"/>
    <cellStyle name="Normal 11 6 3" xfId="1967"/>
    <cellStyle name="Normal 11 6 3 2" xfId="5872"/>
    <cellStyle name="Normal 11 6 3 2 2" xfId="22034"/>
    <cellStyle name="Normal 11 6 4" xfId="1969"/>
    <cellStyle name="Normal 11 6 4 2" xfId="5874"/>
    <cellStyle name="Normal 11 6 4 2 2" xfId="22036"/>
    <cellStyle name="Normal 11 6 5" xfId="1971"/>
    <cellStyle name="Normal 11 6 5 2" xfId="5876"/>
    <cellStyle name="Normal 11 6 5 2 2" xfId="22038"/>
    <cellStyle name="Normal 11 6 6" xfId="1973"/>
    <cellStyle name="Normal 11 6 6 2" xfId="5878"/>
    <cellStyle name="Normal 11 6 6 2 2" xfId="22040"/>
    <cellStyle name="Normal 11 6 7" xfId="2287"/>
    <cellStyle name="Normal 11 6 7 2" xfId="6186"/>
    <cellStyle name="Normal 11 6 7 2 2" xfId="22348"/>
    <cellStyle name="Normal 11 6 8" xfId="2288"/>
    <cellStyle name="Normal 11 6 8 2" xfId="6187"/>
    <cellStyle name="Normal 11 6 8 2 2" xfId="22349"/>
    <cellStyle name="Normal 11 6 9" xfId="9269"/>
    <cellStyle name="Normal 11 6 9 2" xfId="25418"/>
    <cellStyle name="Normal 11 7" xfId="379"/>
    <cellStyle name="Normal 11 7 10" xfId="9270"/>
    <cellStyle name="Normal 11 7 10 2" xfId="25419"/>
    <cellStyle name="Normal 11 7 11" xfId="9271"/>
    <cellStyle name="Normal 11 7 11 2" xfId="25420"/>
    <cellStyle name="Normal 11 7 12" xfId="9272"/>
    <cellStyle name="Normal 11 7 12 2" xfId="25421"/>
    <cellStyle name="Normal 11 7 13" xfId="9273"/>
    <cellStyle name="Normal 11 7 13 2" xfId="25422"/>
    <cellStyle name="Normal 11 7 14" xfId="9274"/>
    <cellStyle name="Normal 11 7 14 2" xfId="25423"/>
    <cellStyle name="Normal 11 7 15" xfId="9275"/>
    <cellStyle name="Normal 11 7 15 2" xfId="25424"/>
    <cellStyle name="Normal 11 7 16" xfId="9276"/>
    <cellStyle name="Normal 11 7 16 2" xfId="25425"/>
    <cellStyle name="Normal 11 7 17" xfId="9277"/>
    <cellStyle name="Normal 11 7 17 2" xfId="25426"/>
    <cellStyle name="Normal 11 7 18" xfId="4317"/>
    <cellStyle name="Normal 11 7 18 2" xfId="20480"/>
    <cellStyle name="Normal 11 7 2" xfId="2289"/>
    <cellStyle name="Normal 11 7 2 2" xfId="6188"/>
    <cellStyle name="Normal 11 7 2 2 2" xfId="22350"/>
    <cellStyle name="Normal 11 7 3" xfId="2290"/>
    <cellStyle name="Normal 11 7 3 2" xfId="6189"/>
    <cellStyle name="Normal 11 7 3 2 2" xfId="22351"/>
    <cellStyle name="Normal 11 7 4" xfId="2291"/>
    <cellStyle name="Normal 11 7 4 2" xfId="6190"/>
    <cellStyle name="Normal 11 7 4 2 2" xfId="22352"/>
    <cellStyle name="Normal 11 7 5" xfId="2292"/>
    <cellStyle name="Normal 11 7 5 2" xfId="6191"/>
    <cellStyle name="Normal 11 7 5 2 2" xfId="22353"/>
    <cellStyle name="Normal 11 7 6" xfId="2293"/>
    <cellStyle name="Normal 11 7 6 2" xfId="6192"/>
    <cellStyle name="Normal 11 7 6 2 2" xfId="22354"/>
    <cellStyle name="Normal 11 7 7" xfId="2294"/>
    <cellStyle name="Normal 11 7 7 2" xfId="6193"/>
    <cellStyle name="Normal 11 7 7 2 2" xfId="22355"/>
    <cellStyle name="Normal 11 7 8" xfId="2295"/>
    <cellStyle name="Normal 11 7 8 2" xfId="6194"/>
    <cellStyle name="Normal 11 7 8 2 2" xfId="22356"/>
    <cellStyle name="Normal 11 7 9" xfId="9278"/>
    <cellStyle name="Normal 11 7 9 2" xfId="25427"/>
    <cellStyle name="Normal 11 8" xfId="1584"/>
    <cellStyle name="Normal 11 8 10" xfId="9279"/>
    <cellStyle name="Normal 11 8 10 2" xfId="25428"/>
    <cellStyle name="Normal 11 8 11" xfId="9280"/>
    <cellStyle name="Normal 11 8 11 2" xfId="25429"/>
    <cellStyle name="Normal 11 8 12" xfId="9281"/>
    <cellStyle name="Normal 11 8 12 2" xfId="25430"/>
    <cellStyle name="Normal 11 8 13" xfId="9282"/>
    <cellStyle name="Normal 11 8 13 2" xfId="25431"/>
    <cellStyle name="Normal 11 8 14" xfId="9283"/>
    <cellStyle name="Normal 11 8 14 2" xfId="25432"/>
    <cellStyle name="Normal 11 8 15" xfId="9284"/>
    <cellStyle name="Normal 11 8 15 2" xfId="25433"/>
    <cellStyle name="Normal 11 8 16" xfId="9285"/>
    <cellStyle name="Normal 11 8 16 2" xfId="25434"/>
    <cellStyle name="Normal 11 8 17" xfId="9286"/>
    <cellStyle name="Normal 11 8 17 2" xfId="25435"/>
    <cellStyle name="Normal 11 8 18" xfId="5501"/>
    <cellStyle name="Normal 11 8 18 2" xfId="21663"/>
    <cellStyle name="Normal 11 8 2" xfId="260"/>
    <cellStyle name="Normal 11 8 2 2" xfId="4209"/>
    <cellStyle name="Normal 11 8 2 2 2" xfId="20372"/>
    <cellStyle name="Normal 11 8 3" xfId="2296"/>
    <cellStyle name="Normal 11 8 3 2" xfId="6195"/>
    <cellStyle name="Normal 11 8 3 2 2" xfId="22357"/>
    <cellStyle name="Normal 11 8 4" xfId="2297"/>
    <cellStyle name="Normal 11 8 4 2" xfId="6196"/>
    <cellStyle name="Normal 11 8 4 2 2" xfId="22358"/>
    <cellStyle name="Normal 11 8 5" xfId="2298"/>
    <cellStyle name="Normal 11 8 5 2" xfId="6197"/>
    <cellStyle name="Normal 11 8 5 2 2" xfId="22359"/>
    <cellStyle name="Normal 11 8 6" xfId="2299"/>
    <cellStyle name="Normal 11 8 6 2" xfId="6198"/>
    <cellStyle name="Normal 11 8 6 2 2" xfId="22360"/>
    <cellStyle name="Normal 11 8 7" xfId="2300"/>
    <cellStyle name="Normal 11 8 7 2" xfId="6199"/>
    <cellStyle name="Normal 11 8 7 2 2" xfId="22361"/>
    <cellStyle name="Normal 11 8 8" xfId="2301"/>
    <cellStyle name="Normal 11 8 8 2" xfId="6200"/>
    <cellStyle name="Normal 11 8 8 2 2" xfId="22362"/>
    <cellStyle name="Normal 11 8 9" xfId="9287"/>
    <cellStyle name="Normal 11 8 9 2" xfId="25436"/>
    <cellStyle name="Normal 11 9" xfId="1586"/>
    <cellStyle name="Normal 11 9 10" xfId="9288"/>
    <cellStyle name="Normal 11 9 10 2" xfId="25437"/>
    <cellStyle name="Normal 11 9 11" xfId="9289"/>
    <cellStyle name="Normal 11 9 11 2" xfId="25438"/>
    <cellStyle name="Normal 11 9 12" xfId="9290"/>
    <cellStyle name="Normal 11 9 12 2" xfId="25439"/>
    <cellStyle name="Normal 11 9 13" xfId="9291"/>
    <cellStyle name="Normal 11 9 13 2" xfId="25440"/>
    <cellStyle name="Normal 11 9 14" xfId="9292"/>
    <cellStyle name="Normal 11 9 14 2" xfId="25441"/>
    <cellStyle name="Normal 11 9 15" xfId="9293"/>
    <cellStyle name="Normal 11 9 15 2" xfId="25442"/>
    <cellStyle name="Normal 11 9 16" xfId="9294"/>
    <cellStyle name="Normal 11 9 16 2" xfId="25443"/>
    <cellStyle name="Normal 11 9 17" xfId="9295"/>
    <cellStyle name="Normal 11 9 17 2" xfId="25444"/>
    <cellStyle name="Normal 11 9 18" xfId="5503"/>
    <cellStyle name="Normal 11 9 18 2" xfId="21665"/>
    <cellStyle name="Normal 11 9 2" xfId="2302"/>
    <cellStyle name="Normal 11 9 2 2" xfId="6201"/>
    <cellStyle name="Normal 11 9 2 2 2" xfId="22363"/>
    <cellStyle name="Normal 11 9 3" xfId="2303"/>
    <cellStyle name="Normal 11 9 3 2" xfId="6202"/>
    <cellStyle name="Normal 11 9 3 2 2" xfId="22364"/>
    <cellStyle name="Normal 11 9 4" xfId="2305"/>
    <cellStyle name="Normal 11 9 4 2" xfId="6203"/>
    <cellStyle name="Normal 11 9 4 2 2" xfId="22365"/>
    <cellStyle name="Normal 11 9 5" xfId="2306"/>
    <cellStyle name="Normal 11 9 5 2" xfId="6205"/>
    <cellStyle name="Normal 11 9 5 2 2" xfId="22367"/>
    <cellStyle name="Normal 11 9 6" xfId="2307"/>
    <cellStyle name="Normal 11 9 6 2" xfId="6206"/>
    <cellStyle name="Normal 11 9 6 2 2" xfId="22368"/>
    <cellStyle name="Normal 11 9 7" xfId="2308"/>
    <cellStyle name="Normal 11 9 7 2" xfId="6207"/>
    <cellStyle name="Normal 11 9 7 2 2" xfId="22369"/>
    <cellStyle name="Normal 11 9 8" xfId="2309"/>
    <cellStyle name="Normal 11 9 8 2" xfId="6208"/>
    <cellStyle name="Normal 11 9 8 2 2" xfId="22370"/>
    <cellStyle name="Normal 11 9 9" xfId="9296"/>
    <cellStyle name="Normal 11 9 9 2" xfId="25445"/>
    <cellStyle name="Normal 11_Achampally-Gattubuthkur-Ganga-CRR" xfId="2310"/>
    <cellStyle name="Normal 12" xfId="2311"/>
    <cellStyle name="Normal 12 2" xfId="614"/>
    <cellStyle name="Normal 12 2 10" xfId="9297"/>
    <cellStyle name="Normal 12 2 10 2" xfId="25446"/>
    <cellStyle name="Normal 12 2 11" xfId="9298"/>
    <cellStyle name="Normal 12 2 11 2" xfId="25447"/>
    <cellStyle name="Normal 12 2 12" xfId="9299"/>
    <cellStyle name="Normal 12 2 12 2" xfId="25448"/>
    <cellStyle name="Normal 12 2 13" xfId="9300"/>
    <cellStyle name="Normal 12 2 13 2" xfId="25449"/>
    <cellStyle name="Normal 12 2 14" xfId="9301"/>
    <cellStyle name="Normal 12 2 14 2" xfId="25450"/>
    <cellStyle name="Normal 12 2 15" xfId="9302"/>
    <cellStyle name="Normal 12 2 15 2" xfId="25451"/>
    <cellStyle name="Normal 12 2 16" xfId="9303"/>
    <cellStyle name="Normal 12 2 16 2" xfId="25452"/>
    <cellStyle name="Normal 12 2 17" xfId="9304"/>
    <cellStyle name="Normal 12 2 17 2" xfId="25453"/>
    <cellStyle name="Normal 12 2 18" xfId="9305"/>
    <cellStyle name="Normal 12 2 18 2" xfId="25454"/>
    <cellStyle name="Normal 12 2 19" xfId="4545"/>
    <cellStyle name="Normal 12 2 19 2" xfId="20707"/>
    <cellStyle name="Normal 12 2 2" xfId="684"/>
    <cellStyle name="Normal 12 2 2 10" xfId="9306"/>
    <cellStyle name="Normal 12 2 2 10 2" xfId="25455"/>
    <cellStyle name="Normal 12 2 2 11" xfId="9307"/>
    <cellStyle name="Normal 12 2 2 11 2" xfId="25456"/>
    <cellStyle name="Normal 12 2 2 12" xfId="9308"/>
    <cellStyle name="Normal 12 2 2 12 2" xfId="25457"/>
    <cellStyle name="Normal 12 2 2 13" xfId="4612"/>
    <cellStyle name="Normal 12 2 2 13 2" xfId="20774"/>
    <cellStyle name="Normal 12 2 2 14" xfId="19153"/>
    <cellStyle name="Normal 12 2 2 2" xfId="1323"/>
    <cellStyle name="Normal 12 2 2 2 10" xfId="9309"/>
    <cellStyle name="Normal 12 2 2 2 10 2" xfId="25458"/>
    <cellStyle name="Normal 12 2 2 2 11" xfId="5243"/>
    <cellStyle name="Normal 12 2 2 2 11 2" xfId="21405"/>
    <cellStyle name="Normal 12 2 2 2 12" xfId="19431"/>
    <cellStyle name="Normal 12 2 2 2 2" xfId="9310"/>
    <cellStyle name="Normal 12 2 2 2 2 2" xfId="25459"/>
    <cellStyle name="Normal 12 2 2 2 3" xfId="9311"/>
    <cellStyle name="Normal 12 2 2 2 3 2" xfId="25460"/>
    <cellStyle name="Normal 12 2 2 2 4" xfId="9312"/>
    <cellStyle name="Normal 12 2 2 2 4 2" xfId="25461"/>
    <cellStyle name="Normal 12 2 2 2 5" xfId="9313"/>
    <cellStyle name="Normal 12 2 2 2 5 2" xfId="25462"/>
    <cellStyle name="Normal 12 2 2 2 6" xfId="9314"/>
    <cellStyle name="Normal 12 2 2 2 6 2" xfId="25463"/>
    <cellStyle name="Normal 12 2 2 2 7" xfId="9315"/>
    <cellStyle name="Normal 12 2 2 2 7 2" xfId="25464"/>
    <cellStyle name="Normal 12 2 2 2 8" xfId="9316"/>
    <cellStyle name="Normal 12 2 2 2 8 2" xfId="25465"/>
    <cellStyle name="Normal 12 2 2 2 9" xfId="9317"/>
    <cellStyle name="Normal 12 2 2 2 9 2" xfId="25466"/>
    <cellStyle name="Normal 12 2 2 3" xfId="1344"/>
    <cellStyle name="Normal 12 2 2 3 10" xfId="9318"/>
    <cellStyle name="Normal 12 2 2 3 10 2" xfId="25467"/>
    <cellStyle name="Normal 12 2 2 3 11" xfId="5263"/>
    <cellStyle name="Normal 12 2 2 3 11 2" xfId="21425"/>
    <cellStyle name="Normal 12 2 2 3 12" xfId="19440"/>
    <cellStyle name="Normal 12 2 2 3 2" xfId="9319"/>
    <cellStyle name="Normal 12 2 2 3 2 2" xfId="25468"/>
    <cellStyle name="Normal 12 2 2 3 3" xfId="9320"/>
    <cellStyle name="Normal 12 2 2 3 3 2" xfId="25469"/>
    <cellStyle name="Normal 12 2 2 3 4" xfId="9321"/>
    <cellStyle name="Normal 12 2 2 3 4 2" xfId="25470"/>
    <cellStyle name="Normal 12 2 2 3 5" xfId="9322"/>
    <cellStyle name="Normal 12 2 2 3 5 2" xfId="25471"/>
    <cellStyle name="Normal 12 2 2 3 6" xfId="9323"/>
    <cellStyle name="Normal 12 2 2 3 6 2" xfId="25472"/>
    <cellStyle name="Normal 12 2 2 3 7" xfId="9324"/>
    <cellStyle name="Normal 12 2 2 3 7 2" xfId="25473"/>
    <cellStyle name="Normal 12 2 2 3 8" xfId="9325"/>
    <cellStyle name="Normal 12 2 2 3 8 2" xfId="25474"/>
    <cellStyle name="Normal 12 2 2 3 9" xfId="9326"/>
    <cellStyle name="Normal 12 2 2 3 9 2" xfId="25475"/>
    <cellStyle name="Normal 12 2 2 4" xfId="9327"/>
    <cellStyle name="Normal 12 2 2 4 2" xfId="25476"/>
    <cellStyle name="Normal 12 2 2 5" xfId="9328"/>
    <cellStyle name="Normal 12 2 2 5 2" xfId="25477"/>
    <cellStyle name="Normal 12 2 2 6" xfId="9329"/>
    <cellStyle name="Normal 12 2 2 6 2" xfId="25478"/>
    <cellStyle name="Normal 12 2 2 7" xfId="9330"/>
    <cellStyle name="Normal 12 2 2 7 2" xfId="25479"/>
    <cellStyle name="Normal 12 2 2 8" xfId="9331"/>
    <cellStyle name="Normal 12 2 2 8 2" xfId="25480"/>
    <cellStyle name="Normal 12 2 2 9" xfId="9332"/>
    <cellStyle name="Normal 12 2 2 9 2" xfId="25481"/>
    <cellStyle name="Normal 12 2 20" xfId="19128"/>
    <cellStyle name="Normal 12 2 3" xfId="690"/>
    <cellStyle name="Normal 12 2 3 10" xfId="9333"/>
    <cellStyle name="Normal 12 2 3 10 2" xfId="25482"/>
    <cellStyle name="Normal 12 2 3 11" xfId="9334"/>
    <cellStyle name="Normal 12 2 3 11 2" xfId="25483"/>
    <cellStyle name="Normal 12 2 3 12" xfId="9335"/>
    <cellStyle name="Normal 12 2 3 12 2" xfId="25484"/>
    <cellStyle name="Normal 12 2 3 13" xfId="4618"/>
    <cellStyle name="Normal 12 2 3 13 2" xfId="20780"/>
    <cellStyle name="Normal 12 2 3 14" xfId="19156"/>
    <cellStyle name="Normal 12 2 3 2" xfId="1449"/>
    <cellStyle name="Normal 12 2 3 2 10" xfId="9336"/>
    <cellStyle name="Normal 12 2 3 2 10 2" xfId="25485"/>
    <cellStyle name="Normal 12 2 3 2 11" xfId="5365"/>
    <cellStyle name="Normal 12 2 3 2 11 2" xfId="21527"/>
    <cellStyle name="Normal 12 2 3 2 12" xfId="19492"/>
    <cellStyle name="Normal 12 2 3 2 2" xfId="9337"/>
    <cellStyle name="Normal 12 2 3 2 2 2" xfId="25486"/>
    <cellStyle name="Normal 12 2 3 2 3" xfId="9338"/>
    <cellStyle name="Normal 12 2 3 2 3 2" xfId="25487"/>
    <cellStyle name="Normal 12 2 3 2 4" xfId="9339"/>
    <cellStyle name="Normal 12 2 3 2 4 2" xfId="25488"/>
    <cellStyle name="Normal 12 2 3 2 5" xfId="9340"/>
    <cellStyle name="Normal 12 2 3 2 5 2" xfId="25489"/>
    <cellStyle name="Normal 12 2 3 2 6" xfId="9341"/>
    <cellStyle name="Normal 12 2 3 2 6 2" xfId="25490"/>
    <cellStyle name="Normal 12 2 3 2 7" xfId="9342"/>
    <cellStyle name="Normal 12 2 3 2 7 2" xfId="25491"/>
    <cellStyle name="Normal 12 2 3 2 8" xfId="9343"/>
    <cellStyle name="Normal 12 2 3 2 8 2" xfId="25492"/>
    <cellStyle name="Normal 12 2 3 2 9" xfId="9344"/>
    <cellStyle name="Normal 12 2 3 2 9 2" xfId="25493"/>
    <cellStyle name="Normal 12 2 3 3" xfId="664"/>
    <cellStyle name="Normal 12 2 3 3 10" xfId="9345"/>
    <cellStyle name="Normal 12 2 3 3 10 2" xfId="25494"/>
    <cellStyle name="Normal 12 2 3 3 11" xfId="4597"/>
    <cellStyle name="Normal 12 2 3 3 11 2" xfId="20759"/>
    <cellStyle name="Normal 12 2 3 3 12" xfId="19147"/>
    <cellStyle name="Normal 12 2 3 3 2" xfId="9346"/>
    <cellStyle name="Normal 12 2 3 3 2 2" xfId="25495"/>
    <cellStyle name="Normal 12 2 3 3 3" xfId="9347"/>
    <cellStyle name="Normal 12 2 3 3 3 2" xfId="25496"/>
    <cellStyle name="Normal 12 2 3 3 4" xfId="9348"/>
    <cellStyle name="Normal 12 2 3 3 4 2" xfId="25497"/>
    <cellStyle name="Normal 12 2 3 3 5" xfId="9349"/>
    <cellStyle name="Normal 12 2 3 3 5 2" xfId="25498"/>
    <cellStyle name="Normal 12 2 3 3 6" xfId="9350"/>
    <cellStyle name="Normal 12 2 3 3 6 2" xfId="25499"/>
    <cellStyle name="Normal 12 2 3 3 7" xfId="9351"/>
    <cellStyle name="Normal 12 2 3 3 7 2" xfId="25500"/>
    <cellStyle name="Normal 12 2 3 3 8" xfId="9352"/>
    <cellStyle name="Normal 12 2 3 3 8 2" xfId="25501"/>
    <cellStyle name="Normal 12 2 3 3 9" xfId="9353"/>
    <cellStyle name="Normal 12 2 3 3 9 2" xfId="25502"/>
    <cellStyle name="Normal 12 2 3 4" xfId="9354"/>
    <cellStyle name="Normal 12 2 3 4 2" xfId="25503"/>
    <cellStyle name="Normal 12 2 3 5" xfId="9355"/>
    <cellStyle name="Normal 12 2 3 5 2" xfId="25504"/>
    <cellStyle name="Normal 12 2 3 6" xfId="9356"/>
    <cellStyle name="Normal 12 2 3 6 2" xfId="25505"/>
    <cellStyle name="Normal 12 2 3 7" xfId="9357"/>
    <cellStyle name="Normal 12 2 3 7 2" xfId="25506"/>
    <cellStyle name="Normal 12 2 3 8" xfId="9358"/>
    <cellStyle name="Normal 12 2 3 8 2" xfId="25507"/>
    <cellStyle name="Normal 12 2 3 9" xfId="9359"/>
    <cellStyle name="Normal 12 2 3 9 2" xfId="25508"/>
    <cellStyle name="Normal 12 2 4" xfId="974"/>
    <cellStyle name="Normal 12 2 4 10" xfId="9360"/>
    <cellStyle name="Normal 12 2 4 10 2" xfId="25509"/>
    <cellStyle name="Normal 12 2 4 11" xfId="9361"/>
    <cellStyle name="Normal 12 2 4 11 2" xfId="25510"/>
    <cellStyle name="Normal 12 2 4 12" xfId="9362"/>
    <cellStyle name="Normal 12 2 4 12 2" xfId="25511"/>
    <cellStyle name="Normal 12 2 4 13" xfId="4896"/>
    <cellStyle name="Normal 12 2 4 13 2" xfId="21058"/>
    <cellStyle name="Normal 12 2 4 14" xfId="19259"/>
    <cellStyle name="Normal 12 2 4 2" xfId="1474"/>
    <cellStyle name="Normal 12 2 4 2 10" xfId="9363"/>
    <cellStyle name="Normal 12 2 4 2 10 2" xfId="25512"/>
    <cellStyle name="Normal 12 2 4 2 11" xfId="5392"/>
    <cellStyle name="Normal 12 2 4 2 11 2" xfId="21554"/>
    <cellStyle name="Normal 12 2 4 2 12" xfId="19507"/>
    <cellStyle name="Normal 12 2 4 2 2" xfId="9364"/>
    <cellStyle name="Normal 12 2 4 2 2 2" xfId="25513"/>
    <cellStyle name="Normal 12 2 4 2 3" xfId="9365"/>
    <cellStyle name="Normal 12 2 4 2 3 2" xfId="25514"/>
    <cellStyle name="Normal 12 2 4 2 4" xfId="9366"/>
    <cellStyle name="Normal 12 2 4 2 4 2" xfId="25515"/>
    <cellStyle name="Normal 12 2 4 2 5" xfId="9367"/>
    <cellStyle name="Normal 12 2 4 2 5 2" xfId="25516"/>
    <cellStyle name="Normal 12 2 4 2 6" xfId="9368"/>
    <cellStyle name="Normal 12 2 4 2 6 2" xfId="25517"/>
    <cellStyle name="Normal 12 2 4 2 7" xfId="9369"/>
    <cellStyle name="Normal 12 2 4 2 7 2" xfId="25518"/>
    <cellStyle name="Normal 12 2 4 2 8" xfId="9370"/>
    <cellStyle name="Normal 12 2 4 2 8 2" xfId="25519"/>
    <cellStyle name="Normal 12 2 4 2 9" xfId="9371"/>
    <cellStyle name="Normal 12 2 4 2 9 2" xfId="25520"/>
    <cellStyle name="Normal 12 2 4 3" xfId="1544"/>
    <cellStyle name="Normal 12 2 4 3 10" xfId="9372"/>
    <cellStyle name="Normal 12 2 4 3 10 2" xfId="25521"/>
    <cellStyle name="Normal 12 2 4 3 11" xfId="5462"/>
    <cellStyle name="Normal 12 2 4 3 11 2" xfId="21624"/>
    <cellStyle name="Normal 12 2 4 3 12" xfId="19551"/>
    <cellStyle name="Normal 12 2 4 3 2" xfId="9373"/>
    <cellStyle name="Normal 12 2 4 3 2 2" xfId="25522"/>
    <cellStyle name="Normal 12 2 4 3 3" xfId="9374"/>
    <cellStyle name="Normal 12 2 4 3 3 2" xfId="25523"/>
    <cellStyle name="Normal 12 2 4 3 4" xfId="9375"/>
    <cellStyle name="Normal 12 2 4 3 4 2" xfId="25524"/>
    <cellStyle name="Normal 12 2 4 3 5" xfId="9376"/>
    <cellStyle name="Normal 12 2 4 3 5 2" xfId="25525"/>
    <cellStyle name="Normal 12 2 4 3 6" xfId="9377"/>
    <cellStyle name="Normal 12 2 4 3 6 2" xfId="25526"/>
    <cellStyle name="Normal 12 2 4 3 7" xfId="9378"/>
    <cellStyle name="Normal 12 2 4 3 7 2" xfId="25527"/>
    <cellStyle name="Normal 12 2 4 3 8" xfId="9379"/>
    <cellStyle name="Normal 12 2 4 3 8 2" xfId="25528"/>
    <cellStyle name="Normal 12 2 4 3 9" xfId="9380"/>
    <cellStyle name="Normal 12 2 4 3 9 2" xfId="25529"/>
    <cellStyle name="Normal 12 2 4 4" xfId="9381"/>
    <cellStyle name="Normal 12 2 4 4 2" xfId="25530"/>
    <cellStyle name="Normal 12 2 4 5" xfId="9382"/>
    <cellStyle name="Normal 12 2 4 5 2" xfId="25531"/>
    <cellStyle name="Normal 12 2 4 6" xfId="9383"/>
    <cellStyle name="Normal 12 2 4 6 2" xfId="25532"/>
    <cellStyle name="Normal 12 2 4 7" xfId="9384"/>
    <cellStyle name="Normal 12 2 4 7 2" xfId="25533"/>
    <cellStyle name="Normal 12 2 4 8" xfId="9385"/>
    <cellStyle name="Normal 12 2 4 8 2" xfId="25534"/>
    <cellStyle name="Normal 12 2 4 9" xfId="9386"/>
    <cellStyle name="Normal 12 2 4 9 2" xfId="25535"/>
    <cellStyle name="Normal 12 2 5" xfId="604"/>
    <cellStyle name="Normal 12 2 5 10" xfId="9387"/>
    <cellStyle name="Normal 12 2 5 10 2" xfId="25536"/>
    <cellStyle name="Normal 12 2 5 11" xfId="9388"/>
    <cellStyle name="Normal 12 2 5 11 2" xfId="25537"/>
    <cellStyle name="Normal 12 2 5 12" xfId="9389"/>
    <cellStyle name="Normal 12 2 5 12 2" xfId="25538"/>
    <cellStyle name="Normal 12 2 5 13" xfId="4535"/>
    <cellStyle name="Normal 12 2 5 13 2" xfId="20697"/>
    <cellStyle name="Normal 12 2 5 14" xfId="19125"/>
    <cellStyle name="Normal 12 2 5 2" xfId="2313"/>
    <cellStyle name="Normal 12 2 5 2 10" xfId="9390"/>
    <cellStyle name="Normal 12 2 5 2 10 2" xfId="25539"/>
    <cellStyle name="Normal 12 2 5 2 11" xfId="6211"/>
    <cellStyle name="Normal 12 2 5 2 11 2" xfId="22373"/>
    <cellStyle name="Normal 12 2 5 2 12" xfId="19631"/>
    <cellStyle name="Normal 12 2 5 2 2" xfId="9391"/>
    <cellStyle name="Normal 12 2 5 2 2 2" xfId="25540"/>
    <cellStyle name="Normal 12 2 5 2 3" xfId="9392"/>
    <cellStyle name="Normal 12 2 5 2 3 2" xfId="25541"/>
    <cellStyle name="Normal 12 2 5 2 4" xfId="9393"/>
    <cellStyle name="Normal 12 2 5 2 4 2" xfId="25542"/>
    <cellStyle name="Normal 12 2 5 2 5" xfId="9394"/>
    <cellStyle name="Normal 12 2 5 2 5 2" xfId="25543"/>
    <cellStyle name="Normal 12 2 5 2 6" xfId="9395"/>
    <cellStyle name="Normal 12 2 5 2 6 2" xfId="25544"/>
    <cellStyle name="Normal 12 2 5 2 7" xfId="9396"/>
    <cellStyle name="Normal 12 2 5 2 7 2" xfId="25545"/>
    <cellStyle name="Normal 12 2 5 2 8" xfId="9397"/>
    <cellStyle name="Normal 12 2 5 2 8 2" xfId="25546"/>
    <cellStyle name="Normal 12 2 5 2 9" xfId="9398"/>
    <cellStyle name="Normal 12 2 5 2 9 2" xfId="25547"/>
    <cellStyle name="Normal 12 2 5 3" xfId="2316"/>
    <cellStyle name="Normal 12 2 5 3 10" xfId="9399"/>
    <cellStyle name="Normal 12 2 5 3 10 2" xfId="25548"/>
    <cellStyle name="Normal 12 2 5 3 11" xfId="6214"/>
    <cellStyle name="Normal 12 2 5 3 11 2" xfId="22376"/>
    <cellStyle name="Normal 12 2 5 3 12" xfId="19633"/>
    <cellStyle name="Normal 12 2 5 3 2" xfId="9400"/>
    <cellStyle name="Normal 12 2 5 3 2 2" xfId="25549"/>
    <cellStyle name="Normal 12 2 5 3 3" xfId="9401"/>
    <cellStyle name="Normal 12 2 5 3 3 2" xfId="25550"/>
    <cellStyle name="Normal 12 2 5 3 4" xfId="9402"/>
    <cellStyle name="Normal 12 2 5 3 4 2" xfId="25551"/>
    <cellStyle name="Normal 12 2 5 3 5" xfId="9403"/>
    <cellStyle name="Normal 12 2 5 3 5 2" xfId="25552"/>
    <cellStyle name="Normal 12 2 5 3 6" xfId="9404"/>
    <cellStyle name="Normal 12 2 5 3 6 2" xfId="25553"/>
    <cellStyle name="Normal 12 2 5 3 7" xfId="9405"/>
    <cellStyle name="Normal 12 2 5 3 7 2" xfId="25554"/>
    <cellStyle name="Normal 12 2 5 3 8" xfId="9406"/>
    <cellStyle name="Normal 12 2 5 3 8 2" xfId="25555"/>
    <cellStyle name="Normal 12 2 5 3 9" xfId="9407"/>
    <cellStyle name="Normal 12 2 5 3 9 2" xfId="25556"/>
    <cellStyle name="Normal 12 2 5 4" xfId="9408"/>
    <cellStyle name="Normal 12 2 5 4 2" xfId="25557"/>
    <cellStyle name="Normal 12 2 5 5" xfId="9409"/>
    <cellStyle name="Normal 12 2 5 5 2" xfId="25558"/>
    <cellStyle name="Normal 12 2 5 6" xfId="9410"/>
    <cellStyle name="Normal 12 2 5 6 2" xfId="25559"/>
    <cellStyle name="Normal 12 2 5 7" xfId="9411"/>
    <cellStyle name="Normal 12 2 5 7 2" xfId="25560"/>
    <cellStyle name="Normal 12 2 5 8" xfId="9412"/>
    <cellStyle name="Normal 12 2 5 8 2" xfId="25561"/>
    <cellStyle name="Normal 12 2 5 9" xfId="9413"/>
    <cellStyle name="Normal 12 2 5 9 2" xfId="25562"/>
    <cellStyle name="Normal 12 2 6" xfId="979"/>
    <cellStyle name="Normal 12 2 6 10" xfId="9414"/>
    <cellStyle name="Normal 12 2 6 10 2" xfId="25563"/>
    <cellStyle name="Normal 12 2 6 11" xfId="9415"/>
    <cellStyle name="Normal 12 2 6 11 2" xfId="25564"/>
    <cellStyle name="Normal 12 2 6 12" xfId="9416"/>
    <cellStyle name="Normal 12 2 6 12 2" xfId="25565"/>
    <cellStyle name="Normal 12 2 6 13" xfId="4898"/>
    <cellStyle name="Normal 12 2 6 13 2" xfId="21060"/>
    <cellStyle name="Normal 12 2 6 14" xfId="19262"/>
    <cellStyle name="Normal 12 2 6 2" xfId="2199"/>
    <cellStyle name="Normal 12 2 6 2 10" xfId="9417"/>
    <cellStyle name="Normal 12 2 6 2 10 2" xfId="25566"/>
    <cellStyle name="Normal 12 2 6 2 11" xfId="6099"/>
    <cellStyle name="Normal 12 2 6 2 11 2" xfId="22261"/>
    <cellStyle name="Normal 12 2 6 2 12" xfId="19621"/>
    <cellStyle name="Normal 12 2 6 2 2" xfId="9418"/>
    <cellStyle name="Normal 12 2 6 2 2 2" xfId="25567"/>
    <cellStyle name="Normal 12 2 6 2 3" xfId="9419"/>
    <cellStyle name="Normal 12 2 6 2 3 2" xfId="25568"/>
    <cellStyle name="Normal 12 2 6 2 4" xfId="9420"/>
    <cellStyle name="Normal 12 2 6 2 4 2" xfId="25569"/>
    <cellStyle name="Normal 12 2 6 2 5" xfId="9421"/>
    <cellStyle name="Normal 12 2 6 2 5 2" xfId="25570"/>
    <cellStyle name="Normal 12 2 6 2 6" xfId="9422"/>
    <cellStyle name="Normal 12 2 6 2 6 2" xfId="25571"/>
    <cellStyle name="Normal 12 2 6 2 7" xfId="9423"/>
    <cellStyle name="Normal 12 2 6 2 7 2" xfId="25572"/>
    <cellStyle name="Normal 12 2 6 2 8" xfId="9424"/>
    <cellStyle name="Normal 12 2 6 2 8 2" xfId="25573"/>
    <cellStyle name="Normal 12 2 6 2 9" xfId="9425"/>
    <cellStyle name="Normal 12 2 6 2 9 2" xfId="25574"/>
    <cellStyle name="Normal 12 2 6 3" xfId="2318"/>
    <cellStyle name="Normal 12 2 6 3 10" xfId="9426"/>
    <cellStyle name="Normal 12 2 6 3 10 2" xfId="25575"/>
    <cellStyle name="Normal 12 2 6 3 11" xfId="6216"/>
    <cellStyle name="Normal 12 2 6 3 11 2" xfId="22378"/>
    <cellStyle name="Normal 12 2 6 3 12" xfId="19634"/>
    <cellStyle name="Normal 12 2 6 3 2" xfId="9427"/>
    <cellStyle name="Normal 12 2 6 3 2 2" xfId="25576"/>
    <cellStyle name="Normal 12 2 6 3 3" xfId="9428"/>
    <cellStyle name="Normal 12 2 6 3 3 2" xfId="25577"/>
    <cellStyle name="Normal 12 2 6 3 4" xfId="9429"/>
    <cellStyle name="Normal 12 2 6 3 4 2" xfId="25578"/>
    <cellStyle name="Normal 12 2 6 3 5" xfId="9430"/>
    <cellStyle name="Normal 12 2 6 3 5 2" xfId="25579"/>
    <cellStyle name="Normal 12 2 6 3 6" xfId="9431"/>
    <cellStyle name="Normal 12 2 6 3 6 2" xfId="25580"/>
    <cellStyle name="Normal 12 2 6 3 7" xfId="9432"/>
    <cellStyle name="Normal 12 2 6 3 7 2" xfId="25581"/>
    <cellStyle name="Normal 12 2 6 3 8" xfId="9433"/>
    <cellStyle name="Normal 12 2 6 3 8 2" xfId="25582"/>
    <cellStyle name="Normal 12 2 6 3 9" xfId="9434"/>
    <cellStyle name="Normal 12 2 6 3 9 2" xfId="25583"/>
    <cellStyle name="Normal 12 2 6 4" xfId="9435"/>
    <cellStyle name="Normal 12 2 6 4 2" xfId="25584"/>
    <cellStyle name="Normal 12 2 6 5" xfId="9436"/>
    <cellStyle name="Normal 12 2 6 5 2" xfId="25585"/>
    <cellStyle name="Normal 12 2 6 6" xfId="9437"/>
    <cellStyle name="Normal 12 2 6 6 2" xfId="25586"/>
    <cellStyle name="Normal 12 2 6 7" xfId="9438"/>
    <cellStyle name="Normal 12 2 6 7 2" xfId="25587"/>
    <cellStyle name="Normal 12 2 6 8" xfId="9439"/>
    <cellStyle name="Normal 12 2 6 8 2" xfId="25588"/>
    <cellStyle name="Normal 12 2 6 9" xfId="9440"/>
    <cellStyle name="Normal 12 2 6 9 2" xfId="25589"/>
    <cellStyle name="Normal 12 2 7" xfId="982"/>
    <cellStyle name="Normal 12 2 7 2" xfId="4901"/>
    <cellStyle name="Normal 12 2 7 2 2" xfId="21063"/>
    <cellStyle name="Normal 12 2 8" xfId="2319"/>
    <cellStyle name="Normal 12 2 8 10" xfId="9441"/>
    <cellStyle name="Normal 12 2 8 10 2" xfId="25590"/>
    <cellStyle name="Normal 12 2 8 11" xfId="6218"/>
    <cellStyle name="Normal 12 2 8 11 2" xfId="22380"/>
    <cellStyle name="Normal 12 2 8 12" xfId="19635"/>
    <cellStyle name="Normal 12 2 8 2" xfId="9442"/>
    <cellStyle name="Normal 12 2 8 2 2" xfId="25591"/>
    <cellStyle name="Normal 12 2 8 3" xfId="9443"/>
    <cellStyle name="Normal 12 2 8 3 2" xfId="25592"/>
    <cellStyle name="Normal 12 2 8 4" xfId="9444"/>
    <cellStyle name="Normal 12 2 8 4 2" xfId="25593"/>
    <cellStyle name="Normal 12 2 8 5" xfId="9445"/>
    <cellStyle name="Normal 12 2 8 5 2" xfId="25594"/>
    <cellStyle name="Normal 12 2 8 6" xfId="9446"/>
    <cellStyle name="Normal 12 2 8 6 2" xfId="25595"/>
    <cellStyle name="Normal 12 2 8 7" xfId="9447"/>
    <cellStyle name="Normal 12 2 8 7 2" xfId="25596"/>
    <cellStyle name="Normal 12 2 8 8" xfId="9448"/>
    <cellStyle name="Normal 12 2 8 8 2" xfId="25597"/>
    <cellStyle name="Normal 12 2 8 9" xfId="9449"/>
    <cellStyle name="Normal 12 2 8 9 2" xfId="25598"/>
    <cellStyle name="Normal 12 2 9" xfId="2323"/>
    <cellStyle name="Normal 12 2 9 10" xfId="9450"/>
    <cellStyle name="Normal 12 2 9 10 2" xfId="25599"/>
    <cellStyle name="Normal 12 2 9 11" xfId="6221"/>
    <cellStyle name="Normal 12 2 9 11 2" xfId="22383"/>
    <cellStyle name="Normal 12 2 9 12" xfId="19636"/>
    <cellStyle name="Normal 12 2 9 2" xfId="9451"/>
    <cellStyle name="Normal 12 2 9 2 2" xfId="25600"/>
    <cellStyle name="Normal 12 2 9 3" xfId="9452"/>
    <cellStyle name="Normal 12 2 9 3 2" xfId="25601"/>
    <cellStyle name="Normal 12 2 9 4" xfId="9453"/>
    <cellStyle name="Normal 12 2 9 4 2" xfId="25602"/>
    <cellStyle name="Normal 12 2 9 5" xfId="9454"/>
    <cellStyle name="Normal 12 2 9 5 2" xfId="25603"/>
    <cellStyle name="Normal 12 2 9 6" xfId="9455"/>
    <cellStyle name="Normal 12 2 9 6 2" xfId="25604"/>
    <cellStyle name="Normal 12 2 9 7" xfId="9456"/>
    <cellStyle name="Normal 12 2 9 7 2" xfId="25605"/>
    <cellStyle name="Normal 12 2 9 8" xfId="9457"/>
    <cellStyle name="Normal 12 2 9 8 2" xfId="25606"/>
    <cellStyle name="Normal 12 2 9 9" xfId="9458"/>
    <cellStyle name="Normal 12 2 9 9 2" xfId="25607"/>
    <cellStyle name="Normal 12 3" xfId="114"/>
    <cellStyle name="Normal 12 3 10" xfId="9459"/>
    <cellStyle name="Normal 12 3 10 2" xfId="25608"/>
    <cellStyle name="Normal 12 3 11" xfId="4058"/>
    <cellStyle name="Normal 12 3 11 2" xfId="20221"/>
    <cellStyle name="Normal 12 3 2" xfId="9460"/>
    <cellStyle name="Normal 12 3 2 2" xfId="9461"/>
    <cellStyle name="Normal 12 3 2 2 2" xfId="9462"/>
    <cellStyle name="Normal 12 3 2 2 2 2" xfId="9463"/>
    <cellStyle name="Normal 12 3 2 2 2 2 2" xfId="9464"/>
    <cellStyle name="Normal 12 3 2 2 2 2 2 2" xfId="25613"/>
    <cellStyle name="Normal 12 3 2 2 2 2 3" xfId="25612"/>
    <cellStyle name="Normal 12 3 2 2 2 3" xfId="9465"/>
    <cellStyle name="Normal 12 3 2 2 2 3 2" xfId="25614"/>
    <cellStyle name="Normal 12 3 2 2 2 4" xfId="25611"/>
    <cellStyle name="Normal 12 3 2 2 3" xfId="9466"/>
    <cellStyle name="Normal 12 3 2 2 3 2" xfId="9467"/>
    <cellStyle name="Normal 12 3 2 2 3 2 2" xfId="25616"/>
    <cellStyle name="Normal 12 3 2 2 3 3" xfId="25615"/>
    <cellStyle name="Normal 12 3 2 2 4" xfId="9468"/>
    <cellStyle name="Normal 12 3 2 2 4 2" xfId="9469"/>
    <cellStyle name="Normal 12 3 2 2 4 2 2" xfId="25618"/>
    <cellStyle name="Normal 12 3 2 2 4 3" xfId="25617"/>
    <cellStyle name="Normal 12 3 2 2 5" xfId="9470"/>
    <cellStyle name="Normal 12 3 2 2 5 2" xfId="25619"/>
    <cellStyle name="Normal 12 3 2 2 6" xfId="25610"/>
    <cellStyle name="Normal 12 3 2 3" xfId="9471"/>
    <cellStyle name="Normal 12 3 2 3 2" xfId="9472"/>
    <cellStyle name="Normal 12 3 2 3 2 2" xfId="9473"/>
    <cellStyle name="Normal 12 3 2 3 2 2 2" xfId="9474"/>
    <cellStyle name="Normal 12 3 2 3 2 2 2 2" xfId="25623"/>
    <cellStyle name="Normal 12 3 2 3 2 2 3" xfId="25622"/>
    <cellStyle name="Normal 12 3 2 3 2 3" xfId="9475"/>
    <cellStyle name="Normal 12 3 2 3 2 3 2" xfId="25624"/>
    <cellStyle name="Normal 12 3 2 3 2 4" xfId="25621"/>
    <cellStyle name="Normal 12 3 2 3 3" xfId="9476"/>
    <cellStyle name="Normal 12 3 2 3 3 2" xfId="9477"/>
    <cellStyle name="Normal 12 3 2 3 3 2 2" xfId="25626"/>
    <cellStyle name="Normal 12 3 2 3 3 3" xfId="25625"/>
    <cellStyle name="Normal 12 3 2 3 4" xfId="9478"/>
    <cellStyle name="Normal 12 3 2 3 4 2" xfId="9479"/>
    <cellStyle name="Normal 12 3 2 3 4 2 2" xfId="25628"/>
    <cellStyle name="Normal 12 3 2 3 4 3" xfId="25627"/>
    <cellStyle name="Normal 12 3 2 3 5" xfId="9480"/>
    <cellStyle name="Normal 12 3 2 3 5 2" xfId="25629"/>
    <cellStyle name="Normal 12 3 2 3 6" xfId="25620"/>
    <cellStyle name="Normal 12 3 2 4" xfId="9481"/>
    <cellStyle name="Normal 12 3 2 4 2" xfId="9482"/>
    <cellStyle name="Normal 12 3 2 4 2 2" xfId="9483"/>
    <cellStyle name="Normal 12 3 2 4 2 2 2" xfId="25632"/>
    <cellStyle name="Normal 12 3 2 4 2 3" xfId="25631"/>
    <cellStyle name="Normal 12 3 2 4 3" xfId="9484"/>
    <cellStyle name="Normal 12 3 2 4 3 2" xfId="25633"/>
    <cellStyle name="Normal 12 3 2 4 4" xfId="25630"/>
    <cellStyle name="Normal 12 3 2 5" xfId="9485"/>
    <cellStyle name="Normal 12 3 2 5 2" xfId="9486"/>
    <cellStyle name="Normal 12 3 2 5 2 2" xfId="25635"/>
    <cellStyle name="Normal 12 3 2 5 3" xfId="25634"/>
    <cellStyle name="Normal 12 3 2 6" xfId="9487"/>
    <cellStyle name="Normal 12 3 2 6 2" xfId="9488"/>
    <cellStyle name="Normal 12 3 2 6 2 2" xfId="25637"/>
    <cellStyle name="Normal 12 3 2 6 3" xfId="25636"/>
    <cellStyle name="Normal 12 3 2 7" xfId="9489"/>
    <cellStyle name="Normal 12 3 2 7 2" xfId="25638"/>
    <cellStyle name="Normal 12 3 2 8" xfId="25609"/>
    <cellStyle name="Normal 12 3 3" xfId="9490"/>
    <cellStyle name="Normal 12 3 3 2" xfId="9491"/>
    <cellStyle name="Normal 12 3 3 2 2" xfId="9492"/>
    <cellStyle name="Normal 12 3 3 2 2 2" xfId="9493"/>
    <cellStyle name="Normal 12 3 3 2 2 2 2" xfId="25642"/>
    <cellStyle name="Normal 12 3 3 2 2 3" xfId="25641"/>
    <cellStyle name="Normal 12 3 3 2 3" xfId="9494"/>
    <cellStyle name="Normal 12 3 3 2 3 2" xfId="25643"/>
    <cellStyle name="Normal 12 3 3 2 4" xfId="25640"/>
    <cellStyle name="Normal 12 3 3 3" xfId="9495"/>
    <cellStyle name="Normal 12 3 3 3 2" xfId="9496"/>
    <cellStyle name="Normal 12 3 3 3 2 2" xfId="25645"/>
    <cellStyle name="Normal 12 3 3 3 3" xfId="25644"/>
    <cellStyle name="Normal 12 3 3 4" xfId="9497"/>
    <cellStyle name="Normal 12 3 3 4 2" xfId="9498"/>
    <cellStyle name="Normal 12 3 3 4 2 2" xfId="25647"/>
    <cellStyle name="Normal 12 3 3 4 3" xfId="25646"/>
    <cellStyle name="Normal 12 3 3 5" xfId="9499"/>
    <cellStyle name="Normal 12 3 3 5 2" xfId="25648"/>
    <cellStyle name="Normal 12 3 3 6" xfId="25639"/>
    <cellStyle name="Normal 12 3 4" xfId="9500"/>
    <cellStyle name="Normal 12 3 4 2" xfId="9501"/>
    <cellStyle name="Normal 12 3 4 2 2" xfId="9502"/>
    <cellStyle name="Normal 12 3 4 2 2 2" xfId="9503"/>
    <cellStyle name="Normal 12 3 4 2 2 2 2" xfId="25652"/>
    <cellStyle name="Normal 12 3 4 2 2 3" xfId="25651"/>
    <cellStyle name="Normal 12 3 4 2 3" xfId="9504"/>
    <cellStyle name="Normal 12 3 4 2 3 2" xfId="25653"/>
    <cellStyle name="Normal 12 3 4 2 4" xfId="25650"/>
    <cellStyle name="Normal 12 3 4 3" xfId="9505"/>
    <cellStyle name="Normal 12 3 4 3 2" xfId="9506"/>
    <cellStyle name="Normal 12 3 4 3 2 2" xfId="25655"/>
    <cellStyle name="Normal 12 3 4 3 3" xfId="25654"/>
    <cellStyle name="Normal 12 3 4 4" xfId="9507"/>
    <cellStyle name="Normal 12 3 4 4 2" xfId="9508"/>
    <cellStyle name="Normal 12 3 4 4 2 2" xfId="25657"/>
    <cellStyle name="Normal 12 3 4 4 3" xfId="25656"/>
    <cellStyle name="Normal 12 3 4 5" xfId="9509"/>
    <cellStyle name="Normal 12 3 4 5 2" xfId="25658"/>
    <cellStyle name="Normal 12 3 4 6" xfId="25649"/>
    <cellStyle name="Normal 12 3 5" xfId="9510"/>
    <cellStyle name="Normal 12 3 5 2" xfId="9511"/>
    <cellStyle name="Normal 12 3 5 2 2" xfId="9512"/>
    <cellStyle name="Normal 12 3 5 2 2 2" xfId="9513"/>
    <cellStyle name="Normal 12 3 5 2 2 2 2" xfId="25662"/>
    <cellStyle name="Normal 12 3 5 2 2 3" xfId="25661"/>
    <cellStyle name="Normal 12 3 5 2 3" xfId="9514"/>
    <cellStyle name="Normal 12 3 5 2 3 2" xfId="25663"/>
    <cellStyle name="Normal 12 3 5 2 4" xfId="25660"/>
    <cellStyle name="Normal 12 3 5 3" xfId="9515"/>
    <cellStyle name="Normal 12 3 5 3 2" xfId="9516"/>
    <cellStyle name="Normal 12 3 5 3 2 2" xfId="25665"/>
    <cellStyle name="Normal 12 3 5 3 3" xfId="25664"/>
    <cellStyle name="Normal 12 3 5 4" xfId="9517"/>
    <cellStyle name="Normal 12 3 5 4 2" xfId="9518"/>
    <cellStyle name="Normal 12 3 5 4 2 2" xfId="25667"/>
    <cellStyle name="Normal 12 3 5 4 3" xfId="25666"/>
    <cellStyle name="Normal 12 3 5 5" xfId="9519"/>
    <cellStyle name="Normal 12 3 5 5 2" xfId="25668"/>
    <cellStyle name="Normal 12 3 5 6" xfId="25659"/>
    <cellStyle name="Normal 12 3 6" xfId="9520"/>
    <cellStyle name="Normal 12 3 6 2" xfId="9521"/>
    <cellStyle name="Normal 12 3 6 2 2" xfId="9522"/>
    <cellStyle name="Normal 12 3 6 2 2 2" xfId="9523"/>
    <cellStyle name="Normal 12 3 6 2 2 2 2" xfId="25672"/>
    <cellStyle name="Normal 12 3 6 2 2 3" xfId="25671"/>
    <cellStyle name="Normal 12 3 6 2 3" xfId="9524"/>
    <cellStyle name="Normal 12 3 6 2 3 2" xfId="25673"/>
    <cellStyle name="Normal 12 3 6 2 4" xfId="25670"/>
    <cellStyle name="Normal 12 3 6 3" xfId="9525"/>
    <cellStyle name="Normal 12 3 6 3 2" xfId="9526"/>
    <cellStyle name="Normal 12 3 6 3 2 2" xfId="25675"/>
    <cellStyle name="Normal 12 3 6 3 3" xfId="25674"/>
    <cellStyle name="Normal 12 3 6 4" xfId="9527"/>
    <cellStyle name="Normal 12 3 6 4 2" xfId="9528"/>
    <cellStyle name="Normal 12 3 6 4 2 2" xfId="25677"/>
    <cellStyle name="Normal 12 3 6 4 3" xfId="25676"/>
    <cellStyle name="Normal 12 3 6 5" xfId="9529"/>
    <cellStyle name="Normal 12 3 6 5 2" xfId="25678"/>
    <cellStyle name="Normal 12 3 6 6" xfId="25669"/>
    <cellStyle name="Normal 12 3 7" xfId="9530"/>
    <cellStyle name="Normal 12 3 7 2" xfId="9531"/>
    <cellStyle name="Normal 12 3 7 2 2" xfId="9532"/>
    <cellStyle name="Normal 12 3 7 2 2 2" xfId="25681"/>
    <cellStyle name="Normal 12 3 7 2 3" xfId="25680"/>
    <cellStyle name="Normal 12 3 7 3" xfId="9533"/>
    <cellStyle name="Normal 12 3 7 3 2" xfId="25682"/>
    <cellStyle name="Normal 12 3 7 4" xfId="25679"/>
    <cellStyle name="Normal 12 3 8" xfId="9534"/>
    <cellStyle name="Normal 12 3 8 2" xfId="9535"/>
    <cellStyle name="Normal 12 3 8 2 2" xfId="25684"/>
    <cellStyle name="Normal 12 3 8 3" xfId="25683"/>
    <cellStyle name="Normal 12 3 9" xfId="9536"/>
    <cellStyle name="Normal 12 3 9 2" xfId="9537"/>
    <cellStyle name="Normal 12 3 9 2 2" xfId="25686"/>
    <cellStyle name="Normal 12 3 9 3" xfId="25685"/>
    <cellStyle name="Normal 12 4" xfId="2324"/>
    <cellStyle name="Normal 12 4 2" xfId="6222"/>
    <cellStyle name="Normal 12 4 2 2" xfId="22384"/>
    <cellStyle name="Normal 12 5" xfId="2325"/>
    <cellStyle name="Normal 12 5 2" xfId="9538"/>
    <cellStyle name="Normal 12 5 2 2" xfId="25687"/>
    <cellStyle name="Normal 12 5 3" xfId="6223"/>
    <cellStyle name="Normal 12 5 3 2" xfId="22385"/>
    <cellStyle name="Normal 12 6" xfId="6209"/>
    <cellStyle name="Normal 12 6 2" xfId="22371"/>
    <cellStyle name="Normal 12_2bhk_19122016" xfId="9539"/>
    <cellStyle name="Normal 13" xfId="2326"/>
    <cellStyle name="Normal 13 10" xfId="2330"/>
    <cellStyle name="Normal 13 10 10" xfId="9540"/>
    <cellStyle name="Normal 13 10 10 2" xfId="25688"/>
    <cellStyle name="Normal 13 10 11" xfId="9541"/>
    <cellStyle name="Normal 13 10 11 2" xfId="25689"/>
    <cellStyle name="Normal 13 10 12" xfId="9542"/>
    <cellStyle name="Normal 13 10 12 2" xfId="25690"/>
    <cellStyle name="Normal 13 10 13" xfId="9543"/>
    <cellStyle name="Normal 13 10 13 2" xfId="25691"/>
    <cellStyle name="Normal 13 10 14" xfId="9544"/>
    <cellStyle name="Normal 13 10 14 2" xfId="25692"/>
    <cellStyle name="Normal 13 10 15" xfId="9545"/>
    <cellStyle name="Normal 13 10 15 2" xfId="25693"/>
    <cellStyle name="Normal 13 10 16" xfId="9546"/>
    <cellStyle name="Normal 13 10 16 2" xfId="25694"/>
    <cellStyle name="Normal 13 10 17" xfId="9547"/>
    <cellStyle name="Normal 13 10 17 2" xfId="25695"/>
    <cellStyle name="Normal 13 10 18" xfId="6227"/>
    <cellStyle name="Normal 13 10 18 2" xfId="22389"/>
    <cellStyle name="Normal 13 10 2" xfId="2331"/>
    <cellStyle name="Normal 13 10 2 2" xfId="6228"/>
    <cellStyle name="Normal 13 10 2 2 2" xfId="22390"/>
    <cellStyle name="Normal 13 10 3" xfId="2332"/>
    <cellStyle name="Normal 13 10 3 2" xfId="6229"/>
    <cellStyle name="Normal 13 10 3 2 2" xfId="22391"/>
    <cellStyle name="Normal 13 10 4" xfId="2333"/>
    <cellStyle name="Normal 13 10 4 2" xfId="6230"/>
    <cellStyle name="Normal 13 10 4 2 2" xfId="22392"/>
    <cellStyle name="Normal 13 10 5" xfId="2334"/>
    <cellStyle name="Normal 13 10 5 2" xfId="6231"/>
    <cellStyle name="Normal 13 10 5 2 2" xfId="22393"/>
    <cellStyle name="Normal 13 10 6" xfId="2335"/>
    <cellStyle name="Normal 13 10 6 2" xfId="6232"/>
    <cellStyle name="Normal 13 10 6 2 2" xfId="22394"/>
    <cellStyle name="Normal 13 10 7" xfId="2337"/>
    <cellStyle name="Normal 13 10 7 2" xfId="6234"/>
    <cellStyle name="Normal 13 10 7 2 2" xfId="22396"/>
    <cellStyle name="Normal 13 10 8" xfId="2340"/>
    <cellStyle name="Normal 13 10 8 2" xfId="6237"/>
    <cellStyle name="Normal 13 10 8 2 2" xfId="22399"/>
    <cellStyle name="Normal 13 10 9" xfId="9548"/>
    <cellStyle name="Normal 13 10 9 2" xfId="25696"/>
    <cellStyle name="Normal 13 11" xfId="2343"/>
    <cellStyle name="Normal 13 11 2" xfId="6240"/>
    <cellStyle name="Normal 13 11 2 2" xfId="22402"/>
    <cellStyle name="Normal 13 12" xfId="2346"/>
    <cellStyle name="Normal 13 12 2" xfId="6243"/>
    <cellStyle name="Normal 13 12 2 2" xfId="22405"/>
    <cellStyle name="Normal 13 13" xfId="2348"/>
    <cellStyle name="Normal 13 13 2" xfId="6245"/>
    <cellStyle name="Normal 13 13 2 2" xfId="22407"/>
    <cellStyle name="Normal 13 14" xfId="2351"/>
    <cellStyle name="Normal 13 14 2" xfId="6247"/>
    <cellStyle name="Normal 13 14 2 2" xfId="22409"/>
    <cellStyle name="Normal 13 15" xfId="2353"/>
    <cellStyle name="Normal 13 15 2" xfId="6249"/>
    <cellStyle name="Normal 13 15 2 2" xfId="22411"/>
    <cellStyle name="Normal 13 16" xfId="2354"/>
    <cellStyle name="Normal 13 16 2" xfId="6250"/>
    <cellStyle name="Normal 13 16 2 2" xfId="22412"/>
    <cellStyle name="Normal 13 17" xfId="2355"/>
    <cellStyle name="Normal 13 17 2" xfId="6251"/>
    <cellStyle name="Normal 13 17 2 2" xfId="22413"/>
    <cellStyle name="Normal 13 18" xfId="9549"/>
    <cellStyle name="Normal 13 18 2" xfId="25697"/>
    <cellStyle name="Normal 13 19" xfId="9550"/>
    <cellStyle name="Normal 13 19 2" xfId="25698"/>
    <cellStyle name="Normal 13 2" xfId="2356"/>
    <cellStyle name="Normal 13 2 10" xfId="9551"/>
    <cellStyle name="Normal 13 2 10 2" xfId="25699"/>
    <cellStyle name="Normal 13 2 11" xfId="9552"/>
    <cellStyle name="Normal 13 2 11 2" xfId="25700"/>
    <cellStyle name="Normal 13 2 12" xfId="9553"/>
    <cellStyle name="Normal 13 2 12 2" xfId="25701"/>
    <cellStyle name="Normal 13 2 13" xfId="9554"/>
    <cellStyle name="Normal 13 2 13 2" xfId="25702"/>
    <cellStyle name="Normal 13 2 14" xfId="9555"/>
    <cellStyle name="Normal 13 2 14 2" xfId="25703"/>
    <cellStyle name="Normal 13 2 15" xfId="9556"/>
    <cellStyle name="Normal 13 2 15 2" xfId="25704"/>
    <cellStyle name="Normal 13 2 16" xfId="9557"/>
    <cellStyle name="Normal 13 2 16 2" xfId="25705"/>
    <cellStyle name="Normal 13 2 17" xfId="9558"/>
    <cellStyle name="Normal 13 2 17 2" xfId="25706"/>
    <cellStyle name="Normal 13 2 18" xfId="9559"/>
    <cellStyle name="Normal 13 2 18 2" xfId="25707"/>
    <cellStyle name="Normal 13 2 19" xfId="6252"/>
    <cellStyle name="Normal 13 2 19 2" xfId="22414"/>
    <cellStyle name="Normal 13 2 2" xfId="1808"/>
    <cellStyle name="Normal 13 2 2 10" xfId="9560"/>
    <cellStyle name="Normal 13 2 2 10 2" xfId="25708"/>
    <cellStyle name="Normal 13 2 2 11" xfId="9561"/>
    <cellStyle name="Normal 13 2 2 11 2" xfId="25709"/>
    <cellStyle name="Normal 13 2 2 12" xfId="9562"/>
    <cellStyle name="Normal 13 2 2 12 2" xfId="25710"/>
    <cellStyle name="Normal 13 2 2 13" xfId="9563"/>
    <cellStyle name="Normal 13 2 2 13 2" xfId="25711"/>
    <cellStyle name="Normal 13 2 2 14" xfId="9564"/>
    <cellStyle name="Normal 13 2 2 14 2" xfId="25712"/>
    <cellStyle name="Normal 13 2 2 15" xfId="9565"/>
    <cellStyle name="Normal 13 2 2 15 2" xfId="25713"/>
    <cellStyle name="Normal 13 2 2 16" xfId="9566"/>
    <cellStyle name="Normal 13 2 2 16 2" xfId="25714"/>
    <cellStyle name="Normal 13 2 2 17" xfId="9567"/>
    <cellStyle name="Normal 13 2 2 17 2" xfId="25715"/>
    <cellStyle name="Normal 13 2 2 18" xfId="5718"/>
    <cellStyle name="Normal 13 2 2 18 2" xfId="21880"/>
    <cellStyle name="Normal 13 2 2 2" xfId="1637"/>
    <cellStyle name="Normal 13 2 2 2 2" xfId="5552"/>
    <cellStyle name="Normal 13 2 2 2 2 2" xfId="21714"/>
    <cellStyle name="Normal 13 2 2 3" xfId="2358"/>
    <cellStyle name="Normal 13 2 2 3 2" xfId="6253"/>
    <cellStyle name="Normal 13 2 2 3 2 2" xfId="22415"/>
    <cellStyle name="Normal 13 2 2 4" xfId="1225"/>
    <cellStyle name="Normal 13 2 2 4 2" xfId="5147"/>
    <cellStyle name="Normal 13 2 2 4 2 2" xfId="21309"/>
    <cellStyle name="Normal 13 2 2 5" xfId="732"/>
    <cellStyle name="Normal 13 2 2 5 2" xfId="4657"/>
    <cellStyle name="Normal 13 2 2 5 2 2" xfId="20819"/>
    <cellStyle name="Normal 13 2 2 6" xfId="741"/>
    <cellStyle name="Normal 13 2 2 6 2" xfId="4667"/>
    <cellStyle name="Normal 13 2 2 6 2 2" xfId="20829"/>
    <cellStyle name="Normal 13 2 2 7" xfId="685"/>
    <cellStyle name="Normal 13 2 2 7 2" xfId="4611"/>
    <cellStyle name="Normal 13 2 2 7 2 2" xfId="20773"/>
    <cellStyle name="Normal 13 2 2 8" xfId="691"/>
    <cellStyle name="Normal 13 2 2 8 2" xfId="4617"/>
    <cellStyle name="Normal 13 2 2 8 2 2" xfId="20779"/>
    <cellStyle name="Normal 13 2 2 9" xfId="9568"/>
    <cellStyle name="Normal 13 2 2 9 2" xfId="25716"/>
    <cellStyle name="Normal 13 2 3" xfId="1148"/>
    <cellStyle name="Normal 13 2 3 2" xfId="5070"/>
    <cellStyle name="Normal 13 2 3 2 2" xfId="21232"/>
    <cellStyle name="Normal 13 2 4" xfId="1810"/>
    <cellStyle name="Normal 13 2 4 2" xfId="5720"/>
    <cellStyle name="Normal 13 2 4 2 2" xfId="21882"/>
    <cellStyle name="Normal 13 2 5" xfId="1813"/>
    <cellStyle name="Normal 13 2 5 2" xfId="5723"/>
    <cellStyle name="Normal 13 2 5 2 2" xfId="21885"/>
    <cellStyle name="Normal 13 2 6" xfId="1640"/>
    <cellStyle name="Normal 13 2 6 2" xfId="5555"/>
    <cellStyle name="Normal 13 2 6 2 2" xfId="21717"/>
    <cellStyle name="Normal 13 2 7" xfId="1643"/>
    <cellStyle name="Normal 13 2 7 2" xfId="5557"/>
    <cellStyle name="Normal 13 2 7 2 2" xfId="21719"/>
    <cellStyle name="Normal 13 2 8" xfId="1646"/>
    <cellStyle name="Normal 13 2 8 2" xfId="5560"/>
    <cellStyle name="Normal 13 2 8 2 2" xfId="21722"/>
    <cellStyle name="Normal 13 2 9" xfId="1649"/>
    <cellStyle name="Normal 13 2 9 2" xfId="5563"/>
    <cellStyle name="Normal 13 2 9 2 2" xfId="21725"/>
    <cellStyle name="Normal 13 2_Achampally-Gattubuthkur-Ganga-CRR" xfId="2285"/>
    <cellStyle name="Normal 13 20" xfId="9569"/>
    <cellStyle name="Normal 13 20 2" xfId="25717"/>
    <cellStyle name="Normal 13 21" xfId="9570"/>
    <cellStyle name="Normal 13 21 2" xfId="25718"/>
    <cellStyle name="Normal 13 22" xfId="9571"/>
    <cellStyle name="Normal 13 22 2" xfId="25719"/>
    <cellStyle name="Normal 13 23" xfId="9572"/>
    <cellStyle name="Normal 13 23 2" xfId="25720"/>
    <cellStyle name="Normal 13 24" xfId="9573"/>
    <cellStyle name="Normal 13 24 2" xfId="25721"/>
    <cellStyle name="Normal 13 25" xfId="9574"/>
    <cellStyle name="Normal 13 25 2" xfId="25722"/>
    <cellStyle name="Normal 13 26" xfId="9575"/>
    <cellStyle name="Normal 13 26 2" xfId="25723"/>
    <cellStyle name="Normal 13 27" xfId="6224"/>
    <cellStyle name="Normal 13 27 2" xfId="22386"/>
    <cellStyle name="Normal 13 3" xfId="437"/>
    <cellStyle name="Normal 13 3 10" xfId="9576"/>
    <cellStyle name="Normal 13 3 10 2" xfId="25724"/>
    <cellStyle name="Normal 13 3 11" xfId="9577"/>
    <cellStyle name="Normal 13 3 11 2" xfId="25725"/>
    <cellStyle name="Normal 13 3 12" xfId="9578"/>
    <cellStyle name="Normal 13 3 12 2" xfId="25726"/>
    <cellStyle name="Normal 13 3 13" xfId="9579"/>
    <cellStyle name="Normal 13 3 13 2" xfId="25727"/>
    <cellStyle name="Normal 13 3 14" xfId="9580"/>
    <cellStyle name="Normal 13 3 14 2" xfId="25728"/>
    <cellStyle name="Normal 13 3 15" xfId="9581"/>
    <cellStyle name="Normal 13 3 15 2" xfId="25729"/>
    <cellStyle name="Normal 13 3 16" xfId="9582"/>
    <cellStyle name="Normal 13 3 16 2" xfId="25730"/>
    <cellStyle name="Normal 13 3 17" xfId="9583"/>
    <cellStyle name="Normal 13 3 17 2" xfId="25731"/>
    <cellStyle name="Normal 13 3 18" xfId="4378"/>
    <cellStyle name="Normal 13 3 18 2" xfId="20541"/>
    <cellStyle name="Normal 13 3 2" xfId="2359"/>
    <cellStyle name="Normal 13 3 2 2" xfId="6254"/>
    <cellStyle name="Normal 13 3 2 2 2" xfId="22416"/>
    <cellStyle name="Normal 13 3 3" xfId="2360"/>
    <cellStyle name="Normal 13 3 3 2" xfId="6255"/>
    <cellStyle name="Normal 13 3 3 2 2" xfId="22417"/>
    <cellStyle name="Normal 13 3 4" xfId="2361"/>
    <cellStyle name="Normal 13 3 4 2" xfId="6256"/>
    <cellStyle name="Normal 13 3 4 2 2" xfId="22418"/>
    <cellStyle name="Normal 13 3 5" xfId="2362"/>
    <cellStyle name="Normal 13 3 5 2" xfId="6258"/>
    <cellStyle name="Normal 13 3 5 2 2" xfId="22420"/>
    <cellStyle name="Normal 13 3 6" xfId="2328"/>
    <cellStyle name="Normal 13 3 6 2" xfId="6226"/>
    <cellStyle name="Normal 13 3 6 2 2" xfId="22388"/>
    <cellStyle name="Normal 13 3 7" xfId="2341"/>
    <cellStyle name="Normal 13 3 7 2" xfId="6239"/>
    <cellStyle name="Normal 13 3 7 2 2" xfId="22401"/>
    <cellStyle name="Normal 13 3 8" xfId="2344"/>
    <cellStyle name="Normal 13 3 8 2" xfId="6242"/>
    <cellStyle name="Normal 13 3 8 2 2" xfId="22404"/>
    <cellStyle name="Normal 13 3 9" xfId="9584"/>
    <cellStyle name="Normal 13 3 9 2" xfId="25732"/>
    <cellStyle name="Normal 13 4" xfId="439"/>
    <cellStyle name="Normal 13 4 10" xfId="9585"/>
    <cellStyle name="Normal 13 4 10 2" xfId="25733"/>
    <cellStyle name="Normal 13 4 11" xfId="9586"/>
    <cellStyle name="Normal 13 4 11 2" xfId="25734"/>
    <cellStyle name="Normal 13 4 12" xfId="9587"/>
    <cellStyle name="Normal 13 4 12 2" xfId="25735"/>
    <cellStyle name="Normal 13 4 13" xfId="9588"/>
    <cellStyle name="Normal 13 4 13 2" xfId="25736"/>
    <cellStyle name="Normal 13 4 14" xfId="9589"/>
    <cellStyle name="Normal 13 4 14 2" xfId="25737"/>
    <cellStyle name="Normal 13 4 15" xfId="9590"/>
    <cellStyle name="Normal 13 4 15 2" xfId="25738"/>
    <cellStyle name="Normal 13 4 16" xfId="9591"/>
    <cellStyle name="Normal 13 4 16 2" xfId="25739"/>
    <cellStyle name="Normal 13 4 17" xfId="9592"/>
    <cellStyle name="Normal 13 4 17 2" xfId="25740"/>
    <cellStyle name="Normal 13 4 18" xfId="4380"/>
    <cellStyle name="Normal 13 4 18 2" xfId="20543"/>
    <cellStyle name="Normal 13 4 2" xfId="2364"/>
    <cellStyle name="Normal 13 4 2 2" xfId="6259"/>
    <cellStyle name="Normal 13 4 2 2 2" xfId="22421"/>
    <cellStyle name="Normal 13 4 3" xfId="2365"/>
    <cellStyle name="Normal 13 4 3 2" xfId="6260"/>
    <cellStyle name="Normal 13 4 3 2 2" xfId="22422"/>
    <cellStyle name="Normal 13 4 4" xfId="995"/>
    <cellStyle name="Normal 13 4 4 2" xfId="4916"/>
    <cellStyle name="Normal 13 4 4 2 2" xfId="21078"/>
    <cellStyle name="Normal 13 4 5" xfId="838"/>
    <cellStyle name="Normal 13 4 5 2" xfId="4763"/>
    <cellStyle name="Normal 13 4 5 2 2" xfId="20925"/>
    <cellStyle name="Normal 13 4 6" xfId="116"/>
    <cellStyle name="Normal 13 4 6 2" xfId="4063"/>
    <cellStyle name="Normal 13 4 6 2 2" xfId="20226"/>
    <cellStyle name="Normal 13 4 7" xfId="841"/>
    <cellStyle name="Normal 13 4 7 2" xfId="4766"/>
    <cellStyle name="Normal 13 4 7 2 2" xfId="20928"/>
    <cellStyle name="Normal 13 4 8" xfId="844"/>
    <cellStyle name="Normal 13 4 8 2" xfId="4769"/>
    <cellStyle name="Normal 13 4 8 2 2" xfId="20931"/>
    <cellStyle name="Normal 13 4 9" xfId="9593"/>
    <cellStyle name="Normal 13 4 9 2" xfId="25741"/>
    <cellStyle name="Normal 13 5" xfId="2366"/>
    <cellStyle name="Normal 13 5 10" xfId="9594"/>
    <cellStyle name="Normal 13 5 10 2" xfId="25742"/>
    <cellStyle name="Normal 13 5 11" xfId="9595"/>
    <cellStyle name="Normal 13 5 11 2" xfId="25743"/>
    <cellStyle name="Normal 13 5 12" xfId="9596"/>
    <cellStyle name="Normal 13 5 12 2" xfId="25744"/>
    <cellStyle name="Normal 13 5 13" xfId="9597"/>
    <cellStyle name="Normal 13 5 13 2" xfId="25745"/>
    <cellStyle name="Normal 13 5 14" xfId="9598"/>
    <cellStyle name="Normal 13 5 14 2" xfId="25746"/>
    <cellStyle name="Normal 13 5 15" xfId="9599"/>
    <cellStyle name="Normal 13 5 15 2" xfId="25747"/>
    <cellStyle name="Normal 13 5 16" xfId="9600"/>
    <cellStyle name="Normal 13 5 16 2" xfId="25748"/>
    <cellStyle name="Normal 13 5 17" xfId="9601"/>
    <cellStyle name="Normal 13 5 17 2" xfId="25749"/>
    <cellStyle name="Normal 13 5 18" xfId="6261"/>
    <cellStyle name="Normal 13 5 18 2" xfId="22423"/>
    <cellStyle name="Normal 13 5 2" xfId="2367"/>
    <cellStyle name="Normal 13 5 2 2" xfId="6262"/>
    <cellStyle name="Normal 13 5 2 2 2" xfId="22424"/>
    <cellStyle name="Normal 13 5 3" xfId="2368"/>
    <cellStyle name="Normal 13 5 3 2" xfId="6263"/>
    <cellStyle name="Normal 13 5 3 2 2" xfId="22425"/>
    <cellStyle name="Normal 13 5 4" xfId="1172"/>
    <cellStyle name="Normal 13 5 4 2" xfId="5093"/>
    <cellStyle name="Normal 13 5 4 2 2" xfId="21255"/>
    <cellStyle name="Normal 13 5 5" xfId="852"/>
    <cellStyle name="Normal 13 5 5 2" xfId="4776"/>
    <cellStyle name="Normal 13 5 5 2 2" xfId="20938"/>
    <cellStyle name="Normal 13 5 6" xfId="856"/>
    <cellStyle name="Normal 13 5 6 2" xfId="4780"/>
    <cellStyle name="Normal 13 5 6 2 2" xfId="20942"/>
    <cellStyle name="Normal 13 5 7" xfId="860"/>
    <cellStyle name="Normal 13 5 7 2" xfId="4784"/>
    <cellStyle name="Normal 13 5 7 2 2" xfId="20946"/>
    <cellStyle name="Normal 13 5 8" xfId="864"/>
    <cellStyle name="Normal 13 5 8 2" xfId="4787"/>
    <cellStyle name="Normal 13 5 8 2 2" xfId="20949"/>
    <cellStyle name="Normal 13 5 9" xfId="9602"/>
    <cellStyle name="Normal 13 5 9 2" xfId="25750"/>
    <cellStyle name="Normal 13 6" xfId="2369"/>
    <cellStyle name="Normal 13 6 10" xfId="9603"/>
    <cellStyle name="Normal 13 6 10 2" xfId="25751"/>
    <cellStyle name="Normal 13 6 11" xfId="9604"/>
    <cellStyle name="Normal 13 6 11 2" xfId="25752"/>
    <cellStyle name="Normal 13 6 12" xfId="9605"/>
    <cellStyle name="Normal 13 6 12 2" xfId="25753"/>
    <cellStyle name="Normal 13 6 13" xfId="9606"/>
    <cellStyle name="Normal 13 6 13 2" xfId="25754"/>
    <cellStyle name="Normal 13 6 14" xfId="9607"/>
    <cellStyle name="Normal 13 6 14 2" xfId="25755"/>
    <cellStyle name="Normal 13 6 15" xfId="9608"/>
    <cellStyle name="Normal 13 6 15 2" xfId="25756"/>
    <cellStyle name="Normal 13 6 16" xfId="9609"/>
    <cellStyle name="Normal 13 6 16 2" xfId="25757"/>
    <cellStyle name="Normal 13 6 17" xfId="9610"/>
    <cellStyle name="Normal 13 6 17 2" xfId="25758"/>
    <cellStyle name="Normal 13 6 18" xfId="6264"/>
    <cellStyle name="Normal 13 6 18 2" xfId="22426"/>
    <cellStyle name="Normal 13 6 2" xfId="2336"/>
    <cellStyle name="Normal 13 6 2 2" xfId="6233"/>
    <cellStyle name="Normal 13 6 2 2 2" xfId="22395"/>
    <cellStyle name="Normal 13 6 3" xfId="2339"/>
    <cellStyle name="Normal 13 6 3 2" xfId="6235"/>
    <cellStyle name="Normal 13 6 3 2 2" xfId="22397"/>
    <cellStyle name="Normal 13 6 4" xfId="1254"/>
    <cellStyle name="Normal 13 6 4 2" xfId="5174"/>
    <cellStyle name="Normal 13 6 4 2 2" xfId="21336"/>
    <cellStyle name="Normal 13 6 5" xfId="878"/>
    <cellStyle name="Normal 13 6 5 2" xfId="4800"/>
    <cellStyle name="Normal 13 6 5 2 2" xfId="20962"/>
    <cellStyle name="Normal 13 6 6" xfId="1273"/>
    <cellStyle name="Normal 13 6 6 2" xfId="5193"/>
    <cellStyle name="Normal 13 6 6 2 2" xfId="21355"/>
    <cellStyle name="Normal 13 6 7" xfId="651"/>
    <cellStyle name="Normal 13 6 7 2" xfId="4583"/>
    <cellStyle name="Normal 13 6 7 2 2" xfId="20745"/>
    <cellStyle name="Normal 13 6 8" xfId="1275"/>
    <cellStyle name="Normal 13 6 8 2" xfId="5195"/>
    <cellStyle name="Normal 13 6 8 2 2" xfId="21357"/>
    <cellStyle name="Normal 13 6 9" xfId="9611"/>
    <cellStyle name="Normal 13 6 9 2" xfId="25759"/>
    <cellStyle name="Normal 13 7" xfId="546"/>
    <cellStyle name="Normal 13 7 10" xfId="9612"/>
    <cellStyle name="Normal 13 7 10 2" xfId="25760"/>
    <cellStyle name="Normal 13 7 11" xfId="9613"/>
    <cellStyle name="Normal 13 7 11 2" xfId="25761"/>
    <cellStyle name="Normal 13 7 12" xfId="9614"/>
    <cellStyle name="Normal 13 7 12 2" xfId="25762"/>
    <cellStyle name="Normal 13 7 13" xfId="9615"/>
    <cellStyle name="Normal 13 7 13 2" xfId="25763"/>
    <cellStyle name="Normal 13 7 14" xfId="9616"/>
    <cellStyle name="Normal 13 7 14 2" xfId="25764"/>
    <cellStyle name="Normal 13 7 15" xfId="9617"/>
    <cellStyle name="Normal 13 7 15 2" xfId="25765"/>
    <cellStyle name="Normal 13 7 16" xfId="9618"/>
    <cellStyle name="Normal 13 7 16 2" xfId="25766"/>
    <cellStyle name="Normal 13 7 17" xfId="9619"/>
    <cellStyle name="Normal 13 7 17 2" xfId="25767"/>
    <cellStyle name="Normal 13 7 18" xfId="4478"/>
    <cellStyle name="Normal 13 7 18 2" xfId="20641"/>
    <cellStyle name="Normal 13 7 2" xfId="2370"/>
    <cellStyle name="Normal 13 7 2 2" xfId="6265"/>
    <cellStyle name="Normal 13 7 2 2 2" xfId="22427"/>
    <cellStyle name="Normal 13 7 3" xfId="2371"/>
    <cellStyle name="Normal 13 7 3 2" xfId="6266"/>
    <cellStyle name="Normal 13 7 3 2 2" xfId="22428"/>
    <cellStyle name="Normal 13 7 4" xfId="1295"/>
    <cellStyle name="Normal 13 7 4 2" xfId="5215"/>
    <cellStyle name="Normal 13 7 4 2 2" xfId="21377"/>
    <cellStyle name="Normal 13 7 5" xfId="1302"/>
    <cellStyle name="Normal 13 7 5 2" xfId="5222"/>
    <cellStyle name="Normal 13 7 5 2 2" xfId="21384"/>
    <cellStyle name="Normal 13 7 6" xfId="1324"/>
    <cellStyle name="Normal 13 7 6 2" xfId="5244"/>
    <cellStyle name="Normal 13 7 6 2 2" xfId="21406"/>
    <cellStyle name="Normal 13 7 7" xfId="1345"/>
    <cellStyle name="Normal 13 7 7 2" xfId="5264"/>
    <cellStyle name="Normal 13 7 7 2 2" xfId="21426"/>
    <cellStyle name="Normal 13 7 8" xfId="1367"/>
    <cellStyle name="Normal 13 7 8 2" xfId="5285"/>
    <cellStyle name="Normal 13 7 8 2 2" xfId="21447"/>
    <cellStyle name="Normal 13 7 9" xfId="9620"/>
    <cellStyle name="Normal 13 7 9 2" xfId="25768"/>
    <cellStyle name="Normal 13 8" xfId="553"/>
    <cellStyle name="Normal 13 8 10" xfId="9621"/>
    <cellStyle name="Normal 13 8 10 2" xfId="25769"/>
    <cellStyle name="Normal 13 8 11" xfId="9622"/>
    <cellStyle name="Normal 13 8 11 2" xfId="25770"/>
    <cellStyle name="Normal 13 8 12" xfId="9623"/>
    <cellStyle name="Normal 13 8 12 2" xfId="25771"/>
    <cellStyle name="Normal 13 8 13" xfId="9624"/>
    <cellStyle name="Normal 13 8 13 2" xfId="25772"/>
    <cellStyle name="Normal 13 8 14" xfId="9625"/>
    <cellStyle name="Normal 13 8 14 2" xfId="25773"/>
    <cellStyle name="Normal 13 8 15" xfId="9626"/>
    <cellStyle name="Normal 13 8 15 2" xfId="25774"/>
    <cellStyle name="Normal 13 8 16" xfId="9627"/>
    <cellStyle name="Normal 13 8 16 2" xfId="25775"/>
    <cellStyle name="Normal 13 8 17" xfId="9628"/>
    <cellStyle name="Normal 13 8 17 2" xfId="25776"/>
    <cellStyle name="Normal 13 8 18" xfId="4485"/>
    <cellStyle name="Normal 13 8 18 2" xfId="20648"/>
    <cellStyle name="Normal 13 8 2" xfId="2372"/>
    <cellStyle name="Normal 13 8 2 2" xfId="6267"/>
    <cellStyle name="Normal 13 8 2 2 2" xfId="22429"/>
    <cellStyle name="Normal 13 8 3" xfId="2373"/>
    <cellStyle name="Normal 13 8 3 2" xfId="6268"/>
    <cellStyle name="Normal 13 8 3 2 2" xfId="22430"/>
    <cellStyle name="Normal 13 8 4" xfId="1426"/>
    <cellStyle name="Normal 13 8 4 2" xfId="5344"/>
    <cellStyle name="Normal 13 8 4 2 2" xfId="21506"/>
    <cellStyle name="Normal 13 8 5" xfId="1435"/>
    <cellStyle name="Normal 13 8 5 2" xfId="5353"/>
    <cellStyle name="Normal 13 8 5 2 2" xfId="21515"/>
    <cellStyle name="Normal 13 8 6" xfId="1450"/>
    <cellStyle name="Normal 13 8 6 2" xfId="5366"/>
    <cellStyle name="Normal 13 8 6 2 2" xfId="21528"/>
    <cellStyle name="Normal 13 8 7" xfId="665"/>
    <cellStyle name="Normal 13 8 7 2" xfId="4596"/>
    <cellStyle name="Normal 13 8 7 2 2" xfId="20758"/>
    <cellStyle name="Normal 13 8 8" xfId="1481"/>
    <cellStyle name="Normal 13 8 8 2" xfId="5396"/>
    <cellStyle name="Normal 13 8 8 2 2" xfId="21558"/>
    <cellStyle name="Normal 13 8 9" xfId="9629"/>
    <cellStyle name="Normal 13 8 9 2" xfId="25777"/>
    <cellStyle name="Normal 13 9" xfId="2374"/>
    <cellStyle name="Normal 13 9 10" xfId="9630"/>
    <cellStyle name="Normal 13 9 10 2" xfId="25778"/>
    <cellStyle name="Normal 13 9 11" xfId="9631"/>
    <cellStyle name="Normal 13 9 11 2" xfId="25779"/>
    <cellStyle name="Normal 13 9 12" xfId="9632"/>
    <cellStyle name="Normal 13 9 12 2" xfId="25780"/>
    <cellStyle name="Normal 13 9 13" xfId="9633"/>
    <cellStyle name="Normal 13 9 13 2" xfId="25781"/>
    <cellStyle name="Normal 13 9 14" xfId="9634"/>
    <cellStyle name="Normal 13 9 14 2" xfId="25782"/>
    <cellStyle name="Normal 13 9 15" xfId="9635"/>
    <cellStyle name="Normal 13 9 15 2" xfId="25783"/>
    <cellStyle name="Normal 13 9 16" xfId="9636"/>
    <cellStyle name="Normal 13 9 16 2" xfId="25784"/>
    <cellStyle name="Normal 13 9 17" xfId="9637"/>
    <cellStyle name="Normal 13 9 17 2" xfId="25785"/>
    <cellStyle name="Normal 13 9 18" xfId="6269"/>
    <cellStyle name="Normal 13 9 18 2" xfId="22431"/>
    <cellStyle name="Normal 13 9 2" xfId="2146"/>
    <cellStyle name="Normal 13 9 2 2" xfId="6047"/>
    <cellStyle name="Normal 13 9 2 2 2" xfId="22209"/>
    <cellStyle name="Normal 13 9 3" xfId="2154"/>
    <cellStyle name="Normal 13 9 3 2" xfId="6055"/>
    <cellStyle name="Normal 13 9 3 2 2" xfId="22217"/>
    <cellStyle name="Normal 13 9 4" xfId="1466"/>
    <cellStyle name="Normal 13 9 4 2" xfId="5384"/>
    <cellStyle name="Normal 13 9 4 2 2" xfId="21546"/>
    <cellStyle name="Normal 13 9 5" xfId="1470"/>
    <cellStyle name="Normal 13 9 5 2" xfId="5388"/>
    <cellStyle name="Normal 13 9 5 2 2" xfId="21550"/>
    <cellStyle name="Normal 13 9 6" xfId="1475"/>
    <cellStyle name="Normal 13 9 6 2" xfId="5393"/>
    <cellStyle name="Normal 13 9 6 2 2" xfId="21555"/>
    <cellStyle name="Normal 13 9 7" xfId="1545"/>
    <cellStyle name="Normal 13 9 7 2" xfId="5463"/>
    <cellStyle name="Normal 13 9 7 2 2" xfId="21625"/>
    <cellStyle name="Normal 13 9 8" xfId="1548"/>
    <cellStyle name="Normal 13 9 8 2" xfId="5465"/>
    <cellStyle name="Normal 13 9 8 2 2" xfId="21627"/>
    <cellStyle name="Normal 13 9 9" xfId="9638"/>
    <cellStyle name="Normal 13 9 9 2" xfId="25786"/>
    <cellStyle name="Normal 13_Achampally-Gattubuthkur-Ganga-CRR" xfId="2376"/>
    <cellStyle name="Normal 14" xfId="2378"/>
    <cellStyle name="Normal 14 10" xfId="1447"/>
    <cellStyle name="Normal 14 10 10" xfId="9639"/>
    <cellStyle name="Normal 14 10 10 2" xfId="25787"/>
    <cellStyle name="Normal 14 10 11" xfId="9640"/>
    <cellStyle name="Normal 14 10 11 2" xfId="25788"/>
    <cellStyle name="Normal 14 10 12" xfId="9641"/>
    <cellStyle name="Normal 14 10 12 2" xfId="25789"/>
    <cellStyle name="Normal 14 10 13" xfId="9642"/>
    <cellStyle name="Normal 14 10 13 2" xfId="25790"/>
    <cellStyle name="Normal 14 10 14" xfId="9643"/>
    <cellStyle name="Normal 14 10 14 2" xfId="25791"/>
    <cellStyle name="Normal 14 10 15" xfId="9644"/>
    <cellStyle name="Normal 14 10 15 2" xfId="25792"/>
    <cellStyle name="Normal 14 10 16" xfId="9645"/>
    <cellStyle name="Normal 14 10 16 2" xfId="25793"/>
    <cellStyle name="Normal 14 10 17" xfId="9646"/>
    <cellStyle name="Normal 14 10 17 2" xfId="25794"/>
    <cellStyle name="Normal 14 10 18" xfId="5368"/>
    <cellStyle name="Normal 14 10 18 2" xfId="21530"/>
    <cellStyle name="Normal 14 10 2" xfId="1452"/>
    <cellStyle name="Normal 14 10 2 2" xfId="5371"/>
    <cellStyle name="Normal 14 10 2 2 2" xfId="21533"/>
    <cellStyle name="Normal 14 10 3" xfId="1456"/>
    <cellStyle name="Normal 14 10 3 2" xfId="5374"/>
    <cellStyle name="Normal 14 10 3 2 2" xfId="21536"/>
    <cellStyle name="Normal 14 10 4" xfId="1458"/>
    <cellStyle name="Normal 14 10 4 2" xfId="5377"/>
    <cellStyle name="Normal 14 10 4 2 2" xfId="21539"/>
    <cellStyle name="Normal 14 10 5" xfId="1461"/>
    <cellStyle name="Normal 14 10 5 2" xfId="5380"/>
    <cellStyle name="Normal 14 10 5 2 2" xfId="21542"/>
    <cellStyle name="Normal 14 10 6" xfId="1423"/>
    <cellStyle name="Normal 14 10 6 2" xfId="5342"/>
    <cellStyle name="Normal 14 10 6 2 2" xfId="21504"/>
    <cellStyle name="Normal 14 10 7" xfId="1432"/>
    <cellStyle name="Normal 14 10 7 2" xfId="5351"/>
    <cellStyle name="Normal 14 10 7 2 2" xfId="21513"/>
    <cellStyle name="Normal 14 10 8" xfId="1444"/>
    <cellStyle name="Normal 14 10 8 2" xfId="5363"/>
    <cellStyle name="Normal 14 10 8 2 2" xfId="21525"/>
    <cellStyle name="Normal 14 10 9" xfId="9647"/>
    <cellStyle name="Normal 14 10 9 2" xfId="25795"/>
    <cellStyle name="Normal 14 11" xfId="662"/>
    <cellStyle name="Normal 14 11 2" xfId="4594"/>
    <cellStyle name="Normal 14 11 2 2" xfId="20756"/>
    <cellStyle name="Normal 14 12" xfId="1479"/>
    <cellStyle name="Normal 14 12 2" xfId="5398"/>
    <cellStyle name="Normal 14 12 2 2" xfId="21560"/>
    <cellStyle name="Normal 14 13" xfId="1497"/>
    <cellStyle name="Normal 14 13 2" xfId="5415"/>
    <cellStyle name="Normal 14 13 2 2" xfId="21577"/>
    <cellStyle name="Normal 14 14" xfId="1518"/>
    <cellStyle name="Normal 14 14 2" xfId="5436"/>
    <cellStyle name="Normal 14 14 2 2" xfId="21598"/>
    <cellStyle name="Normal 14 15" xfId="1536"/>
    <cellStyle name="Normal 14 15 2" xfId="5454"/>
    <cellStyle name="Normal 14 15 2 2" xfId="21616"/>
    <cellStyle name="Normal 14 16" xfId="2380"/>
    <cellStyle name="Normal 14 16 2" xfId="6273"/>
    <cellStyle name="Normal 14 16 2 2" xfId="22435"/>
    <cellStyle name="Normal 14 17" xfId="2382"/>
    <cellStyle name="Normal 14 17 2" xfId="6275"/>
    <cellStyle name="Normal 14 17 2 2" xfId="22437"/>
    <cellStyle name="Normal 14 18" xfId="9648"/>
    <cellStyle name="Normal 14 18 2" xfId="25796"/>
    <cellStyle name="Normal 14 19" xfId="9649"/>
    <cellStyle name="Normal 14 19 2" xfId="25797"/>
    <cellStyle name="Normal 14 2" xfId="2384"/>
    <cellStyle name="Normal 14 2 10" xfId="9650"/>
    <cellStyle name="Normal 14 2 10 2" xfId="25798"/>
    <cellStyle name="Normal 14 2 11" xfId="9651"/>
    <cellStyle name="Normal 14 2 11 2" xfId="25799"/>
    <cellStyle name="Normal 14 2 12" xfId="9652"/>
    <cellStyle name="Normal 14 2 12 2" xfId="25800"/>
    <cellStyle name="Normal 14 2 13" xfId="9653"/>
    <cellStyle name="Normal 14 2 13 2" xfId="25801"/>
    <cellStyle name="Normal 14 2 14" xfId="9654"/>
    <cellStyle name="Normal 14 2 14 2" xfId="25802"/>
    <cellStyle name="Normal 14 2 15" xfId="9655"/>
    <cellStyle name="Normal 14 2 15 2" xfId="25803"/>
    <cellStyle name="Normal 14 2 16" xfId="9656"/>
    <cellStyle name="Normal 14 2 16 2" xfId="25804"/>
    <cellStyle name="Normal 14 2 17" xfId="9657"/>
    <cellStyle name="Normal 14 2 17 2" xfId="25805"/>
    <cellStyle name="Normal 14 2 18" xfId="6278"/>
    <cellStyle name="Normal 14 2 18 2" xfId="22440"/>
    <cellStyle name="Normal 14 2 19" xfId="19639"/>
    <cellStyle name="Normal 14 2 2" xfId="64"/>
    <cellStyle name="Normal 14 2 2 10" xfId="9658"/>
    <cellStyle name="Normal 14 2 2 10 2" xfId="25806"/>
    <cellStyle name="Normal 14 2 2 11" xfId="9659"/>
    <cellStyle name="Normal 14 2 2 11 2" xfId="25807"/>
    <cellStyle name="Normal 14 2 2 12" xfId="9660"/>
    <cellStyle name="Normal 14 2 2 12 2" xfId="25808"/>
    <cellStyle name="Normal 14 2 2 13" xfId="4018"/>
    <cellStyle name="Normal 14 2 2 13 2" xfId="20181"/>
    <cellStyle name="Normal 14 2 2 14" xfId="18979"/>
    <cellStyle name="Normal 14 2 2 2" xfId="2386"/>
    <cellStyle name="Normal 14 2 2 2 10" xfId="9661"/>
    <cellStyle name="Normal 14 2 2 2 10 2" xfId="25809"/>
    <cellStyle name="Normal 14 2 2 2 11" xfId="6279"/>
    <cellStyle name="Normal 14 2 2 2 11 2" xfId="22441"/>
    <cellStyle name="Normal 14 2 2 2 12" xfId="19640"/>
    <cellStyle name="Normal 14 2 2 2 2" xfId="9662"/>
    <cellStyle name="Normal 14 2 2 2 2 2" xfId="25810"/>
    <cellStyle name="Normal 14 2 2 2 3" xfId="9663"/>
    <cellStyle name="Normal 14 2 2 2 3 2" xfId="25811"/>
    <cellStyle name="Normal 14 2 2 2 4" xfId="9664"/>
    <cellStyle name="Normal 14 2 2 2 4 2" xfId="25812"/>
    <cellStyle name="Normal 14 2 2 2 5" xfId="9665"/>
    <cellStyle name="Normal 14 2 2 2 5 2" xfId="25813"/>
    <cellStyle name="Normal 14 2 2 2 6" xfId="9666"/>
    <cellStyle name="Normal 14 2 2 2 6 2" xfId="25814"/>
    <cellStyle name="Normal 14 2 2 2 7" xfId="9667"/>
    <cellStyle name="Normal 14 2 2 2 7 2" xfId="25815"/>
    <cellStyle name="Normal 14 2 2 2 8" xfId="9668"/>
    <cellStyle name="Normal 14 2 2 2 8 2" xfId="25816"/>
    <cellStyle name="Normal 14 2 2 2 9" xfId="9669"/>
    <cellStyle name="Normal 14 2 2 2 9 2" xfId="25817"/>
    <cellStyle name="Normal 14 2 2 3" xfId="2388"/>
    <cellStyle name="Normal 14 2 2 3 10" xfId="9670"/>
    <cellStyle name="Normal 14 2 2 3 10 2" xfId="25818"/>
    <cellStyle name="Normal 14 2 2 3 11" xfId="6281"/>
    <cellStyle name="Normal 14 2 2 3 11 2" xfId="22443"/>
    <cellStyle name="Normal 14 2 2 3 12" xfId="19641"/>
    <cellStyle name="Normal 14 2 2 3 2" xfId="9671"/>
    <cellStyle name="Normal 14 2 2 3 2 2" xfId="25819"/>
    <cellStyle name="Normal 14 2 2 3 3" xfId="9672"/>
    <cellStyle name="Normal 14 2 2 3 3 2" xfId="25820"/>
    <cellStyle name="Normal 14 2 2 3 4" xfId="9673"/>
    <cellStyle name="Normal 14 2 2 3 4 2" xfId="25821"/>
    <cellStyle name="Normal 14 2 2 3 5" xfId="9674"/>
    <cellStyle name="Normal 14 2 2 3 5 2" xfId="25822"/>
    <cellStyle name="Normal 14 2 2 3 6" xfId="9675"/>
    <cellStyle name="Normal 14 2 2 3 6 2" xfId="25823"/>
    <cellStyle name="Normal 14 2 2 3 7" xfId="9676"/>
    <cellStyle name="Normal 14 2 2 3 7 2" xfId="25824"/>
    <cellStyle name="Normal 14 2 2 3 8" xfId="9677"/>
    <cellStyle name="Normal 14 2 2 3 8 2" xfId="25825"/>
    <cellStyle name="Normal 14 2 2 3 9" xfId="9678"/>
    <cellStyle name="Normal 14 2 2 3 9 2" xfId="25826"/>
    <cellStyle name="Normal 14 2 2 4" xfId="9679"/>
    <cellStyle name="Normal 14 2 2 4 2" xfId="25827"/>
    <cellStyle name="Normal 14 2 2 5" xfId="9680"/>
    <cellStyle name="Normal 14 2 2 5 2" xfId="25828"/>
    <cellStyle name="Normal 14 2 2 6" xfId="9681"/>
    <cellStyle name="Normal 14 2 2 6 2" xfId="25829"/>
    <cellStyle name="Normal 14 2 2 7" xfId="9682"/>
    <cellStyle name="Normal 14 2 2 7 2" xfId="25830"/>
    <cellStyle name="Normal 14 2 2 8" xfId="9683"/>
    <cellStyle name="Normal 14 2 2 8 2" xfId="25831"/>
    <cellStyle name="Normal 14 2 2 9" xfId="9684"/>
    <cellStyle name="Normal 14 2 2 9 2" xfId="25832"/>
    <cellStyle name="Normal 14 2 3" xfId="1381"/>
    <cellStyle name="Normal 14 2 3 10" xfId="9685"/>
    <cellStyle name="Normal 14 2 3 10 2" xfId="25833"/>
    <cellStyle name="Normal 14 2 3 11" xfId="9686"/>
    <cellStyle name="Normal 14 2 3 11 2" xfId="25834"/>
    <cellStyle name="Normal 14 2 3 12" xfId="9687"/>
    <cellStyle name="Normal 14 2 3 12 2" xfId="25835"/>
    <cellStyle name="Normal 14 2 3 13" xfId="5301"/>
    <cellStyle name="Normal 14 2 3 13 2" xfId="21463"/>
    <cellStyle name="Normal 14 2 3 14" xfId="19453"/>
    <cellStyle name="Normal 14 2 3 2" xfId="2389"/>
    <cellStyle name="Normal 14 2 3 2 10" xfId="9688"/>
    <cellStyle name="Normal 14 2 3 2 10 2" xfId="25836"/>
    <cellStyle name="Normal 14 2 3 2 11" xfId="6283"/>
    <cellStyle name="Normal 14 2 3 2 11 2" xfId="22445"/>
    <cellStyle name="Normal 14 2 3 2 12" xfId="19642"/>
    <cellStyle name="Normal 14 2 3 2 2" xfId="9689"/>
    <cellStyle name="Normal 14 2 3 2 2 2" xfId="25837"/>
    <cellStyle name="Normal 14 2 3 2 3" xfId="9690"/>
    <cellStyle name="Normal 14 2 3 2 3 2" xfId="25838"/>
    <cellStyle name="Normal 14 2 3 2 4" xfId="9691"/>
    <cellStyle name="Normal 14 2 3 2 4 2" xfId="25839"/>
    <cellStyle name="Normal 14 2 3 2 5" xfId="9692"/>
    <cellStyle name="Normal 14 2 3 2 5 2" xfId="25840"/>
    <cellStyle name="Normal 14 2 3 2 6" xfId="9693"/>
    <cellStyle name="Normal 14 2 3 2 6 2" xfId="25841"/>
    <cellStyle name="Normal 14 2 3 2 7" xfId="9694"/>
    <cellStyle name="Normal 14 2 3 2 7 2" xfId="25842"/>
    <cellStyle name="Normal 14 2 3 2 8" xfId="9695"/>
    <cellStyle name="Normal 14 2 3 2 8 2" xfId="25843"/>
    <cellStyle name="Normal 14 2 3 2 9" xfId="9696"/>
    <cellStyle name="Normal 14 2 3 2 9 2" xfId="25844"/>
    <cellStyle name="Normal 14 2 3 3" xfId="2390"/>
    <cellStyle name="Normal 14 2 3 3 10" xfId="9697"/>
    <cellStyle name="Normal 14 2 3 3 10 2" xfId="25845"/>
    <cellStyle name="Normal 14 2 3 3 11" xfId="6284"/>
    <cellStyle name="Normal 14 2 3 3 11 2" xfId="22446"/>
    <cellStyle name="Normal 14 2 3 3 12" xfId="19643"/>
    <cellStyle name="Normal 14 2 3 3 2" xfId="9698"/>
    <cellStyle name="Normal 14 2 3 3 2 2" xfId="25846"/>
    <cellStyle name="Normal 14 2 3 3 3" xfId="9699"/>
    <cellStyle name="Normal 14 2 3 3 3 2" xfId="25847"/>
    <cellStyle name="Normal 14 2 3 3 4" xfId="9700"/>
    <cellStyle name="Normal 14 2 3 3 4 2" xfId="25848"/>
    <cellStyle name="Normal 14 2 3 3 5" xfId="9701"/>
    <cellStyle name="Normal 14 2 3 3 5 2" xfId="25849"/>
    <cellStyle name="Normal 14 2 3 3 6" xfId="9702"/>
    <cellStyle name="Normal 14 2 3 3 6 2" xfId="25850"/>
    <cellStyle name="Normal 14 2 3 3 7" xfId="9703"/>
    <cellStyle name="Normal 14 2 3 3 7 2" xfId="25851"/>
    <cellStyle name="Normal 14 2 3 3 8" xfId="9704"/>
    <cellStyle name="Normal 14 2 3 3 8 2" xfId="25852"/>
    <cellStyle name="Normal 14 2 3 3 9" xfId="9705"/>
    <cellStyle name="Normal 14 2 3 3 9 2" xfId="25853"/>
    <cellStyle name="Normal 14 2 3 4" xfId="9706"/>
    <cellStyle name="Normal 14 2 3 4 2" xfId="25854"/>
    <cellStyle name="Normal 14 2 3 5" xfId="9707"/>
    <cellStyle name="Normal 14 2 3 5 2" xfId="25855"/>
    <cellStyle name="Normal 14 2 3 6" xfId="9708"/>
    <cellStyle name="Normal 14 2 3 6 2" xfId="25856"/>
    <cellStyle name="Normal 14 2 3 7" xfId="9709"/>
    <cellStyle name="Normal 14 2 3 7 2" xfId="25857"/>
    <cellStyle name="Normal 14 2 3 8" xfId="9710"/>
    <cellStyle name="Normal 14 2 3 8 2" xfId="25858"/>
    <cellStyle name="Normal 14 2 3 9" xfId="9711"/>
    <cellStyle name="Normal 14 2 3 9 2" xfId="25859"/>
    <cellStyle name="Normal 14 2 4" xfId="252"/>
    <cellStyle name="Normal 14 2 4 10" xfId="9712"/>
    <cellStyle name="Normal 14 2 4 10 2" xfId="25860"/>
    <cellStyle name="Normal 14 2 4 11" xfId="9713"/>
    <cellStyle name="Normal 14 2 4 11 2" xfId="25861"/>
    <cellStyle name="Normal 14 2 4 12" xfId="9714"/>
    <cellStyle name="Normal 14 2 4 12 2" xfId="25862"/>
    <cellStyle name="Normal 14 2 4 13" xfId="4199"/>
    <cellStyle name="Normal 14 2 4 13 2" xfId="20362"/>
    <cellStyle name="Normal 14 2 4 14" xfId="19042"/>
    <cellStyle name="Normal 14 2 4 2" xfId="254"/>
    <cellStyle name="Normal 14 2 4 2 10" xfId="9715"/>
    <cellStyle name="Normal 14 2 4 2 10 2" xfId="25863"/>
    <cellStyle name="Normal 14 2 4 2 11" xfId="4204"/>
    <cellStyle name="Normal 14 2 4 2 11 2" xfId="20367"/>
    <cellStyle name="Normal 14 2 4 2 12" xfId="19043"/>
    <cellStyle name="Normal 14 2 4 2 2" xfId="9716"/>
    <cellStyle name="Normal 14 2 4 2 2 2" xfId="25864"/>
    <cellStyle name="Normal 14 2 4 2 3" xfId="9717"/>
    <cellStyle name="Normal 14 2 4 2 3 2" xfId="25865"/>
    <cellStyle name="Normal 14 2 4 2 4" xfId="9718"/>
    <cellStyle name="Normal 14 2 4 2 4 2" xfId="25866"/>
    <cellStyle name="Normal 14 2 4 2 5" xfId="9719"/>
    <cellStyle name="Normal 14 2 4 2 5 2" xfId="25867"/>
    <cellStyle name="Normal 14 2 4 2 6" xfId="9720"/>
    <cellStyle name="Normal 14 2 4 2 6 2" xfId="25868"/>
    <cellStyle name="Normal 14 2 4 2 7" xfId="9721"/>
    <cellStyle name="Normal 14 2 4 2 7 2" xfId="25869"/>
    <cellStyle name="Normal 14 2 4 2 8" xfId="9722"/>
    <cellStyle name="Normal 14 2 4 2 8 2" xfId="25870"/>
    <cellStyle name="Normal 14 2 4 2 9" xfId="9723"/>
    <cellStyle name="Normal 14 2 4 2 9 2" xfId="25871"/>
    <cellStyle name="Normal 14 2 4 3" xfId="256"/>
    <cellStyle name="Normal 14 2 4 3 10" xfId="9724"/>
    <cellStyle name="Normal 14 2 4 3 10 2" xfId="25872"/>
    <cellStyle name="Normal 14 2 4 3 11" xfId="4206"/>
    <cellStyle name="Normal 14 2 4 3 11 2" xfId="20369"/>
    <cellStyle name="Normal 14 2 4 3 12" xfId="19044"/>
    <cellStyle name="Normal 14 2 4 3 2" xfId="9725"/>
    <cellStyle name="Normal 14 2 4 3 2 2" xfId="25873"/>
    <cellStyle name="Normal 14 2 4 3 3" xfId="9726"/>
    <cellStyle name="Normal 14 2 4 3 3 2" xfId="25874"/>
    <cellStyle name="Normal 14 2 4 3 4" xfId="9727"/>
    <cellStyle name="Normal 14 2 4 3 4 2" xfId="25875"/>
    <cellStyle name="Normal 14 2 4 3 5" xfId="9728"/>
    <cellStyle name="Normal 14 2 4 3 5 2" xfId="25876"/>
    <cellStyle name="Normal 14 2 4 3 6" xfId="9729"/>
    <cellStyle name="Normal 14 2 4 3 6 2" xfId="25877"/>
    <cellStyle name="Normal 14 2 4 3 7" xfId="9730"/>
    <cellStyle name="Normal 14 2 4 3 7 2" xfId="25878"/>
    <cellStyle name="Normal 14 2 4 3 8" xfId="9731"/>
    <cellStyle name="Normal 14 2 4 3 8 2" xfId="25879"/>
    <cellStyle name="Normal 14 2 4 3 9" xfId="9732"/>
    <cellStyle name="Normal 14 2 4 3 9 2" xfId="25880"/>
    <cellStyle name="Normal 14 2 4 4" xfId="9733"/>
    <cellStyle name="Normal 14 2 4 4 2" xfId="25881"/>
    <cellStyle name="Normal 14 2 4 5" xfId="9734"/>
    <cellStyle name="Normal 14 2 4 5 2" xfId="25882"/>
    <cellStyle name="Normal 14 2 4 6" xfId="9735"/>
    <cellStyle name="Normal 14 2 4 6 2" xfId="25883"/>
    <cellStyle name="Normal 14 2 4 7" xfId="9736"/>
    <cellStyle name="Normal 14 2 4 7 2" xfId="25884"/>
    <cellStyle name="Normal 14 2 4 8" xfId="9737"/>
    <cellStyle name="Normal 14 2 4 8 2" xfId="25885"/>
    <cellStyle name="Normal 14 2 4 9" xfId="9738"/>
    <cellStyle name="Normal 14 2 4 9 2" xfId="25886"/>
    <cellStyle name="Normal 14 2 5" xfId="263"/>
    <cellStyle name="Normal 14 2 5 10" xfId="9739"/>
    <cellStyle name="Normal 14 2 5 10 2" xfId="25887"/>
    <cellStyle name="Normal 14 2 5 11" xfId="9740"/>
    <cellStyle name="Normal 14 2 5 11 2" xfId="25888"/>
    <cellStyle name="Normal 14 2 5 12" xfId="9741"/>
    <cellStyle name="Normal 14 2 5 12 2" xfId="25889"/>
    <cellStyle name="Normal 14 2 5 13" xfId="4213"/>
    <cellStyle name="Normal 14 2 5 13 2" xfId="20376"/>
    <cellStyle name="Normal 14 2 5 14" xfId="19046"/>
    <cellStyle name="Normal 14 2 5 2" xfId="2391"/>
    <cellStyle name="Normal 14 2 5 2 10" xfId="9742"/>
    <cellStyle name="Normal 14 2 5 2 10 2" xfId="25890"/>
    <cellStyle name="Normal 14 2 5 2 11" xfId="6285"/>
    <cellStyle name="Normal 14 2 5 2 11 2" xfId="22447"/>
    <cellStyle name="Normal 14 2 5 2 12" xfId="19644"/>
    <cellStyle name="Normal 14 2 5 2 2" xfId="9743"/>
    <cellStyle name="Normal 14 2 5 2 2 2" xfId="25891"/>
    <cellStyle name="Normal 14 2 5 2 3" xfId="9744"/>
    <cellStyle name="Normal 14 2 5 2 3 2" xfId="25892"/>
    <cellStyle name="Normal 14 2 5 2 4" xfId="9745"/>
    <cellStyle name="Normal 14 2 5 2 4 2" xfId="25893"/>
    <cellStyle name="Normal 14 2 5 2 5" xfId="9746"/>
    <cellStyle name="Normal 14 2 5 2 5 2" xfId="25894"/>
    <cellStyle name="Normal 14 2 5 2 6" xfId="9747"/>
    <cellStyle name="Normal 14 2 5 2 6 2" xfId="25895"/>
    <cellStyle name="Normal 14 2 5 2 7" xfId="9748"/>
    <cellStyle name="Normal 14 2 5 2 7 2" xfId="25896"/>
    <cellStyle name="Normal 14 2 5 2 8" xfId="9749"/>
    <cellStyle name="Normal 14 2 5 2 8 2" xfId="25897"/>
    <cellStyle name="Normal 14 2 5 2 9" xfId="9750"/>
    <cellStyle name="Normal 14 2 5 2 9 2" xfId="25898"/>
    <cellStyle name="Normal 14 2 5 3" xfId="2392"/>
    <cellStyle name="Normal 14 2 5 3 10" xfId="9751"/>
    <cellStyle name="Normal 14 2 5 3 10 2" xfId="25899"/>
    <cellStyle name="Normal 14 2 5 3 11" xfId="6286"/>
    <cellStyle name="Normal 14 2 5 3 11 2" xfId="22448"/>
    <cellStyle name="Normal 14 2 5 3 12" xfId="19645"/>
    <cellStyle name="Normal 14 2 5 3 2" xfId="9752"/>
    <cellStyle name="Normal 14 2 5 3 2 2" xfId="25900"/>
    <cellStyle name="Normal 14 2 5 3 3" xfId="9753"/>
    <cellStyle name="Normal 14 2 5 3 3 2" xfId="25901"/>
    <cellStyle name="Normal 14 2 5 3 4" xfId="9754"/>
    <cellStyle name="Normal 14 2 5 3 4 2" xfId="25902"/>
    <cellStyle name="Normal 14 2 5 3 5" xfId="9755"/>
    <cellStyle name="Normal 14 2 5 3 5 2" xfId="25903"/>
    <cellStyle name="Normal 14 2 5 3 6" xfId="9756"/>
    <cellStyle name="Normal 14 2 5 3 6 2" xfId="25904"/>
    <cellStyle name="Normal 14 2 5 3 7" xfId="9757"/>
    <cellStyle name="Normal 14 2 5 3 7 2" xfId="25905"/>
    <cellStyle name="Normal 14 2 5 3 8" xfId="9758"/>
    <cellStyle name="Normal 14 2 5 3 8 2" xfId="25906"/>
    <cellStyle name="Normal 14 2 5 3 9" xfId="9759"/>
    <cellStyle name="Normal 14 2 5 3 9 2" xfId="25907"/>
    <cellStyle name="Normal 14 2 5 4" xfId="9760"/>
    <cellStyle name="Normal 14 2 5 4 2" xfId="25908"/>
    <cellStyle name="Normal 14 2 5 5" xfId="9761"/>
    <cellStyle name="Normal 14 2 5 5 2" xfId="25909"/>
    <cellStyle name="Normal 14 2 5 6" xfId="9762"/>
    <cellStyle name="Normal 14 2 5 6 2" xfId="25910"/>
    <cellStyle name="Normal 14 2 5 7" xfId="9763"/>
    <cellStyle name="Normal 14 2 5 7 2" xfId="25911"/>
    <cellStyle name="Normal 14 2 5 8" xfId="9764"/>
    <cellStyle name="Normal 14 2 5 8 2" xfId="25912"/>
    <cellStyle name="Normal 14 2 5 9" xfId="9765"/>
    <cellStyle name="Normal 14 2 5 9 2" xfId="25913"/>
    <cellStyle name="Normal 14 2 6" xfId="2394"/>
    <cellStyle name="Normal 14 2 6 10" xfId="9766"/>
    <cellStyle name="Normal 14 2 6 10 2" xfId="25914"/>
    <cellStyle name="Normal 14 2 6 11" xfId="9767"/>
    <cellStyle name="Normal 14 2 6 11 2" xfId="25915"/>
    <cellStyle name="Normal 14 2 6 12" xfId="9768"/>
    <cellStyle name="Normal 14 2 6 12 2" xfId="25916"/>
    <cellStyle name="Normal 14 2 6 13" xfId="6287"/>
    <cellStyle name="Normal 14 2 6 13 2" xfId="22449"/>
    <cellStyle name="Normal 14 2 6 14" xfId="19647"/>
    <cellStyle name="Normal 14 2 6 2" xfId="2395"/>
    <cellStyle name="Normal 14 2 6 2 10" xfId="9769"/>
    <cellStyle name="Normal 14 2 6 2 10 2" xfId="25917"/>
    <cellStyle name="Normal 14 2 6 2 11" xfId="6289"/>
    <cellStyle name="Normal 14 2 6 2 11 2" xfId="22451"/>
    <cellStyle name="Normal 14 2 6 2 12" xfId="19648"/>
    <cellStyle name="Normal 14 2 6 2 2" xfId="9770"/>
    <cellStyle name="Normal 14 2 6 2 2 2" xfId="25918"/>
    <cellStyle name="Normal 14 2 6 2 3" xfId="9771"/>
    <cellStyle name="Normal 14 2 6 2 3 2" xfId="25919"/>
    <cellStyle name="Normal 14 2 6 2 4" xfId="9772"/>
    <cellStyle name="Normal 14 2 6 2 4 2" xfId="25920"/>
    <cellStyle name="Normal 14 2 6 2 5" xfId="9773"/>
    <cellStyle name="Normal 14 2 6 2 5 2" xfId="25921"/>
    <cellStyle name="Normal 14 2 6 2 6" xfId="9774"/>
    <cellStyle name="Normal 14 2 6 2 6 2" xfId="25922"/>
    <cellStyle name="Normal 14 2 6 2 7" xfId="9775"/>
    <cellStyle name="Normal 14 2 6 2 7 2" xfId="25923"/>
    <cellStyle name="Normal 14 2 6 2 8" xfId="9776"/>
    <cellStyle name="Normal 14 2 6 2 8 2" xfId="25924"/>
    <cellStyle name="Normal 14 2 6 2 9" xfId="9777"/>
    <cellStyle name="Normal 14 2 6 2 9 2" xfId="25925"/>
    <cellStyle name="Normal 14 2 6 3" xfId="2396"/>
    <cellStyle name="Normal 14 2 6 3 10" xfId="9778"/>
    <cellStyle name="Normal 14 2 6 3 10 2" xfId="25926"/>
    <cellStyle name="Normal 14 2 6 3 11" xfId="6290"/>
    <cellStyle name="Normal 14 2 6 3 11 2" xfId="22452"/>
    <cellStyle name="Normal 14 2 6 3 12" xfId="19649"/>
    <cellStyle name="Normal 14 2 6 3 2" xfId="9779"/>
    <cellStyle name="Normal 14 2 6 3 2 2" xfId="25927"/>
    <cellStyle name="Normal 14 2 6 3 3" xfId="9780"/>
    <cellStyle name="Normal 14 2 6 3 3 2" xfId="25928"/>
    <cellStyle name="Normal 14 2 6 3 4" xfId="9781"/>
    <cellStyle name="Normal 14 2 6 3 4 2" xfId="25929"/>
    <cellStyle name="Normal 14 2 6 3 5" xfId="9782"/>
    <cellStyle name="Normal 14 2 6 3 5 2" xfId="25930"/>
    <cellStyle name="Normal 14 2 6 3 6" xfId="9783"/>
    <cellStyle name="Normal 14 2 6 3 6 2" xfId="25931"/>
    <cellStyle name="Normal 14 2 6 3 7" xfId="9784"/>
    <cellStyle name="Normal 14 2 6 3 7 2" xfId="25932"/>
    <cellStyle name="Normal 14 2 6 3 8" xfId="9785"/>
    <cellStyle name="Normal 14 2 6 3 8 2" xfId="25933"/>
    <cellStyle name="Normal 14 2 6 3 9" xfId="9786"/>
    <cellStyle name="Normal 14 2 6 3 9 2" xfId="25934"/>
    <cellStyle name="Normal 14 2 6 4" xfId="9787"/>
    <cellStyle name="Normal 14 2 6 4 2" xfId="25935"/>
    <cellStyle name="Normal 14 2 6 5" xfId="9788"/>
    <cellStyle name="Normal 14 2 6 5 2" xfId="25936"/>
    <cellStyle name="Normal 14 2 6 6" xfId="9789"/>
    <cellStyle name="Normal 14 2 6 6 2" xfId="25937"/>
    <cellStyle name="Normal 14 2 6 7" xfId="9790"/>
    <cellStyle name="Normal 14 2 6 7 2" xfId="25938"/>
    <cellStyle name="Normal 14 2 6 8" xfId="9791"/>
    <cellStyle name="Normal 14 2 6 8 2" xfId="25939"/>
    <cellStyle name="Normal 14 2 6 9" xfId="9792"/>
    <cellStyle name="Normal 14 2 6 9 2" xfId="25940"/>
    <cellStyle name="Normal 14 2 7" xfId="427"/>
    <cellStyle name="Normal 14 2 7 10" xfId="9793"/>
    <cellStyle name="Normal 14 2 7 10 2" xfId="25941"/>
    <cellStyle name="Normal 14 2 7 11" xfId="4367"/>
    <cellStyle name="Normal 14 2 7 11 2" xfId="20530"/>
    <cellStyle name="Normal 14 2 7 12" xfId="19087"/>
    <cellStyle name="Normal 14 2 7 2" xfId="9794"/>
    <cellStyle name="Normal 14 2 7 2 2" xfId="25942"/>
    <cellStyle name="Normal 14 2 7 3" xfId="9795"/>
    <cellStyle name="Normal 14 2 7 3 2" xfId="25943"/>
    <cellStyle name="Normal 14 2 7 4" xfId="9796"/>
    <cellStyle name="Normal 14 2 7 4 2" xfId="25944"/>
    <cellStyle name="Normal 14 2 7 5" xfId="9797"/>
    <cellStyle name="Normal 14 2 7 5 2" xfId="25945"/>
    <cellStyle name="Normal 14 2 7 6" xfId="9798"/>
    <cellStyle name="Normal 14 2 7 6 2" xfId="25946"/>
    <cellStyle name="Normal 14 2 7 7" xfId="9799"/>
    <cellStyle name="Normal 14 2 7 7 2" xfId="25947"/>
    <cellStyle name="Normal 14 2 7 8" xfId="9800"/>
    <cellStyle name="Normal 14 2 7 8 2" xfId="25948"/>
    <cellStyle name="Normal 14 2 7 9" xfId="9801"/>
    <cellStyle name="Normal 14 2 7 9 2" xfId="25949"/>
    <cellStyle name="Normal 14 2 8" xfId="389"/>
    <cellStyle name="Normal 14 2 8 10" xfId="9802"/>
    <cellStyle name="Normal 14 2 8 10 2" xfId="25950"/>
    <cellStyle name="Normal 14 2 8 11" xfId="4330"/>
    <cellStyle name="Normal 14 2 8 11 2" xfId="20493"/>
    <cellStyle name="Normal 14 2 8 12" xfId="19073"/>
    <cellStyle name="Normal 14 2 8 2" xfId="9803"/>
    <cellStyle name="Normal 14 2 8 2 2" xfId="25951"/>
    <cellStyle name="Normal 14 2 8 3" xfId="9804"/>
    <cellStyle name="Normal 14 2 8 3 2" xfId="25952"/>
    <cellStyle name="Normal 14 2 8 4" xfId="9805"/>
    <cellStyle name="Normal 14 2 8 4 2" xfId="25953"/>
    <cellStyle name="Normal 14 2 8 5" xfId="9806"/>
    <cellStyle name="Normal 14 2 8 5 2" xfId="25954"/>
    <cellStyle name="Normal 14 2 8 6" xfId="9807"/>
    <cellStyle name="Normal 14 2 8 6 2" xfId="25955"/>
    <cellStyle name="Normal 14 2 8 7" xfId="9808"/>
    <cellStyle name="Normal 14 2 8 7 2" xfId="25956"/>
    <cellStyle name="Normal 14 2 8 8" xfId="9809"/>
    <cellStyle name="Normal 14 2 8 8 2" xfId="25957"/>
    <cellStyle name="Normal 14 2 8 9" xfId="9810"/>
    <cellStyle name="Normal 14 2 8 9 2" xfId="25958"/>
    <cellStyle name="Normal 14 2 9" xfId="9811"/>
    <cellStyle name="Normal 14 2 9 2" xfId="25959"/>
    <cellStyle name="Normal 14 20" xfId="9812"/>
    <cellStyle name="Normal 14 20 2" xfId="25960"/>
    <cellStyle name="Normal 14 21" xfId="9813"/>
    <cellStyle name="Normal 14 21 2" xfId="25961"/>
    <cellStyle name="Normal 14 22" xfId="9814"/>
    <cellStyle name="Normal 14 22 2" xfId="25962"/>
    <cellStyle name="Normal 14 23" xfId="9815"/>
    <cellStyle name="Normal 14 23 2" xfId="25963"/>
    <cellStyle name="Normal 14 24" xfId="9816"/>
    <cellStyle name="Normal 14 24 2" xfId="25964"/>
    <cellStyle name="Normal 14 25" xfId="9817"/>
    <cellStyle name="Normal 14 25 2" xfId="25965"/>
    <cellStyle name="Normal 14 26" xfId="9818"/>
    <cellStyle name="Normal 14 26 2" xfId="25966"/>
    <cellStyle name="Normal 14 27" xfId="6271"/>
    <cellStyle name="Normal 14 27 2" xfId="22433"/>
    <cellStyle name="Normal 14 3" xfId="2398"/>
    <cellStyle name="Normal 14 3 10" xfId="9819"/>
    <cellStyle name="Normal 14 3 10 2" xfId="25967"/>
    <cellStyle name="Normal 14 3 11" xfId="9820"/>
    <cellStyle name="Normal 14 3 11 2" xfId="25968"/>
    <cellStyle name="Normal 14 3 12" xfId="9821"/>
    <cellStyle name="Normal 14 3 12 2" xfId="25969"/>
    <cellStyle name="Normal 14 3 13" xfId="9822"/>
    <cellStyle name="Normal 14 3 13 2" xfId="25970"/>
    <cellStyle name="Normal 14 3 14" xfId="9823"/>
    <cellStyle name="Normal 14 3 14 2" xfId="25971"/>
    <cellStyle name="Normal 14 3 15" xfId="9824"/>
    <cellStyle name="Normal 14 3 15 2" xfId="25972"/>
    <cellStyle name="Normal 14 3 16" xfId="9825"/>
    <cellStyle name="Normal 14 3 16 2" xfId="25973"/>
    <cellStyle name="Normal 14 3 17" xfId="9826"/>
    <cellStyle name="Normal 14 3 17 2" xfId="25974"/>
    <cellStyle name="Normal 14 3 18" xfId="6292"/>
    <cellStyle name="Normal 14 3 18 2" xfId="22454"/>
    <cellStyle name="Normal 14 3 2" xfId="1393"/>
    <cellStyle name="Normal 14 3 2 2" xfId="5313"/>
    <cellStyle name="Normal 14 3 2 2 2" xfId="21475"/>
    <cellStyle name="Normal 14 3 3" xfId="1396"/>
    <cellStyle name="Normal 14 3 3 2" xfId="5316"/>
    <cellStyle name="Normal 14 3 3 2 2" xfId="21478"/>
    <cellStyle name="Normal 14 3 4" xfId="266"/>
    <cellStyle name="Normal 14 3 4 2" xfId="4218"/>
    <cellStyle name="Normal 14 3 4 2 2" xfId="20381"/>
    <cellStyle name="Normal 14 3 5" xfId="285"/>
    <cellStyle name="Normal 14 3 5 2" xfId="4235"/>
    <cellStyle name="Normal 14 3 5 2 2" xfId="20398"/>
    <cellStyle name="Normal 14 3 6" xfId="2399"/>
    <cellStyle name="Normal 14 3 6 2" xfId="6293"/>
    <cellStyle name="Normal 14 3 6 2 2" xfId="22455"/>
    <cellStyle name="Normal 14 3 7" xfId="2401"/>
    <cellStyle name="Normal 14 3 7 2" xfId="6294"/>
    <cellStyle name="Normal 14 3 7 2 2" xfId="22456"/>
    <cellStyle name="Normal 14 3 8" xfId="2403"/>
    <cellStyle name="Normal 14 3 8 2" xfId="6296"/>
    <cellStyle name="Normal 14 3 8 2 2" xfId="22458"/>
    <cellStyle name="Normal 14 3 9" xfId="9827"/>
    <cellStyle name="Normal 14 3 9 2" xfId="25975"/>
    <cellStyle name="Normal 14 4" xfId="2405"/>
    <cellStyle name="Normal 14 4 10" xfId="9828"/>
    <cellStyle name="Normal 14 4 10 2" xfId="25976"/>
    <cellStyle name="Normal 14 4 11" xfId="9829"/>
    <cellStyle name="Normal 14 4 11 2" xfId="25977"/>
    <cellStyle name="Normal 14 4 12" xfId="9830"/>
    <cellStyle name="Normal 14 4 12 2" xfId="25978"/>
    <cellStyle name="Normal 14 4 13" xfId="9831"/>
    <cellStyle name="Normal 14 4 13 2" xfId="25979"/>
    <cellStyle name="Normal 14 4 14" xfId="9832"/>
    <cellStyle name="Normal 14 4 14 2" xfId="25980"/>
    <cellStyle name="Normal 14 4 15" xfId="9833"/>
    <cellStyle name="Normal 14 4 15 2" xfId="25981"/>
    <cellStyle name="Normal 14 4 16" xfId="9834"/>
    <cellStyle name="Normal 14 4 16 2" xfId="25982"/>
    <cellStyle name="Normal 14 4 17" xfId="9835"/>
    <cellStyle name="Normal 14 4 17 2" xfId="25983"/>
    <cellStyle name="Normal 14 4 18" xfId="6299"/>
    <cellStyle name="Normal 14 4 18 2" xfId="22461"/>
    <cellStyle name="Normal 14 4 2" xfId="939"/>
    <cellStyle name="Normal 14 4 2 2" xfId="4860"/>
    <cellStyle name="Normal 14 4 2 2 2" xfId="21022"/>
    <cellStyle name="Normal 14 4 3" xfId="964"/>
    <cellStyle name="Normal 14 4 3 2" xfId="4885"/>
    <cellStyle name="Normal 14 4 3 2 2" xfId="21047"/>
    <cellStyle name="Normal 14 4 4" xfId="291"/>
    <cellStyle name="Normal 14 4 4 2" xfId="4247"/>
    <cellStyle name="Normal 14 4 4 2 2" xfId="20410"/>
    <cellStyle name="Normal 14 4 5" xfId="135"/>
    <cellStyle name="Normal 14 4 5 2" xfId="4073"/>
    <cellStyle name="Normal 14 4 5 2 2" xfId="20236"/>
    <cellStyle name="Normal 14 4 6" xfId="2406"/>
    <cellStyle name="Normal 14 4 6 2" xfId="6300"/>
    <cellStyle name="Normal 14 4 6 2 2" xfId="22462"/>
    <cellStyle name="Normal 14 4 7" xfId="2408"/>
    <cellStyle name="Normal 14 4 7 2" xfId="6301"/>
    <cellStyle name="Normal 14 4 7 2 2" xfId="22463"/>
    <cellStyle name="Normal 14 4 8" xfId="2410"/>
    <cellStyle name="Normal 14 4 8 2" xfId="6303"/>
    <cellStyle name="Normal 14 4 8 2 2" xfId="22465"/>
    <cellStyle name="Normal 14 4 9" xfId="9836"/>
    <cellStyle name="Normal 14 4 9 2" xfId="25984"/>
    <cellStyle name="Normal 14 5" xfId="2411"/>
    <cellStyle name="Normal 14 5 10" xfId="9837"/>
    <cellStyle name="Normal 14 5 10 2" xfId="25985"/>
    <cellStyle name="Normal 14 5 11" xfId="9838"/>
    <cellStyle name="Normal 14 5 11 2" xfId="25986"/>
    <cellStyle name="Normal 14 5 12" xfId="9839"/>
    <cellStyle name="Normal 14 5 12 2" xfId="25987"/>
    <cellStyle name="Normal 14 5 13" xfId="9840"/>
    <cellStyle name="Normal 14 5 13 2" xfId="25988"/>
    <cellStyle name="Normal 14 5 14" xfId="9841"/>
    <cellStyle name="Normal 14 5 14 2" xfId="25989"/>
    <cellStyle name="Normal 14 5 15" xfId="9842"/>
    <cellStyle name="Normal 14 5 15 2" xfId="25990"/>
    <cellStyle name="Normal 14 5 16" xfId="9843"/>
    <cellStyle name="Normal 14 5 16 2" xfId="25991"/>
    <cellStyle name="Normal 14 5 17" xfId="9844"/>
    <cellStyle name="Normal 14 5 17 2" xfId="25992"/>
    <cellStyle name="Normal 14 5 18" xfId="6305"/>
    <cellStyle name="Normal 14 5 18 2" xfId="22467"/>
    <cellStyle name="Normal 14 5 2" xfId="1029"/>
    <cellStyle name="Normal 14 5 2 2" xfId="4950"/>
    <cellStyle name="Normal 14 5 2 2 2" xfId="21112"/>
    <cellStyle name="Normal 14 5 3" xfId="1032"/>
    <cellStyle name="Normal 14 5 3 2" xfId="4953"/>
    <cellStyle name="Normal 14 5 3 2 2" xfId="21115"/>
    <cellStyle name="Normal 14 5 4" xfId="2412"/>
    <cellStyle name="Normal 14 5 4 2" xfId="6306"/>
    <cellStyle name="Normal 14 5 4 2 2" xfId="22468"/>
    <cellStyle name="Normal 14 5 5" xfId="2413"/>
    <cellStyle name="Normal 14 5 5 2" xfId="6307"/>
    <cellStyle name="Normal 14 5 5 2 2" xfId="22469"/>
    <cellStyle name="Normal 14 5 6" xfId="2414"/>
    <cellStyle name="Normal 14 5 6 2" xfId="6308"/>
    <cellStyle name="Normal 14 5 6 2 2" xfId="22470"/>
    <cellStyle name="Normal 14 5 7" xfId="1155"/>
    <cellStyle name="Normal 14 5 7 2" xfId="5077"/>
    <cellStyle name="Normal 14 5 7 2 2" xfId="21239"/>
    <cellStyle name="Normal 14 5 8" xfId="1158"/>
    <cellStyle name="Normal 14 5 8 2" xfId="5080"/>
    <cellStyle name="Normal 14 5 8 2 2" xfId="21242"/>
    <cellStyle name="Normal 14 5 9" xfId="9845"/>
    <cellStyle name="Normal 14 5 9 2" xfId="25993"/>
    <cellStyle name="Normal 14 6" xfId="2415"/>
    <cellStyle name="Normal 14 6 10" xfId="9846"/>
    <cellStyle name="Normal 14 6 10 2" xfId="25994"/>
    <cellStyle name="Normal 14 6 11" xfId="9847"/>
    <cellStyle name="Normal 14 6 11 2" xfId="25995"/>
    <cellStyle name="Normal 14 6 12" xfId="9848"/>
    <cellStyle name="Normal 14 6 12 2" xfId="25996"/>
    <cellStyle name="Normal 14 6 13" xfId="9849"/>
    <cellStyle name="Normal 14 6 13 2" xfId="25997"/>
    <cellStyle name="Normal 14 6 14" xfId="9850"/>
    <cellStyle name="Normal 14 6 14 2" xfId="25998"/>
    <cellStyle name="Normal 14 6 15" xfId="9851"/>
    <cellStyle name="Normal 14 6 15 2" xfId="25999"/>
    <cellStyle name="Normal 14 6 16" xfId="9852"/>
    <cellStyle name="Normal 14 6 16 2" xfId="26000"/>
    <cellStyle name="Normal 14 6 17" xfId="9853"/>
    <cellStyle name="Normal 14 6 17 2" xfId="26001"/>
    <cellStyle name="Normal 14 6 18" xfId="6309"/>
    <cellStyle name="Normal 14 6 18 2" xfId="22471"/>
    <cellStyle name="Normal 14 6 2" xfId="1057"/>
    <cellStyle name="Normal 14 6 2 2" xfId="4978"/>
    <cellStyle name="Normal 14 6 2 2 2" xfId="21140"/>
    <cellStyle name="Normal 14 6 3" xfId="774"/>
    <cellStyle name="Normal 14 6 3 2" xfId="4698"/>
    <cellStyle name="Normal 14 6 3 2 2" xfId="20860"/>
    <cellStyle name="Normal 14 6 4" xfId="2417"/>
    <cellStyle name="Normal 14 6 4 2" xfId="6310"/>
    <cellStyle name="Normal 14 6 4 2 2" xfId="22472"/>
    <cellStyle name="Normal 14 6 5" xfId="2419"/>
    <cellStyle name="Normal 14 6 5 2" xfId="6312"/>
    <cellStyle name="Normal 14 6 5 2 2" xfId="22474"/>
    <cellStyle name="Normal 14 6 6" xfId="2421"/>
    <cellStyle name="Normal 14 6 6 2" xfId="6314"/>
    <cellStyle name="Normal 14 6 6 2 2" xfId="22476"/>
    <cellStyle name="Normal 14 6 7" xfId="557"/>
    <cellStyle name="Normal 14 6 7 2" xfId="4487"/>
    <cellStyle name="Normal 14 6 7 2 2" xfId="20650"/>
    <cellStyle name="Normal 14 6 8" xfId="2423"/>
    <cellStyle name="Normal 14 6 8 2" xfId="6316"/>
    <cellStyle name="Normal 14 6 8 2 2" xfId="22478"/>
    <cellStyle name="Normal 14 6 9" xfId="9854"/>
    <cellStyle name="Normal 14 6 9 2" xfId="26002"/>
    <cellStyle name="Normal 14 7" xfId="2424"/>
    <cellStyle name="Normal 14 7 10" xfId="9855"/>
    <cellStyle name="Normal 14 7 10 2" xfId="26003"/>
    <cellStyle name="Normal 14 7 11" xfId="9856"/>
    <cellStyle name="Normal 14 7 11 2" xfId="26004"/>
    <cellStyle name="Normal 14 7 12" xfId="9857"/>
    <cellStyle name="Normal 14 7 12 2" xfId="26005"/>
    <cellStyle name="Normal 14 7 13" xfId="9858"/>
    <cellStyle name="Normal 14 7 13 2" xfId="26006"/>
    <cellStyle name="Normal 14 7 14" xfId="9859"/>
    <cellStyle name="Normal 14 7 14 2" xfId="26007"/>
    <cellStyle name="Normal 14 7 15" xfId="9860"/>
    <cellStyle name="Normal 14 7 15 2" xfId="26008"/>
    <cellStyle name="Normal 14 7 16" xfId="9861"/>
    <cellStyle name="Normal 14 7 16 2" xfId="26009"/>
    <cellStyle name="Normal 14 7 17" xfId="9862"/>
    <cellStyle name="Normal 14 7 17 2" xfId="26010"/>
    <cellStyle name="Normal 14 7 18" xfId="6318"/>
    <cellStyle name="Normal 14 7 18 2" xfId="22480"/>
    <cellStyle name="Normal 14 7 2" xfId="1068"/>
    <cellStyle name="Normal 14 7 2 2" xfId="4989"/>
    <cellStyle name="Normal 14 7 2 2 2" xfId="21151"/>
    <cellStyle name="Normal 14 7 3" xfId="1071"/>
    <cellStyle name="Normal 14 7 3 2" xfId="4992"/>
    <cellStyle name="Normal 14 7 3 2 2" xfId="21154"/>
    <cellStyle name="Normal 14 7 4" xfId="2425"/>
    <cellStyle name="Normal 14 7 4 2" xfId="6319"/>
    <cellStyle name="Normal 14 7 4 2 2" xfId="22481"/>
    <cellStyle name="Normal 14 7 5" xfId="2426"/>
    <cellStyle name="Normal 14 7 5 2" xfId="6320"/>
    <cellStyle name="Normal 14 7 5 2 2" xfId="22482"/>
    <cellStyle name="Normal 14 7 6" xfId="62"/>
    <cellStyle name="Normal 14 7 6 2" xfId="4014"/>
    <cellStyle name="Normal 14 7 6 2 2" xfId="20177"/>
    <cellStyle name="Normal 14 7 7" xfId="783"/>
    <cellStyle name="Normal 14 7 7 2" xfId="4707"/>
    <cellStyle name="Normal 14 7 7 2 2" xfId="20869"/>
    <cellStyle name="Normal 14 7 8" xfId="319"/>
    <cellStyle name="Normal 14 7 8 2" xfId="4265"/>
    <cellStyle name="Normal 14 7 8 2 2" xfId="20428"/>
    <cellStyle name="Normal 14 7 9" xfId="9863"/>
    <cellStyle name="Normal 14 7 9 2" xfId="26011"/>
    <cellStyle name="Normal 14 8" xfId="2427"/>
    <cellStyle name="Normal 14 8 10" xfId="9864"/>
    <cellStyle name="Normal 14 8 10 2" xfId="26012"/>
    <cellStyle name="Normal 14 8 11" xfId="9865"/>
    <cellStyle name="Normal 14 8 11 2" xfId="26013"/>
    <cellStyle name="Normal 14 8 12" xfId="9866"/>
    <cellStyle name="Normal 14 8 12 2" xfId="26014"/>
    <cellStyle name="Normal 14 8 13" xfId="9867"/>
    <cellStyle name="Normal 14 8 13 2" xfId="26015"/>
    <cellStyle name="Normal 14 8 14" xfId="9868"/>
    <cellStyle name="Normal 14 8 14 2" xfId="26016"/>
    <cellStyle name="Normal 14 8 15" xfId="9869"/>
    <cellStyle name="Normal 14 8 15 2" xfId="26017"/>
    <cellStyle name="Normal 14 8 16" xfId="9870"/>
    <cellStyle name="Normal 14 8 16 2" xfId="26018"/>
    <cellStyle name="Normal 14 8 17" xfId="9871"/>
    <cellStyle name="Normal 14 8 17 2" xfId="26019"/>
    <cellStyle name="Normal 14 8 18" xfId="6321"/>
    <cellStyle name="Normal 14 8 18 2" xfId="22483"/>
    <cellStyle name="Normal 14 8 2" xfId="1101"/>
    <cellStyle name="Normal 14 8 2 2" xfId="5023"/>
    <cellStyle name="Normal 14 8 2 2 2" xfId="21185"/>
    <cellStyle name="Normal 14 8 3" xfId="644"/>
    <cellStyle name="Normal 14 8 3 2" xfId="4576"/>
    <cellStyle name="Normal 14 8 3 2 2" xfId="20738"/>
    <cellStyle name="Normal 14 8 4" xfId="1799"/>
    <cellStyle name="Normal 14 8 4 2" xfId="5710"/>
    <cellStyle name="Normal 14 8 4 2 2" xfId="21872"/>
    <cellStyle name="Normal 14 8 5" xfId="496"/>
    <cellStyle name="Normal 14 8 5 2" xfId="4435"/>
    <cellStyle name="Normal 14 8 5 2 2" xfId="20598"/>
    <cellStyle name="Normal 14 8 6" xfId="2428"/>
    <cellStyle name="Normal 14 8 6 2" xfId="6322"/>
    <cellStyle name="Normal 14 8 6 2 2" xfId="22484"/>
    <cellStyle name="Normal 14 8 7" xfId="2429"/>
    <cellStyle name="Normal 14 8 7 2" xfId="6323"/>
    <cellStyle name="Normal 14 8 7 2 2" xfId="22485"/>
    <cellStyle name="Normal 14 8 8" xfId="2430"/>
    <cellStyle name="Normal 14 8 8 2" xfId="6324"/>
    <cellStyle name="Normal 14 8 8 2 2" xfId="22486"/>
    <cellStyle name="Normal 14 8 9" xfId="9872"/>
    <cellStyle name="Normal 14 8 9 2" xfId="26020"/>
    <cellStyle name="Normal 14 9" xfId="2431"/>
    <cellStyle name="Normal 14 9 10" xfId="9873"/>
    <cellStyle name="Normal 14 9 10 2" xfId="26021"/>
    <cellStyle name="Normal 14 9 11" xfId="9874"/>
    <cellStyle name="Normal 14 9 11 2" xfId="26022"/>
    <cellStyle name="Normal 14 9 12" xfId="9875"/>
    <cellStyle name="Normal 14 9 12 2" xfId="26023"/>
    <cellStyle name="Normal 14 9 13" xfId="9876"/>
    <cellStyle name="Normal 14 9 13 2" xfId="26024"/>
    <cellStyle name="Normal 14 9 14" xfId="9877"/>
    <cellStyle name="Normal 14 9 14 2" xfId="26025"/>
    <cellStyle name="Normal 14 9 15" xfId="9878"/>
    <cellStyle name="Normal 14 9 15 2" xfId="26026"/>
    <cellStyle name="Normal 14 9 16" xfId="9879"/>
    <cellStyle name="Normal 14 9 16 2" xfId="26027"/>
    <cellStyle name="Normal 14 9 17" xfId="9880"/>
    <cellStyle name="Normal 14 9 17 2" xfId="26028"/>
    <cellStyle name="Normal 14 9 18" xfId="6325"/>
    <cellStyle name="Normal 14 9 18 2" xfId="22487"/>
    <cellStyle name="Normal 14 9 2" xfId="1126"/>
    <cellStyle name="Normal 14 9 2 2" xfId="5048"/>
    <cellStyle name="Normal 14 9 2 2 2" xfId="21210"/>
    <cellStyle name="Normal 14 9 3" xfId="1130"/>
    <cellStyle name="Normal 14 9 3 2" xfId="5052"/>
    <cellStyle name="Normal 14 9 3 2 2" xfId="21214"/>
    <cellStyle name="Normal 14 9 4" xfId="2258"/>
    <cellStyle name="Normal 14 9 4 2" xfId="6157"/>
    <cellStyle name="Normal 14 9 4 2 2" xfId="22319"/>
    <cellStyle name="Normal 14 9 5" xfId="2261"/>
    <cellStyle name="Normal 14 9 5 2" xfId="6160"/>
    <cellStyle name="Normal 14 9 5 2 2" xfId="22322"/>
    <cellStyle name="Normal 14 9 6" xfId="2266"/>
    <cellStyle name="Normal 14 9 6 2" xfId="6165"/>
    <cellStyle name="Normal 14 9 6 2 2" xfId="22327"/>
    <cellStyle name="Normal 14 9 7" xfId="2434"/>
    <cellStyle name="Normal 14 9 7 2" xfId="6327"/>
    <cellStyle name="Normal 14 9 7 2 2" xfId="22489"/>
    <cellStyle name="Normal 14 9 8" xfId="2437"/>
    <cellStyle name="Normal 14 9 8 2" xfId="6330"/>
    <cellStyle name="Normal 14 9 8 2 2" xfId="22492"/>
    <cellStyle name="Normal 14 9 9" xfId="9881"/>
    <cellStyle name="Normal 14 9 9 2" xfId="26029"/>
    <cellStyle name="Normal 14_Achampally-Gattubuthkur-Ganga-CRR" xfId="1978"/>
    <cellStyle name="Normal 15" xfId="1233"/>
    <cellStyle name="Normal 15 10" xfId="2219"/>
    <cellStyle name="Normal 15 10 10" xfId="9882"/>
    <cellStyle name="Normal 15 10 10 2" xfId="26030"/>
    <cellStyle name="Normal 15 10 11" xfId="9883"/>
    <cellStyle name="Normal 15 10 11 2" xfId="26031"/>
    <cellStyle name="Normal 15 10 12" xfId="9884"/>
    <cellStyle name="Normal 15 10 12 2" xfId="26032"/>
    <cellStyle name="Normal 15 10 13" xfId="9885"/>
    <cellStyle name="Normal 15 10 13 2" xfId="26033"/>
    <cellStyle name="Normal 15 10 14" xfId="9886"/>
    <cellStyle name="Normal 15 10 14 2" xfId="26034"/>
    <cellStyle name="Normal 15 10 15" xfId="9887"/>
    <cellStyle name="Normal 15 10 15 2" xfId="26035"/>
    <cellStyle name="Normal 15 10 16" xfId="9888"/>
    <cellStyle name="Normal 15 10 16 2" xfId="26036"/>
    <cellStyle name="Normal 15 10 17" xfId="9889"/>
    <cellStyle name="Normal 15 10 17 2" xfId="26037"/>
    <cellStyle name="Normal 15 10 18" xfId="6118"/>
    <cellStyle name="Normal 15 10 18 2" xfId="22280"/>
    <cellStyle name="Normal 15 10 2" xfId="2438"/>
    <cellStyle name="Normal 15 10 2 2" xfId="6332"/>
    <cellStyle name="Normal 15 10 2 2 2" xfId="22494"/>
    <cellStyle name="Normal 15 10 3" xfId="1488"/>
    <cellStyle name="Normal 15 10 3 2" xfId="5405"/>
    <cellStyle name="Normal 15 10 3 2 2" xfId="21567"/>
    <cellStyle name="Normal 15 10 4" xfId="1492"/>
    <cellStyle name="Normal 15 10 4 2" xfId="5409"/>
    <cellStyle name="Normal 15 10 4 2 2" xfId="21571"/>
    <cellStyle name="Normal 15 10 5" xfId="2314"/>
    <cellStyle name="Normal 15 10 5 2" xfId="6210"/>
    <cellStyle name="Normal 15 10 5 2 2" xfId="22372"/>
    <cellStyle name="Normal 15 10 6" xfId="2317"/>
    <cellStyle name="Normal 15 10 6 2" xfId="6213"/>
    <cellStyle name="Normal 15 10 6 2 2" xfId="22375"/>
    <cellStyle name="Normal 15 10 7" xfId="2440"/>
    <cellStyle name="Normal 15 10 7 2" xfId="6333"/>
    <cellStyle name="Normal 15 10 7 2 2" xfId="22495"/>
    <cellStyle name="Normal 15 10 8" xfId="2442"/>
    <cellStyle name="Normal 15 10 8 2" xfId="6335"/>
    <cellStyle name="Normal 15 10 8 2 2" xfId="22497"/>
    <cellStyle name="Normal 15 10 9" xfId="9890"/>
    <cellStyle name="Normal 15 10 9 2" xfId="26038"/>
    <cellStyle name="Normal 15 11" xfId="2443"/>
    <cellStyle name="Normal 15 11 2" xfId="6337"/>
    <cellStyle name="Normal 15 11 2 2" xfId="22499"/>
    <cellStyle name="Normal 15 12" xfId="2445"/>
    <cellStyle name="Normal 15 12 2" xfId="6338"/>
    <cellStyle name="Normal 15 12 2 2" xfId="22500"/>
    <cellStyle name="Normal 15 13" xfId="2448"/>
    <cellStyle name="Normal 15 13 2" xfId="6340"/>
    <cellStyle name="Normal 15 13 2 2" xfId="22502"/>
    <cellStyle name="Normal 15 14" xfId="1654"/>
    <cellStyle name="Normal 15 14 2" xfId="5567"/>
    <cellStyle name="Normal 15 14 2 2" xfId="21729"/>
    <cellStyle name="Normal 15 15" xfId="1657"/>
    <cellStyle name="Normal 15 15 2" xfId="5571"/>
    <cellStyle name="Normal 15 15 2 2" xfId="21733"/>
    <cellStyle name="Normal 15 16" xfId="1989"/>
    <cellStyle name="Normal 15 16 2" xfId="5894"/>
    <cellStyle name="Normal 15 16 2 2" xfId="22056"/>
    <cellStyle name="Normal 15 17" xfId="1992"/>
    <cellStyle name="Normal 15 17 2" xfId="5897"/>
    <cellStyle name="Normal 15 17 2 2" xfId="22059"/>
    <cellStyle name="Normal 15 18" xfId="9891"/>
    <cellStyle name="Normal 15 18 2" xfId="26039"/>
    <cellStyle name="Normal 15 19" xfId="9892"/>
    <cellStyle name="Normal 15 19 2" xfId="26040"/>
    <cellStyle name="Normal 15 2" xfId="2449"/>
    <cellStyle name="Normal 15 2 2" xfId="1504"/>
    <cellStyle name="Normal 15 2 2 2" xfId="5422"/>
    <cellStyle name="Normal 15 2 2 2 2" xfId="21584"/>
    <cellStyle name="Normal 15 2 3" xfId="1509"/>
    <cellStyle name="Normal 15 2 3 2" xfId="5427"/>
    <cellStyle name="Normal 15 2 3 2 2" xfId="21589"/>
    <cellStyle name="Normal 15 2 4" xfId="6344"/>
    <cellStyle name="Normal 15 2 4 2" xfId="22506"/>
    <cellStyle name="Normal 15 2_Rukmapur (CPD)-wk" xfId="652"/>
    <cellStyle name="Normal 15 20" xfId="9893"/>
    <cellStyle name="Normal 15 20 2" xfId="26041"/>
    <cellStyle name="Normal 15 21" xfId="9894"/>
    <cellStyle name="Normal 15 21 2" xfId="26042"/>
    <cellStyle name="Normal 15 22" xfId="9895"/>
    <cellStyle name="Normal 15 22 2" xfId="26043"/>
    <cellStyle name="Normal 15 23" xfId="9896"/>
    <cellStyle name="Normal 15 23 2" xfId="26044"/>
    <cellStyle name="Normal 15 24" xfId="9897"/>
    <cellStyle name="Normal 15 24 2" xfId="26045"/>
    <cellStyle name="Normal 15 25" xfId="9898"/>
    <cellStyle name="Normal 15 25 2" xfId="26046"/>
    <cellStyle name="Normal 15 26" xfId="9899"/>
    <cellStyle name="Normal 15 26 2" xfId="26047"/>
    <cellStyle name="Normal 15 27" xfId="5153"/>
    <cellStyle name="Normal 15 27 2" xfId="21315"/>
    <cellStyle name="Normal 15 3" xfId="2452"/>
    <cellStyle name="Normal 15 3 10" xfId="9900"/>
    <cellStyle name="Normal 15 3 10 2" xfId="26048"/>
    <cellStyle name="Normal 15 3 11" xfId="9901"/>
    <cellStyle name="Normal 15 3 11 2" xfId="26049"/>
    <cellStyle name="Normal 15 3 12" xfId="9902"/>
    <cellStyle name="Normal 15 3 12 2" xfId="26050"/>
    <cellStyle name="Normal 15 3 13" xfId="9903"/>
    <cellStyle name="Normal 15 3 13 2" xfId="26051"/>
    <cellStyle name="Normal 15 3 14" xfId="9904"/>
    <cellStyle name="Normal 15 3 14 2" xfId="26052"/>
    <cellStyle name="Normal 15 3 15" xfId="9905"/>
    <cellStyle name="Normal 15 3 15 2" xfId="26053"/>
    <cellStyle name="Normal 15 3 16" xfId="9906"/>
    <cellStyle name="Normal 15 3 16 2" xfId="26054"/>
    <cellStyle name="Normal 15 3 17" xfId="9907"/>
    <cellStyle name="Normal 15 3 17 2" xfId="26055"/>
    <cellStyle name="Normal 15 3 18" xfId="6347"/>
    <cellStyle name="Normal 15 3 18 2" xfId="22509"/>
    <cellStyle name="Normal 15 3 2" xfId="1523"/>
    <cellStyle name="Normal 15 3 2 2" xfId="5441"/>
    <cellStyle name="Normal 15 3 2 2 2" xfId="21603"/>
    <cellStyle name="Normal 15 3 3" xfId="1526"/>
    <cellStyle name="Normal 15 3 3 2" xfId="5444"/>
    <cellStyle name="Normal 15 3 3 2 2" xfId="21606"/>
    <cellStyle name="Normal 15 3 4" xfId="1531"/>
    <cellStyle name="Normal 15 3 4 2" xfId="5449"/>
    <cellStyle name="Normal 15 3 4 2 2" xfId="21611"/>
    <cellStyle name="Normal 15 3 5" xfId="1533"/>
    <cellStyle name="Normal 15 3 5 2" xfId="5451"/>
    <cellStyle name="Normal 15 3 5 2 2" xfId="21613"/>
    <cellStyle name="Normal 15 3 6" xfId="2383"/>
    <cellStyle name="Normal 15 3 6 2" xfId="6277"/>
    <cellStyle name="Normal 15 3 6 2 2" xfId="22439"/>
    <cellStyle name="Normal 15 3 7" xfId="2397"/>
    <cellStyle name="Normal 15 3 7 2" xfId="6291"/>
    <cellStyle name="Normal 15 3 7 2 2" xfId="22453"/>
    <cellStyle name="Normal 15 3 8" xfId="2404"/>
    <cellStyle name="Normal 15 3 8 2" xfId="6298"/>
    <cellStyle name="Normal 15 3 8 2 2" xfId="22460"/>
    <cellStyle name="Normal 15 3 9" xfId="9908"/>
    <cellStyle name="Normal 15 3 9 2" xfId="26056"/>
    <cellStyle name="Normal 15 4" xfId="2455"/>
    <cellStyle name="Normal 15 4 10" xfId="9909"/>
    <cellStyle name="Normal 15 4 10 2" xfId="26057"/>
    <cellStyle name="Normal 15 4 11" xfId="9910"/>
    <cellStyle name="Normal 15 4 11 2" xfId="26058"/>
    <cellStyle name="Normal 15 4 12" xfId="9911"/>
    <cellStyle name="Normal 15 4 12 2" xfId="26059"/>
    <cellStyle name="Normal 15 4 13" xfId="9912"/>
    <cellStyle name="Normal 15 4 13 2" xfId="26060"/>
    <cellStyle name="Normal 15 4 14" xfId="9913"/>
    <cellStyle name="Normal 15 4 14 2" xfId="26061"/>
    <cellStyle name="Normal 15 4 15" xfId="9914"/>
    <cellStyle name="Normal 15 4 15 2" xfId="26062"/>
    <cellStyle name="Normal 15 4 16" xfId="9915"/>
    <cellStyle name="Normal 15 4 16 2" xfId="26063"/>
    <cellStyle name="Normal 15 4 17" xfId="9916"/>
    <cellStyle name="Normal 15 4 17 2" xfId="26064"/>
    <cellStyle name="Normal 15 4 18" xfId="6350"/>
    <cellStyle name="Normal 15 4 18 2" xfId="22512"/>
    <cellStyle name="Normal 15 4 2" xfId="104"/>
    <cellStyle name="Normal 15 4 2 2" xfId="4050"/>
    <cellStyle name="Normal 15 4 2 2 2" xfId="20213"/>
    <cellStyle name="Normal 15 4 3" xfId="569"/>
    <cellStyle name="Normal 15 4 3 2" xfId="4501"/>
    <cellStyle name="Normal 15 4 3 2 2" xfId="20664"/>
    <cellStyle name="Normal 15 4 4" xfId="1538"/>
    <cellStyle name="Normal 15 4 4 2" xfId="5456"/>
    <cellStyle name="Normal 15 4 4 2 2" xfId="21618"/>
    <cellStyle name="Normal 15 4 5" xfId="1540"/>
    <cellStyle name="Normal 15 4 5 2" xfId="5458"/>
    <cellStyle name="Normal 15 4 5 2 2" xfId="21620"/>
    <cellStyle name="Normal 15 4 6" xfId="2451"/>
    <cellStyle name="Normal 15 4 6 2" xfId="6345"/>
    <cellStyle name="Normal 15 4 6 2 2" xfId="22507"/>
    <cellStyle name="Normal 15 4 7" xfId="2454"/>
    <cellStyle name="Normal 15 4 7 2" xfId="6348"/>
    <cellStyle name="Normal 15 4 7 2 2" xfId="22510"/>
    <cellStyle name="Normal 15 4 8" xfId="2457"/>
    <cellStyle name="Normal 15 4 8 2" xfId="6351"/>
    <cellStyle name="Normal 15 4 8 2 2" xfId="22513"/>
    <cellStyle name="Normal 15 4 9" xfId="9917"/>
    <cellStyle name="Normal 15 4 9 2" xfId="26065"/>
    <cellStyle name="Normal 15 5" xfId="2458"/>
    <cellStyle name="Normal 15 5 10" xfId="9918"/>
    <cellStyle name="Normal 15 5 10 2" xfId="26066"/>
    <cellStyle name="Normal 15 5 11" xfId="9919"/>
    <cellStyle name="Normal 15 5 11 2" xfId="26067"/>
    <cellStyle name="Normal 15 5 12" xfId="9920"/>
    <cellStyle name="Normal 15 5 12 2" xfId="26068"/>
    <cellStyle name="Normal 15 5 13" xfId="9921"/>
    <cellStyle name="Normal 15 5 13 2" xfId="26069"/>
    <cellStyle name="Normal 15 5 14" xfId="9922"/>
    <cellStyle name="Normal 15 5 14 2" xfId="26070"/>
    <cellStyle name="Normal 15 5 15" xfId="9923"/>
    <cellStyle name="Normal 15 5 15 2" xfId="26071"/>
    <cellStyle name="Normal 15 5 16" xfId="9924"/>
    <cellStyle name="Normal 15 5 16 2" xfId="26072"/>
    <cellStyle name="Normal 15 5 17" xfId="9925"/>
    <cellStyle name="Normal 15 5 17 2" xfId="26073"/>
    <cellStyle name="Normal 15 5 18" xfId="6353"/>
    <cellStyle name="Normal 15 5 18 2" xfId="22515"/>
    <cellStyle name="Normal 15 5 2" xfId="1204"/>
    <cellStyle name="Normal 15 5 2 2" xfId="5124"/>
    <cellStyle name="Normal 15 5 2 2 2" xfId="21286"/>
    <cellStyle name="Normal 15 5 3" xfId="639"/>
    <cellStyle name="Normal 15 5 3 2" xfId="4570"/>
    <cellStyle name="Normal 15 5 3 2 2" xfId="20732"/>
    <cellStyle name="Normal 15 5 4" xfId="122"/>
    <cellStyle name="Normal 15 5 4 2" xfId="4065"/>
    <cellStyle name="Normal 15 5 4 2 2" xfId="20228"/>
    <cellStyle name="Normal 15 5 5" xfId="2460"/>
    <cellStyle name="Normal 15 5 5 2" xfId="6355"/>
    <cellStyle name="Normal 15 5 5 2 2" xfId="22517"/>
    <cellStyle name="Normal 15 5 6" xfId="2462"/>
    <cellStyle name="Normal 15 5 6 2" xfId="6357"/>
    <cellStyle name="Normal 15 5 6 2 2" xfId="22519"/>
    <cellStyle name="Normal 15 5 7" xfId="2465"/>
    <cellStyle name="Normal 15 5 7 2" xfId="6361"/>
    <cellStyle name="Normal 15 5 7 2 2" xfId="22523"/>
    <cellStyle name="Normal 15 5 8" xfId="2469"/>
    <cellStyle name="Normal 15 5 8 2" xfId="6365"/>
    <cellStyle name="Normal 15 5 8 2 2" xfId="22527"/>
    <cellStyle name="Normal 15 5 9" xfId="9926"/>
    <cellStyle name="Normal 15 5 9 2" xfId="26074"/>
    <cellStyle name="Normal 15 6" xfId="2473"/>
    <cellStyle name="Normal 15 6 10" xfId="9927"/>
    <cellStyle name="Normal 15 6 10 2" xfId="26075"/>
    <cellStyle name="Normal 15 6 11" xfId="9928"/>
    <cellStyle name="Normal 15 6 11 2" xfId="26076"/>
    <cellStyle name="Normal 15 6 12" xfId="9929"/>
    <cellStyle name="Normal 15 6 12 2" xfId="26077"/>
    <cellStyle name="Normal 15 6 13" xfId="9930"/>
    <cellStyle name="Normal 15 6 13 2" xfId="26078"/>
    <cellStyle name="Normal 15 6 14" xfId="9931"/>
    <cellStyle name="Normal 15 6 14 2" xfId="26079"/>
    <cellStyle name="Normal 15 6 15" xfId="9932"/>
    <cellStyle name="Normal 15 6 15 2" xfId="26080"/>
    <cellStyle name="Normal 15 6 16" xfId="9933"/>
    <cellStyle name="Normal 15 6 16 2" xfId="26081"/>
    <cellStyle name="Normal 15 6 17" xfId="9934"/>
    <cellStyle name="Normal 15 6 17 2" xfId="26082"/>
    <cellStyle name="Normal 15 6 18" xfId="6368"/>
    <cellStyle name="Normal 15 6 18 2" xfId="22530"/>
    <cellStyle name="Normal 15 6 2" xfId="209"/>
    <cellStyle name="Normal 15 6 2 2" xfId="4135"/>
    <cellStyle name="Normal 15 6 2 2 2" xfId="20298"/>
    <cellStyle name="Normal 15 6 3" xfId="217"/>
    <cellStyle name="Normal 15 6 3 2" xfId="4144"/>
    <cellStyle name="Normal 15 6 3 2 2" xfId="20307"/>
    <cellStyle name="Normal 15 6 4" xfId="2475"/>
    <cellStyle name="Normal 15 6 4 2" xfId="6369"/>
    <cellStyle name="Normal 15 6 4 2 2" xfId="22531"/>
    <cellStyle name="Normal 15 6 5" xfId="2476"/>
    <cellStyle name="Normal 15 6 5 2" xfId="6370"/>
    <cellStyle name="Normal 15 6 5 2 2" xfId="22532"/>
    <cellStyle name="Normal 15 6 6" xfId="2479"/>
    <cellStyle name="Normal 15 6 6 2" xfId="6373"/>
    <cellStyle name="Normal 15 6 6 2 2" xfId="22535"/>
    <cellStyle name="Normal 15 6 7" xfId="1745"/>
    <cellStyle name="Normal 15 6 7 2" xfId="5654"/>
    <cellStyle name="Normal 15 6 7 2 2" xfId="21816"/>
    <cellStyle name="Normal 15 6 8" xfId="2482"/>
    <cellStyle name="Normal 15 6 8 2" xfId="6376"/>
    <cellStyle name="Normal 15 6 8 2 2" xfId="22538"/>
    <cellStyle name="Normal 15 6 9" xfId="9935"/>
    <cellStyle name="Normal 15 6 9 2" xfId="26083"/>
    <cellStyle name="Normal 15 7" xfId="2483"/>
    <cellStyle name="Normal 15 7 10" xfId="9936"/>
    <cellStyle name="Normal 15 7 10 2" xfId="26084"/>
    <cellStyle name="Normal 15 7 11" xfId="9937"/>
    <cellStyle name="Normal 15 7 11 2" xfId="26085"/>
    <cellStyle name="Normal 15 7 12" xfId="9938"/>
    <cellStyle name="Normal 15 7 12 2" xfId="26086"/>
    <cellStyle name="Normal 15 7 13" xfId="9939"/>
    <cellStyle name="Normal 15 7 13 2" xfId="26087"/>
    <cellStyle name="Normal 15 7 14" xfId="9940"/>
    <cellStyle name="Normal 15 7 14 2" xfId="26088"/>
    <cellStyle name="Normal 15 7 15" xfId="9941"/>
    <cellStyle name="Normal 15 7 15 2" xfId="26089"/>
    <cellStyle name="Normal 15 7 16" xfId="9942"/>
    <cellStyle name="Normal 15 7 16 2" xfId="26090"/>
    <cellStyle name="Normal 15 7 17" xfId="9943"/>
    <cellStyle name="Normal 15 7 17 2" xfId="26091"/>
    <cellStyle name="Normal 15 7 18" xfId="6378"/>
    <cellStyle name="Normal 15 7 18 2" xfId="22540"/>
    <cellStyle name="Normal 15 7 2" xfId="793"/>
    <cellStyle name="Normal 15 7 2 2" xfId="4719"/>
    <cellStyle name="Normal 15 7 2 2 2" xfId="20881"/>
    <cellStyle name="Normal 15 7 3" xfId="579"/>
    <cellStyle name="Normal 15 7 3 2" xfId="4511"/>
    <cellStyle name="Normal 15 7 3 2 2" xfId="20674"/>
    <cellStyle name="Normal 15 7 4" xfId="2485"/>
    <cellStyle name="Normal 15 7 4 2" xfId="6379"/>
    <cellStyle name="Normal 15 7 4 2 2" xfId="22541"/>
    <cellStyle name="Normal 15 7 5" xfId="2486"/>
    <cellStyle name="Normal 15 7 5 2" xfId="6380"/>
    <cellStyle name="Normal 15 7 5 2 2" xfId="22542"/>
    <cellStyle name="Normal 15 7 6" xfId="2489"/>
    <cellStyle name="Normal 15 7 6 2" xfId="6383"/>
    <cellStyle name="Normal 15 7 6 2 2" xfId="22545"/>
    <cellStyle name="Normal 15 7 7" xfId="2492"/>
    <cellStyle name="Normal 15 7 7 2" xfId="6386"/>
    <cellStyle name="Normal 15 7 7 2 2" xfId="22548"/>
    <cellStyle name="Normal 15 7 8" xfId="329"/>
    <cellStyle name="Normal 15 7 8 2" xfId="4271"/>
    <cellStyle name="Normal 15 7 8 2 2" xfId="20434"/>
    <cellStyle name="Normal 15 7 9" xfId="9944"/>
    <cellStyle name="Normal 15 7 9 2" xfId="26092"/>
    <cellStyle name="Normal 15 8" xfId="2493"/>
    <cellStyle name="Normal 15 8 10" xfId="9945"/>
    <cellStyle name="Normal 15 8 10 2" xfId="26093"/>
    <cellStyle name="Normal 15 8 11" xfId="9946"/>
    <cellStyle name="Normal 15 8 11 2" xfId="26094"/>
    <cellStyle name="Normal 15 8 12" xfId="9947"/>
    <cellStyle name="Normal 15 8 12 2" xfId="26095"/>
    <cellStyle name="Normal 15 8 13" xfId="9948"/>
    <cellStyle name="Normal 15 8 13 2" xfId="26096"/>
    <cellStyle name="Normal 15 8 14" xfId="9949"/>
    <cellStyle name="Normal 15 8 14 2" xfId="26097"/>
    <cellStyle name="Normal 15 8 15" xfId="9950"/>
    <cellStyle name="Normal 15 8 15 2" xfId="26098"/>
    <cellStyle name="Normal 15 8 16" xfId="9951"/>
    <cellStyle name="Normal 15 8 16 2" xfId="26099"/>
    <cellStyle name="Normal 15 8 17" xfId="9952"/>
    <cellStyle name="Normal 15 8 17 2" xfId="26100"/>
    <cellStyle name="Normal 15 8 18" xfId="6388"/>
    <cellStyle name="Normal 15 8 18 2" xfId="22550"/>
    <cellStyle name="Normal 15 8 2" xfId="960"/>
    <cellStyle name="Normal 15 8 2 2" xfId="4879"/>
    <cellStyle name="Normal 15 8 2 2 2" xfId="21041"/>
    <cellStyle name="Normal 15 8 3" xfId="506"/>
    <cellStyle name="Normal 15 8 3 2" xfId="4440"/>
    <cellStyle name="Normal 15 8 3 2 2" xfId="20603"/>
    <cellStyle name="Normal 15 8 4" xfId="696"/>
    <cellStyle name="Normal 15 8 4 2" xfId="4623"/>
    <cellStyle name="Normal 15 8 4 2 2" xfId="20785"/>
    <cellStyle name="Normal 15 8 5" xfId="962"/>
    <cellStyle name="Normal 15 8 5 2" xfId="4883"/>
    <cellStyle name="Normal 15 8 5 2 2" xfId="21045"/>
    <cellStyle name="Normal 15 8 6" xfId="1773"/>
    <cellStyle name="Normal 15 8 6 2" xfId="5684"/>
    <cellStyle name="Normal 15 8 6 2 2" xfId="21846"/>
    <cellStyle name="Normal 15 8 7" xfId="1775"/>
    <cellStyle name="Normal 15 8 7 2" xfId="5686"/>
    <cellStyle name="Normal 15 8 7 2 2" xfId="21848"/>
    <cellStyle name="Normal 15 8 8" xfId="1777"/>
    <cellStyle name="Normal 15 8 8 2" xfId="5689"/>
    <cellStyle name="Normal 15 8 8 2 2" xfId="21851"/>
    <cellStyle name="Normal 15 8 9" xfId="9953"/>
    <cellStyle name="Normal 15 8 9 2" xfId="26101"/>
    <cellStyle name="Normal 15 9" xfId="2495"/>
    <cellStyle name="Normal 15 9 10" xfId="9954"/>
    <cellStyle name="Normal 15 9 10 2" xfId="26102"/>
    <cellStyle name="Normal 15 9 11" xfId="9955"/>
    <cellStyle name="Normal 15 9 11 2" xfId="26103"/>
    <cellStyle name="Normal 15 9 12" xfId="9956"/>
    <cellStyle name="Normal 15 9 12 2" xfId="26104"/>
    <cellStyle name="Normal 15 9 13" xfId="9957"/>
    <cellStyle name="Normal 15 9 13 2" xfId="26105"/>
    <cellStyle name="Normal 15 9 14" xfId="9958"/>
    <cellStyle name="Normal 15 9 14 2" xfId="26106"/>
    <cellStyle name="Normal 15 9 15" xfId="9959"/>
    <cellStyle name="Normal 15 9 15 2" xfId="26107"/>
    <cellStyle name="Normal 15 9 16" xfId="9960"/>
    <cellStyle name="Normal 15 9 16 2" xfId="26108"/>
    <cellStyle name="Normal 15 9 17" xfId="9961"/>
    <cellStyle name="Normal 15 9 17 2" xfId="26109"/>
    <cellStyle name="Normal 15 9 18" xfId="6390"/>
    <cellStyle name="Normal 15 9 18 2" xfId="22552"/>
    <cellStyle name="Normal 15 9 2" xfId="973"/>
    <cellStyle name="Normal 15 9 2 2" xfId="4892"/>
    <cellStyle name="Normal 15 9 2 2 2" xfId="21054"/>
    <cellStyle name="Normal 15 9 3" xfId="602"/>
    <cellStyle name="Normal 15 9 3 2" xfId="4530"/>
    <cellStyle name="Normal 15 9 3 2 2" xfId="20693"/>
    <cellStyle name="Normal 15 9 4" xfId="977"/>
    <cellStyle name="Normal 15 9 4 2" xfId="4900"/>
    <cellStyle name="Normal 15 9 4 2 2" xfId="21062"/>
    <cellStyle name="Normal 15 9 5" xfId="981"/>
    <cellStyle name="Normal 15 9 5 2" xfId="4903"/>
    <cellStyle name="Normal 15 9 5 2 2" xfId="21065"/>
    <cellStyle name="Normal 15 9 6" xfId="2321"/>
    <cellStyle name="Normal 15 9 6 2" xfId="6219"/>
    <cellStyle name="Normal 15 9 6 2 2" xfId="22381"/>
    <cellStyle name="Normal 15 9 7" xfId="2322"/>
    <cellStyle name="Normal 15 9 7 2" xfId="6220"/>
    <cellStyle name="Normal 15 9 7 2 2" xfId="22382"/>
    <cellStyle name="Normal 15 9 8" xfId="2497"/>
    <cellStyle name="Normal 15 9 8 2" xfId="6391"/>
    <cellStyle name="Normal 15 9 8 2 2" xfId="22553"/>
    <cellStyle name="Normal 15 9 9" xfId="9962"/>
    <cellStyle name="Normal 15 9 9 2" xfId="26110"/>
    <cellStyle name="Normal 15_2bhk_19122016" xfId="9963"/>
    <cellStyle name="Normal 16" xfId="1238"/>
    <cellStyle name="Normal 16 2" xfId="2464"/>
    <cellStyle name="Normal 16 2 2" xfId="2498"/>
    <cellStyle name="Normal 16 2 2 10" xfId="9964"/>
    <cellStyle name="Normal 16 2 2 10 2" xfId="26111"/>
    <cellStyle name="Normal 16 2 2 11" xfId="9965"/>
    <cellStyle name="Normal 16 2 2 11 2" xfId="26112"/>
    <cellStyle name="Normal 16 2 2 12" xfId="9966"/>
    <cellStyle name="Normal 16 2 2 12 2" xfId="26113"/>
    <cellStyle name="Normal 16 2 2 13" xfId="6392"/>
    <cellStyle name="Normal 16 2 2 13 2" xfId="22554"/>
    <cellStyle name="Normal 16 2 2 14" xfId="19672"/>
    <cellStyle name="Normal 16 2 2 2" xfId="297"/>
    <cellStyle name="Normal 16 2 2 2 10" xfId="9967"/>
    <cellStyle name="Normal 16 2 2 2 10 2" xfId="26114"/>
    <cellStyle name="Normal 16 2 2 2 11" xfId="4239"/>
    <cellStyle name="Normal 16 2 2 2 11 2" xfId="20402"/>
    <cellStyle name="Normal 16 2 2 2 12" xfId="19056"/>
    <cellStyle name="Normal 16 2 2 2 2" xfId="9968"/>
    <cellStyle name="Normal 16 2 2 2 2 2" xfId="26115"/>
    <cellStyle name="Normal 16 2 2 2 3" xfId="9969"/>
    <cellStyle name="Normal 16 2 2 2 3 2" xfId="26116"/>
    <cellStyle name="Normal 16 2 2 2 4" xfId="9970"/>
    <cellStyle name="Normal 16 2 2 2 4 2" xfId="26117"/>
    <cellStyle name="Normal 16 2 2 2 5" xfId="9971"/>
    <cellStyle name="Normal 16 2 2 2 5 2" xfId="26118"/>
    <cellStyle name="Normal 16 2 2 2 6" xfId="9972"/>
    <cellStyle name="Normal 16 2 2 2 6 2" xfId="26119"/>
    <cellStyle name="Normal 16 2 2 2 7" xfId="9973"/>
    <cellStyle name="Normal 16 2 2 2 7 2" xfId="26120"/>
    <cellStyle name="Normal 16 2 2 2 8" xfId="9974"/>
    <cellStyle name="Normal 16 2 2 2 8 2" xfId="26121"/>
    <cellStyle name="Normal 16 2 2 2 9" xfId="9975"/>
    <cellStyle name="Normal 16 2 2 2 9 2" xfId="26122"/>
    <cellStyle name="Normal 16 2 2 3" xfId="128"/>
    <cellStyle name="Normal 16 2 2 3 10" xfId="9976"/>
    <cellStyle name="Normal 16 2 2 3 10 2" xfId="26123"/>
    <cellStyle name="Normal 16 2 2 3 11" xfId="4079"/>
    <cellStyle name="Normal 16 2 2 3 11 2" xfId="20242"/>
    <cellStyle name="Normal 16 2 2 3 12" xfId="18995"/>
    <cellStyle name="Normal 16 2 2 3 2" xfId="9977"/>
    <cellStyle name="Normal 16 2 2 3 2 2" xfId="26124"/>
    <cellStyle name="Normal 16 2 2 3 3" xfId="9978"/>
    <cellStyle name="Normal 16 2 2 3 3 2" xfId="26125"/>
    <cellStyle name="Normal 16 2 2 3 4" xfId="9979"/>
    <cellStyle name="Normal 16 2 2 3 4 2" xfId="26126"/>
    <cellStyle name="Normal 16 2 2 3 5" xfId="9980"/>
    <cellStyle name="Normal 16 2 2 3 5 2" xfId="26127"/>
    <cellStyle name="Normal 16 2 2 3 6" xfId="9981"/>
    <cellStyle name="Normal 16 2 2 3 6 2" xfId="26128"/>
    <cellStyle name="Normal 16 2 2 3 7" xfId="9982"/>
    <cellStyle name="Normal 16 2 2 3 7 2" xfId="26129"/>
    <cellStyle name="Normal 16 2 2 3 8" xfId="9983"/>
    <cellStyle name="Normal 16 2 2 3 8 2" xfId="26130"/>
    <cellStyle name="Normal 16 2 2 3 9" xfId="9984"/>
    <cellStyle name="Normal 16 2 2 3 9 2" xfId="26131"/>
    <cellStyle name="Normal 16 2 2 4" xfId="9985"/>
    <cellStyle name="Normal 16 2 2 4 2" xfId="26132"/>
    <cellStyle name="Normal 16 2 2 5" xfId="9986"/>
    <cellStyle name="Normal 16 2 2 5 2" xfId="26133"/>
    <cellStyle name="Normal 16 2 2 6" xfId="9987"/>
    <cellStyle name="Normal 16 2 2 6 2" xfId="26134"/>
    <cellStyle name="Normal 16 2 2 7" xfId="9988"/>
    <cellStyle name="Normal 16 2 2 7 2" xfId="26135"/>
    <cellStyle name="Normal 16 2 2 8" xfId="9989"/>
    <cellStyle name="Normal 16 2 2 8 2" xfId="26136"/>
    <cellStyle name="Normal 16 2 2 9" xfId="9990"/>
    <cellStyle name="Normal 16 2 2 9 2" xfId="26137"/>
    <cellStyle name="Normal 16 2 3" xfId="6358"/>
    <cellStyle name="Normal 16 2 3 2" xfId="22520"/>
    <cellStyle name="Normal 16 2_Schedule-1" xfId="9991"/>
    <cellStyle name="Normal 16 3" xfId="2468"/>
    <cellStyle name="Normal 16 3 2" xfId="9992"/>
    <cellStyle name="Normal 16 3 2 2" xfId="9993"/>
    <cellStyle name="Normal 16 3 2 2 2" xfId="26138"/>
    <cellStyle name="Normal 16 3 3" xfId="6362"/>
    <cellStyle name="Normal 16 3 3 2" xfId="22524"/>
    <cellStyle name="Normal 16 4" xfId="2472"/>
    <cellStyle name="Normal 16 4 2" xfId="9994"/>
    <cellStyle name="Normal 16 4 2 2" xfId="26139"/>
    <cellStyle name="Normal 16 4 3" xfId="6366"/>
    <cellStyle name="Normal 16 4 3 2" xfId="22528"/>
    <cellStyle name="Normal 16 5" xfId="2499"/>
    <cellStyle name="Normal 16 5 2" xfId="9995"/>
    <cellStyle name="Normal 16 5 2 2" xfId="26140"/>
    <cellStyle name="Normal 16 5 3" xfId="6394"/>
    <cellStyle name="Normal 16 5 3 2" xfId="22556"/>
    <cellStyle name="Normal 16 6" xfId="9996"/>
    <cellStyle name="Normal 16 6 2" xfId="9997"/>
    <cellStyle name="Normal 16 6 2 2" xfId="26142"/>
    <cellStyle name="Normal 16 6 3" xfId="26141"/>
    <cellStyle name="Normal 16 7" xfId="9998"/>
    <cellStyle name="Normal 16 7 2" xfId="9999"/>
    <cellStyle name="Normal 16 7 2 2" xfId="26144"/>
    <cellStyle name="Normal 16 7 3" xfId="26143"/>
    <cellStyle name="Normal 16 8" xfId="10000"/>
    <cellStyle name="Normal 16 8 2" xfId="10001"/>
    <cellStyle name="Normal 16 8 2 2" xfId="26146"/>
    <cellStyle name="Normal 16 8 3" xfId="26145"/>
    <cellStyle name="Normal 16 9" xfId="5158"/>
    <cellStyle name="Normal 16 9 2" xfId="21320"/>
    <cellStyle name="Normal 16_10.Estimate- BEERVELLY" xfId="17"/>
    <cellStyle name="Normal 17" xfId="1243"/>
    <cellStyle name="Normal 17 10" xfId="2502"/>
    <cellStyle name="Normal 17 10 2" xfId="6396"/>
    <cellStyle name="Normal 17 10 2 2" xfId="22558"/>
    <cellStyle name="Normal 17 11" xfId="10002"/>
    <cellStyle name="Normal 17 11 2" xfId="26147"/>
    <cellStyle name="Normal 17 12" xfId="10003"/>
    <cellStyle name="Normal 17 12 2" xfId="26148"/>
    <cellStyle name="Normal 17 13" xfId="10004"/>
    <cellStyle name="Normal 17 13 2" xfId="26149"/>
    <cellStyle name="Normal 17 14" xfId="10005"/>
    <cellStyle name="Normal 17 14 2" xfId="26150"/>
    <cellStyle name="Normal 17 15" xfId="10006"/>
    <cellStyle name="Normal 17 15 2" xfId="26151"/>
    <cellStyle name="Normal 17 16" xfId="10007"/>
    <cellStyle name="Normal 17 16 2" xfId="26152"/>
    <cellStyle name="Normal 17 17" xfId="10008"/>
    <cellStyle name="Normal 17 17 2" xfId="26153"/>
    <cellStyle name="Normal 17 18" xfId="10009"/>
    <cellStyle name="Normal 17 18 2" xfId="26154"/>
    <cellStyle name="Normal 17 19" xfId="10010"/>
    <cellStyle name="Normal 17 19 2" xfId="26155"/>
    <cellStyle name="Normal 17 2" xfId="2477"/>
    <cellStyle name="Normal 17 2 2" xfId="616"/>
    <cellStyle name="Normal 17 2 2 10" xfId="10011"/>
    <cellStyle name="Normal 17 2 2 10 2" xfId="26156"/>
    <cellStyle name="Normal 17 2 2 11" xfId="10012"/>
    <cellStyle name="Normal 17 2 2 11 2" xfId="26157"/>
    <cellStyle name="Normal 17 2 2 12" xfId="10013"/>
    <cellStyle name="Normal 17 2 2 12 2" xfId="26158"/>
    <cellStyle name="Normal 17 2 2 13" xfId="4551"/>
    <cellStyle name="Normal 17 2 2 13 2" xfId="20713"/>
    <cellStyle name="Normal 17 2 2 14" xfId="19129"/>
    <cellStyle name="Normal 17 2 2 2" xfId="631"/>
    <cellStyle name="Normal 17 2 2 2 10" xfId="10014"/>
    <cellStyle name="Normal 17 2 2 2 10 2" xfId="26159"/>
    <cellStyle name="Normal 17 2 2 2 11" xfId="4561"/>
    <cellStyle name="Normal 17 2 2 2 11 2" xfId="20723"/>
    <cellStyle name="Normal 17 2 2 2 12" xfId="19137"/>
    <cellStyle name="Normal 17 2 2 2 2" xfId="10015"/>
    <cellStyle name="Normal 17 2 2 2 2 2" xfId="26160"/>
    <cellStyle name="Normal 17 2 2 2 3" xfId="10016"/>
    <cellStyle name="Normal 17 2 2 2 3 2" xfId="26161"/>
    <cellStyle name="Normal 17 2 2 2 4" xfId="10017"/>
    <cellStyle name="Normal 17 2 2 2 4 2" xfId="26162"/>
    <cellStyle name="Normal 17 2 2 2 5" xfId="10018"/>
    <cellStyle name="Normal 17 2 2 2 5 2" xfId="26163"/>
    <cellStyle name="Normal 17 2 2 2 6" xfId="10019"/>
    <cellStyle name="Normal 17 2 2 2 6 2" xfId="26164"/>
    <cellStyle name="Normal 17 2 2 2 7" xfId="10020"/>
    <cellStyle name="Normal 17 2 2 2 7 2" xfId="26165"/>
    <cellStyle name="Normal 17 2 2 2 8" xfId="10021"/>
    <cellStyle name="Normal 17 2 2 2 8 2" xfId="26166"/>
    <cellStyle name="Normal 17 2 2 2 9" xfId="10022"/>
    <cellStyle name="Normal 17 2 2 2 9 2" xfId="26167"/>
    <cellStyle name="Normal 17 2 2 3" xfId="634"/>
    <cellStyle name="Normal 17 2 2 3 10" xfId="10023"/>
    <cellStyle name="Normal 17 2 2 3 10 2" xfId="26168"/>
    <cellStyle name="Normal 17 2 2 3 11" xfId="4565"/>
    <cellStyle name="Normal 17 2 2 3 11 2" xfId="20727"/>
    <cellStyle name="Normal 17 2 2 3 12" xfId="19139"/>
    <cellStyle name="Normal 17 2 2 3 2" xfId="10024"/>
    <cellStyle name="Normal 17 2 2 3 2 2" xfId="26169"/>
    <cellStyle name="Normal 17 2 2 3 3" xfId="10025"/>
    <cellStyle name="Normal 17 2 2 3 3 2" xfId="26170"/>
    <cellStyle name="Normal 17 2 2 3 4" xfId="10026"/>
    <cellStyle name="Normal 17 2 2 3 4 2" xfId="26171"/>
    <cellStyle name="Normal 17 2 2 3 5" xfId="10027"/>
    <cellStyle name="Normal 17 2 2 3 5 2" xfId="26172"/>
    <cellStyle name="Normal 17 2 2 3 6" xfId="10028"/>
    <cellStyle name="Normal 17 2 2 3 6 2" xfId="26173"/>
    <cellStyle name="Normal 17 2 2 3 7" xfId="10029"/>
    <cellStyle name="Normal 17 2 2 3 7 2" xfId="26174"/>
    <cellStyle name="Normal 17 2 2 3 8" xfId="10030"/>
    <cellStyle name="Normal 17 2 2 3 8 2" xfId="26175"/>
    <cellStyle name="Normal 17 2 2 3 9" xfId="10031"/>
    <cellStyle name="Normal 17 2 2 3 9 2" xfId="26176"/>
    <cellStyle name="Normal 17 2 2 4" xfId="10032"/>
    <cellStyle name="Normal 17 2 2 4 2" xfId="26177"/>
    <cellStyle name="Normal 17 2 2 5" xfId="10033"/>
    <cellStyle name="Normal 17 2 2 5 2" xfId="26178"/>
    <cellStyle name="Normal 17 2 2 6" xfId="10034"/>
    <cellStyle name="Normal 17 2 2 6 2" xfId="26179"/>
    <cellStyle name="Normal 17 2 2 7" xfId="10035"/>
    <cellStyle name="Normal 17 2 2 7 2" xfId="26180"/>
    <cellStyle name="Normal 17 2 2 8" xfId="10036"/>
    <cellStyle name="Normal 17 2 2 8 2" xfId="26181"/>
    <cellStyle name="Normal 17 2 2 9" xfId="10037"/>
    <cellStyle name="Normal 17 2 2 9 2" xfId="26182"/>
    <cellStyle name="Normal 17 2 3" xfId="918"/>
    <cellStyle name="Normal 17 2 3 10" xfId="10038"/>
    <cellStyle name="Normal 17 2 3 10 2" xfId="26183"/>
    <cellStyle name="Normal 17 2 3 11" xfId="10039"/>
    <cellStyle name="Normal 17 2 3 11 2" xfId="26184"/>
    <cellStyle name="Normal 17 2 3 12" xfId="10040"/>
    <cellStyle name="Normal 17 2 3 12 2" xfId="26185"/>
    <cellStyle name="Normal 17 2 3 13" xfId="4840"/>
    <cellStyle name="Normal 17 2 3 13 2" xfId="21002"/>
    <cellStyle name="Normal 17 2 3 14" xfId="19231"/>
    <cellStyle name="Normal 17 2 3 2" xfId="928"/>
    <cellStyle name="Normal 17 2 3 2 10" xfId="10041"/>
    <cellStyle name="Normal 17 2 3 2 10 2" xfId="26186"/>
    <cellStyle name="Normal 17 2 3 2 11" xfId="4847"/>
    <cellStyle name="Normal 17 2 3 2 11 2" xfId="21009"/>
    <cellStyle name="Normal 17 2 3 2 12" xfId="19236"/>
    <cellStyle name="Normal 17 2 3 2 2" xfId="10042"/>
    <cellStyle name="Normal 17 2 3 2 2 2" xfId="26187"/>
    <cellStyle name="Normal 17 2 3 2 3" xfId="10043"/>
    <cellStyle name="Normal 17 2 3 2 3 2" xfId="26188"/>
    <cellStyle name="Normal 17 2 3 2 4" xfId="10044"/>
    <cellStyle name="Normal 17 2 3 2 4 2" xfId="26189"/>
    <cellStyle name="Normal 17 2 3 2 5" xfId="10045"/>
    <cellStyle name="Normal 17 2 3 2 5 2" xfId="26190"/>
    <cellStyle name="Normal 17 2 3 2 6" xfId="10046"/>
    <cellStyle name="Normal 17 2 3 2 6 2" xfId="26191"/>
    <cellStyle name="Normal 17 2 3 2 7" xfId="10047"/>
    <cellStyle name="Normal 17 2 3 2 7 2" xfId="26192"/>
    <cellStyle name="Normal 17 2 3 2 8" xfId="10048"/>
    <cellStyle name="Normal 17 2 3 2 8 2" xfId="26193"/>
    <cellStyle name="Normal 17 2 3 2 9" xfId="10049"/>
    <cellStyle name="Normal 17 2 3 2 9 2" xfId="26194"/>
    <cellStyle name="Normal 17 2 3 3" xfId="931"/>
    <cellStyle name="Normal 17 2 3 3 10" xfId="10050"/>
    <cellStyle name="Normal 17 2 3 3 10 2" xfId="26195"/>
    <cellStyle name="Normal 17 2 3 3 11" xfId="4851"/>
    <cellStyle name="Normal 17 2 3 3 11 2" xfId="21013"/>
    <cellStyle name="Normal 17 2 3 3 12" xfId="19237"/>
    <cellStyle name="Normal 17 2 3 3 2" xfId="10051"/>
    <cellStyle name="Normal 17 2 3 3 2 2" xfId="26196"/>
    <cellStyle name="Normal 17 2 3 3 3" xfId="10052"/>
    <cellStyle name="Normal 17 2 3 3 3 2" xfId="26197"/>
    <cellStyle name="Normal 17 2 3 3 4" xfId="10053"/>
    <cellStyle name="Normal 17 2 3 3 4 2" xfId="26198"/>
    <cellStyle name="Normal 17 2 3 3 5" xfId="10054"/>
    <cellStyle name="Normal 17 2 3 3 5 2" xfId="26199"/>
    <cellStyle name="Normal 17 2 3 3 6" xfId="10055"/>
    <cellStyle name="Normal 17 2 3 3 6 2" xfId="26200"/>
    <cellStyle name="Normal 17 2 3 3 7" xfId="10056"/>
    <cellStyle name="Normal 17 2 3 3 7 2" xfId="26201"/>
    <cellStyle name="Normal 17 2 3 3 8" xfId="10057"/>
    <cellStyle name="Normal 17 2 3 3 8 2" xfId="26202"/>
    <cellStyle name="Normal 17 2 3 3 9" xfId="10058"/>
    <cellStyle name="Normal 17 2 3 3 9 2" xfId="26203"/>
    <cellStyle name="Normal 17 2 3 4" xfId="10059"/>
    <cellStyle name="Normal 17 2 3 4 2" xfId="26204"/>
    <cellStyle name="Normal 17 2 3 5" xfId="10060"/>
    <cellStyle name="Normal 17 2 3 5 2" xfId="26205"/>
    <cellStyle name="Normal 17 2 3 6" xfId="10061"/>
    <cellStyle name="Normal 17 2 3 6 2" xfId="26206"/>
    <cellStyle name="Normal 17 2 3 7" xfId="10062"/>
    <cellStyle name="Normal 17 2 3 7 2" xfId="26207"/>
    <cellStyle name="Normal 17 2 3 8" xfId="10063"/>
    <cellStyle name="Normal 17 2 3 8 2" xfId="26208"/>
    <cellStyle name="Normal 17 2 3 9" xfId="10064"/>
    <cellStyle name="Normal 17 2 3 9 2" xfId="26209"/>
    <cellStyle name="Normal 17 2 4" xfId="6372"/>
    <cellStyle name="Normal 17 2 4 2" xfId="22534"/>
    <cellStyle name="Normal 17 20" xfId="5163"/>
    <cellStyle name="Normal 17 20 2" xfId="21325"/>
    <cellStyle name="Normal 17 3" xfId="1743"/>
    <cellStyle name="Normal 17 3 2" xfId="5655"/>
    <cellStyle name="Normal 17 3 2 2" xfId="21817"/>
    <cellStyle name="Normal 17 4" xfId="2480"/>
    <cellStyle name="Normal 17 4 2" xfId="6375"/>
    <cellStyle name="Normal 17 4 2 2" xfId="22537"/>
    <cellStyle name="Normal 17 5" xfId="2503"/>
    <cellStyle name="Normal 17 5 2" xfId="6398"/>
    <cellStyle name="Normal 17 5 2 2" xfId="22560"/>
    <cellStyle name="Normal 17 6" xfId="110"/>
    <cellStyle name="Normal 17 6 2" xfId="4053"/>
    <cellStyle name="Normal 17 6 2 2" xfId="20216"/>
    <cellStyle name="Normal 17 7" xfId="170"/>
    <cellStyle name="Normal 17 7 2" xfId="4099"/>
    <cellStyle name="Normal 17 7 2 2" xfId="20262"/>
    <cellStyle name="Normal 17 8" xfId="187"/>
    <cellStyle name="Normal 17 8 10" xfId="10065"/>
    <cellStyle name="Normal 17 8 10 2" xfId="26210"/>
    <cellStyle name="Normal 17 8 11" xfId="10066"/>
    <cellStyle name="Normal 17 8 11 2" xfId="26211"/>
    <cellStyle name="Normal 17 8 12" xfId="10067"/>
    <cellStyle name="Normal 17 8 12 2" xfId="26212"/>
    <cellStyle name="Normal 17 8 13" xfId="4114"/>
    <cellStyle name="Normal 17 8 13 2" xfId="20277"/>
    <cellStyle name="Normal 17 8 14" xfId="19016"/>
    <cellStyle name="Normal 17 8 2" xfId="81"/>
    <cellStyle name="Normal 17 8 2 10" xfId="10068"/>
    <cellStyle name="Normal 17 8 2 10 2" xfId="26213"/>
    <cellStyle name="Normal 17 8 2 11" xfId="4033"/>
    <cellStyle name="Normal 17 8 2 11 2" xfId="20196"/>
    <cellStyle name="Normal 17 8 2 12" xfId="18984"/>
    <cellStyle name="Normal 17 8 2 2" xfId="10069"/>
    <cellStyle name="Normal 17 8 2 2 2" xfId="26214"/>
    <cellStyle name="Normal 17 8 2 3" xfId="10070"/>
    <cellStyle name="Normal 17 8 2 3 2" xfId="26215"/>
    <cellStyle name="Normal 17 8 2 4" xfId="10071"/>
    <cellStyle name="Normal 17 8 2 4 2" xfId="26216"/>
    <cellStyle name="Normal 17 8 2 5" xfId="10072"/>
    <cellStyle name="Normal 17 8 2 5 2" xfId="26217"/>
    <cellStyle name="Normal 17 8 2 6" xfId="10073"/>
    <cellStyle name="Normal 17 8 2 6 2" xfId="26218"/>
    <cellStyle name="Normal 17 8 2 7" xfId="10074"/>
    <cellStyle name="Normal 17 8 2 7 2" xfId="26219"/>
    <cellStyle name="Normal 17 8 2 8" xfId="10075"/>
    <cellStyle name="Normal 17 8 2 8 2" xfId="26220"/>
    <cellStyle name="Normal 17 8 2 9" xfId="10076"/>
    <cellStyle name="Normal 17 8 2 9 2" xfId="26221"/>
    <cellStyle name="Normal 17 8 3" xfId="89"/>
    <cellStyle name="Normal 17 8 3 10" xfId="10077"/>
    <cellStyle name="Normal 17 8 3 10 2" xfId="26222"/>
    <cellStyle name="Normal 17 8 3 11" xfId="4040"/>
    <cellStyle name="Normal 17 8 3 11 2" xfId="20203"/>
    <cellStyle name="Normal 17 8 3 12" xfId="18986"/>
    <cellStyle name="Normal 17 8 3 2" xfId="10078"/>
    <cellStyle name="Normal 17 8 3 2 2" xfId="26223"/>
    <cellStyle name="Normal 17 8 3 3" xfId="10079"/>
    <cellStyle name="Normal 17 8 3 3 2" xfId="26224"/>
    <cellStyle name="Normal 17 8 3 4" xfId="10080"/>
    <cellStyle name="Normal 17 8 3 4 2" xfId="26225"/>
    <cellStyle name="Normal 17 8 3 5" xfId="10081"/>
    <cellStyle name="Normal 17 8 3 5 2" xfId="26226"/>
    <cellStyle name="Normal 17 8 3 6" xfId="10082"/>
    <cellStyle name="Normal 17 8 3 6 2" xfId="26227"/>
    <cellStyle name="Normal 17 8 3 7" xfId="10083"/>
    <cellStyle name="Normal 17 8 3 7 2" xfId="26228"/>
    <cellStyle name="Normal 17 8 3 8" xfId="10084"/>
    <cellStyle name="Normal 17 8 3 8 2" xfId="26229"/>
    <cellStyle name="Normal 17 8 3 9" xfId="10085"/>
    <cellStyle name="Normal 17 8 3 9 2" xfId="26230"/>
    <cellStyle name="Normal 17 8 4" xfId="10086"/>
    <cellStyle name="Normal 17 8 4 2" xfId="26231"/>
    <cellStyle name="Normal 17 8 4 2 2" xfId="10087"/>
    <cellStyle name="Normal 17 8 4 2 2 2" xfId="26232"/>
    <cellStyle name="Normal 17 8 4 3" xfId="10088"/>
    <cellStyle name="Normal 17 8 4 3 2" xfId="26233"/>
    <cellStyle name="Normal 17 8 5" xfId="10089"/>
    <cellStyle name="Normal 17 8 5 2" xfId="26234"/>
    <cellStyle name="Normal 17 8 6" xfId="10090"/>
    <cellStyle name="Normal 17 8 6 2" xfId="26235"/>
    <cellStyle name="Normal 17 8 7" xfId="10091"/>
    <cellStyle name="Normal 17 8 7 2" xfId="26236"/>
    <cellStyle name="Normal 17 8 8" xfId="10092"/>
    <cellStyle name="Normal 17 8 8 2" xfId="26237"/>
    <cellStyle name="Normal 17 8 9" xfId="10093"/>
    <cellStyle name="Normal 17 8 9 2" xfId="26238"/>
    <cellStyle name="Normal 17 9" xfId="195"/>
    <cellStyle name="Normal 17 9 2" xfId="4121"/>
    <cellStyle name="Normal 17 9 2 2" xfId="20284"/>
    <cellStyle name="Normal 17_2bhk_19122016" xfId="10094"/>
    <cellStyle name="Normal 18" xfId="908"/>
    <cellStyle name="Normal 18 10" xfId="10095"/>
    <cellStyle name="Normal 18 10 2" xfId="26239"/>
    <cellStyle name="Normal 18 11" xfId="10096"/>
    <cellStyle name="Normal 18 11 2" xfId="26240"/>
    <cellStyle name="Normal 18 12" xfId="10097"/>
    <cellStyle name="Normal 18 12 2" xfId="26241"/>
    <cellStyle name="Normal 18 13" xfId="10098"/>
    <cellStyle name="Normal 18 13 2" xfId="26242"/>
    <cellStyle name="Normal 18 14" xfId="10099"/>
    <cellStyle name="Normal 18 14 2" xfId="26243"/>
    <cellStyle name="Normal 18 15" xfId="10100"/>
    <cellStyle name="Normal 18 15 2" xfId="26244"/>
    <cellStyle name="Normal 18 16" xfId="10101"/>
    <cellStyle name="Normal 18 16 2" xfId="26245"/>
    <cellStyle name="Normal 18 17" xfId="10102"/>
    <cellStyle name="Normal 18 17 2" xfId="26246"/>
    <cellStyle name="Normal 18 18" xfId="4826"/>
    <cellStyle name="Normal 18 18 2" xfId="20988"/>
    <cellStyle name="Normal 18 2" xfId="2487"/>
    <cellStyle name="Normal 18 2 2" xfId="10103"/>
    <cellStyle name="Normal 18 2 2 2" xfId="26247"/>
    <cellStyle name="Normal 18 2 3" xfId="6382"/>
    <cellStyle name="Normal 18 2 3 2" xfId="22544"/>
    <cellStyle name="Normal 18 3" xfId="2490"/>
    <cellStyle name="Normal 18 3 2" xfId="6385"/>
    <cellStyle name="Normal 18 3 2 2" xfId="22547"/>
    <cellStyle name="Normal 18 4" xfId="326"/>
    <cellStyle name="Normal 18 4 2" xfId="4272"/>
    <cellStyle name="Normal 18 4 2 2" xfId="20435"/>
    <cellStyle name="Normal 18 5" xfId="331"/>
    <cellStyle name="Normal 18 5 2" xfId="4276"/>
    <cellStyle name="Normal 18 5 2 2" xfId="20439"/>
    <cellStyle name="Normal 18 6" xfId="2505"/>
    <cellStyle name="Normal 18 6 2" xfId="6400"/>
    <cellStyle name="Normal 18 6 2 2" xfId="22562"/>
    <cellStyle name="Normal 18 7" xfId="1898"/>
    <cellStyle name="Normal 18 7 2" xfId="5806"/>
    <cellStyle name="Normal 18 7 2 2" xfId="21968"/>
    <cellStyle name="Normal 18 8" xfId="2507"/>
    <cellStyle name="Normal 18 8 2" xfId="6402"/>
    <cellStyle name="Normal 18 8 2 2" xfId="22564"/>
    <cellStyle name="Normal 18 9" xfId="10104"/>
    <cellStyle name="Normal 18 9 2" xfId="26248"/>
    <cellStyle name="Normal 19" xfId="913"/>
    <cellStyle name="Normal 19 2" xfId="10105"/>
    <cellStyle name="Normal 19 2 2" xfId="10106"/>
    <cellStyle name="Normal 19 2 2 2" xfId="26250"/>
    <cellStyle name="Normal 19 2 3" xfId="26249"/>
    <cellStyle name="Normal 19 3" xfId="4835"/>
    <cellStyle name="Normal 19 3 2" xfId="20997"/>
    <cellStyle name="Normal 19 5" xfId="2510"/>
    <cellStyle name="Normal 19 5 2" xfId="6404"/>
    <cellStyle name="Normal 19 5 2 2" xfId="22566"/>
    <cellStyle name="Normal 2" xfId="1044"/>
    <cellStyle name="Normal 2 10" xfId="2100"/>
    <cellStyle name="Normal 2 10 2" xfId="6000"/>
    <cellStyle name="Normal 2 10 2 2" xfId="22162"/>
    <cellStyle name="Normal 2 11" xfId="2105"/>
    <cellStyle name="Normal 2 11 2" xfId="6005"/>
    <cellStyle name="Normal 2 11 2 2" xfId="22167"/>
    <cellStyle name="Normal 2 12" xfId="1609"/>
    <cellStyle name="Normal 2 12 2" xfId="5522"/>
    <cellStyle name="Normal 2 12 2 2" xfId="21684"/>
    <cellStyle name="Normal 2 13" xfId="1616"/>
    <cellStyle name="Normal 2 13 2" xfId="5529"/>
    <cellStyle name="Normal 2 13 2 2" xfId="21691"/>
    <cellStyle name="Normal 2 14" xfId="2110"/>
    <cellStyle name="Normal 2 14 2" xfId="6010"/>
    <cellStyle name="Normal 2 14 2 2" xfId="22172"/>
    <cellStyle name="Normal 2 15" xfId="2516"/>
    <cellStyle name="Normal 2 15 2" xfId="6410"/>
    <cellStyle name="Normal 2 15 2 2" xfId="22572"/>
    <cellStyle name="Normal 2 16" xfId="2519"/>
    <cellStyle name="Normal 2 16 2" xfId="6413"/>
    <cellStyle name="Normal 2 16 2 2" xfId="22575"/>
    <cellStyle name="Normal 2 17" xfId="2522"/>
    <cellStyle name="Normal 2 17 2" xfId="6416"/>
    <cellStyle name="Normal 2 17 2 2" xfId="22578"/>
    <cellStyle name="Normal 2 18" xfId="2525"/>
    <cellStyle name="Normal 2 18 2" xfId="6419"/>
    <cellStyle name="Normal 2 18 2 2" xfId="22581"/>
    <cellStyle name="Normal 2 19" xfId="2528"/>
    <cellStyle name="Normal 2 19 2" xfId="6421"/>
    <cellStyle name="Normal 2 19 2 2" xfId="22583"/>
    <cellStyle name="Normal 2 2" xfId="2529"/>
    <cellStyle name="Normal 2 2 10" xfId="1205"/>
    <cellStyle name="Normal 2 2 10 2" xfId="5125"/>
    <cellStyle name="Normal 2 2 10 2 2" xfId="21287"/>
    <cellStyle name="Normal 2 2 11" xfId="640"/>
    <cellStyle name="Normal 2 2 11 2" xfId="4569"/>
    <cellStyle name="Normal 2 2 11 2 2" xfId="20731"/>
    <cellStyle name="Normal 2 2 12" xfId="123"/>
    <cellStyle name="Normal 2 2 12 2" xfId="4066"/>
    <cellStyle name="Normal 2 2 12 2 2" xfId="20229"/>
    <cellStyle name="Normal 2 2 13" xfId="2461"/>
    <cellStyle name="Normal 2 2 13 2" xfId="6354"/>
    <cellStyle name="Normal 2 2 13 2 2" xfId="22516"/>
    <cellStyle name="Normal 2 2 14" xfId="2463"/>
    <cellStyle name="Normal 2 2 14 2" xfId="6356"/>
    <cellStyle name="Normal 2 2 14 2 2" xfId="22518"/>
    <cellStyle name="Normal 2 2 15" xfId="2466"/>
    <cellStyle name="Normal 2 2 15 2" xfId="6360"/>
    <cellStyle name="Normal 2 2 15 2 2" xfId="22522"/>
    <cellStyle name="Normal 2 2 16" xfId="2470"/>
    <cellStyle name="Normal 2 2 16 2" xfId="6364"/>
    <cellStyle name="Normal 2 2 16 2 2" xfId="22526"/>
    <cellStyle name="Normal 2 2 17" xfId="2501"/>
    <cellStyle name="Normal 2 2 17 2" xfId="6395"/>
    <cellStyle name="Normal 2 2 17 2 2" xfId="22557"/>
    <cellStyle name="Normal 2 2 18" xfId="2531"/>
    <cellStyle name="Normal 2 2 18 2" xfId="6425"/>
    <cellStyle name="Normal 2 2 18 2 2" xfId="22587"/>
    <cellStyle name="Normal 2 2 19" xfId="272"/>
    <cellStyle name="Normal 2 2 19 2" xfId="4220"/>
    <cellStyle name="Normal 2 2 19 2 2" xfId="20383"/>
    <cellStyle name="Normal 2 2 2" xfId="2533"/>
    <cellStyle name="Normal 2 2 2 10" xfId="2534"/>
    <cellStyle name="Normal 2 2 2 10 2" xfId="6428"/>
    <cellStyle name="Normal 2 2 2 10 2 2" xfId="22590"/>
    <cellStyle name="Normal 2 2 2 11" xfId="2535"/>
    <cellStyle name="Normal 2 2 2 11 2" xfId="6429"/>
    <cellStyle name="Normal 2 2 2 11 2 2" xfId="22591"/>
    <cellStyle name="Normal 2 2 2 12" xfId="10107"/>
    <cellStyle name="Normal 2 2 2 12 2" xfId="26251"/>
    <cellStyle name="Normal 2 2 2 13" xfId="10108"/>
    <cellStyle name="Normal 2 2 2 13 2" xfId="26252"/>
    <cellStyle name="Normal 2 2 2 14" xfId="10109"/>
    <cellStyle name="Normal 2 2 2 14 2" xfId="26253"/>
    <cellStyle name="Normal 2 2 2 15" xfId="6426"/>
    <cellStyle name="Normal 2 2 2 15 2" xfId="22588"/>
    <cellStyle name="Normal 2 2 2 2" xfId="2014"/>
    <cellStyle name="Normal 2 2 2 2 2" xfId="83"/>
    <cellStyle name="Normal 2 2 2 2 2 10" xfId="10110"/>
    <cellStyle name="Normal 2 2 2 2 2 10 2" xfId="26254"/>
    <cellStyle name="Normal 2 2 2 2 2 11" xfId="10111"/>
    <cellStyle name="Normal 2 2 2 2 2 11 2" xfId="26255"/>
    <cellStyle name="Normal 2 2 2 2 2 12" xfId="10112"/>
    <cellStyle name="Normal 2 2 2 2 2 12 2" xfId="26256"/>
    <cellStyle name="Normal 2 2 2 2 2 13" xfId="10113"/>
    <cellStyle name="Normal 2 2 2 2 2 13 2" xfId="26257"/>
    <cellStyle name="Normal 2 2 2 2 2 14" xfId="10114"/>
    <cellStyle name="Normal 2 2 2 2 2 14 2" xfId="26258"/>
    <cellStyle name="Normal 2 2 2 2 2 15" xfId="10115"/>
    <cellStyle name="Normal 2 2 2 2 2 15 2" xfId="26259"/>
    <cellStyle name="Normal 2 2 2 2 2 16" xfId="10116"/>
    <cellStyle name="Normal 2 2 2 2 2 16 2" xfId="26260"/>
    <cellStyle name="Normal 2 2 2 2 2 17" xfId="10117"/>
    <cellStyle name="Normal 2 2 2 2 2 17 2" xfId="26261"/>
    <cellStyle name="Normal 2 2 2 2 2 18" xfId="4029"/>
    <cellStyle name="Normal 2 2 2 2 2 18 2" xfId="20192"/>
    <cellStyle name="Normal 2 2 2 2 2 2" xfId="92"/>
    <cellStyle name="Normal 2 2 2 2 2 2 2" xfId="4160"/>
    <cellStyle name="Normal 2 2 2 2 2 2 2 2" xfId="20323"/>
    <cellStyle name="Normal 2 2 2 2 2 3" xfId="28"/>
    <cellStyle name="Normal 2 2 2 2 2 3 2" xfId="4153"/>
    <cellStyle name="Normal 2 2 2 2 2 3 2 2" xfId="20316"/>
    <cellStyle name="Normal 2 2 2 2 2 4" xfId="2536"/>
    <cellStyle name="Normal 2 2 2 2 2 4 2" xfId="6430"/>
    <cellStyle name="Normal 2 2 2 2 2 4 2 2" xfId="22592"/>
    <cellStyle name="Normal 2 2 2 2 2 5" xfId="2538"/>
    <cellStyle name="Normal 2 2 2 2 2 5 2" xfId="6432"/>
    <cellStyle name="Normal 2 2 2 2 2 5 2 2" xfId="22594"/>
    <cellStyle name="Normal 2 2 2 2 2 6" xfId="2542"/>
    <cellStyle name="Normal 2 2 2 2 2 6 2" xfId="6436"/>
    <cellStyle name="Normal 2 2 2 2 2 6 2 2" xfId="22598"/>
    <cellStyle name="Normal 2 2 2 2 2 7" xfId="46"/>
    <cellStyle name="Normal 2 2 2 2 2 7 2" xfId="4003"/>
    <cellStyle name="Normal 2 2 2 2 2 7 2 2" xfId="20166"/>
    <cellStyle name="Normal 2 2 2 2 2 8" xfId="2546"/>
    <cellStyle name="Normal 2 2 2 2 2 8 2" xfId="6440"/>
    <cellStyle name="Normal 2 2 2 2 2 8 2 2" xfId="22602"/>
    <cellStyle name="Normal 2 2 2 2 2 9" xfId="10118"/>
    <cellStyle name="Normal 2 2 2 2 2 9 2" xfId="26262"/>
    <cellStyle name="Normal 2 2 2 2 3" xfId="5916"/>
    <cellStyle name="Normal 2 2 2 2 3 2" xfId="22078"/>
    <cellStyle name="Normal 2 2 2 3" xfId="199"/>
    <cellStyle name="Normal 2 2 2 3 2" xfId="10119"/>
    <cellStyle name="Normal 2 2 2 3 2 2" xfId="26263"/>
    <cellStyle name="Normal 2 2 2 3 3" xfId="4126"/>
    <cellStyle name="Normal 2 2 2 3 3 2" xfId="20289"/>
    <cellStyle name="Normal 2 2 2 4" xfId="151"/>
    <cellStyle name="Normal 2 2 2 4 2" xfId="10120"/>
    <cellStyle name="Normal 2 2 2 4 2 2" xfId="26264"/>
    <cellStyle name="Normal 2 2 2 4 3" xfId="4088"/>
    <cellStyle name="Normal 2 2 2 4 3 2" xfId="20251"/>
    <cellStyle name="Normal 2 2 2 5" xfId="2017"/>
    <cellStyle name="Normal 2 2 2 5 2" xfId="10121"/>
    <cellStyle name="Normal 2 2 2 5 2 2" xfId="26265"/>
    <cellStyle name="Normal 2 2 2 5 3" xfId="5919"/>
    <cellStyle name="Normal 2 2 2 5 3 2" xfId="22081"/>
    <cellStyle name="Normal 2 2 2 6" xfId="2020"/>
    <cellStyle name="Normal 2 2 2 6 2" xfId="5922"/>
    <cellStyle name="Normal 2 2 2 6 2 2" xfId="22084"/>
    <cellStyle name="Normal 2 2 2 7" xfId="2549"/>
    <cellStyle name="Normal 2 2 2 7 2" xfId="6442"/>
    <cellStyle name="Normal 2 2 2 7 2 2" xfId="22604"/>
    <cellStyle name="Normal 2 2 2 8" xfId="2551"/>
    <cellStyle name="Normal 2 2 2 8 2" xfId="6444"/>
    <cellStyle name="Normal 2 2 2 8 2 2" xfId="22606"/>
    <cellStyle name="Normal 2 2 2 9" xfId="2552"/>
    <cellStyle name="Normal 2 2 2 9 2" xfId="6446"/>
    <cellStyle name="Normal 2 2 2 9 2 2" xfId="22608"/>
    <cellStyle name="Normal 2 2 2_A163.00 Thimmajipet to Nertella pally 25.11.14" xfId="10122"/>
    <cellStyle name="Normal 2 2 20" xfId="2467"/>
    <cellStyle name="Normal 2 2 20 2" xfId="6359"/>
    <cellStyle name="Normal 2 2 20 2 2" xfId="22521"/>
    <cellStyle name="Normal 2 2 21" xfId="2471"/>
    <cellStyle name="Normal 2 2 21 2" xfId="6363"/>
    <cellStyle name="Normal 2 2 21 2 2" xfId="22525"/>
    <cellStyle name="Normal 2 2 22" xfId="10123"/>
    <cellStyle name="Normal 2 2 22 2" xfId="26266"/>
    <cellStyle name="Normal 2 2 23" xfId="10124"/>
    <cellStyle name="Normal 2 2 23 2" xfId="26267"/>
    <cellStyle name="Normal 2 2 24" xfId="10125"/>
    <cellStyle name="Normal 2 2 24 2" xfId="26268"/>
    <cellStyle name="Normal 2 2 25" xfId="279"/>
    <cellStyle name="Normal 2 2 25 2" xfId="4224"/>
    <cellStyle name="Normal 2 2 25 2 2" xfId="20387"/>
    <cellStyle name="Normal 2 2 26" xfId="10126"/>
    <cellStyle name="Normal 2 2 26 2" xfId="26269"/>
    <cellStyle name="Normal 2 2 27" xfId="10127"/>
    <cellStyle name="Normal 2 2 27 2" xfId="26270"/>
    <cellStyle name="Normal 2 2 28" xfId="10128"/>
    <cellStyle name="Normal 2 2 28 2" xfId="26271"/>
    <cellStyle name="Normal 2 2 29" xfId="10129"/>
    <cellStyle name="Normal 2 2 29 2" xfId="26272"/>
    <cellStyle name="Normal 2 2 3" xfId="1022"/>
    <cellStyle name="Normal 2 2 3 10" xfId="486"/>
    <cellStyle name="Normal 2 2 3 10 2" xfId="4422"/>
    <cellStyle name="Normal 2 2 3 10 2 2" xfId="20585"/>
    <cellStyle name="Normal 2 2 3 11" xfId="10130"/>
    <cellStyle name="Normal 2 2 3 11 2" xfId="26273"/>
    <cellStyle name="Normal 2 2 3 12" xfId="10131"/>
    <cellStyle name="Normal 2 2 3 12 2" xfId="26274"/>
    <cellStyle name="Normal 2 2 3 13" xfId="4943"/>
    <cellStyle name="Normal 2 2 3 13 2" xfId="21105"/>
    <cellStyle name="Normal 2 2 3 2" xfId="2030"/>
    <cellStyle name="Normal 2 2 3 2 2" xfId="10132"/>
    <cellStyle name="Normal 2 2 3 2 2 2" xfId="26275"/>
    <cellStyle name="Normal 2 2 3 2 3" xfId="5931"/>
    <cellStyle name="Normal 2 2 3 2 3 2" xfId="22093"/>
    <cellStyle name="Normal 2 2 3 3" xfId="2033"/>
    <cellStyle name="Normal 2 2 3 3 2" xfId="5935"/>
    <cellStyle name="Normal 2 2 3 3 2 2" xfId="22097"/>
    <cellStyle name="Normal 2 2 3 4" xfId="2036"/>
    <cellStyle name="Normal 2 2 3 4 2" xfId="5938"/>
    <cellStyle name="Normal 2 2 3 4 2 2" xfId="22100"/>
    <cellStyle name="Normal 2 2 3 5" xfId="2039"/>
    <cellStyle name="Normal 2 2 3 5 2" xfId="5941"/>
    <cellStyle name="Normal 2 2 3 5 2 2" xfId="22103"/>
    <cellStyle name="Normal 2 2 3 6" xfId="2042"/>
    <cellStyle name="Normal 2 2 3 6 2" xfId="5944"/>
    <cellStyle name="Normal 2 2 3 6 2 2" xfId="22106"/>
    <cellStyle name="Normal 2 2 3 7" xfId="2554"/>
    <cellStyle name="Normal 2 2 3 7 2" xfId="6447"/>
    <cellStyle name="Normal 2 2 3 7 2 2" xfId="22609"/>
    <cellStyle name="Normal 2 2 3 8" xfId="2557"/>
    <cellStyle name="Normal 2 2 3 8 2" xfId="6449"/>
    <cellStyle name="Normal 2 2 3 8 2 2" xfId="22611"/>
    <cellStyle name="Normal 2 2 3 9" xfId="2559"/>
    <cellStyle name="Normal 2 2 3 9 2" xfId="6452"/>
    <cellStyle name="Normal 2 2 3 9 2 2" xfId="22614"/>
    <cellStyle name="Normal 2 2 3_Rukmapur (CPD)-wk" xfId="4"/>
    <cellStyle name="Normal 2 2 30" xfId="10133"/>
    <cellStyle name="Normal 2 2 30 2" xfId="26276"/>
    <cellStyle name="Normal 2 2 31" xfId="2560"/>
    <cellStyle name="Normal 2 2 31 2" xfId="6454"/>
    <cellStyle name="Normal 2 2 31 2 2" xfId="22616"/>
    <cellStyle name="Normal 2 2 32" xfId="10134"/>
    <cellStyle name="Normal 2 2 32 2" xfId="26277"/>
    <cellStyle name="Normal 2 2 33" xfId="6424"/>
    <cellStyle name="Normal 2 2 33 2" xfId="22586"/>
    <cellStyle name="Normal 2 2 4" xfId="368"/>
    <cellStyle name="Normal 2 2 4 10" xfId="10135"/>
    <cellStyle name="Normal 2 2 4 10 2" xfId="26278"/>
    <cellStyle name="Normal 2 2 4 11" xfId="10136"/>
    <cellStyle name="Normal 2 2 4 11 2" xfId="26279"/>
    <cellStyle name="Normal 2 2 4 12" xfId="10137"/>
    <cellStyle name="Normal 2 2 4 12 2" xfId="26280"/>
    <cellStyle name="Normal 2 2 4 13" xfId="10138"/>
    <cellStyle name="Normal 2 2 4 13 2" xfId="26281"/>
    <cellStyle name="Normal 2 2 4 14" xfId="10139"/>
    <cellStyle name="Normal 2 2 4 14 2" xfId="26282"/>
    <cellStyle name="Normal 2 2 4 15" xfId="10140"/>
    <cellStyle name="Normal 2 2 4 15 2" xfId="26283"/>
    <cellStyle name="Normal 2 2 4 16" xfId="10141"/>
    <cellStyle name="Normal 2 2 4 16 2" xfId="26284"/>
    <cellStyle name="Normal 2 2 4 17" xfId="10142"/>
    <cellStyle name="Normal 2 2 4 17 2" xfId="26285"/>
    <cellStyle name="Normal 2 2 4 18" xfId="4313"/>
    <cellStyle name="Normal 2 2 4 18 2" xfId="20476"/>
    <cellStyle name="Normal 2 2 4 2" xfId="2049"/>
    <cellStyle name="Normal 2 2 4 2 2" xfId="5950"/>
    <cellStyle name="Normal 2 2 4 2 2 2" xfId="22112"/>
    <cellStyle name="Normal 2 2 4 3" xfId="2052"/>
    <cellStyle name="Normal 2 2 4 3 2" xfId="5954"/>
    <cellStyle name="Normal 2 2 4 3 2 2" xfId="22116"/>
    <cellStyle name="Normal 2 2 4 4" xfId="2055"/>
    <cellStyle name="Normal 2 2 4 4 2" xfId="5957"/>
    <cellStyle name="Normal 2 2 4 4 2 2" xfId="22119"/>
    <cellStyle name="Normal 2 2 4 5" xfId="2058"/>
    <cellStyle name="Normal 2 2 4 5 2" xfId="5960"/>
    <cellStyle name="Normal 2 2 4 5 2 2" xfId="22122"/>
    <cellStyle name="Normal 2 2 4 6" xfId="2061"/>
    <cellStyle name="Normal 2 2 4 6 2" xfId="5963"/>
    <cellStyle name="Normal 2 2 4 6 2 2" xfId="22125"/>
    <cellStyle name="Normal 2 2 4 7" xfId="2562"/>
    <cellStyle name="Normal 2 2 4 7 2" xfId="6455"/>
    <cellStyle name="Normal 2 2 4 7 2 2" xfId="22617"/>
    <cellStyle name="Normal 2 2 4 8" xfId="2565"/>
    <cellStyle name="Normal 2 2 4 8 2" xfId="6457"/>
    <cellStyle name="Normal 2 2 4 8 2 2" xfId="22619"/>
    <cellStyle name="Normal 2 2 4 9" xfId="10143"/>
    <cellStyle name="Normal 2 2 4 9 2" xfId="26286"/>
    <cellStyle name="Normal 2 2 5" xfId="375"/>
    <cellStyle name="Normal 2 2 5 2" xfId="2071"/>
    <cellStyle name="Normal 2 2 5 2 2" xfId="5971"/>
    <cellStyle name="Normal 2 2 5 2 2 2" xfId="22133"/>
    <cellStyle name="Normal 2 2 5 2 3" xfId="19614"/>
    <cellStyle name="Normal 2 2 5 3" xfId="2074"/>
    <cellStyle name="Normal 2 2 5 3 2" xfId="5975"/>
    <cellStyle name="Normal 2 2 5 3 2 2" xfId="22137"/>
    <cellStyle name="Normal 2 2 5 3 3" xfId="19615"/>
    <cellStyle name="Normal 2 2 5 4" xfId="4321"/>
    <cellStyle name="Normal 2 2 5 4 2" xfId="20484"/>
    <cellStyle name="Normal 2 2 6" xfId="1026"/>
    <cellStyle name="Normal 2 2 6 2" xfId="10144"/>
    <cellStyle name="Normal 2 2 6 2 2" xfId="26287"/>
    <cellStyle name="Normal 2 2 6 3" xfId="4947"/>
    <cellStyle name="Normal 2 2 6 3 2" xfId="21109"/>
    <cellStyle name="Normal 2 2 7" xfId="562"/>
    <cellStyle name="Normal 2 2 7 2" xfId="10145"/>
    <cellStyle name="Normal 2 2 7 2 2" xfId="26288"/>
    <cellStyle name="Normal 2 2 7 3" xfId="4491"/>
    <cellStyle name="Normal 2 2 7 3 2" xfId="20654"/>
    <cellStyle name="Normal 2 2 8" xfId="1030"/>
    <cellStyle name="Normal 2 2 8 2" xfId="443"/>
    <cellStyle name="Normal 2 2 8 2 2" xfId="4385"/>
    <cellStyle name="Normal 2 2 8 2 2 2" xfId="20548"/>
    <cellStyle name="Normal 2 2 8 3" xfId="4951"/>
    <cellStyle name="Normal 2 2 8 3 2" xfId="21113"/>
    <cellStyle name="Normal 2 2 9" xfId="1033"/>
    <cellStyle name="Normal 2 2 9 2" xfId="4954"/>
    <cellStyle name="Normal 2 2 9 2 2" xfId="21116"/>
    <cellStyle name="Normal 2 2_125 CHERLA ITIKYAL ZP ROAD TO LINGASANIPALLY ZP ROAD - 30 LAKHS" xfId="10146"/>
    <cellStyle name="Normal 2 20" xfId="2517"/>
    <cellStyle name="Normal 2 20 2" xfId="6409"/>
    <cellStyle name="Normal 2 20 2 2" xfId="22571"/>
    <cellStyle name="Normal 2 21" xfId="2520"/>
    <cellStyle name="Normal 2 21 2" xfId="6412"/>
    <cellStyle name="Normal 2 21 2 2" xfId="22574"/>
    <cellStyle name="Normal 2 22" xfId="2523"/>
    <cellStyle name="Normal 2 22 2" xfId="6415"/>
    <cellStyle name="Normal 2 22 2 2" xfId="22577"/>
    <cellStyle name="Normal 2 23" xfId="2526"/>
    <cellStyle name="Normal 2 23 2" xfId="6418"/>
    <cellStyle name="Normal 2 23 2 2" xfId="22580"/>
    <cellStyle name="Normal 2 24" xfId="10147"/>
    <cellStyle name="Normal 2 24 2" xfId="26289"/>
    <cellStyle name="Normal 2 25" xfId="10148"/>
    <cellStyle name="Normal 2 25 2" xfId="26290"/>
    <cellStyle name="Normal 2 26" xfId="10149"/>
    <cellStyle name="Normal 2 26 2" xfId="26291"/>
    <cellStyle name="Normal 2 27" xfId="10150"/>
    <cellStyle name="Normal 2 27 2" xfId="26292"/>
    <cellStyle name="Normal 2 28" xfId="10151"/>
    <cellStyle name="Normal 2 28 2" xfId="26293"/>
    <cellStyle name="Normal 2 29" xfId="10152"/>
    <cellStyle name="Normal 2 29 2" xfId="26294"/>
    <cellStyle name="Normal 2 3" xfId="2566"/>
    <cellStyle name="Normal 2 3 10" xfId="1165"/>
    <cellStyle name="Normal 2 3 10 10" xfId="10153"/>
    <cellStyle name="Normal 2 3 10 10 2" xfId="26295"/>
    <cellStyle name="Normal 2 3 10 11" xfId="10154"/>
    <cellStyle name="Normal 2 3 10 11 2" xfId="26296"/>
    <cellStyle name="Normal 2 3 10 12" xfId="10155"/>
    <cellStyle name="Normal 2 3 10 12 2" xfId="26297"/>
    <cellStyle name="Normal 2 3 10 13" xfId="10156"/>
    <cellStyle name="Normal 2 3 10 13 2" xfId="26298"/>
    <cellStyle name="Normal 2 3 10 14" xfId="10157"/>
    <cellStyle name="Normal 2 3 10 14 2" xfId="26299"/>
    <cellStyle name="Normal 2 3 10 15" xfId="10158"/>
    <cellStyle name="Normal 2 3 10 15 2" xfId="26300"/>
    <cellStyle name="Normal 2 3 10 16" xfId="10159"/>
    <cellStyle name="Normal 2 3 10 16 2" xfId="26301"/>
    <cellStyle name="Normal 2 3 10 17" xfId="10160"/>
    <cellStyle name="Normal 2 3 10 17 2" xfId="26302"/>
    <cellStyle name="Normal 2 3 10 18" xfId="5086"/>
    <cellStyle name="Normal 2 3 10 18 2" xfId="21248"/>
    <cellStyle name="Normal 2 3 10 2" xfId="2264"/>
    <cellStyle name="Normal 2 3 10 2 2" xfId="6163"/>
    <cellStyle name="Normal 2 3 10 2 2 2" xfId="22325"/>
    <cellStyle name="Normal 2 3 10 3" xfId="2432"/>
    <cellStyle name="Normal 2 3 10 3 2" xfId="6326"/>
    <cellStyle name="Normal 2 3 10 3 2 2" xfId="22488"/>
    <cellStyle name="Normal 2 3 10 4" xfId="2435"/>
    <cellStyle name="Normal 2 3 10 4 2" xfId="6329"/>
    <cellStyle name="Normal 2 3 10 4 2 2" xfId="22491"/>
    <cellStyle name="Normal 2 3 10 5" xfId="2568"/>
    <cellStyle name="Normal 2 3 10 5 2" xfId="6462"/>
    <cellStyle name="Normal 2 3 10 5 2 2" xfId="22624"/>
    <cellStyle name="Normal 2 3 10 6" xfId="2569"/>
    <cellStyle name="Normal 2 3 10 6 2" xfId="6463"/>
    <cellStyle name="Normal 2 3 10 6 2 2" xfId="22625"/>
    <cellStyle name="Normal 2 3 10 7" xfId="2571"/>
    <cellStyle name="Normal 2 3 10 7 2" xfId="6464"/>
    <cellStyle name="Normal 2 3 10 7 2 2" xfId="22626"/>
    <cellStyle name="Normal 2 3 10 8" xfId="2573"/>
    <cellStyle name="Normal 2 3 10 8 2" xfId="6466"/>
    <cellStyle name="Normal 2 3 10 8 2 2" xfId="22628"/>
    <cellStyle name="Normal 2 3 10 9" xfId="10161"/>
    <cellStyle name="Normal 2 3 10 9 2" xfId="26303"/>
    <cellStyle name="Normal 2 3 11" xfId="1169"/>
    <cellStyle name="Normal 2 3 11 10" xfId="10162"/>
    <cellStyle name="Normal 2 3 11 10 2" xfId="26304"/>
    <cellStyle name="Normal 2 3 11 11" xfId="10163"/>
    <cellStyle name="Normal 2 3 11 11 2" xfId="26305"/>
    <cellStyle name="Normal 2 3 11 12" xfId="10164"/>
    <cellStyle name="Normal 2 3 11 12 2" xfId="26306"/>
    <cellStyle name="Normal 2 3 11 13" xfId="10165"/>
    <cellStyle name="Normal 2 3 11 13 2" xfId="26307"/>
    <cellStyle name="Normal 2 3 11 14" xfId="10166"/>
    <cellStyle name="Normal 2 3 11 14 2" xfId="26308"/>
    <cellStyle name="Normal 2 3 11 15" xfId="10167"/>
    <cellStyle name="Normal 2 3 11 15 2" xfId="26309"/>
    <cellStyle name="Normal 2 3 11 16" xfId="10168"/>
    <cellStyle name="Normal 2 3 11 16 2" xfId="26310"/>
    <cellStyle name="Normal 2 3 11 17" xfId="10169"/>
    <cellStyle name="Normal 2 3 11 17 2" xfId="26311"/>
    <cellStyle name="Normal 2 3 11 18" xfId="5090"/>
    <cellStyle name="Normal 2 3 11 18 2" xfId="21252"/>
    <cellStyle name="Normal 2 3 11 2" xfId="2271"/>
    <cellStyle name="Normal 2 3 11 2 2" xfId="6170"/>
    <cellStyle name="Normal 2 3 11 2 2 2" xfId="22332"/>
    <cellStyle name="Normal 2 3 11 3" xfId="2574"/>
    <cellStyle name="Normal 2 3 11 3 2" xfId="6468"/>
    <cellStyle name="Normal 2 3 11 3 2 2" xfId="22630"/>
    <cellStyle name="Normal 2 3 11 4" xfId="2575"/>
    <cellStyle name="Normal 2 3 11 4 2" xfId="6469"/>
    <cellStyle name="Normal 2 3 11 4 2 2" xfId="22631"/>
    <cellStyle name="Normal 2 3 11 5" xfId="2576"/>
    <cellStyle name="Normal 2 3 11 5 2" xfId="6470"/>
    <cellStyle name="Normal 2 3 11 5 2 2" xfId="22632"/>
    <cellStyle name="Normal 2 3 11 6" xfId="2577"/>
    <cellStyle name="Normal 2 3 11 6 2" xfId="6471"/>
    <cellStyle name="Normal 2 3 11 6 2 2" xfId="22633"/>
    <cellStyle name="Normal 2 3 11 7" xfId="2580"/>
    <cellStyle name="Normal 2 3 11 7 2" xfId="6472"/>
    <cellStyle name="Normal 2 3 11 7 2 2" xfId="22634"/>
    <cellStyle name="Normal 2 3 11 8" xfId="2582"/>
    <cellStyle name="Normal 2 3 11 8 2" xfId="6474"/>
    <cellStyle name="Normal 2 3 11 8 2 2" xfId="22636"/>
    <cellStyle name="Normal 2 3 11 9" xfId="10170"/>
    <cellStyle name="Normal 2 3 11 9 2" xfId="26312"/>
    <cellStyle name="Normal 2 3 12" xfId="2583"/>
    <cellStyle name="Normal 2 3 12 2" xfId="6476"/>
    <cellStyle name="Normal 2 3 12 2 2" xfId="22638"/>
    <cellStyle name="Normal 2 3 13" xfId="2584"/>
    <cellStyle name="Normal 2 3 13 2" xfId="6477"/>
    <cellStyle name="Normal 2 3 13 2 2" xfId="22639"/>
    <cellStyle name="Normal 2 3 14" xfId="2585"/>
    <cellStyle name="Normal 2 3 14 2" xfId="6478"/>
    <cellStyle name="Normal 2 3 14 2 2" xfId="22640"/>
    <cellStyle name="Normal 2 3 15" xfId="2586"/>
    <cellStyle name="Normal 2 3 15 2" xfId="6479"/>
    <cellStyle name="Normal 2 3 15 2 2" xfId="22641"/>
    <cellStyle name="Normal 2 3 16" xfId="2587"/>
    <cellStyle name="Normal 2 3 16 2" xfId="6480"/>
    <cellStyle name="Normal 2 3 16 2 2" xfId="22642"/>
    <cellStyle name="Normal 2 3 17" xfId="2589"/>
    <cellStyle name="Normal 2 3 17 2" xfId="6482"/>
    <cellStyle name="Normal 2 3 17 2 2" xfId="22644"/>
    <cellStyle name="Normal 2 3 18" xfId="514"/>
    <cellStyle name="Normal 2 3 18 2" xfId="4448"/>
    <cellStyle name="Normal 2 3 18 2 2" xfId="20611"/>
    <cellStyle name="Normal 2 3 19" xfId="10171"/>
    <cellStyle name="Normal 2 3 19 2" xfId="26313"/>
    <cellStyle name="Normal 2 3 2" xfId="2591"/>
    <cellStyle name="Normal 2 3 2 2" xfId="10172"/>
    <cellStyle name="Normal 2 3 2 2 2" xfId="26314"/>
    <cellStyle name="Normal 2 3 2 3" xfId="10173"/>
    <cellStyle name="Normal 2 3 2 3 2" xfId="26315"/>
    <cellStyle name="Normal 2 3 2 4" xfId="6483"/>
    <cellStyle name="Normal 2 3 2 4 2" xfId="22645"/>
    <cellStyle name="Normal 2 3 2_2015-16 MASTER CC ROAD &amp; DRAIN" xfId="10174"/>
    <cellStyle name="Normal 2 3 20" xfId="10175"/>
    <cellStyle name="Normal 2 3 20 2" xfId="26316"/>
    <cellStyle name="Normal 2 3 21" xfId="10176"/>
    <cellStyle name="Normal 2 3 21 2" xfId="26317"/>
    <cellStyle name="Normal 2 3 22" xfId="10177"/>
    <cellStyle name="Normal 2 3 22 2" xfId="26318"/>
    <cellStyle name="Normal 2 3 23" xfId="10178"/>
    <cellStyle name="Normal 2 3 23 2" xfId="26319"/>
    <cellStyle name="Normal 2 3 24" xfId="10179"/>
    <cellStyle name="Normal 2 3 24 2" xfId="26320"/>
    <cellStyle name="Normal 2 3 25" xfId="10180"/>
    <cellStyle name="Normal 2 3 25 2" xfId="26321"/>
    <cellStyle name="Normal 2 3 26" xfId="10181"/>
    <cellStyle name="Normal 2 3 26 2" xfId="26322"/>
    <cellStyle name="Normal 2 3 27" xfId="10182"/>
    <cellStyle name="Normal 2 3 27 2" xfId="26323"/>
    <cellStyle name="Normal 2 3 28" xfId="6461"/>
    <cellStyle name="Normal 2 3 28 2" xfId="22623"/>
    <cellStyle name="Normal 2 3 3" xfId="1037"/>
    <cellStyle name="Normal 2 3 3 10" xfId="10183"/>
    <cellStyle name="Normal 2 3 3 10 2" xfId="26324"/>
    <cellStyle name="Normal 2 3 3 11" xfId="10184"/>
    <cellStyle name="Normal 2 3 3 11 2" xfId="26325"/>
    <cellStyle name="Normal 2 3 3 12" xfId="10185"/>
    <cellStyle name="Normal 2 3 3 12 2" xfId="26326"/>
    <cellStyle name="Normal 2 3 3 13" xfId="10186"/>
    <cellStyle name="Normal 2 3 3 13 2" xfId="26327"/>
    <cellStyle name="Normal 2 3 3 14" xfId="10187"/>
    <cellStyle name="Normal 2 3 3 14 2" xfId="26328"/>
    <cellStyle name="Normal 2 3 3 15" xfId="10188"/>
    <cellStyle name="Normal 2 3 3 15 2" xfId="26329"/>
    <cellStyle name="Normal 2 3 3 16" xfId="10189"/>
    <cellStyle name="Normal 2 3 3 16 2" xfId="26330"/>
    <cellStyle name="Normal 2 3 3 17" xfId="10190"/>
    <cellStyle name="Normal 2 3 3 17 2" xfId="26331"/>
    <cellStyle name="Normal 2 3 3 18" xfId="4958"/>
    <cellStyle name="Normal 2 3 3 18 2" xfId="21120"/>
    <cellStyle name="Normal 2 3 3 2" xfId="2095"/>
    <cellStyle name="Normal 2 3 3 2 2" xfId="5994"/>
    <cellStyle name="Normal 2 3 3 2 2 2" xfId="22156"/>
    <cellStyle name="Normal 2 3 3 3" xfId="2098"/>
    <cellStyle name="Normal 2 3 3 3 2" xfId="5997"/>
    <cellStyle name="Normal 2 3 3 3 2 2" xfId="22159"/>
    <cellStyle name="Normal 2 3 3 4" xfId="2103"/>
    <cellStyle name="Normal 2 3 3 4 2" xfId="6002"/>
    <cellStyle name="Normal 2 3 3 4 2 2" xfId="22164"/>
    <cellStyle name="Normal 2 3 3 5" xfId="1607"/>
    <cellStyle name="Normal 2 3 3 5 2" xfId="5526"/>
    <cellStyle name="Normal 2 3 3 5 2 2" xfId="21688"/>
    <cellStyle name="Normal 2 3 3 6" xfId="1614"/>
    <cellStyle name="Normal 2 3 3 6 2" xfId="5533"/>
    <cellStyle name="Normal 2 3 3 6 2 2" xfId="21695"/>
    <cellStyle name="Normal 2 3 3 7" xfId="2108"/>
    <cellStyle name="Normal 2 3 3 7 2" xfId="6007"/>
    <cellStyle name="Normal 2 3 3 7 2 2" xfId="22169"/>
    <cellStyle name="Normal 2 3 3 8" xfId="2514"/>
    <cellStyle name="Normal 2 3 3 8 2" xfId="6406"/>
    <cellStyle name="Normal 2 3 3 8 2 2" xfId="22568"/>
    <cellStyle name="Normal 2 3 3 9" xfId="10191"/>
    <cellStyle name="Normal 2 3 3 9 2" xfId="26332"/>
    <cellStyle name="Normal 2 3 4" xfId="1040"/>
    <cellStyle name="Normal 2 3 4 10" xfId="10192"/>
    <cellStyle name="Normal 2 3 4 10 2" xfId="26333"/>
    <cellStyle name="Normal 2 3 4 11" xfId="10193"/>
    <cellStyle name="Normal 2 3 4 11 2" xfId="26334"/>
    <cellStyle name="Normal 2 3 4 12" xfId="10194"/>
    <cellStyle name="Normal 2 3 4 12 2" xfId="26335"/>
    <cellStyle name="Normal 2 3 4 13" xfId="10195"/>
    <cellStyle name="Normal 2 3 4 13 2" xfId="26336"/>
    <cellStyle name="Normal 2 3 4 14" xfId="10196"/>
    <cellStyle name="Normal 2 3 4 14 2" xfId="26337"/>
    <cellStyle name="Normal 2 3 4 15" xfId="10197"/>
    <cellStyle name="Normal 2 3 4 15 2" xfId="26338"/>
    <cellStyle name="Normal 2 3 4 16" xfId="10198"/>
    <cellStyle name="Normal 2 3 4 16 2" xfId="26339"/>
    <cellStyle name="Normal 2 3 4 17" xfId="10199"/>
    <cellStyle name="Normal 2 3 4 17 2" xfId="26340"/>
    <cellStyle name="Normal 2 3 4 18" xfId="4961"/>
    <cellStyle name="Normal 2 3 4 18 2" xfId="21123"/>
    <cellStyle name="Normal 2 3 4 2" xfId="2114"/>
    <cellStyle name="Normal 2 3 4 2 2" xfId="6014"/>
    <cellStyle name="Normal 2 3 4 2 2 2" xfId="22176"/>
    <cellStyle name="Normal 2 3 4 3" xfId="2116"/>
    <cellStyle name="Normal 2 3 4 3 2" xfId="6016"/>
    <cellStyle name="Normal 2 3 4 3 2 2" xfId="22178"/>
    <cellStyle name="Normal 2 3 4 4" xfId="2118"/>
    <cellStyle name="Normal 2 3 4 4 2" xfId="6018"/>
    <cellStyle name="Normal 2 3 4 4 2 2" xfId="22180"/>
    <cellStyle name="Normal 2 3 4 5" xfId="1622"/>
    <cellStyle name="Normal 2 3 4 5 2" xfId="5537"/>
    <cellStyle name="Normal 2 3 4 5 2 2" xfId="21699"/>
    <cellStyle name="Normal 2 3 4 6" xfId="1630"/>
    <cellStyle name="Normal 2 3 4 6 2" xfId="5543"/>
    <cellStyle name="Normal 2 3 4 6 2 2" xfId="21705"/>
    <cellStyle name="Normal 2 3 4 7" xfId="2120"/>
    <cellStyle name="Normal 2 3 4 7 2" xfId="6020"/>
    <cellStyle name="Normal 2 3 4 7 2 2" xfId="22182"/>
    <cellStyle name="Normal 2 3 4 8" xfId="2593"/>
    <cellStyle name="Normal 2 3 4 8 2" xfId="6485"/>
    <cellStyle name="Normal 2 3 4 8 2 2" xfId="22647"/>
    <cellStyle name="Normal 2 3 4 9" xfId="10200"/>
    <cellStyle name="Normal 2 3 4 9 2" xfId="26341"/>
    <cellStyle name="Normal 2 3 5" xfId="1045"/>
    <cellStyle name="Normal 2 3 5 10" xfId="10201"/>
    <cellStyle name="Normal 2 3 5 10 2" xfId="26342"/>
    <cellStyle name="Normal 2 3 5 11" xfId="10202"/>
    <cellStyle name="Normal 2 3 5 11 2" xfId="26343"/>
    <cellStyle name="Normal 2 3 5 12" xfId="10203"/>
    <cellStyle name="Normal 2 3 5 12 2" xfId="26344"/>
    <cellStyle name="Normal 2 3 5 13" xfId="10204"/>
    <cellStyle name="Normal 2 3 5 13 2" xfId="26345"/>
    <cellStyle name="Normal 2 3 5 14" xfId="10205"/>
    <cellStyle name="Normal 2 3 5 14 2" xfId="26346"/>
    <cellStyle name="Normal 2 3 5 15" xfId="10206"/>
    <cellStyle name="Normal 2 3 5 15 2" xfId="26347"/>
    <cellStyle name="Normal 2 3 5 16" xfId="10207"/>
    <cellStyle name="Normal 2 3 5 16 2" xfId="26348"/>
    <cellStyle name="Normal 2 3 5 17" xfId="10208"/>
    <cellStyle name="Normal 2 3 5 17 2" xfId="26349"/>
    <cellStyle name="Normal 2 3 5 18" xfId="4966"/>
    <cellStyle name="Normal 2 3 5 18 2" xfId="21128"/>
    <cellStyle name="Normal 2 3 5 2" xfId="2530"/>
    <cellStyle name="Normal 2 3 5 2 2" xfId="6423"/>
    <cellStyle name="Normal 2 3 5 2 2 2" xfId="22585"/>
    <cellStyle name="Normal 2 3 5 3" xfId="2567"/>
    <cellStyle name="Normal 2 3 5 3 2" xfId="6460"/>
    <cellStyle name="Normal 2 3 5 3 2 2" xfId="22622"/>
    <cellStyle name="Normal 2 3 5 4" xfId="2594"/>
    <cellStyle name="Normal 2 3 5 4 2" xfId="6488"/>
    <cellStyle name="Normal 2 3 5 4 2 2" xfId="22650"/>
    <cellStyle name="Normal 2 3 5 5" xfId="2596"/>
    <cellStyle name="Normal 2 3 5 5 2" xfId="6490"/>
    <cellStyle name="Normal 2 3 5 5 2 2" xfId="22652"/>
    <cellStyle name="Normal 2 3 5 6" xfId="2598"/>
    <cellStyle name="Normal 2 3 5 6 2" xfId="6492"/>
    <cellStyle name="Normal 2 3 5 6 2 2" xfId="22654"/>
    <cellStyle name="Normal 2 3 5 7" xfId="2600"/>
    <cellStyle name="Normal 2 3 5 7 2" xfId="6494"/>
    <cellStyle name="Normal 2 3 5 7 2 2" xfId="22656"/>
    <cellStyle name="Normal 2 3 5 8" xfId="2603"/>
    <cellStyle name="Normal 2 3 5 8 2" xfId="6496"/>
    <cellStyle name="Normal 2 3 5 8 2 2" xfId="22658"/>
    <cellStyle name="Normal 2 3 5 9" xfId="10209"/>
    <cellStyle name="Normal 2 3 5 9 2" xfId="26350"/>
    <cellStyle name="Normal 2 3 6" xfId="1049"/>
    <cellStyle name="Normal 2 3 6 10" xfId="10210"/>
    <cellStyle name="Normal 2 3 6 10 2" xfId="26351"/>
    <cellStyle name="Normal 2 3 6 11" xfId="10211"/>
    <cellStyle name="Normal 2 3 6 11 2" xfId="26352"/>
    <cellStyle name="Normal 2 3 6 12" xfId="10212"/>
    <cellStyle name="Normal 2 3 6 12 2" xfId="26353"/>
    <cellStyle name="Normal 2 3 6 13" xfId="10213"/>
    <cellStyle name="Normal 2 3 6 13 2" xfId="26354"/>
    <cellStyle name="Normal 2 3 6 14" xfId="10214"/>
    <cellStyle name="Normal 2 3 6 14 2" xfId="26355"/>
    <cellStyle name="Normal 2 3 6 15" xfId="10215"/>
    <cellStyle name="Normal 2 3 6 15 2" xfId="26356"/>
    <cellStyle name="Normal 2 3 6 16" xfId="10216"/>
    <cellStyle name="Normal 2 3 6 16 2" xfId="26357"/>
    <cellStyle name="Normal 2 3 6 17" xfId="10217"/>
    <cellStyle name="Normal 2 3 6 17 2" xfId="26358"/>
    <cellStyle name="Normal 2 3 6 18" xfId="4970"/>
    <cellStyle name="Normal 2 3 6 18 2" xfId="21132"/>
    <cellStyle name="Normal 2 3 6 2" xfId="2605"/>
    <cellStyle name="Normal 2 3 6 2 2" xfId="6499"/>
    <cellStyle name="Normal 2 3 6 2 2 2" xfId="22661"/>
    <cellStyle name="Normal 2 3 6 3" xfId="2608"/>
    <cellStyle name="Normal 2 3 6 3 2" xfId="6500"/>
    <cellStyle name="Normal 2 3 6 3 2 2" xfId="22662"/>
    <cellStyle name="Normal 2 3 6 4" xfId="382"/>
    <cellStyle name="Normal 2 3 6 4 2" xfId="4323"/>
    <cellStyle name="Normal 2 3 6 4 2 2" xfId="20486"/>
    <cellStyle name="Normal 2 3 6 5" xfId="2610"/>
    <cellStyle name="Normal 2 3 6 5 2" xfId="6502"/>
    <cellStyle name="Normal 2 3 6 5 2 2" xfId="22664"/>
    <cellStyle name="Normal 2 3 6 6" xfId="2612"/>
    <cellStyle name="Normal 2 3 6 6 2" xfId="6504"/>
    <cellStyle name="Normal 2 3 6 6 2 2" xfId="22666"/>
    <cellStyle name="Normal 2 3 6 7" xfId="2614"/>
    <cellStyle name="Normal 2 3 6 7 2" xfId="6506"/>
    <cellStyle name="Normal 2 3 6 7 2 2" xfId="22668"/>
    <cellStyle name="Normal 2 3 6 8" xfId="2617"/>
    <cellStyle name="Normal 2 3 6 8 2" xfId="6508"/>
    <cellStyle name="Normal 2 3 6 8 2 2" xfId="22670"/>
    <cellStyle name="Normal 2 3 6 9" xfId="10218"/>
    <cellStyle name="Normal 2 3 6 9 2" xfId="26359"/>
    <cellStyle name="Normal 2 3 7" xfId="1054"/>
    <cellStyle name="Normal 2 3 7 10" xfId="10219"/>
    <cellStyle name="Normal 2 3 7 10 2" xfId="26360"/>
    <cellStyle name="Normal 2 3 7 11" xfId="10220"/>
    <cellStyle name="Normal 2 3 7 11 2" xfId="26361"/>
    <cellStyle name="Normal 2 3 7 12" xfId="10221"/>
    <cellStyle name="Normal 2 3 7 12 2" xfId="26362"/>
    <cellStyle name="Normal 2 3 7 13" xfId="10222"/>
    <cellStyle name="Normal 2 3 7 13 2" xfId="26363"/>
    <cellStyle name="Normal 2 3 7 14" xfId="10223"/>
    <cellStyle name="Normal 2 3 7 14 2" xfId="26364"/>
    <cellStyle name="Normal 2 3 7 15" xfId="10224"/>
    <cellStyle name="Normal 2 3 7 15 2" xfId="26365"/>
    <cellStyle name="Normal 2 3 7 16" xfId="10225"/>
    <cellStyle name="Normal 2 3 7 16 2" xfId="26366"/>
    <cellStyle name="Normal 2 3 7 17" xfId="10226"/>
    <cellStyle name="Normal 2 3 7 17 2" xfId="26367"/>
    <cellStyle name="Normal 2 3 7 18" xfId="4975"/>
    <cellStyle name="Normal 2 3 7 18 2" xfId="21137"/>
    <cellStyle name="Normal 2 3 7 2" xfId="2619"/>
    <cellStyle name="Normal 2 3 7 2 2" xfId="6511"/>
    <cellStyle name="Normal 2 3 7 2 2 2" xfId="22673"/>
    <cellStyle name="Normal 2 3 7 3" xfId="2622"/>
    <cellStyle name="Normal 2 3 7 3 2" xfId="6513"/>
    <cellStyle name="Normal 2 3 7 3 2 2" xfId="22675"/>
    <cellStyle name="Normal 2 3 7 4" xfId="2624"/>
    <cellStyle name="Normal 2 3 7 4 2" xfId="6516"/>
    <cellStyle name="Normal 2 3 7 4 2 2" xfId="22678"/>
    <cellStyle name="Normal 2 3 7 5" xfId="2626"/>
    <cellStyle name="Normal 2 3 7 5 2" xfId="6518"/>
    <cellStyle name="Normal 2 3 7 5 2 2" xfId="22680"/>
    <cellStyle name="Normal 2 3 7 6" xfId="2628"/>
    <cellStyle name="Normal 2 3 7 6 2" xfId="6520"/>
    <cellStyle name="Normal 2 3 7 6 2 2" xfId="22682"/>
    <cellStyle name="Normal 2 3 7 7" xfId="2630"/>
    <cellStyle name="Normal 2 3 7 7 2" xfId="6522"/>
    <cellStyle name="Normal 2 3 7 7 2 2" xfId="22684"/>
    <cellStyle name="Normal 2 3 7 8" xfId="2633"/>
    <cellStyle name="Normal 2 3 7 8 2" xfId="6524"/>
    <cellStyle name="Normal 2 3 7 8 2 2" xfId="22686"/>
    <cellStyle name="Normal 2 3 7 9" xfId="10227"/>
    <cellStyle name="Normal 2 3 7 9 2" xfId="26368"/>
    <cellStyle name="Normal 2 3 8" xfId="1058"/>
    <cellStyle name="Normal 2 3 8 10" xfId="10228"/>
    <cellStyle name="Normal 2 3 8 10 2" xfId="26369"/>
    <cellStyle name="Normal 2 3 8 11" xfId="10229"/>
    <cellStyle name="Normal 2 3 8 11 2" xfId="26370"/>
    <cellStyle name="Normal 2 3 8 12" xfId="10230"/>
    <cellStyle name="Normal 2 3 8 12 2" xfId="26371"/>
    <cellStyle name="Normal 2 3 8 13" xfId="10231"/>
    <cellStyle name="Normal 2 3 8 13 2" xfId="26372"/>
    <cellStyle name="Normal 2 3 8 14" xfId="10232"/>
    <cellStyle name="Normal 2 3 8 14 2" xfId="26373"/>
    <cellStyle name="Normal 2 3 8 15" xfId="10233"/>
    <cellStyle name="Normal 2 3 8 15 2" xfId="26374"/>
    <cellStyle name="Normal 2 3 8 16" xfId="10234"/>
    <cellStyle name="Normal 2 3 8 16 2" xfId="26375"/>
    <cellStyle name="Normal 2 3 8 17" xfId="10235"/>
    <cellStyle name="Normal 2 3 8 17 2" xfId="26376"/>
    <cellStyle name="Normal 2 3 8 18" xfId="4979"/>
    <cellStyle name="Normal 2 3 8 18 2" xfId="21141"/>
    <cellStyle name="Normal 2 3 8 2" xfId="2539"/>
    <cellStyle name="Normal 2 3 8 2 2" xfId="6431"/>
    <cellStyle name="Normal 2 3 8 2 2 2" xfId="22593"/>
    <cellStyle name="Normal 2 3 8 3" xfId="2543"/>
    <cellStyle name="Normal 2 3 8 3 2" xfId="6435"/>
    <cellStyle name="Normal 2 3 8 3 2 2" xfId="22597"/>
    <cellStyle name="Normal 2 3 8 4" xfId="47"/>
    <cellStyle name="Normal 2 3 8 4 2" xfId="4004"/>
    <cellStyle name="Normal 2 3 8 4 2 2" xfId="20167"/>
    <cellStyle name="Normal 2 3 8 5" xfId="2547"/>
    <cellStyle name="Normal 2 3 8 5 2" xfId="6439"/>
    <cellStyle name="Normal 2 3 8 5 2 2" xfId="22601"/>
    <cellStyle name="Normal 2 3 8 6" xfId="85"/>
    <cellStyle name="Normal 2 3 8 6 2" xfId="4043"/>
    <cellStyle name="Normal 2 3 8 6 2 2" xfId="20206"/>
    <cellStyle name="Normal 2 3 8 7" xfId="767"/>
    <cellStyle name="Normal 2 3 8 7 2" xfId="4692"/>
    <cellStyle name="Normal 2 3 8 7 2 2" xfId="20854"/>
    <cellStyle name="Normal 2 3 8 8" xfId="2635"/>
    <cellStyle name="Normal 2 3 8 8 2" xfId="6527"/>
    <cellStyle name="Normal 2 3 8 8 2 2" xfId="22689"/>
    <cellStyle name="Normal 2 3 8 9" xfId="10236"/>
    <cellStyle name="Normal 2 3 8 9 2" xfId="26377"/>
    <cellStyle name="Normal 2 3 9" xfId="775"/>
    <cellStyle name="Normal 2 3 9 10" xfId="10237"/>
    <cellStyle name="Normal 2 3 9 10 2" xfId="26378"/>
    <cellStyle name="Normal 2 3 9 11" xfId="10238"/>
    <cellStyle name="Normal 2 3 9 11 2" xfId="26379"/>
    <cellStyle name="Normal 2 3 9 12" xfId="10239"/>
    <cellStyle name="Normal 2 3 9 12 2" xfId="26380"/>
    <cellStyle name="Normal 2 3 9 13" xfId="10240"/>
    <cellStyle name="Normal 2 3 9 13 2" xfId="26381"/>
    <cellStyle name="Normal 2 3 9 14" xfId="10241"/>
    <cellStyle name="Normal 2 3 9 14 2" xfId="26382"/>
    <cellStyle name="Normal 2 3 9 15" xfId="10242"/>
    <cellStyle name="Normal 2 3 9 15 2" xfId="26383"/>
    <cellStyle name="Normal 2 3 9 16" xfId="10243"/>
    <cellStyle name="Normal 2 3 9 16 2" xfId="26384"/>
    <cellStyle name="Normal 2 3 9 17" xfId="10244"/>
    <cellStyle name="Normal 2 3 9 17 2" xfId="26385"/>
    <cellStyle name="Normal 2 3 9 18" xfId="4697"/>
    <cellStyle name="Normal 2 3 9 18 2" xfId="20859"/>
    <cellStyle name="Normal 2 3 9 2" xfId="761"/>
    <cellStyle name="Normal 2 3 9 2 2" xfId="4685"/>
    <cellStyle name="Normal 2 3 9 2 2 2" xfId="20847"/>
    <cellStyle name="Normal 2 3 9 3" xfId="1558"/>
    <cellStyle name="Normal 2 3 9 3 2" xfId="5476"/>
    <cellStyle name="Normal 2 3 9 3 2 2" xfId="21638"/>
    <cellStyle name="Normal 2 3 9 4" xfId="1561"/>
    <cellStyle name="Normal 2 3 9 4 2" xfId="5479"/>
    <cellStyle name="Normal 2 3 9 4 2 2" xfId="21641"/>
    <cellStyle name="Normal 2 3 9 5" xfId="1563"/>
    <cellStyle name="Normal 2 3 9 5 2" xfId="5481"/>
    <cellStyle name="Normal 2 3 9 5 2 2" xfId="21643"/>
    <cellStyle name="Normal 2 3 9 6" xfId="1566"/>
    <cellStyle name="Normal 2 3 9 6 2" xfId="5484"/>
    <cellStyle name="Normal 2 3 9 6 2 2" xfId="21646"/>
    <cellStyle name="Normal 2 3 9 7" xfId="1634"/>
    <cellStyle name="Normal 2 3 9 7 2" xfId="5549"/>
    <cellStyle name="Normal 2 3 9 7 2 2" xfId="21711"/>
    <cellStyle name="Normal 2 3 9 8" xfId="2636"/>
    <cellStyle name="Normal 2 3 9 8 2" xfId="6529"/>
    <cellStyle name="Normal 2 3 9 8 2 2" xfId="22691"/>
    <cellStyle name="Normal 2 3 9 9" xfId="10245"/>
    <cellStyle name="Normal 2 3 9 9 2" xfId="26386"/>
    <cellStyle name="Normal 2 3_2015-16 MASTER CC ROAD &amp; DRAIN" xfId="10246"/>
    <cellStyle name="Normal 2 30" xfId="10247"/>
    <cellStyle name="Normal 2 30 2" xfId="26387"/>
    <cellStyle name="Normal 2 31" xfId="10248"/>
    <cellStyle name="Normal 2 31 2" xfId="26388"/>
    <cellStyle name="Normal 2 32" xfId="10249"/>
    <cellStyle name="Normal 2 32 2" xfId="26389"/>
    <cellStyle name="Normal 2 33" xfId="4965"/>
    <cellStyle name="Normal 2 33 2" xfId="21127"/>
    <cellStyle name="Normal 2 4" xfId="2595"/>
    <cellStyle name="Normal 2 4 10" xfId="2637"/>
    <cellStyle name="Normal 2 4 10 2" xfId="7823"/>
    <cellStyle name="Normal 2 4 10 2 2" xfId="23985"/>
    <cellStyle name="Normal 2 4 11" xfId="10250"/>
    <cellStyle name="Normal 2 4 11 2" xfId="26390"/>
    <cellStyle name="Normal 2 4 12" xfId="10251"/>
    <cellStyle name="Normal 2 4 12 2" xfId="26391"/>
    <cellStyle name="Normal 2 4 13" xfId="10252"/>
    <cellStyle name="Normal 2 4 13 2" xfId="26392"/>
    <cellStyle name="Normal 2 4 14" xfId="10253"/>
    <cellStyle name="Normal 2 4 14 2" xfId="26393"/>
    <cellStyle name="Normal 2 4 15" xfId="10254"/>
    <cellStyle name="Normal 2 4 15 2" xfId="26394"/>
    <cellStyle name="Normal 2 4 16" xfId="10255"/>
    <cellStyle name="Normal 2 4 16 2" xfId="26395"/>
    <cellStyle name="Normal 2 4 17" xfId="10256"/>
    <cellStyle name="Normal 2 4 17 2" xfId="26396"/>
    <cellStyle name="Normal 2 4 18" xfId="6487"/>
    <cellStyle name="Normal 2 4 18 2" xfId="22649"/>
    <cellStyle name="Normal 2 4 2" xfId="2639"/>
    <cellStyle name="Normal 2 4 2 2" xfId="2640"/>
    <cellStyle name="Normal 2 4 2 2 2" xfId="6532"/>
    <cellStyle name="Normal 2 4 2 2 2 2" xfId="22694"/>
    <cellStyle name="Normal 2 4 2 3" xfId="6530"/>
    <cellStyle name="Normal 2 4 2 3 2" xfId="22692"/>
    <cellStyle name="Normal 2 4 3" xfId="1061"/>
    <cellStyle name="Normal 2 4 3 2" xfId="10257"/>
    <cellStyle name="Normal 2 4 3 2 2" xfId="26397"/>
    <cellStyle name="Normal 2 4 3 3" xfId="4982"/>
    <cellStyle name="Normal 2 4 3 3 2" xfId="21144"/>
    <cellStyle name="Normal 2 4 4" xfId="10"/>
    <cellStyle name="Normal 2 4 4 2" xfId="3971"/>
    <cellStyle name="Normal 2 4 4 2 2" xfId="20134"/>
    <cellStyle name="Normal 2 4 5" xfId="544"/>
    <cellStyle name="Normal 2 4 5 2" xfId="4474"/>
    <cellStyle name="Normal 2 4 5 2 2" xfId="20637"/>
    <cellStyle name="Normal 2 4 6" xfId="551"/>
    <cellStyle name="Normal 2 4 6 2" xfId="10258"/>
    <cellStyle name="Normal 2 4 6 2 2" xfId="26398"/>
    <cellStyle name="Normal 2 4 6 3" xfId="4480"/>
    <cellStyle name="Normal 2 4 6 3 2" xfId="20643"/>
    <cellStyle name="Normal 2 4 7" xfId="1066"/>
    <cellStyle name="Normal 2 4 7 2" xfId="4987"/>
    <cellStyle name="Normal 2 4 7 2 2" xfId="21149"/>
    <cellStyle name="Normal 2 4 8" xfId="1069"/>
    <cellStyle name="Normal 2 4 8 2" xfId="4990"/>
    <cellStyle name="Normal 2 4 8 2 2" xfId="21152"/>
    <cellStyle name="Normal 2 4 9" xfId="10259"/>
    <cellStyle name="Normal 2 4 9 2" xfId="26399"/>
    <cellStyle name="Normal 2 4_A163.00 Thimmajipet to Nertella pally 25.11.14" xfId="10260"/>
    <cellStyle name="Normal 2 5" xfId="2597"/>
    <cellStyle name="Normal 2 5 10" xfId="10261"/>
    <cellStyle name="Normal 2 5 10 2" xfId="26400"/>
    <cellStyle name="Normal 2 5 11" xfId="10262"/>
    <cellStyle name="Normal 2 5 11 2" xfId="26401"/>
    <cellStyle name="Normal 2 5 12" xfId="10263"/>
    <cellStyle name="Normal 2 5 12 2" xfId="26402"/>
    <cellStyle name="Normal 2 5 13" xfId="10264"/>
    <cellStyle name="Normal 2 5 13 2" xfId="26403"/>
    <cellStyle name="Normal 2 5 14" xfId="10265"/>
    <cellStyle name="Normal 2 5 14 2" xfId="26404"/>
    <cellStyle name="Normal 2 5 15" xfId="10266"/>
    <cellStyle name="Normal 2 5 15 2" xfId="26405"/>
    <cellStyle name="Normal 2 5 16" xfId="10267"/>
    <cellStyle name="Normal 2 5 16 2" xfId="26406"/>
    <cellStyle name="Normal 2 5 17" xfId="10268"/>
    <cellStyle name="Normal 2 5 17 2" xfId="26407"/>
    <cellStyle name="Normal 2 5 18" xfId="10269"/>
    <cellStyle name="Normal 2 5 18 2" xfId="26408"/>
    <cellStyle name="Normal 2 5 19" xfId="6489"/>
    <cellStyle name="Normal 2 5 19 2" xfId="22651"/>
    <cellStyle name="Normal 2 5 2" xfId="2135"/>
    <cellStyle name="Normal 2 5 2 10" xfId="10270"/>
    <cellStyle name="Normal 2 5 2 10 2" xfId="26409"/>
    <cellStyle name="Normal 2 5 2 11" xfId="10271"/>
    <cellStyle name="Normal 2 5 2 11 2" xfId="26410"/>
    <cellStyle name="Normal 2 5 2 12" xfId="10272"/>
    <cellStyle name="Normal 2 5 2 12 2" xfId="26411"/>
    <cellStyle name="Normal 2 5 2 13" xfId="10273"/>
    <cellStyle name="Normal 2 5 2 13 2" xfId="26412"/>
    <cellStyle name="Normal 2 5 2 14" xfId="10274"/>
    <cellStyle name="Normal 2 5 2 14 2" xfId="26413"/>
    <cellStyle name="Normal 2 5 2 15" xfId="10275"/>
    <cellStyle name="Normal 2 5 2 15 2" xfId="26414"/>
    <cellStyle name="Normal 2 5 2 16" xfId="10276"/>
    <cellStyle name="Normal 2 5 2 16 2" xfId="26415"/>
    <cellStyle name="Normal 2 5 2 17" xfId="10277"/>
    <cellStyle name="Normal 2 5 2 17 2" xfId="26416"/>
    <cellStyle name="Normal 2 5 2 18" xfId="6034"/>
    <cellStyle name="Normal 2 5 2 18 2" xfId="22196"/>
    <cellStyle name="Normal 2 5 2 2" xfId="945"/>
    <cellStyle name="Normal 2 5 2 2 2" xfId="950"/>
    <cellStyle name="Normal 2 5 2 2 2 2" xfId="4868"/>
    <cellStyle name="Normal 2 5 2 2 2 2 2" xfId="21030"/>
    <cellStyle name="Normal 2 5 2 2 3" xfId="4864"/>
    <cellStyle name="Normal 2 5 2 2 3 2" xfId="21026"/>
    <cellStyle name="Normal 2 5 2 3" xfId="969"/>
    <cellStyle name="Normal 2 5 2 3 2" xfId="4889"/>
    <cellStyle name="Normal 2 5 2 3 2 2" xfId="21051"/>
    <cellStyle name="Normal 2 5 2 4" xfId="300"/>
    <cellStyle name="Normal 2 5 2 4 2" xfId="4241"/>
    <cellStyle name="Normal 2 5 2 4 2 2" xfId="20404"/>
    <cellStyle name="Normal 2 5 2 5" xfId="133"/>
    <cellStyle name="Normal 2 5 2 5 2" xfId="4081"/>
    <cellStyle name="Normal 2 5 2 5 2 2" xfId="20244"/>
    <cellStyle name="Normal 2 5 2 6" xfId="984"/>
    <cellStyle name="Normal 2 5 2 6 2" xfId="4905"/>
    <cellStyle name="Normal 2 5 2 6 2 2" xfId="21067"/>
    <cellStyle name="Normal 2 5 2 7" xfId="986"/>
    <cellStyle name="Normal 2 5 2 7 2" xfId="4907"/>
    <cellStyle name="Normal 2 5 2 7 2 2" xfId="21069"/>
    <cellStyle name="Normal 2 5 2 8" xfId="991"/>
    <cellStyle name="Normal 2 5 2 8 2" xfId="4912"/>
    <cellStyle name="Normal 2 5 2 8 2 2" xfId="21074"/>
    <cellStyle name="Normal 2 5 2 9" xfId="10278"/>
    <cellStyle name="Normal 2 5 2 9 2" xfId="26417"/>
    <cellStyle name="Normal 2 5 3" xfId="1075"/>
    <cellStyle name="Normal 2 5 3 2" xfId="4998"/>
    <cellStyle name="Normal 2 5 3 2 2" xfId="21160"/>
    <cellStyle name="Normal 2 5 4" xfId="1081"/>
    <cellStyle name="Normal 2 5 4 2" xfId="5004"/>
    <cellStyle name="Normal 2 5 4 2 2" xfId="21166"/>
    <cellStyle name="Normal 2 5 5" xfId="1087"/>
    <cellStyle name="Normal 2 5 5 2" xfId="5009"/>
    <cellStyle name="Normal 2 5 5 2 2" xfId="21171"/>
    <cellStyle name="Normal 2 5 6" xfId="1092"/>
    <cellStyle name="Normal 2 5 6 2" xfId="5014"/>
    <cellStyle name="Normal 2 5 6 2 2" xfId="21176"/>
    <cellStyle name="Normal 2 5 7" xfId="1097"/>
    <cellStyle name="Normal 2 5 7 2" xfId="5019"/>
    <cellStyle name="Normal 2 5 7 2 2" xfId="21181"/>
    <cellStyle name="Normal 2 5 8" xfId="1102"/>
    <cellStyle name="Normal 2 5 8 2" xfId="5024"/>
    <cellStyle name="Normal 2 5 8 2 2" xfId="21186"/>
    <cellStyle name="Normal 2 5 9" xfId="645"/>
    <cellStyle name="Normal 2 5 9 2" xfId="4575"/>
    <cellStyle name="Normal 2 5 9 2 2" xfId="20737"/>
    <cellStyle name="Normal 2 5_Achampally-Gattubuthkur-Ganga-CRR" xfId="2"/>
    <cellStyle name="Normal 2 6" xfId="2599"/>
    <cellStyle name="Normal 2 6 2" xfId="2642"/>
    <cellStyle name="Normal 2 6 2 2" xfId="6533"/>
    <cellStyle name="Normal 2 6 2 2 2" xfId="22695"/>
    <cellStyle name="Normal 2 6 3" xfId="712"/>
    <cellStyle name="Normal 2 6 3 2" xfId="4637"/>
    <cellStyle name="Normal 2 6 3 2 2" xfId="20799"/>
    <cellStyle name="Normal 2 6 4" xfId="6491"/>
    <cellStyle name="Normal 2 6 4 2" xfId="22653"/>
    <cellStyle name="Normal 2 63" xfId="1627"/>
    <cellStyle name="Normal 2 63 2" xfId="5545"/>
    <cellStyle name="Normal 2 63 2 2" xfId="21707"/>
    <cellStyle name="Normal 2 7" xfId="2601"/>
    <cellStyle name="Normal 2 7 2" xfId="6493"/>
    <cellStyle name="Normal 2 7 2 2" xfId="22655"/>
    <cellStyle name="Normal 2 8" xfId="2604"/>
    <cellStyle name="Normal 2 8 2" xfId="6495"/>
    <cellStyle name="Normal 2 8 2 2" xfId="22657"/>
    <cellStyle name="Normal 2 9" xfId="2644"/>
    <cellStyle name="Normal 2 9 2" xfId="6535"/>
    <cellStyle name="Normal 2 9 2 2" xfId="22697"/>
    <cellStyle name="Normal 2_1 Bonguloor Modified model school type 1.200" xfId="10279"/>
    <cellStyle name="Normal 20" xfId="1234"/>
    <cellStyle name="Normal 20 10" xfId="10280"/>
    <cellStyle name="Normal 20 10 2" xfId="26418"/>
    <cellStyle name="Normal 20 11" xfId="10281"/>
    <cellStyle name="Normal 20 11 2" xfId="26419"/>
    <cellStyle name="Normal 20 12" xfId="10282"/>
    <cellStyle name="Normal 20 12 2" xfId="26420"/>
    <cellStyle name="Normal 20 13" xfId="10283"/>
    <cellStyle name="Normal 20 13 2" xfId="26421"/>
    <cellStyle name="Normal 20 14" xfId="10284"/>
    <cellStyle name="Normal 20 14 2" xfId="26422"/>
    <cellStyle name="Normal 20 15" xfId="10285"/>
    <cellStyle name="Normal 20 15 2" xfId="26423"/>
    <cellStyle name="Normal 20 16" xfId="10286"/>
    <cellStyle name="Normal 20 16 2" xfId="26424"/>
    <cellStyle name="Normal 20 17" xfId="10287"/>
    <cellStyle name="Normal 20 17 2" xfId="26425"/>
    <cellStyle name="Normal 20 18" xfId="10288"/>
    <cellStyle name="Normal 20 18 2" xfId="26426"/>
    <cellStyle name="Normal 20 19" xfId="5154"/>
    <cellStyle name="Normal 20 19 2" xfId="21316"/>
    <cellStyle name="Normal 20 2" xfId="2450"/>
    <cellStyle name="Normal 20 2 10" xfId="10289"/>
    <cellStyle name="Normal 20 2 10 2" xfId="26427"/>
    <cellStyle name="Normal 20 2 11" xfId="10290"/>
    <cellStyle name="Normal 20 2 11 2" xfId="26428"/>
    <cellStyle name="Normal 20 2 12" xfId="10291"/>
    <cellStyle name="Normal 20 2 12 2" xfId="26429"/>
    <cellStyle name="Normal 20 2 13" xfId="6343"/>
    <cellStyle name="Normal 20 2 13 2" xfId="22505"/>
    <cellStyle name="Normal 20 2 14" xfId="19662"/>
    <cellStyle name="Normal 20 2 2" xfId="1505"/>
    <cellStyle name="Normal 20 2 2 10" xfId="10292"/>
    <cellStyle name="Normal 20 2 2 10 2" xfId="26430"/>
    <cellStyle name="Normal 20 2 2 11" xfId="5423"/>
    <cellStyle name="Normal 20 2 2 11 2" xfId="21585"/>
    <cellStyle name="Normal 20 2 2 12" xfId="19527"/>
    <cellStyle name="Normal 20 2 2 2" xfId="10293"/>
    <cellStyle name="Normal 20 2 2 2 2" xfId="26431"/>
    <cellStyle name="Normal 20 2 2 3" xfId="10294"/>
    <cellStyle name="Normal 20 2 2 3 2" xfId="26432"/>
    <cellStyle name="Normal 20 2 2 4" xfId="10295"/>
    <cellStyle name="Normal 20 2 2 4 2" xfId="26433"/>
    <cellStyle name="Normal 20 2 2 5" xfId="10296"/>
    <cellStyle name="Normal 20 2 2 5 2" xfId="26434"/>
    <cellStyle name="Normal 20 2 2 6" xfId="10297"/>
    <cellStyle name="Normal 20 2 2 6 2" xfId="26435"/>
    <cellStyle name="Normal 20 2 2 7" xfId="10298"/>
    <cellStyle name="Normal 20 2 2 7 2" xfId="26436"/>
    <cellStyle name="Normal 20 2 2 8" xfId="10299"/>
    <cellStyle name="Normal 20 2 2 8 2" xfId="26437"/>
    <cellStyle name="Normal 20 2 2 9" xfId="10300"/>
    <cellStyle name="Normal 20 2 2 9 2" xfId="26438"/>
    <cellStyle name="Normal 20 2 3" xfId="1510"/>
    <cellStyle name="Normal 20 2 3 10" xfId="10301"/>
    <cellStyle name="Normal 20 2 3 10 2" xfId="26439"/>
    <cellStyle name="Normal 20 2 3 11" xfId="5428"/>
    <cellStyle name="Normal 20 2 3 11 2" xfId="21590"/>
    <cellStyle name="Normal 20 2 3 12" xfId="19530"/>
    <cellStyle name="Normal 20 2 3 2" xfId="10302"/>
    <cellStyle name="Normal 20 2 3 2 2" xfId="26440"/>
    <cellStyle name="Normal 20 2 3 3" xfId="10303"/>
    <cellStyle name="Normal 20 2 3 3 2" xfId="26441"/>
    <cellStyle name="Normal 20 2 3 4" xfId="10304"/>
    <cellStyle name="Normal 20 2 3 4 2" xfId="26442"/>
    <cellStyle name="Normal 20 2 3 5" xfId="10305"/>
    <cellStyle name="Normal 20 2 3 5 2" xfId="26443"/>
    <cellStyle name="Normal 20 2 3 6" xfId="10306"/>
    <cellStyle name="Normal 20 2 3 6 2" xfId="26444"/>
    <cellStyle name="Normal 20 2 3 7" xfId="10307"/>
    <cellStyle name="Normal 20 2 3 7 2" xfId="26445"/>
    <cellStyle name="Normal 20 2 3 8" xfId="10308"/>
    <cellStyle name="Normal 20 2 3 8 2" xfId="26446"/>
    <cellStyle name="Normal 20 2 3 9" xfId="10309"/>
    <cellStyle name="Normal 20 2 3 9 2" xfId="26447"/>
    <cellStyle name="Normal 20 2 4" xfId="10310"/>
    <cellStyle name="Normal 20 2 4 2" xfId="26448"/>
    <cellStyle name="Normal 20 2 5" xfId="10311"/>
    <cellStyle name="Normal 20 2 5 2" xfId="26449"/>
    <cellStyle name="Normal 20 2 6" xfId="10312"/>
    <cellStyle name="Normal 20 2 6 2" xfId="26450"/>
    <cellStyle name="Normal 20 2 7" xfId="10313"/>
    <cellStyle name="Normal 20 2 7 2" xfId="26451"/>
    <cellStyle name="Normal 20 2 8" xfId="10314"/>
    <cellStyle name="Normal 20 2 8 2" xfId="26452"/>
    <cellStyle name="Normal 20 2 9" xfId="10315"/>
    <cellStyle name="Normal 20 2 9 2" xfId="26453"/>
    <cellStyle name="Normal 20 20" xfId="19374"/>
    <cellStyle name="Normal 20 3" xfId="2453"/>
    <cellStyle name="Normal 20 3 10" xfId="10316"/>
    <cellStyle name="Normal 20 3 10 2" xfId="26454"/>
    <cellStyle name="Normal 20 3 11" xfId="10317"/>
    <cellStyle name="Normal 20 3 11 2" xfId="26455"/>
    <cellStyle name="Normal 20 3 12" xfId="10318"/>
    <cellStyle name="Normal 20 3 12 2" xfId="26456"/>
    <cellStyle name="Normal 20 3 13" xfId="6346"/>
    <cellStyle name="Normal 20 3 13 2" xfId="22508"/>
    <cellStyle name="Normal 20 3 14" xfId="19663"/>
    <cellStyle name="Normal 20 3 2" xfId="1524"/>
    <cellStyle name="Normal 20 3 2 10" xfId="10319"/>
    <cellStyle name="Normal 20 3 2 10 2" xfId="26457"/>
    <cellStyle name="Normal 20 3 2 11" xfId="5442"/>
    <cellStyle name="Normal 20 3 2 11 2" xfId="21604"/>
    <cellStyle name="Normal 20 3 2 12" xfId="19540"/>
    <cellStyle name="Normal 20 3 2 2" xfId="10320"/>
    <cellStyle name="Normal 20 3 2 2 2" xfId="26458"/>
    <cellStyle name="Normal 20 3 2 3" xfId="10321"/>
    <cellStyle name="Normal 20 3 2 3 2" xfId="26459"/>
    <cellStyle name="Normal 20 3 2 4" xfId="10322"/>
    <cellStyle name="Normal 20 3 2 4 2" xfId="26460"/>
    <cellStyle name="Normal 20 3 2 5" xfId="10323"/>
    <cellStyle name="Normal 20 3 2 5 2" xfId="26461"/>
    <cellStyle name="Normal 20 3 2 6" xfId="10324"/>
    <cellStyle name="Normal 20 3 2 6 2" xfId="26462"/>
    <cellStyle name="Normal 20 3 2 7" xfId="10325"/>
    <cellStyle name="Normal 20 3 2 7 2" xfId="26463"/>
    <cellStyle name="Normal 20 3 2 8" xfId="10326"/>
    <cellStyle name="Normal 20 3 2 8 2" xfId="26464"/>
    <cellStyle name="Normal 20 3 2 9" xfId="10327"/>
    <cellStyle name="Normal 20 3 2 9 2" xfId="26465"/>
    <cellStyle name="Normal 20 3 3" xfId="1527"/>
    <cellStyle name="Normal 20 3 3 10" xfId="10328"/>
    <cellStyle name="Normal 20 3 3 10 2" xfId="26466"/>
    <cellStyle name="Normal 20 3 3 11" xfId="5445"/>
    <cellStyle name="Normal 20 3 3 11 2" xfId="21607"/>
    <cellStyle name="Normal 20 3 3 12" xfId="19542"/>
    <cellStyle name="Normal 20 3 3 2" xfId="10329"/>
    <cellStyle name="Normal 20 3 3 2 2" xfId="26467"/>
    <cellStyle name="Normal 20 3 3 3" xfId="10330"/>
    <cellStyle name="Normal 20 3 3 3 2" xfId="26468"/>
    <cellStyle name="Normal 20 3 3 4" xfId="10331"/>
    <cellStyle name="Normal 20 3 3 4 2" xfId="26469"/>
    <cellStyle name="Normal 20 3 3 5" xfId="10332"/>
    <cellStyle name="Normal 20 3 3 5 2" xfId="26470"/>
    <cellStyle name="Normal 20 3 3 6" xfId="10333"/>
    <cellStyle name="Normal 20 3 3 6 2" xfId="26471"/>
    <cellStyle name="Normal 20 3 3 7" xfId="10334"/>
    <cellStyle name="Normal 20 3 3 7 2" xfId="26472"/>
    <cellStyle name="Normal 20 3 3 8" xfId="10335"/>
    <cellStyle name="Normal 20 3 3 8 2" xfId="26473"/>
    <cellStyle name="Normal 20 3 3 9" xfId="10336"/>
    <cellStyle name="Normal 20 3 3 9 2" xfId="26474"/>
    <cellStyle name="Normal 20 3 4" xfId="10337"/>
    <cellStyle name="Normal 20 3 4 2" xfId="26475"/>
    <cellStyle name="Normal 20 3 5" xfId="10338"/>
    <cellStyle name="Normal 20 3 5 2" xfId="26476"/>
    <cellStyle name="Normal 20 3 6" xfId="10339"/>
    <cellStyle name="Normal 20 3 6 2" xfId="26477"/>
    <cellStyle name="Normal 20 3 7" xfId="10340"/>
    <cellStyle name="Normal 20 3 7 2" xfId="26478"/>
    <cellStyle name="Normal 20 3 8" xfId="10341"/>
    <cellStyle name="Normal 20 3 8 2" xfId="26479"/>
    <cellStyle name="Normal 20 3 9" xfId="10342"/>
    <cellStyle name="Normal 20 3 9 2" xfId="26480"/>
    <cellStyle name="Normal 20 4" xfId="2456"/>
    <cellStyle name="Normal 20 4 10" xfId="10343"/>
    <cellStyle name="Normal 20 4 10 2" xfId="26481"/>
    <cellStyle name="Normal 20 4 11" xfId="10344"/>
    <cellStyle name="Normal 20 4 11 2" xfId="26482"/>
    <cellStyle name="Normal 20 4 12" xfId="10345"/>
    <cellStyle name="Normal 20 4 12 2" xfId="26483"/>
    <cellStyle name="Normal 20 4 13" xfId="6349"/>
    <cellStyle name="Normal 20 4 13 2" xfId="22511"/>
    <cellStyle name="Normal 20 4 14" xfId="19664"/>
    <cellStyle name="Normal 20 4 2" xfId="105"/>
    <cellStyle name="Normal 20 4 2 10" xfId="10346"/>
    <cellStyle name="Normal 20 4 2 10 2" xfId="26484"/>
    <cellStyle name="Normal 20 4 2 11" xfId="4051"/>
    <cellStyle name="Normal 20 4 2 11 2" xfId="20214"/>
    <cellStyle name="Normal 20 4 2 12" xfId="18990"/>
    <cellStyle name="Normal 20 4 2 2" xfId="10347"/>
    <cellStyle name="Normal 20 4 2 2 2" xfId="26485"/>
    <cellStyle name="Normal 20 4 2 3" xfId="10348"/>
    <cellStyle name="Normal 20 4 2 3 2" xfId="26486"/>
    <cellStyle name="Normal 20 4 2 4" xfId="10349"/>
    <cellStyle name="Normal 20 4 2 4 2" xfId="26487"/>
    <cellStyle name="Normal 20 4 2 5" xfId="10350"/>
    <cellStyle name="Normal 20 4 2 5 2" xfId="26488"/>
    <cellStyle name="Normal 20 4 2 6" xfId="10351"/>
    <cellStyle name="Normal 20 4 2 6 2" xfId="26489"/>
    <cellStyle name="Normal 20 4 2 7" xfId="10352"/>
    <cellStyle name="Normal 20 4 2 7 2" xfId="26490"/>
    <cellStyle name="Normal 20 4 2 8" xfId="10353"/>
    <cellStyle name="Normal 20 4 2 8 2" xfId="26491"/>
    <cellStyle name="Normal 20 4 2 9" xfId="10354"/>
    <cellStyle name="Normal 20 4 2 9 2" xfId="26492"/>
    <cellStyle name="Normal 20 4 3" xfId="570"/>
    <cellStyle name="Normal 20 4 3 10" xfId="10355"/>
    <cellStyle name="Normal 20 4 3 10 2" xfId="26493"/>
    <cellStyle name="Normal 20 4 3 11" xfId="4500"/>
    <cellStyle name="Normal 20 4 3 11 2" xfId="20663"/>
    <cellStyle name="Normal 20 4 3 12" xfId="19113"/>
    <cellStyle name="Normal 20 4 3 2" xfId="10356"/>
    <cellStyle name="Normal 20 4 3 2 2" xfId="26494"/>
    <cellStyle name="Normal 20 4 3 3" xfId="10357"/>
    <cellStyle name="Normal 20 4 3 3 2" xfId="26495"/>
    <cellStyle name="Normal 20 4 3 4" xfId="10358"/>
    <cellStyle name="Normal 20 4 3 4 2" xfId="26496"/>
    <cellStyle name="Normal 20 4 3 5" xfId="10359"/>
    <cellStyle name="Normal 20 4 3 5 2" xfId="26497"/>
    <cellStyle name="Normal 20 4 3 6" xfId="10360"/>
    <cellStyle name="Normal 20 4 3 6 2" xfId="26498"/>
    <cellStyle name="Normal 20 4 3 7" xfId="10361"/>
    <cellStyle name="Normal 20 4 3 7 2" xfId="26499"/>
    <cellStyle name="Normal 20 4 3 8" xfId="10362"/>
    <cellStyle name="Normal 20 4 3 8 2" xfId="26500"/>
    <cellStyle name="Normal 20 4 3 9" xfId="10363"/>
    <cellStyle name="Normal 20 4 3 9 2" xfId="26501"/>
    <cellStyle name="Normal 20 4 4" xfId="10364"/>
    <cellStyle name="Normal 20 4 4 2" xfId="26502"/>
    <cellStyle name="Normal 20 4 5" xfId="10365"/>
    <cellStyle name="Normal 20 4 5 2" xfId="26503"/>
    <cellStyle name="Normal 20 4 6" xfId="10366"/>
    <cellStyle name="Normal 20 4 6 2" xfId="26504"/>
    <cellStyle name="Normal 20 4 7" xfId="10367"/>
    <cellStyle name="Normal 20 4 7 2" xfId="26505"/>
    <cellStyle name="Normal 20 4 8" xfId="10368"/>
    <cellStyle name="Normal 20 4 8 2" xfId="26506"/>
    <cellStyle name="Normal 20 4 9" xfId="10369"/>
    <cellStyle name="Normal 20 4 9 2" xfId="26507"/>
    <cellStyle name="Normal 20 5" xfId="2459"/>
    <cellStyle name="Normal 20 5 10" xfId="10370"/>
    <cellStyle name="Normal 20 5 10 2" xfId="26508"/>
    <cellStyle name="Normal 20 5 11" xfId="10371"/>
    <cellStyle name="Normal 20 5 11 2" xfId="26509"/>
    <cellStyle name="Normal 20 5 12" xfId="10372"/>
    <cellStyle name="Normal 20 5 12 2" xfId="26510"/>
    <cellStyle name="Normal 20 5 13" xfId="6352"/>
    <cellStyle name="Normal 20 5 13 2" xfId="22514"/>
    <cellStyle name="Normal 20 5 14" xfId="19665"/>
    <cellStyle name="Normal 20 5 2" xfId="1206"/>
    <cellStyle name="Normal 20 5 2 10" xfId="10373"/>
    <cellStyle name="Normal 20 5 2 10 2" xfId="26511"/>
    <cellStyle name="Normal 20 5 2 11" xfId="5126"/>
    <cellStyle name="Normal 20 5 2 11 2" xfId="21288"/>
    <cellStyle name="Normal 20 5 2 12" xfId="19358"/>
    <cellStyle name="Normal 20 5 2 2" xfId="10374"/>
    <cellStyle name="Normal 20 5 2 2 2" xfId="26512"/>
    <cellStyle name="Normal 20 5 2 3" xfId="10375"/>
    <cellStyle name="Normal 20 5 2 3 2" xfId="26513"/>
    <cellStyle name="Normal 20 5 2 4" xfId="10376"/>
    <cellStyle name="Normal 20 5 2 4 2" xfId="26514"/>
    <cellStyle name="Normal 20 5 2 5" xfId="10377"/>
    <cellStyle name="Normal 20 5 2 5 2" xfId="26515"/>
    <cellStyle name="Normal 20 5 2 6" xfId="10378"/>
    <cellStyle name="Normal 20 5 2 6 2" xfId="26516"/>
    <cellStyle name="Normal 20 5 2 7" xfId="10379"/>
    <cellStyle name="Normal 20 5 2 7 2" xfId="26517"/>
    <cellStyle name="Normal 20 5 2 8" xfId="10380"/>
    <cellStyle name="Normal 20 5 2 8 2" xfId="26518"/>
    <cellStyle name="Normal 20 5 2 9" xfId="10381"/>
    <cellStyle name="Normal 20 5 2 9 2" xfId="26519"/>
    <cellStyle name="Normal 20 5 3" xfId="641"/>
    <cellStyle name="Normal 20 5 3 10" xfId="10382"/>
    <cellStyle name="Normal 20 5 3 10 2" xfId="26520"/>
    <cellStyle name="Normal 20 5 3 11" xfId="4568"/>
    <cellStyle name="Normal 20 5 3 11 2" xfId="20730"/>
    <cellStyle name="Normal 20 5 3 12" xfId="19141"/>
    <cellStyle name="Normal 20 5 3 2" xfId="10383"/>
    <cellStyle name="Normal 20 5 3 2 2" xfId="26521"/>
    <cellStyle name="Normal 20 5 3 3" xfId="10384"/>
    <cellStyle name="Normal 20 5 3 3 2" xfId="26522"/>
    <cellStyle name="Normal 20 5 3 4" xfId="10385"/>
    <cellStyle name="Normal 20 5 3 4 2" xfId="26523"/>
    <cellStyle name="Normal 20 5 3 5" xfId="10386"/>
    <cellStyle name="Normal 20 5 3 5 2" xfId="26524"/>
    <cellStyle name="Normal 20 5 3 6" xfId="10387"/>
    <cellStyle name="Normal 20 5 3 6 2" xfId="26525"/>
    <cellStyle name="Normal 20 5 3 7" xfId="10388"/>
    <cellStyle name="Normal 20 5 3 7 2" xfId="26526"/>
    <cellStyle name="Normal 20 5 3 8" xfId="10389"/>
    <cellStyle name="Normal 20 5 3 8 2" xfId="26527"/>
    <cellStyle name="Normal 20 5 3 9" xfId="10390"/>
    <cellStyle name="Normal 20 5 3 9 2" xfId="26528"/>
    <cellStyle name="Normal 20 5 4" xfId="10391"/>
    <cellStyle name="Normal 20 5 4 2" xfId="26529"/>
    <cellStyle name="Normal 20 5 5" xfId="10392"/>
    <cellStyle name="Normal 20 5 5 2" xfId="26530"/>
    <cellStyle name="Normal 20 5 6" xfId="10393"/>
    <cellStyle name="Normal 20 5 6 2" xfId="26531"/>
    <cellStyle name="Normal 20 5 7" xfId="10394"/>
    <cellStyle name="Normal 20 5 7 2" xfId="26532"/>
    <cellStyle name="Normal 20 5 8" xfId="10395"/>
    <cellStyle name="Normal 20 5 8 2" xfId="26533"/>
    <cellStyle name="Normal 20 5 9" xfId="10396"/>
    <cellStyle name="Normal 20 5 9 2" xfId="26534"/>
    <cellStyle name="Normal 20 6" xfId="2474"/>
    <cellStyle name="Normal 20 6 10" xfId="10397"/>
    <cellStyle name="Normal 20 6 10 2" xfId="26535"/>
    <cellStyle name="Normal 20 6 11" xfId="10398"/>
    <cellStyle name="Normal 20 6 11 2" xfId="26536"/>
    <cellStyle name="Normal 20 6 12" xfId="10399"/>
    <cellStyle name="Normal 20 6 12 2" xfId="26537"/>
    <cellStyle name="Normal 20 6 13" xfId="6367"/>
    <cellStyle name="Normal 20 6 13 2" xfId="22529"/>
    <cellStyle name="Normal 20 6 14" xfId="19666"/>
    <cellStyle name="Normal 20 6 2" xfId="210"/>
    <cellStyle name="Normal 20 6 2 10" xfId="10400"/>
    <cellStyle name="Normal 20 6 2 10 2" xfId="26538"/>
    <cellStyle name="Normal 20 6 2 11" xfId="4136"/>
    <cellStyle name="Normal 20 6 2 11 2" xfId="20299"/>
    <cellStyle name="Normal 20 6 2 12" xfId="19027"/>
    <cellStyle name="Normal 20 6 2 2" xfId="10401"/>
    <cellStyle name="Normal 20 6 2 2 2" xfId="26539"/>
    <cellStyle name="Normal 20 6 2 3" xfId="10402"/>
    <cellStyle name="Normal 20 6 2 3 2" xfId="26540"/>
    <cellStyle name="Normal 20 6 2 4" xfId="10403"/>
    <cellStyle name="Normal 20 6 2 4 2" xfId="26541"/>
    <cellStyle name="Normal 20 6 2 5" xfId="10404"/>
    <cellStyle name="Normal 20 6 2 5 2" xfId="26542"/>
    <cellStyle name="Normal 20 6 2 6" xfId="10405"/>
    <cellStyle name="Normal 20 6 2 6 2" xfId="26543"/>
    <cellStyle name="Normal 20 6 2 7" xfId="10406"/>
    <cellStyle name="Normal 20 6 2 7 2" xfId="26544"/>
    <cellStyle name="Normal 20 6 2 8" xfId="10407"/>
    <cellStyle name="Normal 20 6 2 8 2" xfId="26545"/>
    <cellStyle name="Normal 20 6 2 9" xfId="10408"/>
    <cellStyle name="Normal 20 6 2 9 2" xfId="26546"/>
    <cellStyle name="Normal 20 6 3" xfId="218"/>
    <cellStyle name="Normal 20 6 3 10" xfId="10409"/>
    <cellStyle name="Normal 20 6 3 10 2" xfId="26547"/>
    <cellStyle name="Normal 20 6 3 11" xfId="4145"/>
    <cellStyle name="Normal 20 6 3 11 2" xfId="20308"/>
    <cellStyle name="Normal 20 6 3 12" xfId="19031"/>
    <cellStyle name="Normal 20 6 3 2" xfId="10410"/>
    <cellStyle name="Normal 20 6 3 2 2" xfId="26548"/>
    <cellStyle name="Normal 20 6 3 3" xfId="10411"/>
    <cellStyle name="Normal 20 6 3 3 2" xfId="26549"/>
    <cellStyle name="Normal 20 6 3 4" xfId="10412"/>
    <cellStyle name="Normal 20 6 3 4 2" xfId="26550"/>
    <cellStyle name="Normal 20 6 3 5" xfId="10413"/>
    <cellStyle name="Normal 20 6 3 5 2" xfId="26551"/>
    <cellStyle name="Normal 20 6 3 6" xfId="10414"/>
    <cellStyle name="Normal 20 6 3 6 2" xfId="26552"/>
    <cellStyle name="Normal 20 6 3 7" xfId="10415"/>
    <cellStyle name="Normal 20 6 3 7 2" xfId="26553"/>
    <cellStyle name="Normal 20 6 3 8" xfId="10416"/>
    <cellStyle name="Normal 20 6 3 8 2" xfId="26554"/>
    <cellStyle name="Normal 20 6 3 9" xfId="10417"/>
    <cellStyle name="Normal 20 6 3 9 2" xfId="26555"/>
    <cellStyle name="Normal 20 6 4" xfId="10418"/>
    <cellStyle name="Normal 20 6 4 2" xfId="26556"/>
    <cellStyle name="Normal 20 6 5" xfId="10419"/>
    <cellStyle name="Normal 20 6 5 2" xfId="26557"/>
    <cellStyle name="Normal 20 6 6" xfId="10420"/>
    <cellStyle name="Normal 20 6 6 2" xfId="26558"/>
    <cellStyle name="Normal 20 6 7" xfId="10421"/>
    <cellStyle name="Normal 20 6 7 2" xfId="26559"/>
    <cellStyle name="Normal 20 6 8" xfId="10422"/>
    <cellStyle name="Normal 20 6 8 2" xfId="26560"/>
    <cellStyle name="Normal 20 6 9" xfId="10423"/>
    <cellStyle name="Normal 20 6 9 2" xfId="26561"/>
    <cellStyle name="Normal 20 7" xfId="2484"/>
    <cellStyle name="Normal 20 7 10" xfId="10424"/>
    <cellStyle name="Normal 20 7 10 2" xfId="26562"/>
    <cellStyle name="Normal 20 7 11" xfId="10425"/>
    <cellStyle name="Normal 20 7 11 2" xfId="26563"/>
    <cellStyle name="Normal 20 7 12" xfId="10426"/>
    <cellStyle name="Normal 20 7 12 2" xfId="26564"/>
    <cellStyle name="Normal 20 7 13" xfId="6377"/>
    <cellStyle name="Normal 20 7 13 2" xfId="22539"/>
    <cellStyle name="Normal 20 7 14" xfId="19669"/>
    <cellStyle name="Normal 20 7 2" xfId="794"/>
    <cellStyle name="Normal 20 7 2 10" xfId="10427"/>
    <cellStyle name="Normal 20 7 2 10 2" xfId="26565"/>
    <cellStyle name="Normal 20 7 2 11" xfId="4718"/>
    <cellStyle name="Normal 20 7 2 11 2" xfId="20880"/>
    <cellStyle name="Normal 20 7 2 12" xfId="19186"/>
    <cellStyle name="Normal 20 7 2 2" xfId="10428"/>
    <cellStyle name="Normal 20 7 2 2 2" xfId="26566"/>
    <cellStyle name="Normal 20 7 2 3" xfId="10429"/>
    <cellStyle name="Normal 20 7 2 3 2" xfId="26567"/>
    <cellStyle name="Normal 20 7 2 4" xfId="10430"/>
    <cellStyle name="Normal 20 7 2 4 2" xfId="26568"/>
    <cellStyle name="Normal 20 7 2 5" xfId="10431"/>
    <cellStyle name="Normal 20 7 2 5 2" xfId="26569"/>
    <cellStyle name="Normal 20 7 2 6" xfId="10432"/>
    <cellStyle name="Normal 20 7 2 6 2" xfId="26570"/>
    <cellStyle name="Normal 20 7 2 7" xfId="10433"/>
    <cellStyle name="Normal 20 7 2 7 2" xfId="26571"/>
    <cellStyle name="Normal 20 7 2 8" xfId="10434"/>
    <cellStyle name="Normal 20 7 2 8 2" xfId="26572"/>
    <cellStyle name="Normal 20 7 2 9" xfId="10435"/>
    <cellStyle name="Normal 20 7 2 9 2" xfId="26573"/>
    <cellStyle name="Normal 20 7 3" xfId="580"/>
    <cellStyle name="Normal 20 7 3 10" xfId="10436"/>
    <cellStyle name="Normal 20 7 3 10 2" xfId="26574"/>
    <cellStyle name="Normal 20 7 3 11" xfId="4510"/>
    <cellStyle name="Normal 20 7 3 11 2" xfId="20673"/>
    <cellStyle name="Normal 20 7 3 12" xfId="19117"/>
    <cellStyle name="Normal 20 7 3 2" xfId="10437"/>
    <cellStyle name="Normal 20 7 3 2 2" xfId="26575"/>
    <cellStyle name="Normal 20 7 3 3" xfId="10438"/>
    <cellStyle name="Normal 20 7 3 3 2" xfId="26576"/>
    <cellStyle name="Normal 20 7 3 4" xfId="10439"/>
    <cellStyle name="Normal 20 7 3 4 2" xfId="26577"/>
    <cellStyle name="Normal 20 7 3 5" xfId="10440"/>
    <cellStyle name="Normal 20 7 3 5 2" xfId="26578"/>
    <cellStyle name="Normal 20 7 3 6" xfId="10441"/>
    <cellStyle name="Normal 20 7 3 6 2" xfId="26579"/>
    <cellStyle name="Normal 20 7 3 7" xfId="10442"/>
    <cellStyle name="Normal 20 7 3 7 2" xfId="26580"/>
    <cellStyle name="Normal 20 7 3 8" xfId="10443"/>
    <cellStyle name="Normal 20 7 3 8 2" xfId="26581"/>
    <cellStyle name="Normal 20 7 3 9" xfId="10444"/>
    <cellStyle name="Normal 20 7 3 9 2" xfId="26582"/>
    <cellStyle name="Normal 20 7 4" xfId="10445"/>
    <cellStyle name="Normal 20 7 4 2" xfId="26583"/>
    <cellStyle name="Normal 20 7 5" xfId="10446"/>
    <cellStyle name="Normal 20 7 5 2" xfId="26584"/>
    <cellStyle name="Normal 20 7 6" xfId="10447"/>
    <cellStyle name="Normal 20 7 6 2" xfId="26585"/>
    <cellStyle name="Normal 20 7 7" xfId="10448"/>
    <cellStyle name="Normal 20 7 7 2" xfId="26586"/>
    <cellStyle name="Normal 20 7 8" xfId="10449"/>
    <cellStyle name="Normal 20 7 8 2" xfId="26587"/>
    <cellStyle name="Normal 20 7 9" xfId="10450"/>
    <cellStyle name="Normal 20 7 9 2" xfId="26588"/>
    <cellStyle name="Normal 20 8" xfId="2494"/>
    <cellStyle name="Normal 20 8 10" xfId="10451"/>
    <cellStyle name="Normal 20 8 10 2" xfId="26589"/>
    <cellStyle name="Normal 20 8 11" xfId="6387"/>
    <cellStyle name="Normal 20 8 11 2" xfId="22549"/>
    <cellStyle name="Normal 20 8 12" xfId="19670"/>
    <cellStyle name="Normal 20 8 2" xfId="10452"/>
    <cellStyle name="Normal 20 8 2 2" xfId="26590"/>
    <cellStyle name="Normal 20 8 3" xfId="10453"/>
    <cellStyle name="Normal 20 8 3 2" xfId="26591"/>
    <cellStyle name="Normal 20 8 4" xfId="10454"/>
    <cellStyle name="Normal 20 8 4 2" xfId="26592"/>
    <cellStyle name="Normal 20 8 5" xfId="10455"/>
    <cellStyle name="Normal 20 8 5 2" xfId="26593"/>
    <cellStyle name="Normal 20 8 6" xfId="10456"/>
    <cellStyle name="Normal 20 8 6 2" xfId="26594"/>
    <cellStyle name="Normal 20 8 7" xfId="10457"/>
    <cellStyle name="Normal 20 8 7 2" xfId="26595"/>
    <cellStyle name="Normal 20 8 8" xfId="10458"/>
    <cellStyle name="Normal 20 8 8 2" xfId="26596"/>
    <cellStyle name="Normal 20 8 9" xfId="10459"/>
    <cellStyle name="Normal 20 8 9 2" xfId="26597"/>
    <cellStyle name="Normal 20 9" xfId="2496"/>
    <cellStyle name="Normal 20 9 10" xfId="10460"/>
    <cellStyle name="Normal 20 9 10 2" xfId="26598"/>
    <cellStyle name="Normal 20 9 11" xfId="6389"/>
    <cellStyle name="Normal 20 9 11 2" xfId="22551"/>
    <cellStyle name="Normal 20 9 12" xfId="19671"/>
    <cellStyle name="Normal 20 9 2" xfId="10461"/>
    <cellStyle name="Normal 20 9 2 2" xfId="26599"/>
    <cellStyle name="Normal 20 9 3" xfId="10462"/>
    <cellStyle name="Normal 20 9 3 2" xfId="26600"/>
    <cellStyle name="Normal 20 9 4" xfId="10463"/>
    <cellStyle name="Normal 20 9 4 2" xfId="26601"/>
    <cellStyle name="Normal 20 9 5" xfId="10464"/>
    <cellStyle name="Normal 20 9 5 2" xfId="26602"/>
    <cellStyle name="Normal 20 9 6" xfId="10465"/>
    <cellStyle name="Normal 20 9 6 2" xfId="26603"/>
    <cellStyle name="Normal 20 9 7" xfId="10466"/>
    <cellStyle name="Normal 20 9 7 2" xfId="26604"/>
    <cellStyle name="Normal 20 9 8" xfId="10467"/>
    <cellStyle name="Normal 20 9 8 2" xfId="26605"/>
    <cellStyle name="Normal 20 9 9" xfId="10468"/>
    <cellStyle name="Normal 20 9 9 2" xfId="26606"/>
    <cellStyle name="Normal 21" xfId="1239"/>
    <cellStyle name="Normal 21 2" xfId="10469"/>
    <cellStyle name="Normal 21 2 2" xfId="10470"/>
    <cellStyle name="Normal 21 2 2 2" xfId="26608"/>
    <cellStyle name="Normal 21 2 3" xfId="26607"/>
    <cellStyle name="Normal 21 3" xfId="10471"/>
    <cellStyle name="Normal 21 3 2" xfId="26609"/>
    <cellStyle name="Normal 21 4" xfId="10472"/>
    <cellStyle name="Normal 21 4 2" xfId="26610"/>
    <cellStyle name="Normal 21 5" xfId="2500"/>
    <cellStyle name="Normal 21 5 2" xfId="6393"/>
    <cellStyle name="Normal 21 5 2 2" xfId="22555"/>
    <cellStyle name="Normal 21 6" xfId="5159"/>
    <cellStyle name="Normal 21 6 2" xfId="21321"/>
    <cellStyle name="Normal 22" xfId="1244"/>
    <cellStyle name="Normal 22 10" xfId="10473"/>
    <cellStyle name="Normal 22 10 2" xfId="26611"/>
    <cellStyle name="Normal 22 11" xfId="10474"/>
    <cellStyle name="Normal 22 11 2" xfId="26612"/>
    <cellStyle name="Normal 22 12" xfId="10475"/>
    <cellStyle name="Normal 22 12 2" xfId="26613"/>
    <cellStyle name="Normal 22 13" xfId="10476"/>
    <cellStyle name="Normal 22 13 2" xfId="26614"/>
    <cellStyle name="Normal 22 14" xfId="10477"/>
    <cellStyle name="Normal 22 14 2" xfId="26615"/>
    <cellStyle name="Normal 22 15" xfId="10478"/>
    <cellStyle name="Normal 22 15 2" xfId="26616"/>
    <cellStyle name="Normal 22 16" xfId="10479"/>
    <cellStyle name="Normal 22 16 2" xfId="26617"/>
    <cellStyle name="Normal 22 17" xfId="10480"/>
    <cellStyle name="Normal 22 17 2" xfId="26618"/>
    <cellStyle name="Normal 22 18" xfId="5164"/>
    <cellStyle name="Normal 22 18 2" xfId="21326"/>
    <cellStyle name="Normal 22 19" xfId="19377"/>
    <cellStyle name="Normal 22 2" xfId="2478"/>
    <cellStyle name="Normal 22 2 10" xfId="10481"/>
    <cellStyle name="Normal 22 2 10 2" xfId="26619"/>
    <cellStyle name="Normal 22 2 11" xfId="10482"/>
    <cellStyle name="Normal 22 2 11 2" xfId="26620"/>
    <cellStyle name="Normal 22 2 12" xfId="10483"/>
    <cellStyle name="Normal 22 2 12 2" xfId="26621"/>
    <cellStyle name="Normal 22 2 13" xfId="6371"/>
    <cellStyle name="Normal 22 2 13 2" xfId="22533"/>
    <cellStyle name="Normal 22 2 14" xfId="19667"/>
    <cellStyle name="Normal 22 2 2" xfId="617"/>
    <cellStyle name="Normal 22 2 2 10" xfId="10484"/>
    <cellStyle name="Normal 22 2 2 10 2" xfId="26622"/>
    <cellStyle name="Normal 22 2 2 11" xfId="4550"/>
    <cellStyle name="Normal 22 2 2 11 2" xfId="20712"/>
    <cellStyle name="Normal 22 2 2 12" xfId="19130"/>
    <cellStyle name="Normal 22 2 2 2" xfId="10485"/>
    <cellStyle name="Normal 22 2 2 2 2" xfId="26623"/>
    <cellStyle name="Normal 22 2 2 3" xfId="10486"/>
    <cellStyle name="Normal 22 2 2 3 2" xfId="26624"/>
    <cellStyle name="Normal 22 2 2 4" xfId="10487"/>
    <cellStyle name="Normal 22 2 2 4 2" xfId="26625"/>
    <cellStyle name="Normal 22 2 2 5" xfId="10488"/>
    <cellStyle name="Normal 22 2 2 5 2" xfId="26626"/>
    <cellStyle name="Normal 22 2 2 6" xfId="10489"/>
    <cellStyle name="Normal 22 2 2 6 2" xfId="26627"/>
    <cellStyle name="Normal 22 2 2 7" xfId="10490"/>
    <cellStyle name="Normal 22 2 2 7 2" xfId="26628"/>
    <cellStyle name="Normal 22 2 2 8" xfId="10491"/>
    <cellStyle name="Normal 22 2 2 8 2" xfId="26629"/>
    <cellStyle name="Normal 22 2 2 9" xfId="10492"/>
    <cellStyle name="Normal 22 2 2 9 2" xfId="26630"/>
    <cellStyle name="Normal 22 2 3" xfId="919"/>
    <cellStyle name="Normal 22 2 3 10" xfId="10493"/>
    <cellStyle name="Normal 22 2 3 10 2" xfId="26631"/>
    <cellStyle name="Normal 22 2 3 11" xfId="4839"/>
    <cellStyle name="Normal 22 2 3 11 2" xfId="21001"/>
    <cellStyle name="Normal 22 2 3 12" xfId="19232"/>
    <cellStyle name="Normal 22 2 3 2" xfId="10494"/>
    <cellStyle name="Normal 22 2 3 2 2" xfId="26632"/>
    <cellStyle name="Normal 22 2 3 3" xfId="10495"/>
    <cellStyle name="Normal 22 2 3 3 2" xfId="26633"/>
    <cellStyle name="Normal 22 2 3 4" xfId="10496"/>
    <cellStyle name="Normal 22 2 3 4 2" xfId="26634"/>
    <cellStyle name="Normal 22 2 3 5" xfId="10497"/>
    <cellStyle name="Normal 22 2 3 5 2" xfId="26635"/>
    <cellStyle name="Normal 22 2 3 6" xfId="10498"/>
    <cellStyle name="Normal 22 2 3 6 2" xfId="26636"/>
    <cellStyle name="Normal 22 2 3 7" xfId="10499"/>
    <cellStyle name="Normal 22 2 3 7 2" xfId="26637"/>
    <cellStyle name="Normal 22 2 3 8" xfId="10500"/>
    <cellStyle name="Normal 22 2 3 8 2" xfId="26638"/>
    <cellStyle name="Normal 22 2 3 9" xfId="10501"/>
    <cellStyle name="Normal 22 2 3 9 2" xfId="26639"/>
    <cellStyle name="Normal 22 2 4" xfId="10502"/>
    <cellStyle name="Normal 22 2 4 2" xfId="26640"/>
    <cellStyle name="Normal 22 2 5" xfId="10503"/>
    <cellStyle name="Normal 22 2 5 2" xfId="26641"/>
    <cellStyle name="Normal 22 2 6" xfId="10504"/>
    <cellStyle name="Normal 22 2 6 2" xfId="26642"/>
    <cellStyle name="Normal 22 2 7" xfId="10505"/>
    <cellStyle name="Normal 22 2 7 2" xfId="26643"/>
    <cellStyle name="Normal 22 2 8" xfId="10506"/>
    <cellStyle name="Normal 22 2 8 2" xfId="26644"/>
    <cellStyle name="Normal 22 2 9" xfId="10507"/>
    <cellStyle name="Normal 22 2 9 2" xfId="26645"/>
    <cellStyle name="Normal 22 3" xfId="1744"/>
    <cellStyle name="Normal 22 3 10" xfId="10508"/>
    <cellStyle name="Normal 22 3 10 2" xfId="26646"/>
    <cellStyle name="Normal 22 3 11" xfId="10509"/>
    <cellStyle name="Normal 22 3 11 2" xfId="26647"/>
    <cellStyle name="Normal 22 3 12" xfId="10510"/>
    <cellStyle name="Normal 22 3 12 2" xfId="26648"/>
    <cellStyle name="Normal 22 3 13" xfId="5656"/>
    <cellStyle name="Normal 22 3 13 2" xfId="21818"/>
    <cellStyle name="Normal 22 3 14" xfId="19569"/>
    <cellStyle name="Normal 22 3 2" xfId="2645"/>
    <cellStyle name="Normal 22 3 2 10" xfId="10511"/>
    <cellStyle name="Normal 22 3 2 10 2" xfId="26649"/>
    <cellStyle name="Normal 22 3 2 11" xfId="6537"/>
    <cellStyle name="Normal 22 3 2 11 2" xfId="22699"/>
    <cellStyle name="Normal 22 3 2 12" xfId="19693"/>
    <cellStyle name="Normal 22 3 2 2" xfId="10512"/>
    <cellStyle name="Normal 22 3 2 2 2" xfId="26650"/>
    <cellStyle name="Normal 22 3 2 3" xfId="10513"/>
    <cellStyle name="Normal 22 3 2 3 2" xfId="26651"/>
    <cellStyle name="Normal 22 3 2 4" xfId="10514"/>
    <cellStyle name="Normal 22 3 2 4 2" xfId="26652"/>
    <cellStyle name="Normal 22 3 2 5" xfId="10515"/>
    <cellStyle name="Normal 22 3 2 5 2" xfId="26653"/>
    <cellStyle name="Normal 22 3 2 6" xfId="10516"/>
    <cellStyle name="Normal 22 3 2 6 2" xfId="26654"/>
    <cellStyle name="Normal 22 3 2 7" xfId="10517"/>
    <cellStyle name="Normal 22 3 2 7 2" xfId="26655"/>
    <cellStyle name="Normal 22 3 2 8" xfId="10518"/>
    <cellStyle name="Normal 22 3 2 8 2" xfId="26656"/>
    <cellStyle name="Normal 22 3 2 9" xfId="10519"/>
    <cellStyle name="Normal 22 3 2 9 2" xfId="26657"/>
    <cellStyle name="Normal 22 3 3" xfId="2646"/>
    <cellStyle name="Normal 22 3 3 10" xfId="10520"/>
    <cellStyle name="Normal 22 3 3 10 2" xfId="26658"/>
    <cellStyle name="Normal 22 3 3 11" xfId="6538"/>
    <cellStyle name="Normal 22 3 3 11 2" xfId="22700"/>
    <cellStyle name="Normal 22 3 3 12" xfId="19694"/>
    <cellStyle name="Normal 22 3 3 2" xfId="10521"/>
    <cellStyle name="Normal 22 3 3 2 2" xfId="26659"/>
    <cellStyle name="Normal 22 3 3 3" xfId="10522"/>
    <cellStyle name="Normal 22 3 3 3 2" xfId="26660"/>
    <cellStyle name="Normal 22 3 3 4" xfId="10523"/>
    <cellStyle name="Normal 22 3 3 4 2" xfId="26661"/>
    <cellStyle name="Normal 22 3 3 5" xfId="10524"/>
    <cellStyle name="Normal 22 3 3 5 2" xfId="26662"/>
    <cellStyle name="Normal 22 3 3 6" xfId="10525"/>
    <cellStyle name="Normal 22 3 3 6 2" xfId="26663"/>
    <cellStyle name="Normal 22 3 3 7" xfId="10526"/>
    <cellStyle name="Normal 22 3 3 7 2" xfId="26664"/>
    <cellStyle name="Normal 22 3 3 8" xfId="10527"/>
    <cellStyle name="Normal 22 3 3 8 2" xfId="26665"/>
    <cellStyle name="Normal 22 3 3 9" xfId="10528"/>
    <cellStyle name="Normal 22 3 3 9 2" xfId="26666"/>
    <cellStyle name="Normal 22 3 4" xfId="10529"/>
    <cellStyle name="Normal 22 3 4 2" xfId="26667"/>
    <cellStyle name="Normal 22 3 5" xfId="10530"/>
    <cellStyle name="Normal 22 3 5 2" xfId="26668"/>
    <cellStyle name="Normal 22 3 6" xfId="10531"/>
    <cellStyle name="Normal 22 3 6 2" xfId="26669"/>
    <cellStyle name="Normal 22 3 7" xfId="10532"/>
    <cellStyle name="Normal 22 3 7 2" xfId="26670"/>
    <cellStyle name="Normal 22 3 8" xfId="10533"/>
    <cellStyle name="Normal 22 3 8 2" xfId="26671"/>
    <cellStyle name="Normal 22 3 9" xfId="10534"/>
    <cellStyle name="Normal 22 3 9 2" xfId="26672"/>
    <cellStyle name="Normal 22 4" xfId="2481"/>
    <cellStyle name="Normal 22 4 10" xfId="10535"/>
    <cellStyle name="Normal 22 4 10 2" xfId="26673"/>
    <cellStyle name="Normal 22 4 11" xfId="10536"/>
    <cellStyle name="Normal 22 4 11 2" xfId="26674"/>
    <cellStyle name="Normal 22 4 12" xfId="10537"/>
    <cellStyle name="Normal 22 4 12 2" xfId="26675"/>
    <cellStyle name="Normal 22 4 13" xfId="6374"/>
    <cellStyle name="Normal 22 4 13 2" xfId="22536"/>
    <cellStyle name="Normal 22 4 14" xfId="19668"/>
    <cellStyle name="Normal 22 4 2" xfId="1297"/>
    <cellStyle name="Normal 22 4 2 10" xfId="10538"/>
    <cellStyle name="Normal 22 4 2 10 2" xfId="26676"/>
    <cellStyle name="Normal 22 4 2 11" xfId="5217"/>
    <cellStyle name="Normal 22 4 2 11 2" xfId="21379"/>
    <cellStyle name="Normal 22 4 2 12" xfId="19406"/>
    <cellStyle name="Normal 22 4 2 2" xfId="10539"/>
    <cellStyle name="Normal 22 4 2 2 2" xfId="26677"/>
    <cellStyle name="Normal 22 4 2 3" xfId="10540"/>
    <cellStyle name="Normal 22 4 2 3 2" xfId="26678"/>
    <cellStyle name="Normal 22 4 2 4" xfId="10541"/>
    <cellStyle name="Normal 22 4 2 4 2" xfId="26679"/>
    <cellStyle name="Normal 22 4 2 5" xfId="10542"/>
    <cellStyle name="Normal 22 4 2 5 2" xfId="26680"/>
    <cellStyle name="Normal 22 4 2 6" xfId="10543"/>
    <cellStyle name="Normal 22 4 2 6 2" xfId="26681"/>
    <cellStyle name="Normal 22 4 2 7" xfId="10544"/>
    <cellStyle name="Normal 22 4 2 7 2" xfId="26682"/>
    <cellStyle name="Normal 22 4 2 8" xfId="10545"/>
    <cellStyle name="Normal 22 4 2 8 2" xfId="26683"/>
    <cellStyle name="Normal 22 4 2 9" xfId="10546"/>
    <cellStyle name="Normal 22 4 2 9 2" xfId="26684"/>
    <cellStyle name="Normal 22 4 3" xfId="1299"/>
    <cellStyle name="Normal 22 4 3 10" xfId="10547"/>
    <cellStyle name="Normal 22 4 3 10 2" xfId="26685"/>
    <cellStyle name="Normal 22 4 3 11" xfId="5219"/>
    <cellStyle name="Normal 22 4 3 11 2" xfId="21381"/>
    <cellStyle name="Normal 22 4 3 12" xfId="19408"/>
    <cellStyle name="Normal 22 4 3 2" xfId="10548"/>
    <cellStyle name="Normal 22 4 3 2 2" xfId="26686"/>
    <cellStyle name="Normal 22 4 3 3" xfId="10549"/>
    <cellStyle name="Normal 22 4 3 3 2" xfId="26687"/>
    <cellStyle name="Normal 22 4 3 4" xfId="10550"/>
    <cellStyle name="Normal 22 4 3 4 2" xfId="26688"/>
    <cellStyle name="Normal 22 4 3 5" xfId="10551"/>
    <cellStyle name="Normal 22 4 3 5 2" xfId="26689"/>
    <cellStyle name="Normal 22 4 3 6" xfId="10552"/>
    <cellStyle name="Normal 22 4 3 6 2" xfId="26690"/>
    <cellStyle name="Normal 22 4 3 7" xfId="10553"/>
    <cellStyle name="Normal 22 4 3 7 2" xfId="26691"/>
    <cellStyle name="Normal 22 4 3 8" xfId="10554"/>
    <cellStyle name="Normal 22 4 3 8 2" xfId="26692"/>
    <cellStyle name="Normal 22 4 3 9" xfId="10555"/>
    <cellStyle name="Normal 22 4 3 9 2" xfId="26693"/>
    <cellStyle name="Normal 22 4 4" xfId="10556"/>
    <cellStyle name="Normal 22 4 4 2" xfId="26694"/>
    <cellStyle name="Normal 22 4 5" xfId="10557"/>
    <cellStyle name="Normal 22 4 5 2" xfId="26695"/>
    <cellStyle name="Normal 22 4 6" xfId="10558"/>
    <cellStyle name="Normal 22 4 6 2" xfId="26696"/>
    <cellStyle name="Normal 22 4 7" xfId="10559"/>
    <cellStyle name="Normal 22 4 7 2" xfId="26697"/>
    <cellStyle name="Normal 22 4 8" xfId="10560"/>
    <cellStyle name="Normal 22 4 8 2" xfId="26698"/>
    <cellStyle name="Normal 22 4 9" xfId="10561"/>
    <cellStyle name="Normal 22 4 9 2" xfId="26699"/>
    <cellStyle name="Normal 22 5" xfId="2504"/>
    <cellStyle name="Normal 22 5 10" xfId="10562"/>
    <cellStyle name="Normal 22 5 10 2" xfId="26700"/>
    <cellStyle name="Normal 22 5 11" xfId="10563"/>
    <cellStyle name="Normal 22 5 11 2" xfId="26701"/>
    <cellStyle name="Normal 22 5 12" xfId="10564"/>
    <cellStyle name="Normal 22 5 12 2" xfId="26702"/>
    <cellStyle name="Normal 22 5 13" xfId="6397"/>
    <cellStyle name="Normal 22 5 13 2" xfId="22559"/>
    <cellStyle name="Normal 22 5 14" xfId="19673"/>
    <cellStyle name="Normal 22 5 2" xfId="1317"/>
    <cellStyle name="Normal 22 5 2 10" xfId="10565"/>
    <cellStyle name="Normal 22 5 2 10 2" xfId="26703"/>
    <cellStyle name="Normal 22 5 2 11" xfId="5237"/>
    <cellStyle name="Normal 22 5 2 11 2" xfId="21399"/>
    <cellStyle name="Normal 22 5 2 12" xfId="19425"/>
    <cellStyle name="Normal 22 5 2 2" xfId="10566"/>
    <cellStyle name="Normal 22 5 2 2 2" xfId="26704"/>
    <cellStyle name="Normal 22 5 2 3" xfId="10567"/>
    <cellStyle name="Normal 22 5 2 3 2" xfId="26705"/>
    <cellStyle name="Normal 22 5 2 4" xfId="10568"/>
    <cellStyle name="Normal 22 5 2 4 2" xfId="26706"/>
    <cellStyle name="Normal 22 5 2 5" xfId="10569"/>
    <cellStyle name="Normal 22 5 2 5 2" xfId="26707"/>
    <cellStyle name="Normal 22 5 2 6" xfId="10570"/>
    <cellStyle name="Normal 22 5 2 6 2" xfId="26708"/>
    <cellStyle name="Normal 22 5 2 7" xfId="10571"/>
    <cellStyle name="Normal 22 5 2 7 2" xfId="26709"/>
    <cellStyle name="Normal 22 5 2 8" xfId="10572"/>
    <cellStyle name="Normal 22 5 2 8 2" xfId="26710"/>
    <cellStyle name="Normal 22 5 2 9" xfId="10573"/>
    <cellStyle name="Normal 22 5 2 9 2" xfId="26711"/>
    <cellStyle name="Normal 22 5 3" xfId="1320"/>
    <cellStyle name="Normal 22 5 3 10" xfId="10574"/>
    <cellStyle name="Normal 22 5 3 10 2" xfId="26712"/>
    <cellStyle name="Normal 22 5 3 11" xfId="5240"/>
    <cellStyle name="Normal 22 5 3 11 2" xfId="21402"/>
    <cellStyle name="Normal 22 5 3 12" xfId="19428"/>
    <cellStyle name="Normal 22 5 3 2" xfId="10575"/>
    <cellStyle name="Normal 22 5 3 2 2" xfId="26713"/>
    <cellStyle name="Normal 22 5 3 3" xfId="10576"/>
    <cellStyle name="Normal 22 5 3 3 2" xfId="26714"/>
    <cellStyle name="Normal 22 5 3 4" xfId="10577"/>
    <cellStyle name="Normal 22 5 3 4 2" xfId="26715"/>
    <cellStyle name="Normal 22 5 3 5" xfId="10578"/>
    <cellStyle name="Normal 22 5 3 5 2" xfId="26716"/>
    <cellStyle name="Normal 22 5 3 6" xfId="10579"/>
    <cellStyle name="Normal 22 5 3 6 2" xfId="26717"/>
    <cellStyle name="Normal 22 5 3 7" xfId="10580"/>
    <cellStyle name="Normal 22 5 3 7 2" xfId="26718"/>
    <cellStyle name="Normal 22 5 3 8" xfId="10581"/>
    <cellStyle name="Normal 22 5 3 8 2" xfId="26719"/>
    <cellStyle name="Normal 22 5 3 9" xfId="10582"/>
    <cellStyle name="Normal 22 5 3 9 2" xfId="26720"/>
    <cellStyle name="Normal 22 5 4" xfId="10583"/>
    <cellStyle name="Normal 22 5 4 2" xfId="26721"/>
    <cellStyle name="Normal 22 5 5" xfId="10584"/>
    <cellStyle name="Normal 22 5 5 2" xfId="26722"/>
    <cellStyle name="Normal 22 5 6" xfId="10585"/>
    <cellStyle name="Normal 22 5 6 2" xfId="26723"/>
    <cellStyle name="Normal 22 5 7" xfId="10586"/>
    <cellStyle name="Normal 22 5 7 2" xfId="26724"/>
    <cellStyle name="Normal 22 5 8" xfId="10587"/>
    <cellStyle name="Normal 22 5 8 2" xfId="26725"/>
    <cellStyle name="Normal 22 5 9" xfId="10588"/>
    <cellStyle name="Normal 22 5 9 2" xfId="26726"/>
    <cellStyle name="Normal 22 6" xfId="111"/>
    <cellStyle name="Normal 22 6 10" xfId="10589"/>
    <cellStyle name="Normal 22 6 10 2" xfId="26727"/>
    <cellStyle name="Normal 22 6 11" xfId="10590"/>
    <cellStyle name="Normal 22 6 11 2" xfId="26728"/>
    <cellStyle name="Normal 22 6 12" xfId="10591"/>
    <cellStyle name="Normal 22 6 12 2" xfId="26729"/>
    <cellStyle name="Normal 22 6 13" xfId="4054"/>
    <cellStyle name="Normal 22 6 13 2" xfId="20217"/>
    <cellStyle name="Normal 22 6 14" xfId="18993"/>
    <cellStyle name="Normal 22 6 2" xfId="232"/>
    <cellStyle name="Normal 22 6 2 10" xfId="10592"/>
    <cellStyle name="Normal 22 6 2 10 2" xfId="26730"/>
    <cellStyle name="Normal 22 6 2 11" xfId="4180"/>
    <cellStyle name="Normal 22 6 2 11 2" xfId="20343"/>
    <cellStyle name="Normal 22 6 2 12" xfId="19035"/>
    <cellStyle name="Normal 22 6 2 2" xfId="10593"/>
    <cellStyle name="Normal 22 6 2 2 2" xfId="26731"/>
    <cellStyle name="Normal 22 6 2 3" xfId="10594"/>
    <cellStyle name="Normal 22 6 2 3 2" xfId="26732"/>
    <cellStyle name="Normal 22 6 2 4" xfId="10595"/>
    <cellStyle name="Normal 22 6 2 4 2" xfId="26733"/>
    <cellStyle name="Normal 22 6 2 5" xfId="10596"/>
    <cellStyle name="Normal 22 6 2 5 2" xfId="26734"/>
    <cellStyle name="Normal 22 6 2 6" xfId="10597"/>
    <cellStyle name="Normal 22 6 2 6 2" xfId="26735"/>
    <cellStyle name="Normal 22 6 2 7" xfId="10598"/>
    <cellStyle name="Normal 22 6 2 7 2" xfId="26736"/>
    <cellStyle name="Normal 22 6 2 8" xfId="10599"/>
    <cellStyle name="Normal 22 6 2 8 2" xfId="26737"/>
    <cellStyle name="Normal 22 6 2 9" xfId="10600"/>
    <cellStyle name="Normal 22 6 2 9 2" xfId="26738"/>
    <cellStyle name="Normal 22 6 3" xfId="235"/>
    <cellStyle name="Normal 22 6 3 10" xfId="10601"/>
    <cellStyle name="Normal 22 6 3 10 2" xfId="26739"/>
    <cellStyle name="Normal 22 6 3 11" xfId="4188"/>
    <cellStyle name="Normal 22 6 3 11 2" xfId="20351"/>
    <cellStyle name="Normal 22 6 3 12" xfId="19037"/>
    <cellStyle name="Normal 22 6 3 2" xfId="10602"/>
    <cellStyle name="Normal 22 6 3 2 2" xfId="26740"/>
    <cellStyle name="Normal 22 6 3 3" xfId="10603"/>
    <cellStyle name="Normal 22 6 3 3 2" xfId="26741"/>
    <cellStyle name="Normal 22 6 3 4" xfId="10604"/>
    <cellStyle name="Normal 22 6 3 4 2" xfId="26742"/>
    <cellStyle name="Normal 22 6 3 5" xfId="10605"/>
    <cellStyle name="Normal 22 6 3 5 2" xfId="26743"/>
    <cellStyle name="Normal 22 6 3 6" xfId="10606"/>
    <cellStyle name="Normal 22 6 3 6 2" xfId="26744"/>
    <cellStyle name="Normal 22 6 3 7" xfId="10607"/>
    <cellStyle name="Normal 22 6 3 7 2" xfId="26745"/>
    <cellStyle name="Normal 22 6 3 8" xfId="10608"/>
    <cellStyle name="Normal 22 6 3 8 2" xfId="26746"/>
    <cellStyle name="Normal 22 6 3 9" xfId="10609"/>
    <cellStyle name="Normal 22 6 3 9 2" xfId="26747"/>
    <cellStyle name="Normal 22 6 4" xfId="10610"/>
    <cellStyle name="Normal 22 6 4 2" xfId="26748"/>
    <cellStyle name="Normal 22 6 5" xfId="10611"/>
    <cellStyle name="Normal 22 6 5 2" xfId="26749"/>
    <cellStyle name="Normal 22 6 6" xfId="10612"/>
    <cellStyle name="Normal 22 6 6 2" xfId="26750"/>
    <cellStyle name="Normal 22 6 7" xfId="10613"/>
    <cellStyle name="Normal 22 6 7 2" xfId="26751"/>
    <cellStyle name="Normal 22 6 8" xfId="10614"/>
    <cellStyle name="Normal 22 6 8 2" xfId="26752"/>
    <cellStyle name="Normal 22 6 9" xfId="10615"/>
    <cellStyle name="Normal 22 6 9 2" xfId="26753"/>
    <cellStyle name="Normal 22 7" xfId="171"/>
    <cellStyle name="Normal 22 7 10" xfId="10616"/>
    <cellStyle name="Normal 22 7 10 2" xfId="26754"/>
    <cellStyle name="Normal 22 7 11" xfId="4100"/>
    <cellStyle name="Normal 22 7 11 2" xfId="20263"/>
    <cellStyle name="Normal 22 7 12" xfId="19010"/>
    <cellStyle name="Normal 22 7 2" xfId="10617"/>
    <cellStyle name="Normal 22 7 2 2" xfId="26755"/>
    <cellStyle name="Normal 22 7 3" xfId="10618"/>
    <cellStyle name="Normal 22 7 3 2" xfId="26756"/>
    <cellStyle name="Normal 22 7 4" xfId="10619"/>
    <cellStyle name="Normal 22 7 4 2" xfId="26757"/>
    <cellStyle name="Normal 22 7 5" xfId="10620"/>
    <cellStyle name="Normal 22 7 5 2" xfId="26758"/>
    <cellStyle name="Normal 22 7 6" xfId="10621"/>
    <cellStyle name="Normal 22 7 6 2" xfId="26759"/>
    <cellStyle name="Normal 22 7 7" xfId="10622"/>
    <cellStyle name="Normal 22 7 7 2" xfId="26760"/>
    <cellStyle name="Normal 22 7 8" xfId="10623"/>
    <cellStyle name="Normal 22 7 8 2" xfId="26761"/>
    <cellStyle name="Normal 22 7 9" xfId="10624"/>
    <cellStyle name="Normal 22 7 9 2" xfId="26762"/>
    <cellStyle name="Normal 22 8" xfId="188"/>
    <cellStyle name="Normal 22 8 10" xfId="10625"/>
    <cellStyle name="Normal 22 8 10 2" xfId="26763"/>
    <cellStyle name="Normal 22 8 11" xfId="4115"/>
    <cellStyle name="Normal 22 8 11 2" xfId="20278"/>
    <cellStyle name="Normal 22 8 12" xfId="19017"/>
    <cellStyle name="Normal 22 8 2" xfId="10626"/>
    <cellStyle name="Normal 22 8 2 2" xfId="26764"/>
    <cellStyle name="Normal 22 8 3" xfId="10627"/>
    <cellStyle name="Normal 22 8 3 2" xfId="26765"/>
    <cellStyle name="Normal 22 8 4" xfId="10628"/>
    <cellStyle name="Normal 22 8 4 2" xfId="26766"/>
    <cellStyle name="Normal 22 8 5" xfId="10629"/>
    <cellStyle name="Normal 22 8 5 2" xfId="26767"/>
    <cellStyle name="Normal 22 8 6" xfId="10630"/>
    <cellStyle name="Normal 22 8 6 2" xfId="26768"/>
    <cellStyle name="Normal 22 8 7" xfId="10631"/>
    <cellStyle name="Normal 22 8 7 2" xfId="26769"/>
    <cellStyle name="Normal 22 8 8" xfId="10632"/>
    <cellStyle name="Normal 22 8 8 2" xfId="26770"/>
    <cellStyle name="Normal 22 8 9" xfId="10633"/>
    <cellStyle name="Normal 22 8 9 2" xfId="26771"/>
    <cellStyle name="Normal 22 9" xfId="196"/>
    <cellStyle name="Normal 22 9 2" xfId="250"/>
    <cellStyle name="Normal 22 9 2 2" xfId="4202"/>
    <cellStyle name="Normal 22 9 2 2 2" xfId="20365"/>
    <cellStyle name="Normal 22 9 2 3" xfId="19041"/>
    <cellStyle name="Normal 22 9 3" xfId="4122"/>
    <cellStyle name="Normal 22 9 3 2" xfId="20285"/>
    <cellStyle name="Normal 22 9 4" xfId="19021"/>
    <cellStyle name="Normal 23" xfId="909"/>
    <cellStyle name="Normal 23 10" xfId="10634"/>
    <cellStyle name="Normal 23 10 2" xfId="10635"/>
    <cellStyle name="Normal 23 10 2 2" xfId="26773"/>
    <cellStyle name="Normal 23 10 3" xfId="26772"/>
    <cellStyle name="Normal 23 11" xfId="10636"/>
    <cellStyle name="Normal 23 11 2" xfId="26774"/>
    <cellStyle name="Normal 23 12" xfId="10637"/>
    <cellStyle name="Normal 23 12 2" xfId="26775"/>
    <cellStyle name="Normal 23 13" xfId="10638"/>
    <cellStyle name="Normal 23 13 2" xfId="26776"/>
    <cellStyle name="Normal 23 14" xfId="10639"/>
    <cellStyle name="Normal 23 14 2" xfId="26777"/>
    <cellStyle name="Normal 23 15" xfId="10640"/>
    <cellStyle name="Normal 23 15 2" xfId="26778"/>
    <cellStyle name="Normal 23 16" xfId="10641"/>
    <cellStyle name="Normal 23 16 2" xfId="26779"/>
    <cellStyle name="Normal 23 17" xfId="10642"/>
    <cellStyle name="Normal 23 17 2" xfId="26780"/>
    <cellStyle name="Normal 23 18" xfId="4825"/>
    <cellStyle name="Normal 23 18 2" xfId="20987"/>
    <cellStyle name="Normal 23 2" xfId="2488"/>
    <cellStyle name="Normal 23 2 2" xfId="10643"/>
    <cellStyle name="Normal 23 2 2 2" xfId="26781"/>
    <cellStyle name="Normal 23 2 3" xfId="6381"/>
    <cellStyle name="Normal 23 2 3 2" xfId="22543"/>
    <cellStyle name="Normal 23 3" xfId="2491"/>
    <cellStyle name="Normal 23 3 2" xfId="10644"/>
    <cellStyle name="Normal 23 3 2 2" xfId="10645"/>
    <cellStyle name="Normal 23 3 2 2 2" xfId="10646"/>
    <cellStyle name="Normal 23 3 2 2 2 2" xfId="10647"/>
    <cellStyle name="Normal 23 3 2 2 2 2 2" xfId="26785"/>
    <cellStyle name="Normal 23 3 2 2 2 3" xfId="26784"/>
    <cellStyle name="Normal 23 3 2 2 3" xfId="10648"/>
    <cellStyle name="Normal 23 3 2 2 3 2" xfId="26786"/>
    <cellStyle name="Normal 23 3 2 2 4" xfId="26783"/>
    <cellStyle name="Normal 23 3 2 3" xfId="10649"/>
    <cellStyle name="Normal 23 3 2 3 2" xfId="10650"/>
    <cellStyle name="Normal 23 3 2 3 2 2" xfId="26788"/>
    <cellStyle name="Normal 23 3 2 3 3" xfId="26787"/>
    <cellStyle name="Normal 23 3 2 4" xfId="10651"/>
    <cellStyle name="Normal 23 3 2 4 2" xfId="10652"/>
    <cellStyle name="Normal 23 3 2 4 2 2" xfId="26790"/>
    <cellStyle name="Normal 23 3 2 4 3" xfId="26789"/>
    <cellStyle name="Normal 23 3 2 5" xfId="10653"/>
    <cellStyle name="Normal 23 3 2 5 2" xfId="26791"/>
    <cellStyle name="Normal 23 3 2 6" xfId="26782"/>
    <cellStyle name="Normal 23 3 3" xfId="10654"/>
    <cellStyle name="Normal 23 3 3 2" xfId="10655"/>
    <cellStyle name="Normal 23 3 3 2 2" xfId="10656"/>
    <cellStyle name="Normal 23 3 3 2 2 2" xfId="10657"/>
    <cellStyle name="Normal 23 3 3 2 2 2 2" xfId="26795"/>
    <cellStyle name="Normal 23 3 3 2 2 3" xfId="26794"/>
    <cellStyle name="Normal 23 3 3 2 3" xfId="10658"/>
    <cellStyle name="Normal 23 3 3 2 3 2" xfId="26796"/>
    <cellStyle name="Normal 23 3 3 2 4" xfId="26793"/>
    <cellStyle name="Normal 23 3 3 3" xfId="10659"/>
    <cellStyle name="Normal 23 3 3 3 2" xfId="10660"/>
    <cellStyle name="Normal 23 3 3 3 2 2" xfId="26798"/>
    <cellStyle name="Normal 23 3 3 3 3" xfId="26797"/>
    <cellStyle name="Normal 23 3 3 4" xfId="10661"/>
    <cellStyle name="Normal 23 3 3 4 2" xfId="10662"/>
    <cellStyle name="Normal 23 3 3 4 2 2" xfId="26800"/>
    <cellStyle name="Normal 23 3 3 4 3" xfId="26799"/>
    <cellStyle name="Normal 23 3 3 5" xfId="10663"/>
    <cellStyle name="Normal 23 3 3 5 2" xfId="26801"/>
    <cellStyle name="Normal 23 3 3 6" xfId="26792"/>
    <cellStyle name="Normal 23 3 4" xfId="10664"/>
    <cellStyle name="Normal 23 3 4 2" xfId="10665"/>
    <cellStyle name="Normal 23 3 4 2 2" xfId="10666"/>
    <cellStyle name="Normal 23 3 4 2 2 2" xfId="26804"/>
    <cellStyle name="Normal 23 3 4 2 3" xfId="26803"/>
    <cellStyle name="Normal 23 3 4 3" xfId="10667"/>
    <cellStyle name="Normal 23 3 4 3 2" xfId="26805"/>
    <cellStyle name="Normal 23 3 4 4" xfId="26802"/>
    <cellStyle name="Normal 23 3 5" xfId="10668"/>
    <cellStyle name="Normal 23 3 5 2" xfId="10669"/>
    <cellStyle name="Normal 23 3 5 2 2" xfId="26807"/>
    <cellStyle name="Normal 23 3 5 3" xfId="26806"/>
    <cellStyle name="Normal 23 3 6" xfId="10670"/>
    <cellStyle name="Normal 23 3 6 2" xfId="10671"/>
    <cellStyle name="Normal 23 3 6 2 2" xfId="26809"/>
    <cellStyle name="Normal 23 3 6 3" xfId="26808"/>
    <cellStyle name="Normal 23 3 7" xfId="10672"/>
    <cellStyle name="Normal 23 3 7 2" xfId="26810"/>
    <cellStyle name="Normal 23 3 8" xfId="6384"/>
    <cellStyle name="Normal 23 3 8 2" xfId="22546"/>
    <cellStyle name="Normal 23 4" xfId="327"/>
    <cellStyle name="Normal 23 4 2" xfId="10673"/>
    <cellStyle name="Normal 23 4 2 2" xfId="10674"/>
    <cellStyle name="Normal 23 4 2 2 2" xfId="10675"/>
    <cellStyle name="Normal 23 4 2 2 2 2" xfId="26813"/>
    <cellStyle name="Normal 23 4 2 2 3" xfId="26812"/>
    <cellStyle name="Normal 23 4 2 3" xfId="10676"/>
    <cellStyle name="Normal 23 4 2 3 2" xfId="26814"/>
    <cellStyle name="Normal 23 4 2 4" xfId="26811"/>
    <cellStyle name="Normal 23 4 3" xfId="10677"/>
    <cellStyle name="Normal 23 4 3 2" xfId="10678"/>
    <cellStyle name="Normal 23 4 3 2 2" xfId="26816"/>
    <cellStyle name="Normal 23 4 3 3" xfId="26815"/>
    <cellStyle name="Normal 23 4 4" xfId="10679"/>
    <cellStyle name="Normal 23 4 4 2" xfId="10680"/>
    <cellStyle name="Normal 23 4 4 2 2" xfId="26818"/>
    <cellStyle name="Normal 23 4 4 3" xfId="26817"/>
    <cellStyle name="Normal 23 4 5" xfId="10681"/>
    <cellStyle name="Normal 23 4 5 2" xfId="26819"/>
    <cellStyle name="Normal 23 4 6" xfId="4273"/>
    <cellStyle name="Normal 23 4 6 2" xfId="20436"/>
    <cellStyle name="Normal 23 5" xfId="332"/>
    <cellStyle name="Normal 23 5 2" xfId="10682"/>
    <cellStyle name="Normal 23 5 2 2" xfId="10683"/>
    <cellStyle name="Normal 23 5 2 2 2" xfId="10684"/>
    <cellStyle name="Normal 23 5 2 2 2 2" xfId="26822"/>
    <cellStyle name="Normal 23 5 2 2 3" xfId="26821"/>
    <cellStyle name="Normal 23 5 2 3" xfId="10685"/>
    <cellStyle name="Normal 23 5 2 3 2" xfId="26823"/>
    <cellStyle name="Normal 23 5 2 4" xfId="26820"/>
    <cellStyle name="Normal 23 5 3" xfId="10686"/>
    <cellStyle name="Normal 23 5 3 2" xfId="10687"/>
    <cellStyle name="Normal 23 5 3 2 2" xfId="26825"/>
    <cellStyle name="Normal 23 5 3 3" xfId="26824"/>
    <cellStyle name="Normal 23 5 4" xfId="10688"/>
    <cellStyle name="Normal 23 5 4 2" xfId="10689"/>
    <cellStyle name="Normal 23 5 4 2 2" xfId="26827"/>
    <cellStyle name="Normal 23 5 4 3" xfId="26826"/>
    <cellStyle name="Normal 23 5 5" xfId="10690"/>
    <cellStyle name="Normal 23 5 5 2" xfId="26828"/>
    <cellStyle name="Normal 23 5 6" xfId="4277"/>
    <cellStyle name="Normal 23 5 6 2" xfId="20440"/>
    <cellStyle name="Normal 23 6" xfId="2506"/>
    <cellStyle name="Normal 23 6 2" xfId="10691"/>
    <cellStyle name="Normal 23 6 2 2" xfId="10692"/>
    <cellStyle name="Normal 23 6 2 2 2" xfId="10693"/>
    <cellStyle name="Normal 23 6 2 2 2 2" xfId="26831"/>
    <cellStyle name="Normal 23 6 2 2 3" xfId="26830"/>
    <cellStyle name="Normal 23 6 2 3" xfId="10694"/>
    <cellStyle name="Normal 23 6 2 3 2" xfId="26832"/>
    <cellStyle name="Normal 23 6 2 4" xfId="26829"/>
    <cellStyle name="Normal 23 6 3" xfId="10695"/>
    <cellStyle name="Normal 23 6 3 2" xfId="10696"/>
    <cellStyle name="Normal 23 6 3 2 2" xfId="26834"/>
    <cellStyle name="Normal 23 6 3 3" xfId="26833"/>
    <cellStyle name="Normal 23 6 4" xfId="10697"/>
    <cellStyle name="Normal 23 6 4 2" xfId="10698"/>
    <cellStyle name="Normal 23 6 4 2 2" xfId="26836"/>
    <cellStyle name="Normal 23 6 4 3" xfId="26835"/>
    <cellStyle name="Normal 23 6 5" xfId="10699"/>
    <cellStyle name="Normal 23 6 5 2" xfId="26837"/>
    <cellStyle name="Normal 23 6 6" xfId="6399"/>
    <cellStyle name="Normal 23 6 6 2" xfId="22561"/>
    <cellStyle name="Normal 23 7" xfId="1899"/>
    <cellStyle name="Normal 23 7 2" xfId="10700"/>
    <cellStyle name="Normal 23 7 2 2" xfId="10701"/>
    <cellStyle name="Normal 23 7 2 2 2" xfId="10702"/>
    <cellStyle name="Normal 23 7 2 2 2 2" xfId="26840"/>
    <cellStyle name="Normal 23 7 2 2 3" xfId="26839"/>
    <cellStyle name="Normal 23 7 2 3" xfId="10703"/>
    <cellStyle name="Normal 23 7 2 3 2" xfId="26841"/>
    <cellStyle name="Normal 23 7 2 4" xfId="26838"/>
    <cellStyle name="Normal 23 7 3" xfId="10704"/>
    <cellStyle name="Normal 23 7 3 2" xfId="10705"/>
    <cellStyle name="Normal 23 7 3 2 2" xfId="26843"/>
    <cellStyle name="Normal 23 7 3 3" xfId="26842"/>
    <cellStyle name="Normal 23 7 4" xfId="10706"/>
    <cellStyle name="Normal 23 7 4 2" xfId="10707"/>
    <cellStyle name="Normal 23 7 4 2 2" xfId="26845"/>
    <cellStyle name="Normal 23 7 4 3" xfId="26844"/>
    <cellStyle name="Normal 23 7 5" xfId="10708"/>
    <cellStyle name="Normal 23 7 5 2" xfId="26846"/>
    <cellStyle name="Normal 23 7 6" xfId="5807"/>
    <cellStyle name="Normal 23 7 6 2" xfId="21969"/>
    <cellStyle name="Normal 23 8" xfId="2508"/>
    <cellStyle name="Normal 23 8 2" xfId="10709"/>
    <cellStyle name="Normal 23 8 2 2" xfId="10710"/>
    <cellStyle name="Normal 23 8 2 2 2" xfId="26848"/>
    <cellStyle name="Normal 23 8 2 3" xfId="26847"/>
    <cellStyle name="Normal 23 8 3" xfId="10711"/>
    <cellStyle name="Normal 23 8 3 2" xfId="26849"/>
    <cellStyle name="Normal 23 8 4" xfId="6401"/>
    <cellStyle name="Normal 23 8 4 2" xfId="22563"/>
    <cellStyle name="Normal 23 9" xfId="10712"/>
    <cellStyle name="Normal 23 9 2" xfId="10713"/>
    <cellStyle name="Normal 23 9 2 2" xfId="26851"/>
    <cellStyle name="Normal 23 9 3" xfId="26850"/>
    <cellStyle name="Normal 24" xfId="914"/>
    <cellStyle name="Normal 24 2" xfId="10714"/>
    <cellStyle name="Normal 24 2 2" xfId="10715"/>
    <cellStyle name="Normal 24 2 2 2" xfId="26853"/>
    <cellStyle name="Normal 24 2 3" xfId="26852"/>
    <cellStyle name="Normal 24 3" xfId="10716"/>
    <cellStyle name="Normal 24 3 2" xfId="26854"/>
    <cellStyle name="Normal 24 4" xfId="4834"/>
    <cellStyle name="Normal 24 4 2" xfId="20996"/>
    <cellStyle name="Normal 24 5" xfId="2511"/>
    <cellStyle name="Normal 24 5 2" xfId="6403"/>
    <cellStyle name="Normal 24 5 2 2" xfId="22565"/>
    <cellStyle name="Normal 25" xfId="161"/>
    <cellStyle name="Normal 25 2" xfId="2320"/>
    <cellStyle name="Normal 25 2 2" xfId="6217"/>
    <cellStyle name="Normal 25 2 2 2" xfId="22379"/>
    <cellStyle name="Normal 25 3" xfId="10717"/>
    <cellStyle name="Normal 25 3 2" xfId="10718"/>
    <cellStyle name="Normal 25 3 2 2" xfId="26856"/>
    <cellStyle name="Normal 25 3 3" xfId="26855"/>
    <cellStyle name="Normal 25 4" xfId="4173"/>
    <cellStyle name="Normal 25 4 2" xfId="20336"/>
    <cellStyle name="Normal 25 5" xfId="2649"/>
    <cellStyle name="Normal 25 5 2" xfId="6539"/>
    <cellStyle name="Normal 25 5 2 2" xfId="22701"/>
    <cellStyle name="Normal 25 6" xfId="35082"/>
    <cellStyle name="Normal 26" xfId="622"/>
    <cellStyle name="Normal 26 2" xfId="10719"/>
    <cellStyle name="Normal 26 2 2" xfId="10720"/>
    <cellStyle name="Normal 26 2 2 2" xfId="26858"/>
    <cellStyle name="Normal 26 2 3" xfId="26857"/>
    <cellStyle name="Normal 26 3" xfId="10721"/>
    <cellStyle name="Normal 26 3 2" xfId="26859"/>
    <cellStyle name="Normal 26 4" xfId="4547"/>
    <cellStyle name="Normal 26 4 2" xfId="20709"/>
    <cellStyle name="Normal 26 5" xfId="2588"/>
    <cellStyle name="Normal 26 5 2" xfId="6481"/>
    <cellStyle name="Normal 26 5 2 2" xfId="22643"/>
    <cellStyle name="Normal 27" xfId="2651"/>
    <cellStyle name="Normal 27 2" xfId="10722"/>
    <cellStyle name="Normal 27 2 2" xfId="26860"/>
    <cellStyle name="Normal 27 3" xfId="10723"/>
    <cellStyle name="Normal 27 4" xfId="10724"/>
    <cellStyle name="Normal 27 5" xfId="2652"/>
    <cellStyle name="Normal 27 5 2" xfId="6544"/>
    <cellStyle name="Normal 27 5 2 2" xfId="22706"/>
    <cellStyle name="Normal 27 6" xfId="6542"/>
    <cellStyle name="Normal 27 6 2" xfId="22704"/>
    <cellStyle name="Normal 28" xfId="2654"/>
    <cellStyle name="Normal 28 10" xfId="10725"/>
    <cellStyle name="Normal 28 10 2" xfId="26861"/>
    <cellStyle name="Normal 28 11" xfId="6545"/>
    <cellStyle name="Normal 28 11 2" xfId="22707"/>
    <cellStyle name="Normal 28 2" xfId="2656"/>
    <cellStyle name="Normal 28 2 2" xfId="10726"/>
    <cellStyle name="Normal 28 2 2 2" xfId="10727"/>
    <cellStyle name="Normal 28 2 2 2 2" xfId="10728"/>
    <cellStyle name="Normal 28 2 2 2 2 2" xfId="10729"/>
    <cellStyle name="Normal 28 2 2 2 2 2 2" xfId="26865"/>
    <cellStyle name="Normal 28 2 2 2 2 3" xfId="26864"/>
    <cellStyle name="Normal 28 2 2 2 3" xfId="10730"/>
    <cellStyle name="Normal 28 2 2 2 3 2" xfId="26866"/>
    <cellStyle name="Normal 28 2 2 2 4" xfId="26863"/>
    <cellStyle name="Normal 28 2 2 3" xfId="10731"/>
    <cellStyle name="Normal 28 2 2 3 2" xfId="10732"/>
    <cellStyle name="Normal 28 2 2 3 2 2" xfId="26868"/>
    <cellStyle name="Normal 28 2 2 3 3" xfId="26867"/>
    <cellStyle name="Normal 28 2 2 4" xfId="10733"/>
    <cellStyle name="Normal 28 2 2 4 2" xfId="10734"/>
    <cellStyle name="Normal 28 2 2 4 2 2" xfId="26870"/>
    <cellStyle name="Normal 28 2 2 4 3" xfId="26869"/>
    <cellStyle name="Normal 28 2 2 5" xfId="10735"/>
    <cellStyle name="Normal 28 2 2 5 2" xfId="26871"/>
    <cellStyle name="Normal 28 2 2 6" xfId="26862"/>
    <cellStyle name="Normal 28 2 3" xfId="10736"/>
    <cellStyle name="Normal 28 2 3 2" xfId="10737"/>
    <cellStyle name="Normal 28 2 3 2 2" xfId="10738"/>
    <cellStyle name="Normal 28 2 3 2 2 2" xfId="10739"/>
    <cellStyle name="Normal 28 2 3 2 2 2 2" xfId="26875"/>
    <cellStyle name="Normal 28 2 3 2 2 3" xfId="26874"/>
    <cellStyle name="Normal 28 2 3 2 3" xfId="10740"/>
    <cellStyle name="Normal 28 2 3 2 3 2" xfId="26876"/>
    <cellStyle name="Normal 28 2 3 2 4" xfId="26873"/>
    <cellStyle name="Normal 28 2 3 3" xfId="10741"/>
    <cellStyle name="Normal 28 2 3 3 2" xfId="10742"/>
    <cellStyle name="Normal 28 2 3 3 2 2" xfId="26878"/>
    <cellStyle name="Normal 28 2 3 3 3" xfId="26877"/>
    <cellStyle name="Normal 28 2 3 4" xfId="10743"/>
    <cellStyle name="Normal 28 2 3 4 2" xfId="10744"/>
    <cellStyle name="Normal 28 2 3 4 2 2" xfId="26880"/>
    <cellStyle name="Normal 28 2 3 4 3" xfId="26879"/>
    <cellStyle name="Normal 28 2 3 5" xfId="10745"/>
    <cellStyle name="Normal 28 2 3 5 2" xfId="26881"/>
    <cellStyle name="Normal 28 2 3 6" xfId="26872"/>
    <cellStyle name="Normal 28 2 4" xfId="10746"/>
    <cellStyle name="Normal 28 2 4 2" xfId="10747"/>
    <cellStyle name="Normal 28 2 4 2 2" xfId="10748"/>
    <cellStyle name="Normal 28 2 4 2 2 2" xfId="26884"/>
    <cellStyle name="Normal 28 2 4 2 3" xfId="26883"/>
    <cellStyle name="Normal 28 2 4 3" xfId="10749"/>
    <cellStyle name="Normal 28 2 4 3 2" xfId="26885"/>
    <cellStyle name="Normal 28 2 4 4" xfId="26882"/>
    <cellStyle name="Normal 28 2 5" xfId="10750"/>
    <cellStyle name="Normal 28 2 5 2" xfId="10751"/>
    <cellStyle name="Normal 28 2 5 2 2" xfId="26887"/>
    <cellStyle name="Normal 28 2 5 3" xfId="26886"/>
    <cellStyle name="Normal 28 2 6" xfId="10752"/>
    <cellStyle name="Normal 28 2 6 2" xfId="10753"/>
    <cellStyle name="Normal 28 2 6 2 2" xfId="26889"/>
    <cellStyle name="Normal 28 2 6 3" xfId="26888"/>
    <cellStyle name="Normal 28 2 7" xfId="10754"/>
    <cellStyle name="Normal 28 2 7 2" xfId="26890"/>
    <cellStyle name="Normal 28 2 8" xfId="6547"/>
    <cellStyle name="Normal 28 2 8 2" xfId="22709"/>
    <cellStyle name="Normal 28 3" xfId="10755"/>
    <cellStyle name="Normal 28 3 2" xfId="10756"/>
    <cellStyle name="Normal 28 3 2 2" xfId="10757"/>
    <cellStyle name="Normal 28 3 2 2 2" xfId="10758"/>
    <cellStyle name="Normal 28 3 2 2 2 2" xfId="26894"/>
    <cellStyle name="Normal 28 3 2 2 3" xfId="26893"/>
    <cellStyle name="Normal 28 3 2 3" xfId="10759"/>
    <cellStyle name="Normal 28 3 2 3 2" xfId="26895"/>
    <cellStyle name="Normal 28 3 2 4" xfId="26892"/>
    <cellStyle name="Normal 28 3 3" xfId="10760"/>
    <cellStyle name="Normal 28 3 3 2" xfId="10761"/>
    <cellStyle name="Normal 28 3 3 2 2" xfId="26897"/>
    <cellStyle name="Normal 28 3 3 3" xfId="26896"/>
    <cellStyle name="Normal 28 3 4" xfId="10762"/>
    <cellStyle name="Normal 28 3 4 2" xfId="10763"/>
    <cellStyle name="Normal 28 3 4 2 2" xfId="26899"/>
    <cellStyle name="Normal 28 3 4 3" xfId="26898"/>
    <cellStyle name="Normal 28 3 5" xfId="10764"/>
    <cellStyle name="Normal 28 3 5 2" xfId="26900"/>
    <cellStyle name="Normal 28 3 6" xfId="26891"/>
    <cellStyle name="Normal 28 4" xfId="10765"/>
    <cellStyle name="Normal 28 4 2" xfId="10766"/>
    <cellStyle name="Normal 28 4 2 2" xfId="10767"/>
    <cellStyle name="Normal 28 4 2 2 2" xfId="10768"/>
    <cellStyle name="Normal 28 4 2 2 2 2" xfId="26904"/>
    <cellStyle name="Normal 28 4 2 2 3" xfId="26903"/>
    <cellStyle name="Normal 28 4 2 3" xfId="10769"/>
    <cellStyle name="Normal 28 4 2 3 2" xfId="26905"/>
    <cellStyle name="Normal 28 4 2 4" xfId="26902"/>
    <cellStyle name="Normal 28 4 3" xfId="10770"/>
    <cellStyle name="Normal 28 4 3 2" xfId="10771"/>
    <cellStyle name="Normal 28 4 3 2 2" xfId="26907"/>
    <cellStyle name="Normal 28 4 3 3" xfId="26906"/>
    <cellStyle name="Normal 28 4 4" xfId="10772"/>
    <cellStyle name="Normal 28 4 4 2" xfId="10773"/>
    <cellStyle name="Normal 28 4 4 2 2" xfId="26909"/>
    <cellStyle name="Normal 28 4 4 3" xfId="26908"/>
    <cellStyle name="Normal 28 4 5" xfId="10774"/>
    <cellStyle name="Normal 28 4 5 2" xfId="26910"/>
    <cellStyle name="Normal 28 4 6" xfId="26901"/>
    <cellStyle name="Normal 28 5" xfId="10775"/>
    <cellStyle name="Normal 28 5 2" xfId="10776"/>
    <cellStyle name="Normal 28 5 2 2" xfId="10777"/>
    <cellStyle name="Normal 28 5 2 2 2" xfId="10778"/>
    <cellStyle name="Normal 28 5 2 2 2 2" xfId="26914"/>
    <cellStyle name="Normal 28 5 2 2 3" xfId="26913"/>
    <cellStyle name="Normal 28 5 2 3" xfId="10779"/>
    <cellStyle name="Normal 28 5 2 3 2" xfId="26915"/>
    <cellStyle name="Normal 28 5 2 4" xfId="26912"/>
    <cellStyle name="Normal 28 5 3" xfId="10780"/>
    <cellStyle name="Normal 28 5 3 2" xfId="10781"/>
    <cellStyle name="Normal 28 5 3 2 2" xfId="26917"/>
    <cellStyle name="Normal 28 5 3 3" xfId="26916"/>
    <cellStyle name="Normal 28 5 4" xfId="10782"/>
    <cellStyle name="Normal 28 5 4 2" xfId="10783"/>
    <cellStyle name="Normal 28 5 4 2 2" xfId="26919"/>
    <cellStyle name="Normal 28 5 4 3" xfId="26918"/>
    <cellStyle name="Normal 28 5 5" xfId="10784"/>
    <cellStyle name="Normal 28 5 5 2" xfId="26920"/>
    <cellStyle name="Normal 28 5 6" xfId="26911"/>
    <cellStyle name="Normal 28 6" xfId="10785"/>
    <cellStyle name="Normal 28 6 2" xfId="10786"/>
    <cellStyle name="Normal 28 6 2 2" xfId="10787"/>
    <cellStyle name="Normal 28 6 2 2 2" xfId="10788"/>
    <cellStyle name="Normal 28 6 2 2 2 2" xfId="26924"/>
    <cellStyle name="Normal 28 6 2 2 3" xfId="26923"/>
    <cellStyle name="Normal 28 6 2 3" xfId="10789"/>
    <cellStyle name="Normal 28 6 2 3 2" xfId="26925"/>
    <cellStyle name="Normal 28 6 2 4" xfId="26922"/>
    <cellStyle name="Normal 28 6 3" xfId="10790"/>
    <cellStyle name="Normal 28 6 3 2" xfId="10791"/>
    <cellStyle name="Normal 28 6 3 2 2" xfId="26927"/>
    <cellStyle name="Normal 28 6 3 3" xfId="26926"/>
    <cellStyle name="Normal 28 6 4" xfId="10792"/>
    <cellStyle name="Normal 28 6 4 2" xfId="10793"/>
    <cellStyle name="Normal 28 6 4 2 2" xfId="26929"/>
    <cellStyle name="Normal 28 6 4 3" xfId="26928"/>
    <cellStyle name="Normal 28 6 5" xfId="10794"/>
    <cellStyle name="Normal 28 6 5 2" xfId="26930"/>
    <cellStyle name="Normal 28 6 6" xfId="26921"/>
    <cellStyle name="Normal 28 7" xfId="10795"/>
    <cellStyle name="Normal 28 7 2" xfId="10796"/>
    <cellStyle name="Normal 28 7 2 2" xfId="10797"/>
    <cellStyle name="Normal 28 7 2 2 2" xfId="26933"/>
    <cellStyle name="Normal 28 7 2 3" xfId="26932"/>
    <cellStyle name="Normal 28 7 3" xfId="10798"/>
    <cellStyle name="Normal 28 7 3 2" xfId="26934"/>
    <cellStyle name="Normal 28 7 4" xfId="26931"/>
    <cellStyle name="Normal 28 8" xfId="10799"/>
    <cellStyle name="Normal 28 8 2" xfId="10800"/>
    <cellStyle name="Normal 28 8 2 2" xfId="26936"/>
    <cellStyle name="Normal 28 8 3" xfId="26935"/>
    <cellStyle name="Normal 28 9" xfId="10801"/>
    <cellStyle name="Normal 28 9 2" xfId="10802"/>
    <cellStyle name="Normal 28 9 2 2" xfId="26938"/>
    <cellStyle name="Normal 28 9 3" xfId="26937"/>
    <cellStyle name="Normal 29" xfId="2658"/>
    <cellStyle name="Normal 29 10" xfId="10803"/>
    <cellStyle name="Normal 29 10 2" xfId="26939"/>
    <cellStyle name="Normal 29 11" xfId="6549"/>
    <cellStyle name="Normal 29 11 2" xfId="22711"/>
    <cellStyle name="Normal 29 2" xfId="2659"/>
    <cellStyle name="Normal 29 2 2" xfId="10804"/>
    <cellStyle name="Normal 29 2 2 2" xfId="10805"/>
    <cellStyle name="Normal 29 2 2 2 2" xfId="10806"/>
    <cellStyle name="Normal 29 2 2 2 2 2" xfId="10807"/>
    <cellStyle name="Normal 29 2 2 2 2 2 2" xfId="26943"/>
    <cellStyle name="Normal 29 2 2 2 2 3" xfId="26942"/>
    <cellStyle name="Normal 29 2 2 2 3" xfId="10808"/>
    <cellStyle name="Normal 29 2 2 2 3 2" xfId="26944"/>
    <cellStyle name="Normal 29 2 2 2 4" xfId="26941"/>
    <cellStyle name="Normal 29 2 2 3" xfId="10809"/>
    <cellStyle name="Normal 29 2 2 3 2" xfId="10810"/>
    <cellStyle name="Normal 29 2 2 3 2 2" xfId="26946"/>
    <cellStyle name="Normal 29 2 2 3 3" xfId="26945"/>
    <cellStyle name="Normal 29 2 2 4" xfId="10811"/>
    <cellStyle name="Normal 29 2 2 4 2" xfId="10812"/>
    <cellStyle name="Normal 29 2 2 4 2 2" xfId="26948"/>
    <cellStyle name="Normal 29 2 2 4 3" xfId="26947"/>
    <cellStyle name="Normal 29 2 2 5" xfId="10813"/>
    <cellStyle name="Normal 29 2 2 5 2" xfId="26949"/>
    <cellStyle name="Normal 29 2 2 6" xfId="26940"/>
    <cellStyle name="Normal 29 2 3" xfId="10814"/>
    <cellStyle name="Normal 29 2 3 2" xfId="10815"/>
    <cellStyle name="Normal 29 2 3 2 2" xfId="10816"/>
    <cellStyle name="Normal 29 2 3 2 2 2" xfId="10817"/>
    <cellStyle name="Normal 29 2 3 2 2 2 2" xfId="26953"/>
    <cellStyle name="Normal 29 2 3 2 2 3" xfId="26952"/>
    <cellStyle name="Normal 29 2 3 2 3" xfId="10818"/>
    <cellStyle name="Normal 29 2 3 2 3 2" xfId="26954"/>
    <cellStyle name="Normal 29 2 3 2 4" xfId="26951"/>
    <cellStyle name="Normal 29 2 3 3" xfId="10819"/>
    <cellStyle name="Normal 29 2 3 3 2" xfId="10820"/>
    <cellStyle name="Normal 29 2 3 3 2 2" xfId="26956"/>
    <cellStyle name="Normal 29 2 3 3 3" xfId="26955"/>
    <cellStyle name="Normal 29 2 3 4" xfId="10821"/>
    <cellStyle name="Normal 29 2 3 4 2" xfId="10822"/>
    <cellStyle name="Normal 29 2 3 4 2 2" xfId="26958"/>
    <cellStyle name="Normal 29 2 3 4 3" xfId="26957"/>
    <cellStyle name="Normal 29 2 3 5" xfId="10823"/>
    <cellStyle name="Normal 29 2 3 5 2" xfId="26959"/>
    <cellStyle name="Normal 29 2 3 6" xfId="26950"/>
    <cellStyle name="Normal 29 2 4" xfId="10824"/>
    <cellStyle name="Normal 29 2 4 2" xfId="10825"/>
    <cellStyle name="Normal 29 2 4 2 2" xfId="10826"/>
    <cellStyle name="Normal 29 2 4 2 2 2" xfId="26962"/>
    <cellStyle name="Normal 29 2 4 2 3" xfId="26961"/>
    <cellStyle name="Normal 29 2 4 3" xfId="10827"/>
    <cellStyle name="Normal 29 2 4 3 2" xfId="26963"/>
    <cellStyle name="Normal 29 2 4 4" xfId="26960"/>
    <cellStyle name="Normal 29 2 5" xfId="10828"/>
    <cellStyle name="Normal 29 2 5 2" xfId="10829"/>
    <cellStyle name="Normal 29 2 5 2 2" xfId="26965"/>
    <cellStyle name="Normal 29 2 5 3" xfId="26964"/>
    <cellStyle name="Normal 29 2 6" xfId="10830"/>
    <cellStyle name="Normal 29 2 6 2" xfId="10831"/>
    <cellStyle name="Normal 29 2 6 2 2" xfId="26967"/>
    <cellStyle name="Normal 29 2 6 3" xfId="26966"/>
    <cellStyle name="Normal 29 2 7" xfId="10832"/>
    <cellStyle name="Normal 29 2 7 2" xfId="26968"/>
    <cellStyle name="Normal 29 2 8" xfId="6551"/>
    <cellStyle name="Normal 29 2 8 2" xfId="22713"/>
    <cellStyle name="Normal 29 3" xfId="10833"/>
    <cellStyle name="Normal 29 3 2" xfId="10834"/>
    <cellStyle name="Normal 29 3 2 2" xfId="10835"/>
    <cellStyle name="Normal 29 3 2 2 2" xfId="10836"/>
    <cellStyle name="Normal 29 3 2 2 2 2" xfId="26972"/>
    <cellStyle name="Normal 29 3 2 2 3" xfId="26971"/>
    <cellStyle name="Normal 29 3 2 3" xfId="10837"/>
    <cellStyle name="Normal 29 3 2 3 2" xfId="26973"/>
    <cellStyle name="Normal 29 3 2 4" xfId="26970"/>
    <cellStyle name="Normal 29 3 3" xfId="10838"/>
    <cellStyle name="Normal 29 3 3 2" xfId="10839"/>
    <cellStyle name="Normal 29 3 3 2 2" xfId="26975"/>
    <cellStyle name="Normal 29 3 3 3" xfId="26974"/>
    <cellStyle name="Normal 29 3 4" xfId="10840"/>
    <cellStyle name="Normal 29 3 4 2" xfId="10841"/>
    <cellStyle name="Normal 29 3 4 2 2" xfId="26977"/>
    <cellStyle name="Normal 29 3 4 3" xfId="26976"/>
    <cellStyle name="Normal 29 3 5" xfId="10842"/>
    <cellStyle name="Normal 29 3 5 2" xfId="26978"/>
    <cellStyle name="Normal 29 3 6" xfId="26969"/>
    <cellStyle name="Normal 29 4" xfId="10843"/>
    <cellStyle name="Normal 29 4 2" xfId="10844"/>
    <cellStyle name="Normal 29 4 2 2" xfId="10845"/>
    <cellStyle name="Normal 29 4 2 2 2" xfId="10846"/>
    <cellStyle name="Normal 29 4 2 2 2 2" xfId="26982"/>
    <cellStyle name="Normal 29 4 2 2 3" xfId="26981"/>
    <cellStyle name="Normal 29 4 2 3" xfId="10847"/>
    <cellStyle name="Normal 29 4 2 3 2" xfId="26983"/>
    <cellStyle name="Normal 29 4 2 4" xfId="26980"/>
    <cellStyle name="Normal 29 4 3" xfId="10848"/>
    <cellStyle name="Normal 29 4 3 2" xfId="10849"/>
    <cellStyle name="Normal 29 4 3 2 2" xfId="26985"/>
    <cellStyle name="Normal 29 4 3 3" xfId="26984"/>
    <cellStyle name="Normal 29 4 4" xfId="10850"/>
    <cellStyle name="Normal 29 4 4 2" xfId="10851"/>
    <cellStyle name="Normal 29 4 4 2 2" xfId="26987"/>
    <cellStyle name="Normal 29 4 4 3" xfId="26986"/>
    <cellStyle name="Normal 29 4 5" xfId="10852"/>
    <cellStyle name="Normal 29 4 5 2" xfId="26988"/>
    <cellStyle name="Normal 29 4 6" xfId="26979"/>
    <cellStyle name="Normal 29 5" xfId="10853"/>
    <cellStyle name="Normal 29 5 2" xfId="10854"/>
    <cellStyle name="Normal 29 5 2 2" xfId="10855"/>
    <cellStyle name="Normal 29 5 2 2 2" xfId="10856"/>
    <cellStyle name="Normal 29 5 2 2 2 2" xfId="26992"/>
    <cellStyle name="Normal 29 5 2 2 3" xfId="26991"/>
    <cellStyle name="Normal 29 5 2 3" xfId="10857"/>
    <cellStyle name="Normal 29 5 2 3 2" xfId="26993"/>
    <cellStyle name="Normal 29 5 2 4" xfId="26990"/>
    <cellStyle name="Normal 29 5 3" xfId="10858"/>
    <cellStyle name="Normal 29 5 3 2" xfId="10859"/>
    <cellStyle name="Normal 29 5 3 2 2" xfId="26995"/>
    <cellStyle name="Normal 29 5 3 3" xfId="26994"/>
    <cellStyle name="Normal 29 5 4" xfId="10860"/>
    <cellStyle name="Normal 29 5 4 2" xfId="10861"/>
    <cellStyle name="Normal 29 5 4 2 2" xfId="26997"/>
    <cellStyle name="Normal 29 5 4 3" xfId="26996"/>
    <cellStyle name="Normal 29 5 5" xfId="10862"/>
    <cellStyle name="Normal 29 5 5 2" xfId="26998"/>
    <cellStyle name="Normal 29 5 6" xfId="26989"/>
    <cellStyle name="Normal 29 6" xfId="10863"/>
    <cellStyle name="Normal 29 6 2" xfId="10864"/>
    <cellStyle name="Normal 29 6 2 2" xfId="10865"/>
    <cellStyle name="Normal 29 6 2 2 2" xfId="10866"/>
    <cellStyle name="Normal 29 6 2 2 2 2" xfId="27002"/>
    <cellStyle name="Normal 29 6 2 2 3" xfId="27001"/>
    <cellStyle name="Normal 29 6 2 3" xfId="10867"/>
    <cellStyle name="Normal 29 6 2 3 2" xfId="27003"/>
    <cellStyle name="Normal 29 6 2 4" xfId="27000"/>
    <cellStyle name="Normal 29 6 3" xfId="10868"/>
    <cellStyle name="Normal 29 6 3 2" xfId="10869"/>
    <cellStyle name="Normal 29 6 3 2 2" xfId="27005"/>
    <cellStyle name="Normal 29 6 3 3" xfId="27004"/>
    <cellStyle name="Normal 29 6 4" xfId="10870"/>
    <cellStyle name="Normal 29 6 4 2" xfId="10871"/>
    <cellStyle name="Normal 29 6 4 2 2" xfId="27007"/>
    <cellStyle name="Normal 29 6 4 3" xfId="27006"/>
    <cellStyle name="Normal 29 6 5" xfId="10872"/>
    <cellStyle name="Normal 29 6 5 2" xfId="27008"/>
    <cellStyle name="Normal 29 6 6" xfId="26999"/>
    <cellStyle name="Normal 29 7" xfId="10873"/>
    <cellStyle name="Normal 29 7 2" xfId="10874"/>
    <cellStyle name="Normal 29 7 2 2" xfId="10875"/>
    <cellStyle name="Normal 29 7 2 2 2" xfId="27011"/>
    <cellStyle name="Normal 29 7 2 3" xfId="27010"/>
    <cellStyle name="Normal 29 7 3" xfId="10876"/>
    <cellStyle name="Normal 29 7 3 2" xfId="27012"/>
    <cellStyle name="Normal 29 7 4" xfId="27009"/>
    <cellStyle name="Normal 29 8" xfId="10877"/>
    <cellStyle name="Normal 29 8 2" xfId="10878"/>
    <cellStyle name="Normal 29 8 2 2" xfId="27014"/>
    <cellStyle name="Normal 29 8 3" xfId="27013"/>
    <cellStyle name="Normal 29 9" xfId="10879"/>
    <cellStyle name="Normal 29 9 2" xfId="10880"/>
    <cellStyle name="Normal 29 9 2 2" xfId="27016"/>
    <cellStyle name="Normal 29 9 3" xfId="27015"/>
    <cellStyle name="Normal 3" xfId="1050"/>
    <cellStyle name="Normal 3 10" xfId="2540"/>
    <cellStyle name="Normal 3 10 10" xfId="10881"/>
    <cellStyle name="Normal 3 10 10 2" xfId="27017"/>
    <cellStyle name="Normal 3 10 11" xfId="10882"/>
    <cellStyle name="Normal 3 10 11 2" xfId="27018"/>
    <cellStyle name="Normal 3 10 12" xfId="10883"/>
    <cellStyle name="Normal 3 10 12 2" xfId="27019"/>
    <cellStyle name="Normal 3 10 13" xfId="10884"/>
    <cellStyle name="Normal 3 10 13 2" xfId="27020"/>
    <cellStyle name="Normal 3 10 14" xfId="10885"/>
    <cellStyle name="Normal 3 10 14 2" xfId="27021"/>
    <cellStyle name="Normal 3 10 15" xfId="10886"/>
    <cellStyle name="Normal 3 10 15 2" xfId="27022"/>
    <cellStyle name="Normal 3 10 16" xfId="10887"/>
    <cellStyle name="Normal 3 10 16 2" xfId="27023"/>
    <cellStyle name="Normal 3 10 17" xfId="10888"/>
    <cellStyle name="Normal 3 10 17 2" xfId="27024"/>
    <cellStyle name="Normal 3 10 18" xfId="6434"/>
    <cellStyle name="Normal 3 10 18 2" xfId="22596"/>
    <cellStyle name="Normal 3 10 2" xfId="2660"/>
    <cellStyle name="Normal 3 10 2 2" xfId="6552"/>
    <cellStyle name="Normal 3 10 2 2 2" xfId="22714"/>
    <cellStyle name="Normal 3 10 3" xfId="1325"/>
    <cellStyle name="Normal 3 10 3 2" xfId="5247"/>
    <cellStyle name="Normal 3 10 3 2 2" xfId="21409"/>
    <cellStyle name="Normal 3 10 4" xfId="1328"/>
    <cellStyle name="Normal 3 10 4 2" xfId="5250"/>
    <cellStyle name="Normal 3 10 4 2 2" xfId="21412"/>
    <cellStyle name="Normal 3 10 5" xfId="1331"/>
    <cellStyle name="Normal 3 10 5 2" xfId="5254"/>
    <cellStyle name="Normal 3 10 5 2 2" xfId="21416"/>
    <cellStyle name="Normal 3 10 6" xfId="1335"/>
    <cellStyle name="Normal 3 10 6 2" xfId="5258"/>
    <cellStyle name="Normal 3 10 6 2 2" xfId="21420"/>
    <cellStyle name="Normal 3 10 7" xfId="1340"/>
    <cellStyle name="Normal 3 10 7 2" xfId="5261"/>
    <cellStyle name="Normal 3 10 7 2 2" xfId="21423"/>
    <cellStyle name="Normal 3 10 8" xfId="229"/>
    <cellStyle name="Normal 3 10 8 2" xfId="4183"/>
    <cellStyle name="Normal 3 10 8 2 2" xfId="20346"/>
    <cellStyle name="Normal 3 10 9" xfId="10889"/>
    <cellStyle name="Normal 3 10 9 2" xfId="27025"/>
    <cellStyle name="Normal 3 11" xfId="44"/>
    <cellStyle name="Normal 3 11 10" xfId="10890"/>
    <cellStyle name="Normal 3 11 10 2" xfId="27026"/>
    <cellStyle name="Normal 3 11 11" xfId="10891"/>
    <cellStyle name="Normal 3 11 11 2" xfId="27027"/>
    <cellStyle name="Normal 3 11 12" xfId="10892"/>
    <cellStyle name="Normal 3 11 12 2" xfId="27028"/>
    <cellStyle name="Normal 3 11 13" xfId="10893"/>
    <cellStyle name="Normal 3 11 13 2" xfId="27029"/>
    <cellStyle name="Normal 3 11 14" xfId="10894"/>
    <cellStyle name="Normal 3 11 14 2" xfId="27030"/>
    <cellStyle name="Normal 3 11 15" xfId="10895"/>
    <cellStyle name="Normal 3 11 15 2" xfId="27031"/>
    <cellStyle name="Normal 3 11 16" xfId="10896"/>
    <cellStyle name="Normal 3 11 16 2" xfId="27032"/>
    <cellStyle name="Normal 3 11 17" xfId="10897"/>
    <cellStyle name="Normal 3 11 17 2" xfId="27033"/>
    <cellStyle name="Normal 3 11 18" xfId="4005"/>
    <cellStyle name="Normal 3 11 18 2" xfId="20168"/>
    <cellStyle name="Normal 3 11 2" xfId="2661"/>
    <cellStyle name="Normal 3 11 2 2" xfId="6553"/>
    <cellStyle name="Normal 3 11 2 2 2" xfId="22715"/>
    <cellStyle name="Normal 3 11 3" xfId="1346"/>
    <cellStyle name="Normal 3 11 3 2" xfId="5267"/>
    <cellStyle name="Normal 3 11 3 2 2" xfId="21429"/>
    <cellStyle name="Normal 3 11 4" xfId="1349"/>
    <cellStyle name="Normal 3 11 4 2" xfId="5270"/>
    <cellStyle name="Normal 3 11 4 2 2" xfId="21432"/>
    <cellStyle name="Normal 3 11 5" xfId="1352"/>
    <cellStyle name="Normal 3 11 5 2" xfId="5273"/>
    <cellStyle name="Normal 3 11 5 2 2" xfId="21435"/>
    <cellStyle name="Normal 3 11 6" xfId="1357"/>
    <cellStyle name="Normal 3 11 6 2" xfId="5278"/>
    <cellStyle name="Normal 3 11 6 2 2" xfId="21440"/>
    <cellStyle name="Normal 3 11 7" xfId="1362"/>
    <cellStyle name="Normal 3 11 7 2" xfId="5282"/>
    <cellStyle name="Normal 3 11 7 2 2" xfId="21444"/>
    <cellStyle name="Normal 3 11 8" xfId="241"/>
    <cellStyle name="Normal 3 11 8 2" xfId="4193"/>
    <cellStyle name="Normal 3 11 8 2 2" xfId="20356"/>
    <cellStyle name="Normal 3 11 9" xfId="10898"/>
    <cellStyle name="Normal 3 11 9 2" xfId="27034"/>
    <cellStyle name="Normal 3 12" xfId="2544"/>
    <cellStyle name="Normal 3 12 10" xfId="10899"/>
    <cellStyle name="Normal 3 12 10 2" xfId="27035"/>
    <cellStyle name="Normal 3 12 11" xfId="10900"/>
    <cellStyle name="Normal 3 12 11 2" xfId="27036"/>
    <cellStyle name="Normal 3 12 12" xfId="10901"/>
    <cellStyle name="Normal 3 12 12 2" xfId="27037"/>
    <cellStyle name="Normal 3 12 13" xfId="10902"/>
    <cellStyle name="Normal 3 12 13 2" xfId="27038"/>
    <cellStyle name="Normal 3 12 14" xfId="10903"/>
    <cellStyle name="Normal 3 12 14 2" xfId="27039"/>
    <cellStyle name="Normal 3 12 15" xfId="10904"/>
    <cellStyle name="Normal 3 12 15 2" xfId="27040"/>
    <cellStyle name="Normal 3 12 16" xfId="10905"/>
    <cellStyle name="Normal 3 12 16 2" xfId="27041"/>
    <cellStyle name="Normal 3 12 17" xfId="10906"/>
    <cellStyle name="Normal 3 12 17 2" xfId="27042"/>
    <cellStyle name="Normal 3 12 18" xfId="6438"/>
    <cellStyle name="Normal 3 12 18 2" xfId="22600"/>
    <cellStyle name="Normal 3 12 2" xfId="2663"/>
    <cellStyle name="Normal 3 12 2 2" xfId="6554"/>
    <cellStyle name="Normal 3 12 2 2 2" xfId="22716"/>
    <cellStyle name="Normal 3 12 3" xfId="1368"/>
    <cellStyle name="Normal 3 12 3 2" xfId="5289"/>
    <cellStyle name="Normal 3 12 3 2 2" xfId="21451"/>
    <cellStyle name="Normal 3 12 4" xfId="1372"/>
    <cellStyle name="Normal 3 12 4 2" xfId="5293"/>
    <cellStyle name="Normal 3 12 4 2 2" xfId="21455"/>
    <cellStyle name="Normal 3 12 5" xfId="530"/>
    <cellStyle name="Normal 3 12 5 2" xfId="4463"/>
    <cellStyle name="Normal 3 12 5 2 2" xfId="20626"/>
    <cellStyle name="Normal 3 12 6" xfId="71"/>
    <cellStyle name="Normal 3 12 6 2" xfId="4027"/>
    <cellStyle name="Normal 3 12 6 2 2" xfId="20190"/>
    <cellStyle name="Normal 3 12 7" xfId="48"/>
    <cellStyle name="Normal 3 12 7 2" xfId="4001"/>
    <cellStyle name="Normal 3 12 7 2 2" xfId="20164"/>
    <cellStyle name="Normal 3 12 8" xfId="77"/>
    <cellStyle name="Normal 3 12 8 2" xfId="4035"/>
    <cellStyle name="Normal 3 12 8 2 2" xfId="20198"/>
    <cellStyle name="Normal 3 12 9" xfId="10907"/>
    <cellStyle name="Normal 3 12 9 2" xfId="27043"/>
    <cellStyle name="Normal 3 13" xfId="10908"/>
    <cellStyle name="Normal 3 13 2" xfId="27044"/>
    <cellStyle name="Normal 3 14" xfId="10909"/>
    <cellStyle name="Normal 3 14 2" xfId="27045"/>
    <cellStyle name="Normal 3 15" xfId="4971"/>
    <cellStyle name="Normal 3 15 2" xfId="21133"/>
    <cellStyle name="Normal 3 17" xfId="2664"/>
    <cellStyle name="Normal 3 17 2" xfId="6556"/>
    <cellStyle name="Normal 3 17 2 2" xfId="22718"/>
    <cellStyle name="Normal 3 2" xfId="2606"/>
    <cellStyle name="Normal 3 2 10" xfId="2240"/>
    <cellStyle name="Normal 3 2 10 10" xfId="10910"/>
    <cellStyle name="Normal 3 2 10 10 2" xfId="27046"/>
    <cellStyle name="Normal 3 2 10 11" xfId="10911"/>
    <cellStyle name="Normal 3 2 10 11 2" xfId="27047"/>
    <cellStyle name="Normal 3 2 10 12" xfId="10912"/>
    <cellStyle name="Normal 3 2 10 12 2" xfId="27048"/>
    <cellStyle name="Normal 3 2 10 13" xfId="10913"/>
    <cellStyle name="Normal 3 2 10 13 2" xfId="27049"/>
    <cellStyle name="Normal 3 2 10 14" xfId="10914"/>
    <cellStyle name="Normal 3 2 10 14 2" xfId="27050"/>
    <cellStyle name="Normal 3 2 10 15" xfId="10915"/>
    <cellStyle name="Normal 3 2 10 15 2" xfId="27051"/>
    <cellStyle name="Normal 3 2 10 16" xfId="10916"/>
    <cellStyle name="Normal 3 2 10 16 2" xfId="27052"/>
    <cellStyle name="Normal 3 2 10 17" xfId="10917"/>
    <cellStyle name="Normal 3 2 10 17 2" xfId="27053"/>
    <cellStyle name="Normal 3 2 10 18" xfId="6138"/>
    <cellStyle name="Normal 3 2 10 18 2" xfId="22300"/>
    <cellStyle name="Normal 3 2 10 2" xfId="2363"/>
    <cellStyle name="Normal 3 2 10 2 2" xfId="6257"/>
    <cellStyle name="Normal 3 2 10 2 2 2" xfId="22419"/>
    <cellStyle name="Normal 3 2 10 3" xfId="2329"/>
    <cellStyle name="Normal 3 2 10 3 2" xfId="6225"/>
    <cellStyle name="Normal 3 2 10 3 2 2" xfId="22387"/>
    <cellStyle name="Normal 3 2 10 4" xfId="2342"/>
    <cellStyle name="Normal 3 2 10 4 2" xfId="6238"/>
    <cellStyle name="Normal 3 2 10 4 2 2" xfId="22400"/>
    <cellStyle name="Normal 3 2 10 5" xfId="2345"/>
    <cellStyle name="Normal 3 2 10 5 2" xfId="6241"/>
    <cellStyle name="Normal 3 2 10 5 2 2" xfId="22403"/>
    <cellStyle name="Normal 3 2 10 6" xfId="2347"/>
    <cellStyle name="Normal 3 2 10 6 2" xfId="6244"/>
    <cellStyle name="Normal 3 2 10 6 2 2" xfId="22406"/>
    <cellStyle name="Normal 3 2 10 7" xfId="2350"/>
    <cellStyle name="Normal 3 2 10 7 2" xfId="6246"/>
    <cellStyle name="Normal 3 2 10 7 2 2" xfId="22408"/>
    <cellStyle name="Normal 3 2 10 8" xfId="2352"/>
    <cellStyle name="Normal 3 2 10 8 2" xfId="6248"/>
    <cellStyle name="Normal 3 2 10 8 2 2" xfId="22410"/>
    <cellStyle name="Normal 3 2 10 9" xfId="10918"/>
    <cellStyle name="Normal 3 2 10 9 2" xfId="27054"/>
    <cellStyle name="Normal 3 2 11" xfId="833"/>
    <cellStyle name="Normal 3 2 11 2" xfId="4757"/>
    <cellStyle name="Normal 3 2 11 2 2" xfId="20919"/>
    <cellStyle name="Normal 3 2 12" xfId="2666"/>
    <cellStyle name="Normal 3 2 12 2" xfId="6557"/>
    <cellStyle name="Normal 3 2 12 2 2" xfId="22719"/>
    <cellStyle name="Normal 3 2 13" xfId="2668"/>
    <cellStyle name="Normal 3 2 13 2" xfId="6559"/>
    <cellStyle name="Normal 3 2 13 2 2" xfId="22721"/>
    <cellStyle name="Normal 3 2 14" xfId="2670"/>
    <cellStyle name="Normal 3 2 14 2" xfId="6561"/>
    <cellStyle name="Normal 3 2 14 2 2" xfId="22723"/>
    <cellStyle name="Normal 3 2 15" xfId="2023"/>
    <cellStyle name="Normal 3 2 15 2" xfId="5925"/>
    <cellStyle name="Normal 3 2 15 2 2" xfId="22087"/>
    <cellStyle name="Normal 3 2 16" xfId="2025"/>
    <cellStyle name="Normal 3 2 16 2" xfId="5928"/>
    <cellStyle name="Normal 3 2 16 2 2" xfId="22090"/>
    <cellStyle name="Normal 3 2 17" xfId="2028"/>
    <cellStyle name="Normal 3 2 17 2" xfId="5933"/>
    <cellStyle name="Normal 3 2 17 2 2" xfId="22095"/>
    <cellStyle name="Normal 3 2 18" xfId="10919"/>
    <cellStyle name="Normal 3 2 18 2" xfId="27055"/>
    <cellStyle name="Normal 3 2 19" xfId="10920"/>
    <cellStyle name="Normal 3 2 19 2" xfId="27056"/>
    <cellStyle name="Normal 3 2 2" xfId="2671"/>
    <cellStyle name="Normal 3 2 2 10" xfId="10921"/>
    <cellStyle name="Normal 3 2 2 10 2" xfId="27057"/>
    <cellStyle name="Normal 3 2 2 11" xfId="10922"/>
    <cellStyle name="Normal 3 2 2 11 2" xfId="27058"/>
    <cellStyle name="Normal 3 2 2 12" xfId="10923"/>
    <cellStyle name="Normal 3 2 2 12 2" xfId="27059"/>
    <cellStyle name="Normal 3 2 2 13" xfId="10924"/>
    <cellStyle name="Normal 3 2 2 13 2" xfId="27060"/>
    <cellStyle name="Normal 3 2 2 14" xfId="10925"/>
    <cellStyle name="Normal 3 2 2 14 2" xfId="27061"/>
    <cellStyle name="Normal 3 2 2 15" xfId="10926"/>
    <cellStyle name="Normal 3 2 2 15 2" xfId="27062"/>
    <cellStyle name="Normal 3 2 2 16" xfId="10927"/>
    <cellStyle name="Normal 3 2 2 16 2" xfId="27063"/>
    <cellStyle name="Normal 3 2 2 17" xfId="10928"/>
    <cellStyle name="Normal 3 2 2 17 2" xfId="27064"/>
    <cellStyle name="Normal 3 2 2 18" xfId="6563"/>
    <cellStyle name="Normal 3 2 2 18 2" xfId="22725"/>
    <cellStyle name="Normal 3 2 2 2" xfId="2672"/>
    <cellStyle name="Normal 3 2 2 2 2" xfId="10929"/>
    <cellStyle name="Normal 3 2 2 2 2 2" xfId="27065"/>
    <cellStyle name="Normal 3 2 2 2 3" xfId="6564"/>
    <cellStyle name="Normal 3 2 2 2 3 2" xfId="22726"/>
    <cellStyle name="Normal 3 2 2 3" xfId="82"/>
    <cellStyle name="Normal 3 2 2 3 2" xfId="4028"/>
    <cellStyle name="Normal 3 2 2 3 2 2" xfId="20191"/>
    <cellStyle name="Normal 3 2 2 4" xfId="2673"/>
    <cellStyle name="Normal 3 2 2 4 2" xfId="6565"/>
    <cellStyle name="Normal 3 2 2 4 2 2" xfId="22727"/>
    <cellStyle name="Normal 3 2 2 5" xfId="2674"/>
    <cellStyle name="Normal 3 2 2 5 2" xfId="6566"/>
    <cellStyle name="Normal 3 2 2 5 2 2" xfId="22728"/>
    <cellStyle name="Normal 3 2 2 6" xfId="2675"/>
    <cellStyle name="Normal 3 2 2 6 2" xfId="6567"/>
    <cellStyle name="Normal 3 2 2 6 2 2" xfId="22729"/>
    <cellStyle name="Normal 3 2 2 7" xfId="2676"/>
    <cellStyle name="Normal 3 2 2 7 2" xfId="6568"/>
    <cellStyle name="Normal 3 2 2 7 2 2" xfId="22730"/>
    <cellStyle name="Normal 3 2 2 8" xfId="2677"/>
    <cellStyle name="Normal 3 2 2 8 2" xfId="6569"/>
    <cellStyle name="Normal 3 2 2 8 2 2" xfId="22731"/>
    <cellStyle name="Normal 3 2 2 9" xfId="10930"/>
    <cellStyle name="Normal 3 2 2 9 2" xfId="27066"/>
    <cellStyle name="Normal 3 2 20" xfId="10931"/>
    <cellStyle name="Normal 3 2 20 2" xfId="27067"/>
    <cellStyle name="Normal 3 2 21" xfId="10932"/>
    <cellStyle name="Normal 3 2 21 2" xfId="27068"/>
    <cellStyle name="Normal 3 2 22" xfId="10933"/>
    <cellStyle name="Normal 3 2 22 2" xfId="27069"/>
    <cellStyle name="Normal 3 2 23" xfId="10934"/>
    <cellStyle name="Normal 3 2 23 2" xfId="27070"/>
    <cellStyle name="Normal 3 2 24" xfId="10935"/>
    <cellStyle name="Normal 3 2 24 2" xfId="27071"/>
    <cellStyle name="Normal 3 2 25" xfId="10936"/>
    <cellStyle name="Normal 3 2 25 2" xfId="27072"/>
    <cellStyle name="Normal 3 2 26" xfId="10937"/>
    <cellStyle name="Normal 3 2 26 2" xfId="27073"/>
    <cellStyle name="Normal 3 2 27" xfId="6498"/>
    <cellStyle name="Normal 3 2 27 2" xfId="22660"/>
    <cellStyle name="Normal 3 2 3" xfId="1186"/>
    <cellStyle name="Normal 3 2 3 10" xfId="10938"/>
    <cellStyle name="Normal 3 2 3 10 2" xfId="27074"/>
    <cellStyle name="Normal 3 2 3 11" xfId="10939"/>
    <cellStyle name="Normal 3 2 3 11 2" xfId="27075"/>
    <cellStyle name="Normal 3 2 3 12" xfId="10940"/>
    <cellStyle name="Normal 3 2 3 12 2" xfId="27076"/>
    <cellStyle name="Normal 3 2 3 13" xfId="10941"/>
    <cellStyle name="Normal 3 2 3 13 2" xfId="27077"/>
    <cellStyle name="Normal 3 2 3 14" xfId="10942"/>
    <cellStyle name="Normal 3 2 3 14 2" xfId="27078"/>
    <cellStyle name="Normal 3 2 3 15" xfId="10943"/>
    <cellStyle name="Normal 3 2 3 15 2" xfId="27079"/>
    <cellStyle name="Normal 3 2 3 16" xfId="10944"/>
    <cellStyle name="Normal 3 2 3 16 2" xfId="27080"/>
    <cellStyle name="Normal 3 2 3 17" xfId="10945"/>
    <cellStyle name="Normal 3 2 3 17 2" xfId="27081"/>
    <cellStyle name="Normal 3 2 3 18" xfId="5107"/>
    <cellStyle name="Normal 3 2 3 18 2" xfId="21269"/>
    <cellStyle name="Normal 3 2 3 2" xfId="2679"/>
    <cellStyle name="Normal 3 2 3 2 2" xfId="6570"/>
    <cellStyle name="Normal 3 2 3 2 2 2" xfId="22732"/>
    <cellStyle name="Normal 3 2 3 3" xfId="2681"/>
    <cellStyle name="Normal 3 2 3 3 2" xfId="6572"/>
    <cellStyle name="Normal 3 2 3 3 2 2" xfId="22734"/>
    <cellStyle name="Normal 3 2 3 4" xfId="2683"/>
    <cellStyle name="Normal 3 2 3 4 2" xfId="6574"/>
    <cellStyle name="Normal 3 2 3 4 2 2" xfId="22736"/>
    <cellStyle name="Normal 3 2 3 5" xfId="2685"/>
    <cellStyle name="Normal 3 2 3 5 2" xfId="6576"/>
    <cellStyle name="Normal 3 2 3 5 2 2" xfId="22738"/>
    <cellStyle name="Normal 3 2 3 6" xfId="2687"/>
    <cellStyle name="Normal 3 2 3 6 2" xfId="6578"/>
    <cellStyle name="Normal 3 2 3 6 2 2" xfId="22740"/>
    <cellStyle name="Normal 3 2 3 7" xfId="2689"/>
    <cellStyle name="Normal 3 2 3 7 2" xfId="6580"/>
    <cellStyle name="Normal 3 2 3 7 2 2" xfId="22742"/>
    <cellStyle name="Normal 3 2 3 8" xfId="2691"/>
    <cellStyle name="Normal 3 2 3 8 2" xfId="6582"/>
    <cellStyle name="Normal 3 2 3 8 2 2" xfId="22744"/>
    <cellStyle name="Normal 3 2 3 9" xfId="10946"/>
    <cellStyle name="Normal 3 2 3 9 2" xfId="27082"/>
    <cellStyle name="Normal 3 2 4" xfId="391"/>
    <cellStyle name="Normal 3 2 4 10" xfId="10947"/>
    <cellStyle name="Normal 3 2 4 10 2" xfId="27083"/>
    <cellStyle name="Normal 3 2 4 11" xfId="10948"/>
    <cellStyle name="Normal 3 2 4 11 2" xfId="27084"/>
    <cellStyle name="Normal 3 2 4 12" xfId="10949"/>
    <cellStyle name="Normal 3 2 4 12 2" xfId="27085"/>
    <cellStyle name="Normal 3 2 4 13" xfId="10950"/>
    <cellStyle name="Normal 3 2 4 13 2" xfId="27086"/>
    <cellStyle name="Normal 3 2 4 14" xfId="10951"/>
    <cellStyle name="Normal 3 2 4 14 2" xfId="27087"/>
    <cellStyle name="Normal 3 2 4 15" xfId="10952"/>
    <cellStyle name="Normal 3 2 4 15 2" xfId="27088"/>
    <cellStyle name="Normal 3 2 4 16" xfId="10953"/>
    <cellStyle name="Normal 3 2 4 16 2" xfId="27089"/>
    <cellStyle name="Normal 3 2 4 17" xfId="10954"/>
    <cellStyle name="Normal 3 2 4 17 2" xfId="27090"/>
    <cellStyle name="Normal 3 2 4 18" xfId="4339"/>
    <cellStyle name="Normal 3 2 4 18 2" xfId="20502"/>
    <cellStyle name="Normal 3 2 4 2" xfId="2692"/>
    <cellStyle name="Normal 3 2 4 2 2" xfId="6584"/>
    <cellStyle name="Normal 3 2 4 2 2 2" xfId="22746"/>
    <cellStyle name="Normal 3 2 4 3" xfId="2693"/>
    <cellStyle name="Normal 3 2 4 3 2" xfId="6585"/>
    <cellStyle name="Normal 3 2 4 3 2 2" xfId="22747"/>
    <cellStyle name="Normal 3 2 4 4" xfId="2694"/>
    <cellStyle name="Normal 3 2 4 4 2" xfId="6586"/>
    <cellStyle name="Normal 3 2 4 4 2 2" xfId="22748"/>
    <cellStyle name="Normal 3 2 4 5" xfId="715"/>
    <cellStyle name="Normal 3 2 4 5 2" xfId="4643"/>
    <cellStyle name="Normal 3 2 4 5 2 2" xfId="20805"/>
    <cellStyle name="Normal 3 2 4 6" xfId="718"/>
    <cellStyle name="Normal 3 2 4 6 2" xfId="4645"/>
    <cellStyle name="Normal 3 2 4 6 2 2" xfId="20807"/>
    <cellStyle name="Normal 3 2 4 7" xfId="2696"/>
    <cellStyle name="Normal 3 2 4 7 2" xfId="6587"/>
    <cellStyle name="Normal 3 2 4 7 2 2" xfId="22749"/>
    <cellStyle name="Normal 3 2 4 8" xfId="2698"/>
    <cellStyle name="Normal 3 2 4 8 2" xfId="6589"/>
    <cellStyle name="Normal 3 2 4 8 2 2" xfId="22751"/>
    <cellStyle name="Normal 3 2 4 9" xfId="10955"/>
    <cellStyle name="Normal 3 2 4 9 2" xfId="27091"/>
    <cellStyle name="Normal 3 2 5" xfId="402"/>
    <cellStyle name="Normal 3 2 5 10" xfId="10956"/>
    <cellStyle name="Normal 3 2 5 10 2" xfId="27092"/>
    <cellStyle name="Normal 3 2 5 11" xfId="10957"/>
    <cellStyle name="Normal 3 2 5 11 2" xfId="27093"/>
    <cellStyle name="Normal 3 2 5 12" xfId="10958"/>
    <cellStyle name="Normal 3 2 5 12 2" xfId="27094"/>
    <cellStyle name="Normal 3 2 5 13" xfId="10959"/>
    <cellStyle name="Normal 3 2 5 13 2" xfId="27095"/>
    <cellStyle name="Normal 3 2 5 14" xfId="10960"/>
    <cellStyle name="Normal 3 2 5 14 2" xfId="27096"/>
    <cellStyle name="Normal 3 2 5 15" xfId="10961"/>
    <cellStyle name="Normal 3 2 5 15 2" xfId="27097"/>
    <cellStyle name="Normal 3 2 5 16" xfId="10962"/>
    <cellStyle name="Normal 3 2 5 16 2" xfId="27098"/>
    <cellStyle name="Normal 3 2 5 17" xfId="10963"/>
    <cellStyle name="Normal 3 2 5 17 2" xfId="27099"/>
    <cellStyle name="Normal 3 2 5 18" xfId="4350"/>
    <cellStyle name="Normal 3 2 5 18 2" xfId="20513"/>
    <cellStyle name="Normal 3 2 5 2" xfId="2700"/>
    <cellStyle name="Normal 3 2 5 2 2" xfId="6591"/>
    <cellStyle name="Normal 3 2 5 2 2 2" xfId="22753"/>
    <cellStyle name="Normal 3 2 5 3" xfId="2701"/>
    <cellStyle name="Normal 3 2 5 3 2" xfId="6593"/>
    <cellStyle name="Normal 3 2 5 3 2 2" xfId="22755"/>
    <cellStyle name="Normal 3 2 5 4" xfId="2702"/>
    <cellStyle name="Normal 3 2 5 4 2" xfId="6594"/>
    <cellStyle name="Normal 3 2 5 4 2 2" xfId="22756"/>
    <cellStyle name="Normal 3 2 5 5" xfId="2703"/>
    <cellStyle name="Normal 3 2 5 5 2" xfId="6595"/>
    <cellStyle name="Normal 3 2 5 5 2 2" xfId="22757"/>
    <cellStyle name="Normal 3 2 5 6" xfId="2704"/>
    <cellStyle name="Normal 3 2 5 6 2" xfId="6596"/>
    <cellStyle name="Normal 3 2 5 6 2 2" xfId="22758"/>
    <cellStyle name="Normal 3 2 5 7" xfId="2705"/>
    <cellStyle name="Normal 3 2 5 7 2" xfId="6597"/>
    <cellStyle name="Normal 3 2 5 7 2 2" xfId="22759"/>
    <cellStyle name="Normal 3 2 5 8" xfId="2706"/>
    <cellStyle name="Normal 3 2 5 8 2" xfId="6598"/>
    <cellStyle name="Normal 3 2 5 8 2 2" xfId="22760"/>
    <cellStyle name="Normal 3 2 5 9" xfId="10964"/>
    <cellStyle name="Normal 3 2 5 9 2" xfId="27100"/>
    <cellStyle name="Normal 3 2 6" xfId="1191"/>
    <cellStyle name="Normal 3 2 6 10" xfId="10965"/>
    <cellStyle name="Normal 3 2 6 10 2" xfId="27101"/>
    <cellStyle name="Normal 3 2 6 11" xfId="10966"/>
    <cellStyle name="Normal 3 2 6 11 2" xfId="27102"/>
    <cellStyle name="Normal 3 2 6 12" xfId="10967"/>
    <cellStyle name="Normal 3 2 6 12 2" xfId="27103"/>
    <cellStyle name="Normal 3 2 6 13" xfId="10968"/>
    <cellStyle name="Normal 3 2 6 13 2" xfId="27104"/>
    <cellStyle name="Normal 3 2 6 14" xfId="10969"/>
    <cellStyle name="Normal 3 2 6 14 2" xfId="27105"/>
    <cellStyle name="Normal 3 2 6 15" xfId="10970"/>
    <cellStyle name="Normal 3 2 6 15 2" xfId="27106"/>
    <cellStyle name="Normal 3 2 6 16" xfId="10971"/>
    <cellStyle name="Normal 3 2 6 16 2" xfId="27107"/>
    <cellStyle name="Normal 3 2 6 17" xfId="10972"/>
    <cellStyle name="Normal 3 2 6 17 2" xfId="27108"/>
    <cellStyle name="Normal 3 2 6 18" xfId="5112"/>
    <cellStyle name="Normal 3 2 6 18 2" xfId="21274"/>
    <cellStyle name="Normal 3 2 6 2" xfId="2160"/>
    <cellStyle name="Normal 3 2 6 2 2" xfId="6060"/>
    <cellStyle name="Normal 3 2 6 2 2 2" xfId="22222"/>
    <cellStyle name="Normal 3 2 6 3" xfId="2162"/>
    <cellStyle name="Normal 3 2 6 3 2" xfId="6063"/>
    <cellStyle name="Normal 3 2 6 3 2 2" xfId="22225"/>
    <cellStyle name="Normal 3 2 6 4" xfId="2707"/>
    <cellStyle name="Normal 3 2 6 4 2" xfId="6599"/>
    <cellStyle name="Normal 3 2 6 4 2 2" xfId="22761"/>
    <cellStyle name="Normal 3 2 6 5" xfId="2708"/>
    <cellStyle name="Normal 3 2 6 5 2" xfId="6600"/>
    <cellStyle name="Normal 3 2 6 5 2 2" xfId="22762"/>
    <cellStyle name="Normal 3 2 6 6" xfId="2710"/>
    <cellStyle name="Normal 3 2 6 6 2" xfId="6601"/>
    <cellStyle name="Normal 3 2 6 6 2 2" xfId="22763"/>
    <cellStyle name="Normal 3 2 6 7" xfId="2712"/>
    <cellStyle name="Normal 3 2 6 7 2" xfId="6603"/>
    <cellStyle name="Normal 3 2 6 7 2 2" xfId="22765"/>
    <cellStyle name="Normal 3 2 6 8" xfId="2713"/>
    <cellStyle name="Normal 3 2 6 8 2" xfId="6605"/>
    <cellStyle name="Normal 3 2 6 8 2 2" xfId="22767"/>
    <cellStyle name="Normal 3 2 6 9" xfId="10973"/>
    <cellStyle name="Normal 3 2 6 9 2" xfId="27109"/>
    <cellStyle name="Normal 3 2 7" xfId="1195"/>
    <cellStyle name="Normal 3 2 7 10" xfId="10974"/>
    <cellStyle name="Normal 3 2 7 10 2" xfId="27110"/>
    <cellStyle name="Normal 3 2 7 11" xfId="10975"/>
    <cellStyle name="Normal 3 2 7 11 2" xfId="27111"/>
    <cellStyle name="Normal 3 2 7 12" xfId="10976"/>
    <cellStyle name="Normal 3 2 7 12 2" xfId="27112"/>
    <cellStyle name="Normal 3 2 7 13" xfId="10977"/>
    <cellStyle name="Normal 3 2 7 13 2" xfId="27113"/>
    <cellStyle name="Normal 3 2 7 14" xfId="10978"/>
    <cellStyle name="Normal 3 2 7 14 2" xfId="27114"/>
    <cellStyle name="Normal 3 2 7 15" xfId="10979"/>
    <cellStyle name="Normal 3 2 7 15 2" xfId="27115"/>
    <cellStyle name="Normal 3 2 7 16" xfId="10980"/>
    <cellStyle name="Normal 3 2 7 16 2" xfId="27116"/>
    <cellStyle name="Normal 3 2 7 17" xfId="10981"/>
    <cellStyle name="Normal 3 2 7 17 2" xfId="27117"/>
    <cellStyle name="Normal 3 2 7 18" xfId="5116"/>
    <cellStyle name="Normal 3 2 7 18 2" xfId="21278"/>
    <cellStyle name="Normal 3 2 7 2" xfId="2715"/>
    <cellStyle name="Normal 3 2 7 2 2" xfId="6606"/>
    <cellStyle name="Normal 3 2 7 2 2 2" xfId="22768"/>
    <cellStyle name="Normal 3 2 7 3" xfId="2716"/>
    <cellStyle name="Normal 3 2 7 3 2" xfId="6608"/>
    <cellStyle name="Normal 3 2 7 3 2 2" xfId="22770"/>
    <cellStyle name="Normal 3 2 7 4" xfId="2717"/>
    <cellStyle name="Normal 3 2 7 4 2" xfId="6609"/>
    <cellStyle name="Normal 3 2 7 4 2 2" xfId="22771"/>
    <cellStyle name="Normal 3 2 7 5" xfId="2718"/>
    <cellStyle name="Normal 3 2 7 5 2" xfId="6610"/>
    <cellStyle name="Normal 3 2 7 5 2 2" xfId="22772"/>
    <cellStyle name="Normal 3 2 7 6" xfId="2719"/>
    <cellStyle name="Normal 3 2 7 6 2" xfId="6611"/>
    <cellStyle name="Normal 3 2 7 6 2 2" xfId="22773"/>
    <cellStyle name="Normal 3 2 7 7" xfId="2720"/>
    <cellStyle name="Normal 3 2 7 7 2" xfId="6612"/>
    <cellStyle name="Normal 3 2 7 7 2 2" xfId="22774"/>
    <cellStyle name="Normal 3 2 7 8" xfId="2721"/>
    <cellStyle name="Normal 3 2 7 8 2" xfId="6613"/>
    <cellStyle name="Normal 3 2 7 8 2 2" xfId="22775"/>
    <cellStyle name="Normal 3 2 7 9" xfId="10982"/>
    <cellStyle name="Normal 3 2 7 9 2" xfId="27118"/>
    <cellStyle name="Normal 3 2 8" xfId="1202"/>
    <cellStyle name="Normal 3 2 8 10" xfId="10983"/>
    <cellStyle name="Normal 3 2 8 10 2" xfId="27119"/>
    <cellStyle name="Normal 3 2 8 11" xfId="10984"/>
    <cellStyle name="Normal 3 2 8 11 2" xfId="27120"/>
    <cellStyle name="Normal 3 2 8 12" xfId="10985"/>
    <cellStyle name="Normal 3 2 8 12 2" xfId="27121"/>
    <cellStyle name="Normal 3 2 8 13" xfId="10986"/>
    <cellStyle name="Normal 3 2 8 13 2" xfId="27122"/>
    <cellStyle name="Normal 3 2 8 14" xfId="10987"/>
    <cellStyle name="Normal 3 2 8 14 2" xfId="27123"/>
    <cellStyle name="Normal 3 2 8 15" xfId="10988"/>
    <cellStyle name="Normal 3 2 8 15 2" xfId="27124"/>
    <cellStyle name="Normal 3 2 8 16" xfId="10989"/>
    <cellStyle name="Normal 3 2 8 16 2" xfId="27125"/>
    <cellStyle name="Normal 3 2 8 17" xfId="10990"/>
    <cellStyle name="Normal 3 2 8 17 2" xfId="27126"/>
    <cellStyle name="Normal 3 2 8 18" xfId="5122"/>
    <cellStyle name="Normal 3 2 8 18 2" xfId="21284"/>
    <cellStyle name="Normal 3 2 8 2" xfId="2723"/>
    <cellStyle name="Normal 3 2 8 2 2" xfId="6614"/>
    <cellStyle name="Normal 3 2 8 2 2 2" xfId="22776"/>
    <cellStyle name="Normal 3 2 8 3" xfId="2724"/>
    <cellStyle name="Normal 3 2 8 3 2" xfId="6616"/>
    <cellStyle name="Normal 3 2 8 3 2 2" xfId="22778"/>
    <cellStyle name="Normal 3 2 8 4" xfId="2725"/>
    <cellStyle name="Normal 3 2 8 4 2" xfId="6617"/>
    <cellStyle name="Normal 3 2 8 4 2 2" xfId="22779"/>
    <cellStyle name="Normal 3 2 8 5" xfId="60"/>
    <cellStyle name="Normal 3 2 8 5 2" xfId="4010"/>
    <cellStyle name="Normal 3 2 8 5 2 2" xfId="20173"/>
    <cellStyle name="Normal 3 2 8 6" xfId="2727"/>
    <cellStyle name="Normal 3 2 8 6 2" xfId="6618"/>
    <cellStyle name="Normal 3 2 8 6 2 2" xfId="22780"/>
    <cellStyle name="Normal 3 2 8 7" xfId="2729"/>
    <cellStyle name="Normal 3 2 8 7 2" xfId="6620"/>
    <cellStyle name="Normal 3 2 8 7 2 2" xfId="22782"/>
    <cellStyle name="Normal 3 2 8 8" xfId="2731"/>
    <cellStyle name="Normal 3 2 8 8 2" xfId="6622"/>
    <cellStyle name="Normal 3 2 8 8 2 2" xfId="22784"/>
    <cellStyle name="Normal 3 2 8 9" xfId="10991"/>
    <cellStyle name="Normal 3 2 8 9 2" xfId="27127"/>
    <cellStyle name="Normal 3 2 9" xfId="637"/>
    <cellStyle name="Normal 3 2 9 10" xfId="10992"/>
    <cellStyle name="Normal 3 2 9 10 2" xfId="27128"/>
    <cellStyle name="Normal 3 2 9 11" xfId="10993"/>
    <cellStyle name="Normal 3 2 9 11 2" xfId="27129"/>
    <cellStyle name="Normal 3 2 9 12" xfId="10994"/>
    <cellStyle name="Normal 3 2 9 12 2" xfId="27130"/>
    <cellStyle name="Normal 3 2 9 13" xfId="10995"/>
    <cellStyle name="Normal 3 2 9 13 2" xfId="27131"/>
    <cellStyle name="Normal 3 2 9 14" xfId="10996"/>
    <cellStyle name="Normal 3 2 9 14 2" xfId="27132"/>
    <cellStyle name="Normal 3 2 9 15" xfId="10997"/>
    <cellStyle name="Normal 3 2 9 15 2" xfId="27133"/>
    <cellStyle name="Normal 3 2 9 16" xfId="10998"/>
    <cellStyle name="Normal 3 2 9 16 2" xfId="27134"/>
    <cellStyle name="Normal 3 2 9 17" xfId="10999"/>
    <cellStyle name="Normal 3 2 9 17 2" xfId="27135"/>
    <cellStyle name="Normal 3 2 9 18" xfId="4572"/>
    <cellStyle name="Normal 3 2 9 18 2" xfId="20734"/>
    <cellStyle name="Normal 3 2 9 2" xfId="2733"/>
    <cellStyle name="Normal 3 2 9 2 2" xfId="6624"/>
    <cellStyle name="Normal 3 2 9 2 2 2" xfId="22786"/>
    <cellStyle name="Normal 3 2 9 3" xfId="2734"/>
    <cellStyle name="Normal 3 2 9 3 2" xfId="6626"/>
    <cellStyle name="Normal 3 2 9 3 2 2" xfId="22788"/>
    <cellStyle name="Normal 3 2 9 4" xfId="2735"/>
    <cellStyle name="Normal 3 2 9 4 2" xfId="6627"/>
    <cellStyle name="Normal 3 2 9 4 2 2" xfId="22789"/>
    <cellStyle name="Normal 3 2 9 5" xfId="2736"/>
    <cellStyle name="Normal 3 2 9 5 2" xfId="6628"/>
    <cellStyle name="Normal 3 2 9 5 2 2" xfId="22790"/>
    <cellStyle name="Normal 3 2 9 6" xfId="2737"/>
    <cellStyle name="Normal 3 2 9 6 2" xfId="6629"/>
    <cellStyle name="Normal 3 2 9 6 2 2" xfId="22791"/>
    <cellStyle name="Normal 3 2 9 7" xfId="2738"/>
    <cellStyle name="Normal 3 2 9 7 2" xfId="6630"/>
    <cellStyle name="Normal 3 2 9 7 2 2" xfId="22792"/>
    <cellStyle name="Normal 3 2 9 8" xfId="2740"/>
    <cellStyle name="Normal 3 2 9 8 2" xfId="6631"/>
    <cellStyle name="Normal 3 2 9 8 2 2" xfId="22793"/>
    <cellStyle name="Normal 3 2 9 9" xfId="11000"/>
    <cellStyle name="Normal 3 2 9 9 2" xfId="27136"/>
    <cellStyle name="Normal 3 2_2bhk_19122016" xfId="11001"/>
    <cellStyle name="Normal 3 21" xfId="2741"/>
    <cellStyle name="Normal 3 21 2" xfId="6633"/>
    <cellStyle name="Normal 3 21 2 2" xfId="22795"/>
    <cellStyle name="Normal 3 23" xfId="2742"/>
    <cellStyle name="Normal 3 23 2" xfId="6634"/>
    <cellStyle name="Normal 3 23 2 2" xfId="22796"/>
    <cellStyle name="Normal 3 3" xfId="2607"/>
    <cellStyle name="Normal 3 3 2" xfId="1549"/>
    <cellStyle name="Normal 3 3 2 10" xfId="2744"/>
    <cellStyle name="Normal 3 3 2 10 10" xfId="11002"/>
    <cellStyle name="Normal 3 3 2 10 10 2" xfId="27137"/>
    <cellStyle name="Normal 3 3 2 10 11" xfId="11003"/>
    <cellStyle name="Normal 3 3 2 10 11 2" xfId="27138"/>
    <cellStyle name="Normal 3 3 2 10 12" xfId="11004"/>
    <cellStyle name="Normal 3 3 2 10 12 2" xfId="27139"/>
    <cellStyle name="Normal 3 3 2 10 13" xfId="6635"/>
    <cellStyle name="Normal 3 3 2 10 13 2" xfId="22797"/>
    <cellStyle name="Normal 3 3 2 10 14" xfId="19706"/>
    <cellStyle name="Normal 3 3 2 10 2" xfId="2745"/>
    <cellStyle name="Normal 3 3 2 10 2 10" xfId="11005"/>
    <cellStyle name="Normal 3 3 2 10 2 10 2" xfId="27140"/>
    <cellStyle name="Normal 3 3 2 10 2 11" xfId="6637"/>
    <cellStyle name="Normal 3 3 2 10 2 11 2" xfId="22799"/>
    <cellStyle name="Normal 3 3 2 10 2 12" xfId="19707"/>
    <cellStyle name="Normal 3 3 2 10 2 2" xfId="11006"/>
    <cellStyle name="Normal 3 3 2 10 2 2 2" xfId="27141"/>
    <cellStyle name="Normal 3 3 2 10 2 3" xfId="11007"/>
    <cellStyle name="Normal 3 3 2 10 2 3 2" xfId="27142"/>
    <cellStyle name="Normal 3 3 2 10 2 4" xfId="11008"/>
    <cellStyle name="Normal 3 3 2 10 2 4 2" xfId="27143"/>
    <cellStyle name="Normal 3 3 2 10 2 5" xfId="11009"/>
    <cellStyle name="Normal 3 3 2 10 2 5 2" xfId="27144"/>
    <cellStyle name="Normal 3 3 2 10 2 6" xfId="11010"/>
    <cellStyle name="Normal 3 3 2 10 2 6 2" xfId="27145"/>
    <cellStyle name="Normal 3 3 2 10 2 7" xfId="11011"/>
    <cellStyle name="Normal 3 3 2 10 2 7 2" xfId="27146"/>
    <cellStyle name="Normal 3 3 2 10 2 8" xfId="11012"/>
    <cellStyle name="Normal 3 3 2 10 2 8 2" xfId="27147"/>
    <cellStyle name="Normal 3 3 2 10 2 9" xfId="11013"/>
    <cellStyle name="Normal 3 3 2 10 2 9 2" xfId="27148"/>
    <cellStyle name="Normal 3 3 2 10 3" xfId="2746"/>
    <cellStyle name="Normal 3 3 2 10 3 10" xfId="11014"/>
    <cellStyle name="Normal 3 3 2 10 3 10 2" xfId="27149"/>
    <cellStyle name="Normal 3 3 2 10 3 11" xfId="6638"/>
    <cellStyle name="Normal 3 3 2 10 3 11 2" xfId="22800"/>
    <cellStyle name="Normal 3 3 2 10 3 12" xfId="19708"/>
    <cellStyle name="Normal 3 3 2 10 3 2" xfId="11015"/>
    <cellStyle name="Normal 3 3 2 10 3 2 2" xfId="27150"/>
    <cellStyle name="Normal 3 3 2 10 3 3" xfId="11016"/>
    <cellStyle name="Normal 3 3 2 10 3 3 2" xfId="27151"/>
    <cellStyle name="Normal 3 3 2 10 3 4" xfId="11017"/>
    <cellStyle name="Normal 3 3 2 10 3 4 2" xfId="27152"/>
    <cellStyle name="Normal 3 3 2 10 3 5" xfId="11018"/>
    <cellStyle name="Normal 3 3 2 10 3 5 2" xfId="27153"/>
    <cellStyle name="Normal 3 3 2 10 3 6" xfId="11019"/>
    <cellStyle name="Normal 3 3 2 10 3 6 2" xfId="27154"/>
    <cellStyle name="Normal 3 3 2 10 3 7" xfId="11020"/>
    <cellStyle name="Normal 3 3 2 10 3 7 2" xfId="27155"/>
    <cellStyle name="Normal 3 3 2 10 3 8" xfId="11021"/>
    <cellStyle name="Normal 3 3 2 10 3 8 2" xfId="27156"/>
    <cellStyle name="Normal 3 3 2 10 3 9" xfId="11022"/>
    <cellStyle name="Normal 3 3 2 10 3 9 2" xfId="27157"/>
    <cellStyle name="Normal 3 3 2 10 4" xfId="11023"/>
    <cellStyle name="Normal 3 3 2 10 4 2" xfId="27158"/>
    <cellStyle name="Normal 3 3 2 10 5" xfId="11024"/>
    <cellStyle name="Normal 3 3 2 10 5 2" xfId="27159"/>
    <cellStyle name="Normal 3 3 2 10 6" xfId="11025"/>
    <cellStyle name="Normal 3 3 2 10 6 2" xfId="27160"/>
    <cellStyle name="Normal 3 3 2 10 7" xfId="11026"/>
    <cellStyle name="Normal 3 3 2 10 7 2" xfId="27161"/>
    <cellStyle name="Normal 3 3 2 10 8" xfId="11027"/>
    <cellStyle name="Normal 3 3 2 10 8 2" xfId="27162"/>
    <cellStyle name="Normal 3 3 2 10 9" xfId="11028"/>
    <cellStyle name="Normal 3 3 2 10 9 2" xfId="27163"/>
    <cellStyle name="Normal 3 3 2 11" xfId="2748"/>
    <cellStyle name="Normal 3 3 2 11 10" xfId="11029"/>
    <cellStyle name="Normal 3 3 2 11 10 2" xfId="27164"/>
    <cellStyle name="Normal 3 3 2 11 11" xfId="11030"/>
    <cellStyle name="Normal 3 3 2 11 11 2" xfId="27165"/>
    <cellStyle name="Normal 3 3 2 11 12" xfId="11031"/>
    <cellStyle name="Normal 3 3 2 11 12 2" xfId="27166"/>
    <cellStyle name="Normal 3 3 2 11 13" xfId="6639"/>
    <cellStyle name="Normal 3 3 2 11 13 2" xfId="22801"/>
    <cellStyle name="Normal 3 3 2 11 14" xfId="19709"/>
    <cellStyle name="Normal 3 3 2 11 2" xfId="2749"/>
    <cellStyle name="Normal 3 3 2 11 2 10" xfId="11032"/>
    <cellStyle name="Normal 3 3 2 11 2 10 2" xfId="27167"/>
    <cellStyle name="Normal 3 3 2 11 2 11" xfId="6641"/>
    <cellStyle name="Normal 3 3 2 11 2 11 2" xfId="22803"/>
    <cellStyle name="Normal 3 3 2 11 2 12" xfId="19710"/>
    <cellStyle name="Normal 3 3 2 11 2 2" xfId="11033"/>
    <cellStyle name="Normal 3 3 2 11 2 2 2" xfId="27168"/>
    <cellStyle name="Normal 3 3 2 11 2 3" xfId="11034"/>
    <cellStyle name="Normal 3 3 2 11 2 3 2" xfId="27169"/>
    <cellStyle name="Normal 3 3 2 11 2 4" xfId="11035"/>
    <cellStyle name="Normal 3 3 2 11 2 4 2" xfId="27170"/>
    <cellStyle name="Normal 3 3 2 11 2 5" xfId="11036"/>
    <cellStyle name="Normal 3 3 2 11 2 5 2" xfId="27171"/>
    <cellStyle name="Normal 3 3 2 11 2 6" xfId="11037"/>
    <cellStyle name="Normal 3 3 2 11 2 6 2" xfId="27172"/>
    <cellStyle name="Normal 3 3 2 11 2 7" xfId="11038"/>
    <cellStyle name="Normal 3 3 2 11 2 7 2" xfId="27173"/>
    <cellStyle name="Normal 3 3 2 11 2 8" xfId="11039"/>
    <cellStyle name="Normal 3 3 2 11 2 8 2" xfId="27174"/>
    <cellStyle name="Normal 3 3 2 11 2 9" xfId="11040"/>
    <cellStyle name="Normal 3 3 2 11 2 9 2" xfId="27175"/>
    <cellStyle name="Normal 3 3 2 11 3" xfId="611"/>
    <cellStyle name="Normal 3 3 2 11 3 10" xfId="11041"/>
    <cellStyle name="Normal 3 3 2 11 3 10 2" xfId="27176"/>
    <cellStyle name="Normal 3 3 2 11 3 11" xfId="4543"/>
    <cellStyle name="Normal 3 3 2 11 3 11 2" xfId="20705"/>
    <cellStyle name="Normal 3 3 2 11 3 12" xfId="19127"/>
    <cellStyle name="Normal 3 3 2 11 3 2" xfId="11042"/>
    <cellStyle name="Normal 3 3 2 11 3 2 2" xfId="27177"/>
    <cellStyle name="Normal 3 3 2 11 3 3" xfId="11043"/>
    <cellStyle name="Normal 3 3 2 11 3 3 2" xfId="27178"/>
    <cellStyle name="Normal 3 3 2 11 3 4" xfId="11044"/>
    <cellStyle name="Normal 3 3 2 11 3 4 2" xfId="27179"/>
    <cellStyle name="Normal 3 3 2 11 3 5" xfId="11045"/>
    <cellStyle name="Normal 3 3 2 11 3 5 2" xfId="27180"/>
    <cellStyle name="Normal 3 3 2 11 3 6" xfId="11046"/>
    <cellStyle name="Normal 3 3 2 11 3 6 2" xfId="27181"/>
    <cellStyle name="Normal 3 3 2 11 3 7" xfId="11047"/>
    <cellStyle name="Normal 3 3 2 11 3 7 2" xfId="27182"/>
    <cellStyle name="Normal 3 3 2 11 3 8" xfId="11048"/>
    <cellStyle name="Normal 3 3 2 11 3 8 2" xfId="27183"/>
    <cellStyle name="Normal 3 3 2 11 3 9" xfId="11049"/>
    <cellStyle name="Normal 3 3 2 11 3 9 2" xfId="27184"/>
    <cellStyle name="Normal 3 3 2 11 4" xfId="11050"/>
    <cellStyle name="Normal 3 3 2 11 4 2" xfId="27185"/>
    <cellStyle name="Normal 3 3 2 11 5" xfId="11051"/>
    <cellStyle name="Normal 3 3 2 11 5 2" xfId="27186"/>
    <cellStyle name="Normal 3 3 2 11 6" xfId="11052"/>
    <cellStyle name="Normal 3 3 2 11 6 2" xfId="27187"/>
    <cellStyle name="Normal 3 3 2 11 7" xfId="11053"/>
    <cellStyle name="Normal 3 3 2 11 7 2" xfId="27188"/>
    <cellStyle name="Normal 3 3 2 11 8" xfId="11054"/>
    <cellStyle name="Normal 3 3 2 11 8 2" xfId="27189"/>
    <cellStyle name="Normal 3 3 2 11 9" xfId="11055"/>
    <cellStyle name="Normal 3 3 2 11 9 2" xfId="27190"/>
    <cellStyle name="Normal 3 3 2 12" xfId="2751"/>
    <cellStyle name="Normal 3 3 2 12 10" xfId="11056"/>
    <cellStyle name="Normal 3 3 2 12 10 2" xfId="27191"/>
    <cellStyle name="Normal 3 3 2 12 11" xfId="11057"/>
    <cellStyle name="Normal 3 3 2 12 11 2" xfId="27192"/>
    <cellStyle name="Normal 3 3 2 12 12" xfId="11058"/>
    <cellStyle name="Normal 3 3 2 12 12 2" xfId="27193"/>
    <cellStyle name="Normal 3 3 2 12 13" xfId="6642"/>
    <cellStyle name="Normal 3 3 2 12 13 2" xfId="22804"/>
    <cellStyle name="Normal 3 3 2 12 14" xfId="19711"/>
    <cellStyle name="Normal 3 3 2 12 2" xfId="2752"/>
    <cellStyle name="Normal 3 3 2 12 2 10" xfId="11059"/>
    <cellStyle name="Normal 3 3 2 12 2 10 2" xfId="27194"/>
    <cellStyle name="Normal 3 3 2 12 2 11" xfId="6644"/>
    <cellStyle name="Normal 3 3 2 12 2 11 2" xfId="22806"/>
    <cellStyle name="Normal 3 3 2 12 2 12" xfId="19712"/>
    <cellStyle name="Normal 3 3 2 12 2 2" xfId="11060"/>
    <cellStyle name="Normal 3 3 2 12 2 2 2" xfId="27195"/>
    <cellStyle name="Normal 3 3 2 12 2 3" xfId="11061"/>
    <cellStyle name="Normal 3 3 2 12 2 3 2" xfId="27196"/>
    <cellStyle name="Normal 3 3 2 12 2 4" xfId="11062"/>
    <cellStyle name="Normal 3 3 2 12 2 4 2" xfId="27197"/>
    <cellStyle name="Normal 3 3 2 12 2 5" xfId="11063"/>
    <cellStyle name="Normal 3 3 2 12 2 5 2" xfId="27198"/>
    <cellStyle name="Normal 3 3 2 12 2 6" xfId="11064"/>
    <cellStyle name="Normal 3 3 2 12 2 6 2" xfId="27199"/>
    <cellStyle name="Normal 3 3 2 12 2 7" xfId="11065"/>
    <cellStyle name="Normal 3 3 2 12 2 7 2" xfId="27200"/>
    <cellStyle name="Normal 3 3 2 12 2 8" xfId="11066"/>
    <cellStyle name="Normal 3 3 2 12 2 8 2" xfId="27201"/>
    <cellStyle name="Normal 3 3 2 12 2 9" xfId="11067"/>
    <cellStyle name="Normal 3 3 2 12 2 9 2" xfId="27202"/>
    <cellStyle name="Normal 3 3 2 12 3" xfId="2753"/>
    <cellStyle name="Normal 3 3 2 12 3 10" xfId="11068"/>
    <cellStyle name="Normal 3 3 2 12 3 10 2" xfId="27203"/>
    <cellStyle name="Normal 3 3 2 12 3 11" xfId="6645"/>
    <cellStyle name="Normal 3 3 2 12 3 11 2" xfId="22807"/>
    <cellStyle name="Normal 3 3 2 12 3 12" xfId="19713"/>
    <cellStyle name="Normal 3 3 2 12 3 2" xfId="11069"/>
    <cellStyle name="Normal 3 3 2 12 3 2 2" xfId="27204"/>
    <cellStyle name="Normal 3 3 2 12 3 3" xfId="11070"/>
    <cellStyle name="Normal 3 3 2 12 3 3 2" xfId="27205"/>
    <cellStyle name="Normal 3 3 2 12 3 4" xfId="11071"/>
    <cellStyle name="Normal 3 3 2 12 3 4 2" xfId="27206"/>
    <cellStyle name="Normal 3 3 2 12 3 5" xfId="11072"/>
    <cellStyle name="Normal 3 3 2 12 3 5 2" xfId="27207"/>
    <cellStyle name="Normal 3 3 2 12 3 6" xfId="11073"/>
    <cellStyle name="Normal 3 3 2 12 3 6 2" xfId="27208"/>
    <cellStyle name="Normal 3 3 2 12 3 7" xfId="11074"/>
    <cellStyle name="Normal 3 3 2 12 3 7 2" xfId="27209"/>
    <cellStyle name="Normal 3 3 2 12 3 8" xfId="11075"/>
    <cellStyle name="Normal 3 3 2 12 3 8 2" xfId="27210"/>
    <cellStyle name="Normal 3 3 2 12 3 9" xfId="11076"/>
    <cellStyle name="Normal 3 3 2 12 3 9 2" xfId="27211"/>
    <cellStyle name="Normal 3 3 2 12 4" xfId="11077"/>
    <cellStyle name="Normal 3 3 2 12 4 2" xfId="27212"/>
    <cellStyle name="Normal 3 3 2 12 5" xfId="11078"/>
    <cellStyle name="Normal 3 3 2 12 5 2" xfId="27213"/>
    <cellStyle name="Normal 3 3 2 12 6" xfId="11079"/>
    <cellStyle name="Normal 3 3 2 12 6 2" xfId="27214"/>
    <cellStyle name="Normal 3 3 2 12 7" xfId="11080"/>
    <cellStyle name="Normal 3 3 2 12 7 2" xfId="27215"/>
    <cellStyle name="Normal 3 3 2 12 8" xfId="11081"/>
    <cellStyle name="Normal 3 3 2 12 8 2" xfId="27216"/>
    <cellStyle name="Normal 3 3 2 12 9" xfId="11082"/>
    <cellStyle name="Normal 3 3 2 12 9 2" xfId="27217"/>
    <cellStyle name="Normal 3 3 2 13" xfId="2755"/>
    <cellStyle name="Normal 3 3 2 13 10" xfId="11083"/>
    <cellStyle name="Normal 3 3 2 13 10 2" xfId="27218"/>
    <cellStyle name="Normal 3 3 2 13 11" xfId="6646"/>
    <cellStyle name="Normal 3 3 2 13 11 2" xfId="22808"/>
    <cellStyle name="Normal 3 3 2 13 12" xfId="19715"/>
    <cellStyle name="Normal 3 3 2 13 2" xfId="11084"/>
    <cellStyle name="Normal 3 3 2 13 2 2" xfId="27219"/>
    <cellStyle name="Normal 3 3 2 13 3" xfId="11085"/>
    <cellStyle name="Normal 3 3 2 13 3 2" xfId="27220"/>
    <cellStyle name="Normal 3 3 2 13 4" xfId="11086"/>
    <cellStyle name="Normal 3 3 2 13 4 2" xfId="27221"/>
    <cellStyle name="Normal 3 3 2 13 5" xfId="11087"/>
    <cellStyle name="Normal 3 3 2 13 5 2" xfId="27222"/>
    <cellStyle name="Normal 3 3 2 13 6" xfId="11088"/>
    <cellStyle name="Normal 3 3 2 13 6 2" xfId="27223"/>
    <cellStyle name="Normal 3 3 2 13 7" xfId="11089"/>
    <cellStyle name="Normal 3 3 2 13 7 2" xfId="27224"/>
    <cellStyle name="Normal 3 3 2 13 8" xfId="11090"/>
    <cellStyle name="Normal 3 3 2 13 8 2" xfId="27225"/>
    <cellStyle name="Normal 3 3 2 13 9" xfId="11091"/>
    <cellStyle name="Normal 3 3 2 13 9 2" xfId="27226"/>
    <cellStyle name="Normal 3 3 2 14" xfId="2757"/>
    <cellStyle name="Normal 3 3 2 14 10" xfId="11092"/>
    <cellStyle name="Normal 3 3 2 14 10 2" xfId="27227"/>
    <cellStyle name="Normal 3 3 2 14 11" xfId="6648"/>
    <cellStyle name="Normal 3 3 2 14 11 2" xfId="22810"/>
    <cellStyle name="Normal 3 3 2 14 12" xfId="19717"/>
    <cellStyle name="Normal 3 3 2 14 2" xfId="11093"/>
    <cellStyle name="Normal 3 3 2 14 2 2" xfId="27228"/>
    <cellStyle name="Normal 3 3 2 14 3" xfId="11094"/>
    <cellStyle name="Normal 3 3 2 14 3 2" xfId="27229"/>
    <cellStyle name="Normal 3 3 2 14 4" xfId="11095"/>
    <cellStyle name="Normal 3 3 2 14 4 2" xfId="27230"/>
    <cellStyle name="Normal 3 3 2 14 5" xfId="11096"/>
    <cellStyle name="Normal 3 3 2 14 5 2" xfId="27231"/>
    <cellStyle name="Normal 3 3 2 14 6" xfId="11097"/>
    <cellStyle name="Normal 3 3 2 14 6 2" xfId="27232"/>
    <cellStyle name="Normal 3 3 2 14 7" xfId="11098"/>
    <cellStyle name="Normal 3 3 2 14 7 2" xfId="27233"/>
    <cellStyle name="Normal 3 3 2 14 8" xfId="11099"/>
    <cellStyle name="Normal 3 3 2 14 8 2" xfId="27234"/>
    <cellStyle name="Normal 3 3 2 14 9" xfId="11100"/>
    <cellStyle name="Normal 3 3 2 14 9 2" xfId="27235"/>
    <cellStyle name="Normal 3 3 2 15" xfId="11101"/>
    <cellStyle name="Normal 3 3 2 15 2" xfId="27236"/>
    <cellStyle name="Normal 3 3 2 16" xfId="11102"/>
    <cellStyle name="Normal 3 3 2 16 2" xfId="27237"/>
    <cellStyle name="Normal 3 3 2 17" xfId="11103"/>
    <cellStyle name="Normal 3 3 2 17 2" xfId="27238"/>
    <cellStyle name="Normal 3 3 2 18" xfId="11104"/>
    <cellStyle name="Normal 3 3 2 18 2" xfId="27239"/>
    <cellStyle name="Normal 3 3 2 19" xfId="11105"/>
    <cellStyle name="Normal 3 3 2 19 2" xfId="27240"/>
    <cellStyle name="Normal 3 3 2 2" xfId="1486"/>
    <cellStyle name="Normal 3 3 2 2 10" xfId="11106"/>
    <cellStyle name="Normal 3 3 2 2 10 2" xfId="27241"/>
    <cellStyle name="Normal 3 3 2 2 11" xfId="11107"/>
    <cellStyle name="Normal 3 3 2 2 11 2" xfId="27242"/>
    <cellStyle name="Normal 3 3 2 2 12" xfId="11108"/>
    <cellStyle name="Normal 3 3 2 2 12 2" xfId="27243"/>
    <cellStyle name="Normal 3 3 2 2 13" xfId="11109"/>
    <cellStyle name="Normal 3 3 2 2 13 2" xfId="27244"/>
    <cellStyle name="Normal 3 3 2 2 14" xfId="11110"/>
    <cellStyle name="Normal 3 3 2 2 14 2" xfId="27245"/>
    <cellStyle name="Normal 3 3 2 2 15" xfId="11111"/>
    <cellStyle name="Normal 3 3 2 2 15 2" xfId="27246"/>
    <cellStyle name="Normal 3 3 2 2 16" xfId="11112"/>
    <cellStyle name="Normal 3 3 2 2 16 2" xfId="27247"/>
    <cellStyle name="Normal 3 3 2 2 17" xfId="11113"/>
    <cellStyle name="Normal 3 3 2 2 17 2" xfId="27248"/>
    <cellStyle name="Normal 3 3 2 2 18" xfId="5403"/>
    <cellStyle name="Normal 3 3 2 2 18 2" xfId="21565"/>
    <cellStyle name="Normal 3 3 2 2 19" xfId="19515"/>
    <cellStyle name="Normal 3 3 2 2 2" xfId="2758"/>
    <cellStyle name="Normal 3 3 2 2 2 10" xfId="11114"/>
    <cellStyle name="Normal 3 3 2 2 2 10 2" xfId="27249"/>
    <cellStyle name="Normal 3 3 2 2 2 11" xfId="11115"/>
    <cellStyle name="Normal 3 3 2 2 2 11 2" xfId="27250"/>
    <cellStyle name="Normal 3 3 2 2 2 12" xfId="11116"/>
    <cellStyle name="Normal 3 3 2 2 2 12 2" xfId="27251"/>
    <cellStyle name="Normal 3 3 2 2 2 13" xfId="6650"/>
    <cellStyle name="Normal 3 3 2 2 2 13 2" xfId="22812"/>
    <cellStyle name="Normal 3 3 2 2 2 14" xfId="19718"/>
    <cellStyle name="Normal 3 3 2 2 2 2" xfId="2759"/>
    <cellStyle name="Normal 3 3 2 2 2 2 10" xfId="11117"/>
    <cellStyle name="Normal 3 3 2 2 2 2 10 2" xfId="27252"/>
    <cellStyle name="Normal 3 3 2 2 2 2 11" xfId="6651"/>
    <cellStyle name="Normal 3 3 2 2 2 2 11 2" xfId="22813"/>
    <cellStyle name="Normal 3 3 2 2 2 2 12" xfId="19719"/>
    <cellStyle name="Normal 3 3 2 2 2 2 2" xfId="11118"/>
    <cellStyle name="Normal 3 3 2 2 2 2 2 2" xfId="27253"/>
    <cellStyle name="Normal 3 3 2 2 2 2 3" xfId="11119"/>
    <cellStyle name="Normal 3 3 2 2 2 2 3 2" xfId="27254"/>
    <cellStyle name="Normal 3 3 2 2 2 2 4" xfId="11120"/>
    <cellStyle name="Normal 3 3 2 2 2 2 4 2" xfId="27255"/>
    <cellStyle name="Normal 3 3 2 2 2 2 5" xfId="11121"/>
    <cellStyle name="Normal 3 3 2 2 2 2 5 2" xfId="27256"/>
    <cellStyle name="Normal 3 3 2 2 2 2 6" xfId="11122"/>
    <cellStyle name="Normal 3 3 2 2 2 2 6 2" xfId="27257"/>
    <cellStyle name="Normal 3 3 2 2 2 2 7" xfId="11123"/>
    <cellStyle name="Normal 3 3 2 2 2 2 7 2" xfId="27258"/>
    <cellStyle name="Normal 3 3 2 2 2 2 8" xfId="11124"/>
    <cellStyle name="Normal 3 3 2 2 2 2 8 2" xfId="27259"/>
    <cellStyle name="Normal 3 3 2 2 2 2 9" xfId="11125"/>
    <cellStyle name="Normal 3 3 2 2 2 2 9 2" xfId="27260"/>
    <cellStyle name="Normal 3 3 2 2 2 3" xfId="2760"/>
    <cellStyle name="Normal 3 3 2 2 2 3 10" xfId="11126"/>
    <cellStyle name="Normal 3 3 2 2 2 3 10 2" xfId="27261"/>
    <cellStyle name="Normal 3 3 2 2 2 3 11" xfId="6652"/>
    <cellStyle name="Normal 3 3 2 2 2 3 11 2" xfId="22814"/>
    <cellStyle name="Normal 3 3 2 2 2 3 12" xfId="19720"/>
    <cellStyle name="Normal 3 3 2 2 2 3 2" xfId="11127"/>
    <cellStyle name="Normal 3 3 2 2 2 3 2 2" xfId="27262"/>
    <cellStyle name="Normal 3 3 2 2 2 3 3" xfId="11128"/>
    <cellStyle name="Normal 3 3 2 2 2 3 3 2" xfId="27263"/>
    <cellStyle name="Normal 3 3 2 2 2 3 4" xfId="11129"/>
    <cellStyle name="Normal 3 3 2 2 2 3 4 2" xfId="27264"/>
    <cellStyle name="Normal 3 3 2 2 2 3 5" xfId="11130"/>
    <cellStyle name="Normal 3 3 2 2 2 3 5 2" xfId="27265"/>
    <cellStyle name="Normal 3 3 2 2 2 3 6" xfId="11131"/>
    <cellStyle name="Normal 3 3 2 2 2 3 6 2" xfId="27266"/>
    <cellStyle name="Normal 3 3 2 2 2 3 7" xfId="11132"/>
    <cellStyle name="Normal 3 3 2 2 2 3 7 2" xfId="27267"/>
    <cellStyle name="Normal 3 3 2 2 2 3 8" xfId="11133"/>
    <cellStyle name="Normal 3 3 2 2 2 3 8 2" xfId="27268"/>
    <cellStyle name="Normal 3 3 2 2 2 3 9" xfId="11134"/>
    <cellStyle name="Normal 3 3 2 2 2 3 9 2" xfId="27269"/>
    <cellStyle name="Normal 3 3 2 2 2 4" xfId="11135"/>
    <cellStyle name="Normal 3 3 2 2 2 4 2" xfId="27270"/>
    <cellStyle name="Normal 3 3 2 2 2 5" xfId="11136"/>
    <cellStyle name="Normal 3 3 2 2 2 5 2" xfId="27271"/>
    <cellStyle name="Normal 3 3 2 2 2 6" xfId="11137"/>
    <cellStyle name="Normal 3 3 2 2 2 6 2" xfId="27272"/>
    <cellStyle name="Normal 3 3 2 2 2 7" xfId="11138"/>
    <cellStyle name="Normal 3 3 2 2 2 7 2" xfId="27273"/>
    <cellStyle name="Normal 3 3 2 2 2 8" xfId="11139"/>
    <cellStyle name="Normal 3 3 2 2 2 8 2" xfId="27274"/>
    <cellStyle name="Normal 3 3 2 2 2 9" xfId="11140"/>
    <cellStyle name="Normal 3 3 2 2 2 9 2" xfId="27275"/>
    <cellStyle name="Normal 3 3 2 2 3" xfId="2761"/>
    <cellStyle name="Normal 3 3 2 2 3 10" xfId="11141"/>
    <cellStyle name="Normal 3 3 2 2 3 10 2" xfId="27276"/>
    <cellStyle name="Normal 3 3 2 2 3 11" xfId="11142"/>
    <cellStyle name="Normal 3 3 2 2 3 11 2" xfId="27277"/>
    <cellStyle name="Normal 3 3 2 2 3 12" xfId="11143"/>
    <cellStyle name="Normal 3 3 2 2 3 12 2" xfId="27278"/>
    <cellStyle name="Normal 3 3 2 2 3 13" xfId="6653"/>
    <cellStyle name="Normal 3 3 2 2 3 13 2" xfId="22815"/>
    <cellStyle name="Normal 3 3 2 2 3 14" xfId="19721"/>
    <cellStyle name="Normal 3 3 2 2 3 2" xfId="2762"/>
    <cellStyle name="Normal 3 3 2 2 3 2 10" xfId="11144"/>
    <cellStyle name="Normal 3 3 2 2 3 2 10 2" xfId="27279"/>
    <cellStyle name="Normal 3 3 2 2 3 2 11" xfId="6654"/>
    <cellStyle name="Normal 3 3 2 2 3 2 11 2" xfId="22816"/>
    <cellStyle name="Normal 3 3 2 2 3 2 12" xfId="19722"/>
    <cellStyle name="Normal 3 3 2 2 3 2 2" xfId="11145"/>
    <cellStyle name="Normal 3 3 2 2 3 2 2 2" xfId="27280"/>
    <cellStyle name="Normal 3 3 2 2 3 2 3" xfId="11146"/>
    <cellStyle name="Normal 3 3 2 2 3 2 3 2" xfId="27281"/>
    <cellStyle name="Normal 3 3 2 2 3 2 4" xfId="11147"/>
    <cellStyle name="Normal 3 3 2 2 3 2 4 2" xfId="27282"/>
    <cellStyle name="Normal 3 3 2 2 3 2 5" xfId="11148"/>
    <cellStyle name="Normal 3 3 2 2 3 2 5 2" xfId="27283"/>
    <cellStyle name="Normal 3 3 2 2 3 2 6" xfId="11149"/>
    <cellStyle name="Normal 3 3 2 2 3 2 6 2" xfId="27284"/>
    <cellStyle name="Normal 3 3 2 2 3 2 7" xfId="11150"/>
    <cellStyle name="Normal 3 3 2 2 3 2 7 2" xfId="27285"/>
    <cellStyle name="Normal 3 3 2 2 3 2 8" xfId="11151"/>
    <cellStyle name="Normal 3 3 2 2 3 2 8 2" xfId="27286"/>
    <cellStyle name="Normal 3 3 2 2 3 2 9" xfId="11152"/>
    <cellStyle name="Normal 3 3 2 2 3 2 9 2" xfId="27287"/>
    <cellStyle name="Normal 3 3 2 2 3 3" xfId="2763"/>
    <cellStyle name="Normal 3 3 2 2 3 3 10" xfId="11153"/>
    <cellStyle name="Normal 3 3 2 2 3 3 10 2" xfId="27288"/>
    <cellStyle name="Normal 3 3 2 2 3 3 11" xfId="6655"/>
    <cellStyle name="Normal 3 3 2 2 3 3 11 2" xfId="22817"/>
    <cellStyle name="Normal 3 3 2 2 3 3 12" xfId="19723"/>
    <cellStyle name="Normal 3 3 2 2 3 3 2" xfId="11154"/>
    <cellStyle name="Normal 3 3 2 2 3 3 2 2" xfId="27289"/>
    <cellStyle name="Normal 3 3 2 2 3 3 3" xfId="11155"/>
    <cellStyle name="Normal 3 3 2 2 3 3 3 2" xfId="27290"/>
    <cellStyle name="Normal 3 3 2 2 3 3 4" xfId="11156"/>
    <cellStyle name="Normal 3 3 2 2 3 3 4 2" xfId="27291"/>
    <cellStyle name="Normal 3 3 2 2 3 3 5" xfId="11157"/>
    <cellStyle name="Normal 3 3 2 2 3 3 5 2" xfId="27292"/>
    <cellStyle name="Normal 3 3 2 2 3 3 6" xfId="11158"/>
    <cellStyle name="Normal 3 3 2 2 3 3 6 2" xfId="27293"/>
    <cellStyle name="Normal 3 3 2 2 3 3 7" xfId="11159"/>
    <cellStyle name="Normal 3 3 2 2 3 3 7 2" xfId="27294"/>
    <cellStyle name="Normal 3 3 2 2 3 3 8" xfId="11160"/>
    <cellStyle name="Normal 3 3 2 2 3 3 8 2" xfId="27295"/>
    <cellStyle name="Normal 3 3 2 2 3 3 9" xfId="11161"/>
    <cellStyle name="Normal 3 3 2 2 3 3 9 2" xfId="27296"/>
    <cellStyle name="Normal 3 3 2 2 3 4" xfId="11162"/>
    <cellStyle name="Normal 3 3 2 2 3 4 2" xfId="27297"/>
    <cellStyle name="Normal 3 3 2 2 3 5" xfId="11163"/>
    <cellStyle name="Normal 3 3 2 2 3 5 2" xfId="27298"/>
    <cellStyle name="Normal 3 3 2 2 3 6" xfId="11164"/>
    <cellStyle name="Normal 3 3 2 2 3 6 2" xfId="27299"/>
    <cellStyle name="Normal 3 3 2 2 3 7" xfId="11165"/>
    <cellStyle name="Normal 3 3 2 2 3 7 2" xfId="27300"/>
    <cellStyle name="Normal 3 3 2 2 3 8" xfId="11166"/>
    <cellStyle name="Normal 3 3 2 2 3 8 2" xfId="27301"/>
    <cellStyle name="Normal 3 3 2 2 3 9" xfId="11167"/>
    <cellStyle name="Normal 3 3 2 2 3 9 2" xfId="27302"/>
    <cellStyle name="Normal 3 3 2 2 4" xfId="2765"/>
    <cellStyle name="Normal 3 3 2 2 4 10" xfId="11168"/>
    <cellStyle name="Normal 3 3 2 2 4 10 2" xfId="27303"/>
    <cellStyle name="Normal 3 3 2 2 4 11" xfId="11169"/>
    <cellStyle name="Normal 3 3 2 2 4 11 2" xfId="27304"/>
    <cellStyle name="Normal 3 3 2 2 4 12" xfId="11170"/>
    <cellStyle name="Normal 3 3 2 2 4 12 2" xfId="27305"/>
    <cellStyle name="Normal 3 3 2 2 4 13" xfId="6656"/>
    <cellStyle name="Normal 3 3 2 2 4 13 2" xfId="22818"/>
    <cellStyle name="Normal 3 3 2 2 4 14" xfId="19725"/>
    <cellStyle name="Normal 3 3 2 2 4 2" xfId="2766"/>
    <cellStyle name="Normal 3 3 2 2 4 2 10" xfId="11171"/>
    <cellStyle name="Normal 3 3 2 2 4 2 10 2" xfId="27306"/>
    <cellStyle name="Normal 3 3 2 2 4 2 11" xfId="6658"/>
    <cellStyle name="Normal 3 3 2 2 4 2 11 2" xfId="22820"/>
    <cellStyle name="Normal 3 3 2 2 4 2 12" xfId="19726"/>
    <cellStyle name="Normal 3 3 2 2 4 2 2" xfId="11172"/>
    <cellStyle name="Normal 3 3 2 2 4 2 2 2" xfId="27307"/>
    <cellStyle name="Normal 3 3 2 2 4 2 3" xfId="11173"/>
    <cellStyle name="Normal 3 3 2 2 4 2 3 2" xfId="27308"/>
    <cellStyle name="Normal 3 3 2 2 4 2 4" xfId="11174"/>
    <cellStyle name="Normal 3 3 2 2 4 2 4 2" xfId="27309"/>
    <cellStyle name="Normal 3 3 2 2 4 2 5" xfId="11175"/>
    <cellStyle name="Normal 3 3 2 2 4 2 5 2" xfId="27310"/>
    <cellStyle name="Normal 3 3 2 2 4 2 6" xfId="11176"/>
    <cellStyle name="Normal 3 3 2 2 4 2 6 2" xfId="27311"/>
    <cellStyle name="Normal 3 3 2 2 4 2 7" xfId="11177"/>
    <cellStyle name="Normal 3 3 2 2 4 2 7 2" xfId="27312"/>
    <cellStyle name="Normal 3 3 2 2 4 2 8" xfId="11178"/>
    <cellStyle name="Normal 3 3 2 2 4 2 8 2" xfId="27313"/>
    <cellStyle name="Normal 3 3 2 2 4 2 9" xfId="11179"/>
    <cellStyle name="Normal 3 3 2 2 4 2 9 2" xfId="27314"/>
    <cellStyle name="Normal 3 3 2 2 4 3" xfId="2767"/>
    <cellStyle name="Normal 3 3 2 2 4 3 10" xfId="11180"/>
    <cellStyle name="Normal 3 3 2 2 4 3 10 2" xfId="27315"/>
    <cellStyle name="Normal 3 3 2 2 4 3 11" xfId="6659"/>
    <cellStyle name="Normal 3 3 2 2 4 3 11 2" xfId="22821"/>
    <cellStyle name="Normal 3 3 2 2 4 3 12" xfId="19727"/>
    <cellStyle name="Normal 3 3 2 2 4 3 2" xfId="11181"/>
    <cellStyle name="Normal 3 3 2 2 4 3 2 2" xfId="27316"/>
    <cellStyle name="Normal 3 3 2 2 4 3 3" xfId="11182"/>
    <cellStyle name="Normal 3 3 2 2 4 3 3 2" xfId="27317"/>
    <cellStyle name="Normal 3 3 2 2 4 3 4" xfId="11183"/>
    <cellStyle name="Normal 3 3 2 2 4 3 4 2" xfId="27318"/>
    <cellStyle name="Normal 3 3 2 2 4 3 5" xfId="11184"/>
    <cellStyle name="Normal 3 3 2 2 4 3 5 2" xfId="27319"/>
    <cellStyle name="Normal 3 3 2 2 4 3 6" xfId="11185"/>
    <cellStyle name="Normal 3 3 2 2 4 3 6 2" xfId="27320"/>
    <cellStyle name="Normal 3 3 2 2 4 3 7" xfId="11186"/>
    <cellStyle name="Normal 3 3 2 2 4 3 7 2" xfId="27321"/>
    <cellStyle name="Normal 3 3 2 2 4 3 8" xfId="11187"/>
    <cellStyle name="Normal 3 3 2 2 4 3 8 2" xfId="27322"/>
    <cellStyle name="Normal 3 3 2 2 4 3 9" xfId="11188"/>
    <cellStyle name="Normal 3 3 2 2 4 3 9 2" xfId="27323"/>
    <cellStyle name="Normal 3 3 2 2 4 4" xfId="11189"/>
    <cellStyle name="Normal 3 3 2 2 4 4 2" xfId="27324"/>
    <cellStyle name="Normal 3 3 2 2 4 5" xfId="11190"/>
    <cellStyle name="Normal 3 3 2 2 4 5 2" xfId="27325"/>
    <cellStyle name="Normal 3 3 2 2 4 6" xfId="11191"/>
    <cellStyle name="Normal 3 3 2 2 4 6 2" xfId="27326"/>
    <cellStyle name="Normal 3 3 2 2 4 7" xfId="11192"/>
    <cellStyle name="Normal 3 3 2 2 4 7 2" xfId="27327"/>
    <cellStyle name="Normal 3 3 2 2 4 8" xfId="11193"/>
    <cellStyle name="Normal 3 3 2 2 4 8 2" xfId="27328"/>
    <cellStyle name="Normal 3 3 2 2 4 9" xfId="11194"/>
    <cellStyle name="Normal 3 3 2 2 4 9 2" xfId="27329"/>
    <cellStyle name="Normal 3 3 2 2 5" xfId="2769"/>
    <cellStyle name="Normal 3 3 2 2 5 10" xfId="11195"/>
    <cellStyle name="Normal 3 3 2 2 5 10 2" xfId="27330"/>
    <cellStyle name="Normal 3 3 2 2 5 11" xfId="11196"/>
    <cellStyle name="Normal 3 3 2 2 5 11 2" xfId="27331"/>
    <cellStyle name="Normal 3 3 2 2 5 12" xfId="11197"/>
    <cellStyle name="Normal 3 3 2 2 5 12 2" xfId="27332"/>
    <cellStyle name="Normal 3 3 2 2 5 13" xfId="6660"/>
    <cellStyle name="Normal 3 3 2 2 5 13 2" xfId="22822"/>
    <cellStyle name="Normal 3 3 2 2 5 14" xfId="19729"/>
    <cellStyle name="Normal 3 3 2 2 5 2" xfId="2770"/>
    <cellStyle name="Normal 3 3 2 2 5 2 10" xfId="11198"/>
    <cellStyle name="Normal 3 3 2 2 5 2 10 2" xfId="27333"/>
    <cellStyle name="Normal 3 3 2 2 5 2 11" xfId="6662"/>
    <cellStyle name="Normal 3 3 2 2 5 2 11 2" xfId="22824"/>
    <cellStyle name="Normal 3 3 2 2 5 2 12" xfId="19730"/>
    <cellStyle name="Normal 3 3 2 2 5 2 2" xfId="11199"/>
    <cellStyle name="Normal 3 3 2 2 5 2 2 2" xfId="27334"/>
    <cellStyle name="Normal 3 3 2 2 5 2 3" xfId="11200"/>
    <cellStyle name="Normal 3 3 2 2 5 2 3 2" xfId="27335"/>
    <cellStyle name="Normal 3 3 2 2 5 2 4" xfId="11201"/>
    <cellStyle name="Normal 3 3 2 2 5 2 4 2" xfId="27336"/>
    <cellStyle name="Normal 3 3 2 2 5 2 5" xfId="11202"/>
    <cellStyle name="Normal 3 3 2 2 5 2 5 2" xfId="27337"/>
    <cellStyle name="Normal 3 3 2 2 5 2 6" xfId="11203"/>
    <cellStyle name="Normal 3 3 2 2 5 2 6 2" xfId="27338"/>
    <cellStyle name="Normal 3 3 2 2 5 2 7" xfId="11204"/>
    <cellStyle name="Normal 3 3 2 2 5 2 7 2" xfId="27339"/>
    <cellStyle name="Normal 3 3 2 2 5 2 8" xfId="11205"/>
    <cellStyle name="Normal 3 3 2 2 5 2 8 2" xfId="27340"/>
    <cellStyle name="Normal 3 3 2 2 5 2 9" xfId="11206"/>
    <cellStyle name="Normal 3 3 2 2 5 2 9 2" xfId="27341"/>
    <cellStyle name="Normal 3 3 2 2 5 3" xfId="2771"/>
    <cellStyle name="Normal 3 3 2 2 5 3 10" xfId="11207"/>
    <cellStyle name="Normal 3 3 2 2 5 3 10 2" xfId="27342"/>
    <cellStyle name="Normal 3 3 2 2 5 3 11" xfId="6663"/>
    <cellStyle name="Normal 3 3 2 2 5 3 11 2" xfId="22825"/>
    <cellStyle name="Normal 3 3 2 2 5 3 12" xfId="19731"/>
    <cellStyle name="Normal 3 3 2 2 5 3 2" xfId="11208"/>
    <cellStyle name="Normal 3 3 2 2 5 3 2 2" xfId="27343"/>
    <cellStyle name="Normal 3 3 2 2 5 3 3" xfId="11209"/>
    <cellStyle name="Normal 3 3 2 2 5 3 3 2" xfId="27344"/>
    <cellStyle name="Normal 3 3 2 2 5 3 4" xfId="11210"/>
    <cellStyle name="Normal 3 3 2 2 5 3 4 2" xfId="27345"/>
    <cellStyle name="Normal 3 3 2 2 5 3 5" xfId="11211"/>
    <cellStyle name="Normal 3 3 2 2 5 3 5 2" xfId="27346"/>
    <cellStyle name="Normal 3 3 2 2 5 3 6" xfId="11212"/>
    <cellStyle name="Normal 3 3 2 2 5 3 6 2" xfId="27347"/>
    <cellStyle name="Normal 3 3 2 2 5 3 7" xfId="11213"/>
    <cellStyle name="Normal 3 3 2 2 5 3 7 2" xfId="27348"/>
    <cellStyle name="Normal 3 3 2 2 5 3 8" xfId="11214"/>
    <cellStyle name="Normal 3 3 2 2 5 3 8 2" xfId="27349"/>
    <cellStyle name="Normal 3 3 2 2 5 3 9" xfId="11215"/>
    <cellStyle name="Normal 3 3 2 2 5 3 9 2" xfId="27350"/>
    <cellStyle name="Normal 3 3 2 2 5 4" xfId="11216"/>
    <cellStyle name="Normal 3 3 2 2 5 4 2" xfId="27351"/>
    <cellStyle name="Normal 3 3 2 2 5 5" xfId="11217"/>
    <cellStyle name="Normal 3 3 2 2 5 5 2" xfId="27352"/>
    <cellStyle name="Normal 3 3 2 2 5 6" xfId="11218"/>
    <cellStyle name="Normal 3 3 2 2 5 6 2" xfId="27353"/>
    <cellStyle name="Normal 3 3 2 2 5 7" xfId="11219"/>
    <cellStyle name="Normal 3 3 2 2 5 7 2" xfId="27354"/>
    <cellStyle name="Normal 3 3 2 2 5 8" xfId="11220"/>
    <cellStyle name="Normal 3 3 2 2 5 8 2" xfId="27355"/>
    <cellStyle name="Normal 3 3 2 2 5 9" xfId="11221"/>
    <cellStyle name="Normal 3 3 2 2 5 9 2" xfId="27356"/>
    <cellStyle name="Normal 3 3 2 2 6" xfId="2772"/>
    <cellStyle name="Normal 3 3 2 2 6 10" xfId="11222"/>
    <cellStyle name="Normal 3 3 2 2 6 10 2" xfId="27357"/>
    <cellStyle name="Normal 3 3 2 2 6 11" xfId="11223"/>
    <cellStyle name="Normal 3 3 2 2 6 11 2" xfId="27358"/>
    <cellStyle name="Normal 3 3 2 2 6 12" xfId="11224"/>
    <cellStyle name="Normal 3 3 2 2 6 12 2" xfId="27359"/>
    <cellStyle name="Normal 3 3 2 2 6 13" xfId="6664"/>
    <cellStyle name="Normal 3 3 2 2 6 13 2" xfId="22826"/>
    <cellStyle name="Normal 3 3 2 2 6 14" xfId="19732"/>
    <cellStyle name="Normal 3 3 2 2 6 2" xfId="603"/>
    <cellStyle name="Normal 3 3 2 2 6 2 10" xfId="11225"/>
    <cellStyle name="Normal 3 3 2 2 6 2 10 2" xfId="27360"/>
    <cellStyle name="Normal 3 3 2 2 6 2 11" xfId="4536"/>
    <cellStyle name="Normal 3 3 2 2 6 2 11 2" xfId="20698"/>
    <cellStyle name="Normal 3 3 2 2 6 2 12" xfId="19124"/>
    <cellStyle name="Normal 3 3 2 2 6 2 2" xfId="11226"/>
    <cellStyle name="Normal 3 3 2 2 6 2 2 2" xfId="27361"/>
    <cellStyle name="Normal 3 3 2 2 6 2 3" xfId="11227"/>
    <cellStyle name="Normal 3 3 2 2 6 2 3 2" xfId="27362"/>
    <cellStyle name="Normal 3 3 2 2 6 2 4" xfId="11228"/>
    <cellStyle name="Normal 3 3 2 2 6 2 4 2" xfId="27363"/>
    <cellStyle name="Normal 3 3 2 2 6 2 5" xfId="11229"/>
    <cellStyle name="Normal 3 3 2 2 6 2 5 2" xfId="27364"/>
    <cellStyle name="Normal 3 3 2 2 6 2 6" xfId="11230"/>
    <cellStyle name="Normal 3 3 2 2 6 2 6 2" xfId="27365"/>
    <cellStyle name="Normal 3 3 2 2 6 2 7" xfId="11231"/>
    <cellStyle name="Normal 3 3 2 2 6 2 7 2" xfId="27366"/>
    <cellStyle name="Normal 3 3 2 2 6 2 8" xfId="11232"/>
    <cellStyle name="Normal 3 3 2 2 6 2 8 2" xfId="27367"/>
    <cellStyle name="Normal 3 3 2 2 6 2 9" xfId="11233"/>
    <cellStyle name="Normal 3 3 2 2 6 2 9 2" xfId="27368"/>
    <cellStyle name="Normal 3 3 2 2 6 3" xfId="978"/>
    <cellStyle name="Normal 3 3 2 2 6 3 10" xfId="11234"/>
    <cellStyle name="Normal 3 3 2 2 6 3 10 2" xfId="27369"/>
    <cellStyle name="Normal 3 3 2 2 6 3 11" xfId="4897"/>
    <cellStyle name="Normal 3 3 2 2 6 3 11 2" xfId="21059"/>
    <cellStyle name="Normal 3 3 2 2 6 3 12" xfId="19261"/>
    <cellStyle name="Normal 3 3 2 2 6 3 2" xfId="11235"/>
    <cellStyle name="Normal 3 3 2 2 6 3 2 2" xfId="27370"/>
    <cellStyle name="Normal 3 3 2 2 6 3 3" xfId="11236"/>
    <cellStyle name="Normal 3 3 2 2 6 3 3 2" xfId="27371"/>
    <cellStyle name="Normal 3 3 2 2 6 3 4" xfId="11237"/>
    <cellStyle name="Normal 3 3 2 2 6 3 4 2" xfId="27372"/>
    <cellStyle name="Normal 3 3 2 2 6 3 5" xfId="11238"/>
    <cellStyle name="Normal 3 3 2 2 6 3 5 2" xfId="27373"/>
    <cellStyle name="Normal 3 3 2 2 6 3 6" xfId="11239"/>
    <cellStyle name="Normal 3 3 2 2 6 3 6 2" xfId="27374"/>
    <cellStyle name="Normal 3 3 2 2 6 3 7" xfId="11240"/>
    <cellStyle name="Normal 3 3 2 2 6 3 7 2" xfId="27375"/>
    <cellStyle name="Normal 3 3 2 2 6 3 8" xfId="11241"/>
    <cellStyle name="Normal 3 3 2 2 6 3 8 2" xfId="27376"/>
    <cellStyle name="Normal 3 3 2 2 6 3 9" xfId="11242"/>
    <cellStyle name="Normal 3 3 2 2 6 3 9 2" xfId="27377"/>
    <cellStyle name="Normal 3 3 2 2 6 4" xfId="11243"/>
    <cellStyle name="Normal 3 3 2 2 6 4 2" xfId="27378"/>
    <cellStyle name="Normal 3 3 2 2 6 5" xfId="11244"/>
    <cellStyle name="Normal 3 3 2 2 6 5 2" xfId="27379"/>
    <cellStyle name="Normal 3 3 2 2 6 6" xfId="11245"/>
    <cellStyle name="Normal 3 3 2 2 6 6 2" xfId="27380"/>
    <cellStyle name="Normal 3 3 2 2 6 7" xfId="11246"/>
    <cellStyle name="Normal 3 3 2 2 6 7 2" xfId="27381"/>
    <cellStyle name="Normal 3 3 2 2 6 8" xfId="11247"/>
    <cellStyle name="Normal 3 3 2 2 6 8 2" xfId="27382"/>
    <cellStyle name="Normal 3 3 2 2 6 9" xfId="11248"/>
    <cellStyle name="Normal 3 3 2 2 6 9 2" xfId="27383"/>
    <cellStyle name="Normal 3 3 2 2 7" xfId="2774"/>
    <cellStyle name="Normal 3 3 2 2 7 10" xfId="11249"/>
    <cellStyle name="Normal 3 3 2 2 7 10 2" xfId="27384"/>
    <cellStyle name="Normal 3 3 2 2 7 11" xfId="6665"/>
    <cellStyle name="Normal 3 3 2 2 7 11 2" xfId="22827"/>
    <cellStyle name="Normal 3 3 2 2 7 12" xfId="19733"/>
    <cellStyle name="Normal 3 3 2 2 7 2" xfId="11250"/>
    <cellStyle name="Normal 3 3 2 2 7 2 2" xfId="27385"/>
    <cellStyle name="Normal 3 3 2 2 7 3" xfId="11251"/>
    <cellStyle name="Normal 3 3 2 2 7 3 2" xfId="27386"/>
    <cellStyle name="Normal 3 3 2 2 7 4" xfId="11252"/>
    <cellStyle name="Normal 3 3 2 2 7 4 2" xfId="27387"/>
    <cellStyle name="Normal 3 3 2 2 7 5" xfId="11253"/>
    <cellStyle name="Normal 3 3 2 2 7 5 2" xfId="27388"/>
    <cellStyle name="Normal 3 3 2 2 7 6" xfId="11254"/>
    <cellStyle name="Normal 3 3 2 2 7 6 2" xfId="27389"/>
    <cellStyle name="Normal 3 3 2 2 7 7" xfId="11255"/>
    <cellStyle name="Normal 3 3 2 2 7 7 2" xfId="27390"/>
    <cellStyle name="Normal 3 3 2 2 7 8" xfId="11256"/>
    <cellStyle name="Normal 3 3 2 2 7 8 2" xfId="27391"/>
    <cellStyle name="Normal 3 3 2 2 7 9" xfId="11257"/>
    <cellStyle name="Normal 3 3 2 2 7 9 2" xfId="27392"/>
    <cellStyle name="Normal 3 3 2 2 8" xfId="2776"/>
    <cellStyle name="Normal 3 3 2 2 8 10" xfId="11258"/>
    <cellStyle name="Normal 3 3 2 2 8 10 2" xfId="27393"/>
    <cellStyle name="Normal 3 3 2 2 8 11" xfId="6667"/>
    <cellStyle name="Normal 3 3 2 2 8 11 2" xfId="22829"/>
    <cellStyle name="Normal 3 3 2 2 8 12" xfId="19734"/>
    <cellStyle name="Normal 3 3 2 2 8 2" xfId="11259"/>
    <cellStyle name="Normal 3 3 2 2 8 2 2" xfId="27394"/>
    <cellStyle name="Normal 3 3 2 2 8 3" xfId="11260"/>
    <cellStyle name="Normal 3 3 2 2 8 3 2" xfId="27395"/>
    <cellStyle name="Normal 3 3 2 2 8 4" xfId="11261"/>
    <cellStyle name="Normal 3 3 2 2 8 4 2" xfId="27396"/>
    <cellStyle name="Normal 3 3 2 2 8 5" xfId="11262"/>
    <cellStyle name="Normal 3 3 2 2 8 5 2" xfId="27397"/>
    <cellStyle name="Normal 3 3 2 2 8 6" xfId="11263"/>
    <cellStyle name="Normal 3 3 2 2 8 6 2" xfId="27398"/>
    <cellStyle name="Normal 3 3 2 2 8 7" xfId="11264"/>
    <cellStyle name="Normal 3 3 2 2 8 7 2" xfId="27399"/>
    <cellStyle name="Normal 3 3 2 2 8 8" xfId="11265"/>
    <cellStyle name="Normal 3 3 2 2 8 8 2" xfId="27400"/>
    <cellStyle name="Normal 3 3 2 2 8 9" xfId="11266"/>
    <cellStyle name="Normal 3 3 2 2 8 9 2" xfId="27401"/>
    <cellStyle name="Normal 3 3 2 2 9" xfId="11267"/>
    <cellStyle name="Normal 3 3 2 2 9 2" xfId="27402"/>
    <cellStyle name="Normal 3 3 2 20" xfId="11268"/>
    <cellStyle name="Normal 3 3 2 20 2" xfId="27403"/>
    <cellStyle name="Normal 3 3 2 21" xfId="11269"/>
    <cellStyle name="Normal 3 3 2 21 2" xfId="27404"/>
    <cellStyle name="Normal 3 3 2 22" xfId="11270"/>
    <cellStyle name="Normal 3 3 2 22 2" xfId="27405"/>
    <cellStyle name="Normal 3 3 2 23" xfId="11271"/>
    <cellStyle name="Normal 3 3 2 23 2" xfId="27406"/>
    <cellStyle name="Normal 3 3 2 24" xfId="5466"/>
    <cellStyle name="Normal 3 3 2 24 2" xfId="21628"/>
    <cellStyle name="Normal 3 3 2 25" xfId="19553"/>
    <cellStyle name="Normal 3 3 2 3" xfId="1490"/>
    <cellStyle name="Normal 3 3 2 3 10" xfId="11272"/>
    <cellStyle name="Normal 3 3 2 3 10 2" xfId="27407"/>
    <cellStyle name="Normal 3 3 2 3 11" xfId="11273"/>
    <cellStyle name="Normal 3 3 2 3 11 2" xfId="27408"/>
    <cellStyle name="Normal 3 3 2 3 12" xfId="11274"/>
    <cellStyle name="Normal 3 3 2 3 12 2" xfId="27409"/>
    <cellStyle name="Normal 3 3 2 3 13" xfId="11275"/>
    <cellStyle name="Normal 3 3 2 3 13 2" xfId="27410"/>
    <cellStyle name="Normal 3 3 2 3 14" xfId="11276"/>
    <cellStyle name="Normal 3 3 2 3 14 2" xfId="27411"/>
    <cellStyle name="Normal 3 3 2 3 15" xfId="11277"/>
    <cellStyle name="Normal 3 3 2 3 15 2" xfId="27412"/>
    <cellStyle name="Normal 3 3 2 3 16" xfId="11278"/>
    <cellStyle name="Normal 3 3 2 3 16 2" xfId="27413"/>
    <cellStyle name="Normal 3 3 2 3 17" xfId="11279"/>
    <cellStyle name="Normal 3 3 2 3 17 2" xfId="27414"/>
    <cellStyle name="Normal 3 3 2 3 18" xfId="5407"/>
    <cellStyle name="Normal 3 3 2 3 18 2" xfId="21569"/>
    <cellStyle name="Normal 3 3 2 3 19" xfId="19517"/>
    <cellStyle name="Normal 3 3 2 3 2" xfId="2777"/>
    <cellStyle name="Normal 3 3 2 3 2 10" xfId="11280"/>
    <cellStyle name="Normal 3 3 2 3 2 10 2" xfId="27415"/>
    <cellStyle name="Normal 3 3 2 3 2 11" xfId="11281"/>
    <cellStyle name="Normal 3 3 2 3 2 11 2" xfId="27416"/>
    <cellStyle name="Normal 3 3 2 3 2 12" xfId="11282"/>
    <cellStyle name="Normal 3 3 2 3 2 12 2" xfId="27417"/>
    <cellStyle name="Normal 3 3 2 3 2 13" xfId="6669"/>
    <cellStyle name="Normal 3 3 2 3 2 13 2" xfId="22831"/>
    <cellStyle name="Normal 3 3 2 3 2 14" xfId="19735"/>
    <cellStyle name="Normal 3 3 2 3 2 2" xfId="2779"/>
    <cellStyle name="Normal 3 3 2 3 2 2 10" xfId="11283"/>
    <cellStyle name="Normal 3 3 2 3 2 2 10 2" xfId="27418"/>
    <cellStyle name="Normal 3 3 2 3 2 2 11" xfId="6670"/>
    <cellStyle name="Normal 3 3 2 3 2 2 11 2" xfId="22832"/>
    <cellStyle name="Normal 3 3 2 3 2 2 12" xfId="19736"/>
    <cellStyle name="Normal 3 3 2 3 2 2 2" xfId="11284"/>
    <cellStyle name="Normal 3 3 2 3 2 2 2 2" xfId="27419"/>
    <cellStyle name="Normal 3 3 2 3 2 2 3" xfId="11285"/>
    <cellStyle name="Normal 3 3 2 3 2 2 3 2" xfId="27420"/>
    <cellStyle name="Normal 3 3 2 3 2 2 4" xfId="11286"/>
    <cellStyle name="Normal 3 3 2 3 2 2 4 2" xfId="27421"/>
    <cellStyle name="Normal 3 3 2 3 2 2 5" xfId="11287"/>
    <cellStyle name="Normal 3 3 2 3 2 2 5 2" xfId="27422"/>
    <cellStyle name="Normal 3 3 2 3 2 2 6" xfId="11288"/>
    <cellStyle name="Normal 3 3 2 3 2 2 6 2" xfId="27423"/>
    <cellStyle name="Normal 3 3 2 3 2 2 7" xfId="11289"/>
    <cellStyle name="Normal 3 3 2 3 2 2 7 2" xfId="27424"/>
    <cellStyle name="Normal 3 3 2 3 2 2 8" xfId="11290"/>
    <cellStyle name="Normal 3 3 2 3 2 2 8 2" xfId="27425"/>
    <cellStyle name="Normal 3 3 2 3 2 2 9" xfId="11291"/>
    <cellStyle name="Normal 3 3 2 3 2 2 9 2" xfId="27426"/>
    <cellStyle name="Normal 3 3 2 3 2 3" xfId="2781"/>
    <cellStyle name="Normal 3 3 2 3 2 3 10" xfId="11292"/>
    <cellStyle name="Normal 3 3 2 3 2 3 10 2" xfId="27427"/>
    <cellStyle name="Normal 3 3 2 3 2 3 11" xfId="6672"/>
    <cellStyle name="Normal 3 3 2 3 2 3 11 2" xfId="22834"/>
    <cellStyle name="Normal 3 3 2 3 2 3 12" xfId="19737"/>
    <cellStyle name="Normal 3 3 2 3 2 3 2" xfId="11293"/>
    <cellStyle name="Normal 3 3 2 3 2 3 2 2" xfId="27428"/>
    <cellStyle name="Normal 3 3 2 3 2 3 3" xfId="11294"/>
    <cellStyle name="Normal 3 3 2 3 2 3 3 2" xfId="27429"/>
    <cellStyle name="Normal 3 3 2 3 2 3 4" xfId="11295"/>
    <cellStyle name="Normal 3 3 2 3 2 3 4 2" xfId="27430"/>
    <cellStyle name="Normal 3 3 2 3 2 3 5" xfId="11296"/>
    <cellStyle name="Normal 3 3 2 3 2 3 5 2" xfId="27431"/>
    <cellStyle name="Normal 3 3 2 3 2 3 6" xfId="11297"/>
    <cellStyle name="Normal 3 3 2 3 2 3 6 2" xfId="27432"/>
    <cellStyle name="Normal 3 3 2 3 2 3 7" xfId="11298"/>
    <cellStyle name="Normal 3 3 2 3 2 3 7 2" xfId="27433"/>
    <cellStyle name="Normal 3 3 2 3 2 3 8" xfId="11299"/>
    <cellStyle name="Normal 3 3 2 3 2 3 8 2" xfId="27434"/>
    <cellStyle name="Normal 3 3 2 3 2 3 9" xfId="11300"/>
    <cellStyle name="Normal 3 3 2 3 2 3 9 2" xfId="27435"/>
    <cellStyle name="Normal 3 3 2 3 2 4" xfId="11301"/>
    <cellStyle name="Normal 3 3 2 3 2 4 2" xfId="27436"/>
    <cellStyle name="Normal 3 3 2 3 2 5" xfId="11302"/>
    <cellStyle name="Normal 3 3 2 3 2 5 2" xfId="27437"/>
    <cellStyle name="Normal 3 3 2 3 2 6" xfId="11303"/>
    <cellStyle name="Normal 3 3 2 3 2 6 2" xfId="27438"/>
    <cellStyle name="Normal 3 3 2 3 2 7" xfId="11304"/>
    <cellStyle name="Normal 3 3 2 3 2 7 2" xfId="27439"/>
    <cellStyle name="Normal 3 3 2 3 2 8" xfId="11305"/>
    <cellStyle name="Normal 3 3 2 3 2 8 2" xfId="27440"/>
    <cellStyle name="Normal 3 3 2 3 2 9" xfId="11306"/>
    <cellStyle name="Normal 3 3 2 3 2 9 2" xfId="27441"/>
    <cellStyle name="Normal 3 3 2 3 3" xfId="2782"/>
    <cellStyle name="Normal 3 3 2 3 3 10" xfId="11307"/>
    <cellStyle name="Normal 3 3 2 3 3 10 2" xfId="27442"/>
    <cellStyle name="Normal 3 3 2 3 3 11" xfId="11308"/>
    <cellStyle name="Normal 3 3 2 3 3 11 2" xfId="27443"/>
    <cellStyle name="Normal 3 3 2 3 3 12" xfId="11309"/>
    <cellStyle name="Normal 3 3 2 3 3 12 2" xfId="27444"/>
    <cellStyle name="Normal 3 3 2 3 3 13" xfId="6674"/>
    <cellStyle name="Normal 3 3 2 3 3 13 2" xfId="22836"/>
    <cellStyle name="Normal 3 3 2 3 3 14" xfId="19738"/>
    <cellStyle name="Normal 3 3 2 3 3 2" xfId="2783"/>
    <cellStyle name="Normal 3 3 2 3 3 2 10" xfId="11310"/>
    <cellStyle name="Normal 3 3 2 3 3 2 10 2" xfId="27445"/>
    <cellStyle name="Normal 3 3 2 3 3 2 11" xfId="6675"/>
    <cellStyle name="Normal 3 3 2 3 3 2 11 2" xfId="22837"/>
    <cellStyle name="Normal 3 3 2 3 3 2 12" xfId="19739"/>
    <cellStyle name="Normal 3 3 2 3 3 2 2" xfId="11311"/>
    <cellStyle name="Normal 3 3 2 3 3 2 2 2" xfId="27446"/>
    <cellStyle name="Normal 3 3 2 3 3 2 3" xfId="11312"/>
    <cellStyle name="Normal 3 3 2 3 3 2 3 2" xfId="27447"/>
    <cellStyle name="Normal 3 3 2 3 3 2 4" xfId="11313"/>
    <cellStyle name="Normal 3 3 2 3 3 2 4 2" xfId="27448"/>
    <cellStyle name="Normal 3 3 2 3 3 2 5" xfId="11314"/>
    <cellStyle name="Normal 3 3 2 3 3 2 5 2" xfId="27449"/>
    <cellStyle name="Normal 3 3 2 3 3 2 6" xfId="11315"/>
    <cellStyle name="Normal 3 3 2 3 3 2 6 2" xfId="27450"/>
    <cellStyle name="Normal 3 3 2 3 3 2 7" xfId="11316"/>
    <cellStyle name="Normal 3 3 2 3 3 2 7 2" xfId="27451"/>
    <cellStyle name="Normal 3 3 2 3 3 2 8" xfId="11317"/>
    <cellStyle name="Normal 3 3 2 3 3 2 8 2" xfId="27452"/>
    <cellStyle name="Normal 3 3 2 3 3 2 9" xfId="11318"/>
    <cellStyle name="Normal 3 3 2 3 3 2 9 2" xfId="27453"/>
    <cellStyle name="Normal 3 3 2 3 3 3" xfId="2784"/>
    <cellStyle name="Normal 3 3 2 3 3 3 10" xfId="11319"/>
    <cellStyle name="Normal 3 3 2 3 3 3 10 2" xfId="27454"/>
    <cellStyle name="Normal 3 3 2 3 3 3 11" xfId="6676"/>
    <cellStyle name="Normal 3 3 2 3 3 3 11 2" xfId="22838"/>
    <cellStyle name="Normal 3 3 2 3 3 3 12" xfId="19740"/>
    <cellStyle name="Normal 3 3 2 3 3 3 2" xfId="11320"/>
    <cellStyle name="Normal 3 3 2 3 3 3 2 2" xfId="27455"/>
    <cellStyle name="Normal 3 3 2 3 3 3 3" xfId="11321"/>
    <cellStyle name="Normal 3 3 2 3 3 3 3 2" xfId="27456"/>
    <cellStyle name="Normal 3 3 2 3 3 3 4" xfId="11322"/>
    <cellStyle name="Normal 3 3 2 3 3 3 4 2" xfId="27457"/>
    <cellStyle name="Normal 3 3 2 3 3 3 5" xfId="11323"/>
    <cellStyle name="Normal 3 3 2 3 3 3 5 2" xfId="27458"/>
    <cellStyle name="Normal 3 3 2 3 3 3 6" xfId="11324"/>
    <cellStyle name="Normal 3 3 2 3 3 3 6 2" xfId="27459"/>
    <cellStyle name="Normal 3 3 2 3 3 3 7" xfId="11325"/>
    <cellStyle name="Normal 3 3 2 3 3 3 7 2" xfId="27460"/>
    <cellStyle name="Normal 3 3 2 3 3 3 8" xfId="11326"/>
    <cellStyle name="Normal 3 3 2 3 3 3 8 2" xfId="27461"/>
    <cellStyle name="Normal 3 3 2 3 3 3 9" xfId="11327"/>
    <cellStyle name="Normal 3 3 2 3 3 3 9 2" xfId="27462"/>
    <cellStyle name="Normal 3 3 2 3 3 4" xfId="11328"/>
    <cellStyle name="Normal 3 3 2 3 3 4 2" xfId="27463"/>
    <cellStyle name="Normal 3 3 2 3 3 5" xfId="11329"/>
    <cellStyle name="Normal 3 3 2 3 3 5 2" xfId="27464"/>
    <cellStyle name="Normal 3 3 2 3 3 6" xfId="11330"/>
    <cellStyle name="Normal 3 3 2 3 3 6 2" xfId="27465"/>
    <cellStyle name="Normal 3 3 2 3 3 7" xfId="11331"/>
    <cellStyle name="Normal 3 3 2 3 3 7 2" xfId="27466"/>
    <cellStyle name="Normal 3 3 2 3 3 8" xfId="11332"/>
    <cellStyle name="Normal 3 3 2 3 3 8 2" xfId="27467"/>
    <cellStyle name="Normal 3 3 2 3 3 9" xfId="11333"/>
    <cellStyle name="Normal 3 3 2 3 3 9 2" xfId="27468"/>
    <cellStyle name="Normal 3 3 2 3 4" xfId="2786"/>
    <cellStyle name="Normal 3 3 2 3 4 10" xfId="11334"/>
    <cellStyle name="Normal 3 3 2 3 4 10 2" xfId="27469"/>
    <cellStyle name="Normal 3 3 2 3 4 11" xfId="11335"/>
    <cellStyle name="Normal 3 3 2 3 4 11 2" xfId="27470"/>
    <cellStyle name="Normal 3 3 2 3 4 12" xfId="11336"/>
    <cellStyle name="Normal 3 3 2 3 4 12 2" xfId="27471"/>
    <cellStyle name="Normal 3 3 2 3 4 13" xfId="6677"/>
    <cellStyle name="Normal 3 3 2 3 4 13 2" xfId="22839"/>
    <cellStyle name="Normal 3 3 2 3 4 14" xfId="19742"/>
    <cellStyle name="Normal 3 3 2 3 4 2" xfId="2787"/>
    <cellStyle name="Normal 3 3 2 3 4 2 10" xfId="11337"/>
    <cellStyle name="Normal 3 3 2 3 4 2 10 2" xfId="27472"/>
    <cellStyle name="Normal 3 3 2 3 4 2 11" xfId="6679"/>
    <cellStyle name="Normal 3 3 2 3 4 2 11 2" xfId="22841"/>
    <cellStyle name="Normal 3 3 2 3 4 2 12" xfId="19743"/>
    <cellStyle name="Normal 3 3 2 3 4 2 2" xfId="11338"/>
    <cellStyle name="Normal 3 3 2 3 4 2 2 2" xfId="27473"/>
    <cellStyle name="Normal 3 3 2 3 4 2 3" xfId="11339"/>
    <cellStyle name="Normal 3 3 2 3 4 2 3 2" xfId="27474"/>
    <cellStyle name="Normal 3 3 2 3 4 2 4" xfId="11340"/>
    <cellStyle name="Normal 3 3 2 3 4 2 4 2" xfId="27475"/>
    <cellStyle name="Normal 3 3 2 3 4 2 5" xfId="11341"/>
    <cellStyle name="Normal 3 3 2 3 4 2 5 2" xfId="27476"/>
    <cellStyle name="Normal 3 3 2 3 4 2 6" xfId="11342"/>
    <cellStyle name="Normal 3 3 2 3 4 2 6 2" xfId="27477"/>
    <cellStyle name="Normal 3 3 2 3 4 2 7" xfId="11343"/>
    <cellStyle name="Normal 3 3 2 3 4 2 7 2" xfId="27478"/>
    <cellStyle name="Normal 3 3 2 3 4 2 8" xfId="11344"/>
    <cellStyle name="Normal 3 3 2 3 4 2 8 2" xfId="27479"/>
    <cellStyle name="Normal 3 3 2 3 4 2 9" xfId="11345"/>
    <cellStyle name="Normal 3 3 2 3 4 2 9 2" xfId="27480"/>
    <cellStyle name="Normal 3 3 2 3 4 3" xfId="2788"/>
    <cellStyle name="Normal 3 3 2 3 4 3 10" xfId="11346"/>
    <cellStyle name="Normal 3 3 2 3 4 3 10 2" xfId="27481"/>
    <cellStyle name="Normal 3 3 2 3 4 3 11" xfId="6680"/>
    <cellStyle name="Normal 3 3 2 3 4 3 11 2" xfId="22842"/>
    <cellStyle name="Normal 3 3 2 3 4 3 12" xfId="19744"/>
    <cellStyle name="Normal 3 3 2 3 4 3 2" xfId="11347"/>
    <cellStyle name="Normal 3 3 2 3 4 3 2 2" xfId="27482"/>
    <cellStyle name="Normal 3 3 2 3 4 3 3" xfId="11348"/>
    <cellStyle name="Normal 3 3 2 3 4 3 3 2" xfId="27483"/>
    <cellStyle name="Normal 3 3 2 3 4 3 4" xfId="11349"/>
    <cellStyle name="Normal 3 3 2 3 4 3 4 2" xfId="27484"/>
    <cellStyle name="Normal 3 3 2 3 4 3 5" xfId="11350"/>
    <cellStyle name="Normal 3 3 2 3 4 3 5 2" xfId="27485"/>
    <cellStyle name="Normal 3 3 2 3 4 3 6" xfId="11351"/>
    <cellStyle name="Normal 3 3 2 3 4 3 6 2" xfId="27486"/>
    <cellStyle name="Normal 3 3 2 3 4 3 7" xfId="11352"/>
    <cellStyle name="Normal 3 3 2 3 4 3 7 2" xfId="27487"/>
    <cellStyle name="Normal 3 3 2 3 4 3 8" xfId="11353"/>
    <cellStyle name="Normal 3 3 2 3 4 3 8 2" xfId="27488"/>
    <cellStyle name="Normal 3 3 2 3 4 3 9" xfId="11354"/>
    <cellStyle name="Normal 3 3 2 3 4 3 9 2" xfId="27489"/>
    <cellStyle name="Normal 3 3 2 3 4 4" xfId="11355"/>
    <cellStyle name="Normal 3 3 2 3 4 4 2" xfId="27490"/>
    <cellStyle name="Normal 3 3 2 3 4 5" xfId="11356"/>
    <cellStyle name="Normal 3 3 2 3 4 5 2" xfId="27491"/>
    <cellStyle name="Normal 3 3 2 3 4 6" xfId="11357"/>
    <cellStyle name="Normal 3 3 2 3 4 6 2" xfId="27492"/>
    <cellStyle name="Normal 3 3 2 3 4 7" xfId="11358"/>
    <cellStyle name="Normal 3 3 2 3 4 7 2" xfId="27493"/>
    <cellStyle name="Normal 3 3 2 3 4 8" xfId="11359"/>
    <cellStyle name="Normal 3 3 2 3 4 8 2" xfId="27494"/>
    <cellStyle name="Normal 3 3 2 3 4 9" xfId="11360"/>
    <cellStyle name="Normal 3 3 2 3 4 9 2" xfId="27495"/>
    <cellStyle name="Normal 3 3 2 3 5" xfId="2790"/>
    <cellStyle name="Normal 3 3 2 3 5 10" xfId="11361"/>
    <cellStyle name="Normal 3 3 2 3 5 10 2" xfId="27496"/>
    <cellStyle name="Normal 3 3 2 3 5 11" xfId="11362"/>
    <cellStyle name="Normal 3 3 2 3 5 11 2" xfId="27497"/>
    <cellStyle name="Normal 3 3 2 3 5 12" xfId="11363"/>
    <cellStyle name="Normal 3 3 2 3 5 12 2" xfId="27498"/>
    <cellStyle name="Normal 3 3 2 3 5 13" xfId="6681"/>
    <cellStyle name="Normal 3 3 2 3 5 13 2" xfId="22843"/>
    <cellStyle name="Normal 3 3 2 3 5 14" xfId="19746"/>
    <cellStyle name="Normal 3 3 2 3 5 2" xfId="2791"/>
    <cellStyle name="Normal 3 3 2 3 5 2 10" xfId="11364"/>
    <cellStyle name="Normal 3 3 2 3 5 2 10 2" xfId="27499"/>
    <cellStyle name="Normal 3 3 2 3 5 2 11" xfId="6683"/>
    <cellStyle name="Normal 3 3 2 3 5 2 11 2" xfId="22845"/>
    <cellStyle name="Normal 3 3 2 3 5 2 12" xfId="19747"/>
    <cellStyle name="Normal 3 3 2 3 5 2 2" xfId="11365"/>
    <cellStyle name="Normal 3 3 2 3 5 2 2 2" xfId="27500"/>
    <cellStyle name="Normal 3 3 2 3 5 2 3" xfId="11366"/>
    <cellStyle name="Normal 3 3 2 3 5 2 3 2" xfId="27501"/>
    <cellStyle name="Normal 3 3 2 3 5 2 4" xfId="11367"/>
    <cellStyle name="Normal 3 3 2 3 5 2 4 2" xfId="27502"/>
    <cellStyle name="Normal 3 3 2 3 5 2 5" xfId="11368"/>
    <cellStyle name="Normal 3 3 2 3 5 2 5 2" xfId="27503"/>
    <cellStyle name="Normal 3 3 2 3 5 2 6" xfId="11369"/>
    <cellStyle name="Normal 3 3 2 3 5 2 6 2" xfId="27504"/>
    <cellStyle name="Normal 3 3 2 3 5 2 7" xfId="11370"/>
    <cellStyle name="Normal 3 3 2 3 5 2 7 2" xfId="27505"/>
    <cellStyle name="Normal 3 3 2 3 5 2 8" xfId="11371"/>
    <cellStyle name="Normal 3 3 2 3 5 2 8 2" xfId="27506"/>
    <cellStyle name="Normal 3 3 2 3 5 2 9" xfId="11372"/>
    <cellStyle name="Normal 3 3 2 3 5 2 9 2" xfId="27507"/>
    <cellStyle name="Normal 3 3 2 3 5 3" xfId="2792"/>
    <cellStyle name="Normal 3 3 2 3 5 3 10" xfId="11373"/>
    <cellStyle name="Normal 3 3 2 3 5 3 10 2" xfId="27508"/>
    <cellStyle name="Normal 3 3 2 3 5 3 11" xfId="6684"/>
    <cellStyle name="Normal 3 3 2 3 5 3 11 2" xfId="22846"/>
    <cellStyle name="Normal 3 3 2 3 5 3 12" xfId="19748"/>
    <cellStyle name="Normal 3 3 2 3 5 3 2" xfId="11374"/>
    <cellStyle name="Normal 3 3 2 3 5 3 2 2" xfId="27509"/>
    <cellStyle name="Normal 3 3 2 3 5 3 3" xfId="11375"/>
    <cellStyle name="Normal 3 3 2 3 5 3 3 2" xfId="27510"/>
    <cellStyle name="Normal 3 3 2 3 5 3 4" xfId="11376"/>
    <cellStyle name="Normal 3 3 2 3 5 3 4 2" xfId="27511"/>
    <cellStyle name="Normal 3 3 2 3 5 3 5" xfId="11377"/>
    <cellStyle name="Normal 3 3 2 3 5 3 5 2" xfId="27512"/>
    <cellStyle name="Normal 3 3 2 3 5 3 6" xfId="11378"/>
    <cellStyle name="Normal 3 3 2 3 5 3 6 2" xfId="27513"/>
    <cellStyle name="Normal 3 3 2 3 5 3 7" xfId="11379"/>
    <cellStyle name="Normal 3 3 2 3 5 3 7 2" xfId="27514"/>
    <cellStyle name="Normal 3 3 2 3 5 3 8" xfId="11380"/>
    <cellStyle name="Normal 3 3 2 3 5 3 8 2" xfId="27515"/>
    <cellStyle name="Normal 3 3 2 3 5 3 9" xfId="11381"/>
    <cellStyle name="Normal 3 3 2 3 5 3 9 2" xfId="27516"/>
    <cellStyle name="Normal 3 3 2 3 5 4" xfId="11382"/>
    <cellStyle name="Normal 3 3 2 3 5 4 2" xfId="27517"/>
    <cellStyle name="Normal 3 3 2 3 5 5" xfId="11383"/>
    <cellStyle name="Normal 3 3 2 3 5 5 2" xfId="27518"/>
    <cellStyle name="Normal 3 3 2 3 5 6" xfId="11384"/>
    <cellStyle name="Normal 3 3 2 3 5 6 2" xfId="27519"/>
    <cellStyle name="Normal 3 3 2 3 5 7" xfId="11385"/>
    <cellStyle name="Normal 3 3 2 3 5 7 2" xfId="27520"/>
    <cellStyle name="Normal 3 3 2 3 5 8" xfId="11386"/>
    <cellStyle name="Normal 3 3 2 3 5 8 2" xfId="27521"/>
    <cellStyle name="Normal 3 3 2 3 5 9" xfId="11387"/>
    <cellStyle name="Normal 3 3 2 3 5 9 2" xfId="27522"/>
    <cellStyle name="Normal 3 3 2 3 6" xfId="2793"/>
    <cellStyle name="Normal 3 3 2 3 6 10" xfId="11388"/>
    <cellStyle name="Normal 3 3 2 3 6 10 2" xfId="27523"/>
    <cellStyle name="Normal 3 3 2 3 6 11" xfId="11389"/>
    <cellStyle name="Normal 3 3 2 3 6 11 2" xfId="27524"/>
    <cellStyle name="Normal 3 3 2 3 6 12" xfId="11390"/>
    <cellStyle name="Normal 3 3 2 3 6 12 2" xfId="27525"/>
    <cellStyle name="Normal 3 3 2 3 6 13" xfId="6685"/>
    <cellStyle name="Normal 3 3 2 3 6 13 2" xfId="22847"/>
    <cellStyle name="Normal 3 3 2 3 6 14" xfId="19749"/>
    <cellStyle name="Normal 3 3 2 3 6 2" xfId="1811"/>
    <cellStyle name="Normal 3 3 2 3 6 2 10" xfId="11391"/>
    <cellStyle name="Normal 3 3 2 3 6 2 10 2" xfId="27526"/>
    <cellStyle name="Normal 3 3 2 3 6 2 11" xfId="5721"/>
    <cellStyle name="Normal 3 3 2 3 6 2 11 2" xfId="21883"/>
    <cellStyle name="Normal 3 3 2 3 6 2 12" xfId="19577"/>
    <cellStyle name="Normal 3 3 2 3 6 2 2" xfId="11392"/>
    <cellStyle name="Normal 3 3 2 3 6 2 2 2" xfId="27527"/>
    <cellStyle name="Normal 3 3 2 3 6 2 3" xfId="11393"/>
    <cellStyle name="Normal 3 3 2 3 6 2 3 2" xfId="27528"/>
    <cellStyle name="Normal 3 3 2 3 6 2 4" xfId="11394"/>
    <cellStyle name="Normal 3 3 2 3 6 2 4 2" xfId="27529"/>
    <cellStyle name="Normal 3 3 2 3 6 2 5" xfId="11395"/>
    <cellStyle name="Normal 3 3 2 3 6 2 5 2" xfId="27530"/>
    <cellStyle name="Normal 3 3 2 3 6 2 6" xfId="11396"/>
    <cellStyle name="Normal 3 3 2 3 6 2 6 2" xfId="27531"/>
    <cellStyle name="Normal 3 3 2 3 6 2 7" xfId="11397"/>
    <cellStyle name="Normal 3 3 2 3 6 2 7 2" xfId="27532"/>
    <cellStyle name="Normal 3 3 2 3 6 2 8" xfId="11398"/>
    <cellStyle name="Normal 3 3 2 3 6 2 8 2" xfId="27533"/>
    <cellStyle name="Normal 3 3 2 3 6 2 9" xfId="11399"/>
    <cellStyle name="Normal 3 3 2 3 6 2 9 2" xfId="27534"/>
    <cellStyle name="Normal 3 3 2 3 6 3" xfId="1639"/>
    <cellStyle name="Normal 3 3 2 3 6 3 10" xfId="11400"/>
    <cellStyle name="Normal 3 3 2 3 6 3 10 2" xfId="27535"/>
    <cellStyle name="Normal 3 3 2 3 6 3 11" xfId="5554"/>
    <cellStyle name="Normal 3 3 2 3 6 3 11 2" xfId="21716"/>
    <cellStyle name="Normal 3 3 2 3 6 3 12" xfId="19559"/>
    <cellStyle name="Normal 3 3 2 3 6 3 2" xfId="11401"/>
    <cellStyle name="Normal 3 3 2 3 6 3 2 2" xfId="27536"/>
    <cellStyle name="Normal 3 3 2 3 6 3 3" xfId="11402"/>
    <cellStyle name="Normal 3 3 2 3 6 3 3 2" xfId="27537"/>
    <cellStyle name="Normal 3 3 2 3 6 3 4" xfId="11403"/>
    <cellStyle name="Normal 3 3 2 3 6 3 4 2" xfId="27538"/>
    <cellStyle name="Normal 3 3 2 3 6 3 5" xfId="11404"/>
    <cellStyle name="Normal 3 3 2 3 6 3 5 2" xfId="27539"/>
    <cellStyle name="Normal 3 3 2 3 6 3 6" xfId="11405"/>
    <cellStyle name="Normal 3 3 2 3 6 3 6 2" xfId="27540"/>
    <cellStyle name="Normal 3 3 2 3 6 3 7" xfId="11406"/>
    <cellStyle name="Normal 3 3 2 3 6 3 7 2" xfId="27541"/>
    <cellStyle name="Normal 3 3 2 3 6 3 8" xfId="11407"/>
    <cellStyle name="Normal 3 3 2 3 6 3 8 2" xfId="27542"/>
    <cellStyle name="Normal 3 3 2 3 6 3 9" xfId="11408"/>
    <cellStyle name="Normal 3 3 2 3 6 3 9 2" xfId="27543"/>
    <cellStyle name="Normal 3 3 2 3 6 4" xfId="11409"/>
    <cellStyle name="Normal 3 3 2 3 6 4 2" xfId="27544"/>
    <cellStyle name="Normal 3 3 2 3 6 5" xfId="11410"/>
    <cellStyle name="Normal 3 3 2 3 6 5 2" xfId="27545"/>
    <cellStyle name="Normal 3 3 2 3 6 6" xfId="11411"/>
    <cellStyle name="Normal 3 3 2 3 6 6 2" xfId="27546"/>
    <cellStyle name="Normal 3 3 2 3 6 7" xfId="11412"/>
    <cellStyle name="Normal 3 3 2 3 6 7 2" xfId="27547"/>
    <cellStyle name="Normal 3 3 2 3 6 8" xfId="11413"/>
    <cellStyle name="Normal 3 3 2 3 6 8 2" xfId="27548"/>
    <cellStyle name="Normal 3 3 2 3 6 9" xfId="11414"/>
    <cellStyle name="Normal 3 3 2 3 6 9 2" xfId="27549"/>
    <cellStyle name="Normal 3 3 2 3 7" xfId="2239"/>
    <cellStyle name="Normal 3 3 2 3 7 10" xfId="11415"/>
    <cellStyle name="Normal 3 3 2 3 7 10 2" xfId="27550"/>
    <cellStyle name="Normal 3 3 2 3 7 11" xfId="6139"/>
    <cellStyle name="Normal 3 3 2 3 7 11 2" xfId="22301"/>
    <cellStyle name="Normal 3 3 2 3 7 12" xfId="19622"/>
    <cellStyle name="Normal 3 3 2 3 7 2" xfId="11416"/>
    <cellStyle name="Normal 3 3 2 3 7 2 2" xfId="27551"/>
    <cellStyle name="Normal 3 3 2 3 7 3" xfId="11417"/>
    <cellStyle name="Normal 3 3 2 3 7 3 2" xfId="27552"/>
    <cellStyle name="Normal 3 3 2 3 7 4" xfId="11418"/>
    <cellStyle name="Normal 3 3 2 3 7 4 2" xfId="27553"/>
    <cellStyle name="Normal 3 3 2 3 7 5" xfId="11419"/>
    <cellStyle name="Normal 3 3 2 3 7 5 2" xfId="27554"/>
    <cellStyle name="Normal 3 3 2 3 7 6" xfId="11420"/>
    <cellStyle name="Normal 3 3 2 3 7 6 2" xfId="27555"/>
    <cellStyle name="Normal 3 3 2 3 7 7" xfId="11421"/>
    <cellStyle name="Normal 3 3 2 3 7 7 2" xfId="27556"/>
    <cellStyle name="Normal 3 3 2 3 7 8" xfId="11422"/>
    <cellStyle name="Normal 3 3 2 3 7 8 2" xfId="27557"/>
    <cellStyle name="Normal 3 3 2 3 7 9" xfId="11423"/>
    <cellStyle name="Normal 3 3 2 3 7 9 2" xfId="27558"/>
    <cellStyle name="Normal 3 3 2 3 8" xfId="832"/>
    <cellStyle name="Normal 3 3 2 3 8 10" xfId="11424"/>
    <cellStyle name="Normal 3 3 2 3 8 10 2" xfId="27559"/>
    <cellStyle name="Normal 3 3 2 3 8 11" xfId="4758"/>
    <cellStyle name="Normal 3 3 2 3 8 11 2" xfId="20920"/>
    <cellStyle name="Normal 3 3 2 3 8 12" xfId="19200"/>
    <cellStyle name="Normal 3 3 2 3 8 2" xfId="11425"/>
    <cellStyle name="Normal 3 3 2 3 8 2 2" xfId="27560"/>
    <cellStyle name="Normal 3 3 2 3 8 3" xfId="11426"/>
    <cellStyle name="Normal 3 3 2 3 8 3 2" xfId="27561"/>
    <cellStyle name="Normal 3 3 2 3 8 4" xfId="11427"/>
    <cellStyle name="Normal 3 3 2 3 8 4 2" xfId="27562"/>
    <cellStyle name="Normal 3 3 2 3 8 5" xfId="11428"/>
    <cellStyle name="Normal 3 3 2 3 8 5 2" xfId="27563"/>
    <cellStyle name="Normal 3 3 2 3 8 6" xfId="11429"/>
    <cellStyle name="Normal 3 3 2 3 8 6 2" xfId="27564"/>
    <cellStyle name="Normal 3 3 2 3 8 7" xfId="11430"/>
    <cellStyle name="Normal 3 3 2 3 8 7 2" xfId="27565"/>
    <cellStyle name="Normal 3 3 2 3 8 8" xfId="11431"/>
    <cellStyle name="Normal 3 3 2 3 8 8 2" xfId="27566"/>
    <cellStyle name="Normal 3 3 2 3 8 9" xfId="11432"/>
    <cellStyle name="Normal 3 3 2 3 8 9 2" xfId="27567"/>
    <cellStyle name="Normal 3 3 2 3 9" xfId="11433"/>
    <cellStyle name="Normal 3 3 2 3 9 2" xfId="27568"/>
    <cellStyle name="Normal 3 3 2 4" xfId="2312"/>
    <cellStyle name="Normal 3 3 2 4 10" xfId="11434"/>
    <cellStyle name="Normal 3 3 2 4 10 2" xfId="27569"/>
    <cellStyle name="Normal 3 3 2 4 11" xfId="11435"/>
    <cellStyle name="Normal 3 3 2 4 11 2" xfId="27570"/>
    <cellStyle name="Normal 3 3 2 4 12" xfId="11436"/>
    <cellStyle name="Normal 3 3 2 4 12 2" xfId="27571"/>
    <cellStyle name="Normal 3 3 2 4 13" xfId="11437"/>
    <cellStyle name="Normal 3 3 2 4 13 2" xfId="27572"/>
    <cellStyle name="Normal 3 3 2 4 14" xfId="11438"/>
    <cellStyle name="Normal 3 3 2 4 14 2" xfId="27573"/>
    <cellStyle name="Normal 3 3 2 4 15" xfId="11439"/>
    <cellStyle name="Normal 3 3 2 4 15 2" xfId="27574"/>
    <cellStyle name="Normal 3 3 2 4 16" xfId="11440"/>
    <cellStyle name="Normal 3 3 2 4 16 2" xfId="27575"/>
    <cellStyle name="Normal 3 3 2 4 17" xfId="11441"/>
    <cellStyle name="Normal 3 3 2 4 17 2" xfId="27576"/>
    <cellStyle name="Normal 3 3 2 4 18" xfId="6212"/>
    <cellStyle name="Normal 3 3 2 4 18 2" xfId="22374"/>
    <cellStyle name="Normal 3 3 2 4 19" xfId="19630"/>
    <cellStyle name="Normal 3 3 2 4 2" xfId="2794"/>
    <cellStyle name="Normal 3 3 2 4 2 10" xfId="11442"/>
    <cellStyle name="Normal 3 3 2 4 2 10 2" xfId="27577"/>
    <cellStyle name="Normal 3 3 2 4 2 11" xfId="11443"/>
    <cellStyle name="Normal 3 3 2 4 2 11 2" xfId="27578"/>
    <cellStyle name="Normal 3 3 2 4 2 12" xfId="11444"/>
    <cellStyle name="Normal 3 3 2 4 2 12 2" xfId="27579"/>
    <cellStyle name="Normal 3 3 2 4 2 13" xfId="6686"/>
    <cellStyle name="Normal 3 3 2 4 2 13 2" xfId="22848"/>
    <cellStyle name="Normal 3 3 2 4 2 14" xfId="19750"/>
    <cellStyle name="Normal 3 3 2 4 2 2" xfId="2795"/>
    <cellStyle name="Normal 3 3 2 4 2 2 10" xfId="11445"/>
    <cellStyle name="Normal 3 3 2 4 2 2 10 2" xfId="27580"/>
    <cellStyle name="Normal 3 3 2 4 2 2 11" xfId="6687"/>
    <cellStyle name="Normal 3 3 2 4 2 2 11 2" xfId="22849"/>
    <cellStyle name="Normal 3 3 2 4 2 2 12" xfId="19751"/>
    <cellStyle name="Normal 3 3 2 4 2 2 2" xfId="11446"/>
    <cellStyle name="Normal 3 3 2 4 2 2 2 2" xfId="27581"/>
    <cellStyle name="Normal 3 3 2 4 2 2 3" xfId="11447"/>
    <cellStyle name="Normal 3 3 2 4 2 2 3 2" xfId="27582"/>
    <cellStyle name="Normal 3 3 2 4 2 2 4" xfId="11448"/>
    <cellStyle name="Normal 3 3 2 4 2 2 4 2" xfId="27583"/>
    <cellStyle name="Normal 3 3 2 4 2 2 5" xfId="11449"/>
    <cellStyle name="Normal 3 3 2 4 2 2 5 2" xfId="27584"/>
    <cellStyle name="Normal 3 3 2 4 2 2 6" xfId="11450"/>
    <cellStyle name="Normal 3 3 2 4 2 2 6 2" xfId="27585"/>
    <cellStyle name="Normal 3 3 2 4 2 2 7" xfId="11451"/>
    <cellStyle name="Normal 3 3 2 4 2 2 7 2" xfId="27586"/>
    <cellStyle name="Normal 3 3 2 4 2 2 8" xfId="11452"/>
    <cellStyle name="Normal 3 3 2 4 2 2 8 2" xfId="27587"/>
    <cellStyle name="Normal 3 3 2 4 2 2 9" xfId="11453"/>
    <cellStyle name="Normal 3 3 2 4 2 2 9 2" xfId="27588"/>
    <cellStyle name="Normal 3 3 2 4 2 3" xfId="2796"/>
    <cellStyle name="Normal 3 3 2 4 2 3 10" xfId="11454"/>
    <cellStyle name="Normal 3 3 2 4 2 3 10 2" xfId="27589"/>
    <cellStyle name="Normal 3 3 2 4 2 3 11" xfId="6688"/>
    <cellStyle name="Normal 3 3 2 4 2 3 11 2" xfId="22850"/>
    <cellStyle name="Normal 3 3 2 4 2 3 12" xfId="19752"/>
    <cellStyle name="Normal 3 3 2 4 2 3 2" xfId="11455"/>
    <cellStyle name="Normal 3 3 2 4 2 3 2 2" xfId="27590"/>
    <cellStyle name="Normal 3 3 2 4 2 3 3" xfId="11456"/>
    <cellStyle name="Normal 3 3 2 4 2 3 3 2" xfId="27591"/>
    <cellStyle name="Normal 3 3 2 4 2 3 4" xfId="11457"/>
    <cellStyle name="Normal 3 3 2 4 2 3 4 2" xfId="27592"/>
    <cellStyle name="Normal 3 3 2 4 2 3 5" xfId="11458"/>
    <cellStyle name="Normal 3 3 2 4 2 3 5 2" xfId="27593"/>
    <cellStyle name="Normal 3 3 2 4 2 3 6" xfId="11459"/>
    <cellStyle name="Normal 3 3 2 4 2 3 6 2" xfId="27594"/>
    <cellStyle name="Normal 3 3 2 4 2 3 7" xfId="11460"/>
    <cellStyle name="Normal 3 3 2 4 2 3 7 2" xfId="27595"/>
    <cellStyle name="Normal 3 3 2 4 2 3 8" xfId="11461"/>
    <cellStyle name="Normal 3 3 2 4 2 3 8 2" xfId="27596"/>
    <cellStyle name="Normal 3 3 2 4 2 3 9" xfId="11462"/>
    <cellStyle name="Normal 3 3 2 4 2 3 9 2" xfId="27597"/>
    <cellStyle name="Normal 3 3 2 4 2 4" xfId="11463"/>
    <cellStyle name="Normal 3 3 2 4 2 4 2" xfId="27598"/>
    <cellStyle name="Normal 3 3 2 4 2 5" xfId="11464"/>
    <cellStyle name="Normal 3 3 2 4 2 5 2" xfId="27599"/>
    <cellStyle name="Normal 3 3 2 4 2 6" xfId="11465"/>
    <cellStyle name="Normal 3 3 2 4 2 6 2" xfId="27600"/>
    <cellStyle name="Normal 3 3 2 4 2 7" xfId="11466"/>
    <cellStyle name="Normal 3 3 2 4 2 7 2" xfId="27601"/>
    <cellStyle name="Normal 3 3 2 4 2 8" xfId="11467"/>
    <cellStyle name="Normal 3 3 2 4 2 8 2" xfId="27602"/>
    <cellStyle name="Normal 3 3 2 4 2 9" xfId="11468"/>
    <cellStyle name="Normal 3 3 2 4 2 9 2" xfId="27603"/>
    <cellStyle name="Normal 3 3 2 4 3" xfId="2797"/>
    <cellStyle name="Normal 3 3 2 4 3 10" xfId="11469"/>
    <cellStyle name="Normal 3 3 2 4 3 10 2" xfId="27604"/>
    <cellStyle name="Normal 3 3 2 4 3 11" xfId="11470"/>
    <cellStyle name="Normal 3 3 2 4 3 11 2" xfId="27605"/>
    <cellStyle name="Normal 3 3 2 4 3 12" xfId="11471"/>
    <cellStyle name="Normal 3 3 2 4 3 12 2" xfId="27606"/>
    <cellStyle name="Normal 3 3 2 4 3 13" xfId="6689"/>
    <cellStyle name="Normal 3 3 2 4 3 13 2" xfId="22851"/>
    <cellStyle name="Normal 3 3 2 4 3 14" xfId="19753"/>
    <cellStyle name="Normal 3 3 2 4 3 2" xfId="236"/>
    <cellStyle name="Normal 3 3 2 4 3 2 10" xfId="11472"/>
    <cellStyle name="Normal 3 3 2 4 3 2 10 2" xfId="27607"/>
    <cellStyle name="Normal 3 3 2 4 3 2 11" xfId="4184"/>
    <cellStyle name="Normal 3 3 2 4 3 2 11 2" xfId="20347"/>
    <cellStyle name="Normal 3 3 2 4 3 2 12" xfId="19038"/>
    <cellStyle name="Normal 3 3 2 4 3 2 2" xfId="11473"/>
    <cellStyle name="Normal 3 3 2 4 3 2 2 2" xfId="27608"/>
    <cellStyle name="Normal 3 3 2 4 3 2 3" xfId="11474"/>
    <cellStyle name="Normal 3 3 2 4 3 2 3 2" xfId="27609"/>
    <cellStyle name="Normal 3 3 2 4 3 2 4" xfId="11475"/>
    <cellStyle name="Normal 3 3 2 4 3 2 4 2" xfId="27610"/>
    <cellStyle name="Normal 3 3 2 4 3 2 5" xfId="11476"/>
    <cellStyle name="Normal 3 3 2 4 3 2 5 2" xfId="27611"/>
    <cellStyle name="Normal 3 3 2 4 3 2 6" xfId="11477"/>
    <cellStyle name="Normal 3 3 2 4 3 2 6 2" xfId="27612"/>
    <cellStyle name="Normal 3 3 2 4 3 2 7" xfId="11478"/>
    <cellStyle name="Normal 3 3 2 4 3 2 7 2" xfId="27613"/>
    <cellStyle name="Normal 3 3 2 4 3 2 8" xfId="11479"/>
    <cellStyle name="Normal 3 3 2 4 3 2 8 2" xfId="27614"/>
    <cellStyle name="Normal 3 3 2 4 3 2 9" xfId="11480"/>
    <cellStyle name="Normal 3 3 2 4 3 2 9 2" xfId="27615"/>
    <cellStyle name="Normal 3 3 2 4 3 3" xfId="2798"/>
    <cellStyle name="Normal 3 3 2 4 3 3 10" xfId="11481"/>
    <cellStyle name="Normal 3 3 2 4 3 3 10 2" xfId="27616"/>
    <cellStyle name="Normal 3 3 2 4 3 3 11" xfId="6690"/>
    <cellStyle name="Normal 3 3 2 4 3 3 11 2" xfId="22852"/>
    <cellStyle name="Normal 3 3 2 4 3 3 12" xfId="19754"/>
    <cellStyle name="Normal 3 3 2 4 3 3 2" xfId="11482"/>
    <cellStyle name="Normal 3 3 2 4 3 3 2 2" xfId="27617"/>
    <cellStyle name="Normal 3 3 2 4 3 3 3" xfId="11483"/>
    <cellStyle name="Normal 3 3 2 4 3 3 3 2" xfId="27618"/>
    <cellStyle name="Normal 3 3 2 4 3 3 4" xfId="11484"/>
    <cellStyle name="Normal 3 3 2 4 3 3 4 2" xfId="27619"/>
    <cellStyle name="Normal 3 3 2 4 3 3 5" xfId="11485"/>
    <cellStyle name="Normal 3 3 2 4 3 3 5 2" xfId="27620"/>
    <cellStyle name="Normal 3 3 2 4 3 3 6" xfId="11486"/>
    <cellStyle name="Normal 3 3 2 4 3 3 6 2" xfId="27621"/>
    <cellStyle name="Normal 3 3 2 4 3 3 7" xfId="11487"/>
    <cellStyle name="Normal 3 3 2 4 3 3 7 2" xfId="27622"/>
    <cellStyle name="Normal 3 3 2 4 3 3 8" xfId="11488"/>
    <cellStyle name="Normal 3 3 2 4 3 3 8 2" xfId="27623"/>
    <cellStyle name="Normal 3 3 2 4 3 3 9" xfId="11489"/>
    <cellStyle name="Normal 3 3 2 4 3 3 9 2" xfId="27624"/>
    <cellStyle name="Normal 3 3 2 4 3 4" xfId="11490"/>
    <cellStyle name="Normal 3 3 2 4 3 4 2" xfId="27625"/>
    <cellStyle name="Normal 3 3 2 4 3 5" xfId="11491"/>
    <cellStyle name="Normal 3 3 2 4 3 5 2" xfId="27626"/>
    <cellStyle name="Normal 3 3 2 4 3 6" xfId="11492"/>
    <cellStyle name="Normal 3 3 2 4 3 6 2" xfId="27627"/>
    <cellStyle name="Normal 3 3 2 4 3 7" xfId="11493"/>
    <cellStyle name="Normal 3 3 2 4 3 7 2" xfId="27628"/>
    <cellStyle name="Normal 3 3 2 4 3 8" xfId="11494"/>
    <cellStyle name="Normal 3 3 2 4 3 8 2" xfId="27629"/>
    <cellStyle name="Normal 3 3 2 4 3 9" xfId="11495"/>
    <cellStyle name="Normal 3 3 2 4 3 9 2" xfId="27630"/>
    <cellStyle name="Normal 3 3 2 4 4" xfId="2800"/>
    <cellStyle name="Normal 3 3 2 4 4 10" xfId="11496"/>
    <cellStyle name="Normal 3 3 2 4 4 10 2" xfId="27631"/>
    <cellStyle name="Normal 3 3 2 4 4 11" xfId="11497"/>
    <cellStyle name="Normal 3 3 2 4 4 11 2" xfId="27632"/>
    <cellStyle name="Normal 3 3 2 4 4 12" xfId="11498"/>
    <cellStyle name="Normal 3 3 2 4 4 12 2" xfId="27633"/>
    <cellStyle name="Normal 3 3 2 4 4 13" xfId="6691"/>
    <cellStyle name="Normal 3 3 2 4 4 13 2" xfId="22853"/>
    <cellStyle name="Normal 3 3 2 4 4 14" xfId="19756"/>
    <cellStyle name="Normal 3 3 2 4 4 2" xfId="139"/>
    <cellStyle name="Normal 3 3 2 4 4 2 10" xfId="11499"/>
    <cellStyle name="Normal 3 3 2 4 4 2 10 2" xfId="27634"/>
    <cellStyle name="Normal 3 3 2 4 4 2 11" xfId="4165"/>
    <cellStyle name="Normal 3 3 2 4 4 2 11 2" xfId="20328"/>
    <cellStyle name="Normal 3 3 2 4 4 2 12" xfId="18999"/>
    <cellStyle name="Normal 3 3 2 4 4 2 2" xfId="11500"/>
    <cellStyle name="Normal 3 3 2 4 4 2 2 2" xfId="27635"/>
    <cellStyle name="Normal 3 3 2 4 4 2 3" xfId="11501"/>
    <cellStyle name="Normal 3 3 2 4 4 2 3 2" xfId="27636"/>
    <cellStyle name="Normal 3 3 2 4 4 2 4" xfId="11502"/>
    <cellStyle name="Normal 3 3 2 4 4 2 4 2" xfId="27637"/>
    <cellStyle name="Normal 3 3 2 4 4 2 5" xfId="11503"/>
    <cellStyle name="Normal 3 3 2 4 4 2 5 2" xfId="27638"/>
    <cellStyle name="Normal 3 3 2 4 4 2 6" xfId="11504"/>
    <cellStyle name="Normal 3 3 2 4 4 2 6 2" xfId="27639"/>
    <cellStyle name="Normal 3 3 2 4 4 2 7" xfId="11505"/>
    <cellStyle name="Normal 3 3 2 4 4 2 7 2" xfId="27640"/>
    <cellStyle name="Normal 3 3 2 4 4 2 8" xfId="11506"/>
    <cellStyle name="Normal 3 3 2 4 4 2 8 2" xfId="27641"/>
    <cellStyle name="Normal 3 3 2 4 4 2 9" xfId="11507"/>
    <cellStyle name="Normal 3 3 2 4 4 2 9 2" xfId="27642"/>
    <cellStyle name="Normal 3 3 2 4 4 3" xfId="2801"/>
    <cellStyle name="Normal 3 3 2 4 4 3 10" xfId="11508"/>
    <cellStyle name="Normal 3 3 2 4 4 3 10 2" xfId="27643"/>
    <cellStyle name="Normal 3 3 2 4 4 3 11" xfId="6693"/>
    <cellStyle name="Normal 3 3 2 4 4 3 11 2" xfId="22855"/>
    <cellStyle name="Normal 3 3 2 4 4 3 12" xfId="19757"/>
    <cellStyle name="Normal 3 3 2 4 4 3 2" xfId="11509"/>
    <cellStyle name="Normal 3 3 2 4 4 3 2 2" xfId="27644"/>
    <cellStyle name="Normal 3 3 2 4 4 3 3" xfId="11510"/>
    <cellStyle name="Normal 3 3 2 4 4 3 3 2" xfId="27645"/>
    <cellStyle name="Normal 3 3 2 4 4 3 4" xfId="11511"/>
    <cellStyle name="Normal 3 3 2 4 4 3 4 2" xfId="27646"/>
    <cellStyle name="Normal 3 3 2 4 4 3 5" xfId="11512"/>
    <cellStyle name="Normal 3 3 2 4 4 3 5 2" xfId="27647"/>
    <cellStyle name="Normal 3 3 2 4 4 3 6" xfId="11513"/>
    <cellStyle name="Normal 3 3 2 4 4 3 6 2" xfId="27648"/>
    <cellStyle name="Normal 3 3 2 4 4 3 7" xfId="11514"/>
    <cellStyle name="Normal 3 3 2 4 4 3 7 2" xfId="27649"/>
    <cellStyle name="Normal 3 3 2 4 4 3 8" xfId="11515"/>
    <cellStyle name="Normal 3 3 2 4 4 3 8 2" xfId="27650"/>
    <cellStyle name="Normal 3 3 2 4 4 3 9" xfId="11516"/>
    <cellStyle name="Normal 3 3 2 4 4 3 9 2" xfId="27651"/>
    <cellStyle name="Normal 3 3 2 4 4 4" xfId="11517"/>
    <cellStyle name="Normal 3 3 2 4 4 4 2" xfId="27652"/>
    <cellStyle name="Normal 3 3 2 4 4 5" xfId="11518"/>
    <cellStyle name="Normal 3 3 2 4 4 5 2" xfId="27653"/>
    <cellStyle name="Normal 3 3 2 4 4 6" xfId="11519"/>
    <cellStyle name="Normal 3 3 2 4 4 6 2" xfId="27654"/>
    <cellStyle name="Normal 3 3 2 4 4 7" xfId="11520"/>
    <cellStyle name="Normal 3 3 2 4 4 7 2" xfId="27655"/>
    <cellStyle name="Normal 3 3 2 4 4 8" xfId="11521"/>
    <cellStyle name="Normal 3 3 2 4 4 8 2" xfId="27656"/>
    <cellStyle name="Normal 3 3 2 4 4 9" xfId="11522"/>
    <cellStyle name="Normal 3 3 2 4 4 9 2" xfId="27657"/>
    <cellStyle name="Normal 3 3 2 4 5" xfId="2803"/>
    <cellStyle name="Normal 3 3 2 4 5 10" xfId="11523"/>
    <cellStyle name="Normal 3 3 2 4 5 10 2" xfId="27658"/>
    <cellStyle name="Normal 3 3 2 4 5 11" xfId="11524"/>
    <cellStyle name="Normal 3 3 2 4 5 11 2" xfId="27659"/>
    <cellStyle name="Normal 3 3 2 4 5 12" xfId="11525"/>
    <cellStyle name="Normal 3 3 2 4 5 12 2" xfId="27660"/>
    <cellStyle name="Normal 3 3 2 4 5 13" xfId="6694"/>
    <cellStyle name="Normal 3 3 2 4 5 13 2" xfId="22856"/>
    <cellStyle name="Normal 3 3 2 4 5 14" xfId="19759"/>
    <cellStyle name="Normal 3 3 2 4 5 2" xfId="90"/>
    <cellStyle name="Normal 3 3 2 4 5 2 10" xfId="11526"/>
    <cellStyle name="Normal 3 3 2 4 5 2 10 2" xfId="27661"/>
    <cellStyle name="Normal 3 3 2 4 5 2 11" xfId="4036"/>
    <cellStyle name="Normal 3 3 2 4 5 2 11 2" xfId="20199"/>
    <cellStyle name="Normal 3 3 2 4 5 2 12" xfId="18987"/>
    <cellStyle name="Normal 3 3 2 4 5 2 2" xfId="11527"/>
    <cellStyle name="Normal 3 3 2 4 5 2 2 2" xfId="27662"/>
    <cellStyle name="Normal 3 3 2 4 5 2 3" xfId="11528"/>
    <cellStyle name="Normal 3 3 2 4 5 2 3 2" xfId="27663"/>
    <cellStyle name="Normal 3 3 2 4 5 2 4" xfId="11529"/>
    <cellStyle name="Normal 3 3 2 4 5 2 4 2" xfId="27664"/>
    <cellStyle name="Normal 3 3 2 4 5 2 5" xfId="11530"/>
    <cellStyle name="Normal 3 3 2 4 5 2 5 2" xfId="27665"/>
    <cellStyle name="Normal 3 3 2 4 5 2 6" xfId="11531"/>
    <cellStyle name="Normal 3 3 2 4 5 2 6 2" xfId="27666"/>
    <cellStyle name="Normal 3 3 2 4 5 2 7" xfId="11532"/>
    <cellStyle name="Normal 3 3 2 4 5 2 7 2" xfId="27667"/>
    <cellStyle name="Normal 3 3 2 4 5 2 8" xfId="11533"/>
    <cellStyle name="Normal 3 3 2 4 5 2 8 2" xfId="27668"/>
    <cellStyle name="Normal 3 3 2 4 5 2 9" xfId="11534"/>
    <cellStyle name="Normal 3 3 2 4 5 2 9 2" xfId="27669"/>
    <cellStyle name="Normal 3 3 2 4 5 3" xfId="2804"/>
    <cellStyle name="Normal 3 3 2 4 5 3 10" xfId="11535"/>
    <cellStyle name="Normal 3 3 2 4 5 3 10 2" xfId="27670"/>
    <cellStyle name="Normal 3 3 2 4 5 3 11" xfId="6696"/>
    <cellStyle name="Normal 3 3 2 4 5 3 11 2" xfId="22858"/>
    <cellStyle name="Normal 3 3 2 4 5 3 12" xfId="19760"/>
    <cellStyle name="Normal 3 3 2 4 5 3 2" xfId="11536"/>
    <cellStyle name="Normal 3 3 2 4 5 3 2 2" xfId="27671"/>
    <cellStyle name="Normal 3 3 2 4 5 3 3" xfId="11537"/>
    <cellStyle name="Normal 3 3 2 4 5 3 3 2" xfId="27672"/>
    <cellStyle name="Normal 3 3 2 4 5 3 4" xfId="11538"/>
    <cellStyle name="Normal 3 3 2 4 5 3 4 2" xfId="27673"/>
    <cellStyle name="Normal 3 3 2 4 5 3 5" xfId="11539"/>
    <cellStyle name="Normal 3 3 2 4 5 3 5 2" xfId="27674"/>
    <cellStyle name="Normal 3 3 2 4 5 3 6" xfId="11540"/>
    <cellStyle name="Normal 3 3 2 4 5 3 6 2" xfId="27675"/>
    <cellStyle name="Normal 3 3 2 4 5 3 7" xfId="11541"/>
    <cellStyle name="Normal 3 3 2 4 5 3 7 2" xfId="27676"/>
    <cellStyle name="Normal 3 3 2 4 5 3 8" xfId="11542"/>
    <cellStyle name="Normal 3 3 2 4 5 3 8 2" xfId="27677"/>
    <cellStyle name="Normal 3 3 2 4 5 3 9" xfId="11543"/>
    <cellStyle name="Normal 3 3 2 4 5 3 9 2" xfId="27678"/>
    <cellStyle name="Normal 3 3 2 4 5 4" xfId="11544"/>
    <cellStyle name="Normal 3 3 2 4 5 4 2" xfId="27679"/>
    <cellStyle name="Normal 3 3 2 4 5 5" xfId="11545"/>
    <cellStyle name="Normal 3 3 2 4 5 5 2" xfId="27680"/>
    <cellStyle name="Normal 3 3 2 4 5 6" xfId="11546"/>
    <cellStyle name="Normal 3 3 2 4 5 6 2" xfId="27681"/>
    <cellStyle name="Normal 3 3 2 4 5 7" xfId="11547"/>
    <cellStyle name="Normal 3 3 2 4 5 7 2" xfId="27682"/>
    <cellStyle name="Normal 3 3 2 4 5 8" xfId="11548"/>
    <cellStyle name="Normal 3 3 2 4 5 8 2" xfId="27683"/>
    <cellStyle name="Normal 3 3 2 4 5 9" xfId="11549"/>
    <cellStyle name="Normal 3 3 2 4 5 9 2" xfId="27684"/>
    <cellStyle name="Normal 3 3 2 4 6" xfId="2805"/>
    <cellStyle name="Normal 3 3 2 4 6 10" xfId="11550"/>
    <cellStyle name="Normal 3 3 2 4 6 10 2" xfId="27685"/>
    <cellStyle name="Normal 3 3 2 4 6 11" xfId="11551"/>
    <cellStyle name="Normal 3 3 2 4 6 11 2" xfId="27686"/>
    <cellStyle name="Normal 3 3 2 4 6 12" xfId="11552"/>
    <cellStyle name="Normal 3 3 2 4 6 12 2" xfId="27687"/>
    <cellStyle name="Normal 3 3 2 4 6 13" xfId="6697"/>
    <cellStyle name="Normal 3 3 2 4 6 13 2" xfId="22859"/>
    <cellStyle name="Normal 3 3 2 4 6 14" xfId="19761"/>
    <cellStyle name="Normal 3 3 2 4 6 2" xfId="261"/>
    <cellStyle name="Normal 3 3 2 4 6 2 10" xfId="11553"/>
    <cellStyle name="Normal 3 3 2 4 6 2 10 2" xfId="27688"/>
    <cellStyle name="Normal 3 3 2 4 6 2 11" xfId="4211"/>
    <cellStyle name="Normal 3 3 2 4 6 2 11 2" xfId="20374"/>
    <cellStyle name="Normal 3 3 2 4 6 2 12" xfId="19045"/>
    <cellStyle name="Normal 3 3 2 4 6 2 2" xfId="11554"/>
    <cellStyle name="Normal 3 3 2 4 6 2 2 2" xfId="27689"/>
    <cellStyle name="Normal 3 3 2 4 6 2 3" xfId="11555"/>
    <cellStyle name="Normal 3 3 2 4 6 2 3 2" xfId="27690"/>
    <cellStyle name="Normal 3 3 2 4 6 2 4" xfId="11556"/>
    <cellStyle name="Normal 3 3 2 4 6 2 4 2" xfId="27691"/>
    <cellStyle name="Normal 3 3 2 4 6 2 5" xfId="11557"/>
    <cellStyle name="Normal 3 3 2 4 6 2 5 2" xfId="27692"/>
    <cellStyle name="Normal 3 3 2 4 6 2 6" xfId="11558"/>
    <cellStyle name="Normal 3 3 2 4 6 2 6 2" xfId="27693"/>
    <cellStyle name="Normal 3 3 2 4 6 2 7" xfId="11559"/>
    <cellStyle name="Normal 3 3 2 4 6 2 7 2" xfId="27694"/>
    <cellStyle name="Normal 3 3 2 4 6 2 8" xfId="11560"/>
    <cellStyle name="Normal 3 3 2 4 6 2 8 2" xfId="27695"/>
    <cellStyle name="Normal 3 3 2 4 6 2 9" xfId="11561"/>
    <cellStyle name="Normal 3 3 2 4 6 2 9 2" xfId="27696"/>
    <cellStyle name="Normal 3 3 2 4 6 3" xfId="2393"/>
    <cellStyle name="Normal 3 3 2 4 6 3 10" xfId="11562"/>
    <cellStyle name="Normal 3 3 2 4 6 3 10 2" xfId="27697"/>
    <cellStyle name="Normal 3 3 2 4 6 3 11" xfId="6288"/>
    <cellStyle name="Normal 3 3 2 4 6 3 11 2" xfId="22450"/>
    <cellStyle name="Normal 3 3 2 4 6 3 12" xfId="19646"/>
    <cellStyle name="Normal 3 3 2 4 6 3 2" xfId="11563"/>
    <cellStyle name="Normal 3 3 2 4 6 3 2 2" xfId="27698"/>
    <cellStyle name="Normal 3 3 2 4 6 3 3" xfId="11564"/>
    <cellStyle name="Normal 3 3 2 4 6 3 3 2" xfId="27699"/>
    <cellStyle name="Normal 3 3 2 4 6 3 4" xfId="11565"/>
    <cellStyle name="Normal 3 3 2 4 6 3 4 2" xfId="27700"/>
    <cellStyle name="Normal 3 3 2 4 6 3 5" xfId="11566"/>
    <cellStyle name="Normal 3 3 2 4 6 3 5 2" xfId="27701"/>
    <cellStyle name="Normal 3 3 2 4 6 3 6" xfId="11567"/>
    <cellStyle name="Normal 3 3 2 4 6 3 6 2" xfId="27702"/>
    <cellStyle name="Normal 3 3 2 4 6 3 7" xfId="11568"/>
    <cellStyle name="Normal 3 3 2 4 6 3 7 2" xfId="27703"/>
    <cellStyle name="Normal 3 3 2 4 6 3 8" xfId="11569"/>
    <cellStyle name="Normal 3 3 2 4 6 3 8 2" xfId="27704"/>
    <cellStyle name="Normal 3 3 2 4 6 3 9" xfId="11570"/>
    <cellStyle name="Normal 3 3 2 4 6 3 9 2" xfId="27705"/>
    <cellStyle name="Normal 3 3 2 4 6 4" xfId="11571"/>
    <cellStyle name="Normal 3 3 2 4 6 4 2" xfId="27706"/>
    <cellStyle name="Normal 3 3 2 4 6 5" xfId="11572"/>
    <cellStyle name="Normal 3 3 2 4 6 5 2" xfId="27707"/>
    <cellStyle name="Normal 3 3 2 4 6 6" xfId="11573"/>
    <cellStyle name="Normal 3 3 2 4 6 6 2" xfId="27708"/>
    <cellStyle name="Normal 3 3 2 4 6 7" xfId="11574"/>
    <cellStyle name="Normal 3 3 2 4 6 7 2" xfId="27709"/>
    <cellStyle name="Normal 3 3 2 4 6 8" xfId="11575"/>
    <cellStyle name="Normal 3 3 2 4 6 8 2" xfId="27710"/>
    <cellStyle name="Normal 3 3 2 4 6 9" xfId="11576"/>
    <cellStyle name="Normal 3 3 2 4 6 9 2" xfId="27711"/>
    <cellStyle name="Normal 3 3 2 4 7" xfId="2806"/>
    <cellStyle name="Normal 3 3 2 4 7 10" xfId="11577"/>
    <cellStyle name="Normal 3 3 2 4 7 10 2" xfId="27712"/>
    <cellStyle name="Normal 3 3 2 4 7 11" xfId="6698"/>
    <cellStyle name="Normal 3 3 2 4 7 11 2" xfId="22860"/>
    <cellStyle name="Normal 3 3 2 4 7 12" xfId="19762"/>
    <cellStyle name="Normal 3 3 2 4 7 2" xfId="11578"/>
    <cellStyle name="Normal 3 3 2 4 7 2 2" xfId="27713"/>
    <cellStyle name="Normal 3 3 2 4 7 3" xfId="11579"/>
    <cellStyle name="Normal 3 3 2 4 7 3 2" xfId="27714"/>
    <cellStyle name="Normal 3 3 2 4 7 4" xfId="11580"/>
    <cellStyle name="Normal 3 3 2 4 7 4 2" xfId="27715"/>
    <cellStyle name="Normal 3 3 2 4 7 5" xfId="11581"/>
    <cellStyle name="Normal 3 3 2 4 7 5 2" xfId="27716"/>
    <cellStyle name="Normal 3 3 2 4 7 6" xfId="11582"/>
    <cellStyle name="Normal 3 3 2 4 7 6 2" xfId="27717"/>
    <cellStyle name="Normal 3 3 2 4 7 7" xfId="11583"/>
    <cellStyle name="Normal 3 3 2 4 7 7 2" xfId="27718"/>
    <cellStyle name="Normal 3 3 2 4 7 8" xfId="11584"/>
    <cellStyle name="Normal 3 3 2 4 7 8 2" xfId="27719"/>
    <cellStyle name="Normal 3 3 2 4 7 9" xfId="11585"/>
    <cellStyle name="Normal 3 3 2 4 7 9 2" xfId="27720"/>
    <cellStyle name="Normal 3 3 2 4 8" xfId="2807"/>
    <cellStyle name="Normal 3 3 2 4 8 10" xfId="11586"/>
    <cellStyle name="Normal 3 3 2 4 8 10 2" xfId="27721"/>
    <cellStyle name="Normal 3 3 2 4 8 11" xfId="6699"/>
    <cellStyle name="Normal 3 3 2 4 8 11 2" xfId="22861"/>
    <cellStyle name="Normal 3 3 2 4 8 12" xfId="19763"/>
    <cellStyle name="Normal 3 3 2 4 8 2" xfId="11587"/>
    <cellStyle name="Normal 3 3 2 4 8 2 2" xfId="27722"/>
    <cellStyle name="Normal 3 3 2 4 8 3" xfId="11588"/>
    <cellStyle name="Normal 3 3 2 4 8 3 2" xfId="27723"/>
    <cellStyle name="Normal 3 3 2 4 8 4" xfId="11589"/>
    <cellStyle name="Normal 3 3 2 4 8 4 2" xfId="27724"/>
    <cellStyle name="Normal 3 3 2 4 8 5" xfId="11590"/>
    <cellStyle name="Normal 3 3 2 4 8 5 2" xfId="27725"/>
    <cellStyle name="Normal 3 3 2 4 8 6" xfId="11591"/>
    <cellStyle name="Normal 3 3 2 4 8 6 2" xfId="27726"/>
    <cellStyle name="Normal 3 3 2 4 8 7" xfId="11592"/>
    <cellStyle name="Normal 3 3 2 4 8 7 2" xfId="27727"/>
    <cellStyle name="Normal 3 3 2 4 8 8" xfId="11593"/>
    <cellStyle name="Normal 3 3 2 4 8 8 2" xfId="27728"/>
    <cellStyle name="Normal 3 3 2 4 8 9" xfId="11594"/>
    <cellStyle name="Normal 3 3 2 4 8 9 2" xfId="27729"/>
    <cellStyle name="Normal 3 3 2 4 9" xfId="11595"/>
    <cellStyle name="Normal 3 3 2 4 9 2" xfId="27730"/>
    <cellStyle name="Normal 3 3 2 5" xfId="2315"/>
    <cellStyle name="Normal 3 3 2 5 10" xfId="11596"/>
    <cellStyle name="Normal 3 3 2 5 10 2" xfId="27731"/>
    <cellStyle name="Normal 3 3 2 5 11" xfId="11597"/>
    <cellStyle name="Normal 3 3 2 5 11 2" xfId="27732"/>
    <cellStyle name="Normal 3 3 2 5 12" xfId="11598"/>
    <cellStyle name="Normal 3 3 2 5 12 2" xfId="27733"/>
    <cellStyle name="Normal 3 3 2 5 13" xfId="11599"/>
    <cellStyle name="Normal 3 3 2 5 13 2" xfId="27734"/>
    <cellStyle name="Normal 3 3 2 5 14" xfId="11600"/>
    <cellStyle name="Normal 3 3 2 5 14 2" xfId="27735"/>
    <cellStyle name="Normal 3 3 2 5 15" xfId="11601"/>
    <cellStyle name="Normal 3 3 2 5 15 2" xfId="27736"/>
    <cellStyle name="Normal 3 3 2 5 16" xfId="11602"/>
    <cellStyle name="Normal 3 3 2 5 16 2" xfId="27737"/>
    <cellStyle name="Normal 3 3 2 5 17" xfId="11603"/>
    <cellStyle name="Normal 3 3 2 5 17 2" xfId="27738"/>
    <cellStyle name="Normal 3 3 2 5 18" xfId="6215"/>
    <cellStyle name="Normal 3 3 2 5 18 2" xfId="22377"/>
    <cellStyle name="Normal 3 3 2 5 19" xfId="19632"/>
    <cellStyle name="Normal 3 3 2 5 2" xfId="2808"/>
    <cellStyle name="Normal 3 3 2 5 2 10" xfId="11604"/>
    <cellStyle name="Normal 3 3 2 5 2 10 2" xfId="27739"/>
    <cellStyle name="Normal 3 3 2 5 2 11" xfId="11605"/>
    <cellStyle name="Normal 3 3 2 5 2 11 2" xfId="27740"/>
    <cellStyle name="Normal 3 3 2 5 2 12" xfId="11606"/>
    <cellStyle name="Normal 3 3 2 5 2 12 2" xfId="27741"/>
    <cellStyle name="Normal 3 3 2 5 2 13" xfId="6700"/>
    <cellStyle name="Normal 3 3 2 5 2 13 2" xfId="22862"/>
    <cellStyle name="Normal 3 3 2 5 2 14" xfId="19764"/>
    <cellStyle name="Normal 3 3 2 5 2 2" xfId="2811"/>
    <cellStyle name="Normal 3 3 2 5 2 2 10" xfId="11607"/>
    <cellStyle name="Normal 3 3 2 5 2 2 10 2" xfId="27742"/>
    <cellStyle name="Normal 3 3 2 5 2 2 11" xfId="6701"/>
    <cellStyle name="Normal 3 3 2 5 2 2 11 2" xfId="22863"/>
    <cellStyle name="Normal 3 3 2 5 2 2 12" xfId="19765"/>
    <cellStyle name="Normal 3 3 2 5 2 2 2" xfId="11608"/>
    <cellStyle name="Normal 3 3 2 5 2 2 2 2" xfId="27743"/>
    <cellStyle name="Normal 3 3 2 5 2 2 3" xfId="11609"/>
    <cellStyle name="Normal 3 3 2 5 2 2 3 2" xfId="27744"/>
    <cellStyle name="Normal 3 3 2 5 2 2 4" xfId="11610"/>
    <cellStyle name="Normal 3 3 2 5 2 2 4 2" xfId="27745"/>
    <cellStyle name="Normal 3 3 2 5 2 2 5" xfId="11611"/>
    <cellStyle name="Normal 3 3 2 5 2 2 5 2" xfId="27746"/>
    <cellStyle name="Normal 3 3 2 5 2 2 6" xfId="11612"/>
    <cellStyle name="Normal 3 3 2 5 2 2 6 2" xfId="27747"/>
    <cellStyle name="Normal 3 3 2 5 2 2 7" xfId="11613"/>
    <cellStyle name="Normal 3 3 2 5 2 2 7 2" xfId="27748"/>
    <cellStyle name="Normal 3 3 2 5 2 2 8" xfId="11614"/>
    <cellStyle name="Normal 3 3 2 5 2 2 8 2" xfId="27749"/>
    <cellStyle name="Normal 3 3 2 5 2 2 9" xfId="11615"/>
    <cellStyle name="Normal 3 3 2 5 2 2 9 2" xfId="27750"/>
    <cellStyle name="Normal 3 3 2 5 2 3" xfId="2814"/>
    <cellStyle name="Normal 3 3 2 5 2 3 10" xfId="11616"/>
    <cellStyle name="Normal 3 3 2 5 2 3 10 2" xfId="27751"/>
    <cellStyle name="Normal 3 3 2 5 2 3 11" xfId="6704"/>
    <cellStyle name="Normal 3 3 2 5 2 3 11 2" xfId="22866"/>
    <cellStyle name="Normal 3 3 2 5 2 3 12" xfId="19767"/>
    <cellStyle name="Normal 3 3 2 5 2 3 2" xfId="11617"/>
    <cellStyle name="Normal 3 3 2 5 2 3 2 2" xfId="27752"/>
    <cellStyle name="Normal 3 3 2 5 2 3 3" xfId="11618"/>
    <cellStyle name="Normal 3 3 2 5 2 3 3 2" xfId="27753"/>
    <cellStyle name="Normal 3 3 2 5 2 3 4" xfId="11619"/>
    <cellStyle name="Normal 3 3 2 5 2 3 4 2" xfId="27754"/>
    <cellStyle name="Normal 3 3 2 5 2 3 5" xfId="11620"/>
    <cellStyle name="Normal 3 3 2 5 2 3 5 2" xfId="27755"/>
    <cellStyle name="Normal 3 3 2 5 2 3 6" xfId="11621"/>
    <cellStyle name="Normal 3 3 2 5 2 3 6 2" xfId="27756"/>
    <cellStyle name="Normal 3 3 2 5 2 3 7" xfId="11622"/>
    <cellStyle name="Normal 3 3 2 5 2 3 7 2" xfId="27757"/>
    <cellStyle name="Normal 3 3 2 5 2 3 8" xfId="11623"/>
    <cellStyle name="Normal 3 3 2 5 2 3 8 2" xfId="27758"/>
    <cellStyle name="Normal 3 3 2 5 2 3 9" xfId="11624"/>
    <cellStyle name="Normal 3 3 2 5 2 3 9 2" xfId="27759"/>
    <cellStyle name="Normal 3 3 2 5 2 4" xfId="11625"/>
    <cellStyle name="Normal 3 3 2 5 2 4 2" xfId="27760"/>
    <cellStyle name="Normal 3 3 2 5 2 5" xfId="11626"/>
    <cellStyle name="Normal 3 3 2 5 2 5 2" xfId="27761"/>
    <cellStyle name="Normal 3 3 2 5 2 6" xfId="11627"/>
    <cellStyle name="Normal 3 3 2 5 2 6 2" xfId="27762"/>
    <cellStyle name="Normal 3 3 2 5 2 7" xfId="11628"/>
    <cellStyle name="Normal 3 3 2 5 2 7 2" xfId="27763"/>
    <cellStyle name="Normal 3 3 2 5 2 8" xfId="11629"/>
    <cellStyle name="Normal 3 3 2 5 2 8 2" xfId="27764"/>
    <cellStyle name="Normal 3 3 2 5 2 9" xfId="11630"/>
    <cellStyle name="Normal 3 3 2 5 2 9 2" xfId="27765"/>
    <cellStyle name="Normal 3 3 2 5 3" xfId="2815"/>
    <cellStyle name="Normal 3 3 2 5 3 10" xfId="11631"/>
    <cellStyle name="Normal 3 3 2 5 3 10 2" xfId="27766"/>
    <cellStyle name="Normal 3 3 2 5 3 11" xfId="11632"/>
    <cellStyle name="Normal 3 3 2 5 3 11 2" xfId="27767"/>
    <cellStyle name="Normal 3 3 2 5 3 12" xfId="11633"/>
    <cellStyle name="Normal 3 3 2 5 3 12 2" xfId="27768"/>
    <cellStyle name="Normal 3 3 2 5 3 13" xfId="6707"/>
    <cellStyle name="Normal 3 3 2 5 3 13 2" xfId="22869"/>
    <cellStyle name="Normal 3 3 2 5 3 14" xfId="19768"/>
    <cellStyle name="Normal 3 3 2 5 3 2" xfId="1443"/>
    <cellStyle name="Normal 3 3 2 5 3 2 10" xfId="11634"/>
    <cellStyle name="Normal 3 3 2 5 3 2 10 2" xfId="27769"/>
    <cellStyle name="Normal 3 3 2 5 3 2 11" xfId="5362"/>
    <cellStyle name="Normal 3 3 2 5 3 2 11 2" xfId="21524"/>
    <cellStyle name="Normal 3 3 2 5 3 2 12" xfId="19488"/>
    <cellStyle name="Normal 3 3 2 5 3 2 2" xfId="11635"/>
    <cellStyle name="Normal 3 3 2 5 3 2 2 2" xfId="27770"/>
    <cellStyle name="Normal 3 3 2 5 3 2 3" xfId="11636"/>
    <cellStyle name="Normal 3 3 2 5 3 2 3 2" xfId="27771"/>
    <cellStyle name="Normal 3 3 2 5 3 2 4" xfId="11637"/>
    <cellStyle name="Normal 3 3 2 5 3 2 4 2" xfId="27772"/>
    <cellStyle name="Normal 3 3 2 5 3 2 5" xfId="11638"/>
    <cellStyle name="Normal 3 3 2 5 3 2 5 2" xfId="27773"/>
    <cellStyle name="Normal 3 3 2 5 3 2 6" xfId="11639"/>
    <cellStyle name="Normal 3 3 2 5 3 2 6 2" xfId="27774"/>
    <cellStyle name="Normal 3 3 2 5 3 2 7" xfId="11640"/>
    <cellStyle name="Normal 3 3 2 5 3 2 7 2" xfId="27775"/>
    <cellStyle name="Normal 3 3 2 5 3 2 8" xfId="11641"/>
    <cellStyle name="Normal 3 3 2 5 3 2 8 2" xfId="27776"/>
    <cellStyle name="Normal 3 3 2 5 3 2 9" xfId="11642"/>
    <cellStyle name="Normal 3 3 2 5 3 2 9 2" xfId="27777"/>
    <cellStyle name="Normal 3 3 2 5 3 3" xfId="2816"/>
    <cellStyle name="Normal 3 3 2 5 3 3 10" xfId="11643"/>
    <cellStyle name="Normal 3 3 2 5 3 3 10 2" xfId="27778"/>
    <cellStyle name="Normal 3 3 2 5 3 3 11" xfId="6708"/>
    <cellStyle name="Normal 3 3 2 5 3 3 11 2" xfId="22870"/>
    <cellStyle name="Normal 3 3 2 5 3 3 12" xfId="19769"/>
    <cellStyle name="Normal 3 3 2 5 3 3 2" xfId="11644"/>
    <cellStyle name="Normal 3 3 2 5 3 3 2 2" xfId="27779"/>
    <cellStyle name="Normal 3 3 2 5 3 3 3" xfId="11645"/>
    <cellStyle name="Normal 3 3 2 5 3 3 3 2" xfId="27780"/>
    <cellStyle name="Normal 3 3 2 5 3 3 4" xfId="11646"/>
    <cellStyle name="Normal 3 3 2 5 3 3 4 2" xfId="27781"/>
    <cellStyle name="Normal 3 3 2 5 3 3 5" xfId="11647"/>
    <cellStyle name="Normal 3 3 2 5 3 3 5 2" xfId="27782"/>
    <cellStyle name="Normal 3 3 2 5 3 3 6" xfId="11648"/>
    <cellStyle name="Normal 3 3 2 5 3 3 6 2" xfId="27783"/>
    <cellStyle name="Normal 3 3 2 5 3 3 7" xfId="11649"/>
    <cellStyle name="Normal 3 3 2 5 3 3 7 2" xfId="27784"/>
    <cellStyle name="Normal 3 3 2 5 3 3 8" xfId="11650"/>
    <cellStyle name="Normal 3 3 2 5 3 3 8 2" xfId="27785"/>
    <cellStyle name="Normal 3 3 2 5 3 3 9" xfId="11651"/>
    <cellStyle name="Normal 3 3 2 5 3 3 9 2" xfId="27786"/>
    <cellStyle name="Normal 3 3 2 5 3 4" xfId="11652"/>
    <cellStyle name="Normal 3 3 2 5 3 4 2" xfId="27787"/>
    <cellStyle name="Normal 3 3 2 5 3 5" xfId="11653"/>
    <cellStyle name="Normal 3 3 2 5 3 5 2" xfId="27788"/>
    <cellStyle name="Normal 3 3 2 5 3 6" xfId="11654"/>
    <cellStyle name="Normal 3 3 2 5 3 6 2" xfId="27789"/>
    <cellStyle name="Normal 3 3 2 5 3 7" xfId="11655"/>
    <cellStyle name="Normal 3 3 2 5 3 7 2" xfId="27790"/>
    <cellStyle name="Normal 3 3 2 5 3 8" xfId="11656"/>
    <cellStyle name="Normal 3 3 2 5 3 8 2" xfId="27791"/>
    <cellStyle name="Normal 3 3 2 5 3 9" xfId="11657"/>
    <cellStyle name="Normal 3 3 2 5 3 9 2" xfId="27792"/>
    <cellStyle name="Normal 3 3 2 5 4" xfId="2817"/>
    <cellStyle name="Normal 3 3 2 5 4 10" xfId="11658"/>
    <cellStyle name="Normal 3 3 2 5 4 10 2" xfId="27793"/>
    <cellStyle name="Normal 3 3 2 5 4 11" xfId="11659"/>
    <cellStyle name="Normal 3 3 2 5 4 11 2" xfId="27794"/>
    <cellStyle name="Normal 3 3 2 5 4 12" xfId="11660"/>
    <cellStyle name="Normal 3 3 2 5 4 12 2" xfId="27795"/>
    <cellStyle name="Normal 3 3 2 5 4 13" xfId="6709"/>
    <cellStyle name="Normal 3 3 2 5 4 13 2" xfId="22871"/>
    <cellStyle name="Normal 3 3 2 5 4 14" xfId="19770"/>
    <cellStyle name="Normal 3 3 2 5 4 2" xfId="2818"/>
    <cellStyle name="Normal 3 3 2 5 4 2 10" xfId="11661"/>
    <cellStyle name="Normal 3 3 2 5 4 2 10 2" xfId="27796"/>
    <cellStyle name="Normal 3 3 2 5 4 2 11" xfId="6710"/>
    <cellStyle name="Normal 3 3 2 5 4 2 11 2" xfId="22872"/>
    <cellStyle name="Normal 3 3 2 5 4 2 12" xfId="19771"/>
    <cellStyle name="Normal 3 3 2 5 4 2 2" xfId="11662"/>
    <cellStyle name="Normal 3 3 2 5 4 2 2 2" xfId="27797"/>
    <cellStyle name="Normal 3 3 2 5 4 2 3" xfId="11663"/>
    <cellStyle name="Normal 3 3 2 5 4 2 3 2" xfId="27798"/>
    <cellStyle name="Normal 3 3 2 5 4 2 4" xfId="11664"/>
    <cellStyle name="Normal 3 3 2 5 4 2 4 2" xfId="27799"/>
    <cellStyle name="Normal 3 3 2 5 4 2 5" xfId="11665"/>
    <cellStyle name="Normal 3 3 2 5 4 2 5 2" xfId="27800"/>
    <cellStyle name="Normal 3 3 2 5 4 2 6" xfId="11666"/>
    <cellStyle name="Normal 3 3 2 5 4 2 6 2" xfId="27801"/>
    <cellStyle name="Normal 3 3 2 5 4 2 7" xfId="11667"/>
    <cellStyle name="Normal 3 3 2 5 4 2 7 2" xfId="27802"/>
    <cellStyle name="Normal 3 3 2 5 4 2 8" xfId="11668"/>
    <cellStyle name="Normal 3 3 2 5 4 2 8 2" xfId="27803"/>
    <cellStyle name="Normal 3 3 2 5 4 2 9" xfId="11669"/>
    <cellStyle name="Normal 3 3 2 5 4 2 9 2" xfId="27804"/>
    <cellStyle name="Normal 3 3 2 5 4 3" xfId="2819"/>
    <cellStyle name="Normal 3 3 2 5 4 3 10" xfId="11670"/>
    <cellStyle name="Normal 3 3 2 5 4 3 10 2" xfId="27805"/>
    <cellStyle name="Normal 3 3 2 5 4 3 11" xfId="6711"/>
    <cellStyle name="Normal 3 3 2 5 4 3 11 2" xfId="22873"/>
    <cellStyle name="Normal 3 3 2 5 4 3 12" xfId="19772"/>
    <cellStyle name="Normal 3 3 2 5 4 3 2" xfId="11671"/>
    <cellStyle name="Normal 3 3 2 5 4 3 2 2" xfId="27806"/>
    <cellStyle name="Normal 3 3 2 5 4 3 3" xfId="11672"/>
    <cellStyle name="Normal 3 3 2 5 4 3 3 2" xfId="27807"/>
    <cellStyle name="Normal 3 3 2 5 4 3 4" xfId="11673"/>
    <cellStyle name="Normal 3 3 2 5 4 3 4 2" xfId="27808"/>
    <cellStyle name="Normal 3 3 2 5 4 3 5" xfId="11674"/>
    <cellStyle name="Normal 3 3 2 5 4 3 5 2" xfId="27809"/>
    <cellStyle name="Normal 3 3 2 5 4 3 6" xfId="11675"/>
    <cellStyle name="Normal 3 3 2 5 4 3 6 2" xfId="27810"/>
    <cellStyle name="Normal 3 3 2 5 4 3 7" xfId="11676"/>
    <cellStyle name="Normal 3 3 2 5 4 3 7 2" xfId="27811"/>
    <cellStyle name="Normal 3 3 2 5 4 3 8" xfId="11677"/>
    <cellStyle name="Normal 3 3 2 5 4 3 8 2" xfId="27812"/>
    <cellStyle name="Normal 3 3 2 5 4 3 9" xfId="11678"/>
    <cellStyle name="Normal 3 3 2 5 4 3 9 2" xfId="27813"/>
    <cellStyle name="Normal 3 3 2 5 4 4" xfId="11679"/>
    <cellStyle name="Normal 3 3 2 5 4 4 2" xfId="27814"/>
    <cellStyle name="Normal 3 3 2 5 4 5" xfId="11680"/>
    <cellStyle name="Normal 3 3 2 5 4 5 2" xfId="27815"/>
    <cellStyle name="Normal 3 3 2 5 4 6" xfId="11681"/>
    <cellStyle name="Normal 3 3 2 5 4 6 2" xfId="27816"/>
    <cellStyle name="Normal 3 3 2 5 4 7" xfId="11682"/>
    <cellStyle name="Normal 3 3 2 5 4 7 2" xfId="27817"/>
    <cellStyle name="Normal 3 3 2 5 4 8" xfId="11683"/>
    <cellStyle name="Normal 3 3 2 5 4 8 2" xfId="27818"/>
    <cellStyle name="Normal 3 3 2 5 4 9" xfId="11684"/>
    <cellStyle name="Normal 3 3 2 5 4 9 2" xfId="27819"/>
    <cellStyle name="Normal 3 3 2 5 5" xfId="2820"/>
    <cellStyle name="Normal 3 3 2 5 5 10" xfId="11685"/>
    <cellStyle name="Normal 3 3 2 5 5 10 2" xfId="27820"/>
    <cellStyle name="Normal 3 3 2 5 5 11" xfId="11686"/>
    <cellStyle name="Normal 3 3 2 5 5 11 2" xfId="27821"/>
    <cellStyle name="Normal 3 3 2 5 5 12" xfId="11687"/>
    <cellStyle name="Normal 3 3 2 5 5 12 2" xfId="27822"/>
    <cellStyle name="Normal 3 3 2 5 5 13" xfId="6712"/>
    <cellStyle name="Normal 3 3 2 5 5 13 2" xfId="22874"/>
    <cellStyle name="Normal 3 3 2 5 5 14" xfId="19773"/>
    <cellStyle name="Normal 3 3 2 5 5 2" xfId="2821"/>
    <cellStyle name="Normal 3 3 2 5 5 2 10" xfId="11688"/>
    <cellStyle name="Normal 3 3 2 5 5 2 10 2" xfId="27823"/>
    <cellStyle name="Normal 3 3 2 5 5 2 11" xfId="6713"/>
    <cellStyle name="Normal 3 3 2 5 5 2 11 2" xfId="22875"/>
    <cellStyle name="Normal 3 3 2 5 5 2 12" xfId="19774"/>
    <cellStyle name="Normal 3 3 2 5 5 2 2" xfId="11689"/>
    <cellStyle name="Normal 3 3 2 5 5 2 2 2" xfId="27824"/>
    <cellStyle name="Normal 3 3 2 5 5 2 3" xfId="11690"/>
    <cellStyle name="Normal 3 3 2 5 5 2 3 2" xfId="27825"/>
    <cellStyle name="Normal 3 3 2 5 5 2 4" xfId="11691"/>
    <cellStyle name="Normal 3 3 2 5 5 2 4 2" xfId="27826"/>
    <cellStyle name="Normal 3 3 2 5 5 2 5" xfId="11692"/>
    <cellStyle name="Normal 3 3 2 5 5 2 5 2" xfId="27827"/>
    <cellStyle name="Normal 3 3 2 5 5 2 6" xfId="11693"/>
    <cellStyle name="Normal 3 3 2 5 5 2 6 2" xfId="27828"/>
    <cellStyle name="Normal 3 3 2 5 5 2 7" xfId="11694"/>
    <cellStyle name="Normal 3 3 2 5 5 2 7 2" xfId="27829"/>
    <cellStyle name="Normal 3 3 2 5 5 2 8" xfId="11695"/>
    <cellStyle name="Normal 3 3 2 5 5 2 8 2" xfId="27830"/>
    <cellStyle name="Normal 3 3 2 5 5 2 9" xfId="11696"/>
    <cellStyle name="Normal 3 3 2 5 5 2 9 2" xfId="27831"/>
    <cellStyle name="Normal 3 3 2 5 5 3" xfId="2822"/>
    <cellStyle name="Normal 3 3 2 5 5 3 10" xfId="11697"/>
    <cellStyle name="Normal 3 3 2 5 5 3 10 2" xfId="27832"/>
    <cellStyle name="Normal 3 3 2 5 5 3 11" xfId="6714"/>
    <cellStyle name="Normal 3 3 2 5 5 3 11 2" xfId="22876"/>
    <cellStyle name="Normal 3 3 2 5 5 3 12" xfId="19775"/>
    <cellStyle name="Normal 3 3 2 5 5 3 2" xfId="11698"/>
    <cellStyle name="Normal 3 3 2 5 5 3 2 2" xfId="27833"/>
    <cellStyle name="Normal 3 3 2 5 5 3 3" xfId="11699"/>
    <cellStyle name="Normal 3 3 2 5 5 3 3 2" xfId="27834"/>
    <cellStyle name="Normal 3 3 2 5 5 3 4" xfId="11700"/>
    <cellStyle name="Normal 3 3 2 5 5 3 4 2" xfId="27835"/>
    <cellStyle name="Normal 3 3 2 5 5 3 5" xfId="11701"/>
    <cellStyle name="Normal 3 3 2 5 5 3 5 2" xfId="27836"/>
    <cellStyle name="Normal 3 3 2 5 5 3 6" xfId="11702"/>
    <cellStyle name="Normal 3 3 2 5 5 3 6 2" xfId="27837"/>
    <cellStyle name="Normal 3 3 2 5 5 3 7" xfId="11703"/>
    <cellStyle name="Normal 3 3 2 5 5 3 7 2" xfId="27838"/>
    <cellStyle name="Normal 3 3 2 5 5 3 8" xfId="11704"/>
    <cellStyle name="Normal 3 3 2 5 5 3 8 2" xfId="27839"/>
    <cellStyle name="Normal 3 3 2 5 5 3 9" xfId="11705"/>
    <cellStyle name="Normal 3 3 2 5 5 3 9 2" xfId="27840"/>
    <cellStyle name="Normal 3 3 2 5 5 4" xfId="11706"/>
    <cellStyle name="Normal 3 3 2 5 5 4 2" xfId="27841"/>
    <cellStyle name="Normal 3 3 2 5 5 5" xfId="11707"/>
    <cellStyle name="Normal 3 3 2 5 5 5 2" xfId="27842"/>
    <cellStyle name="Normal 3 3 2 5 5 6" xfId="11708"/>
    <cellStyle name="Normal 3 3 2 5 5 6 2" xfId="27843"/>
    <cellStyle name="Normal 3 3 2 5 5 7" xfId="11709"/>
    <cellStyle name="Normal 3 3 2 5 5 7 2" xfId="27844"/>
    <cellStyle name="Normal 3 3 2 5 5 8" xfId="11710"/>
    <cellStyle name="Normal 3 3 2 5 5 8 2" xfId="27845"/>
    <cellStyle name="Normal 3 3 2 5 5 9" xfId="11711"/>
    <cellStyle name="Normal 3 3 2 5 5 9 2" xfId="27846"/>
    <cellStyle name="Normal 3 3 2 5 6" xfId="2823"/>
    <cellStyle name="Normal 3 3 2 5 6 10" xfId="11712"/>
    <cellStyle name="Normal 3 3 2 5 6 10 2" xfId="27847"/>
    <cellStyle name="Normal 3 3 2 5 6 11" xfId="11713"/>
    <cellStyle name="Normal 3 3 2 5 6 11 2" xfId="27848"/>
    <cellStyle name="Normal 3 3 2 5 6 12" xfId="11714"/>
    <cellStyle name="Normal 3 3 2 5 6 12 2" xfId="27849"/>
    <cellStyle name="Normal 3 3 2 5 6 13" xfId="6715"/>
    <cellStyle name="Normal 3 3 2 5 6 13 2" xfId="22877"/>
    <cellStyle name="Normal 3 3 2 5 6 14" xfId="19776"/>
    <cellStyle name="Normal 3 3 2 5 6 2" xfId="2824"/>
    <cellStyle name="Normal 3 3 2 5 6 2 10" xfId="11715"/>
    <cellStyle name="Normal 3 3 2 5 6 2 10 2" xfId="27850"/>
    <cellStyle name="Normal 3 3 2 5 6 2 11" xfId="6716"/>
    <cellStyle name="Normal 3 3 2 5 6 2 11 2" xfId="22878"/>
    <cellStyle name="Normal 3 3 2 5 6 2 12" xfId="19777"/>
    <cellStyle name="Normal 3 3 2 5 6 2 2" xfId="11716"/>
    <cellStyle name="Normal 3 3 2 5 6 2 2 2" xfId="27851"/>
    <cellStyle name="Normal 3 3 2 5 6 2 3" xfId="11717"/>
    <cellStyle name="Normal 3 3 2 5 6 2 3 2" xfId="27852"/>
    <cellStyle name="Normal 3 3 2 5 6 2 4" xfId="11718"/>
    <cellStyle name="Normal 3 3 2 5 6 2 4 2" xfId="27853"/>
    <cellStyle name="Normal 3 3 2 5 6 2 5" xfId="11719"/>
    <cellStyle name="Normal 3 3 2 5 6 2 5 2" xfId="27854"/>
    <cellStyle name="Normal 3 3 2 5 6 2 6" xfId="11720"/>
    <cellStyle name="Normal 3 3 2 5 6 2 6 2" xfId="27855"/>
    <cellStyle name="Normal 3 3 2 5 6 2 7" xfId="11721"/>
    <cellStyle name="Normal 3 3 2 5 6 2 7 2" xfId="27856"/>
    <cellStyle name="Normal 3 3 2 5 6 2 8" xfId="11722"/>
    <cellStyle name="Normal 3 3 2 5 6 2 8 2" xfId="27857"/>
    <cellStyle name="Normal 3 3 2 5 6 2 9" xfId="11723"/>
    <cellStyle name="Normal 3 3 2 5 6 2 9 2" xfId="27858"/>
    <cellStyle name="Normal 3 3 2 5 6 3" xfId="2825"/>
    <cellStyle name="Normal 3 3 2 5 6 3 10" xfId="11724"/>
    <cellStyle name="Normal 3 3 2 5 6 3 10 2" xfId="27859"/>
    <cellStyle name="Normal 3 3 2 5 6 3 11" xfId="6717"/>
    <cellStyle name="Normal 3 3 2 5 6 3 11 2" xfId="22879"/>
    <cellStyle name="Normal 3 3 2 5 6 3 12" xfId="19778"/>
    <cellStyle name="Normal 3 3 2 5 6 3 2" xfId="11725"/>
    <cellStyle name="Normal 3 3 2 5 6 3 2 2" xfId="27860"/>
    <cellStyle name="Normal 3 3 2 5 6 3 3" xfId="11726"/>
    <cellStyle name="Normal 3 3 2 5 6 3 3 2" xfId="27861"/>
    <cellStyle name="Normal 3 3 2 5 6 3 4" xfId="11727"/>
    <cellStyle name="Normal 3 3 2 5 6 3 4 2" xfId="27862"/>
    <cellStyle name="Normal 3 3 2 5 6 3 5" xfId="11728"/>
    <cellStyle name="Normal 3 3 2 5 6 3 5 2" xfId="27863"/>
    <cellStyle name="Normal 3 3 2 5 6 3 6" xfId="11729"/>
    <cellStyle name="Normal 3 3 2 5 6 3 6 2" xfId="27864"/>
    <cellStyle name="Normal 3 3 2 5 6 3 7" xfId="11730"/>
    <cellStyle name="Normal 3 3 2 5 6 3 7 2" xfId="27865"/>
    <cellStyle name="Normal 3 3 2 5 6 3 8" xfId="11731"/>
    <cellStyle name="Normal 3 3 2 5 6 3 8 2" xfId="27866"/>
    <cellStyle name="Normal 3 3 2 5 6 3 9" xfId="11732"/>
    <cellStyle name="Normal 3 3 2 5 6 3 9 2" xfId="27867"/>
    <cellStyle name="Normal 3 3 2 5 6 4" xfId="11733"/>
    <cellStyle name="Normal 3 3 2 5 6 4 2" xfId="27868"/>
    <cellStyle name="Normal 3 3 2 5 6 5" xfId="11734"/>
    <cellStyle name="Normal 3 3 2 5 6 5 2" xfId="27869"/>
    <cellStyle name="Normal 3 3 2 5 6 6" xfId="11735"/>
    <cellStyle name="Normal 3 3 2 5 6 6 2" xfId="27870"/>
    <cellStyle name="Normal 3 3 2 5 6 7" xfId="11736"/>
    <cellStyle name="Normal 3 3 2 5 6 7 2" xfId="27871"/>
    <cellStyle name="Normal 3 3 2 5 6 8" xfId="11737"/>
    <cellStyle name="Normal 3 3 2 5 6 8 2" xfId="27872"/>
    <cellStyle name="Normal 3 3 2 5 6 9" xfId="11738"/>
    <cellStyle name="Normal 3 3 2 5 6 9 2" xfId="27873"/>
    <cellStyle name="Normal 3 3 2 5 7" xfId="2826"/>
    <cellStyle name="Normal 3 3 2 5 7 10" xfId="11739"/>
    <cellStyle name="Normal 3 3 2 5 7 10 2" xfId="27874"/>
    <cellStyle name="Normal 3 3 2 5 7 11" xfId="6718"/>
    <cellStyle name="Normal 3 3 2 5 7 11 2" xfId="22880"/>
    <cellStyle name="Normal 3 3 2 5 7 12" xfId="19779"/>
    <cellStyle name="Normal 3 3 2 5 7 2" xfId="11740"/>
    <cellStyle name="Normal 3 3 2 5 7 2 2" xfId="27875"/>
    <cellStyle name="Normal 3 3 2 5 7 3" xfId="11741"/>
    <cellStyle name="Normal 3 3 2 5 7 3 2" xfId="27876"/>
    <cellStyle name="Normal 3 3 2 5 7 4" xfId="11742"/>
    <cellStyle name="Normal 3 3 2 5 7 4 2" xfId="27877"/>
    <cellStyle name="Normal 3 3 2 5 7 5" xfId="11743"/>
    <cellStyle name="Normal 3 3 2 5 7 5 2" xfId="27878"/>
    <cellStyle name="Normal 3 3 2 5 7 6" xfId="11744"/>
    <cellStyle name="Normal 3 3 2 5 7 6 2" xfId="27879"/>
    <cellStyle name="Normal 3 3 2 5 7 7" xfId="11745"/>
    <cellStyle name="Normal 3 3 2 5 7 7 2" xfId="27880"/>
    <cellStyle name="Normal 3 3 2 5 7 8" xfId="11746"/>
    <cellStyle name="Normal 3 3 2 5 7 8 2" xfId="27881"/>
    <cellStyle name="Normal 3 3 2 5 7 9" xfId="11747"/>
    <cellStyle name="Normal 3 3 2 5 7 9 2" xfId="27882"/>
    <cellStyle name="Normal 3 3 2 5 8" xfId="2827"/>
    <cellStyle name="Normal 3 3 2 5 8 10" xfId="11748"/>
    <cellStyle name="Normal 3 3 2 5 8 10 2" xfId="27883"/>
    <cellStyle name="Normal 3 3 2 5 8 11" xfId="6719"/>
    <cellStyle name="Normal 3 3 2 5 8 11 2" xfId="22881"/>
    <cellStyle name="Normal 3 3 2 5 8 12" xfId="19780"/>
    <cellStyle name="Normal 3 3 2 5 8 2" xfId="11749"/>
    <cellStyle name="Normal 3 3 2 5 8 2 2" xfId="27884"/>
    <cellStyle name="Normal 3 3 2 5 8 3" xfId="11750"/>
    <cellStyle name="Normal 3 3 2 5 8 3 2" xfId="27885"/>
    <cellStyle name="Normal 3 3 2 5 8 4" xfId="11751"/>
    <cellStyle name="Normal 3 3 2 5 8 4 2" xfId="27886"/>
    <cellStyle name="Normal 3 3 2 5 8 5" xfId="11752"/>
    <cellStyle name="Normal 3 3 2 5 8 5 2" xfId="27887"/>
    <cellStyle name="Normal 3 3 2 5 8 6" xfId="11753"/>
    <cellStyle name="Normal 3 3 2 5 8 6 2" xfId="27888"/>
    <cellStyle name="Normal 3 3 2 5 8 7" xfId="11754"/>
    <cellStyle name="Normal 3 3 2 5 8 7 2" xfId="27889"/>
    <cellStyle name="Normal 3 3 2 5 8 8" xfId="11755"/>
    <cellStyle name="Normal 3 3 2 5 8 8 2" xfId="27890"/>
    <cellStyle name="Normal 3 3 2 5 8 9" xfId="11756"/>
    <cellStyle name="Normal 3 3 2 5 8 9 2" xfId="27891"/>
    <cellStyle name="Normal 3 3 2 5 9" xfId="11757"/>
    <cellStyle name="Normal 3 3 2 5 9 2" xfId="27892"/>
    <cellStyle name="Normal 3 3 2 6" xfId="2439"/>
    <cellStyle name="Normal 3 3 2 6 10" xfId="11758"/>
    <cellStyle name="Normal 3 3 2 6 10 2" xfId="27893"/>
    <cellStyle name="Normal 3 3 2 6 11" xfId="11759"/>
    <cellStyle name="Normal 3 3 2 6 11 2" xfId="27894"/>
    <cellStyle name="Normal 3 3 2 6 12" xfId="11760"/>
    <cellStyle name="Normal 3 3 2 6 12 2" xfId="27895"/>
    <cellStyle name="Normal 3 3 2 6 13" xfId="11761"/>
    <cellStyle name="Normal 3 3 2 6 13 2" xfId="27896"/>
    <cellStyle name="Normal 3 3 2 6 14" xfId="11762"/>
    <cellStyle name="Normal 3 3 2 6 14 2" xfId="27897"/>
    <cellStyle name="Normal 3 3 2 6 15" xfId="11763"/>
    <cellStyle name="Normal 3 3 2 6 15 2" xfId="27898"/>
    <cellStyle name="Normal 3 3 2 6 16" xfId="11764"/>
    <cellStyle name="Normal 3 3 2 6 16 2" xfId="27899"/>
    <cellStyle name="Normal 3 3 2 6 17" xfId="11765"/>
    <cellStyle name="Normal 3 3 2 6 17 2" xfId="27900"/>
    <cellStyle name="Normal 3 3 2 6 18" xfId="6334"/>
    <cellStyle name="Normal 3 3 2 6 18 2" xfId="22496"/>
    <cellStyle name="Normal 3 3 2 6 19" xfId="19657"/>
    <cellStyle name="Normal 3 3 2 6 2" xfId="2828"/>
    <cellStyle name="Normal 3 3 2 6 2 10" xfId="11766"/>
    <cellStyle name="Normal 3 3 2 6 2 10 2" xfId="27901"/>
    <cellStyle name="Normal 3 3 2 6 2 11" xfId="11767"/>
    <cellStyle name="Normal 3 3 2 6 2 11 2" xfId="27902"/>
    <cellStyle name="Normal 3 3 2 6 2 12" xfId="11768"/>
    <cellStyle name="Normal 3 3 2 6 2 12 2" xfId="27903"/>
    <cellStyle name="Normal 3 3 2 6 2 13" xfId="6720"/>
    <cellStyle name="Normal 3 3 2 6 2 13 2" xfId="22882"/>
    <cellStyle name="Normal 3 3 2 6 2 14" xfId="19781"/>
    <cellStyle name="Normal 3 3 2 6 2 2" xfId="58"/>
    <cellStyle name="Normal 3 3 2 6 2 2 10" xfId="11769"/>
    <cellStyle name="Normal 3 3 2 6 2 2 10 2" xfId="27904"/>
    <cellStyle name="Normal 3 3 2 6 2 2 11" xfId="4011"/>
    <cellStyle name="Normal 3 3 2 6 2 2 11 2" xfId="20174"/>
    <cellStyle name="Normal 3 3 2 6 2 2 12" xfId="18976"/>
    <cellStyle name="Normal 3 3 2 6 2 2 2" xfId="11770"/>
    <cellStyle name="Normal 3 3 2 6 2 2 2 2" xfId="27905"/>
    <cellStyle name="Normal 3 3 2 6 2 2 3" xfId="11771"/>
    <cellStyle name="Normal 3 3 2 6 2 2 3 2" xfId="27906"/>
    <cellStyle name="Normal 3 3 2 6 2 2 4" xfId="11772"/>
    <cellStyle name="Normal 3 3 2 6 2 2 4 2" xfId="27907"/>
    <cellStyle name="Normal 3 3 2 6 2 2 5" xfId="11773"/>
    <cellStyle name="Normal 3 3 2 6 2 2 5 2" xfId="27908"/>
    <cellStyle name="Normal 3 3 2 6 2 2 6" xfId="11774"/>
    <cellStyle name="Normal 3 3 2 6 2 2 6 2" xfId="27909"/>
    <cellStyle name="Normal 3 3 2 6 2 2 7" xfId="11775"/>
    <cellStyle name="Normal 3 3 2 6 2 2 7 2" xfId="27910"/>
    <cellStyle name="Normal 3 3 2 6 2 2 8" xfId="11776"/>
    <cellStyle name="Normal 3 3 2 6 2 2 8 2" xfId="27911"/>
    <cellStyle name="Normal 3 3 2 6 2 2 9" xfId="11777"/>
    <cellStyle name="Normal 3 3 2 6 2 2 9 2" xfId="27912"/>
    <cellStyle name="Normal 3 3 2 6 2 3" xfId="2829"/>
    <cellStyle name="Normal 3 3 2 6 2 3 10" xfId="11778"/>
    <cellStyle name="Normal 3 3 2 6 2 3 10 2" xfId="27913"/>
    <cellStyle name="Normal 3 3 2 6 2 3 11" xfId="6721"/>
    <cellStyle name="Normal 3 3 2 6 2 3 11 2" xfId="22883"/>
    <cellStyle name="Normal 3 3 2 6 2 3 12" xfId="19782"/>
    <cellStyle name="Normal 3 3 2 6 2 3 2" xfId="11779"/>
    <cellStyle name="Normal 3 3 2 6 2 3 2 2" xfId="27914"/>
    <cellStyle name="Normal 3 3 2 6 2 3 3" xfId="11780"/>
    <cellStyle name="Normal 3 3 2 6 2 3 3 2" xfId="27915"/>
    <cellStyle name="Normal 3 3 2 6 2 3 4" xfId="11781"/>
    <cellStyle name="Normal 3 3 2 6 2 3 4 2" xfId="27916"/>
    <cellStyle name="Normal 3 3 2 6 2 3 5" xfId="11782"/>
    <cellStyle name="Normal 3 3 2 6 2 3 5 2" xfId="27917"/>
    <cellStyle name="Normal 3 3 2 6 2 3 6" xfId="11783"/>
    <cellStyle name="Normal 3 3 2 6 2 3 6 2" xfId="27918"/>
    <cellStyle name="Normal 3 3 2 6 2 3 7" xfId="11784"/>
    <cellStyle name="Normal 3 3 2 6 2 3 7 2" xfId="27919"/>
    <cellStyle name="Normal 3 3 2 6 2 3 8" xfId="11785"/>
    <cellStyle name="Normal 3 3 2 6 2 3 8 2" xfId="27920"/>
    <cellStyle name="Normal 3 3 2 6 2 3 9" xfId="11786"/>
    <cellStyle name="Normal 3 3 2 6 2 3 9 2" xfId="27921"/>
    <cellStyle name="Normal 3 3 2 6 2 4" xfId="11787"/>
    <cellStyle name="Normal 3 3 2 6 2 4 2" xfId="27922"/>
    <cellStyle name="Normal 3 3 2 6 2 5" xfId="11788"/>
    <cellStyle name="Normal 3 3 2 6 2 5 2" xfId="27923"/>
    <cellStyle name="Normal 3 3 2 6 2 6" xfId="11789"/>
    <cellStyle name="Normal 3 3 2 6 2 6 2" xfId="27924"/>
    <cellStyle name="Normal 3 3 2 6 2 7" xfId="11790"/>
    <cellStyle name="Normal 3 3 2 6 2 7 2" xfId="27925"/>
    <cellStyle name="Normal 3 3 2 6 2 8" xfId="11791"/>
    <cellStyle name="Normal 3 3 2 6 2 8 2" xfId="27926"/>
    <cellStyle name="Normal 3 3 2 6 2 9" xfId="11792"/>
    <cellStyle name="Normal 3 3 2 6 2 9 2" xfId="27927"/>
    <cellStyle name="Normal 3 3 2 6 3" xfId="2830"/>
    <cellStyle name="Normal 3 3 2 6 3 10" xfId="11793"/>
    <cellStyle name="Normal 3 3 2 6 3 10 2" xfId="27928"/>
    <cellStyle name="Normal 3 3 2 6 3 11" xfId="11794"/>
    <cellStyle name="Normal 3 3 2 6 3 11 2" xfId="27929"/>
    <cellStyle name="Normal 3 3 2 6 3 12" xfId="11795"/>
    <cellStyle name="Normal 3 3 2 6 3 12 2" xfId="27930"/>
    <cellStyle name="Normal 3 3 2 6 3 13" xfId="6722"/>
    <cellStyle name="Normal 3 3 2 6 3 13 2" xfId="22884"/>
    <cellStyle name="Normal 3 3 2 6 3 14" xfId="19783"/>
    <cellStyle name="Normal 3 3 2 6 3 2" xfId="500"/>
    <cellStyle name="Normal 3 3 2 6 3 2 10" xfId="11796"/>
    <cellStyle name="Normal 3 3 2 6 3 2 10 2" xfId="27931"/>
    <cellStyle name="Normal 3 3 2 6 3 2 11" xfId="4439"/>
    <cellStyle name="Normal 3 3 2 6 3 2 11 2" xfId="20602"/>
    <cellStyle name="Normal 3 3 2 6 3 2 12" xfId="19097"/>
    <cellStyle name="Normal 3 3 2 6 3 2 2" xfId="11797"/>
    <cellStyle name="Normal 3 3 2 6 3 2 2 2" xfId="27932"/>
    <cellStyle name="Normal 3 3 2 6 3 2 3" xfId="11798"/>
    <cellStyle name="Normal 3 3 2 6 3 2 3 2" xfId="27933"/>
    <cellStyle name="Normal 3 3 2 6 3 2 4" xfId="11799"/>
    <cellStyle name="Normal 3 3 2 6 3 2 4 2" xfId="27934"/>
    <cellStyle name="Normal 3 3 2 6 3 2 5" xfId="11800"/>
    <cellStyle name="Normal 3 3 2 6 3 2 5 2" xfId="27935"/>
    <cellStyle name="Normal 3 3 2 6 3 2 6" xfId="11801"/>
    <cellStyle name="Normal 3 3 2 6 3 2 6 2" xfId="27936"/>
    <cellStyle name="Normal 3 3 2 6 3 2 7" xfId="11802"/>
    <cellStyle name="Normal 3 3 2 6 3 2 7 2" xfId="27937"/>
    <cellStyle name="Normal 3 3 2 6 3 2 8" xfId="11803"/>
    <cellStyle name="Normal 3 3 2 6 3 2 8 2" xfId="27938"/>
    <cellStyle name="Normal 3 3 2 6 3 2 9" xfId="11804"/>
    <cellStyle name="Normal 3 3 2 6 3 2 9 2" xfId="27939"/>
    <cellStyle name="Normal 3 3 2 6 3 3" xfId="2831"/>
    <cellStyle name="Normal 3 3 2 6 3 3 10" xfId="11805"/>
    <cellStyle name="Normal 3 3 2 6 3 3 10 2" xfId="27940"/>
    <cellStyle name="Normal 3 3 2 6 3 3 11" xfId="6723"/>
    <cellStyle name="Normal 3 3 2 6 3 3 11 2" xfId="22885"/>
    <cellStyle name="Normal 3 3 2 6 3 3 12" xfId="19784"/>
    <cellStyle name="Normal 3 3 2 6 3 3 2" xfId="11806"/>
    <cellStyle name="Normal 3 3 2 6 3 3 2 2" xfId="27941"/>
    <cellStyle name="Normal 3 3 2 6 3 3 3" xfId="11807"/>
    <cellStyle name="Normal 3 3 2 6 3 3 3 2" xfId="27942"/>
    <cellStyle name="Normal 3 3 2 6 3 3 4" xfId="11808"/>
    <cellStyle name="Normal 3 3 2 6 3 3 4 2" xfId="27943"/>
    <cellStyle name="Normal 3 3 2 6 3 3 5" xfId="11809"/>
    <cellStyle name="Normal 3 3 2 6 3 3 5 2" xfId="27944"/>
    <cellStyle name="Normal 3 3 2 6 3 3 6" xfId="11810"/>
    <cellStyle name="Normal 3 3 2 6 3 3 6 2" xfId="27945"/>
    <cellStyle name="Normal 3 3 2 6 3 3 7" xfId="11811"/>
    <cellStyle name="Normal 3 3 2 6 3 3 7 2" xfId="27946"/>
    <cellStyle name="Normal 3 3 2 6 3 3 8" xfId="11812"/>
    <cellStyle name="Normal 3 3 2 6 3 3 8 2" xfId="27947"/>
    <cellStyle name="Normal 3 3 2 6 3 3 9" xfId="11813"/>
    <cellStyle name="Normal 3 3 2 6 3 3 9 2" xfId="27948"/>
    <cellStyle name="Normal 3 3 2 6 3 4" xfId="11814"/>
    <cellStyle name="Normal 3 3 2 6 3 4 2" xfId="27949"/>
    <cellStyle name="Normal 3 3 2 6 3 5" xfId="11815"/>
    <cellStyle name="Normal 3 3 2 6 3 5 2" xfId="27950"/>
    <cellStyle name="Normal 3 3 2 6 3 6" xfId="11816"/>
    <cellStyle name="Normal 3 3 2 6 3 6 2" xfId="27951"/>
    <cellStyle name="Normal 3 3 2 6 3 7" xfId="11817"/>
    <cellStyle name="Normal 3 3 2 6 3 7 2" xfId="27952"/>
    <cellStyle name="Normal 3 3 2 6 3 8" xfId="11818"/>
    <cellStyle name="Normal 3 3 2 6 3 8 2" xfId="27953"/>
    <cellStyle name="Normal 3 3 2 6 3 9" xfId="11819"/>
    <cellStyle name="Normal 3 3 2 6 3 9 2" xfId="27954"/>
    <cellStyle name="Normal 3 3 2 6 4" xfId="1161"/>
    <cellStyle name="Normal 3 3 2 6 4 10" xfId="11820"/>
    <cellStyle name="Normal 3 3 2 6 4 10 2" xfId="27955"/>
    <cellStyle name="Normal 3 3 2 6 4 11" xfId="11821"/>
    <cellStyle name="Normal 3 3 2 6 4 11 2" xfId="27956"/>
    <cellStyle name="Normal 3 3 2 6 4 12" xfId="11822"/>
    <cellStyle name="Normal 3 3 2 6 4 12 2" xfId="27957"/>
    <cellStyle name="Normal 3 3 2 6 4 13" xfId="5082"/>
    <cellStyle name="Normal 3 3 2 6 4 13 2" xfId="21244"/>
    <cellStyle name="Normal 3 3 2 6 4 14" xfId="19335"/>
    <cellStyle name="Normal 3 3 2 6 4 2" xfId="2188"/>
    <cellStyle name="Normal 3 3 2 6 4 2 10" xfId="11823"/>
    <cellStyle name="Normal 3 3 2 6 4 2 10 2" xfId="27958"/>
    <cellStyle name="Normal 3 3 2 6 4 2 11" xfId="6090"/>
    <cellStyle name="Normal 3 3 2 6 4 2 11 2" xfId="22252"/>
    <cellStyle name="Normal 3 3 2 6 4 2 12" xfId="19620"/>
    <cellStyle name="Normal 3 3 2 6 4 2 2" xfId="11824"/>
    <cellStyle name="Normal 3 3 2 6 4 2 2 2" xfId="27959"/>
    <cellStyle name="Normal 3 3 2 6 4 2 3" xfId="11825"/>
    <cellStyle name="Normal 3 3 2 6 4 2 3 2" xfId="27960"/>
    <cellStyle name="Normal 3 3 2 6 4 2 4" xfId="11826"/>
    <cellStyle name="Normal 3 3 2 6 4 2 4 2" xfId="27961"/>
    <cellStyle name="Normal 3 3 2 6 4 2 5" xfId="11827"/>
    <cellStyle name="Normal 3 3 2 6 4 2 5 2" xfId="27962"/>
    <cellStyle name="Normal 3 3 2 6 4 2 6" xfId="11828"/>
    <cellStyle name="Normal 3 3 2 6 4 2 6 2" xfId="27963"/>
    <cellStyle name="Normal 3 3 2 6 4 2 7" xfId="11829"/>
    <cellStyle name="Normal 3 3 2 6 4 2 7 2" xfId="27964"/>
    <cellStyle name="Normal 3 3 2 6 4 2 8" xfId="11830"/>
    <cellStyle name="Normal 3 3 2 6 4 2 8 2" xfId="27965"/>
    <cellStyle name="Normal 3 3 2 6 4 2 9" xfId="11831"/>
    <cellStyle name="Normal 3 3 2 6 4 2 9 2" xfId="27966"/>
    <cellStyle name="Normal 3 3 2 6 4 3" xfId="2249"/>
    <cellStyle name="Normal 3 3 2 6 4 3 10" xfId="11832"/>
    <cellStyle name="Normal 3 3 2 6 4 3 10 2" xfId="27967"/>
    <cellStyle name="Normal 3 3 2 6 4 3 11" xfId="6148"/>
    <cellStyle name="Normal 3 3 2 6 4 3 11 2" xfId="22310"/>
    <cellStyle name="Normal 3 3 2 6 4 3 12" xfId="19624"/>
    <cellStyle name="Normal 3 3 2 6 4 3 2" xfId="11833"/>
    <cellStyle name="Normal 3 3 2 6 4 3 2 2" xfId="27968"/>
    <cellStyle name="Normal 3 3 2 6 4 3 3" xfId="11834"/>
    <cellStyle name="Normal 3 3 2 6 4 3 3 2" xfId="27969"/>
    <cellStyle name="Normal 3 3 2 6 4 3 4" xfId="11835"/>
    <cellStyle name="Normal 3 3 2 6 4 3 4 2" xfId="27970"/>
    <cellStyle name="Normal 3 3 2 6 4 3 5" xfId="11836"/>
    <cellStyle name="Normal 3 3 2 6 4 3 5 2" xfId="27971"/>
    <cellStyle name="Normal 3 3 2 6 4 3 6" xfId="11837"/>
    <cellStyle name="Normal 3 3 2 6 4 3 6 2" xfId="27972"/>
    <cellStyle name="Normal 3 3 2 6 4 3 7" xfId="11838"/>
    <cellStyle name="Normal 3 3 2 6 4 3 7 2" xfId="27973"/>
    <cellStyle name="Normal 3 3 2 6 4 3 8" xfId="11839"/>
    <cellStyle name="Normal 3 3 2 6 4 3 8 2" xfId="27974"/>
    <cellStyle name="Normal 3 3 2 6 4 3 9" xfId="11840"/>
    <cellStyle name="Normal 3 3 2 6 4 3 9 2" xfId="27975"/>
    <cellStyle name="Normal 3 3 2 6 4 4" xfId="11841"/>
    <cellStyle name="Normal 3 3 2 6 4 4 2" xfId="27976"/>
    <cellStyle name="Normal 3 3 2 6 4 5" xfId="11842"/>
    <cellStyle name="Normal 3 3 2 6 4 5 2" xfId="27977"/>
    <cellStyle name="Normal 3 3 2 6 4 6" xfId="11843"/>
    <cellStyle name="Normal 3 3 2 6 4 6 2" xfId="27978"/>
    <cellStyle name="Normal 3 3 2 6 4 7" xfId="11844"/>
    <cellStyle name="Normal 3 3 2 6 4 7 2" xfId="27979"/>
    <cellStyle name="Normal 3 3 2 6 4 8" xfId="11845"/>
    <cellStyle name="Normal 3 3 2 6 4 8 2" xfId="27980"/>
    <cellStyle name="Normal 3 3 2 6 4 9" xfId="11846"/>
    <cellStyle name="Normal 3 3 2 6 4 9 2" xfId="27981"/>
    <cellStyle name="Normal 3 3 2 6 5" xfId="1166"/>
    <cellStyle name="Normal 3 3 2 6 5 10" xfId="11847"/>
    <cellStyle name="Normal 3 3 2 6 5 10 2" xfId="27982"/>
    <cellStyle name="Normal 3 3 2 6 5 11" xfId="11848"/>
    <cellStyle name="Normal 3 3 2 6 5 11 2" xfId="27983"/>
    <cellStyle name="Normal 3 3 2 6 5 12" xfId="11849"/>
    <cellStyle name="Normal 3 3 2 6 5 12 2" xfId="27984"/>
    <cellStyle name="Normal 3 3 2 6 5 13" xfId="5087"/>
    <cellStyle name="Normal 3 3 2 6 5 13 2" xfId="21249"/>
    <cellStyle name="Normal 3 3 2 6 5 14" xfId="19338"/>
    <cellStyle name="Normal 3 3 2 6 5 2" xfId="2834"/>
    <cellStyle name="Normal 3 3 2 6 5 2 10" xfId="11850"/>
    <cellStyle name="Normal 3 3 2 6 5 2 10 2" xfId="27985"/>
    <cellStyle name="Normal 3 3 2 6 5 2 11" xfId="6724"/>
    <cellStyle name="Normal 3 3 2 6 5 2 11 2" xfId="22886"/>
    <cellStyle name="Normal 3 3 2 6 5 2 12" xfId="19786"/>
    <cellStyle name="Normal 3 3 2 6 5 2 2" xfId="11851"/>
    <cellStyle name="Normal 3 3 2 6 5 2 2 2" xfId="27986"/>
    <cellStyle name="Normal 3 3 2 6 5 2 3" xfId="11852"/>
    <cellStyle name="Normal 3 3 2 6 5 2 3 2" xfId="27987"/>
    <cellStyle name="Normal 3 3 2 6 5 2 4" xfId="11853"/>
    <cellStyle name="Normal 3 3 2 6 5 2 4 2" xfId="27988"/>
    <cellStyle name="Normal 3 3 2 6 5 2 5" xfId="11854"/>
    <cellStyle name="Normal 3 3 2 6 5 2 5 2" xfId="27989"/>
    <cellStyle name="Normal 3 3 2 6 5 2 6" xfId="11855"/>
    <cellStyle name="Normal 3 3 2 6 5 2 6 2" xfId="27990"/>
    <cellStyle name="Normal 3 3 2 6 5 2 7" xfId="11856"/>
    <cellStyle name="Normal 3 3 2 6 5 2 7 2" xfId="27991"/>
    <cellStyle name="Normal 3 3 2 6 5 2 8" xfId="11857"/>
    <cellStyle name="Normal 3 3 2 6 5 2 8 2" xfId="27992"/>
    <cellStyle name="Normal 3 3 2 6 5 2 9" xfId="11858"/>
    <cellStyle name="Normal 3 3 2 6 5 2 9 2" xfId="27993"/>
    <cellStyle name="Normal 3 3 2 6 5 3" xfId="2837"/>
    <cellStyle name="Normal 3 3 2 6 5 3 10" xfId="11859"/>
    <cellStyle name="Normal 3 3 2 6 5 3 10 2" xfId="27994"/>
    <cellStyle name="Normal 3 3 2 6 5 3 11" xfId="6726"/>
    <cellStyle name="Normal 3 3 2 6 5 3 11 2" xfId="22888"/>
    <cellStyle name="Normal 3 3 2 6 5 3 12" xfId="19788"/>
    <cellStyle name="Normal 3 3 2 6 5 3 2" xfId="11860"/>
    <cellStyle name="Normal 3 3 2 6 5 3 2 2" xfId="27995"/>
    <cellStyle name="Normal 3 3 2 6 5 3 3" xfId="11861"/>
    <cellStyle name="Normal 3 3 2 6 5 3 3 2" xfId="27996"/>
    <cellStyle name="Normal 3 3 2 6 5 3 4" xfId="11862"/>
    <cellStyle name="Normal 3 3 2 6 5 3 4 2" xfId="27997"/>
    <cellStyle name="Normal 3 3 2 6 5 3 5" xfId="11863"/>
    <cellStyle name="Normal 3 3 2 6 5 3 5 2" xfId="27998"/>
    <cellStyle name="Normal 3 3 2 6 5 3 6" xfId="11864"/>
    <cellStyle name="Normal 3 3 2 6 5 3 6 2" xfId="27999"/>
    <cellStyle name="Normal 3 3 2 6 5 3 7" xfId="11865"/>
    <cellStyle name="Normal 3 3 2 6 5 3 7 2" xfId="28000"/>
    <cellStyle name="Normal 3 3 2 6 5 3 8" xfId="11866"/>
    <cellStyle name="Normal 3 3 2 6 5 3 8 2" xfId="28001"/>
    <cellStyle name="Normal 3 3 2 6 5 3 9" xfId="11867"/>
    <cellStyle name="Normal 3 3 2 6 5 3 9 2" xfId="28002"/>
    <cellStyle name="Normal 3 3 2 6 5 4" xfId="11868"/>
    <cellStyle name="Normal 3 3 2 6 5 4 2" xfId="28003"/>
    <cellStyle name="Normal 3 3 2 6 5 5" xfId="11869"/>
    <cellStyle name="Normal 3 3 2 6 5 5 2" xfId="28004"/>
    <cellStyle name="Normal 3 3 2 6 5 6" xfId="11870"/>
    <cellStyle name="Normal 3 3 2 6 5 6 2" xfId="28005"/>
    <cellStyle name="Normal 3 3 2 6 5 7" xfId="11871"/>
    <cellStyle name="Normal 3 3 2 6 5 7 2" xfId="28006"/>
    <cellStyle name="Normal 3 3 2 6 5 8" xfId="11872"/>
    <cellStyle name="Normal 3 3 2 6 5 8 2" xfId="28007"/>
    <cellStyle name="Normal 3 3 2 6 5 9" xfId="11873"/>
    <cellStyle name="Normal 3 3 2 6 5 9 2" xfId="28008"/>
    <cellStyle name="Normal 3 3 2 6 6" xfId="703"/>
    <cellStyle name="Normal 3 3 2 6 6 10" xfId="11874"/>
    <cellStyle name="Normal 3 3 2 6 6 10 2" xfId="28009"/>
    <cellStyle name="Normal 3 3 2 6 6 11" xfId="11875"/>
    <cellStyle name="Normal 3 3 2 6 6 11 2" xfId="28010"/>
    <cellStyle name="Normal 3 3 2 6 6 12" xfId="11876"/>
    <cellStyle name="Normal 3 3 2 6 6 12 2" xfId="28011"/>
    <cellStyle name="Normal 3 3 2 6 6 13" xfId="4632"/>
    <cellStyle name="Normal 3 3 2 6 6 13 2" xfId="20794"/>
    <cellStyle name="Normal 3 3 2 6 6 14" xfId="19161"/>
    <cellStyle name="Normal 3 3 2 6 6 2" xfId="2838"/>
    <cellStyle name="Normal 3 3 2 6 6 2 10" xfId="11877"/>
    <cellStyle name="Normal 3 3 2 6 6 2 10 2" xfId="28012"/>
    <cellStyle name="Normal 3 3 2 6 6 2 11" xfId="6729"/>
    <cellStyle name="Normal 3 3 2 6 6 2 11 2" xfId="22891"/>
    <cellStyle name="Normal 3 3 2 6 6 2 12" xfId="19789"/>
    <cellStyle name="Normal 3 3 2 6 6 2 2" xfId="11878"/>
    <cellStyle name="Normal 3 3 2 6 6 2 2 2" xfId="28013"/>
    <cellStyle name="Normal 3 3 2 6 6 2 3" xfId="11879"/>
    <cellStyle name="Normal 3 3 2 6 6 2 3 2" xfId="28014"/>
    <cellStyle name="Normal 3 3 2 6 6 2 4" xfId="11880"/>
    <cellStyle name="Normal 3 3 2 6 6 2 4 2" xfId="28015"/>
    <cellStyle name="Normal 3 3 2 6 6 2 5" xfId="11881"/>
    <cellStyle name="Normal 3 3 2 6 6 2 5 2" xfId="28016"/>
    <cellStyle name="Normal 3 3 2 6 6 2 6" xfId="11882"/>
    <cellStyle name="Normal 3 3 2 6 6 2 6 2" xfId="28017"/>
    <cellStyle name="Normal 3 3 2 6 6 2 7" xfId="11883"/>
    <cellStyle name="Normal 3 3 2 6 6 2 7 2" xfId="28018"/>
    <cellStyle name="Normal 3 3 2 6 6 2 8" xfId="11884"/>
    <cellStyle name="Normal 3 3 2 6 6 2 8 2" xfId="28019"/>
    <cellStyle name="Normal 3 3 2 6 6 2 9" xfId="11885"/>
    <cellStyle name="Normal 3 3 2 6 6 2 9 2" xfId="28020"/>
    <cellStyle name="Normal 3 3 2 6 6 3" xfId="2840"/>
    <cellStyle name="Normal 3 3 2 6 6 3 10" xfId="11886"/>
    <cellStyle name="Normal 3 3 2 6 6 3 10 2" xfId="28021"/>
    <cellStyle name="Normal 3 3 2 6 6 3 11" xfId="6730"/>
    <cellStyle name="Normal 3 3 2 6 6 3 11 2" xfId="22892"/>
    <cellStyle name="Normal 3 3 2 6 6 3 12" xfId="19790"/>
    <cellStyle name="Normal 3 3 2 6 6 3 2" xfId="11887"/>
    <cellStyle name="Normal 3 3 2 6 6 3 2 2" xfId="28022"/>
    <cellStyle name="Normal 3 3 2 6 6 3 3" xfId="11888"/>
    <cellStyle name="Normal 3 3 2 6 6 3 3 2" xfId="28023"/>
    <cellStyle name="Normal 3 3 2 6 6 3 4" xfId="11889"/>
    <cellStyle name="Normal 3 3 2 6 6 3 4 2" xfId="28024"/>
    <cellStyle name="Normal 3 3 2 6 6 3 5" xfId="11890"/>
    <cellStyle name="Normal 3 3 2 6 6 3 5 2" xfId="28025"/>
    <cellStyle name="Normal 3 3 2 6 6 3 6" xfId="11891"/>
    <cellStyle name="Normal 3 3 2 6 6 3 6 2" xfId="28026"/>
    <cellStyle name="Normal 3 3 2 6 6 3 7" xfId="11892"/>
    <cellStyle name="Normal 3 3 2 6 6 3 7 2" xfId="28027"/>
    <cellStyle name="Normal 3 3 2 6 6 3 8" xfId="11893"/>
    <cellStyle name="Normal 3 3 2 6 6 3 8 2" xfId="28028"/>
    <cellStyle name="Normal 3 3 2 6 6 3 9" xfId="11894"/>
    <cellStyle name="Normal 3 3 2 6 6 3 9 2" xfId="28029"/>
    <cellStyle name="Normal 3 3 2 6 6 4" xfId="11895"/>
    <cellStyle name="Normal 3 3 2 6 6 4 2" xfId="28030"/>
    <cellStyle name="Normal 3 3 2 6 6 5" xfId="11896"/>
    <cellStyle name="Normal 3 3 2 6 6 5 2" xfId="28031"/>
    <cellStyle name="Normal 3 3 2 6 6 6" xfId="11897"/>
    <cellStyle name="Normal 3 3 2 6 6 6 2" xfId="28032"/>
    <cellStyle name="Normal 3 3 2 6 6 7" xfId="11898"/>
    <cellStyle name="Normal 3 3 2 6 6 7 2" xfId="28033"/>
    <cellStyle name="Normal 3 3 2 6 6 8" xfId="11899"/>
    <cellStyle name="Normal 3 3 2 6 6 8 2" xfId="28034"/>
    <cellStyle name="Normal 3 3 2 6 6 9" xfId="11900"/>
    <cellStyle name="Normal 3 3 2 6 6 9 2" xfId="28035"/>
    <cellStyle name="Normal 3 3 2 6 7" xfId="706"/>
    <cellStyle name="Normal 3 3 2 6 7 10" xfId="11901"/>
    <cellStyle name="Normal 3 3 2 6 7 10 2" xfId="28036"/>
    <cellStyle name="Normal 3 3 2 6 7 11" xfId="4635"/>
    <cellStyle name="Normal 3 3 2 6 7 11 2" xfId="20797"/>
    <cellStyle name="Normal 3 3 2 6 7 12" xfId="19163"/>
    <cellStyle name="Normal 3 3 2 6 7 2" xfId="11902"/>
    <cellStyle name="Normal 3 3 2 6 7 2 2" xfId="28037"/>
    <cellStyle name="Normal 3 3 2 6 7 3" xfId="11903"/>
    <cellStyle name="Normal 3 3 2 6 7 3 2" xfId="28038"/>
    <cellStyle name="Normal 3 3 2 6 7 4" xfId="11904"/>
    <cellStyle name="Normal 3 3 2 6 7 4 2" xfId="28039"/>
    <cellStyle name="Normal 3 3 2 6 7 5" xfId="11905"/>
    <cellStyle name="Normal 3 3 2 6 7 5 2" xfId="28040"/>
    <cellStyle name="Normal 3 3 2 6 7 6" xfId="11906"/>
    <cellStyle name="Normal 3 3 2 6 7 6 2" xfId="28041"/>
    <cellStyle name="Normal 3 3 2 6 7 7" xfId="11907"/>
    <cellStyle name="Normal 3 3 2 6 7 7 2" xfId="28042"/>
    <cellStyle name="Normal 3 3 2 6 7 8" xfId="11908"/>
    <cellStyle name="Normal 3 3 2 6 7 8 2" xfId="28043"/>
    <cellStyle name="Normal 3 3 2 6 7 9" xfId="11909"/>
    <cellStyle name="Normal 3 3 2 6 7 9 2" xfId="28044"/>
    <cellStyle name="Normal 3 3 2 6 8" xfId="629"/>
    <cellStyle name="Normal 3 3 2 6 8 10" xfId="11910"/>
    <cellStyle name="Normal 3 3 2 6 8 10 2" xfId="28045"/>
    <cellStyle name="Normal 3 3 2 6 8 11" xfId="4563"/>
    <cellStyle name="Normal 3 3 2 6 8 11 2" xfId="20725"/>
    <cellStyle name="Normal 3 3 2 6 8 12" xfId="19135"/>
    <cellStyle name="Normal 3 3 2 6 8 2" xfId="11911"/>
    <cellStyle name="Normal 3 3 2 6 8 2 2" xfId="28046"/>
    <cellStyle name="Normal 3 3 2 6 8 3" xfId="11912"/>
    <cellStyle name="Normal 3 3 2 6 8 3 2" xfId="28047"/>
    <cellStyle name="Normal 3 3 2 6 8 4" xfId="11913"/>
    <cellStyle name="Normal 3 3 2 6 8 4 2" xfId="28048"/>
    <cellStyle name="Normal 3 3 2 6 8 5" xfId="11914"/>
    <cellStyle name="Normal 3 3 2 6 8 5 2" xfId="28049"/>
    <cellStyle name="Normal 3 3 2 6 8 6" xfId="11915"/>
    <cellStyle name="Normal 3 3 2 6 8 6 2" xfId="28050"/>
    <cellStyle name="Normal 3 3 2 6 8 7" xfId="11916"/>
    <cellStyle name="Normal 3 3 2 6 8 7 2" xfId="28051"/>
    <cellStyle name="Normal 3 3 2 6 8 8" xfId="11917"/>
    <cellStyle name="Normal 3 3 2 6 8 8 2" xfId="28052"/>
    <cellStyle name="Normal 3 3 2 6 8 9" xfId="11918"/>
    <cellStyle name="Normal 3 3 2 6 8 9 2" xfId="28053"/>
    <cellStyle name="Normal 3 3 2 6 9" xfId="11919"/>
    <cellStyle name="Normal 3 3 2 6 9 2" xfId="28054"/>
    <cellStyle name="Normal 3 3 2 7" xfId="2441"/>
    <cellStyle name="Normal 3 3 2 7 10" xfId="11920"/>
    <cellStyle name="Normal 3 3 2 7 10 2" xfId="28055"/>
    <cellStyle name="Normal 3 3 2 7 11" xfId="11921"/>
    <cellStyle name="Normal 3 3 2 7 11 2" xfId="28056"/>
    <cellStyle name="Normal 3 3 2 7 12" xfId="11922"/>
    <cellStyle name="Normal 3 3 2 7 12 2" xfId="28057"/>
    <cellStyle name="Normal 3 3 2 7 13" xfId="11923"/>
    <cellStyle name="Normal 3 3 2 7 13 2" xfId="28058"/>
    <cellStyle name="Normal 3 3 2 7 14" xfId="11924"/>
    <cellStyle name="Normal 3 3 2 7 14 2" xfId="28059"/>
    <cellStyle name="Normal 3 3 2 7 15" xfId="11925"/>
    <cellStyle name="Normal 3 3 2 7 15 2" xfId="28060"/>
    <cellStyle name="Normal 3 3 2 7 16" xfId="11926"/>
    <cellStyle name="Normal 3 3 2 7 16 2" xfId="28061"/>
    <cellStyle name="Normal 3 3 2 7 17" xfId="11927"/>
    <cellStyle name="Normal 3 3 2 7 17 2" xfId="28062"/>
    <cellStyle name="Normal 3 3 2 7 18" xfId="6336"/>
    <cellStyle name="Normal 3 3 2 7 18 2" xfId="22498"/>
    <cellStyle name="Normal 3 3 2 7 19" xfId="19658"/>
    <cellStyle name="Normal 3 3 2 7 2" xfId="903"/>
    <cellStyle name="Normal 3 3 2 7 2 10" xfId="11928"/>
    <cellStyle name="Normal 3 3 2 7 2 10 2" xfId="28063"/>
    <cellStyle name="Normal 3 3 2 7 2 11" xfId="11929"/>
    <cellStyle name="Normal 3 3 2 7 2 11 2" xfId="28064"/>
    <cellStyle name="Normal 3 3 2 7 2 12" xfId="11930"/>
    <cellStyle name="Normal 3 3 2 7 2 12 2" xfId="28065"/>
    <cellStyle name="Normal 3 3 2 7 2 13" xfId="4831"/>
    <cellStyle name="Normal 3 3 2 7 2 13 2" xfId="20993"/>
    <cellStyle name="Normal 3 3 2 7 2 14" xfId="19227"/>
    <cellStyle name="Normal 3 3 2 7 2 2" xfId="834"/>
    <cellStyle name="Normal 3 3 2 7 2 2 10" xfId="11931"/>
    <cellStyle name="Normal 3 3 2 7 2 2 10 2" xfId="28066"/>
    <cellStyle name="Normal 3 3 2 7 2 2 11" xfId="4761"/>
    <cellStyle name="Normal 3 3 2 7 2 2 11 2" xfId="20923"/>
    <cellStyle name="Normal 3 3 2 7 2 2 12" xfId="19201"/>
    <cellStyle name="Normal 3 3 2 7 2 2 2" xfId="11932"/>
    <cellStyle name="Normal 3 3 2 7 2 2 2 2" xfId="28067"/>
    <cellStyle name="Normal 3 3 2 7 2 2 3" xfId="11933"/>
    <cellStyle name="Normal 3 3 2 7 2 2 3 2" xfId="28068"/>
    <cellStyle name="Normal 3 3 2 7 2 2 4" xfId="11934"/>
    <cellStyle name="Normal 3 3 2 7 2 2 4 2" xfId="28069"/>
    <cellStyle name="Normal 3 3 2 7 2 2 5" xfId="11935"/>
    <cellStyle name="Normal 3 3 2 7 2 2 5 2" xfId="28070"/>
    <cellStyle name="Normal 3 3 2 7 2 2 6" xfId="11936"/>
    <cellStyle name="Normal 3 3 2 7 2 2 6 2" xfId="28071"/>
    <cellStyle name="Normal 3 3 2 7 2 2 7" xfId="11937"/>
    <cellStyle name="Normal 3 3 2 7 2 2 7 2" xfId="28072"/>
    <cellStyle name="Normal 3 3 2 7 2 2 8" xfId="11938"/>
    <cellStyle name="Normal 3 3 2 7 2 2 8 2" xfId="28073"/>
    <cellStyle name="Normal 3 3 2 7 2 2 9" xfId="11939"/>
    <cellStyle name="Normal 3 3 2 7 2 2 9 2" xfId="28074"/>
    <cellStyle name="Normal 3 3 2 7 2 3" xfId="2841"/>
    <cellStyle name="Normal 3 3 2 7 2 3 10" xfId="11940"/>
    <cellStyle name="Normal 3 3 2 7 2 3 10 2" xfId="28075"/>
    <cellStyle name="Normal 3 3 2 7 2 3 11" xfId="6732"/>
    <cellStyle name="Normal 3 3 2 7 2 3 11 2" xfId="22894"/>
    <cellStyle name="Normal 3 3 2 7 2 3 12" xfId="19791"/>
    <cellStyle name="Normal 3 3 2 7 2 3 2" xfId="11941"/>
    <cellStyle name="Normal 3 3 2 7 2 3 2 2" xfId="28076"/>
    <cellStyle name="Normal 3 3 2 7 2 3 3" xfId="11942"/>
    <cellStyle name="Normal 3 3 2 7 2 3 3 2" xfId="28077"/>
    <cellStyle name="Normal 3 3 2 7 2 3 4" xfId="11943"/>
    <cellStyle name="Normal 3 3 2 7 2 3 4 2" xfId="28078"/>
    <cellStyle name="Normal 3 3 2 7 2 3 5" xfId="11944"/>
    <cellStyle name="Normal 3 3 2 7 2 3 5 2" xfId="28079"/>
    <cellStyle name="Normal 3 3 2 7 2 3 6" xfId="11945"/>
    <cellStyle name="Normal 3 3 2 7 2 3 6 2" xfId="28080"/>
    <cellStyle name="Normal 3 3 2 7 2 3 7" xfId="11946"/>
    <cellStyle name="Normal 3 3 2 7 2 3 7 2" xfId="28081"/>
    <cellStyle name="Normal 3 3 2 7 2 3 8" xfId="11947"/>
    <cellStyle name="Normal 3 3 2 7 2 3 8 2" xfId="28082"/>
    <cellStyle name="Normal 3 3 2 7 2 3 9" xfId="11948"/>
    <cellStyle name="Normal 3 3 2 7 2 3 9 2" xfId="28083"/>
    <cellStyle name="Normal 3 3 2 7 2 4" xfId="11949"/>
    <cellStyle name="Normal 3 3 2 7 2 4 2" xfId="28084"/>
    <cellStyle name="Normal 3 3 2 7 2 5" xfId="11950"/>
    <cellStyle name="Normal 3 3 2 7 2 5 2" xfId="28085"/>
    <cellStyle name="Normal 3 3 2 7 2 6" xfId="11951"/>
    <cellStyle name="Normal 3 3 2 7 2 6 2" xfId="28086"/>
    <cellStyle name="Normal 3 3 2 7 2 7" xfId="11952"/>
    <cellStyle name="Normal 3 3 2 7 2 7 2" xfId="28087"/>
    <cellStyle name="Normal 3 3 2 7 2 8" xfId="11953"/>
    <cellStyle name="Normal 3 3 2 7 2 8 2" xfId="28088"/>
    <cellStyle name="Normal 3 3 2 7 2 9" xfId="11954"/>
    <cellStyle name="Normal 3 3 2 7 2 9 2" xfId="28089"/>
    <cellStyle name="Normal 3 3 2 7 3" xfId="915"/>
    <cellStyle name="Normal 3 3 2 7 3 10" xfId="11955"/>
    <cellStyle name="Normal 3 3 2 7 3 10 2" xfId="28090"/>
    <cellStyle name="Normal 3 3 2 7 3 11" xfId="11956"/>
    <cellStyle name="Normal 3 3 2 7 3 11 2" xfId="28091"/>
    <cellStyle name="Normal 3 3 2 7 3 12" xfId="11957"/>
    <cellStyle name="Normal 3 3 2 7 3 12 2" xfId="28092"/>
    <cellStyle name="Normal 3 3 2 7 3 13" xfId="4833"/>
    <cellStyle name="Normal 3 3 2 7 3 13 2" xfId="20995"/>
    <cellStyle name="Normal 3 3 2 7 3 14" xfId="19230"/>
    <cellStyle name="Normal 3 3 2 7 3 2" xfId="2842"/>
    <cellStyle name="Normal 3 3 2 7 3 2 10" xfId="11958"/>
    <cellStyle name="Normal 3 3 2 7 3 2 10 2" xfId="28093"/>
    <cellStyle name="Normal 3 3 2 7 3 2 11" xfId="6733"/>
    <cellStyle name="Normal 3 3 2 7 3 2 11 2" xfId="22895"/>
    <cellStyle name="Normal 3 3 2 7 3 2 12" xfId="19792"/>
    <cellStyle name="Normal 3 3 2 7 3 2 2" xfId="11959"/>
    <cellStyle name="Normal 3 3 2 7 3 2 2 2" xfId="28094"/>
    <cellStyle name="Normal 3 3 2 7 3 2 3" xfId="11960"/>
    <cellStyle name="Normal 3 3 2 7 3 2 3 2" xfId="28095"/>
    <cellStyle name="Normal 3 3 2 7 3 2 4" xfId="11961"/>
    <cellStyle name="Normal 3 3 2 7 3 2 4 2" xfId="28096"/>
    <cellStyle name="Normal 3 3 2 7 3 2 5" xfId="11962"/>
    <cellStyle name="Normal 3 3 2 7 3 2 5 2" xfId="28097"/>
    <cellStyle name="Normal 3 3 2 7 3 2 6" xfId="11963"/>
    <cellStyle name="Normal 3 3 2 7 3 2 6 2" xfId="28098"/>
    <cellStyle name="Normal 3 3 2 7 3 2 7" xfId="11964"/>
    <cellStyle name="Normal 3 3 2 7 3 2 7 2" xfId="28099"/>
    <cellStyle name="Normal 3 3 2 7 3 2 8" xfId="11965"/>
    <cellStyle name="Normal 3 3 2 7 3 2 8 2" xfId="28100"/>
    <cellStyle name="Normal 3 3 2 7 3 2 9" xfId="11966"/>
    <cellStyle name="Normal 3 3 2 7 3 2 9 2" xfId="28101"/>
    <cellStyle name="Normal 3 3 2 7 3 3" xfId="2843"/>
    <cellStyle name="Normal 3 3 2 7 3 3 10" xfId="11967"/>
    <cellStyle name="Normal 3 3 2 7 3 3 10 2" xfId="28102"/>
    <cellStyle name="Normal 3 3 2 7 3 3 11" xfId="6734"/>
    <cellStyle name="Normal 3 3 2 7 3 3 11 2" xfId="22896"/>
    <cellStyle name="Normal 3 3 2 7 3 3 12" xfId="19793"/>
    <cellStyle name="Normal 3 3 2 7 3 3 2" xfId="11968"/>
    <cellStyle name="Normal 3 3 2 7 3 3 2 2" xfId="28103"/>
    <cellStyle name="Normal 3 3 2 7 3 3 3" xfId="11969"/>
    <cellStyle name="Normal 3 3 2 7 3 3 3 2" xfId="28104"/>
    <cellStyle name="Normal 3 3 2 7 3 3 4" xfId="11970"/>
    <cellStyle name="Normal 3 3 2 7 3 3 4 2" xfId="28105"/>
    <cellStyle name="Normal 3 3 2 7 3 3 5" xfId="11971"/>
    <cellStyle name="Normal 3 3 2 7 3 3 5 2" xfId="28106"/>
    <cellStyle name="Normal 3 3 2 7 3 3 6" xfId="11972"/>
    <cellStyle name="Normal 3 3 2 7 3 3 6 2" xfId="28107"/>
    <cellStyle name="Normal 3 3 2 7 3 3 7" xfId="11973"/>
    <cellStyle name="Normal 3 3 2 7 3 3 7 2" xfId="28108"/>
    <cellStyle name="Normal 3 3 2 7 3 3 8" xfId="11974"/>
    <cellStyle name="Normal 3 3 2 7 3 3 8 2" xfId="28109"/>
    <cellStyle name="Normal 3 3 2 7 3 3 9" xfId="11975"/>
    <cellStyle name="Normal 3 3 2 7 3 3 9 2" xfId="28110"/>
    <cellStyle name="Normal 3 3 2 7 3 4" xfId="11976"/>
    <cellStyle name="Normal 3 3 2 7 3 4 2" xfId="28111"/>
    <cellStyle name="Normal 3 3 2 7 3 5" xfId="11977"/>
    <cellStyle name="Normal 3 3 2 7 3 5 2" xfId="28112"/>
    <cellStyle name="Normal 3 3 2 7 3 6" xfId="11978"/>
    <cellStyle name="Normal 3 3 2 7 3 6 2" xfId="28113"/>
    <cellStyle name="Normal 3 3 2 7 3 7" xfId="11979"/>
    <cellStyle name="Normal 3 3 2 7 3 7 2" xfId="28114"/>
    <cellStyle name="Normal 3 3 2 7 3 8" xfId="11980"/>
    <cellStyle name="Normal 3 3 2 7 3 8 2" xfId="28115"/>
    <cellStyle name="Normal 3 3 2 7 3 9" xfId="11981"/>
    <cellStyle name="Normal 3 3 2 7 3 9 2" xfId="28116"/>
    <cellStyle name="Normal 3 3 2 7 4" xfId="155"/>
    <cellStyle name="Normal 3 3 2 7 4 10" xfId="11982"/>
    <cellStyle name="Normal 3 3 2 7 4 10 2" xfId="28117"/>
    <cellStyle name="Normal 3 3 2 7 4 11" xfId="11983"/>
    <cellStyle name="Normal 3 3 2 7 4 11 2" xfId="28118"/>
    <cellStyle name="Normal 3 3 2 7 4 12" xfId="11984"/>
    <cellStyle name="Normal 3 3 2 7 4 12 2" xfId="28119"/>
    <cellStyle name="Normal 3 3 2 7 4 13" xfId="4168"/>
    <cellStyle name="Normal 3 3 2 7 4 13 2" xfId="20331"/>
    <cellStyle name="Normal 3 3 2 7 4 14" xfId="19004"/>
    <cellStyle name="Normal 3 3 2 7 4 2" xfId="2844"/>
    <cellStyle name="Normal 3 3 2 7 4 2 10" xfId="11985"/>
    <cellStyle name="Normal 3 3 2 7 4 2 10 2" xfId="28120"/>
    <cellStyle name="Normal 3 3 2 7 4 2 11" xfId="6735"/>
    <cellStyle name="Normal 3 3 2 7 4 2 11 2" xfId="22897"/>
    <cellStyle name="Normal 3 3 2 7 4 2 12" xfId="19794"/>
    <cellStyle name="Normal 3 3 2 7 4 2 2" xfId="11986"/>
    <cellStyle name="Normal 3 3 2 7 4 2 2 2" xfId="28121"/>
    <cellStyle name="Normal 3 3 2 7 4 2 3" xfId="11987"/>
    <cellStyle name="Normal 3 3 2 7 4 2 3 2" xfId="28122"/>
    <cellStyle name="Normal 3 3 2 7 4 2 4" xfId="11988"/>
    <cellStyle name="Normal 3 3 2 7 4 2 4 2" xfId="28123"/>
    <cellStyle name="Normal 3 3 2 7 4 2 5" xfId="11989"/>
    <cellStyle name="Normal 3 3 2 7 4 2 5 2" xfId="28124"/>
    <cellStyle name="Normal 3 3 2 7 4 2 6" xfId="11990"/>
    <cellStyle name="Normal 3 3 2 7 4 2 6 2" xfId="28125"/>
    <cellStyle name="Normal 3 3 2 7 4 2 7" xfId="11991"/>
    <cellStyle name="Normal 3 3 2 7 4 2 7 2" xfId="28126"/>
    <cellStyle name="Normal 3 3 2 7 4 2 8" xfId="11992"/>
    <cellStyle name="Normal 3 3 2 7 4 2 8 2" xfId="28127"/>
    <cellStyle name="Normal 3 3 2 7 4 2 9" xfId="11993"/>
    <cellStyle name="Normal 3 3 2 7 4 2 9 2" xfId="28128"/>
    <cellStyle name="Normal 3 3 2 7 4 3" xfId="2845"/>
    <cellStyle name="Normal 3 3 2 7 4 3 10" xfId="11994"/>
    <cellStyle name="Normal 3 3 2 7 4 3 10 2" xfId="28129"/>
    <cellStyle name="Normal 3 3 2 7 4 3 11" xfId="6736"/>
    <cellStyle name="Normal 3 3 2 7 4 3 11 2" xfId="22898"/>
    <cellStyle name="Normal 3 3 2 7 4 3 12" xfId="19795"/>
    <cellStyle name="Normal 3 3 2 7 4 3 2" xfId="11995"/>
    <cellStyle name="Normal 3 3 2 7 4 3 2 2" xfId="28130"/>
    <cellStyle name="Normal 3 3 2 7 4 3 3" xfId="11996"/>
    <cellStyle name="Normal 3 3 2 7 4 3 3 2" xfId="28131"/>
    <cellStyle name="Normal 3 3 2 7 4 3 4" xfId="11997"/>
    <cellStyle name="Normal 3 3 2 7 4 3 4 2" xfId="28132"/>
    <cellStyle name="Normal 3 3 2 7 4 3 5" xfId="11998"/>
    <cellStyle name="Normal 3 3 2 7 4 3 5 2" xfId="28133"/>
    <cellStyle name="Normal 3 3 2 7 4 3 6" xfId="11999"/>
    <cellStyle name="Normal 3 3 2 7 4 3 6 2" xfId="28134"/>
    <cellStyle name="Normal 3 3 2 7 4 3 7" xfId="12000"/>
    <cellStyle name="Normal 3 3 2 7 4 3 7 2" xfId="28135"/>
    <cellStyle name="Normal 3 3 2 7 4 3 8" xfId="12001"/>
    <cellStyle name="Normal 3 3 2 7 4 3 8 2" xfId="28136"/>
    <cellStyle name="Normal 3 3 2 7 4 3 9" xfId="12002"/>
    <cellStyle name="Normal 3 3 2 7 4 3 9 2" xfId="28137"/>
    <cellStyle name="Normal 3 3 2 7 4 4" xfId="12003"/>
    <cellStyle name="Normal 3 3 2 7 4 4 2" xfId="28138"/>
    <cellStyle name="Normal 3 3 2 7 4 5" xfId="12004"/>
    <cellStyle name="Normal 3 3 2 7 4 5 2" xfId="28139"/>
    <cellStyle name="Normal 3 3 2 7 4 6" xfId="12005"/>
    <cellStyle name="Normal 3 3 2 7 4 6 2" xfId="28140"/>
    <cellStyle name="Normal 3 3 2 7 4 7" xfId="12006"/>
    <cellStyle name="Normal 3 3 2 7 4 7 2" xfId="28141"/>
    <cellStyle name="Normal 3 3 2 7 4 8" xfId="12007"/>
    <cellStyle name="Normal 3 3 2 7 4 8 2" xfId="28142"/>
    <cellStyle name="Normal 3 3 2 7 4 9" xfId="12008"/>
    <cellStyle name="Normal 3 3 2 7 4 9 2" xfId="28143"/>
    <cellStyle name="Normal 3 3 2 7 5" xfId="618"/>
    <cellStyle name="Normal 3 3 2 7 5 10" xfId="12009"/>
    <cellStyle name="Normal 3 3 2 7 5 10 2" xfId="28144"/>
    <cellStyle name="Normal 3 3 2 7 5 11" xfId="12010"/>
    <cellStyle name="Normal 3 3 2 7 5 11 2" xfId="28145"/>
    <cellStyle name="Normal 3 3 2 7 5 12" xfId="12011"/>
    <cellStyle name="Normal 3 3 2 7 5 12 2" xfId="28146"/>
    <cellStyle name="Normal 3 3 2 7 5 13" xfId="4554"/>
    <cellStyle name="Normal 3 3 2 7 5 13 2" xfId="20716"/>
    <cellStyle name="Normal 3 3 2 7 5 14" xfId="19131"/>
    <cellStyle name="Normal 3 3 2 7 5 2" xfId="2846"/>
    <cellStyle name="Normal 3 3 2 7 5 2 10" xfId="12012"/>
    <cellStyle name="Normal 3 3 2 7 5 2 10 2" xfId="28147"/>
    <cellStyle name="Normal 3 3 2 7 5 2 11" xfId="6737"/>
    <cellStyle name="Normal 3 3 2 7 5 2 11 2" xfId="22899"/>
    <cellStyle name="Normal 3 3 2 7 5 2 12" xfId="19796"/>
    <cellStyle name="Normal 3 3 2 7 5 2 2" xfId="12013"/>
    <cellStyle name="Normal 3 3 2 7 5 2 2 2" xfId="28148"/>
    <cellStyle name="Normal 3 3 2 7 5 2 3" xfId="12014"/>
    <cellStyle name="Normal 3 3 2 7 5 2 3 2" xfId="28149"/>
    <cellStyle name="Normal 3 3 2 7 5 2 4" xfId="12015"/>
    <cellStyle name="Normal 3 3 2 7 5 2 4 2" xfId="28150"/>
    <cellStyle name="Normal 3 3 2 7 5 2 5" xfId="12016"/>
    <cellStyle name="Normal 3 3 2 7 5 2 5 2" xfId="28151"/>
    <cellStyle name="Normal 3 3 2 7 5 2 6" xfId="12017"/>
    <cellStyle name="Normal 3 3 2 7 5 2 6 2" xfId="28152"/>
    <cellStyle name="Normal 3 3 2 7 5 2 7" xfId="12018"/>
    <cellStyle name="Normal 3 3 2 7 5 2 7 2" xfId="28153"/>
    <cellStyle name="Normal 3 3 2 7 5 2 8" xfId="12019"/>
    <cellStyle name="Normal 3 3 2 7 5 2 8 2" xfId="28154"/>
    <cellStyle name="Normal 3 3 2 7 5 2 9" xfId="12020"/>
    <cellStyle name="Normal 3 3 2 7 5 2 9 2" xfId="28155"/>
    <cellStyle name="Normal 3 3 2 7 5 3" xfId="2847"/>
    <cellStyle name="Normal 3 3 2 7 5 3 10" xfId="12021"/>
    <cellStyle name="Normal 3 3 2 7 5 3 10 2" xfId="28156"/>
    <cellStyle name="Normal 3 3 2 7 5 3 11" xfId="6738"/>
    <cellStyle name="Normal 3 3 2 7 5 3 11 2" xfId="22900"/>
    <cellStyle name="Normal 3 3 2 7 5 3 12" xfId="19797"/>
    <cellStyle name="Normal 3 3 2 7 5 3 2" xfId="12022"/>
    <cellStyle name="Normal 3 3 2 7 5 3 2 2" xfId="28157"/>
    <cellStyle name="Normal 3 3 2 7 5 3 3" xfId="12023"/>
    <cellStyle name="Normal 3 3 2 7 5 3 3 2" xfId="28158"/>
    <cellStyle name="Normal 3 3 2 7 5 3 4" xfId="12024"/>
    <cellStyle name="Normal 3 3 2 7 5 3 4 2" xfId="28159"/>
    <cellStyle name="Normal 3 3 2 7 5 3 5" xfId="12025"/>
    <cellStyle name="Normal 3 3 2 7 5 3 5 2" xfId="28160"/>
    <cellStyle name="Normal 3 3 2 7 5 3 6" xfId="12026"/>
    <cellStyle name="Normal 3 3 2 7 5 3 6 2" xfId="28161"/>
    <cellStyle name="Normal 3 3 2 7 5 3 7" xfId="12027"/>
    <cellStyle name="Normal 3 3 2 7 5 3 7 2" xfId="28162"/>
    <cellStyle name="Normal 3 3 2 7 5 3 8" xfId="12028"/>
    <cellStyle name="Normal 3 3 2 7 5 3 8 2" xfId="28163"/>
    <cellStyle name="Normal 3 3 2 7 5 3 9" xfId="12029"/>
    <cellStyle name="Normal 3 3 2 7 5 3 9 2" xfId="28164"/>
    <cellStyle name="Normal 3 3 2 7 5 4" xfId="12030"/>
    <cellStyle name="Normal 3 3 2 7 5 4 2" xfId="28165"/>
    <cellStyle name="Normal 3 3 2 7 5 5" xfId="12031"/>
    <cellStyle name="Normal 3 3 2 7 5 5 2" xfId="28166"/>
    <cellStyle name="Normal 3 3 2 7 5 6" xfId="12032"/>
    <cellStyle name="Normal 3 3 2 7 5 6 2" xfId="28167"/>
    <cellStyle name="Normal 3 3 2 7 5 7" xfId="12033"/>
    <cellStyle name="Normal 3 3 2 7 5 7 2" xfId="28168"/>
    <cellStyle name="Normal 3 3 2 7 5 8" xfId="12034"/>
    <cellStyle name="Normal 3 3 2 7 5 8 2" xfId="28169"/>
    <cellStyle name="Normal 3 3 2 7 5 9" xfId="12035"/>
    <cellStyle name="Normal 3 3 2 7 5 9 2" xfId="28170"/>
    <cellStyle name="Normal 3 3 2 7 6" xfId="920"/>
    <cellStyle name="Normal 3 3 2 7 6 10" xfId="12036"/>
    <cellStyle name="Normal 3 3 2 7 6 10 2" xfId="28171"/>
    <cellStyle name="Normal 3 3 2 7 6 11" xfId="12037"/>
    <cellStyle name="Normal 3 3 2 7 6 11 2" xfId="28172"/>
    <cellStyle name="Normal 3 3 2 7 6 12" xfId="12038"/>
    <cellStyle name="Normal 3 3 2 7 6 12 2" xfId="28173"/>
    <cellStyle name="Normal 3 3 2 7 6 13" xfId="4843"/>
    <cellStyle name="Normal 3 3 2 7 6 13 2" xfId="21005"/>
    <cellStyle name="Normal 3 3 2 7 6 14" xfId="19233"/>
    <cellStyle name="Normal 3 3 2 7 6 2" xfId="2848"/>
    <cellStyle name="Normal 3 3 2 7 6 2 10" xfId="12039"/>
    <cellStyle name="Normal 3 3 2 7 6 2 10 2" xfId="28174"/>
    <cellStyle name="Normal 3 3 2 7 6 2 11" xfId="6739"/>
    <cellStyle name="Normal 3 3 2 7 6 2 11 2" xfId="22901"/>
    <cellStyle name="Normal 3 3 2 7 6 2 12" xfId="19798"/>
    <cellStyle name="Normal 3 3 2 7 6 2 2" xfId="12040"/>
    <cellStyle name="Normal 3 3 2 7 6 2 2 2" xfId="28175"/>
    <cellStyle name="Normal 3 3 2 7 6 2 3" xfId="12041"/>
    <cellStyle name="Normal 3 3 2 7 6 2 3 2" xfId="28176"/>
    <cellStyle name="Normal 3 3 2 7 6 2 4" xfId="12042"/>
    <cellStyle name="Normal 3 3 2 7 6 2 4 2" xfId="28177"/>
    <cellStyle name="Normal 3 3 2 7 6 2 5" xfId="12043"/>
    <cellStyle name="Normal 3 3 2 7 6 2 5 2" xfId="28178"/>
    <cellStyle name="Normal 3 3 2 7 6 2 6" xfId="12044"/>
    <cellStyle name="Normal 3 3 2 7 6 2 6 2" xfId="28179"/>
    <cellStyle name="Normal 3 3 2 7 6 2 7" xfId="12045"/>
    <cellStyle name="Normal 3 3 2 7 6 2 7 2" xfId="28180"/>
    <cellStyle name="Normal 3 3 2 7 6 2 8" xfId="12046"/>
    <cellStyle name="Normal 3 3 2 7 6 2 8 2" xfId="28181"/>
    <cellStyle name="Normal 3 3 2 7 6 2 9" xfId="12047"/>
    <cellStyle name="Normal 3 3 2 7 6 2 9 2" xfId="28182"/>
    <cellStyle name="Normal 3 3 2 7 6 3" xfId="2849"/>
    <cellStyle name="Normal 3 3 2 7 6 3 10" xfId="12048"/>
    <cellStyle name="Normal 3 3 2 7 6 3 10 2" xfId="28183"/>
    <cellStyle name="Normal 3 3 2 7 6 3 11" xfId="6740"/>
    <cellStyle name="Normal 3 3 2 7 6 3 11 2" xfId="22902"/>
    <cellStyle name="Normal 3 3 2 7 6 3 12" xfId="19799"/>
    <cellStyle name="Normal 3 3 2 7 6 3 2" xfId="12049"/>
    <cellStyle name="Normal 3 3 2 7 6 3 2 2" xfId="28184"/>
    <cellStyle name="Normal 3 3 2 7 6 3 3" xfId="12050"/>
    <cellStyle name="Normal 3 3 2 7 6 3 3 2" xfId="28185"/>
    <cellStyle name="Normal 3 3 2 7 6 3 4" xfId="12051"/>
    <cellStyle name="Normal 3 3 2 7 6 3 4 2" xfId="28186"/>
    <cellStyle name="Normal 3 3 2 7 6 3 5" xfId="12052"/>
    <cellStyle name="Normal 3 3 2 7 6 3 5 2" xfId="28187"/>
    <cellStyle name="Normal 3 3 2 7 6 3 6" xfId="12053"/>
    <cellStyle name="Normal 3 3 2 7 6 3 6 2" xfId="28188"/>
    <cellStyle name="Normal 3 3 2 7 6 3 7" xfId="12054"/>
    <cellStyle name="Normal 3 3 2 7 6 3 7 2" xfId="28189"/>
    <cellStyle name="Normal 3 3 2 7 6 3 8" xfId="12055"/>
    <cellStyle name="Normal 3 3 2 7 6 3 8 2" xfId="28190"/>
    <cellStyle name="Normal 3 3 2 7 6 3 9" xfId="12056"/>
    <cellStyle name="Normal 3 3 2 7 6 3 9 2" xfId="28191"/>
    <cellStyle name="Normal 3 3 2 7 6 4" xfId="12057"/>
    <cellStyle name="Normal 3 3 2 7 6 4 2" xfId="28192"/>
    <cellStyle name="Normal 3 3 2 7 6 5" xfId="12058"/>
    <cellStyle name="Normal 3 3 2 7 6 5 2" xfId="28193"/>
    <cellStyle name="Normal 3 3 2 7 6 6" xfId="12059"/>
    <cellStyle name="Normal 3 3 2 7 6 6 2" xfId="28194"/>
    <cellStyle name="Normal 3 3 2 7 6 7" xfId="12060"/>
    <cellStyle name="Normal 3 3 2 7 6 7 2" xfId="28195"/>
    <cellStyle name="Normal 3 3 2 7 6 8" xfId="12061"/>
    <cellStyle name="Normal 3 3 2 7 6 8 2" xfId="28196"/>
    <cellStyle name="Normal 3 3 2 7 6 9" xfId="12062"/>
    <cellStyle name="Normal 3 3 2 7 6 9 2" xfId="28197"/>
    <cellStyle name="Normal 3 3 2 7 7" xfId="922"/>
    <cellStyle name="Normal 3 3 2 7 7 10" xfId="12063"/>
    <cellStyle name="Normal 3 3 2 7 7 10 2" xfId="28198"/>
    <cellStyle name="Normal 3 3 2 7 7 11" xfId="4846"/>
    <cellStyle name="Normal 3 3 2 7 7 11 2" xfId="21008"/>
    <cellStyle name="Normal 3 3 2 7 7 12" xfId="19234"/>
    <cellStyle name="Normal 3 3 2 7 7 2" xfId="12064"/>
    <cellStyle name="Normal 3 3 2 7 7 2 2" xfId="28199"/>
    <cellStyle name="Normal 3 3 2 7 7 3" xfId="12065"/>
    <cellStyle name="Normal 3 3 2 7 7 3 2" xfId="28200"/>
    <cellStyle name="Normal 3 3 2 7 7 4" xfId="12066"/>
    <cellStyle name="Normal 3 3 2 7 7 4 2" xfId="28201"/>
    <cellStyle name="Normal 3 3 2 7 7 5" xfId="12067"/>
    <cellStyle name="Normal 3 3 2 7 7 5 2" xfId="28202"/>
    <cellStyle name="Normal 3 3 2 7 7 6" xfId="12068"/>
    <cellStyle name="Normal 3 3 2 7 7 6 2" xfId="28203"/>
    <cellStyle name="Normal 3 3 2 7 7 7" xfId="12069"/>
    <cellStyle name="Normal 3 3 2 7 7 7 2" xfId="28204"/>
    <cellStyle name="Normal 3 3 2 7 7 8" xfId="12070"/>
    <cellStyle name="Normal 3 3 2 7 7 8 2" xfId="28205"/>
    <cellStyle name="Normal 3 3 2 7 7 9" xfId="12071"/>
    <cellStyle name="Normal 3 3 2 7 7 9 2" xfId="28206"/>
    <cellStyle name="Normal 3 3 2 7 8" xfId="925"/>
    <cellStyle name="Normal 3 3 2 7 8 10" xfId="12072"/>
    <cellStyle name="Normal 3 3 2 7 8 10 2" xfId="28207"/>
    <cellStyle name="Normal 3 3 2 7 8 11" xfId="4850"/>
    <cellStyle name="Normal 3 3 2 7 8 11 2" xfId="21012"/>
    <cellStyle name="Normal 3 3 2 7 8 12" xfId="19235"/>
    <cellStyle name="Normal 3 3 2 7 8 2" xfId="12073"/>
    <cellStyle name="Normal 3 3 2 7 8 2 2" xfId="28208"/>
    <cellStyle name="Normal 3 3 2 7 8 3" xfId="12074"/>
    <cellStyle name="Normal 3 3 2 7 8 3 2" xfId="28209"/>
    <cellStyle name="Normal 3 3 2 7 8 4" xfId="12075"/>
    <cellStyle name="Normal 3 3 2 7 8 4 2" xfId="28210"/>
    <cellStyle name="Normal 3 3 2 7 8 5" xfId="12076"/>
    <cellStyle name="Normal 3 3 2 7 8 5 2" xfId="28211"/>
    <cellStyle name="Normal 3 3 2 7 8 6" xfId="12077"/>
    <cellStyle name="Normal 3 3 2 7 8 6 2" xfId="28212"/>
    <cellStyle name="Normal 3 3 2 7 8 7" xfId="12078"/>
    <cellStyle name="Normal 3 3 2 7 8 7 2" xfId="28213"/>
    <cellStyle name="Normal 3 3 2 7 8 8" xfId="12079"/>
    <cellStyle name="Normal 3 3 2 7 8 8 2" xfId="28214"/>
    <cellStyle name="Normal 3 3 2 7 8 9" xfId="12080"/>
    <cellStyle name="Normal 3 3 2 7 8 9 2" xfId="28215"/>
    <cellStyle name="Normal 3 3 2 7 9" xfId="12081"/>
    <cellStyle name="Normal 3 3 2 7 9 2" xfId="28216"/>
    <cellStyle name="Normal 3 3 2 8" xfId="1765"/>
    <cellStyle name="Normal 3 3 2 8 10" xfId="12082"/>
    <cellStyle name="Normal 3 3 2 8 10 2" xfId="28217"/>
    <cellStyle name="Normal 3 3 2 8 11" xfId="12083"/>
    <cellStyle name="Normal 3 3 2 8 11 2" xfId="28218"/>
    <cellStyle name="Normal 3 3 2 8 12" xfId="12084"/>
    <cellStyle name="Normal 3 3 2 8 12 2" xfId="28219"/>
    <cellStyle name="Normal 3 3 2 8 13" xfId="5675"/>
    <cellStyle name="Normal 3 3 2 8 13 2" xfId="21837"/>
    <cellStyle name="Normal 3 3 2 8 14" xfId="19572"/>
    <cellStyle name="Normal 3 3 2 8 2" xfId="1767"/>
    <cellStyle name="Normal 3 3 2 8 2 10" xfId="12085"/>
    <cellStyle name="Normal 3 3 2 8 2 10 2" xfId="28220"/>
    <cellStyle name="Normal 3 3 2 8 2 11" xfId="5677"/>
    <cellStyle name="Normal 3 3 2 8 2 11 2" xfId="21839"/>
    <cellStyle name="Normal 3 3 2 8 2 12" xfId="19573"/>
    <cellStyle name="Normal 3 3 2 8 2 2" xfId="12086"/>
    <cellStyle name="Normal 3 3 2 8 2 2 2" xfId="28221"/>
    <cellStyle name="Normal 3 3 2 8 2 3" xfId="12087"/>
    <cellStyle name="Normal 3 3 2 8 2 3 2" xfId="28222"/>
    <cellStyle name="Normal 3 3 2 8 2 4" xfId="12088"/>
    <cellStyle name="Normal 3 3 2 8 2 4 2" xfId="28223"/>
    <cellStyle name="Normal 3 3 2 8 2 5" xfId="12089"/>
    <cellStyle name="Normal 3 3 2 8 2 5 2" xfId="28224"/>
    <cellStyle name="Normal 3 3 2 8 2 6" xfId="12090"/>
    <cellStyle name="Normal 3 3 2 8 2 6 2" xfId="28225"/>
    <cellStyle name="Normal 3 3 2 8 2 7" xfId="12091"/>
    <cellStyle name="Normal 3 3 2 8 2 7 2" xfId="28226"/>
    <cellStyle name="Normal 3 3 2 8 2 8" xfId="12092"/>
    <cellStyle name="Normal 3 3 2 8 2 8 2" xfId="28227"/>
    <cellStyle name="Normal 3 3 2 8 2 9" xfId="12093"/>
    <cellStyle name="Normal 3 3 2 8 2 9 2" xfId="28228"/>
    <cellStyle name="Normal 3 3 2 8 3" xfId="1769"/>
    <cellStyle name="Normal 3 3 2 8 3 10" xfId="12094"/>
    <cellStyle name="Normal 3 3 2 8 3 10 2" xfId="28229"/>
    <cellStyle name="Normal 3 3 2 8 3 11" xfId="5679"/>
    <cellStyle name="Normal 3 3 2 8 3 11 2" xfId="21841"/>
    <cellStyle name="Normal 3 3 2 8 3 12" xfId="19574"/>
    <cellStyle name="Normal 3 3 2 8 3 2" xfId="12095"/>
    <cellStyle name="Normal 3 3 2 8 3 2 2" xfId="28230"/>
    <cellStyle name="Normal 3 3 2 8 3 3" xfId="12096"/>
    <cellStyle name="Normal 3 3 2 8 3 3 2" xfId="28231"/>
    <cellStyle name="Normal 3 3 2 8 3 4" xfId="12097"/>
    <cellStyle name="Normal 3 3 2 8 3 4 2" xfId="28232"/>
    <cellStyle name="Normal 3 3 2 8 3 5" xfId="12098"/>
    <cellStyle name="Normal 3 3 2 8 3 5 2" xfId="28233"/>
    <cellStyle name="Normal 3 3 2 8 3 6" xfId="12099"/>
    <cellStyle name="Normal 3 3 2 8 3 6 2" xfId="28234"/>
    <cellStyle name="Normal 3 3 2 8 3 7" xfId="12100"/>
    <cellStyle name="Normal 3 3 2 8 3 7 2" xfId="28235"/>
    <cellStyle name="Normal 3 3 2 8 3 8" xfId="12101"/>
    <cellStyle name="Normal 3 3 2 8 3 8 2" xfId="28236"/>
    <cellStyle name="Normal 3 3 2 8 3 9" xfId="12102"/>
    <cellStyle name="Normal 3 3 2 8 3 9 2" xfId="28237"/>
    <cellStyle name="Normal 3 3 2 8 4" xfId="12103"/>
    <cellStyle name="Normal 3 3 2 8 4 2" xfId="28238"/>
    <cellStyle name="Normal 3 3 2 8 5" xfId="12104"/>
    <cellStyle name="Normal 3 3 2 8 5 2" xfId="28239"/>
    <cellStyle name="Normal 3 3 2 8 6" xfId="12105"/>
    <cellStyle name="Normal 3 3 2 8 6 2" xfId="28240"/>
    <cellStyle name="Normal 3 3 2 8 7" xfId="12106"/>
    <cellStyle name="Normal 3 3 2 8 7 2" xfId="28241"/>
    <cellStyle name="Normal 3 3 2 8 8" xfId="12107"/>
    <cellStyle name="Normal 3 3 2 8 8 2" xfId="28242"/>
    <cellStyle name="Normal 3 3 2 8 9" xfId="12108"/>
    <cellStyle name="Normal 3 3 2 8 9 2" xfId="28243"/>
    <cellStyle name="Normal 3 3 2 9" xfId="1771"/>
    <cellStyle name="Normal 3 3 2 9 10" xfId="12109"/>
    <cellStyle name="Normal 3 3 2 9 10 2" xfId="28244"/>
    <cellStyle name="Normal 3 3 2 9 11" xfId="12110"/>
    <cellStyle name="Normal 3 3 2 9 11 2" xfId="28245"/>
    <cellStyle name="Normal 3 3 2 9 12" xfId="12111"/>
    <cellStyle name="Normal 3 3 2 9 12 2" xfId="28246"/>
    <cellStyle name="Normal 3 3 2 9 13" xfId="5681"/>
    <cellStyle name="Normal 3 3 2 9 13 2" xfId="21843"/>
    <cellStyle name="Normal 3 3 2 9 14" xfId="19575"/>
    <cellStyle name="Normal 3 3 2 9 2" xfId="2850"/>
    <cellStyle name="Normal 3 3 2 9 2 10" xfId="12112"/>
    <cellStyle name="Normal 3 3 2 9 2 10 2" xfId="28247"/>
    <cellStyle name="Normal 3 3 2 9 2 11" xfId="6741"/>
    <cellStyle name="Normal 3 3 2 9 2 11 2" xfId="22903"/>
    <cellStyle name="Normal 3 3 2 9 2 12" xfId="19800"/>
    <cellStyle name="Normal 3 3 2 9 2 2" xfId="12113"/>
    <cellStyle name="Normal 3 3 2 9 2 2 2" xfId="28248"/>
    <cellStyle name="Normal 3 3 2 9 2 3" xfId="12114"/>
    <cellStyle name="Normal 3 3 2 9 2 3 2" xfId="28249"/>
    <cellStyle name="Normal 3 3 2 9 2 4" xfId="12115"/>
    <cellStyle name="Normal 3 3 2 9 2 4 2" xfId="28250"/>
    <cellStyle name="Normal 3 3 2 9 2 5" xfId="12116"/>
    <cellStyle name="Normal 3 3 2 9 2 5 2" xfId="28251"/>
    <cellStyle name="Normal 3 3 2 9 2 6" xfId="12117"/>
    <cellStyle name="Normal 3 3 2 9 2 6 2" xfId="28252"/>
    <cellStyle name="Normal 3 3 2 9 2 7" xfId="12118"/>
    <cellStyle name="Normal 3 3 2 9 2 7 2" xfId="28253"/>
    <cellStyle name="Normal 3 3 2 9 2 8" xfId="12119"/>
    <cellStyle name="Normal 3 3 2 9 2 8 2" xfId="28254"/>
    <cellStyle name="Normal 3 3 2 9 2 9" xfId="12120"/>
    <cellStyle name="Normal 3 3 2 9 2 9 2" xfId="28255"/>
    <cellStyle name="Normal 3 3 2 9 3" xfId="2851"/>
    <cellStyle name="Normal 3 3 2 9 3 10" xfId="12121"/>
    <cellStyle name="Normal 3 3 2 9 3 10 2" xfId="28256"/>
    <cellStyle name="Normal 3 3 2 9 3 11" xfId="6742"/>
    <cellStyle name="Normal 3 3 2 9 3 11 2" xfId="22904"/>
    <cellStyle name="Normal 3 3 2 9 3 12" xfId="19801"/>
    <cellStyle name="Normal 3 3 2 9 3 2" xfId="12122"/>
    <cellStyle name="Normal 3 3 2 9 3 2 2" xfId="28257"/>
    <cellStyle name="Normal 3 3 2 9 3 3" xfId="12123"/>
    <cellStyle name="Normal 3 3 2 9 3 3 2" xfId="28258"/>
    <cellStyle name="Normal 3 3 2 9 3 4" xfId="12124"/>
    <cellStyle name="Normal 3 3 2 9 3 4 2" xfId="28259"/>
    <cellStyle name="Normal 3 3 2 9 3 5" xfId="12125"/>
    <cellStyle name="Normal 3 3 2 9 3 5 2" xfId="28260"/>
    <cellStyle name="Normal 3 3 2 9 3 6" xfId="12126"/>
    <cellStyle name="Normal 3 3 2 9 3 6 2" xfId="28261"/>
    <cellStyle name="Normal 3 3 2 9 3 7" xfId="12127"/>
    <cellStyle name="Normal 3 3 2 9 3 7 2" xfId="28262"/>
    <cellStyle name="Normal 3 3 2 9 3 8" xfId="12128"/>
    <cellStyle name="Normal 3 3 2 9 3 8 2" xfId="28263"/>
    <cellStyle name="Normal 3 3 2 9 3 9" xfId="12129"/>
    <cellStyle name="Normal 3 3 2 9 3 9 2" xfId="28264"/>
    <cellStyle name="Normal 3 3 2 9 4" xfId="12130"/>
    <cellStyle name="Normal 3 3 2 9 4 2" xfId="28265"/>
    <cellStyle name="Normal 3 3 2 9 5" xfId="12131"/>
    <cellStyle name="Normal 3 3 2 9 5 2" xfId="28266"/>
    <cellStyle name="Normal 3 3 2 9 6" xfId="12132"/>
    <cellStyle name="Normal 3 3 2 9 6 2" xfId="28267"/>
    <cellStyle name="Normal 3 3 2 9 7" xfId="12133"/>
    <cellStyle name="Normal 3 3 2 9 7 2" xfId="28268"/>
    <cellStyle name="Normal 3 3 2 9 8" xfId="12134"/>
    <cellStyle name="Normal 3 3 2 9 8 2" xfId="28269"/>
    <cellStyle name="Normal 3 3 2 9 9" xfId="12135"/>
    <cellStyle name="Normal 3 3 2 9 9 2" xfId="28270"/>
    <cellStyle name="Normal 3 3 2_Achampally-Gattubuthkur-Ganga-CRR" xfId="2853"/>
    <cellStyle name="Normal 3 3 3" xfId="1207"/>
    <cellStyle name="Normal 3 3 3 2" xfId="5127"/>
    <cellStyle name="Normal 3 3 3 2 2" xfId="21289"/>
    <cellStyle name="Normal 3 3 4" xfId="12136"/>
    <cellStyle name="Normal 3 3 4 2" xfId="12137"/>
    <cellStyle name="Normal 3 3 4 2 2" xfId="28272"/>
    <cellStyle name="Normal 3 3 4 3" xfId="28271"/>
    <cellStyle name="Normal 3 3 5" xfId="12138"/>
    <cellStyle name="Normal 3 3 5 2" xfId="28273"/>
    <cellStyle name="Normal 3 3 6" xfId="12139"/>
    <cellStyle name="Normal 3 3 6 2" xfId="28274"/>
    <cellStyle name="Normal 3 3 7" xfId="6501"/>
    <cellStyle name="Normal 3 3 7 2" xfId="22663"/>
    <cellStyle name="Normal 3 3_2bhk_19122016" xfId="12140"/>
    <cellStyle name="Normal 3 4" xfId="380"/>
    <cellStyle name="Normal 3 4 2" xfId="2854"/>
    <cellStyle name="Normal 3 4 2 2" xfId="6744"/>
    <cellStyle name="Normal 3 4 2 2 2" xfId="22906"/>
    <cellStyle name="Normal 3 4 3" xfId="1210"/>
    <cellStyle name="Normal 3 4 3 2" xfId="5130"/>
    <cellStyle name="Normal 3 4 3 2 2" xfId="21292"/>
    <cellStyle name="Normal 3 4 4" xfId="4322"/>
    <cellStyle name="Normal 3 4 4 2" xfId="20485"/>
    <cellStyle name="Normal 3 5" xfId="2609"/>
    <cellStyle name="Normal 3 5 10" xfId="12141"/>
    <cellStyle name="Normal 3 5 10 2" xfId="28275"/>
    <cellStyle name="Normal 3 5 11" xfId="556"/>
    <cellStyle name="Normal 3 5 11 10" xfId="12142"/>
    <cellStyle name="Normal 3 5 11 10 2" xfId="28276"/>
    <cellStyle name="Normal 3 5 11 11" xfId="12143"/>
    <cellStyle name="Normal 3 5 11 11 2" xfId="28277"/>
    <cellStyle name="Normal 3 5 11 12" xfId="12144"/>
    <cellStyle name="Normal 3 5 11 12 2" xfId="28278"/>
    <cellStyle name="Normal 3 5 11 13" xfId="12145"/>
    <cellStyle name="Normal 3 5 11 13 2" xfId="28279"/>
    <cellStyle name="Normal 3 5 11 14" xfId="12146"/>
    <cellStyle name="Normal 3 5 11 14 2" xfId="28280"/>
    <cellStyle name="Normal 3 5 11 15" xfId="4488"/>
    <cellStyle name="Normal 3 5 11 15 2" xfId="20651"/>
    <cellStyle name="Normal 3 5 11 16" xfId="19109"/>
    <cellStyle name="Normal 3 5 11 2" xfId="2855"/>
    <cellStyle name="Normal 3 5 11 2 10" xfId="12147"/>
    <cellStyle name="Normal 3 5 11 2 10 2" xfId="28281"/>
    <cellStyle name="Normal 3 5 11 2 11" xfId="12148"/>
    <cellStyle name="Normal 3 5 11 2 11 2" xfId="28282"/>
    <cellStyle name="Normal 3 5 11 2 12" xfId="12149"/>
    <cellStyle name="Normal 3 5 11 2 12 2" xfId="28283"/>
    <cellStyle name="Normal 3 5 11 2 13" xfId="6745"/>
    <cellStyle name="Normal 3 5 11 2 13 2" xfId="22907"/>
    <cellStyle name="Normal 3 5 11 2 14" xfId="19802"/>
    <cellStyle name="Normal 3 5 11 2 2" xfId="2856"/>
    <cellStyle name="Normal 3 5 11 2 2 10" xfId="12150"/>
    <cellStyle name="Normal 3 5 11 2 2 10 2" xfId="28284"/>
    <cellStyle name="Normal 3 5 11 2 2 11" xfId="6746"/>
    <cellStyle name="Normal 3 5 11 2 2 11 2" xfId="22908"/>
    <cellStyle name="Normal 3 5 11 2 2 12" xfId="19803"/>
    <cellStyle name="Normal 3 5 11 2 2 2" xfId="12151"/>
    <cellStyle name="Normal 3 5 11 2 2 2 2" xfId="28285"/>
    <cellStyle name="Normal 3 5 11 2 2 3" xfId="12152"/>
    <cellStyle name="Normal 3 5 11 2 2 3 2" xfId="28286"/>
    <cellStyle name="Normal 3 5 11 2 2 4" xfId="12153"/>
    <cellStyle name="Normal 3 5 11 2 2 4 2" xfId="28287"/>
    <cellStyle name="Normal 3 5 11 2 2 5" xfId="12154"/>
    <cellStyle name="Normal 3 5 11 2 2 5 2" xfId="28288"/>
    <cellStyle name="Normal 3 5 11 2 2 6" xfId="12155"/>
    <cellStyle name="Normal 3 5 11 2 2 6 2" xfId="28289"/>
    <cellStyle name="Normal 3 5 11 2 2 7" xfId="12156"/>
    <cellStyle name="Normal 3 5 11 2 2 7 2" xfId="28290"/>
    <cellStyle name="Normal 3 5 11 2 2 8" xfId="12157"/>
    <cellStyle name="Normal 3 5 11 2 2 8 2" xfId="28291"/>
    <cellStyle name="Normal 3 5 11 2 2 9" xfId="12158"/>
    <cellStyle name="Normal 3 5 11 2 2 9 2" xfId="28292"/>
    <cellStyle name="Normal 3 5 11 2 3" xfId="1355"/>
    <cellStyle name="Normal 3 5 11 2 3 10" xfId="12159"/>
    <cellStyle name="Normal 3 5 11 2 3 10 2" xfId="28293"/>
    <cellStyle name="Normal 3 5 11 2 3 11" xfId="5274"/>
    <cellStyle name="Normal 3 5 11 2 3 11 2" xfId="21436"/>
    <cellStyle name="Normal 3 5 11 2 3 12" xfId="19444"/>
    <cellStyle name="Normal 3 5 11 2 3 2" xfId="12160"/>
    <cellStyle name="Normal 3 5 11 2 3 2 2" xfId="28294"/>
    <cellStyle name="Normal 3 5 11 2 3 3" xfId="12161"/>
    <cellStyle name="Normal 3 5 11 2 3 3 2" xfId="28295"/>
    <cellStyle name="Normal 3 5 11 2 3 4" xfId="12162"/>
    <cellStyle name="Normal 3 5 11 2 3 4 2" xfId="28296"/>
    <cellStyle name="Normal 3 5 11 2 3 5" xfId="12163"/>
    <cellStyle name="Normal 3 5 11 2 3 5 2" xfId="28297"/>
    <cellStyle name="Normal 3 5 11 2 3 6" xfId="12164"/>
    <cellStyle name="Normal 3 5 11 2 3 6 2" xfId="28298"/>
    <cellStyle name="Normal 3 5 11 2 3 7" xfId="12165"/>
    <cellStyle name="Normal 3 5 11 2 3 7 2" xfId="28299"/>
    <cellStyle name="Normal 3 5 11 2 3 8" xfId="12166"/>
    <cellStyle name="Normal 3 5 11 2 3 8 2" xfId="28300"/>
    <cellStyle name="Normal 3 5 11 2 3 9" xfId="12167"/>
    <cellStyle name="Normal 3 5 11 2 3 9 2" xfId="28301"/>
    <cellStyle name="Normal 3 5 11 2 4" xfId="12168"/>
    <cellStyle name="Normal 3 5 11 2 4 2" xfId="28302"/>
    <cellStyle name="Normal 3 5 11 2 5" xfId="12169"/>
    <cellStyle name="Normal 3 5 11 2 5 2" xfId="28303"/>
    <cellStyle name="Normal 3 5 11 2 6" xfId="12170"/>
    <cellStyle name="Normal 3 5 11 2 6 2" xfId="28304"/>
    <cellStyle name="Normal 3 5 11 2 7" xfId="12171"/>
    <cellStyle name="Normal 3 5 11 2 7 2" xfId="28305"/>
    <cellStyle name="Normal 3 5 11 2 8" xfId="12172"/>
    <cellStyle name="Normal 3 5 11 2 8 2" xfId="28306"/>
    <cellStyle name="Normal 3 5 11 2 9" xfId="12173"/>
    <cellStyle name="Normal 3 5 11 2 9 2" xfId="28307"/>
    <cellStyle name="Normal 3 5 11 3" xfId="2857"/>
    <cellStyle name="Normal 3 5 11 3 10" xfId="12174"/>
    <cellStyle name="Normal 3 5 11 3 10 2" xfId="28308"/>
    <cellStyle name="Normal 3 5 11 3 11" xfId="12175"/>
    <cellStyle name="Normal 3 5 11 3 11 2" xfId="28309"/>
    <cellStyle name="Normal 3 5 11 3 12" xfId="12176"/>
    <cellStyle name="Normal 3 5 11 3 12 2" xfId="28310"/>
    <cellStyle name="Normal 3 5 11 3 13" xfId="6747"/>
    <cellStyle name="Normal 3 5 11 3 13 2" xfId="22909"/>
    <cellStyle name="Normal 3 5 11 3 14" xfId="19804"/>
    <cellStyle name="Normal 3 5 11 3 2" xfId="2858"/>
    <cellStyle name="Normal 3 5 11 3 2 10" xfId="12177"/>
    <cellStyle name="Normal 3 5 11 3 2 10 2" xfId="28311"/>
    <cellStyle name="Normal 3 5 11 3 2 11" xfId="6748"/>
    <cellStyle name="Normal 3 5 11 3 2 11 2" xfId="22910"/>
    <cellStyle name="Normal 3 5 11 3 2 12" xfId="19805"/>
    <cellStyle name="Normal 3 5 11 3 2 2" xfId="12178"/>
    <cellStyle name="Normal 3 5 11 3 2 2 2" xfId="28312"/>
    <cellStyle name="Normal 3 5 11 3 2 3" xfId="12179"/>
    <cellStyle name="Normal 3 5 11 3 2 3 2" xfId="28313"/>
    <cellStyle name="Normal 3 5 11 3 2 4" xfId="12180"/>
    <cellStyle name="Normal 3 5 11 3 2 4 2" xfId="28314"/>
    <cellStyle name="Normal 3 5 11 3 2 5" xfId="12181"/>
    <cellStyle name="Normal 3 5 11 3 2 5 2" xfId="28315"/>
    <cellStyle name="Normal 3 5 11 3 2 6" xfId="12182"/>
    <cellStyle name="Normal 3 5 11 3 2 6 2" xfId="28316"/>
    <cellStyle name="Normal 3 5 11 3 2 7" xfId="12183"/>
    <cellStyle name="Normal 3 5 11 3 2 7 2" xfId="28317"/>
    <cellStyle name="Normal 3 5 11 3 2 8" xfId="12184"/>
    <cellStyle name="Normal 3 5 11 3 2 8 2" xfId="28318"/>
    <cellStyle name="Normal 3 5 11 3 2 9" xfId="12185"/>
    <cellStyle name="Normal 3 5 11 3 2 9 2" xfId="28319"/>
    <cellStyle name="Normal 3 5 11 3 3" xfId="75"/>
    <cellStyle name="Normal 3 5 11 3 3 10" xfId="12186"/>
    <cellStyle name="Normal 3 5 11 3 3 10 2" xfId="28320"/>
    <cellStyle name="Normal 3 5 11 3 3 11" xfId="4023"/>
    <cellStyle name="Normal 3 5 11 3 3 11 2" xfId="20186"/>
    <cellStyle name="Normal 3 5 11 3 3 12" xfId="18982"/>
    <cellStyle name="Normal 3 5 11 3 3 2" xfId="12187"/>
    <cellStyle name="Normal 3 5 11 3 3 2 2" xfId="28321"/>
    <cellStyle name="Normal 3 5 11 3 3 3" xfId="12188"/>
    <cellStyle name="Normal 3 5 11 3 3 3 2" xfId="28322"/>
    <cellStyle name="Normal 3 5 11 3 3 4" xfId="12189"/>
    <cellStyle name="Normal 3 5 11 3 3 4 2" xfId="28323"/>
    <cellStyle name="Normal 3 5 11 3 3 5" xfId="12190"/>
    <cellStyle name="Normal 3 5 11 3 3 5 2" xfId="28324"/>
    <cellStyle name="Normal 3 5 11 3 3 6" xfId="12191"/>
    <cellStyle name="Normal 3 5 11 3 3 6 2" xfId="28325"/>
    <cellStyle name="Normal 3 5 11 3 3 7" xfId="12192"/>
    <cellStyle name="Normal 3 5 11 3 3 7 2" xfId="28326"/>
    <cellStyle name="Normal 3 5 11 3 3 8" xfId="12193"/>
    <cellStyle name="Normal 3 5 11 3 3 8 2" xfId="28327"/>
    <cellStyle name="Normal 3 5 11 3 3 9" xfId="12194"/>
    <cellStyle name="Normal 3 5 11 3 3 9 2" xfId="28328"/>
    <cellStyle name="Normal 3 5 11 3 4" xfId="12195"/>
    <cellStyle name="Normal 3 5 11 3 4 2" xfId="28329"/>
    <cellStyle name="Normal 3 5 11 3 5" xfId="12196"/>
    <cellStyle name="Normal 3 5 11 3 5 2" xfId="28330"/>
    <cellStyle name="Normal 3 5 11 3 6" xfId="12197"/>
    <cellStyle name="Normal 3 5 11 3 6 2" xfId="28331"/>
    <cellStyle name="Normal 3 5 11 3 7" xfId="12198"/>
    <cellStyle name="Normal 3 5 11 3 7 2" xfId="28332"/>
    <cellStyle name="Normal 3 5 11 3 8" xfId="12199"/>
    <cellStyle name="Normal 3 5 11 3 8 2" xfId="28333"/>
    <cellStyle name="Normal 3 5 11 3 9" xfId="12200"/>
    <cellStyle name="Normal 3 5 11 3 9 2" xfId="28334"/>
    <cellStyle name="Normal 3 5 11 4" xfId="2859"/>
    <cellStyle name="Normal 3 5 11 4 10" xfId="12201"/>
    <cellStyle name="Normal 3 5 11 4 10 2" xfId="28335"/>
    <cellStyle name="Normal 3 5 11 4 11" xfId="6749"/>
    <cellStyle name="Normal 3 5 11 4 11 2" xfId="22911"/>
    <cellStyle name="Normal 3 5 11 4 12" xfId="19806"/>
    <cellStyle name="Normal 3 5 11 4 2" xfId="12202"/>
    <cellStyle name="Normal 3 5 11 4 2 2" xfId="28336"/>
    <cellStyle name="Normal 3 5 11 4 3" xfId="12203"/>
    <cellStyle name="Normal 3 5 11 4 3 2" xfId="28337"/>
    <cellStyle name="Normal 3 5 11 4 4" xfId="12204"/>
    <cellStyle name="Normal 3 5 11 4 4 2" xfId="28338"/>
    <cellStyle name="Normal 3 5 11 4 5" xfId="12205"/>
    <cellStyle name="Normal 3 5 11 4 5 2" xfId="28339"/>
    <cellStyle name="Normal 3 5 11 4 6" xfId="12206"/>
    <cellStyle name="Normal 3 5 11 4 6 2" xfId="28340"/>
    <cellStyle name="Normal 3 5 11 4 7" xfId="12207"/>
    <cellStyle name="Normal 3 5 11 4 7 2" xfId="28341"/>
    <cellStyle name="Normal 3 5 11 4 8" xfId="12208"/>
    <cellStyle name="Normal 3 5 11 4 8 2" xfId="28342"/>
    <cellStyle name="Normal 3 5 11 4 9" xfId="12209"/>
    <cellStyle name="Normal 3 5 11 4 9 2" xfId="28343"/>
    <cellStyle name="Normal 3 5 11 5" xfId="2860"/>
    <cellStyle name="Normal 3 5 11 5 10" xfId="12210"/>
    <cellStyle name="Normal 3 5 11 5 10 2" xfId="28344"/>
    <cellStyle name="Normal 3 5 11 5 11" xfId="6750"/>
    <cellStyle name="Normal 3 5 11 5 11 2" xfId="22912"/>
    <cellStyle name="Normal 3 5 11 5 12" xfId="19807"/>
    <cellStyle name="Normal 3 5 11 5 2" xfId="12211"/>
    <cellStyle name="Normal 3 5 11 5 2 2" xfId="28345"/>
    <cellStyle name="Normal 3 5 11 5 3" xfId="12212"/>
    <cellStyle name="Normal 3 5 11 5 3 2" xfId="28346"/>
    <cellStyle name="Normal 3 5 11 5 4" xfId="12213"/>
    <cellStyle name="Normal 3 5 11 5 4 2" xfId="28347"/>
    <cellStyle name="Normal 3 5 11 5 5" xfId="12214"/>
    <cellStyle name="Normal 3 5 11 5 5 2" xfId="28348"/>
    <cellStyle name="Normal 3 5 11 5 6" xfId="12215"/>
    <cellStyle name="Normal 3 5 11 5 6 2" xfId="28349"/>
    <cellStyle name="Normal 3 5 11 5 7" xfId="12216"/>
    <cellStyle name="Normal 3 5 11 5 7 2" xfId="28350"/>
    <cellStyle name="Normal 3 5 11 5 8" xfId="12217"/>
    <cellStyle name="Normal 3 5 11 5 8 2" xfId="28351"/>
    <cellStyle name="Normal 3 5 11 5 9" xfId="12218"/>
    <cellStyle name="Normal 3 5 11 5 9 2" xfId="28352"/>
    <cellStyle name="Normal 3 5 11 6" xfId="12219"/>
    <cellStyle name="Normal 3 5 11 6 2" xfId="28353"/>
    <cellStyle name="Normal 3 5 11 7" xfId="12220"/>
    <cellStyle name="Normal 3 5 11 7 2" xfId="28354"/>
    <cellStyle name="Normal 3 5 11 8" xfId="12221"/>
    <cellStyle name="Normal 3 5 11 8 2" xfId="28355"/>
    <cellStyle name="Normal 3 5 11 9" xfId="12222"/>
    <cellStyle name="Normal 3 5 11 9 2" xfId="28356"/>
    <cellStyle name="Normal 3 5 12" xfId="12223"/>
    <cellStyle name="Normal 3 5 12 2" xfId="28357"/>
    <cellStyle name="Normal 3 5 13" xfId="12224"/>
    <cellStyle name="Normal 3 5 13 2" xfId="28358"/>
    <cellStyle name="Normal 3 5 14" xfId="12225"/>
    <cellStyle name="Normal 3 5 14 2" xfId="28359"/>
    <cellStyle name="Normal 3 5 15" xfId="12226"/>
    <cellStyle name="Normal 3 5 15 2" xfId="28360"/>
    <cellStyle name="Normal 3 5 16" xfId="12227"/>
    <cellStyle name="Normal 3 5 16 2" xfId="28361"/>
    <cellStyle name="Normal 3 5 17" xfId="12228"/>
    <cellStyle name="Normal 3 5 17 2" xfId="28362"/>
    <cellStyle name="Normal 3 5 18" xfId="12229"/>
    <cellStyle name="Normal 3 5 18 2" xfId="28363"/>
    <cellStyle name="Normal 3 5 19" xfId="6503"/>
    <cellStyle name="Normal 3 5 19 2" xfId="22665"/>
    <cellStyle name="Normal 3 5 2" xfId="2861"/>
    <cellStyle name="Normal 3 5 2 2" xfId="6751"/>
    <cellStyle name="Normal 3 5 2 2 2" xfId="22913"/>
    <cellStyle name="Normal 3 5 3" xfId="202"/>
    <cellStyle name="Normal 3 5 3 2" xfId="4176"/>
    <cellStyle name="Normal 3 5 3 2 2" xfId="20339"/>
    <cellStyle name="Normal 3 5 4" xfId="1222"/>
    <cellStyle name="Normal 3 5 4 2" xfId="5142"/>
    <cellStyle name="Normal 3 5 4 2 2" xfId="21304"/>
    <cellStyle name="Normal 3 5 5" xfId="947"/>
    <cellStyle name="Normal 3 5 5 2" xfId="4871"/>
    <cellStyle name="Normal 3 5 5 2 2" xfId="21033"/>
    <cellStyle name="Normal 3 5 6" xfId="951"/>
    <cellStyle name="Normal 3 5 6 2" xfId="4875"/>
    <cellStyle name="Normal 3 5 6 2 2" xfId="21037"/>
    <cellStyle name="Normal 3 5 7" xfId="954"/>
    <cellStyle name="Normal 3 5 7 2" xfId="4878"/>
    <cellStyle name="Normal 3 5 7 2 2" xfId="21040"/>
    <cellStyle name="Normal 3 5 8" xfId="957"/>
    <cellStyle name="Normal 3 5 8 2" xfId="4882"/>
    <cellStyle name="Normal 3 5 8 2 2" xfId="21044"/>
    <cellStyle name="Normal 3 5 9" xfId="12230"/>
    <cellStyle name="Normal 3 5 9 2" xfId="28364"/>
    <cellStyle name="Normal 3 6" xfId="2611"/>
    <cellStyle name="Normal 3 6 10" xfId="2862"/>
    <cellStyle name="Normal 3 6 10 2" xfId="6752"/>
    <cellStyle name="Normal 3 6 10 2 2" xfId="22914"/>
    <cellStyle name="Normal 3 6 11" xfId="2863"/>
    <cellStyle name="Normal 3 6 11 10" xfId="12231"/>
    <cellStyle name="Normal 3 6 11 10 2" xfId="28365"/>
    <cellStyle name="Normal 3 6 11 11" xfId="12232"/>
    <cellStyle name="Normal 3 6 11 11 2" xfId="28366"/>
    <cellStyle name="Normal 3 6 11 12" xfId="12233"/>
    <cellStyle name="Normal 3 6 11 12 2" xfId="28367"/>
    <cellStyle name="Normal 3 6 11 13" xfId="12234"/>
    <cellStyle name="Normal 3 6 11 13 2" xfId="28368"/>
    <cellStyle name="Normal 3 6 11 14" xfId="12235"/>
    <cellStyle name="Normal 3 6 11 14 2" xfId="28369"/>
    <cellStyle name="Normal 3 6 11 15" xfId="12236"/>
    <cellStyle name="Normal 3 6 11 15 2" xfId="28370"/>
    <cellStyle name="Normal 3 6 11 16" xfId="6753"/>
    <cellStyle name="Normal 3 6 11 16 2" xfId="22915"/>
    <cellStyle name="Normal 3 6 11 17" xfId="19808"/>
    <cellStyle name="Normal 3 6 11 2" xfId="1986"/>
    <cellStyle name="Normal 3 6 11 2 2" xfId="5890"/>
    <cellStyle name="Normal 3 6 11 2 2 2" xfId="22052"/>
    <cellStyle name="Normal 3 6 11 3" xfId="2864"/>
    <cellStyle name="Normal 3 6 11 3 10" xfId="12237"/>
    <cellStyle name="Normal 3 6 11 3 10 2" xfId="28371"/>
    <cellStyle name="Normal 3 6 11 3 11" xfId="12238"/>
    <cellStyle name="Normal 3 6 11 3 11 2" xfId="28372"/>
    <cellStyle name="Normal 3 6 11 3 12" xfId="12239"/>
    <cellStyle name="Normal 3 6 11 3 12 2" xfId="28373"/>
    <cellStyle name="Normal 3 6 11 3 13" xfId="6754"/>
    <cellStyle name="Normal 3 6 11 3 13 2" xfId="22916"/>
    <cellStyle name="Normal 3 6 11 3 14" xfId="19809"/>
    <cellStyle name="Normal 3 6 11 3 2" xfId="2865"/>
    <cellStyle name="Normal 3 6 11 3 2 10" xfId="12240"/>
    <cellStyle name="Normal 3 6 11 3 2 10 2" xfId="28374"/>
    <cellStyle name="Normal 3 6 11 3 2 11" xfId="6755"/>
    <cellStyle name="Normal 3 6 11 3 2 11 2" xfId="22917"/>
    <cellStyle name="Normal 3 6 11 3 2 12" xfId="19810"/>
    <cellStyle name="Normal 3 6 11 3 2 2" xfId="12241"/>
    <cellStyle name="Normal 3 6 11 3 2 2 2" xfId="28375"/>
    <cellStyle name="Normal 3 6 11 3 2 3" xfId="12242"/>
    <cellStyle name="Normal 3 6 11 3 2 3 2" xfId="28376"/>
    <cellStyle name="Normal 3 6 11 3 2 4" xfId="12243"/>
    <cellStyle name="Normal 3 6 11 3 2 4 2" xfId="28377"/>
    <cellStyle name="Normal 3 6 11 3 2 5" xfId="12244"/>
    <cellStyle name="Normal 3 6 11 3 2 5 2" xfId="28378"/>
    <cellStyle name="Normal 3 6 11 3 2 6" xfId="12245"/>
    <cellStyle name="Normal 3 6 11 3 2 6 2" xfId="28379"/>
    <cellStyle name="Normal 3 6 11 3 2 7" xfId="12246"/>
    <cellStyle name="Normal 3 6 11 3 2 7 2" xfId="28380"/>
    <cellStyle name="Normal 3 6 11 3 2 8" xfId="12247"/>
    <cellStyle name="Normal 3 6 11 3 2 8 2" xfId="28381"/>
    <cellStyle name="Normal 3 6 11 3 2 9" xfId="12248"/>
    <cellStyle name="Normal 3 6 11 3 2 9 2" xfId="28382"/>
    <cellStyle name="Normal 3 6 11 3 3" xfId="2866"/>
    <cellStyle name="Normal 3 6 11 3 3 10" xfId="12249"/>
    <cellStyle name="Normal 3 6 11 3 3 10 2" xfId="28383"/>
    <cellStyle name="Normal 3 6 11 3 3 11" xfId="6756"/>
    <cellStyle name="Normal 3 6 11 3 3 11 2" xfId="22918"/>
    <cellStyle name="Normal 3 6 11 3 3 12" xfId="19811"/>
    <cellStyle name="Normal 3 6 11 3 3 2" xfId="12250"/>
    <cellStyle name="Normal 3 6 11 3 3 2 2" xfId="28384"/>
    <cellStyle name="Normal 3 6 11 3 3 3" xfId="12251"/>
    <cellStyle name="Normal 3 6 11 3 3 3 2" xfId="28385"/>
    <cellStyle name="Normal 3 6 11 3 3 4" xfId="12252"/>
    <cellStyle name="Normal 3 6 11 3 3 4 2" xfId="28386"/>
    <cellStyle name="Normal 3 6 11 3 3 5" xfId="12253"/>
    <cellStyle name="Normal 3 6 11 3 3 5 2" xfId="28387"/>
    <cellStyle name="Normal 3 6 11 3 3 6" xfId="12254"/>
    <cellStyle name="Normal 3 6 11 3 3 6 2" xfId="28388"/>
    <cellStyle name="Normal 3 6 11 3 3 7" xfId="12255"/>
    <cellStyle name="Normal 3 6 11 3 3 7 2" xfId="28389"/>
    <cellStyle name="Normal 3 6 11 3 3 8" xfId="12256"/>
    <cellStyle name="Normal 3 6 11 3 3 8 2" xfId="28390"/>
    <cellStyle name="Normal 3 6 11 3 3 9" xfId="12257"/>
    <cellStyle name="Normal 3 6 11 3 3 9 2" xfId="28391"/>
    <cellStyle name="Normal 3 6 11 3 4" xfId="12258"/>
    <cellStyle name="Normal 3 6 11 3 4 2" xfId="28392"/>
    <cellStyle name="Normal 3 6 11 3 5" xfId="12259"/>
    <cellStyle name="Normal 3 6 11 3 5 2" xfId="28393"/>
    <cellStyle name="Normal 3 6 11 3 6" xfId="12260"/>
    <cellStyle name="Normal 3 6 11 3 6 2" xfId="28394"/>
    <cellStyle name="Normal 3 6 11 3 7" xfId="12261"/>
    <cellStyle name="Normal 3 6 11 3 7 2" xfId="28395"/>
    <cellStyle name="Normal 3 6 11 3 8" xfId="12262"/>
    <cellStyle name="Normal 3 6 11 3 8 2" xfId="28396"/>
    <cellStyle name="Normal 3 6 11 3 9" xfId="12263"/>
    <cellStyle name="Normal 3 6 11 3 9 2" xfId="28397"/>
    <cellStyle name="Normal 3 6 11 4" xfId="2867"/>
    <cellStyle name="Normal 3 6 11 4 10" xfId="12264"/>
    <cellStyle name="Normal 3 6 11 4 10 2" xfId="28398"/>
    <cellStyle name="Normal 3 6 11 4 11" xfId="12265"/>
    <cellStyle name="Normal 3 6 11 4 11 2" xfId="28399"/>
    <cellStyle name="Normal 3 6 11 4 12" xfId="12266"/>
    <cellStyle name="Normal 3 6 11 4 12 2" xfId="28400"/>
    <cellStyle name="Normal 3 6 11 4 13" xfId="6757"/>
    <cellStyle name="Normal 3 6 11 4 13 2" xfId="22919"/>
    <cellStyle name="Normal 3 6 11 4 14" xfId="19812"/>
    <cellStyle name="Normal 3 6 11 4 2" xfId="1264"/>
    <cellStyle name="Normal 3 6 11 4 2 10" xfId="12267"/>
    <cellStyle name="Normal 3 6 11 4 2 10 2" xfId="28401"/>
    <cellStyle name="Normal 3 6 11 4 2 11" xfId="5184"/>
    <cellStyle name="Normal 3 6 11 4 2 11 2" xfId="21346"/>
    <cellStyle name="Normal 3 6 11 4 2 12" xfId="19387"/>
    <cellStyle name="Normal 3 6 11 4 2 2" xfId="12268"/>
    <cellStyle name="Normal 3 6 11 4 2 2 2" xfId="28402"/>
    <cellStyle name="Normal 3 6 11 4 2 3" xfId="12269"/>
    <cellStyle name="Normal 3 6 11 4 2 3 2" xfId="28403"/>
    <cellStyle name="Normal 3 6 11 4 2 4" xfId="12270"/>
    <cellStyle name="Normal 3 6 11 4 2 4 2" xfId="28404"/>
    <cellStyle name="Normal 3 6 11 4 2 5" xfId="12271"/>
    <cellStyle name="Normal 3 6 11 4 2 5 2" xfId="28405"/>
    <cellStyle name="Normal 3 6 11 4 2 6" xfId="12272"/>
    <cellStyle name="Normal 3 6 11 4 2 6 2" xfId="28406"/>
    <cellStyle name="Normal 3 6 11 4 2 7" xfId="12273"/>
    <cellStyle name="Normal 3 6 11 4 2 7 2" xfId="28407"/>
    <cellStyle name="Normal 3 6 11 4 2 8" xfId="12274"/>
    <cellStyle name="Normal 3 6 11 4 2 8 2" xfId="28408"/>
    <cellStyle name="Normal 3 6 11 4 2 9" xfId="12275"/>
    <cellStyle name="Normal 3 6 11 4 2 9 2" xfId="28409"/>
    <cellStyle name="Normal 3 6 11 4 3" xfId="1267"/>
    <cellStyle name="Normal 3 6 11 4 3 10" xfId="12276"/>
    <cellStyle name="Normal 3 6 11 4 3 10 2" xfId="28410"/>
    <cellStyle name="Normal 3 6 11 4 3 11" xfId="5187"/>
    <cellStyle name="Normal 3 6 11 4 3 11 2" xfId="21349"/>
    <cellStyle name="Normal 3 6 11 4 3 12" xfId="19390"/>
    <cellStyle name="Normal 3 6 11 4 3 2" xfId="12277"/>
    <cellStyle name="Normal 3 6 11 4 3 2 2" xfId="28411"/>
    <cellStyle name="Normal 3 6 11 4 3 3" xfId="12278"/>
    <cellStyle name="Normal 3 6 11 4 3 3 2" xfId="28412"/>
    <cellStyle name="Normal 3 6 11 4 3 4" xfId="12279"/>
    <cellStyle name="Normal 3 6 11 4 3 4 2" xfId="28413"/>
    <cellStyle name="Normal 3 6 11 4 3 5" xfId="12280"/>
    <cellStyle name="Normal 3 6 11 4 3 5 2" xfId="28414"/>
    <cellStyle name="Normal 3 6 11 4 3 6" xfId="12281"/>
    <cellStyle name="Normal 3 6 11 4 3 6 2" xfId="28415"/>
    <cellStyle name="Normal 3 6 11 4 3 7" xfId="12282"/>
    <cellStyle name="Normal 3 6 11 4 3 7 2" xfId="28416"/>
    <cellStyle name="Normal 3 6 11 4 3 8" xfId="12283"/>
    <cellStyle name="Normal 3 6 11 4 3 8 2" xfId="28417"/>
    <cellStyle name="Normal 3 6 11 4 3 9" xfId="12284"/>
    <cellStyle name="Normal 3 6 11 4 3 9 2" xfId="28418"/>
    <cellStyle name="Normal 3 6 11 4 4" xfId="12285"/>
    <cellStyle name="Normal 3 6 11 4 4 2" xfId="28419"/>
    <cellStyle name="Normal 3 6 11 4 5" xfId="12286"/>
    <cellStyle name="Normal 3 6 11 4 5 2" xfId="28420"/>
    <cellStyle name="Normal 3 6 11 4 6" xfId="12287"/>
    <cellStyle name="Normal 3 6 11 4 6 2" xfId="28421"/>
    <cellStyle name="Normal 3 6 11 4 7" xfId="12288"/>
    <cellStyle name="Normal 3 6 11 4 7 2" xfId="28422"/>
    <cellStyle name="Normal 3 6 11 4 8" xfId="12289"/>
    <cellStyle name="Normal 3 6 11 4 8 2" xfId="28423"/>
    <cellStyle name="Normal 3 6 11 4 9" xfId="12290"/>
    <cellStyle name="Normal 3 6 11 4 9 2" xfId="28424"/>
    <cellStyle name="Normal 3 6 11 5" xfId="2868"/>
    <cellStyle name="Normal 3 6 11 5 10" xfId="12291"/>
    <cellStyle name="Normal 3 6 11 5 10 2" xfId="28425"/>
    <cellStyle name="Normal 3 6 11 5 11" xfId="6758"/>
    <cellStyle name="Normal 3 6 11 5 11 2" xfId="22920"/>
    <cellStyle name="Normal 3 6 11 5 12" xfId="19813"/>
    <cellStyle name="Normal 3 6 11 5 2" xfId="12292"/>
    <cellStyle name="Normal 3 6 11 5 2 2" xfId="28426"/>
    <cellStyle name="Normal 3 6 11 5 3" xfId="12293"/>
    <cellStyle name="Normal 3 6 11 5 3 2" xfId="28427"/>
    <cellStyle name="Normal 3 6 11 5 4" xfId="12294"/>
    <cellStyle name="Normal 3 6 11 5 4 2" xfId="28428"/>
    <cellStyle name="Normal 3 6 11 5 5" xfId="12295"/>
    <cellStyle name="Normal 3 6 11 5 5 2" xfId="28429"/>
    <cellStyle name="Normal 3 6 11 5 6" xfId="12296"/>
    <cellStyle name="Normal 3 6 11 5 6 2" xfId="28430"/>
    <cellStyle name="Normal 3 6 11 5 7" xfId="12297"/>
    <cellStyle name="Normal 3 6 11 5 7 2" xfId="28431"/>
    <cellStyle name="Normal 3 6 11 5 8" xfId="12298"/>
    <cellStyle name="Normal 3 6 11 5 8 2" xfId="28432"/>
    <cellStyle name="Normal 3 6 11 5 9" xfId="12299"/>
    <cellStyle name="Normal 3 6 11 5 9 2" xfId="28433"/>
    <cellStyle name="Normal 3 6 11 6" xfId="2869"/>
    <cellStyle name="Normal 3 6 11 6 10" xfId="12300"/>
    <cellStyle name="Normal 3 6 11 6 10 2" xfId="28434"/>
    <cellStyle name="Normal 3 6 11 6 11" xfId="6759"/>
    <cellStyle name="Normal 3 6 11 6 11 2" xfId="22921"/>
    <cellStyle name="Normal 3 6 11 6 12" xfId="19814"/>
    <cellStyle name="Normal 3 6 11 6 2" xfId="12301"/>
    <cellStyle name="Normal 3 6 11 6 2 2" xfId="28435"/>
    <cellStyle name="Normal 3 6 11 6 3" xfId="12302"/>
    <cellStyle name="Normal 3 6 11 6 3 2" xfId="28436"/>
    <cellStyle name="Normal 3 6 11 6 4" xfId="12303"/>
    <cellStyle name="Normal 3 6 11 6 4 2" xfId="28437"/>
    <cellStyle name="Normal 3 6 11 6 5" xfId="12304"/>
    <cellStyle name="Normal 3 6 11 6 5 2" xfId="28438"/>
    <cellStyle name="Normal 3 6 11 6 6" xfId="12305"/>
    <cellStyle name="Normal 3 6 11 6 6 2" xfId="28439"/>
    <cellStyle name="Normal 3 6 11 6 7" xfId="12306"/>
    <cellStyle name="Normal 3 6 11 6 7 2" xfId="28440"/>
    <cellStyle name="Normal 3 6 11 6 8" xfId="12307"/>
    <cellStyle name="Normal 3 6 11 6 8 2" xfId="28441"/>
    <cellStyle name="Normal 3 6 11 6 9" xfId="12308"/>
    <cellStyle name="Normal 3 6 11 6 9 2" xfId="28442"/>
    <cellStyle name="Normal 3 6 11 7" xfId="12309"/>
    <cellStyle name="Normal 3 6 11 7 2" xfId="28443"/>
    <cellStyle name="Normal 3 6 11 8" xfId="12310"/>
    <cellStyle name="Normal 3 6 11 8 2" xfId="28444"/>
    <cellStyle name="Normal 3 6 11 9" xfId="12311"/>
    <cellStyle name="Normal 3 6 11 9 2" xfId="28445"/>
    <cellStyle name="Normal 3 6 11_Corrected Spl Task information Peddapalli Division" xfId="2870"/>
    <cellStyle name="Normal 3 6 12" xfId="12312"/>
    <cellStyle name="Normal 3 6 12 2" xfId="28446"/>
    <cellStyle name="Normal 3 6 13" xfId="12313"/>
    <cellStyle name="Normal 3 6 13 2" xfId="28447"/>
    <cellStyle name="Normal 3 6 14" xfId="12314"/>
    <cellStyle name="Normal 3 6 14 2" xfId="28448"/>
    <cellStyle name="Normal 3 6 15" xfId="12315"/>
    <cellStyle name="Normal 3 6 15 2" xfId="28449"/>
    <cellStyle name="Normal 3 6 16" xfId="12316"/>
    <cellStyle name="Normal 3 6 16 2" xfId="28450"/>
    <cellStyle name="Normal 3 6 17" xfId="12317"/>
    <cellStyle name="Normal 3 6 17 2" xfId="28451"/>
    <cellStyle name="Normal 3 6 18" xfId="12318"/>
    <cellStyle name="Normal 3 6 18 2" xfId="28452"/>
    <cellStyle name="Normal 3 6 19" xfId="12319"/>
    <cellStyle name="Normal 3 6 19 2" xfId="28453"/>
    <cellStyle name="Normal 3 6 2" xfId="2871"/>
    <cellStyle name="Normal 3 6 2 2" xfId="6760"/>
    <cellStyle name="Normal 3 6 2 2 2" xfId="22922"/>
    <cellStyle name="Normal 3 6 20" xfId="12320"/>
    <cellStyle name="Normal 3 6 20 2" xfId="28454"/>
    <cellStyle name="Normal 3 6 21" xfId="6505"/>
    <cellStyle name="Normal 3 6 21 2" xfId="22667"/>
    <cellStyle name="Normal 3 6 3" xfId="1226"/>
    <cellStyle name="Normal 3 6 3 2" xfId="2872"/>
    <cellStyle name="Normal 3 6 3 2 2" xfId="6761"/>
    <cellStyle name="Normal 3 6 3 2 2 2" xfId="22923"/>
    <cellStyle name="Normal 3 6 3 3" xfId="2873"/>
    <cellStyle name="Normal 3 6 3 3 10" xfId="12321"/>
    <cellStyle name="Normal 3 6 3 3 10 2" xfId="28455"/>
    <cellStyle name="Normal 3 6 3 3 11" xfId="12322"/>
    <cellStyle name="Normal 3 6 3 3 11 2" xfId="28456"/>
    <cellStyle name="Normal 3 6 3 3 12" xfId="12323"/>
    <cellStyle name="Normal 3 6 3 3 12 2" xfId="28457"/>
    <cellStyle name="Normal 3 6 3 3 13" xfId="6762"/>
    <cellStyle name="Normal 3 6 3 3 13 2" xfId="22924"/>
    <cellStyle name="Normal 3 6 3 3 14" xfId="19815"/>
    <cellStyle name="Normal 3 6 3 3 2" xfId="2874"/>
    <cellStyle name="Normal 3 6 3 3 2 10" xfId="12324"/>
    <cellStyle name="Normal 3 6 3 3 2 10 2" xfId="28458"/>
    <cellStyle name="Normal 3 6 3 3 2 11" xfId="6763"/>
    <cellStyle name="Normal 3 6 3 3 2 11 2" xfId="22925"/>
    <cellStyle name="Normal 3 6 3 3 2 12" xfId="19816"/>
    <cellStyle name="Normal 3 6 3 3 2 2" xfId="12325"/>
    <cellStyle name="Normal 3 6 3 3 2 2 2" xfId="28459"/>
    <cellStyle name="Normal 3 6 3 3 2 3" xfId="12326"/>
    <cellStyle name="Normal 3 6 3 3 2 3 2" xfId="28460"/>
    <cellStyle name="Normal 3 6 3 3 2 4" xfId="12327"/>
    <cellStyle name="Normal 3 6 3 3 2 4 2" xfId="28461"/>
    <cellStyle name="Normal 3 6 3 3 2 5" xfId="12328"/>
    <cellStyle name="Normal 3 6 3 3 2 5 2" xfId="28462"/>
    <cellStyle name="Normal 3 6 3 3 2 6" xfId="12329"/>
    <cellStyle name="Normal 3 6 3 3 2 6 2" xfId="28463"/>
    <cellStyle name="Normal 3 6 3 3 2 7" xfId="12330"/>
    <cellStyle name="Normal 3 6 3 3 2 7 2" xfId="28464"/>
    <cellStyle name="Normal 3 6 3 3 2 8" xfId="12331"/>
    <cellStyle name="Normal 3 6 3 3 2 8 2" xfId="28465"/>
    <cellStyle name="Normal 3 6 3 3 2 9" xfId="12332"/>
    <cellStyle name="Normal 3 6 3 3 2 9 2" xfId="28466"/>
    <cellStyle name="Normal 3 6 3 3 3" xfId="2875"/>
    <cellStyle name="Normal 3 6 3 3 3 10" xfId="12333"/>
    <cellStyle name="Normal 3 6 3 3 3 10 2" xfId="28467"/>
    <cellStyle name="Normal 3 6 3 3 3 11" xfId="6764"/>
    <cellStyle name="Normal 3 6 3 3 3 11 2" xfId="22926"/>
    <cellStyle name="Normal 3 6 3 3 3 12" xfId="19817"/>
    <cellStyle name="Normal 3 6 3 3 3 2" xfId="12334"/>
    <cellStyle name="Normal 3 6 3 3 3 2 2" xfId="28468"/>
    <cellStyle name="Normal 3 6 3 3 3 3" xfId="12335"/>
    <cellStyle name="Normal 3 6 3 3 3 3 2" xfId="28469"/>
    <cellStyle name="Normal 3 6 3 3 3 4" xfId="12336"/>
    <cellStyle name="Normal 3 6 3 3 3 4 2" xfId="28470"/>
    <cellStyle name="Normal 3 6 3 3 3 5" xfId="12337"/>
    <cellStyle name="Normal 3 6 3 3 3 5 2" xfId="28471"/>
    <cellStyle name="Normal 3 6 3 3 3 6" xfId="12338"/>
    <cellStyle name="Normal 3 6 3 3 3 6 2" xfId="28472"/>
    <cellStyle name="Normal 3 6 3 3 3 7" xfId="12339"/>
    <cellStyle name="Normal 3 6 3 3 3 7 2" xfId="28473"/>
    <cellStyle name="Normal 3 6 3 3 3 8" xfId="12340"/>
    <cellStyle name="Normal 3 6 3 3 3 8 2" xfId="28474"/>
    <cellStyle name="Normal 3 6 3 3 3 9" xfId="12341"/>
    <cellStyle name="Normal 3 6 3 3 3 9 2" xfId="28475"/>
    <cellStyle name="Normal 3 6 3 3 4" xfId="12342"/>
    <cellStyle name="Normal 3 6 3 3 4 2" xfId="28476"/>
    <cellStyle name="Normal 3 6 3 3 5" xfId="12343"/>
    <cellStyle name="Normal 3 6 3 3 5 2" xfId="28477"/>
    <cellStyle name="Normal 3 6 3 3 6" xfId="12344"/>
    <cellStyle name="Normal 3 6 3 3 6 2" xfId="28478"/>
    <cellStyle name="Normal 3 6 3 3 7" xfId="12345"/>
    <cellStyle name="Normal 3 6 3 3 7 2" xfId="28479"/>
    <cellStyle name="Normal 3 6 3 3 8" xfId="12346"/>
    <cellStyle name="Normal 3 6 3 3 8 2" xfId="28480"/>
    <cellStyle name="Normal 3 6 3 3 9" xfId="12347"/>
    <cellStyle name="Normal 3 6 3 3 9 2" xfId="28481"/>
    <cellStyle name="Normal 3 6 3 4" xfId="2876"/>
    <cellStyle name="Normal 3 6 3 4 10" xfId="12348"/>
    <cellStyle name="Normal 3 6 3 4 10 2" xfId="28482"/>
    <cellStyle name="Normal 3 6 3 4 11" xfId="12349"/>
    <cellStyle name="Normal 3 6 3 4 11 2" xfId="28483"/>
    <cellStyle name="Normal 3 6 3 4 12" xfId="12350"/>
    <cellStyle name="Normal 3 6 3 4 12 2" xfId="28484"/>
    <cellStyle name="Normal 3 6 3 4 13" xfId="6765"/>
    <cellStyle name="Normal 3 6 3 4 13 2" xfId="22927"/>
    <cellStyle name="Normal 3 6 3 4 14" xfId="19818"/>
    <cellStyle name="Normal 3 6 3 4 2" xfId="1076"/>
    <cellStyle name="Normal 3 6 3 4 2 10" xfId="12351"/>
    <cellStyle name="Normal 3 6 3 4 2 10 2" xfId="28485"/>
    <cellStyle name="Normal 3 6 3 4 2 11" xfId="4993"/>
    <cellStyle name="Normal 3 6 3 4 2 11 2" xfId="21155"/>
    <cellStyle name="Normal 3 6 3 4 2 12" xfId="19304"/>
    <cellStyle name="Normal 3 6 3 4 2 2" xfId="12352"/>
    <cellStyle name="Normal 3 6 3 4 2 2 2" xfId="28486"/>
    <cellStyle name="Normal 3 6 3 4 2 3" xfId="12353"/>
    <cellStyle name="Normal 3 6 3 4 2 3 2" xfId="28487"/>
    <cellStyle name="Normal 3 6 3 4 2 4" xfId="12354"/>
    <cellStyle name="Normal 3 6 3 4 2 4 2" xfId="28488"/>
    <cellStyle name="Normal 3 6 3 4 2 5" xfId="12355"/>
    <cellStyle name="Normal 3 6 3 4 2 5 2" xfId="28489"/>
    <cellStyle name="Normal 3 6 3 4 2 6" xfId="12356"/>
    <cellStyle name="Normal 3 6 3 4 2 6 2" xfId="28490"/>
    <cellStyle name="Normal 3 6 3 4 2 7" xfId="12357"/>
    <cellStyle name="Normal 3 6 3 4 2 7 2" xfId="28491"/>
    <cellStyle name="Normal 3 6 3 4 2 8" xfId="12358"/>
    <cellStyle name="Normal 3 6 3 4 2 8 2" xfId="28492"/>
    <cellStyle name="Normal 3 6 3 4 2 9" xfId="12359"/>
    <cellStyle name="Normal 3 6 3 4 2 9 2" xfId="28493"/>
    <cellStyle name="Normal 3 6 3 4 3" xfId="1082"/>
    <cellStyle name="Normal 3 6 3 4 3 10" xfId="12360"/>
    <cellStyle name="Normal 3 6 3 4 3 10 2" xfId="28494"/>
    <cellStyle name="Normal 3 6 3 4 3 11" xfId="4999"/>
    <cellStyle name="Normal 3 6 3 4 3 11 2" xfId="21161"/>
    <cellStyle name="Normal 3 6 3 4 3 12" xfId="19306"/>
    <cellStyle name="Normal 3 6 3 4 3 2" xfId="12361"/>
    <cellStyle name="Normal 3 6 3 4 3 2 2" xfId="28495"/>
    <cellStyle name="Normal 3 6 3 4 3 3" xfId="12362"/>
    <cellStyle name="Normal 3 6 3 4 3 3 2" xfId="28496"/>
    <cellStyle name="Normal 3 6 3 4 3 4" xfId="12363"/>
    <cellStyle name="Normal 3 6 3 4 3 4 2" xfId="28497"/>
    <cellStyle name="Normal 3 6 3 4 3 5" xfId="12364"/>
    <cellStyle name="Normal 3 6 3 4 3 5 2" xfId="28498"/>
    <cellStyle name="Normal 3 6 3 4 3 6" xfId="12365"/>
    <cellStyle name="Normal 3 6 3 4 3 6 2" xfId="28499"/>
    <cellStyle name="Normal 3 6 3 4 3 7" xfId="12366"/>
    <cellStyle name="Normal 3 6 3 4 3 7 2" xfId="28500"/>
    <cellStyle name="Normal 3 6 3 4 3 8" xfId="12367"/>
    <cellStyle name="Normal 3 6 3 4 3 8 2" xfId="28501"/>
    <cellStyle name="Normal 3 6 3 4 3 9" xfId="12368"/>
    <cellStyle name="Normal 3 6 3 4 3 9 2" xfId="28502"/>
    <cellStyle name="Normal 3 6 3 4 4" xfId="12369"/>
    <cellStyle name="Normal 3 6 3 4 4 2" xfId="28503"/>
    <cellStyle name="Normal 3 6 3 4 5" xfId="12370"/>
    <cellStyle name="Normal 3 6 3 4 5 2" xfId="28504"/>
    <cellStyle name="Normal 3 6 3 4 6" xfId="12371"/>
    <cellStyle name="Normal 3 6 3 4 6 2" xfId="28505"/>
    <cellStyle name="Normal 3 6 3 4 7" xfId="12372"/>
    <cellStyle name="Normal 3 6 3 4 7 2" xfId="28506"/>
    <cellStyle name="Normal 3 6 3 4 8" xfId="12373"/>
    <cellStyle name="Normal 3 6 3 4 8 2" xfId="28507"/>
    <cellStyle name="Normal 3 6 3 4 9" xfId="12374"/>
    <cellStyle name="Normal 3 6 3 4 9 2" xfId="28508"/>
    <cellStyle name="Normal 3 6 3 5" xfId="5144"/>
    <cellStyle name="Normal 3 6 3 5 2" xfId="21306"/>
    <cellStyle name="Normal 3 6 3_Corrected Spl Task information Peddapalli Division" xfId="2879"/>
    <cellStyle name="Normal 3 6 4" xfId="734"/>
    <cellStyle name="Normal 3 6 4 2" xfId="4661"/>
    <cellStyle name="Normal 3 6 4 2 2" xfId="20823"/>
    <cellStyle name="Normal 3 6 5" xfId="743"/>
    <cellStyle name="Normal 3 6 5 2" xfId="2880"/>
    <cellStyle name="Normal 3 6 5 2 10" xfId="12375"/>
    <cellStyle name="Normal 3 6 5 2 10 2" xfId="28509"/>
    <cellStyle name="Normal 3 6 5 2 11" xfId="12376"/>
    <cellStyle name="Normal 3 6 5 2 11 2" xfId="28510"/>
    <cellStyle name="Normal 3 6 5 2 12" xfId="12377"/>
    <cellStyle name="Normal 3 6 5 2 12 2" xfId="28511"/>
    <cellStyle name="Normal 3 6 5 2 13" xfId="6768"/>
    <cellStyle name="Normal 3 6 5 2 13 2" xfId="22930"/>
    <cellStyle name="Normal 3 6 5 2 14" xfId="19820"/>
    <cellStyle name="Normal 3 6 5 2 2" xfId="2881"/>
    <cellStyle name="Normal 3 6 5 2 2 10" xfId="12378"/>
    <cellStyle name="Normal 3 6 5 2 2 10 2" xfId="28512"/>
    <cellStyle name="Normal 3 6 5 2 2 11" xfId="6769"/>
    <cellStyle name="Normal 3 6 5 2 2 11 2" xfId="22931"/>
    <cellStyle name="Normal 3 6 5 2 2 12" xfId="19821"/>
    <cellStyle name="Normal 3 6 5 2 2 2" xfId="12379"/>
    <cellStyle name="Normal 3 6 5 2 2 2 2" xfId="28513"/>
    <cellStyle name="Normal 3 6 5 2 2 3" xfId="12380"/>
    <cellStyle name="Normal 3 6 5 2 2 3 2" xfId="28514"/>
    <cellStyle name="Normal 3 6 5 2 2 4" xfId="12381"/>
    <cellStyle name="Normal 3 6 5 2 2 4 2" xfId="28515"/>
    <cellStyle name="Normal 3 6 5 2 2 5" xfId="12382"/>
    <cellStyle name="Normal 3 6 5 2 2 5 2" xfId="28516"/>
    <cellStyle name="Normal 3 6 5 2 2 6" xfId="12383"/>
    <cellStyle name="Normal 3 6 5 2 2 6 2" xfId="28517"/>
    <cellStyle name="Normal 3 6 5 2 2 7" xfId="12384"/>
    <cellStyle name="Normal 3 6 5 2 2 7 2" xfId="28518"/>
    <cellStyle name="Normal 3 6 5 2 2 8" xfId="12385"/>
    <cellStyle name="Normal 3 6 5 2 2 8 2" xfId="28519"/>
    <cellStyle name="Normal 3 6 5 2 2 9" xfId="12386"/>
    <cellStyle name="Normal 3 6 5 2 2 9 2" xfId="28520"/>
    <cellStyle name="Normal 3 6 5 2 3" xfId="2882"/>
    <cellStyle name="Normal 3 6 5 2 3 10" xfId="12387"/>
    <cellStyle name="Normal 3 6 5 2 3 10 2" xfId="28521"/>
    <cellStyle name="Normal 3 6 5 2 3 11" xfId="6770"/>
    <cellStyle name="Normal 3 6 5 2 3 11 2" xfId="22932"/>
    <cellStyle name="Normal 3 6 5 2 3 12" xfId="19822"/>
    <cellStyle name="Normal 3 6 5 2 3 2" xfId="12388"/>
    <cellStyle name="Normal 3 6 5 2 3 2 2" xfId="28522"/>
    <cellStyle name="Normal 3 6 5 2 3 3" xfId="12389"/>
    <cellStyle name="Normal 3 6 5 2 3 3 2" xfId="28523"/>
    <cellStyle name="Normal 3 6 5 2 3 4" xfId="12390"/>
    <cellStyle name="Normal 3 6 5 2 3 4 2" xfId="28524"/>
    <cellStyle name="Normal 3 6 5 2 3 5" xfId="12391"/>
    <cellStyle name="Normal 3 6 5 2 3 5 2" xfId="28525"/>
    <cellStyle name="Normal 3 6 5 2 3 6" xfId="12392"/>
    <cellStyle name="Normal 3 6 5 2 3 6 2" xfId="28526"/>
    <cellStyle name="Normal 3 6 5 2 3 7" xfId="12393"/>
    <cellStyle name="Normal 3 6 5 2 3 7 2" xfId="28527"/>
    <cellStyle name="Normal 3 6 5 2 3 8" xfId="12394"/>
    <cellStyle name="Normal 3 6 5 2 3 8 2" xfId="28528"/>
    <cellStyle name="Normal 3 6 5 2 3 9" xfId="12395"/>
    <cellStyle name="Normal 3 6 5 2 3 9 2" xfId="28529"/>
    <cellStyle name="Normal 3 6 5 2 4" xfId="12396"/>
    <cellStyle name="Normal 3 6 5 2 4 2" xfId="28530"/>
    <cellStyle name="Normal 3 6 5 2 5" xfId="12397"/>
    <cellStyle name="Normal 3 6 5 2 5 2" xfId="28531"/>
    <cellStyle name="Normal 3 6 5 2 6" xfId="12398"/>
    <cellStyle name="Normal 3 6 5 2 6 2" xfId="28532"/>
    <cellStyle name="Normal 3 6 5 2 7" xfId="12399"/>
    <cellStyle name="Normal 3 6 5 2 7 2" xfId="28533"/>
    <cellStyle name="Normal 3 6 5 2 8" xfId="12400"/>
    <cellStyle name="Normal 3 6 5 2 8 2" xfId="28534"/>
    <cellStyle name="Normal 3 6 5 2 9" xfId="12401"/>
    <cellStyle name="Normal 3 6 5 2 9 2" xfId="28535"/>
    <cellStyle name="Normal 3 6 5 3" xfId="2883"/>
    <cellStyle name="Normal 3 6 5 3 10" xfId="12402"/>
    <cellStyle name="Normal 3 6 5 3 10 2" xfId="28536"/>
    <cellStyle name="Normal 3 6 5 3 11" xfId="12403"/>
    <cellStyle name="Normal 3 6 5 3 11 2" xfId="28537"/>
    <cellStyle name="Normal 3 6 5 3 12" xfId="12404"/>
    <cellStyle name="Normal 3 6 5 3 12 2" xfId="28538"/>
    <cellStyle name="Normal 3 6 5 3 13" xfId="6771"/>
    <cellStyle name="Normal 3 6 5 3 13 2" xfId="22933"/>
    <cellStyle name="Normal 3 6 5 3 14" xfId="19823"/>
    <cellStyle name="Normal 3 6 5 3 2" xfId="2884"/>
    <cellStyle name="Normal 3 6 5 3 2 10" xfId="12405"/>
    <cellStyle name="Normal 3 6 5 3 2 10 2" xfId="28539"/>
    <cellStyle name="Normal 3 6 5 3 2 11" xfId="6772"/>
    <cellStyle name="Normal 3 6 5 3 2 11 2" xfId="22934"/>
    <cellStyle name="Normal 3 6 5 3 2 12" xfId="19824"/>
    <cellStyle name="Normal 3 6 5 3 2 2" xfId="12406"/>
    <cellStyle name="Normal 3 6 5 3 2 2 2" xfId="28540"/>
    <cellStyle name="Normal 3 6 5 3 2 3" xfId="12407"/>
    <cellStyle name="Normal 3 6 5 3 2 3 2" xfId="28541"/>
    <cellStyle name="Normal 3 6 5 3 2 4" xfId="12408"/>
    <cellStyle name="Normal 3 6 5 3 2 4 2" xfId="28542"/>
    <cellStyle name="Normal 3 6 5 3 2 5" xfId="12409"/>
    <cellStyle name="Normal 3 6 5 3 2 5 2" xfId="28543"/>
    <cellStyle name="Normal 3 6 5 3 2 6" xfId="12410"/>
    <cellStyle name="Normal 3 6 5 3 2 6 2" xfId="28544"/>
    <cellStyle name="Normal 3 6 5 3 2 7" xfId="12411"/>
    <cellStyle name="Normal 3 6 5 3 2 7 2" xfId="28545"/>
    <cellStyle name="Normal 3 6 5 3 2 8" xfId="12412"/>
    <cellStyle name="Normal 3 6 5 3 2 8 2" xfId="28546"/>
    <cellStyle name="Normal 3 6 5 3 2 9" xfId="12413"/>
    <cellStyle name="Normal 3 6 5 3 2 9 2" xfId="28547"/>
    <cellStyle name="Normal 3 6 5 3 3" xfId="2885"/>
    <cellStyle name="Normal 3 6 5 3 3 10" xfId="12414"/>
    <cellStyle name="Normal 3 6 5 3 3 10 2" xfId="28548"/>
    <cellStyle name="Normal 3 6 5 3 3 11" xfId="6773"/>
    <cellStyle name="Normal 3 6 5 3 3 11 2" xfId="22935"/>
    <cellStyle name="Normal 3 6 5 3 3 12" xfId="19825"/>
    <cellStyle name="Normal 3 6 5 3 3 2" xfId="12415"/>
    <cellStyle name="Normal 3 6 5 3 3 2 2" xfId="28549"/>
    <cellStyle name="Normal 3 6 5 3 3 3" xfId="12416"/>
    <cellStyle name="Normal 3 6 5 3 3 3 2" xfId="28550"/>
    <cellStyle name="Normal 3 6 5 3 3 4" xfId="12417"/>
    <cellStyle name="Normal 3 6 5 3 3 4 2" xfId="28551"/>
    <cellStyle name="Normal 3 6 5 3 3 5" xfId="12418"/>
    <cellStyle name="Normal 3 6 5 3 3 5 2" xfId="28552"/>
    <cellStyle name="Normal 3 6 5 3 3 6" xfId="12419"/>
    <cellStyle name="Normal 3 6 5 3 3 6 2" xfId="28553"/>
    <cellStyle name="Normal 3 6 5 3 3 7" xfId="12420"/>
    <cellStyle name="Normal 3 6 5 3 3 7 2" xfId="28554"/>
    <cellStyle name="Normal 3 6 5 3 3 8" xfId="12421"/>
    <cellStyle name="Normal 3 6 5 3 3 8 2" xfId="28555"/>
    <cellStyle name="Normal 3 6 5 3 3 9" xfId="12422"/>
    <cellStyle name="Normal 3 6 5 3 3 9 2" xfId="28556"/>
    <cellStyle name="Normal 3 6 5 3 4" xfId="12423"/>
    <cellStyle name="Normal 3 6 5 3 4 2" xfId="28557"/>
    <cellStyle name="Normal 3 6 5 3 5" xfId="12424"/>
    <cellStyle name="Normal 3 6 5 3 5 2" xfId="28558"/>
    <cellStyle name="Normal 3 6 5 3 6" xfId="12425"/>
    <cellStyle name="Normal 3 6 5 3 6 2" xfId="28559"/>
    <cellStyle name="Normal 3 6 5 3 7" xfId="12426"/>
    <cellStyle name="Normal 3 6 5 3 7 2" xfId="28560"/>
    <cellStyle name="Normal 3 6 5 3 8" xfId="12427"/>
    <cellStyle name="Normal 3 6 5 3 8 2" xfId="28561"/>
    <cellStyle name="Normal 3 6 5 3 9" xfId="12428"/>
    <cellStyle name="Normal 3 6 5 3 9 2" xfId="28562"/>
    <cellStyle name="Normal 3 6 5 4" xfId="4671"/>
    <cellStyle name="Normal 3 6 5 4 2" xfId="20833"/>
    <cellStyle name="Normal 3 6 6" xfId="686"/>
    <cellStyle name="Normal 3 6 6 2" xfId="4616"/>
    <cellStyle name="Normal 3 6 6 2 2" xfId="20778"/>
    <cellStyle name="Normal 3 6 7" xfId="692"/>
    <cellStyle name="Normal 3 6 7 10" xfId="12429"/>
    <cellStyle name="Normal 3 6 7 10 2" xfId="28563"/>
    <cellStyle name="Normal 3 6 7 11" xfId="12430"/>
    <cellStyle name="Normal 3 6 7 11 2" xfId="28564"/>
    <cellStyle name="Normal 3 6 7 12" xfId="12431"/>
    <cellStyle name="Normal 3 6 7 12 2" xfId="28565"/>
    <cellStyle name="Normal 3 6 7 13" xfId="12432"/>
    <cellStyle name="Normal 3 6 7 13 2" xfId="28566"/>
    <cellStyle name="Normal 3 6 7 14" xfId="12433"/>
    <cellStyle name="Normal 3 6 7 14 2" xfId="28567"/>
    <cellStyle name="Normal 3 6 7 15" xfId="4622"/>
    <cellStyle name="Normal 3 6 7 15 2" xfId="20784"/>
    <cellStyle name="Normal 3 6 7 16" xfId="19157"/>
    <cellStyle name="Normal 3 6 7 2" xfId="1446"/>
    <cellStyle name="Normal 3 6 7 2 10" xfId="12434"/>
    <cellStyle name="Normal 3 6 7 2 10 2" xfId="28568"/>
    <cellStyle name="Normal 3 6 7 2 11" xfId="12435"/>
    <cellStyle name="Normal 3 6 7 2 11 2" xfId="28569"/>
    <cellStyle name="Normal 3 6 7 2 12" xfId="12436"/>
    <cellStyle name="Normal 3 6 7 2 12 2" xfId="28570"/>
    <cellStyle name="Normal 3 6 7 2 13" xfId="5367"/>
    <cellStyle name="Normal 3 6 7 2 13 2" xfId="21529"/>
    <cellStyle name="Normal 3 6 7 2 14" xfId="19490"/>
    <cellStyle name="Normal 3 6 7 2 2" xfId="1451"/>
    <cellStyle name="Normal 3 6 7 2 2 10" xfId="12437"/>
    <cellStyle name="Normal 3 6 7 2 2 10 2" xfId="28571"/>
    <cellStyle name="Normal 3 6 7 2 2 11" xfId="5370"/>
    <cellStyle name="Normal 3 6 7 2 2 11 2" xfId="21532"/>
    <cellStyle name="Normal 3 6 7 2 2 12" xfId="19493"/>
    <cellStyle name="Normal 3 6 7 2 2 2" xfId="12438"/>
    <cellStyle name="Normal 3 6 7 2 2 2 2" xfId="28572"/>
    <cellStyle name="Normal 3 6 7 2 2 3" xfId="12439"/>
    <cellStyle name="Normal 3 6 7 2 2 3 2" xfId="28573"/>
    <cellStyle name="Normal 3 6 7 2 2 4" xfId="12440"/>
    <cellStyle name="Normal 3 6 7 2 2 4 2" xfId="28574"/>
    <cellStyle name="Normal 3 6 7 2 2 5" xfId="12441"/>
    <cellStyle name="Normal 3 6 7 2 2 5 2" xfId="28575"/>
    <cellStyle name="Normal 3 6 7 2 2 6" xfId="12442"/>
    <cellStyle name="Normal 3 6 7 2 2 6 2" xfId="28576"/>
    <cellStyle name="Normal 3 6 7 2 2 7" xfId="12443"/>
    <cellStyle name="Normal 3 6 7 2 2 7 2" xfId="28577"/>
    <cellStyle name="Normal 3 6 7 2 2 8" xfId="12444"/>
    <cellStyle name="Normal 3 6 7 2 2 8 2" xfId="28578"/>
    <cellStyle name="Normal 3 6 7 2 2 9" xfId="12445"/>
    <cellStyle name="Normal 3 6 7 2 2 9 2" xfId="28579"/>
    <cellStyle name="Normal 3 6 7 2 3" xfId="1455"/>
    <cellStyle name="Normal 3 6 7 2 3 10" xfId="12446"/>
    <cellStyle name="Normal 3 6 7 2 3 10 2" xfId="28580"/>
    <cellStyle name="Normal 3 6 7 2 3 11" xfId="5373"/>
    <cellStyle name="Normal 3 6 7 2 3 11 2" xfId="21535"/>
    <cellStyle name="Normal 3 6 7 2 3 12" xfId="19495"/>
    <cellStyle name="Normal 3 6 7 2 3 2" xfId="12447"/>
    <cellStyle name="Normal 3 6 7 2 3 2 2" xfId="28581"/>
    <cellStyle name="Normal 3 6 7 2 3 3" xfId="12448"/>
    <cellStyle name="Normal 3 6 7 2 3 3 2" xfId="28582"/>
    <cellStyle name="Normal 3 6 7 2 3 4" xfId="12449"/>
    <cellStyle name="Normal 3 6 7 2 3 4 2" xfId="28583"/>
    <cellStyle name="Normal 3 6 7 2 3 5" xfId="12450"/>
    <cellStyle name="Normal 3 6 7 2 3 5 2" xfId="28584"/>
    <cellStyle name="Normal 3 6 7 2 3 6" xfId="12451"/>
    <cellStyle name="Normal 3 6 7 2 3 6 2" xfId="28585"/>
    <cellStyle name="Normal 3 6 7 2 3 7" xfId="12452"/>
    <cellStyle name="Normal 3 6 7 2 3 7 2" xfId="28586"/>
    <cellStyle name="Normal 3 6 7 2 3 8" xfId="12453"/>
    <cellStyle name="Normal 3 6 7 2 3 8 2" xfId="28587"/>
    <cellStyle name="Normal 3 6 7 2 3 9" xfId="12454"/>
    <cellStyle name="Normal 3 6 7 2 3 9 2" xfId="28588"/>
    <cellStyle name="Normal 3 6 7 2 4" xfId="12455"/>
    <cellStyle name="Normal 3 6 7 2 4 2" xfId="28589"/>
    <cellStyle name="Normal 3 6 7 2 5" xfId="12456"/>
    <cellStyle name="Normal 3 6 7 2 5 2" xfId="28590"/>
    <cellStyle name="Normal 3 6 7 2 6" xfId="12457"/>
    <cellStyle name="Normal 3 6 7 2 6 2" xfId="28591"/>
    <cellStyle name="Normal 3 6 7 2 7" xfId="12458"/>
    <cellStyle name="Normal 3 6 7 2 7 2" xfId="28592"/>
    <cellStyle name="Normal 3 6 7 2 8" xfId="12459"/>
    <cellStyle name="Normal 3 6 7 2 8 2" xfId="28593"/>
    <cellStyle name="Normal 3 6 7 2 9" xfId="12460"/>
    <cellStyle name="Normal 3 6 7 2 9 2" xfId="28594"/>
    <cellStyle name="Normal 3 6 7 3" xfId="661"/>
    <cellStyle name="Normal 3 6 7 3 10" xfId="12461"/>
    <cellStyle name="Normal 3 6 7 3 10 2" xfId="28595"/>
    <cellStyle name="Normal 3 6 7 3 11" xfId="12462"/>
    <cellStyle name="Normal 3 6 7 3 11 2" xfId="28596"/>
    <cellStyle name="Normal 3 6 7 3 12" xfId="12463"/>
    <cellStyle name="Normal 3 6 7 3 12 2" xfId="28597"/>
    <cellStyle name="Normal 3 6 7 3 13" xfId="4595"/>
    <cellStyle name="Normal 3 6 7 3 13 2" xfId="20757"/>
    <cellStyle name="Normal 3 6 7 3 14" xfId="19145"/>
    <cellStyle name="Normal 3 6 7 3 2" xfId="2886"/>
    <cellStyle name="Normal 3 6 7 3 2 10" xfId="12464"/>
    <cellStyle name="Normal 3 6 7 3 2 10 2" xfId="28598"/>
    <cellStyle name="Normal 3 6 7 3 2 11" xfId="6774"/>
    <cellStyle name="Normal 3 6 7 3 2 11 2" xfId="22936"/>
    <cellStyle name="Normal 3 6 7 3 2 12" xfId="19826"/>
    <cellStyle name="Normal 3 6 7 3 2 2" xfId="12465"/>
    <cellStyle name="Normal 3 6 7 3 2 2 2" xfId="28599"/>
    <cellStyle name="Normal 3 6 7 3 2 3" xfId="12466"/>
    <cellStyle name="Normal 3 6 7 3 2 3 2" xfId="28600"/>
    <cellStyle name="Normal 3 6 7 3 2 4" xfId="12467"/>
    <cellStyle name="Normal 3 6 7 3 2 4 2" xfId="28601"/>
    <cellStyle name="Normal 3 6 7 3 2 5" xfId="12468"/>
    <cellStyle name="Normal 3 6 7 3 2 5 2" xfId="28602"/>
    <cellStyle name="Normal 3 6 7 3 2 6" xfId="12469"/>
    <cellStyle name="Normal 3 6 7 3 2 6 2" xfId="28603"/>
    <cellStyle name="Normal 3 6 7 3 2 7" xfId="12470"/>
    <cellStyle name="Normal 3 6 7 3 2 7 2" xfId="28604"/>
    <cellStyle name="Normal 3 6 7 3 2 8" xfId="12471"/>
    <cellStyle name="Normal 3 6 7 3 2 8 2" xfId="28605"/>
    <cellStyle name="Normal 3 6 7 3 2 9" xfId="12472"/>
    <cellStyle name="Normal 3 6 7 3 2 9 2" xfId="28606"/>
    <cellStyle name="Normal 3 6 7 3 3" xfId="2887"/>
    <cellStyle name="Normal 3 6 7 3 3 10" xfId="12473"/>
    <cellStyle name="Normal 3 6 7 3 3 10 2" xfId="28607"/>
    <cellStyle name="Normal 3 6 7 3 3 11" xfId="6775"/>
    <cellStyle name="Normal 3 6 7 3 3 11 2" xfId="22937"/>
    <cellStyle name="Normal 3 6 7 3 3 12" xfId="19827"/>
    <cellStyle name="Normal 3 6 7 3 3 2" xfId="12474"/>
    <cellStyle name="Normal 3 6 7 3 3 2 2" xfId="28608"/>
    <cellStyle name="Normal 3 6 7 3 3 3" xfId="12475"/>
    <cellStyle name="Normal 3 6 7 3 3 3 2" xfId="28609"/>
    <cellStyle name="Normal 3 6 7 3 3 4" xfId="12476"/>
    <cellStyle name="Normal 3 6 7 3 3 4 2" xfId="28610"/>
    <cellStyle name="Normal 3 6 7 3 3 5" xfId="12477"/>
    <cellStyle name="Normal 3 6 7 3 3 5 2" xfId="28611"/>
    <cellStyle name="Normal 3 6 7 3 3 6" xfId="12478"/>
    <cellStyle name="Normal 3 6 7 3 3 6 2" xfId="28612"/>
    <cellStyle name="Normal 3 6 7 3 3 7" xfId="12479"/>
    <cellStyle name="Normal 3 6 7 3 3 7 2" xfId="28613"/>
    <cellStyle name="Normal 3 6 7 3 3 8" xfId="12480"/>
    <cellStyle name="Normal 3 6 7 3 3 8 2" xfId="28614"/>
    <cellStyle name="Normal 3 6 7 3 3 9" xfId="12481"/>
    <cellStyle name="Normal 3 6 7 3 3 9 2" xfId="28615"/>
    <cellStyle name="Normal 3 6 7 3 4" xfId="12482"/>
    <cellStyle name="Normal 3 6 7 3 4 2" xfId="28616"/>
    <cellStyle name="Normal 3 6 7 3 5" xfId="12483"/>
    <cellStyle name="Normal 3 6 7 3 5 2" xfId="28617"/>
    <cellStyle name="Normal 3 6 7 3 6" xfId="12484"/>
    <cellStyle name="Normal 3 6 7 3 6 2" xfId="28618"/>
    <cellStyle name="Normal 3 6 7 3 7" xfId="12485"/>
    <cellStyle name="Normal 3 6 7 3 7 2" xfId="28619"/>
    <cellStyle name="Normal 3 6 7 3 8" xfId="12486"/>
    <cellStyle name="Normal 3 6 7 3 8 2" xfId="28620"/>
    <cellStyle name="Normal 3 6 7 3 9" xfId="12487"/>
    <cellStyle name="Normal 3 6 7 3 9 2" xfId="28621"/>
    <cellStyle name="Normal 3 6 7 4" xfId="1478"/>
    <cellStyle name="Normal 3 6 7 4 10" xfId="12488"/>
    <cellStyle name="Normal 3 6 7 4 10 2" xfId="28622"/>
    <cellStyle name="Normal 3 6 7 4 11" xfId="5397"/>
    <cellStyle name="Normal 3 6 7 4 11 2" xfId="21559"/>
    <cellStyle name="Normal 3 6 7 4 12" xfId="19509"/>
    <cellStyle name="Normal 3 6 7 4 2" xfId="12489"/>
    <cellStyle name="Normal 3 6 7 4 2 2" xfId="28623"/>
    <cellStyle name="Normal 3 6 7 4 3" xfId="12490"/>
    <cellStyle name="Normal 3 6 7 4 3 2" xfId="28624"/>
    <cellStyle name="Normal 3 6 7 4 4" xfId="12491"/>
    <cellStyle name="Normal 3 6 7 4 4 2" xfId="28625"/>
    <cellStyle name="Normal 3 6 7 4 5" xfId="12492"/>
    <cellStyle name="Normal 3 6 7 4 5 2" xfId="28626"/>
    <cellStyle name="Normal 3 6 7 4 6" xfId="12493"/>
    <cellStyle name="Normal 3 6 7 4 6 2" xfId="28627"/>
    <cellStyle name="Normal 3 6 7 4 7" xfId="12494"/>
    <cellStyle name="Normal 3 6 7 4 7 2" xfId="28628"/>
    <cellStyle name="Normal 3 6 7 4 8" xfId="12495"/>
    <cellStyle name="Normal 3 6 7 4 8 2" xfId="28629"/>
    <cellStyle name="Normal 3 6 7 4 9" xfId="12496"/>
    <cellStyle name="Normal 3 6 7 4 9 2" xfId="28630"/>
    <cellStyle name="Normal 3 6 7 5" xfId="1496"/>
    <cellStyle name="Normal 3 6 7 5 10" xfId="12497"/>
    <cellStyle name="Normal 3 6 7 5 10 2" xfId="28631"/>
    <cellStyle name="Normal 3 6 7 5 11" xfId="5414"/>
    <cellStyle name="Normal 3 6 7 5 11 2" xfId="21576"/>
    <cellStyle name="Normal 3 6 7 5 12" xfId="19522"/>
    <cellStyle name="Normal 3 6 7 5 2" xfId="12498"/>
    <cellStyle name="Normal 3 6 7 5 2 2" xfId="28632"/>
    <cellStyle name="Normal 3 6 7 5 3" xfId="12499"/>
    <cellStyle name="Normal 3 6 7 5 3 2" xfId="28633"/>
    <cellStyle name="Normal 3 6 7 5 4" xfId="12500"/>
    <cellStyle name="Normal 3 6 7 5 4 2" xfId="28634"/>
    <cellStyle name="Normal 3 6 7 5 5" xfId="12501"/>
    <cellStyle name="Normal 3 6 7 5 5 2" xfId="28635"/>
    <cellStyle name="Normal 3 6 7 5 6" xfId="12502"/>
    <cellStyle name="Normal 3 6 7 5 6 2" xfId="28636"/>
    <cellStyle name="Normal 3 6 7 5 7" xfId="12503"/>
    <cellStyle name="Normal 3 6 7 5 7 2" xfId="28637"/>
    <cellStyle name="Normal 3 6 7 5 8" xfId="12504"/>
    <cellStyle name="Normal 3 6 7 5 8 2" xfId="28638"/>
    <cellStyle name="Normal 3 6 7 5 9" xfId="12505"/>
    <cellStyle name="Normal 3 6 7 5 9 2" xfId="28639"/>
    <cellStyle name="Normal 3 6 7 6" xfId="12506"/>
    <cellStyle name="Normal 3 6 7 6 2" xfId="28640"/>
    <cellStyle name="Normal 3 6 7 7" xfId="12507"/>
    <cellStyle name="Normal 3 6 7 7 2" xfId="28641"/>
    <cellStyle name="Normal 3 6 7 8" xfId="12508"/>
    <cellStyle name="Normal 3 6 7 8 2" xfId="28642"/>
    <cellStyle name="Normal 3 6 7 9" xfId="12509"/>
    <cellStyle name="Normal 3 6 7 9 2" xfId="28643"/>
    <cellStyle name="Normal 3 6 8" xfId="970"/>
    <cellStyle name="Normal 3 6 8 2" xfId="4895"/>
    <cellStyle name="Normal 3 6 8 2 2" xfId="21057"/>
    <cellStyle name="Normal 3 6 9" xfId="599"/>
    <cellStyle name="Normal 3 6 9 10" xfId="12510"/>
    <cellStyle name="Normal 3 6 9 10 2" xfId="28644"/>
    <cellStyle name="Normal 3 6 9 11" xfId="12511"/>
    <cellStyle name="Normal 3 6 9 11 2" xfId="28645"/>
    <cellStyle name="Normal 3 6 9 12" xfId="12512"/>
    <cellStyle name="Normal 3 6 9 12 2" xfId="28646"/>
    <cellStyle name="Normal 3 6 9 13" xfId="12513"/>
    <cellStyle name="Normal 3 6 9 13 2" xfId="28647"/>
    <cellStyle name="Normal 3 6 9 14" xfId="12514"/>
    <cellStyle name="Normal 3 6 9 14 2" xfId="28648"/>
    <cellStyle name="Normal 3 6 9 15" xfId="12515"/>
    <cellStyle name="Normal 3 6 9 15 2" xfId="28649"/>
    <cellStyle name="Normal 3 6 9 16" xfId="4533"/>
    <cellStyle name="Normal 3 6 9 16 2" xfId="20696"/>
    <cellStyle name="Normal 3 6 9 17" xfId="19121"/>
    <cellStyle name="Normal 3 6 9 2" xfId="2888"/>
    <cellStyle name="Normal 3 6 9 2 2" xfId="6776"/>
    <cellStyle name="Normal 3 6 9 2 2 2" xfId="22938"/>
    <cellStyle name="Normal 3 6 9 3" xfId="2889"/>
    <cellStyle name="Normal 3 6 9 3 10" xfId="12516"/>
    <cellStyle name="Normal 3 6 9 3 10 2" xfId="28650"/>
    <cellStyle name="Normal 3 6 9 3 11" xfId="12517"/>
    <cellStyle name="Normal 3 6 9 3 11 2" xfId="28651"/>
    <cellStyle name="Normal 3 6 9 3 12" xfId="12518"/>
    <cellStyle name="Normal 3 6 9 3 12 2" xfId="28652"/>
    <cellStyle name="Normal 3 6 9 3 13" xfId="6777"/>
    <cellStyle name="Normal 3 6 9 3 13 2" xfId="22939"/>
    <cellStyle name="Normal 3 6 9 3 14" xfId="19828"/>
    <cellStyle name="Normal 3 6 9 3 2" xfId="2890"/>
    <cellStyle name="Normal 3 6 9 3 2 10" xfId="12519"/>
    <cellStyle name="Normal 3 6 9 3 2 10 2" xfId="28653"/>
    <cellStyle name="Normal 3 6 9 3 2 11" xfId="6778"/>
    <cellStyle name="Normal 3 6 9 3 2 11 2" xfId="22940"/>
    <cellStyle name="Normal 3 6 9 3 2 12" xfId="19829"/>
    <cellStyle name="Normal 3 6 9 3 2 2" xfId="12520"/>
    <cellStyle name="Normal 3 6 9 3 2 2 2" xfId="28654"/>
    <cellStyle name="Normal 3 6 9 3 2 3" xfId="12521"/>
    <cellStyle name="Normal 3 6 9 3 2 3 2" xfId="28655"/>
    <cellStyle name="Normal 3 6 9 3 2 4" xfId="12522"/>
    <cellStyle name="Normal 3 6 9 3 2 4 2" xfId="28656"/>
    <cellStyle name="Normal 3 6 9 3 2 5" xfId="12523"/>
    <cellStyle name="Normal 3 6 9 3 2 5 2" xfId="28657"/>
    <cellStyle name="Normal 3 6 9 3 2 6" xfId="12524"/>
    <cellStyle name="Normal 3 6 9 3 2 6 2" xfId="28658"/>
    <cellStyle name="Normal 3 6 9 3 2 7" xfId="12525"/>
    <cellStyle name="Normal 3 6 9 3 2 7 2" xfId="28659"/>
    <cellStyle name="Normal 3 6 9 3 2 8" xfId="12526"/>
    <cellStyle name="Normal 3 6 9 3 2 8 2" xfId="28660"/>
    <cellStyle name="Normal 3 6 9 3 2 9" xfId="12527"/>
    <cellStyle name="Normal 3 6 9 3 2 9 2" xfId="28661"/>
    <cellStyle name="Normal 3 6 9 3 3" xfId="2891"/>
    <cellStyle name="Normal 3 6 9 3 3 10" xfId="12528"/>
    <cellStyle name="Normal 3 6 9 3 3 10 2" xfId="28662"/>
    <cellStyle name="Normal 3 6 9 3 3 11" xfId="6779"/>
    <cellStyle name="Normal 3 6 9 3 3 11 2" xfId="22941"/>
    <cellStyle name="Normal 3 6 9 3 3 12" xfId="19830"/>
    <cellStyle name="Normal 3 6 9 3 3 2" xfId="12529"/>
    <cellStyle name="Normal 3 6 9 3 3 2 2" xfId="28663"/>
    <cellStyle name="Normal 3 6 9 3 3 3" xfId="12530"/>
    <cellStyle name="Normal 3 6 9 3 3 3 2" xfId="28664"/>
    <cellStyle name="Normal 3 6 9 3 3 4" xfId="12531"/>
    <cellStyle name="Normal 3 6 9 3 3 4 2" xfId="28665"/>
    <cellStyle name="Normal 3 6 9 3 3 5" xfId="12532"/>
    <cellStyle name="Normal 3 6 9 3 3 5 2" xfId="28666"/>
    <cellStyle name="Normal 3 6 9 3 3 6" xfId="12533"/>
    <cellStyle name="Normal 3 6 9 3 3 6 2" xfId="28667"/>
    <cellStyle name="Normal 3 6 9 3 3 7" xfId="12534"/>
    <cellStyle name="Normal 3 6 9 3 3 7 2" xfId="28668"/>
    <cellStyle name="Normal 3 6 9 3 3 8" xfId="12535"/>
    <cellStyle name="Normal 3 6 9 3 3 8 2" xfId="28669"/>
    <cellStyle name="Normal 3 6 9 3 3 9" xfId="12536"/>
    <cellStyle name="Normal 3 6 9 3 3 9 2" xfId="28670"/>
    <cellStyle name="Normal 3 6 9 3 4" xfId="12537"/>
    <cellStyle name="Normal 3 6 9 3 4 2" xfId="28671"/>
    <cellStyle name="Normal 3 6 9 3 5" xfId="12538"/>
    <cellStyle name="Normal 3 6 9 3 5 2" xfId="28672"/>
    <cellStyle name="Normal 3 6 9 3 6" xfId="12539"/>
    <cellStyle name="Normal 3 6 9 3 6 2" xfId="28673"/>
    <cellStyle name="Normal 3 6 9 3 7" xfId="12540"/>
    <cellStyle name="Normal 3 6 9 3 7 2" xfId="28674"/>
    <cellStyle name="Normal 3 6 9 3 8" xfId="12541"/>
    <cellStyle name="Normal 3 6 9 3 8 2" xfId="28675"/>
    <cellStyle name="Normal 3 6 9 3 9" xfId="12542"/>
    <cellStyle name="Normal 3 6 9 3 9 2" xfId="28676"/>
    <cellStyle name="Normal 3 6 9 4" xfId="2892"/>
    <cellStyle name="Normal 3 6 9 4 10" xfId="12543"/>
    <cellStyle name="Normal 3 6 9 4 10 2" xfId="28677"/>
    <cellStyle name="Normal 3 6 9 4 11" xfId="12544"/>
    <cellStyle name="Normal 3 6 9 4 11 2" xfId="28678"/>
    <cellStyle name="Normal 3 6 9 4 12" xfId="12545"/>
    <cellStyle name="Normal 3 6 9 4 12 2" xfId="28679"/>
    <cellStyle name="Normal 3 6 9 4 13" xfId="6780"/>
    <cellStyle name="Normal 3 6 9 4 13 2" xfId="22942"/>
    <cellStyle name="Normal 3 6 9 4 14" xfId="19831"/>
    <cellStyle name="Normal 3 6 9 4 2" xfId="2893"/>
    <cellStyle name="Normal 3 6 9 4 2 10" xfId="12546"/>
    <cellStyle name="Normal 3 6 9 4 2 10 2" xfId="28680"/>
    <cellStyle name="Normal 3 6 9 4 2 11" xfId="6781"/>
    <cellStyle name="Normal 3 6 9 4 2 11 2" xfId="22943"/>
    <cellStyle name="Normal 3 6 9 4 2 12" xfId="19832"/>
    <cellStyle name="Normal 3 6 9 4 2 2" xfId="12547"/>
    <cellStyle name="Normal 3 6 9 4 2 2 2" xfId="28681"/>
    <cellStyle name="Normal 3 6 9 4 2 3" xfId="12548"/>
    <cellStyle name="Normal 3 6 9 4 2 3 2" xfId="28682"/>
    <cellStyle name="Normal 3 6 9 4 2 4" xfId="12549"/>
    <cellStyle name="Normal 3 6 9 4 2 4 2" xfId="28683"/>
    <cellStyle name="Normal 3 6 9 4 2 5" xfId="12550"/>
    <cellStyle name="Normal 3 6 9 4 2 5 2" xfId="28684"/>
    <cellStyle name="Normal 3 6 9 4 2 6" xfId="12551"/>
    <cellStyle name="Normal 3 6 9 4 2 6 2" xfId="28685"/>
    <cellStyle name="Normal 3 6 9 4 2 7" xfId="12552"/>
    <cellStyle name="Normal 3 6 9 4 2 7 2" xfId="28686"/>
    <cellStyle name="Normal 3 6 9 4 2 8" xfId="12553"/>
    <cellStyle name="Normal 3 6 9 4 2 8 2" xfId="28687"/>
    <cellStyle name="Normal 3 6 9 4 2 9" xfId="12554"/>
    <cellStyle name="Normal 3 6 9 4 2 9 2" xfId="28688"/>
    <cellStyle name="Normal 3 6 9 4 3" xfId="2894"/>
    <cellStyle name="Normal 3 6 9 4 3 10" xfId="12555"/>
    <cellStyle name="Normal 3 6 9 4 3 10 2" xfId="28689"/>
    <cellStyle name="Normal 3 6 9 4 3 11" xfId="6782"/>
    <cellStyle name="Normal 3 6 9 4 3 11 2" xfId="22944"/>
    <cellStyle name="Normal 3 6 9 4 3 12" xfId="19833"/>
    <cellStyle name="Normal 3 6 9 4 3 2" xfId="12556"/>
    <cellStyle name="Normal 3 6 9 4 3 2 2" xfId="28690"/>
    <cellStyle name="Normal 3 6 9 4 3 3" xfId="12557"/>
    <cellStyle name="Normal 3 6 9 4 3 3 2" xfId="28691"/>
    <cellStyle name="Normal 3 6 9 4 3 4" xfId="12558"/>
    <cellStyle name="Normal 3 6 9 4 3 4 2" xfId="28692"/>
    <cellStyle name="Normal 3 6 9 4 3 5" xfId="12559"/>
    <cellStyle name="Normal 3 6 9 4 3 5 2" xfId="28693"/>
    <cellStyle name="Normal 3 6 9 4 3 6" xfId="12560"/>
    <cellStyle name="Normal 3 6 9 4 3 6 2" xfId="28694"/>
    <cellStyle name="Normal 3 6 9 4 3 7" xfId="12561"/>
    <cellStyle name="Normal 3 6 9 4 3 7 2" xfId="28695"/>
    <cellStyle name="Normal 3 6 9 4 3 8" xfId="12562"/>
    <cellStyle name="Normal 3 6 9 4 3 8 2" xfId="28696"/>
    <cellStyle name="Normal 3 6 9 4 3 9" xfId="12563"/>
    <cellStyle name="Normal 3 6 9 4 3 9 2" xfId="28697"/>
    <cellStyle name="Normal 3 6 9 4 4" xfId="12564"/>
    <cellStyle name="Normal 3 6 9 4 4 2" xfId="28698"/>
    <cellStyle name="Normal 3 6 9 4 5" xfId="12565"/>
    <cellStyle name="Normal 3 6 9 4 5 2" xfId="28699"/>
    <cellStyle name="Normal 3 6 9 4 6" xfId="12566"/>
    <cellStyle name="Normal 3 6 9 4 6 2" xfId="28700"/>
    <cellStyle name="Normal 3 6 9 4 7" xfId="12567"/>
    <cellStyle name="Normal 3 6 9 4 7 2" xfId="28701"/>
    <cellStyle name="Normal 3 6 9 4 8" xfId="12568"/>
    <cellStyle name="Normal 3 6 9 4 8 2" xfId="28702"/>
    <cellStyle name="Normal 3 6 9 4 9" xfId="12569"/>
    <cellStyle name="Normal 3 6 9 4 9 2" xfId="28703"/>
    <cellStyle name="Normal 3 6 9 5" xfId="2896"/>
    <cellStyle name="Normal 3 6 9 5 10" xfId="12570"/>
    <cellStyle name="Normal 3 6 9 5 10 2" xfId="28704"/>
    <cellStyle name="Normal 3 6 9 5 11" xfId="6783"/>
    <cellStyle name="Normal 3 6 9 5 11 2" xfId="22945"/>
    <cellStyle name="Normal 3 6 9 5 12" xfId="19835"/>
    <cellStyle name="Normal 3 6 9 5 2" xfId="12571"/>
    <cellStyle name="Normal 3 6 9 5 2 2" xfId="28705"/>
    <cellStyle name="Normal 3 6 9 5 3" xfId="12572"/>
    <cellStyle name="Normal 3 6 9 5 3 2" xfId="28706"/>
    <cellStyle name="Normal 3 6 9 5 4" xfId="12573"/>
    <cellStyle name="Normal 3 6 9 5 4 2" xfId="28707"/>
    <cellStyle name="Normal 3 6 9 5 5" xfId="12574"/>
    <cellStyle name="Normal 3 6 9 5 5 2" xfId="28708"/>
    <cellStyle name="Normal 3 6 9 5 6" xfId="12575"/>
    <cellStyle name="Normal 3 6 9 5 6 2" xfId="28709"/>
    <cellStyle name="Normal 3 6 9 5 7" xfId="12576"/>
    <cellStyle name="Normal 3 6 9 5 7 2" xfId="28710"/>
    <cellStyle name="Normal 3 6 9 5 8" xfId="12577"/>
    <cellStyle name="Normal 3 6 9 5 8 2" xfId="28711"/>
    <cellStyle name="Normal 3 6 9 5 9" xfId="12578"/>
    <cellStyle name="Normal 3 6 9 5 9 2" xfId="28712"/>
    <cellStyle name="Normal 3 6 9 6" xfId="2898"/>
    <cellStyle name="Normal 3 6 9 6 10" xfId="12579"/>
    <cellStyle name="Normal 3 6 9 6 10 2" xfId="28713"/>
    <cellStyle name="Normal 3 6 9 6 11" xfId="6785"/>
    <cellStyle name="Normal 3 6 9 6 11 2" xfId="22947"/>
    <cellStyle name="Normal 3 6 9 6 12" xfId="19837"/>
    <cellStyle name="Normal 3 6 9 6 2" xfId="12580"/>
    <cellStyle name="Normal 3 6 9 6 2 2" xfId="28714"/>
    <cellStyle name="Normal 3 6 9 6 3" xfId="12581"/>
    <cellStyle name="Normal 3 6 9 6 3 2" xfId="28715"/>
    <cellStyle name="Normal 3 6 9 6 4" xfId="12582"/>
    <cellStyle name="Normal 3 6 9 6 4 2" xfId="28716"/>
    <cellStyle name="Normal 3 6 9 6 5" xfId="12583"/>
    <cellStyle name="Normal 3 6 9 6 5 2" xfId="28717"/>
    <cellStyle name="Normal 3 6 9 6 6" xfId="12584"/>
    <cellStyle name="Normal 3 6 9 6 6 2" xfId="28718"/>
    <cellStyle name="Normal 3 6 9 6 7" xfId="12585"/>
    <cellStyle name="Normal 3 6 9 6 7 2" xfId="28719"/>
    <cellStyle name="Normal 3 6 9 6 8" xfId="12586"/>
    <cellStyle name="Normal 3 6 9 6 8 2" xfId="28720"/>
    <cellStyle name="Normal 3 6 9 6 9" xfId="12587"/>
    <cellStyle name="Normal 3 6 9 6 9 2" xfId="28721"/>
    <cellStyle name="Normal 3 6 9 7" xfId="12588"/>
    <cellStyle name="Normal 3 6 9 7 2" xfId="28722"/>
    <cellStyle name="Normal 3 6 9 8" xfId="12589"/>
    <cellStyle name="Normal 3 6 9 8 2" xfId="28723"/>
    <cellStyle name="Normal 3 6 9 9" xfId="12590"/>
    <cellStyle name="Normal 3 6 9 9 2" xfId="28724"/>
    <cellStyle name="Normal 3 6 9_Corrected Spl Task information Peddapalli Division" xfId="2899"/>
    <cellStyle name="Normal 3 7" xfId="2613"/>
    <cellStyle name="Normal 3 7 10" xfId="12591"/>
    <cellStyle name="Normal 3 7 10 2" xfId="28725"/>
    <cellStyle name="Normal 3 7 11" xfId="12592"/>
    <cellStyle name="Normal 3 7 11 2" xfId="28726"/>
    <cellStyle name="Normal 3 7 12" xfId="12593"/>
    <cellStyle name="Normal 3 7 12 2" xfId="28727"/>
    <cellStyle name="Normal 3 7 13" xfId="12594"/>
    <cellStyle name="Normal 3 7 13 2" xfId="28728"/>
    <cellStyle name="Normal 3 7 14" xfId="12595"/>
    <cellStyle name="Normal 3 7 14 2" xfId="28729"/>
    <cellStyle name="Normal 3 7 15" xfId="12596"/>
    <cellStyle name="Normal 3 7 15 2" xfId="28730"/>
    <cellStyle name="Normal 3 7 16" xfId="12597"/>
    <cellStyle name="Normal 3 7 16 2" xfId="28731"/>
    <cellStyle name="Normal 3 7 17" xfId="12598"/>
    <cellStyle name="Normal 3 7 17 2" xfId="28732"/>
    <cellStyle name="Normal 3 7 18" xfId="6507"/>
    <cellStyle name="Normal 3 7 18 2" xfId="22669"/>
    <cellStyle name="Normal 3 7 2" xfId="2900"/>
    <cellStyle name="Normal 3 7 2 2" xfId="6787"/>
    <cellStyle name="Normal 3 7 2 2 2" xfId="22949"/>
    <cellStyle name="Normal 3 7 3" xfId="281"/>
    <cellStyle name="Normal 3 7 3 2" xfId="4230"/>
    <cellStyle name="Normal 3 7 3 2 2" xfId="20393"/>
    <cellStyle name="Normal 3 7 4" xfId="1228"/>
    <cellStyle name="Normal 3 7 4 2" xfId="5148"/>
    <cellStyle name="Normal 3 7 4 2 2" xfId="21310"/>
    <cellStyle name="Normal 3 7 5" xfId="301"/>
    <cellStyle name="Normal 3 7 5 2" xfId="4252"/>
    <cellStyle name="Normal 3 7 5 2 2" xfId="20415"/>
    <cellStyle name="Normal 3 7 6" xfId="307"/>
    <cellStyle name="Normal 3 7 6 2" xfId="4260"/>
    <cellStyle name="Normal 3 7 6 2 2" xfId="20423"/>
    <cellStyle name="Normal 3 7 7" xfId="784"/>
    <cellStyle name="Normal 3 7 7 2" xfId="4711"/>
    <cellStyle name="Normal 3 7 7 2 2" xfId="20873"/>
    <cellStyle name="Normal 3 7 8" xfId="1163"/>
    <cellStyle name="Normal 3 7 8 2" xfId="5084"/>
    <cellStyle name="Normal 3 7 8 2 2" xfId="21246"/>
    <cellStyle name="Normal 3 7 9" xfId="12599"/>
    <cellStyle name="Normal 3 7 9 2" xfId="28733"/>
    <cellStyle name="Normal 3 8" xfId="2616"/>
    <cellStyle name="Normal 3 8 10" xfId="12600"/>
    <cellStyle name="Normal 3 8 10 2" xfId="28734"/>
    <cellStyle name="Normal 3 8 11" xfId="12601"/>
    <cellStyle name="Normal 3 8 11 2" xfId="28735"/>
    <cellStyle name="Normal 3 8 12" xfId="12602"/>
    <cellStyle name="Normal 3 8 12 2" xfId="28736"/>
    <cellStyle name="Normal 3 8 13" xfId="12603"/>
    <cellStyle name="Normal 3 8 13 2" xfId="28737"/>
    <cellStyle name="Normal 3 8 14" xfId="12604"/>
    <cellStyle name="Normal 3 8 14 2" xfId="28738"/>
    <cellStyle name="Normal 3 8 15" xfId="12605"/>
    <cellStyle name="Normal 3 8 15 2" xfId="28739"/>
    <cellStyle name="Normal 3 8 16" xfId="12606"/>
    <cellStyle name="Normal 3 8 16 2" xfId="28740"/>
    <cellStyle name="Normal 3 8 17" xfId="12607"/>
    <cellStyle name="Normal 3 8 17 2" xfId="28741"/>
    <cellStyle name="Normal 3 8 18" xfId="6509"/>
    <cellStyle name="Normal 3 8 18 2" xfId="22671"/>
    <cellStyle name="Normal 3 8 2" xfId="2377"/>
    <cellStyle name="Normal 3 8 2 2" xfId="6272"/>
    <cellStyle name="Normal 3 8 2 2 2" xfId="22434"/>
    <cellStyle name="Normal 3 8 3" xfId="1231"/>
    <cellStyle name="Normal 3 8 3 2" xfId="5151"/>
    <cellStyle name="Normal 3 8 3 2 2" xfId="21313"/>
    <cellStyle name="Normal 3 8 4" xfId="1236"/>
    <cellStyle name="Normal 3 8 4 2" xfId="5156"/>
    <cellStyle name="Normal 3 8 4 2 2" xfId="21318"/>
    <cellStyle name="Normal 3 8 5" xfId="1241"/>
    <cellStyle name="Normal 3 8 5 2" xfId="5161"/>
    <cellStyle name="Normal 3 8 5 2 2" xfId="21323"/>
    <cellStyle name="Normal 3 8 6" xfId="906"/>
    <cellStyle name="Normal 3 8 6 2" xfId="4828"/>
    <cellStyle name="Normal 3 8 6 2 2" xfId="20990"/>
    <cellStyle name="Normal 3 8 7" xfId="910"/>
    <cellStyle name="Normal 3 8 7 2" xfId="4838"/>
    <cellStyle name="Normal 3 8 7 2 2" xfId="21000"/>
    <cellStyle name="Normal 3 8 8" xfId="159"/>
    <cellStyle name="Normal 3 8 8 2" xfId="4171"/>
    <cellStyle name="Normal 3 8 8 2 2" xfId="20334"/>
    <cellStyle name="Normal 3 8 9" xfId="12608"/>
    <cellStyle name="Normal 3 8 9 2" xfId="28742"/>
    <cellStyle name="Normal 3 9" xfId="2902"/>
    <cellStyle name="Normal 3 9 10" xfId="12609"/>
    <cellStyle name="Normal 3 9 10 2" xfId="28743"/>
    <cellStyle name="Normal 3 9 11" xfId="12610"/>
    <cellStyle name="Normal 3 9 11 2" xfId="28744"/>
    <cellStyle name="Normal 3 9 12" xfId="12611"/>
    <cellStyle name="Normal 3 9 12 2" xfId="28745"/>
    <cellStyle name="Normal 3 9 13" xfId="12612"/>
    <cellStyle name="Normal 3 9 13 2" xfId="28746"/>
    <cellStyle name="Normal 3 9 14" xfId="12613"/>
    <cellStyle name="Normal 3 9 14 2" xfId="28747"/>
    <cellStyle name="Normal 3 9 15" xfId="12614"/>
    <cellStyle name="Normal 3 9 15 2" xfId="28748"/>
    <cellStyle name="Normal 3 9 16" xfId="12615"/>
    <cellStyle name="Normal 3 9 16 2" xfId="28749"/>
    <cellStyle name="Normal 3 9 17" xfId="12616"/>
    <cellStyle name="Normal 3 9 17 2" xfId="28750"/>
    <cellStyle name="Normal 3 9 18" xfId="6788"/>
    <cellStyle name="Normal 3 9 18 2" xfId="22950"/>
    <cellStyle name="Normal 3 9 2" xfId="338"/>
    <cellStyle name="Normal 3 9 2 2" xfId="4285"/>
    <cellStyle name="Normal 3 9 2 2 2" xfId="20448"/>
    <cellStyle name="Normal 3 9 3" xfId="342"/>
    <cellStyle name="Normal 3 9 3 2" xfId="4289"/>
    <cellStyle name="Normal 3 9 3 2 2" xfId="20452"/>
    <cellStyle name="Normal 3 9 4" xfId="2904"/>
    <cellStyle name="Normal 3 9 4 2" xfId="6790"/>
    <cellStyle name="Normal 3 9 4 2 2" xfId="22952"/>
    <cellStyle name="Normal 3 9 5" xfId="2906"/>
    <cellStyle name="Normal 3 9 5 2" xfId="6792"/>
    <cellStyle name="Normal 3 9 5 2 2" xfId="22954"/>
    <cellStyle name="Normal 3 9 6" xfId="2907"/>
    <cellStyle name="Normal 3 9 6 2" xfId="6794"/>
    <cellStyle name="Normal 3 9 6 2 2" xfId="22956"/>
    <cellStyle name="Normal 3 9 7" xfId="2908"/>
    <cellStyle name="Normal 3 9 7 2" xfId="6795"/>
    <cellStyle name="Normal 3 9 7 2 2" xfId="22957"/>
    <cellStyle name="Normal 3 9 8" xfId="2910"/>
    <cellStyle name="Normal 3 9 8 2" xfId="6796"/>
    <cellStyle name="Normal 3 9 8 2 2" xfId="22958"/>
    <cellStyle name="Normal 3 9 9" xfId="12617"/>
    <cellStyle name="Normal 3 9 9 2" xfId="28751"/>
    <cellStyle name="Normal 3_1_Pattapupalem_road estt-NCRMP" xfId="2912"/>
    <cellStyle name="Normal 30" xfId="158"/>
    <cellStyle name="Normal 30 2" xfId="4170"/>
    <cellStyle name="Normal 30 2 2" xfId="20333"/>
    <cellStyle name="Normal 31" xfId="620"/>
    <cellStyle name="Normal 31 2" xfId="4549"/>
    <cellStyle name="Normal 31 2 2" xfId="20711"/>
    <cellStyle name="Normal 32" xfId="2650"/>
    <cellStyle name="Normal 32 2" xfId="2913"/>
    <cellStyle name="Normal 32 2 2" xfId="12618"/>
    <cellStyle name="Normal 32 2 2 2" xfId="28752"/>
    <cellStyle name="Normal 32 2 3" xfId="6799"/>
    <cellStyle name="Normal 32 2 3 2" xfId="22961"/>
    <cellStyle name="Normal 32 3" xfId="6543"/>
    <cellStyle name="Normal 32 3 2" xfId="22705"/>
    <cellStyle name="Normal 33" xfId="2653"/>
    <cellStyle name="Normal 33 2" xfId="2655"/>
    <cellStyle name="Normal 33 2 2" xfId="6548"/>
    <cellStyle name="Normal 33 2 2 2" xfId="22710"/>
    <cellStyle name="Normal 33 3" xfId="6546"/>
    <cellStyle name="Normal 33 3 2" xfId="22708"/>
    <cellStyle name="Normal 34" xfId="2657"/>
    <cellStyle name="Normal 34 2" xfId="6550"/>
    <cellStyle name="Normal 34 2 2" xfId="22712"/>
    <cellStyle name="Normal 35" xfId="2915"/>
    <cellStyle name="Normal 35 2" xfId="2916"/>
    <cellStyle name="Normal 35 2 2" xfId="6802"/>
    <cellStyle name="Normal 35 2 2 2" xfId="22964"/>
    <cellStyle name="Normal 35 3" xfId="6800"/>
    <cellStyle name="Normal 35 3 2" xfId="22962"/>
    <cellStyle name="Normal 36" xfId="2918"/>
    <cellStyle name="Normal 36 2" xfId="2919"/>
    <cellStyle name="Normal 36 2 2" xfId="6805"/>
    <cellStyle name="Normal 36 2 2 2" xfId="22967"/>
    <cellStyle name="Normal 36 3" xfId="6803"/>
    <cellStyle name="Normal 36 3 2" xfId="22965"/>
    <cellStyle name="Normal 37" xfId="2921"/>
    <cellStyle name="Normal 37 10" xfId="12619"/>
    <cellStyle name="Normal 37 10 2" xfId="28753"/>
    <cellStyle name="Normal 37 11" xfId="12620"/>
    <cellStyle name="Normal 37 11 2" xfId="28754"/>
    <cellStyle name="Normal 37 12" xfId="12621"/>
    <cellStyle name="Normal 37 12 2" xfId="28755"/>
    <cellStyle name="Normal 37 13" xfId="12622"/>
    <cellStyle name="Normal 37 13 2" xfId="28756"/>
    <cellStyle name="Normal 37 14" xfId="12623"/>
    <cellStyle name="Normal 37 14 2" xfId="28757"/>
    <cellStyle name="Normal 37 15" xfId="12624"/>
    <cellStyle name="Normal 37 15 2" xfId="28758"/>
    <cellStyle name="Normal 37 16" xfId="6806"/>
    <cellStyle name="Normal 37 16 2" xfId="22968"/>
    <cellStyle name="Normal 37 17" xfId="19842"/>
    <cellStyle name="Normal 37 2" xfId="2922"/>
    <cellStyle name="Normal 37 2 2" xfId="6808"/>
    <cellStyle name="Normal 37 2 2 2" xfId="22970"/>
    <cellStyle name="Normal 37 3" xfId="2923"/>
    <cellStyle name="Normal 37 3 10" xfId="12625"/>
    <cellStyle name="Normal 37 3 10 2" xfId="28759"/>
    <cellStyle name="Normal 37 3 11" xfId="12626"/>
    <cellStyle name="Normal 37 3 11 2" xfId="28760"/>
    <cellStyle name="Normal 37 3 12" xfId="12627"/>
    <cellStyle name="Normal 37 3 12 2" xfId="28761"/>
    <cellStyle name="Normal 37 3 13" xfId="6809"/>
    <cellStyle name="Normal 37 3 13 2" xfId="22971"/>
    <cellStyle name="Normal 37 3 14" xfId="19843"/>
    <cellStyle name="Normal 37 3 2" xfId="2924"/>
    <cellStyle name="Normal 37 3 2 10" xfId="12628"/>
    <cellStyle name="Normal 37 3 2 10 2" xfId="28762"/>
    <cellStyle name="Normal 37 3 2 11" xfId="6810"/>
    <cellStyle name="Normal 37 3 2 11 2" xfId="22972"/>
    <cellStyle name="Normal 37 3 2 12" xfId="19844"/>
    <cellStyle name="Normal 37 3 2 2" xfId="12629"/>
    <cellStyle name="Normal 37 3 2 2 2" xfId="28763"/>
    <cellStyle name="Normal 37 3 2 3" xfId="12630"/>
    <cellStyle name="Normal 37 3 2 3 2" xfId="28764"/>
    <cellStyle name="Normal 37 3 2 4" xfId="12631"/>
    <cellStyle name="Normal 37 3 2 4 2" xfId="28765"/>
    <cellStyle name="Normal 37 3 2 5" xfId="12632"/>
    <cellStyle name="Normal 37 3 2 5 2" xfId="28766"/>
    <cellStyle name="Normal 37 3 2 6" xfId="12633"/>
    <cellStyle name="Normal 37 3 2 6 2" xfId="28767"/>
    <cellStyle name="Normal 37 3 2 7" xfId="12634"/>
    <cellStyle name="Normal 37 3 2 7 2" xfId="28768"/>
    <cellStyle name="Normal 37 3 2 8" xfId="12635"/>
    <cellStyle name="Normal 37 3 2 8 2" xfId="28769"/>
    <cellStyle name="Normal 37 3 2 9" xfId="12636"/>
    <cellStyle name="Normal 37 3 2 9 2" xfId="28770"/>
    <cellStyle name="Normal 37 3 3" xfId="2925"/>
    <cellStyle name="Normal 37 3 3 10" xfId="12637"/>
    <cellStyle name="Normal 37 3 3 10 2" xfId="28771"/>
    <cellStyle name="Normal 37 3 3 11" xfId="6811"/>
    <cellStyle name="Normal 37 3 3 11 2" xfId="22973"/>
    <cellStyle name="Normal 37 3 3 12" xfId="19845"/>
    <cellStyle name="Normal 37 3 3 2" xfId="12638"/>
    <cellStyle name="Normal 37 3 3 2 2" xfId="28772"/>
    <cellStyle name="Normal 37 3 3 3" xfId="12639"/>
    <cellStyle name="Normal 37 3 3 3 2" xfId="28773"/>
    <cellStyle name="Normal 37 3 3 4" xfId="12640"/>
    <cellStyle name="Normal 37 3 3 4 2" xfId="28774"/>
    <cellStyle name="Normal 37 3 3 5" xfId="12641"/>
    <cellStyle name="Normal 37 3 3 5 2" xfId="28775"/>
    <cellStyle name="Normal 37 3 3 6" xfId="12642"/>
    <cellStyle name="Normal 37 3 3 6 2" xfId="28776"/>
    <cellStyle name="Normal 37 3 3 7" xfId="12643"/>
    <cellStyle name="Normal 37 3 3 7 2" xfId="28777"/>
    <cellStyle name="Normal 37 3 3 8" xfId="12644"/>
    <cellStyle name="Normal 37 3 3 8 2" xfId="28778"/>
    <cellStyle name="Normal 37 3 3 9" xfId="12645"/>
    <cellStyle name="Normal 37 3 3 9 2" xfId="28779"/>
    <cellStyle name="Normal 37 3 4" xfId="12646"/>
    <cellStyle name="Normal 37 3 4 2" xfId="28780"/>
    <cellStyle name="Normal 37 3 5" xfId="12647"/>
    <cellStyle name="Normal 37 3 5 2" xfId="28781"/>
    <cellStyle name="Normal 37 3 6" xfId="12648"/>
    <cellStyle name="Normal 37 3 6 2" xfId="28782"/>
    <cellStyle name="Normal 37 3 7" xfId="12649"/>
    <cellStyle name="Normal 37 3 7 2" xfId="28783"/>
    <cellStyle name="Normal 37 3 8" xfId="12650"/>
    <cellStyle name="Normal 37 3 8 2" xfId="28784"/>
    <cellStyle name="Normal 37 3 9" xfId="12651"/>
    <cellStyle name="Normal 37 3 9 2" xfId="28785"/>
    <cellStyle name="Normal 37 4" xfId="2927"/>
    <cellStyle name="Normal 37 4 10" xfId="12652"/>
    <cellStyle name="Normal 37 4 10 2" xfId="28786"/>
    <cellStyle name="Normal 37 4 11" xfId="12653"/>
    <cellStyle name="Normal 37 4 11 2" xfId="28787"/>
    <cellStyle name="Normal 37 4 12" xfId="12654"/>
    <cellStyle name="Normal 37 4 12 2" xfId="28788"/>
    <cellStyle name="Normal 37 4 13" xfId="6812"/>
    <cellStyle name="Normal 37 4 13 2" xfId="22974"/>
    <cellStyle name="Normal 37 4 14" xfId="19846"/>
    <cellStyle name="Normal 37 4 2" xfId="2929"/>
    <cellStyle name="Normal 37 4 2 10" xfId="12655"/>
    <cellStyle name="Normal 37 4 2 10 2" xfId="28789"/>
    <cellStyle name="Normal 37 4 2 11" xfId="6814"/>
    <cellStyle name="Normal 37 4 2 11 2" xfId="22976"/>
    <cellStyle name="Normal 37 4 2 12" xfId="19847"/>
    <cellStyle name="Normal 37 4 2 2" xfId="12656"/>
    <cellStyle name="Normal 37 4 2 2 2" xfId="28790"/>
    <cellStyle name="Normal 37 4 2 3" xfId="12657"/>
    <cellStyle name="Normal 37 4 2 3 2" xfId="28791"/>
    <cellStyle name="Normal 37 4 2 4" xfId="12658"/>
    <cellStyle name="Normal 37 4 2 4 2" xfId="28792"/>
    <cellStyle name="Normal 37 4 2 5" xfId="12659"/>
    <cellStyle name="Normal 37 4 2 5 2" xfId="28793"/>
    <cellStyle name="Normal 37 4 2 6" xfId="12660"/>
    <cellStyle name="Normal 37 4 2 6 2" xfId="28794"/>
    <cellStyle name="Normal 37 4 2 7" xfId="12661"/>
    <cellStyle name="Normal 37 4 2 7 2" xfId="28795"/>
    <cellStyle name="Normal 37 4 2 8" xfId="12662"/>
    <cellStyle name="Normal 37 4 2 8 2" xfId="28796"/>
    <cellStyle name="Normal 37 4 2 9" xfId="12663"/>
    <cellStyle name="Normal 37 4 2 9 2" xfId="28797"/>
    <cellStyle name="Normal 37 4 3" xfId="2931"/>
    <cellStyle name="Normal 37 4 3 10" xfId="12664"/>
    <cellStyle name="Normal 37 4 3 10 2" xfId="28798"/>
    <cellStyle name="Normal 37 4 3 11" xfId="6816"/>
    <cellStyle name="Normal 37 4 3 11 2" xfId="22978"/>
    <cellStyle name="Normal 37 4 3 12" xfId="19848"/>
    <cellStyle name="Normal 37 4 3 2" xfId="12665"/>
    <cellStyle name="Normal 37 4 3 2 2" xfId="28799"/>
    <cellStyle name="Normal 37 4 3 3" xfId="12666"/>
    <cellStyle name="Normal 37 4 3 3 2" xfId="28800"/>
    <cellStyle name="Normal 37 4 3 4" xfId="12667"/>
    <cellStyle name="Normal 37 4 3 4 2" xfId="28801"/>
    <cellStyle name="Normal 37 4 3 5" xfId="12668"/>
    <cellStyle name="Normal 37 4 3 5 2" xfId="28802"/>
    <cellStyle name="Normal 37 4 3 6" xfId="12669"/>
    <cellStyle name="Normal 37 4 3 6 2" xfId="28803"/>
    <cellStyle name="Normal 37 4 3 7" xfId="12670"/>
    <cellStyle name="Normal 37 4 3 7 2" xfId="28804"/>
    <cellStyle name="Normal 37 4 3 8" xfId="12671"/>
    <cellStyle name="Normal 37 4 3 8 2" xfId="28805"/>
    <cellStyle name="Normal 37 4 3 9" xfId="12672"/>
    <cellStyle name="Normal 37 4 3 9 2" xfId="28806"/>
    <cellStyle name="Normal 37 4 4" xfId="12673"/>
    <cellStyle name="Normal 37 4 4 2" xfId="28807"/>
    <cellStyle name="Normal 37 4 5" xfId="12674"/>
    <cellStyle name="Normal 37 4 5 2" xfId="28808"/>
    <cellStyle name="Normal 37 4 6" xfId="12675"/>
    <cellStyle name="Normal 37 4 6 2" xfId="28809"/>
    <cellStyle name="Normal 37 4 7" xfId="12676"/>
    <cellStyle name="Normal 37 4 7 2" xfId="28810"/>
    <cellStyle name="Normal 37 4 8" xfId="12677"/>
    <cellStyle name="Normal 37 4 8 2" xfId="28811"/>
    <cellStyle name="Normal 37 4 9" xfId="12678"/>
    <cellStyle name="Normal 37 4 9 2" xfId="28812"/>
    <cellStyle name="Normal 37 5" xfId="2933"/>
    <cellStyle name="Normal 37 5 10" xfId="12679"/>
    <cellStyle name="Normal 37 5 10 2" xfId="28813"/>
    <cellStyle name="Normal 37 5 11" xfId="6818"/>
    <cellStyle name="Normal 37 5 11 2" xfId="22980"/>
    <cellStyle name="Normal 37 5 12" xfId="19849"/>
    <cellStyle name="Normal 37 5 2" xfId="12680"/>
    <cellStyle name="Normal 37 5 2 2" xfId="28814"/>
    <cellStyle name="Normal 37 5 3" xfId="12681"/>
    <cellStyle name="Normal 37 5 3 2" xfId="28815"/>
    <cellStyle name="Normal 37 5 4" xfId="12682"/>
    <cellStyle name="Normal 37 5 4 2" xfId="28816"/>
    <cellStyle name="Normal 37 5 5" xfId="12683"/>
    <cellStyle name="Normal 37 5 5 2" xfId="28817"/>
    <cellStyle name="Normal 37 5 6" xfId="12684"/>
    <cellStyle name="Normal 37 5 6 2" xfId="28818"/>
    <cellStyle name="Normal 37 5 7" xfId="12685"/>
    <cellStyle name="Normal 37 5 7 2" xfId="28819"/>
    <cellStyle name="Normal 37 5 8" xfId="12686"/>
    <cellStyle name="Normal 37 5 8 2" xfId="28820"/>
    <cellStyle name="Normal 37 5 9" xfId="12687"/>
    <cellStyle name="Normal 37 5 9 2" xfId="28821"/>
    <cellStyle name="Normal 37 6" xfId="2935"/>
    <cellStyle name="Normal 37 6 10" xfId="12688"/>
    <cellStyle name="Normal 37 6 10 2" xfId="28822"/>
    <cellStyle name="Normal 37 6 11" xfId="6820"/>
    <cellStyle name="Normal 37 6 11 2" xfId="22982"/>
    <cellStyle name="Normal 37 6 12" xfId="19851"/>
    <cellStyle name="Normal 37 6 2" xfId="12689"/>
    <cellStyle name="Normal 37 6 2 2" xfId="28823"/>
    <cellStyle name="Normal 37 6 3" xfId="12690"/>
    <cellStyle name="Normal 37 6 3 2" xfId="28824"/>
    <cellStyle name="Normal 37 6 4" xfId="12691"/>
    <cellStyle name="Normal 37 6 4 2" xfId="28825"/>
    <cellStyle name="Normal 37 6 5" xfId="12692"/>
    <cellStyle name="Normal 37 6 5 2" xfId="28826"/>
    <cellStyle name="Normal 37 6 6" xfId="12693"/>
    <cellStyle name="Normal 37 6 6 2" xfId="28827"/>
    <cellStyle name="Normal 37 6 7" xfId="12694"/>
    <cellStyle name="Normal 37 6 7 2" xfId="28828"/>
    <cellStyle name="Normal 37 6 8" xfId="12695"/>
    <cellStyle name="Normal 37 6 8 2" xfId="28829"/>
    <cellStyle name="Normal 37 6 9" xfId="12696"/>
    <cellStyle name="Normal 37 6 9 2" xfId="28830"/>
    <cellStyle name="Normal 37 7" xfId="12697"/>
    <cellStyle name="Normal 37 7 2" xfId="28831"/>
    <cellStyle name="Normal 37 8" xfId="12698"/>
    <cellStyle name="Normal 37 8 2" xfId="28832"/>
    <cellStyle name="Normal 37 9" xfId="12699"/>
    <cellStyle name="Normal 37 9 2" xfId="28833"/>
    <cellStyle name="Normal 38" xfId="2937"/>
    <cellStyle name="Normal 38 2" xfId="12700"/>
    <cellStyle name="Normal 38 2 2" xfId="28834"/>
    <cellStyle name="Normal 38 3" xfId="6822"/>
    <cellStyle name="Normal 38 3 2" xfId="22984"/>
    <cellStyle name="Normal 39" xfId="2939"/>
    <cellStyle name="Normal 39 2" xfId="12701"/>
    <cellStyle name="Normal 39 2 2" xfId="28835"/>
    <cellStyle name="Normal 39 3" xfId="6824"/>
    <cellStyle name="Normal 39 3 2" xfId="22986"/>
    <cellStyle name="Normal 4" xfId="1052"/>
    <cellStyle name="Normal 4 10" xfId="2940"/>
    <cellStyle name="Normal 4 10 2" xfId="6826"/>
    <cellStyle name="Normal 4 10 2 2" xfId="22988"/>
    <cellStyle name="Normal 4 11" xfId="779"/>
    <cellStyle name="Normal 4 11 2" xfId="4703"/>
    <cellStyle name="Normal 4 11 2 2" xfId="20865"/>
    <cellStyle name="Normal 4 12" xfId="2942"/>
    <cellStyle name="Normal 4 12 2" xfId="6827"/>
    <cellStyle name="Normal 4 12 2 2" xfId="22989"/>
    <cellStyle name="Normal 4 13" xfId="2944"/>
    <cellStyle name="Normal 4 13 2" xfId="6829"/>
    <cellStyle name="Normal 4 13 2 2" xfId="22991"/>
    <cellStyle name="Normal 4 14" xfId="2946"/>
    <cellStyle name="Normal 4 14 2" xfId="2947"/>
    <cellStyle name="Normal 4 14 2 2" xfId="6833"/>
    <cellStyle name="Normal 4 14 2 2 2" xfId="22995"/>
    <cellStyle name="Normal 4 14 3" xfId="6831"/>
    <cellStyle name="Normal 4 14 3 2" xfId="22993"/>
    <cellStyle name="Normal 4 15" xfId="2949"/>
    <cellStyle name="Normal 4 15 2" xfId="6834"/>
    <cellStyle name="Normal 4 15 2 2" xfId="22996"/>
    <cellStyle name="Normal 4 16" xfId="2951"/>
    <cellStyle name="Normal 4 16 2" xfId="6836"/>
    <cellStyle name="Normal 4 16 2 2" xfId="22998"/>
    <cellStyle name="Normal 4 17" xfId="1747"/>
    <cellStyle name="Normal 4 17 2" xfId="5658"/>
    <cellStyle name="Normal 4 17 2 2" xfId="21820"/>
    <cellStyle name="Normal 4 18" xfId="1749"/>
    <cellStyle name="Normal 4 18 2" xfId="5660"/>
    <cellStyle name="Normal 4 18 2 2" xfId="21822"/>
    <cellStyle name="Normal 4 19" xfId="1631"/>
    <cellStyle name="Normal 4 19 2" xfId="5546"/>
    <cellStyle name="Normal 4 19 2 2" xfId="21708"/>
    <cellStyle name="Normal 4 2" xfId="2618"/>
    <cellStyle name="Normal 4 2 10" xfId="2953"/>
    <cellStyle name="Normal 4 2 10 10" xfId="12702"/>
    <cellStyle name="Normal 4 2 10 10 2" xfId="28836"/>
    <cellStyle name="Normal 4 2 10 11" xfId="12703"/>
    <cellStyle name="Normal 4 2 10 11 2" xfId="28837"/>
    <cellStyle name="Normal 4 2 10 12" xfId="12704"/>
    <cellStyle name="Normal 4 2 10 12 2" xfId="28838"/>
    <cellStyle name="Normal 4 2 10 13" xfId="12705"/>
    <cellStyle name="Normal 4 2 10 13 2" xfId="28839"/>
    <cellStyle name="Normal 4 2 10 14" xfId="12706"/>
    <cellStyle name="Normal 4 2 10 14 2" xfId="28840"/>
    <cellStyle name="Normal 4 2 10 15" xfId="12707"/>
    <cellStyle name="Normal 4 2 10 15 2" xfId="28841"/>
    <cellStyle name="Normal 4 2 10 16" xfId="12708"/>
    <cellStyle name="Normal 4 2 10 16 2" xfId="28842"/>
    <cellStyle name="Normal 4 2 10 17" xfId="12709"/>
    <cellStyle name="Normal 4 2 10 17 2" xfId="28843"/>
    <cellStyle name="Normal 4 2 10 18" xfId="6838"/>
    <cellStyle name="Normal 4 2 10 18 2" xfId="23000"/>
    <cellStyle name="Normal 4 2 10 2" xfId="2773"/>
    <cellStyle name="Normal 4 2 10 2 2" xfId="6666"/>
    <cellStyle name="Normal 4 2 10 2 2 2" xfId="22828"/>
    <cellStyle name="Normal 4 2 10 3" xfId="2775"/>
    <cellStyle name="Normal 4 2 10 3 2" xfId="6668"/>
    <cellStyle name="Normal 4 2 10 3 2 2" xfId="22830"/>
    <cellStyle name="Normal 4 2 10 4" xfId="2954"/>
    <cellStyle name="Normal 4 2 10 4 2" xfId="6840"/>
    <cellStyle name="Normal 4 2 10 4 2 2" xfId="23002"/>
    <cellStyle name="Normal 4 2 10 5" xfId="2955"/>
    <cellStyle name="Normal 4 2 10 5 2" xfId="6841"/>
    <cellStyle name="Normal 4 2 10 5 2 2" xfId="23003"/>
    <cellStyle name="Normal 4 2 10 6" xfId="2956"/>
    <cellStyle name="Normal 4 2 10 6 2" xfId="6842"/>
    <cellStyle name="Normal 4 2 10 6 2 2" xfId="23004"/>
    <cellStyle name="Normal 4 2 10 7" xfId="2008"/>
    <cellStyle name="Normal 4 2 10 7 2" xfId="5913"/>
    <cellStyle name="Normal 4 2 10 7 2 2" xfId="22075"/>
    <cellStyle name="Normal 4 2 10 8" xfId="2010"/>
    <cellStyle name="Normal 4 2 10 8 2" xfId="5915"/>
    <cellStyle name="Normal 4 2 10 8 2 2" xfId="22077"/>
    <cellStyle name="Normal 4 2 10 9" xfId="12710"/>
    <cellStyle name="Normal 4 2 10 9 2" xfId="28844"/>
    <cellStyle name="Normal 4 2 11" xfId="2648"/>
    <cellStyle name="Normal 4 2 11 10" xfId="12711"/>
    <cellStyle name="Normal 4 2 11 10 2" xfId="28845"/>
    <cellStyle name="Normal 4 2 11 11" xfId="12712"/>
    <cellStyle name="Normal 4 2 11 11 2" xfId="28846"/>
    <cellStyle name="Normal 4 2 11 12" xfId="12713"/>
    <cellStyle name="Normal 4 2 11 12 2" xfId="28847"/>
    <cellStyle name="Normal 4 2 11 13" xfId="12714"/>
    <cellStyle name="Normal 4 2 11 13 2" xfId="28848"/>
    <cellStyle name="Normal 4 2 11 14" xfId="12715"/>
    <cellStyle name="Normal 4 2 11 14 2" xfId="28849"/>
    <cellStyle name="Normal 4 2 11 15" xfId="12716"/>
    <cellStyle name="Normal 4 2 11 15 2" xfId="28850"/>
    <cellStyle name="Normal 4 2 11 16" xfId="12717"/>
    <cellStyle name="Normal 4 2 11 16 2" xfId="28851"/>
    <cellStyle name="Normal 4 2 11 17" xfId="12718"/>
    <cellStyle name="Normal 4 2 11 17 2" xfId="28852"/>
    <cellStyle name="Normal 4 2 11 18" xfId="6540"/>
    <cellStyle name="Normal 4 2 11 18 2" xfId="22702"/>
    <cellStyle name="Normal 4 2 11 2" xfId="2238"/>
    <cellStyle name="Normal 4 2 11 2 2" xfId="6140"/>
    <cellStyle name="Normal 4 2 11 2 2 2" xfId="22302"/>
    <cellStyle name="Normal 4 2 11 3" xfId="831"/>
    <cellStyle name="Normal 4 2 11 3 2" xfId="4759"/>
    <cellStyle name="Normal 4 2 11 3 2 2" xfId="20921"/>
    <cellStyle name="Normal 4 2 11 4" xfId="2665"/>
    <cellStyle name="Normal 4 2 11 4 2" xfId="6558"/>
    <cellStyle name="Normal 4 2 11 4 2 2" xfId="22720"/>
    <cellStyle name="Normal 4 2 11 5" xfId="2667"/>
    <cellStyle name="Normal 4 2 11 5 2" xfId="6560"/>
    <cellStyle name="Normal 4 2 11 5 2 2" xfId="22722"/>
    <cellStyle name="Normal 4 2 11 6" xfId="2669"/>
    <cellStyle name="Normal 4 2 11 6 2" xfId="6562"/>
    <cellStyle name="Normal 4 2 11 6 2 2" xfId="22724"/>
    <cellStyle name="Normal 4 2 11 7" xfId="2021"/>
    <cellStyle name="Normal 4 2 11 7 2" xfId="5927"/>
    <cellStyle name="Normal 4 2 11 7 2 2" xfId="22089"/>
    <cellStyle name="Normal 4 2 11 8" xfId="2024"/>
    <cellStyle name="Normal 4 2 11 8 2" xfId="5930"/>
    <cellStyle name="Normal 4 2 11 8 2 2" xfId="22092"/>
    <cellStyle name="Normal 4 2 11 9" xfId="12719"/>
    <cellStyle name="Normal 4 2 11 9 2" xfId="28853"/>
    <cellStyle name="Normal 4 2 12" xfId="2958"/>
    <cellStyle name="Normal 4 2 12 2" xfId="6843"/>
    <cellStyle name="Normal 4 2 12 2 2" xfId="23005"/>
    <cellStyle name="Normal 4 2 13" xfId="2960"/>
    <cellStyle name="Normal 4 2 13 2" xfId="6845"/>
    <cellStyle name="Normal 4 2 13 2 2" xfId="23007"/>
    <cellStyle name="Normal 4 2 14" xfId="2962"/>
    <cellStyle name="Normal 4 2 14 2" xfId="6847"/>
    <cellStyle name="Normal 4 2 14 2 2" xfId="23009"/>
    <cellStyle name="Normal 4 2 15" xfId="2964"/>
    <cellStyle name="Normal 4 2 15 2" xfId="6849"/>
    <cellStyle name="Normal 4 2 15 2 2" xfId="23011"/>
    <cellStyle name="Normal 4 2 16" xfId="2966"/>
    <cellStyle name="Normal 4 2 16 2" xfId="6851"/>
    <cellStyle name="Normal 4 2 16 2 2" xfId="23013"/>
    <cellStyle name="Normal 4 2 17" xfId="2967"/>
    <cellStyle name="Normal 4 2 17 2" xfId="6853"/>
    <cellStyle name="Normal 4 2 17 2 2" xfId="23015"/>
    <cellStyle name="Normal 4 2 18" xfId="2968"/>
    <cellStyle name="Normal 4 2 18 2" xfId="6854"/>
    <cellStyle name="Normal 4 2 18 2 2" xfId="23016"/>
    <cellStyle name="Normal 4 2 19" xfId="12720"/>
    <cellStyle name="Normal 4 2 19 2" xfId="28854"/>
    <cellStyle name="Normal 4 2 2" xfId="2969"/>
    <cellStyle name="Normal 4 2 2 10" xfId="2970"/>
    <cellStyle name="Normal 4 2 2 10 10" xfId="12721"/>
    <cellStyle name="Normal 4 2 2 10 10 2" xfId="28855"/>
    <cellStyle name="Normal 4 2 2 10 11" xfId="12722"/>
    <cellStyle name="Normal 4 2 2 10 11 2" xfId="28856"/>
    <cellStyle name="Normal 4 2 2 10 12" xfId="12723"/>
    <cellStyle name="Normal 4 2 2 10 12 2" xfId="28857"/>
    <cellStyle name="Normal 4 2 2 10 13" xfId="12724"/>
    <cellStyle name="Normal 4 2 2 10 13 2" xfId="28858"/>
    <cellStyle name="Normal 4 2 2 10 14" xfId="12725"/>
    <cellStyle name="Normal 4 2 2 10 14 2" xfId="28859"/>
    <cellStyle name="Normal 4 2 2 10 15" xfId="12726"/>
    <cellStyle name="Normal 4 2 2 10 15 2" xfId="28860"/>
    <cellStyle name="Normal 4 2 2 10 16" xfId="12727"/>
    <cellStyle name="Normal 4 2 2 10 16 2" xfId="28861"/>
    <cellStyle name="Normal 4 2 2 10 17" xfId="12728"/>
    <cellStyle name="Normal 4 2 2 10 17 2" xfId="28862"/>
    <cellStyle name="Normal 4 2 2 10 18" xfId="6856"/>
    <cellStyle name="Normal 4 2 2 10 18 2" xfId="23018"/>
    <cellStyle name="Normal 4 2 2 10 2" xfId="2971"/>
    <cellStyle name="Normal 4 2 2 10 2 2" xfId="6857"/>
    <cellStyle name="Normal 4 2 2 10 2 2 2" xfId="23019"/>
    <cellStyle name="Normal 4 2 2 10 3" xfId="2972"/>
    <cellStyle name="Normal 4 2 2 10 3 2" xfId="6858"/>
    <cellStyle name="Normal 4 2 2 10 3 2 2" xfId="23020"/>
    <cellStyle name="Normal 4 2 2 10 4" xfId="2973"/>
    <cellStyle name="Normal 4 2 2 10 4 2" xfId="6859"/>
    <cellStyle name="Normal 4 2 2 10 4 2 2" xfId="23021"/>
    <cellStyle name="Normal 4 2 2 10 5" xfId="2974"/>
    <cellStyle name="Normal 4 2 2 10 5 2" xfId="6860"/>
    <cellStyle name="Normal 4 2 2 10 5 2 2" xfId="23022"/>
    <cellStyle name="Normal 4 2 2 10 6" xfId="2975"/>
    <cellStyle name="Normal 4 2 2 10 6 2" xfId="6861"/>
    <cellStyle name="Normal 4 2 2 10 6 2 2" xfId="23023"/>
    <cellStyle name="Normal 4 2 2 10 7" xfId="2976"/>
    <cellStyle name="Normal 4 2 2 10 7 2" xfId="6862"/>
    <cellStyle name="Normal 4 2 2 10 7 2 2" xfId="23024"/>
    <cellStyle name="Normal 4 2 2 10 8" xfId="2977"/>
    <cellStyle name="Normal 4 2 2 10 8 2" xfId="6863"/>
    <cellStyle name="Normal 4 2 2 10 8 2 2" xfId="23025"/>
    <cellStyle name="Normal 4 2 2 10 9" xfId="12729"/>
    <cellStyle name="Normal 4 2 2 10 9 2" xfId="28863"/>
    <cellStyle name="Normal 4 2 2 11" xfId="2978"/>
    <cellStyle name="Normal 4 2 2 11 2" xfId="6864"/>
    <cellStyle name="Normal 4 2 2 11 2 2" xfId="23026"/>
    <cellStyle name="Normal 4 2 2 12" xfId="2979"/>
    <cellStyle name="Normal 4 2 2 12 2" xfId="6865"/>
    <cellStyle name="Normal 4 2 2 12 2 2" xfId="23027"/>
    <cellStyle name="Normal 4 2 2 13" xfId="2980"/>
    <cellStyle name="Normal 4 2 2 13 2" xfId="6866"/>
    <cellStyle name="Normal 4 2 2 13 2 2" xfId="23028"/>
    <cellStyle name="Normal 4 2 2 14" xfId="2981"/>
    <cellStyle name="Normal 4 2 2 14 2" xfId="6867"/>
    <cellStyle name="Normal 4 2 2 14 2 2" xfId="23029"/>
    <cellStyle name="Normal 4 2 2 15" xfId="2983"/>
    <cellStyle name="Normal 4 2 2 15 2" xfId="6868"/>
    <cellStyle name="Normal 4 2 2 15 2 2" xfId="23030"/>
    <cellStyle name="Normal 4 2 2 16" xfId="2985"/>
    <cellStyle name="Normal 4 2 2 16 2" xfId="6870"/>
    <cellStyle name="Normal 4 2 2 16 2 2" xfId="23032"/>
    <cellStyle name="Normal 4 2 2 17" xfId="2987"/>
    <cellStyle name="Normal 4 2 2 17 2" xfId="6872"/>
    <cellStyle name="Normal 4 2 2 17 2 2" xfId="23034"/>
    <cellStyle name="Normal 4 2 2 18" xfId="12730"/>
    <cellStyle name="Normal 4 2 2 18 2" xfId="28864"/>
    <cellStyle name="Normal 4 2 2 19" xfId="12731"/>
    <cellStyle name="Normal 4 2 2 19 2" xfId="28865"/>
    <cellStyle name="Normal 4 2 2 2" xfId="2989"/>
    <cellStyle name="Normal 4 2 2 2 10" xfId="12732"/>
    <cellStyle name="Normal 4 2 2 2 10 2" xfId="28866"/>
    <cellStyle name="Normal 4 2 2 2 11" xfId="12733"/>
    <cellStyle name="Normal 4 2 2 2 11 2" xfId="28867"/>
    <cellStyle name="Normal 4 2 2 2 12" xfId="12734"/>
    <cellStyle name="Normal 4 2 2 2 12 2" xfId="28868"/>
    <cellStyle name="Normal 4 2 2 2 13" xfId="12735"/>
    <cellStyle name="Normal 4 2 2 2 13 2" xfId="28869"/>
    <cellStyle name="Normal 4 2 2 2 14" xfId="12736"/>
    <cellStyle name="Normal 4 2 2 2 14 2" xfId="28870"/>
    <cellStyle name="Normal 4 2 2 2 15" xfId="12737"/>
    <cellStyle name="Normal 4 2 2 2 15 2" xfId="28871"/>
    <cellStyle name="Normal 4 2 2 2 16" xfId="12738"/>
    <cellStyle name="Normal 4 2 2 2 16 2" xfId="28872"/>
    <cellStyle name="Normal 4 2 2 2 17" xfId="12739"/>
    <cellStyle name="Normal 4 2 2 2 17 2" xfId="28873"/>
    <cellStyle name="Normal 4 2 2 2 18" xfId="6874"/>
    <cellStyle name="Normal 4 2 2 2 18 2" xfId="23036"/>
    <cellStyle name="Normal 4 2 2 2 19" xfId="19854"/>
    <cellStyle name="Normal 4 2 2 2 2" xfId="15"/>
    <cellStyle name="Normal 4 2 2 2 2 10" xfId="12740"/>
    <cellStyle name="Normal 4 2 2 2 2 10 2" xfId="28874"/>
    <cellStyle name="Normal 4 2 2 2 2 11" xfId="12741"/>
    <cellStyle name="Normal 4 2 2 2 2 11 2" xfId="28875"/>
    <cellStyle name="Normal 4 2 2 2 2 12" xfId="12742"/>
    <cellStyle name="Normal 4 2 2 2 2 12 2" xfId="28876"/>
    <cellStyle name="Normal 4 2 2 2 2 13" xfId="3978"/>
    <cellStyle name="Normal 4 2 2 2 2 13 2" xfId="20141"/>
    <cellStyle name="Normal 4 2 2 2 2 14" xfId="18969"/>
    <cellStyle name="Normal 4 2 2 2 2 2" xfId="2990"/>
    <cellStyle name="Normal 4 2 2 2 2 2 10" xfId="12743"/>
    <cellStyle name="Normal 4 2 2 2 2 2 10 2" xfId="28877"/>
    <cellStyle name="Normal 4 2 2 2 2 2 11" xfId="6876"/>
    <cellStyle name="Normal 4 2 2 2 2 2 11 2" xfId="23038"/>
    <cellStyle name="Normal 4 2 2 2 2 2 12" xfId="19855"/>
    <cellStyle name="Normal 4 2 2 2 2 2 2" xfId="12744"/>
    <cellStyle name="Normal 4 2 2 2 2 2 2 2" xfId="28878"/>
    <cellStyle name="Normal 4 2 2 2 2 2 3" xfId="12745"/>
    <cellStyle name="Normal 4 2 2 2 2 2 3 2" xfId="28879"/>
    <cellStyle name="Normal 4 2 2 2 2 2 4" xfId="12746"/>
    <cellStyle name="Normal 4 2 2 2 2 2 4 2" xfId="28880"/>
    <cellStyle name="Normal 4 2 2 2 2 2 5" xfId="12747"/>
    <cellStyle name="Normal 4 2 2 2 2 2 5 2" xfId="28881"/>
    <cellStyle name="Normal 4 2 2 2 2 2 6" xfId="12748"/>
    <cellStyle name="Normal 4 2 2 2 2 2 6 2" xfId="28882"/>
    <cellStyle name="Normal 4 2 2 2 2 2 7" xfId="12749"/>
    <cellStyle name="Normal 4 2 2 2 2 2 7 2" xfId="28883"/>
    <cellStyle name="Normal 4 2 2 2 2 2 8" xfId="12750"/>
    <cellStyle name="Normal 4 2 2 2 2 2 8 2" xfId="28884"/>
    <cellStyle name="Normal 4 2 2 2 2 2 9" xfId="12751"/>
    <cellStyle name="Normal 4 2 2 2 2 2 9 2" xfId="28885"/>
    <cellStyle name="Normal 4 2 2 2 2 3" xfId="353"/>
    <cellStyle name="Normal 4 2 2 2 2 3 10" xfId="12752"/>
    <cellStyle name="Normal 4 2 2 2 2 3 10 2" xfId="28886"/>
    <cellStyle name="Normal 4 2 2 2 2 3 11" xfId="4296"/>
    <cellStyle name="Normal 4 2 2 2 2 3 11 2" xfId="20459"/>
    <cellStyle name="Normal 4 2 2 2 2 3 12" xfId="19066"/>
    <cellStyle name="Normal 4 2 2 2 2 3 2" xfId="12753"/>
    <cellStyle name="Normal 4 2 2 2 2 3 2 2" xfId="28887"/>
    <cellStyle name="Normal 4 2 2 2 2 3 3" xfId="12754"/>
    <cellStyle name="Normal 4 2 2 2 2 3 3 2" xfId="28888"/>
    <cellStyle name="Normal 4 2 2 2 2 3 4" xfId="12755"/>
    <cellStyle name="Normal 4 2 2 2 2 3 4 2" xfId="28889"/>
    <cellStyle name="Normal 4 2 2 2 2 3 5" xfId="12756"/>
    <cellStyle name="Normal 4 2 2 2 2 3 5 2" xfId="28890"/>
    <cellStyle name="Normal 4 2 2 2 2 3 6" xfId="12757"/>
    <cellStyle name="Normal 4 2 2 2 2 3 6 2" xfId="28891"/>
    <cellStyle name="Normal 4 2 2 2 2 3 7" xfId="12758"/>
    <cellStyle name="Normal 4 2 2 2 2 3 7 2" xfId="28892"/>
    <cellStyle name="Normal 4 2 2 2 2 3 8" xfId="12759"/>
    <cellStyle name="Normal 4 2 2 2 2 3 8 2" xfId="28893"/>
    <cellStyle name="Normal 4 2 2 2 2 3 9" xfId="12760"/>
    <cellStyle name="Normal 4 2 2 2 2 3 9 2" xfId="28894"/>
    <cellStyle name="Normal 4 2 2 2 2 4" xfId="12761"/>
    <cellStyle name="Normal 4 2 2 2 2 4 2" xfId="28895"/>
    <cellStyle name="Normal 4 2 2 2 2 5" xfId="12762"/>
    <cellStyle name="Normal 4 2 2 2 2 5 2" xfId="28896"/>
    <cellStyle name="Normal 4 2 2 2 2 6" xfId="12763"/>
    <cellStyle name="Normal 4 2 2 2 2 6 2" xfId="28897"/>
    <cellStyle name="Normal 4 2 2 2 2 7" xfId="12764"/>
    <cellStyle name="Normal 4 2 2 2 2 7 2" xfId="28898"/>
    <cellStyle name="Normal 4 2 2 2 2 8" xfId="12765"/>
    <cellStyle name="Normal 4 2 2 2 2 8 2" xfId="28899"/>
    <cellStyle name="Normal 4 2 2 2 2 9" xfId="12766"/>
    <cellStyle name="Normal 4 2 2 2 2 9 2" xfId="28900"/>
    <cellStyle name="Normal 4 2 2 2 3" xfId="815"/>
    <cellStyle name="Normal 4 2 2 2 3 10" xfId="12767"/>
    <cellStyle name="Normal 4 2 2 2 3 10 2" xfId="28901"/>
    <cellStyle name="Normal 4 2 2 2 3 11" xfId="12768"/>
    <cellStyle name="Normal 4 2 2 2 3 11 2" xfId="28902"/>
    <cellStyle name="Normal 4 2 2 2 3 12" xfId="12769"/>
    <cellStyle name="Normal 4 2 2 2 3 12 2" xfId="28903"/>
    <cellStyle name="Normal 4 2 2 2 3 13" xfId="4743"/>
    <cellStyle name="Normal 4 2 2 2 3 13 2" xfId="20905"/>
    <cellStyle name="Normal 4 2 2 2 3 14" xfId="19190"/>
    <cellStyle name="Normal 4 2 2 2 3 2" xfId="2991"/>
    <cellStyle name="Normal 4 2 2 2 3 2 10" xfId="12770"/>
    <cellStyle name="Normal 4 2 2 2 3 2 10 2" xfId="28904"/>
    <cellStyle name="Normal 4 2 2 2 3 2 11" xfId="6877"/>
    <cellStyle name="Normal 4 2 2 2 3 2 11 2" xfId="23039"/>
    <cellStyle name="Normal 4 2 2 2 3 2 12" xfId="19856"/>
    <cellStyle name="Normal 4 2 2 2 3 2 2" xfId="12771"/>
    <cellStyle name="Normal 4 2 2 2 3 2 2 2" xfId="28905"/>
    <cellStyle name="Normal 4 2 2 2 3 2 3" xfId="12772"/>
    <cellStyle name="Normal 4 2 2 2 3 2 3 2" xfId="28906"/>
    <cellStyle name="Normal 4 2 2 2 3 2 4" xfId="12773"/>
    <cellStyle name="Normal 4 2 2 2 3 2 4 2" xfId="28907"/>
    <cellStyle name="Normal 4 2 2 2 3 2 5" xfId="12774"/>
    <cellStyle name="Normal 4 2 2 2 3 2 5 2" xfId="28908"/>
    <cellStyle name="Normal 4 2 2 2 3 2 6" xfId="12775"/>
    <cellStyle name="Normal 4 2 2 2 3 2 6 2" xfId="28909"/>
    <cellStyle name="Normal 4 2 2 2 3 2 7" xfId="12776"/>
    <cellStyle name="Normal 4 2 2 2 3 2 7 2" xfId="28910"/>
    <cellStyle name="Normal 4 2 2 2 3 2 8" xfId="12777"/>
    <cellStyle name="Normal 4 2 2 2 3 2 8 2" xfId="28911"/>
    <cellStyle name="Normal 4 2 2 2 3 2 9" xfId="12778"/>
    <cellStyle name="Normal 4 2 2 2 3 2 9 2" xfId="28912"/>
    <cellStyle name="Normal 4 2 2 2 3 3" xfId="1721"/>
    <cellStyle name="Normal 4 2 2 2 3 3 10" xfId="12779"/>
    <cellStyle name="Normal 4 2 2 2 3 3 10 2" xfId="28913"/>
    <cellStyle name="Normal 4 2 2 2 3 3 11" xfId="5633"/>
    <cellStyle name="Normal 4 2 2 2 3 3 11 2" xfId="21795"/>
    <cellStyle name="Normal 4 2 2 2 3 3 12" xfId="19567"/>
    <cellStyle name="Normal 4 2 2 2 3 3 2" xfId="12780"/>
    <cellStyle name="Normal 4 2 2 2 3 3 2 2" xfId="28914"/>
    <cellStyle name="Normal 4 2 2 2 3 3 3" xfId="12781"/>
    <cellStyle name="Normal 4 2 2 2 3 3 3 2" xfId="28915"/>
    <cellStyle name="Normal 4 2 2 2 3 3 4" xfId="12782"/>
    <cellStyle name="Normal 4 2 2 2 3 3 4 2" xfId="28916"/>
    <cellStyle name="Normal 4 2 2 2 3 3 5" xfId="12783"/>
    <cellStyle name="Normal 4 2 2 2 3 3 5 2" xfId="28917"/>
    <cellStyle name="Normal 4 2 2 2 3 3 6" xfId="12784"/>
    <cellStyle name="Normal 4 2 2 2 3 3 6 2" xfId="28918"/>
    <cellStyle name="Normal 4 2 2 2 3 3 7" xfId="12785"/>
    <cellStyle name="Normal 4 2 2 2 3 3 7 2" xfId="28919"/>
    <cellStyle name="Normal 4 2 2 2 3 3 8" xfId="12786"/>
    <cellStyle name="Normal 4 2 2 2 3 3 8 2" xfId="28920"/>
    <cellStyle name="Normal 4 2 2 2 3 3 9" xfId="12787"/>
    <cellStyle name="Normal 4 2 2 2 3 3 9 2" xfId="28921"/>
    <cellStyle name="Normal 4 2 2 2 3 4" xfId="12788"/>
    <cellStyle name="Normal 4 2 2 2 3 4 2" xfId="28922"/>
    <cellStyle name="Normal 4 2 2 2 3 5" xfId="12789"/>
    <cellStyle name="Normal 4 2 2 2 3 5 2" xfId="28923"/>
    <cellStyle name="Normal 4 2 2 2 3 6" xfId="12790"/>
    <cellStyle name="Normal 4 2 2 2 3 6 2" xfId="28924"/>
    <cellStyle name="Normal 4 2 2 2 3 7" xfId="12791"/>
    <cellStyle name="Normal 4 2 2 2 3 7 2" xfId="28925"/>
    <cellStyle name="Normal 4 2 2 2 3 8" xfId="12792"/>
    <cellStyle name="Normal 4 2 2 2 3 8 2" xfId="28926"/>
    <cellStyle name="Normal 4 2 2 2 3 9" xfId="12793"/>
    <cellStyle name="Normal 4 2 2 2 3 9 2" xfId="28927"/>
    <cellStyle name="Normal 4 2 2 2 4" xfId="818"/>
    <cellStyle name="Normal 4 2 2 2 4 10" xfId="12794"/>
    <cellStyle name="Normal 4 2 2 2 4 10 2" xfId="28928"/>
    <cellStyle name="Normal 4 2 2 2 4 11" xfId="12795"/>
    <cellStyle name="Normal 4 2 2 2 4 11 2" xfId="28929"/>
    <cellStyle name="Normal 4 2 2 2 4 12" xfId="12796"/>
    <cellStyle name="Normal 4 2 2 2 4 12 2" xfId="28930"/>
    <cellStyle name="Normal 4 2 2 2 4 13" xfId="4746"/>
    <cellStyle name="Normal 4 2 2 2 4 13 2" xfId="20908"/>
    <cellStyle name="Normal 4 2 2 2 4 14" xfId="19192"/>
    <cellStyle name="Normal 4 2 2 2 4 2" xfId="2992"/>
    <cellStyle name="Normal 4 2 2 2 4 2 10" xfId="12797"/>
    <cellStyle name="Normal 4 2 2 2 4 2 10 2" xfId="28931"/>
    <cellStyle name="Normal 4 2 2 2 4 2 11" xfId="6878"/>
    <cellStyle name="Normal 4 2 2 2 4 2 11 2" xfId="23040"/>
    <cellStyle name="Normal 4 2 2 2 4 2 12" xfId="19857"/>
    <cellStyle name="Normal 4 2 2 2 4 2 2" xfId="12798"/>
    <cellStyle name="Normal 4 2 2 2 4 2 2 2" xfId="28932"/>
    <cellStyle name="Normal 4 2 2 2 4 2 3" xfId="12799"/>
    <cellStyle name="Normal 4 2 2 2 4 2 3 2" xfId="28933"/>
    <cellStyle name="Normal 4 2 2 2 4 2 4" xfId="12800"/>
    <cellStyle name="Normal 4 2 2 2 4 2 4 2" xfId="28934"/>
    <cellStyle name="Normal 4 2 2 2 4 2 5" xfId="12801"/>
    <cellStyle name="Normal 4 2 2 2 4 2 5 2" xfId="28935"/>
    <cellStyle name="Normal 4 2 2 2 4 2 6" xfId="12802"/>
    <cellStyle name="Normal 4 2 2 2 4 2 6 2" xfId="28936"/>
    <cellStyle name="Normal 4 2 2 2 4 2 7" xfId="12803"/>
    <cellStyle name="Normal 4 2 2 2 4 2 7 2" xfId="28937"/>
    <cellStyle name="Normal 4 2 2 2 4 2 8" xfId="12804"/>
    <cellStyle name="Normal 4 2 2 2 4 2 8 2" xfId="28938"/>
    <cellStyle name="Normal 4 2 2 2 4 2 9" xfId="12805"/>
    <cellStyle name="Normal 4 2 2 2 4 2 9 2" xfId="28939"/>
    <cellStyle name="Normal 4 2 2 2 4 3" xfId="2993"/>
    <cellStyle name="Normal 4 2 2 2 4 3 10" xfId="12806"/>
    <cellStyle name="Normal 4 2 2 2 4 3 10 2" xfId="28940"/>
    <cellStyle name="Normal 4 2 2 2 4 3 11" xfId="6879"/>
    <cellStyle name="Normal 4 2 2 2 4 3 11 2" xfId="23041"/>
    <cellStyle name="Normal 4 2 2 2 4 3 12" xfId="19858"/>
    <cellStyle name="Normal 4 2 2 2 4 3 2" xfId="12807"/>
    <cellStyle name="Normal 4 2 2 2 4 3 2 2" xfId="28941"/>
    <cellStyle name="Normal 4 2 2 2 4 3 3" xfId="12808"/>
    <cellStyle name="Normal 4 2 2 2 4 3 3 2" xfId="28942"/>
    <cellStyle name="Normal 4 2 2 2 4 3 4" xfId="12809"/>
    <cellStyle name="Normal 4 2 2 2 4 3 4 2" xfId="28943"/>
    <cellStyle name="Normal 4 2 2 2 4 3 5" xfId="12810"/>
    <cellStyle name="Normal 4 2 2 2 4 3 5 2" xfId="28944"/>
    <cellStyle name="Normal 4 2 2 2 4 3 6" xfId="12811"/>
    <cellStyle name="Normal 4 2 2 2 4 3 6 2" xfId="28945"/>
    <cellStyle name="Normal 4 2 2 2 4 3 7" xfId="12812"/>
    <cellStyle name="Normal 4 2 2 2 4 3 7 2" xfId="28946"/>
    <cellStyle name="Normal 4 2 2 2 4 3 8" xfId="12813"/>
    <cellStyle name="Normal 4 2 2 2 4 3 8 2" xfId="28947"/>
    <cellStyle name="Normal 4 2 2 2 4 3 9" xfId="12814"/>
    <cellStyle name="Normal 4 2 2 2 4 3 9 2" xfId="28948"/>
    <cellStyle name="Normal 4 2 2 2 4 4" xfId="12815"/>
    <cellStyle name="Normal 4 2 2 2 4 4 2" xfId="28949"/>
    <cellStyle name="Normal 4 2 2 2 4 5" xfId="12816"/>
    <cellStyle name="Normal 4 2 2 2 4 5 2" xfId="28950"/>
    <cellStyle name="Normal 4 2 2 2 4 6" xfId="12817"/>
    <cellStyle name="Normal 4 2 2 2 4 6 2" xfId="28951"/>
    <cellStyle name="Normal 4 2 2 2 4 7" xfId="12818"/>
    <cellStyle name="Normal 4 2 2 2 4 7 2" xfId="28952"/>
    <cellStyle name="Normal 4 2 2 2 4 8" xfId="12819"/>
    <cellStyle name="Normal 4 2 2 2 4 8 2" xfId="28953"/>
    <cellStyle name="Normal 4 2 2 2 4 9" xfId="12820"/>
    <cellStyle name="Normal 4 2 2 2 4 9 2" xfId="28954"/>
    <cellStyle name="Normal 4 2 2 2 5" xfId="821"/>
    <cellStyle name="Normal 4 2 2 2 5 10" xfId="12821"/>
    <cellStyle name="Normal 4 2 2 2 5 10 2" xfId="28955"/>
    <cellStyle name="Normal 4 2 2 2 5 11" xfId="12822"/>
    <cellStyle name="Normal 4 2 2 2 5 11 2" xfId="28956"/>
    <cellStyle name="Normal 4 2 2 2 5 12" xfId="12823"/>
    <cellStyle name="Normal 4 2 2 2 5 12 2" xfId="28957"/>
    <cellStyle name="Normal 4 2 2 2 5 13" xfId="4749"/>
    <cellStyle name="Normal 4 2 2 2 5 13 2" xfId="20911"/>
    <cellStyle name="Normal 4 2 2 2 5 14" xfId="19194"/>
    <cellStyle name="Normal 4 2 2 2 5 2" xfId="2995"/>
    <cellStyle name="Normal 4 2 2 2 5 2 10" xfId="12824"/>
    <cellStyle name="Normal 4 2 2 2 5 2 10 2" xfId="28958"/>
    <cellStyle name="Normal 4 2 2 2 5 2 11" xfId="6880"/>
    <cellStyle name="Normal 4 2 2 2 5 2 11 2" xfId="23042"/>
    <cellStyle name="Normal 4 2 2 2 5 2 12" xfId="19859"/>
    <cellStyle name="Normal 4 2 2 2 5 2 2" xfId="12825"/>
    <cellStyle name="Normal 4 2 2 2 5 2 2 2" xfId="28959"/>
    <cellStyle name="Normal 4 2 2 2 5 2 3" xfId="12826"/>
    <cellStyle name="Normal 4 2 2 2 5 2 3 2" xfId="28960"/>
    <cellStyle name="Normal 4 2 2 2 5 2 4" xfId="12827"/>
    <cellStyle name="Normal 4 2 2 2 5 2 4 2" xfId="28961"/>
    <cellStyle name="Normal 4 2 2 2 5 2 5" xfId="12828"/>
    <cellStyle name="Normal 4 2 2 2 5 2 5 2" xfId="28962"/>
    <cellStyle name="Normal 4 2 2 2 5 2 6" xfId="12829"/>
    <cellStyle name="Normal 4 2 2 2 5 2 6 2" xfId="28963"/>
    <cellStyle name="Normal 4 2 2 2 5 2 7" xfId="12830"/>
    <cellStyle name="Normal 4 2 2 2 5 2 7 2" xfId="28964"/>
    <cellStyle name="Normal 4 2 2 2 5 2 8" xfId="12831"/>
    <cellStyle name="Normal 4 2 2 2 5 2 8 2" xfId="28965"/>
    <cellStyle name="Normal 4 2 2 2 5 2 9" xfId="12832"/>
    <cellStyle name="Normal 4 2 2 2 5 2 9 2" xfId="28966"/>
    <cellStyle name="Normal 4 2 2 2 5 3" xfId="2997"/>
    <cellStyle name="Normal 4 2 2 2 5 3 10" xfId="12833"/>
    <cellStyle name="Normal 4 2 2 2 5 3 10 2" xfId="28967"/>
    <cellStyle name="Normal 4 2 2 2 5 3 11" xfId="6882"/>
    <cellStyle name="Normal 4 2 2 2 5 3 11 2" xfId="23044"/>
    <cellStyle name="Normal 4 2 2 2 5 3 12" xfId="19860"/>
    <cellStyle name="Normal 4 2 2 2 5 3 2" xfId="12834"/>
    <cellStyle name="Normal 4 2 2 2 5 3 2 2" xfId="28968"/>
    <cellStyle name="Normal 4 2 2 2 5 3 3" xfId="12835"/>
    <cellStyle name="Normal 4 2 2 2 5 3 3 2" xfId="28969"/>
    <cellStyle name="Normal 4 2 2 2 5 3 4" xfId="12836"/>
    <cellStyle name="Normal 4 2 2 2 5 3 4 2" xfId="28970"/>
    <cellStyle name="Normal 4 2 2 2 5 3 5" xfId="12837"/>
    <cellStyle name="Normal 4 2 2 2 5 3 5 2" xfId="28971"/>
    <cellStyle name="Normal 4 2 2 2 5 3 6" xfId="12838"/>
    <cellStyle name="Normal 4 2 2 2 5 3 6 2" xfId="28972"/>
    <cellStyle name="Normal 4 2 2 2 5 3 7" xfId="12839"/>
    <cellStyle name="Normal 4 2 2 2 5 3 7 2" xfId="28973"/>
    <cellStyle name="Normal 4 2 2 2 5 3 8" xfId="12840"/>
    <cellStyle name="Normal 4 2 2 2 5 3 8 2" xfId="28974"/>
    <cellStyle name="Normal 4 2 2 2 5 3 9" xfId="12841"/>
    <cellStyle name="Normal 4 2 2 2 5 3 9 2" xfId="28975"/>
    <cellStyle name="Normal 4 2 2 2 5 4" xfId="12842"/>
    <cellStyle name="Normal 4 2 2 2 5 4 2" xfId="28976"/>
    <cellStyle name="Normal 4 2 2 2 5 5" xfId="12843"/>
    <cellStyle name="Normal 4 2 2 2 5 5 2" xfId="28977"/>
    <cellStyle name="Normal 4 2 2 2 5 6" xfId="12844"/>
    <cellStyle name="Normal 4 2 2 2 5 6 2" xfId="28978"/>
    <cellStyle name="Normal 4 2 2 2 5 7" xfId="12845"/>
    <cellStyle name="Normal 4 2 2 2 5 7 2" xfId="28979"/>
    <cellStyle name="Normal 4 2 2 2 5 8" xfId="12846"/>
    <cellStyle name="Normal 4 2 2 2 5 8 2" xfId="28980"/>
    <cellStyle name="Normal 4 2 2 2 5 9" xfId="12847"/>
    <cellStyle name="Normal 4 2 2 2 5 9 2" xfId="28981"/>
    <cellStyle name="Normal 4 2 2 2 6" xfId="824"/>
    <cellStyle name="Normal 4 2 2 2 6 10" xfId="12848"/>
    <cellStyle name="Normal 4 2 2 2 6 10 2" xfId="28982"/>
    <cellStyle name="Normal 4 2 2 2 6 11" xfId="12849"/>
    <cellStyle name="Normal 4 2 2 2 6 11 2" xfId="28983"/>
    <cellStyle name="Normal 4 2 2 2 6 12" xfId="12850"/>
    <cellStyle name="Normal 4 2 2 2 6 12 2" xfId="28984"/>
    <cellStyle name="Normal 4 2 2 2 6 13" xfId="4752"/>
    <cellStyle name="Normal 4 2 2 2 6 13 2" xfId="20914"/>
    <cellStyle name="Normal 4 2 2 2 6 14" xfId="19196"/>
    <cellStyle name="Normal 4 2 2 2 6 2" xfId="2999"/>
    <cellStyle name="Normal 4 2 2 2 6 2 10" xfId="12851"/>
    <cellStyle name="Normal 4 2 2 2 6 2 10 2" xfId="28985"/>
    <cellStyle name="Normal 4 2 2 2 6 2 11" xfId="6884"/>
    <cellStyle name="Normal 4 2 2 2 6 2 11 2" xfId="23046"/>
    <cellStyle name="Normal 4 2 2 2 6 2 12" xfId="19861"/>
    <cellStyle name="Normal 4 2 2 2 6 2 2" xfId="12852"/>
    <cellStyle name="Normal 4 2 2 2 6 2 2 2" xfId="28986"/>
    <cellStyle name="Normal 4 2 2 2 6 2 3" xfId="12853"/>
    <cellStyle name="Normal 4 2 2 2 6 2 3 2" xfId="28987"/>
    <cellStyle name="Normal 4 2 2 2 6 2 4" xfId="12854"/>
    <cellStyle name="Normal 4 2 2 2 6 2 4 2" xfId="28988"/>
    <cellStyle name="Normal 4 2 2 2 6 2 5" xfId="12855"/>
    <cellStyle name="Normal 4 2 2 2 6 2 5 2" xfId="28989"/>
    <cellStyle name="Normal 4 2 2 2 6 2 6" xfId="12856"/>
    <cellStyle name="Normal 4 2 2 2 6 2 6 2" xfId="28990"/>
    <cellStyle name="Normal 4 2 2 2 6 2 7" xfId="12857"/>
    <cellStyle name="Normal 4 2 2 2 6 2 7 2" xfId="28991"/>
    <cellStyle name="Normal 4 2 2 2 6 2 8" xfId="12858"/>
    <cellStyle name="Normal 4 2 2 2 6 2 8 2" xfId="28992"/>
    <cellStyle name="Normal 4 2 2 2 6 2 9" xfId="12859"/>
    <cellStyle name="Normal 4 2 2 2 6 2 9 2" xfId="28993"/>
    <cellStyle name="Normal 4 2 2 2 6 3" xfId="3001"/>
    <cellStyle name="Normal 4 2 2 2 6 3 10" xfId="12860"/>
    <cellStyle name="Normal 4 2 2 2 6 3 10 2" xfId="28994"/>
    <cellStyle name="Normal 4 2 2 2 6 3 11" xfId="6886"/>
    <cellStyle name="Normal 4 2 2 2 6 3 11 2" xfId="23048"/>
    <cellStyle name="Normal 4 2 2 2 6 3 12" xfId="19862"/>
    <cellStyle name="Normal 4 2 2 2 6 3 2" xfId="12861"/>
    <cellStyle name="Normal 4 2 2 2 6 3 2 2" xfId="28995"/>
    <cellStyle name="Normal 4 2 2 2 6 3 3" xfId="12862"/>
    <cellStyle name="Normal 4 2 2 2 6 3 3 2" xfId="28996"/>
    <cellStyle name="Normal 4 2 2 2 6 3 4" xfId="12863"/>
    <cellStyle name="Normal 4 2 2 2 6 3 4 2" xfId="28997"/>
    <cellStyle name="Normal 4 2 2 2 6 3 5" xfId="12864"/>
    <cellStyle name="Normal 4 2 2 2 6 3 5 2" xfId="28998"/>
    <cellStyle name="Normal 4 2 2 2 6 3 6" xfId="12865"/>
    <cellStyle name="Normal 4 2 2 2 6 3 6 2" xfId="28999"/>
    <cellStyle name="Normal 4 2 2 2 6 3 7" xfId="12866"/>
    <cellStyle name="Normal 4 2 2 2 6 3 7 2" xfId="29000"/>
    <cellStyle name="Normal 4 2 2 2 6 3 8" xfId="12867"/>
    <cellStyle name="Normal 4 2 2 2 6 3 8 2" xfId="29001"/>
    <cellStyle name="Normal 4 2 2 2 6 3 9" xfId="12868"/>
    <cellStyle name="Normal 4 2 2 2 6 3 9 2" xfId="29002"/>
    <cellStyle name="Normal 4 2 2 2 6 4" xfId="12869"/>
    <cellStyle name="Normal 4 2 2 2 6 4 2" xfId="29003"/>
    <cellStyle name="Normal 4 2 2 2 6 5" xfId="12870"/>
    <cellStyle name="Normal 4 2 2 2 6 5 2" xfId="29004"/>
    <cellStyle name="Normal 4 2 2 2 6 6" xfId="12871"/>
    <cellStyle name="Normal 4 2 2 2 6 6 2" xfId="29005"/>
    <cellStyle name="Normal 4 2 2 2 6 7" xfId="12872"/>
    <cellStyle name="Normal 4 2 2 2 6 7 2" xfId="29006"/>
    <cellStyle name="Normal 4 2 2 2 6 8" xfId="12873"/>
    <cellStyle name="Normal 4 2 2 2 6 8 2" xfId="29007"/>
    <cellStyle name="Normal 4 2 2 2 6 9" xfId="12874"/>
    <cellStyle name="Normal 4 2 2 2 6 9 2" xfId="29008"/>
    <cellStyle name="Normal 4 2 2 2 7" xfId="827"/>
    <cellStyle name="Normal 4 2 2 2 7 10" xfId="12875"/>
    <cellStyle name="Normal 4 2 2 2 7 10 2" xfId="29009"/>
    <cellStyle name="Normal 4 2 2 2 7 11" xfId="4755"/>
    <cellStyle name="Normal 4 2 2 2 7 11 2" xfId="20917"/>
    <cellStyle name="Normal 4 2 2 2 7 12" xfId="19198"/>
    <cellStyle name="Normal 4 2 2 2 7 2" xfId="12876"/>
    <cellStyle name="Normal 4 2 2 2 7 2 2" xfId="29010"/>
    <cellStyle name="Normal 4 2 2 2 7 3" xfId="12877"/>
    <cellStyle name="Normal 4 2 2 2 7 3 2" xfId="29011"/>
    <cellStyle name="Normal 4 2 2 2 7 4" xfId="12878"/>
    <cellStyle name="Normal 4 2 2 2 7 4 2" xfId="29012"/>
    <cellStyle name="Normal 4 2 2 2 7 5" xfId="12879"/>
    <cellStyle name="Normal 4 2 2 2 7 5 2" xfId="29013"/>
    <cellStyle name="Normal 4 2 2 2 7 6" xfId="12880"/>
    <cellStyle name="Normal 4 2 2 2 7 6 2" xfId="29014"/>
    <cellStyle name="Normal 4 2 2 2 7 7" xfId="12881"/>
    <cellStyle name="Normal 4 2 2 2 7 7 2" xfId="29015"/>
    <cellStyle name="Normal 4 2 2 2 7 8" xfId="12882"/>
    <cellStyle name="Normal 4 2 2 2 7 8 2" xfId="29016"/>
    <cellStyle name="Normal 4 2 2 2 7 9" xfId="12883"/>
    <cellStyle name="Normal 4 2 2 2 7 9 2" xfId="29017"/>
    <cellStyle name="Normal 4 2 2 2 8" xfId="3003"/>
    <cellStyle name="Normal 4 2 2 2 8 10" xfId="12884"/>
    <cellStyle name="Normal 4 2 2 2 8 10 2" xfId="29018"/>
    <cellStyle name="Normal 4 2 2 2 8 11" xfId="6888"/>
    <cellStyle name="Normal 4 2 2 2 8 11 2" xfId="23050"/>
    <cellStyle name="Normal 4 2 2 2 8 12" xfId="19863"/>
    <cellStyle name="Normal 4 2 2 2 8 2" xfId="12885"/>
    <cellStyle name="Normal 4 2 2 2 8 2 2" xfId="29019"/>
    <cellStyle name="Normal 4 2 2 2 8 3" xfId="12886"/>
    <cellStyle name="Normal 4 2 2 2 8 3 2" xfId="29020"/>
    <cellStyle name="Normal 4 2 2 2 8 4" xfId="12887"/>
    <cellStyle name="Normal 4 2 2 2 8 4 2" xfId="29021"/>
    <cellStyle name="Normal 4 2 2 2 8 5" xfId="12888"/>
    <cellStyle name="Normal 4 2 2 2 8 5 2" xfId="29022"/>
    <cellStyle name="Normal 4 2 2 2 8 6" xfId="12889"/>
    <cellStyle name="Normal 4 2 2 2 8 6 2" xfId="29023"/>
    <cellStyle name="Normal 4 2 2 2 8 7" xfId="12890"/>
    <cellStyle name="Normal 4 2 2 2 8 7 2" xfId="29024"/>
    <cellStyle name="Normal 4 2 2 2 8 8" xfId="12891"/>
    <cellStyle name="Normal 4 2 2 2 8 8 2" xfId="29025"/>
    <cellStyle name="Normal 4 2 2 2 8 9" xfId="12892"/>
    <cellStyle name="Normal 4 2 2 2 8 9 2" xfId="29026"/>
    <cellStyle name="Normal 4 2 2 2 9" xfId="12893"/>
    <cellStyle name="Normal 4 2 2 2 9 2" xfId="29027"/>
    <cellStyle name="Normal 4 2 2 20" xfId="12894"/>
    <cellStyle name="Normal 4 2 2 20 2" xfId="29028"/>
    <cellStyle name="Normal 4 2 2 21" xfId="12895"/>
    <cellStyle name="Normal 4 2 2 21 2" xfId="29029"/>
    <cellStyle name="Normal 4 2 2 22" xfId="12896"/>
    <cellStyle name="Normal 4 2 2 22 2" xfId="29030"/>
    <cellStyle name="Normal 4 2 2 23" xfId="12897"/>
    <cellStyle name="Normal 4 2 2 23 2" xfId="29031"/>
    <cellStyle name="Normal 4 2 2 24" xfId="12898"/>
    <cellStyle name="Normal 4 2 2 24 2" xfId="29032"/>
    <cellStyle name="Normal 4 2 2 25" xfId="12899"/>
    <cellStyle name="Normal 4 2 2 25 2" xfId="29033"/>
    <cellStyle name="Normal 4 2 2 26" xfId="12900"/>
    <cellStyle name="Normal 4 2 2 26 2" xfId="29034"/>
    <cellStyle name="Normal 4 2 2 27" xfId="6855"/>
    <cellStyle name="Normal 4 2 2 27 2" xfId="23017"/>
    <cellStyle name="Normal 4 2 2 3" xfId="3005"/>
    <cellStyle name="Normal 4 2 2 3 10" xfId="12901"/>
    <cellStyle name="Normal 4 2 2 3 10 2" xfId="29035"/>
    <cellStyle name="Normal 4 2 2 3 11" xfId="12902"/>
    <cellStyle name="Normal 4 2 2 3 11 2" xfId="29036"/>
    <cellStyle name="Normal 4 2 2 3 12" xfId="12903"/>
    <cellStyle name="Normal 4 2 2 3 12 2" xfId="29037"/>
    <cellStyle name="Normal 4 2 2 3 13" xfId="12904"/>
    <cellStyle name="Normal 4 2 2 3 13 2" xfId="29038"/>
    <cellStyle name="Normal 4 2 2 3 14" xfId="12905"/>
    <cellStyle name="Normal 4 2 2 3 14 2" xfId="29039"/>
    <cellStyle name="Normal 4 2 2 3 15" xfId="12906"/>
    <cellStyle name="Normal 4 2 2 3 15 2" xfId="29040"/>
    <cellStyle name="Normal 4 2 2 3 16" xfId="12907"/>
    <cellStyle name="Normal 4 2 2 3 16 2" xfId="29041"/>
    <cellStyle name="Normal 4 2 2 3 17" xfId="12908"/>
    <cellStyle name="Normal 4 2 2 3 17 2" xfId="29042"/>
    <cellStyle name="Normal 4 2 2 3 18" xfId="6890"/>
    <cellStyle name="Normal 4 2 2 3 18 2" xfId="23052"/>
    <cellStyle name="Normal 4 2 2 3 2" xfId="3006"/>
    <cellStyle name="Normal 4 2 2 3 2 2" xfId="6892"/>
    <cellStyle name="Normal 4 2 2 3 2 2 2" xfId="23054"/>
    <cellStyle name="Normal 4 2 2 3 3" xfId="118"/>
    <cellStyle name="Normal 4 2 2 3 3 2" xfId="4061"/>
    <cellStyle name="Normal 4 2 2 3 3 2 2" xfId="20224"/>
    <cellStyle name="Normal 4 2 2 3 4" xfId="3007"/>
    <cellStyle name="Normal 4 2 2 3 4 2" xfId="6893"/>
    <cellStyle name="Normal 4 2 2 3 4 2 2" xfId="23055"/>
    <cellStyle name="Normal 4 2 2 3 5" xfId="3008"/>
    <cellStyle name="Normal 4 2 2 3 5 2" xfId="6894"/>
    <cellStyle name="Normal 4 2 2 3 5 2 2" xfId="23056"/>
    <cellStyle name="Normal 4 2 2 3 6" xfId="3009"/>
    <cellStyle name="Normal 4 2 2 3 6 2" xfId="6895"/>
    <cellStyle name="Normal 4 2 2 3 6 2 2" xfId="23057"/>
    <cellStyle name="Normal 4 2 2 3 7" xfId="3010"/>
    <cellStyle name="Normal 4 2 2 3 7 2" xfId="6896"/>
    <cellStyle name="Normal 4 2 2 3 7 2 2" xfId="23058"/>
    <cellStyle name="Normal 4 2 2 3 8" xfId="3012"/>
    <cellStyle name="Normal 4 2 2 3 8 2" xfId="6897"/>
    <cellStyle name="Normal 4 2 2 3 8 2 2" xfId="23059"/>
    <cellStyle name="Normal 4 2 2 3 9" xfId="12909"/>
    <cellStyle name="Normal 4 2 2 3 9 2" xfId="29043"/>
    <cellStyle name="Normal 4 2 2 4" xfId="3014"/>
    <cellStyle name="Normal 4 2 2 4 10" xfId="12910"/>
    <cellStyle name="Normal 4 2 2 4 10 2" xfId="29044"/>
    <cellStyle name="Normal 4 2 2 4 11" xfId="12911"/>
    <cellStyle name="Normal 4 2 2 4 11 2" xfId="29045"/>
    <cellStyle name="Normal 4 2 2 4 12" xfId="12912"/>
    <cellStyle name="Normal 4 2 2 4 12 2" xfId="29046"/>
    <cellStyle name="Normal 4 2 2 4 13" xfId="12913"/>
    <cellStyle name="Normal 4 2 2 4 13 2" xfId="29047"/>
    <cellStyle name="Normal 4 2 2 4 14" xfId="12914"/>
    <cellStyle name="Normal 4 2 2 4 14 2" xfId="29048"/>
    <cellStyle name="Normal 4 2 2 4 15" xfId="12915"/>
    <cellStyle name="Normal 4 2 2 4 15 2" xfId="29049"/>
    <cellStyle name="Normal 4 2 2 4 16" xfId="12916"/>
    <cellStyle name="Normal 4 2 2 4 16 2" xfId="29050"/>
    <cellStyle name="Normal 4 2 2 4 17" xfId="12917"/>
    <cellStyle name="Normal 4 2 2 4 17 2" xfId="29051"/>
    <cellStyle name="Normal 4 2 2 4 18" xfId="6899"/>
    <cellStyle name="Normal 4 2 2 4 18 2" xfId="23061"/>
    <cellStyle name="Normal 4 2 2 4 2" xfId="1939"/>
    <cellStyle name="Normal 4 2 2 4 2 2" xfId="5845"/>
    <cellStyle name="Normal 4 2 2 4 2 2 2" xfId="22007"/>
    <cellStyle name="Normal 4 2 2 4 3" xfId="3015"/>
    <cellStyle name="Normal 4 2 2 4 3 2" xfId="6901"/>
    <cellStyle name="Normal 4 2 2 4 3 2 2" xfId="23063"/>
    <cellStyle name="Normal 4 2 2 4 4" xfId="3016"/>
    <cellStyle name="Normal 4 2 2 4 4 2" xfId="6902"/>
    <cellStyle name="Normal 4 2 2 4 4 2 2" xfId="23064"/>
    <cellStyle name="Normal 4 2 2 4 5" xfId="3017"/>
    <cellStyle name="Normal 4 2 2 4 5 2" xfId="6903"/>
    <cellStyle name="Normal 4 2 2 4 5 2 2" xfId="23065"/>
    <cellStyle name="Normal 4 2 2 4 6" xfId="3018"/>
    <cellStyle name="Normal 4 2 2 4 6 2" xfId="6904"/>
    <cellStyle name="Normal 4 2 2 4 6 2 2" xfId="23066"/>
    <cellStyle name="Normal 4 2 2 4 7" xfId="3019"/>
    <cellStyle name="Normal 4 2 2 4 7 2" xfId="6905"/>
    <cellStyle name="Normal 4 2 2 4 7 2 2" xfId="23067"/>
    <cellStyle name="Normal 4 2 2 4 8" xfId="3021"/>
    <cellStyle name="Normal 4 2 2 4 8 2" xfId="6906"/>
    <cellStyle name="Normal 4 2 2 4 8 2 2" xfId="23068"/>
    <cellStyle name="Normal 4 2 2 4 9" xfId="12918"/>
    <cellStyle name="Normal 4 2 2 4 9 2" xfId="29052"/>
    <cellStyle name="Normal 4 2 2 5" xfId="3024"/>
    <cellStyle name="Normal 4 2 2 5 10" xfId="12919"/>
    <cellStyle name="Normal 4 2 2 5 10 2" xfId="29053"/>
    <cellStyle name="Normal 4 2 2 5 11" xfId="12920"/>
    <cellStyle name="Normal 4 2 2 5 11 2" xfId="29054"/>
    <cellStyle name="Normal 4 2 2 5 12" xfId="12921"/>
    <cellStyle name="Normal 4 2 2 5 12 2" xfId="29055"/>
    <cellStyle name="Normal 4 2 2 5 13" xfId="12922"/>
    <cellStyle name="Normal 4 2 2 5 13 2" xfId="29056"/>
    <cellStyle name="Normal 4 2 2 5 14" xfId="12923"/>
    <cellStyle name="Normal 4 2 2 5 14 2" xfId="29057"/>
    <cellStyle name="Normal 4 2 2 5 15" xfId="12924"/>
    <cellStyle name="Normal 4 2 2 5 15 2" xfId="29058"/>
    <cellStyle name="Normal 4 2 2 5 16" xfId="12925"/>
    <cellStyle name="Normal 4 2 2 5 16 2" xfId="29059"/>
    <cellStyle name="Normal 4 2 2 5 17" xfId="12926"/>
    <cellStyle name="Normal 4 2 2 5 17 2" xfId="29060"/>
    <cellStyle name="Normal 4 2 2 5 18" xfId="6908"/>
    <cellStyle name="Normal 4 2 2 5 18 2" xfId="23070"/>
    <cellStyle name="Normal 4 2 2 5 2" xfId="2063"/>
    <cellStyle name="Normal 4 2 2 5 2 2" xfId="5967"/>
    <cellStyle name="Normal 4 2 2 5 2 2 2" xfId="22129"/>
    <cellStyle name="Normal 4 2 2 5 3" xfId="3025"/>
    <cellStyle name="Normal 4 2 2 5 3 2" xfId="6911"/>
    <cellStyle name="Normal 4 2 2 5 3 2 2" xfId="23073"/>
    <cellStyle name="Normal 4 2 2 5 4" xfId="3026"/>
    <cellStyle name="Normal 4 2 2 5 4 2" xfId="6912"/>
    <cellStyle name="Normal 4 2 2 5 4 2 2" xfId="23074"/>
    <cellStyle name="Normal 4 2 2 5 5" xfId="3027"/>
    <cellStyle name="Normal 4 2 2 5 5 2" xfId="6913"/>
    <cellStyle name="Normal 4 2 2 5 5 2 2" xfId="23075"/>
    <cellStyle name="Normal 4 2 2 5 6" xfId="3029"/>
    <cellStyle name="Normal 4 2 2 5 6 2" xfId="6914"/>
    <cellStyle name="Normal 4 2 2 5 6 2 2" xfId="23076"/>
    <cellStyle name="Normal 4 2 2 5 7" xfId="3030"/>
    <cellStyle name="Normal 4 2 2 5 7 2" xfId="6915"/>
    <cellStyle name="Normal 4 2 2 5 7 2 2" xfId="23077"/>
    <cellStyle name="Normal 4 2 2 5 8" xfId="3032"/>
    <cellStyle name="Normal 4 2 2 5 8 2" xfId="6916"/>
    <cellStyle name="Normal 4 2 2 5 8 2 2" xfId="23078"/>
    <cellStyle name="Normal 4 2 2 5 9" xfId="12927"/>
    <cellStyle name="Normal 4 2 2 5 9 2" xfId="29061"/>
    <cellStyle name="Normal 4 2 2 6" xfId="3035"/>
    <cellStyle name="Normal 4 2 2 6 10" xfId="12928"/>
    <cellStyle name="Normal 4 2 2 6 10 2" xfId="29062"/>
    <cellStyle name="Normal 4 2 2 6 11" xfId="12929"/>
    <cellStyle name="Normal 4 2 2 6 11 2" xfId="29063"/>
    <cellStyle name="Normal 4 2 2 6 12" xfId="12930"/>
    <cellStyle name="Normal 4 2 2 6 12 2" xfId="29064"/>
    <cellStyle name="Normal 4 2 2 6 13" xfId="12931"/>
    <cellStyle name="Normal 4 2 2 6 13 2" xfId="29065"/>
    <cellStyle name="Normal 4 2 2 6 14" xfId="12932"/>
    <cellStyle name="Normal 4 2 2 6 14 2" xfId="29066"/>
    <cellStyle name="Normal 4 2 2 6 15" xfId="12933"/>
    <cellStyle name="Normal 4 2 2 6 15 2" xfId="29067"/>
    <cellStyle name="Normal 4 2 2 6 16" xfId="12934"/>
    <cellStyle name="Normal 4 2 2 6 16 2" xfId="29068"/>
    <cellStyle name="Normal 4 2 2 6 17" xfId="12935"/>
    <cellStyle name="Normal 4 2 2 6 17 2" xfId="29069"/>
    <cellStyle name="Normal 4 2 2 6 18" xfId="6918"/>
    <cellStyle name="Normal 4 2 2 6 18 2" xfId="23080"/>
    <cellStyle name="Normal 4 2 2 6 2" xfId="3036"/>
    <cellStyle name="Normal 4 2 2 6 2 2" xfId="6921"/>
    <cellStyle name="Normal 4 2 2 6 2 2 2" xfId="23083"/>
    <cellStyle name="Normal 4 2 2 6 3" xfId="3037"/>
    <cellStyle name="Normal 4 2 2 6 3 2" xfId="6922"/>
    <cellStyle name="Normal 4 2 2 6 3 2 2" xfId="23084"/>
    <cellStyle name="Normal 4 2 2 6 4" xfId="3038"/>
    <cellStyle name="Normal 4 2 2 6 4 2" xfId="6923"/>
    <cellStyle name="Normal 4 2 2 6 4 2 2" xfId="23085"/>
    <cellStyle name="Normal 4 2 2 6 5" xfId="3039"/>
    <cellStyle name="Normal 4 2 2 6 5 2" xfId="6924"/>
    <cellStyle name="Normal 4 2 2 6 5 2 2" xfId="23086"/>
    <cellStyle name="Normal 4 2 2 6 6" xfId="3040"/>
    <cellStyle name="Normal 4 2 2 6 6 2" xfId="6925"/>
    <cellStyle name="Normal 4 2 2 6 6 2 2" xfId="23087"/>
    <cellStyle name="Normal 4 2 2 6 7" xfId="3041"/>
    <cellStyle name="Normal 4 2 2 6 7 2" xfId="6926"/>
    <cellStyle name="Normal 4 2 2 6 7 2 2" xfId="23088"/>
    <cellStyle name="Normal 4 2 2 6 8" xfId="3043"/>
    <cellStyle name="Normal 4 2 2 6 8 2" xfId="6927"/>
    <cellStyle name="Normal 4 2 2 6 8 2 2" xfId="23089"/>
    <cellStyle name="Normal 4 2 2 6 9" xfId="12936"/>
    <cellStyle name="Normal 4 2 2 6 9 2" xfId="29070"/>
    <cellStyle name="Normal 4 2 2 7" xfId="3044"/>
    <cellStyle name="Normal 4 2 2 7 10" xfId="12937"/>
    <cellStyle name="Normal 4 2 2 7 10 2" xfId="29071"/>
    <cellStyle name="Normal 4 2 2 7 11" xfId="12938"/>
    <cellStyle name="Normal 4 2 2 7 11 2" xfId="29072"/>
    <cellStyle name="Normal 4 2 2 7 12" xfId="12939"/>
    <cellStyle name="Normal 4 2 2 7 12 2" xfId="29073"/>
    <cellStyle name="Normal 4 2 2 7 13" xfId="12940"/>
    <cellStyle name="Normal 4 2 2 7 13 2" xfId="29074"/>
    <cellStyle name="Normal 4 2 2 7 14" xfId="12941"/>
    <cellStyle name="Normal 4 2 2 7 14 2" xfId="29075"/>
    <cellStyle name="Normal 4 2 2 7 15" xfId="12942"/>
    <cellStyle name="Normal 4 2 2 7 15 2" xfId="29076"/>
    <cellStyle name="Normal 4 2 2 7 16" xfId="12943"/>
    <cellStyle name="Normal 4 2 2 7 16 2" xfId="29077"/>
    <cellStyle name="Normal 4 2 2 7 17" xfId="12944"/>
    <cellStyle name="Normal 4 2 2 7 17 2" xfId="29078"/>
    <cellStyle name="Normal 4 2 2 7 18" xfId="6929"/>
    <cellStyle name="Normal 4 2 2 7 18 2" xfId="23091"/>
    <cellStyle name="Normal 4 2 2 7 2" xfId="1412"/>
    <cellStyle name="Normal 4 2 2 7 2 2" xfId="5330"/>
    <cellStyle name="Normal 4 2 2 7 2 2 2" xfId="21492"/>
    <cellStyle name="Normal 4 2 2 7 3" xfId="1415"/>
    <cellStyle name="Normal 4 2 2 7 3 2" xfId="5333"/>
    <cellStyle name="Normal 4 2 2 7 3 2 2" xfId="21495"/>
    <cellStyle name="Normal 4 2 2 7 4" xfId="1417"/>
    <cellStyle name="Normal 4 2 2 7 4 2" xfId="5335"/>
    <cellStyle name="Normal 4 2 2 7 4 2 2" xfId="21497"/>
    <cellStyle name="Normal 4 2 2 7 5" xfId="1419"/>
    <cellStyle name="Normal 4 2 2 7 5 2" xfId="5337"/>
    <cellStyle name="Normal 4 2 2 7 5 2 2" xfId="21499"/>
    <cellStyle name="Normal 4 2 2 7 6" xfId="1421"/>
    <cellStyle name="Normal 4 2 2 7 6 2" xfId="5339"/>
    <cellStyle name="Normal 4 2 2 7 6 2 2" xfId="21501"/>
    <cellStyle name="Normal 4 2 2 7 7" xfId="997"/>
    <cellStyle name="Normal 4 2 2 7 7 2" xfId="4917"/>
    <cellStyle name="Normal 4 2 2 7 7 2 2" xfId="21079"/>
    <cellStyle name="Normal 4 2 2 7 8" xfId="3046"/>
    <cellStyle name="Normal 4 2 2 7 8 2" xfId="6930"/>
    <cellStyle name="Normal 4 2 2 7 8 2 2" xfId="23092"/>
    <cellStyle name="Normal 4 2 2 7 9" xfId="12945"/>
    <cellStyle name="Normal 4 2 2 7 9 2" xfId="29079"/>
    <cellStyle name="Normal 4 2 2 8" xfId="3048"/>
    <cellStyle name="Normal 4 2 2 8 10" xfId="12946"/>
    <cellStyle name="Normal 4 2 2 8 10 2" xfId="29080"/>
    <cellStyle name="Normal 4 2 2 8 11" xfId="12947"/>
    <cellStyle name="Normal 4 2 2 8 11 2" xfId="29081"/>
    <cellStyle name="Normal 4 2 2 8 12" xfId="12948"/>
    <cellStyle name="Normal 4 2 2 8 12 2" xfId="29082"/>
    <cellStyle name="Normal 4 2 2 8 13" xfId="12949"/>
    <cellStyle name="Normal 4 2 2 8 13 2" xfId="29083"/>
    <cellStyle name="Normal 4 2 2 8 14" xfId="12950"/>
    <cellStyle name="Normal 4 2 2 8 14 2" xfId="29084"/>
    <cellStyle name="Normal 4 2 2 8 15" xfId="12951"/>
    <cellStyle name="Normal 4 2 2 8 15 2" xfId="29085"/>
    <cellStyle name="Normal 4 2 2 8 16" xfId="12952"/>
    <cellStyle name="Normal 4 2 2 8 16 2" xfId="29086"/>
    <cellStyle name="Normal 4 2 2 8 17" xfId="12953"/>
    <cellStyle name="Normal 4 2 2 8 17 2" xfId="29087"/>
    <cellStyle name="Normal 4 2 2 8 18" xfId="6932"/>
    <cellStyle name="Normal 4 2 2 8 18 2" xfId="23094"/>
    <cellStyle name="Normal 4 2 2 8 2" xfId="3049"/>
    <cellStyle name="Normal 4 2 2 8 2 2" xfId="6934"/>
    <cellStyle name="Normal 4 2 2 8 2 2 2" xfId="23096"/>
    <cellStyle name="Normal 4 2 2 8 3" xfId="3050"/>
    <cellStyle name="Normal 4 2 2 8 3 2" xfId="6935"/>
    <cellStyle name="Normal 4 2 2 8 3 2 2" xfId="23097"/>
    <cellStyle name="Normal 4 2 2 8 4" xfId="3051"/>
    <cellStyle name="Normal 4 2 2 8 4 2" xfId="6936"/>
    <cellStyle name="Normal 4 2 2 8 4 2 2" xfId="23098"/>
    <cellStyle name="Normal 4 2 2 8 5" xfId="3052"/>
    <cellStyle name="Normal 4 2 2 8 5 2" xfId="6937"/>
    <cellStyle name="Normal 4 2 2 8 5 2 2" xfId="23099"/>
    <cellStyle name="Normal 4 2 2 8 6" xfId="2911"/>
    <cellStyle name="Normal 4 2 2 8 6 2" xfId="6798"/>
    <cellStyle name="Normal 4 2 2 8 6 2 2" xfId="22960"/>
    <cellStyle name="Normal 4 2 2 8 7" xfId="3053"/>
    <cellStyle name="Normal 4 2 2 8 7 2" xfId="6938"/>
    <cellStyle name="Normal 4 2 2 8 7 2 2" xfId="23100"/>
    <cellStyle name="Normal 4 2 2 8 8" xfId="3055"/>
    <cellStyle name="Normal 4 2 2 8 8 2" xfId="6939"/>
    <cellStyle name="Normal 4 2 2 8 8 2 2" xfId="23101"/>
    <cellStyle name="Normal 4 2 2 8 9" xfId="12954"/>
    <cellStyle name="Normal 4 2 2 8 9 2" xfId="29088"/>
    <cellStyle name="Normal 4 2 2 9" xfId="2278"/>
    <cellStyle name="Normal 4 2 2 9 10" xfId="12955"/>
    <cellStyle name="Normal 4 2 2 9 10 2" xfId="29089"/>
    <cellStyle name="Normal 4 2 2 9 11" xfId="12956"/>
    <cellStyle name="Normal 4 2 2 9 11 2" xfId="29090"/>
    <cellStyle name="Normal 4 2 2 9 12" xfId="12957"/>
    <cellStyle name="Normal 4 2 2 9 12 2" xfId="29091"/>
    <cellStyle name="Normal 4 2 2 9 13" xfId="12958"/>
    <cellStyle name="Normal 4 2 2 9 13 2" xfId="29092"/>
    <cellStyle name="Normal 4 2 2 9 14" xfId="12959"/>
    <cellStyle name="Normal 4 2 2 9 14 2" xfId="29093"/>
    <cellStyle name="Normal 4 2 2 9 15" xfId="12960"/>
    <cellStyle name="Normal 4 2 2 9 15 2" xfId="29094"/>
    <cellStyle name="Normal 4 2 2 9 16" xfId="12961"/>
    <cellStyle name="Normal 4 2 2 9 16 2" xfId="29095"/>
    <cellStyle name="Normal 4 2 2 9 17" xfId="12962"/>
    <cellStyle name="Normal 4 2 2 9 17 2" xfId="29096"/>
    <cellStyle name="Normal 4 2 2 9 18" xfId="6178"/>
    <cellStyle name="Normal 4 2 2 9 18 2" xfId="22340"/>
    <cellStyle name="Normal 4 2 2 9 2" xfId="3056"/>
    <cellStyle name="Normal 4 2 2 9 2 2" xfId="6941"/>
    <cellStyle name="Normal 4 2 2 9 2 2 2" xfId="23103"/>
    <cellStyle name="Normal 4 2 2 9 3" xfId="3057"/>
    <cellStyle name="Normal 4 2 2 9 3 2" xfId="6942"/>
    <cellStyle name="Normal 4 2 2 9 3 2 2" xfId="23104"/>
    <cellStyle name="Normal 4 2 2 9 4" xfId="3058"/>
    <cellStyle name="Normal 4 2 2 9 4 2" xfId="6943"/>
    <cellStyle name="Normal 4 2 2 9 4 2 2" xfId="23105"/>
    <cellStyle name="Normal 4 2 2 9 5" xfId="3059"/>
    <cellStyle name="Normal 4 2 2 9 5 2" xfId="6944"/>
    <cellStyle name="Normal 4 2 2 9 5 2 2" xfId="23106"/>
    <cellStyle name="Normal 4 2 2 9 6" xfId="3060"/>
    <cellStyle name="Normal 4 2 2 9 6 2" xfId="6945"/>
    <cellStyle name="Normal 4 2 2 9 6 2 2" xfId="23107"/>
    <cellStyle name="Normal 4 2 2 9 7" xfId="3061"/>
    <cellStyle name="Normal 4 2 2 9 7 2" xfId="6946"/>
    <cellStyle name="Normal 4 2 2 9 7 2 2" xfId="23108"/>
    <cellStyle name="Normal 4 2 2 9 8" xfId="3062"/>
    <cellStyle name="Normal 4 2 2 9 8 2" xfId="6947"/>
    <cellStyle name="Normal 4 2 2 9 8 2 2" xfId="23109"/>
    <cellStyle name="Normal 4 2 2 9 9" xfId="12963"/>
    <cellStyle name="Normal 4 2 2 9 9 2" xfId="29097"/>
    <cellStyle name="Normal 4 2 2_Achampally-Gattubuthkur-Ganga-CRR" xfId="3064"/>
    <cellStyle name="Normal 4 2 20" xfId="12964"/>
    <cellStyle name="Normal 4 2 20 2" xfId="29098"/>
    <cellStyle name="Normal 4 2 21" xfId="12965"/>
    <cellStyle name="Normal 4 2 21 2" xfId="29099"/>
    <cellStyle name="Normal 4 2 22" xfId="12966"/>
    <cellStyle name="Normal 4 2 22 2" xfId="29100"/>
    <cellStyle name="Normal 4 2 23" xfId="12967"/>
    <cellStyle name="Normal 4 2 23 2" xfId="29101"/>
    <cellStyle name="Normal 4 2 24" xfId="12968"/>
    <cellStyle name="Normal 4 2 24 2" xfId="29102"/>
    <cellStyle name="Normal 4 2 25" xfId="12969"/>
    <cellStyle name="Normal 4 2 25 2" xfId="29103"/>
    <cellStyle name="Normal 4 2 26" xfId="12970"/>
    <cellStyle name="Normal 4 2 26 2" xfId="29104"/>
    <cellStyle name="Normal 4 2 27" xfId="12971"/>
    <cellStyle name="Normal 4 2 27 2" xfId="29105"/>
    <cellStyle name="Normal 4 2 28" xfId="6512"/>
    <cellStyle name="Normal 4 2 28 2" xfId="22674"/>
    <cellStyle name="Normal 4 2 3" xfId="1256"/>
    <cellStyle name="Normal 4 2 3 10" xfId="12972"/>
    <cellStyle name="Normal 4 2 3 10 2" xfId="29106"/>
    <cellStyle name="Normal 4 2 3 11" xfId="12973"/>
    <cellStyle name="Normal 4 2 3 11 2" xfId="29107"/>
    <cellStyle name="Normal 4 2 3 12" xfId="12974"/>
    <cellStyle name="Normal 4 2 3 12 2" xfId="29108"/>
    <cellStyle name="Normal 4 2 3 13" xfId="12975"/>
    <cellStyle name="Normal 4 2 3 13 2" xfId="29109"/>
    <cellStyle name="Normal 4 2 3 14" xfId="12976"/>
    <cellStyle name="Normal 4 2 3 14 2" xfId="29110"/>
    <cellStyle name="Normal 4 2 3 15" xfId="12977"/>
    <cellStyle name="Normal 4 2 3 15 2" xfId="29111"/>
    <cellStyle name="Normal 4 2 3 16" xfId="12978"/>
    <cellStyle name="Normal 4 2 3 16 2" xfId="29112"/>
    <cellStyle name="Normal 4 2 3 17" xfId="12979"/>
    <cellStyle name="Normal 4 2 3 17 2" xfId="29113"/>
    <cellStyle name="Normal 4 2 3 18" xfId="5176"/>
    <cellStyle name="Normal 4 2 3 18 2" xfId="21338"/>
    <cellStyle name="Normal 4 2 3 19" xfId="19379"/>
    <cellStyle name="Normal 4 2 3 2" xfId="3065"/>
    <cellStyle name="Normal 4 2 3 2 10" xfId="12980"/>
    <cellStyle name="Normal 4 2 3 2 10 2" xfId="29114"/>
    <cellStyle name="Normal 4 2 3 2 11" xfId="12981"/>
    <cellStyle name="Normal 4 2 3 2 11 2" xfId="29115"/>
    <cellStyle name="Normal 4 2 3 2 12" xfId="12982"/>
    <cellStyle name="Normal 4 2 3 2 12 2" xfId="29116"/>
    <cellStyle name="Normal 4 2 3 2 13" xfId="6949"/>
    <cellStyle name="Normal 4 2 3 2 13 2" xfId="23111"/>
    <cellStyle name="Normal 4 2 3 2 14" xfId="19866"/>
    <cellStyle name="Normal 4 2 3 2 2" xfId="1572"/>
    <cellStyle name="Normal 4 2 3 2 2 10" xfId="12983"/>
    <cellStyle name="Normal 4 2 3 2 2 10 2" xfId="29117"/>
    <cellStyle name="Normal 4 2 3 2 2 11" xfId="5489"/>
    <cellStyle name="Normal 4 2 3 2 2 11 2" xfId="21651"/>
    <cellStyle name="Normal 4 2 3 2 2 12" xfId="19555"/>
    <cellStyle name="Normal 4 2 3 2 2 2" xfId="12984"/>
    <cellStyle name="Normal 4 2 3 2 2 2 2" xfId="29118"/>
    <cellStyle name="Normal 4 2 3 2 2 3" xfId="12985"/>
    <cellStyle name="Normal 4 2 3 2 2 3 2" xfId="29119"/>
    <cellStyle name="Normal 4 2 3 2 2 4" xfId="12986"/>
    <cellStyle name="Normal 4 2 3 2 2 4 2" xfId="29120"/>
    <cellStyle name="Normal 4 2 3 2 2 5" xfId="12987"/>
    <cellStyle name="Normal 4 2 3 2 2 5 2" xfId="29121"/>
    <cellStyle name="Normal 4 2 3 2 2 6" xfId="12988"/>
    <cellStyle name="Normal 4 2 3 2 2 6 2" xfId="29122"/>
    <cellStyle name="Normal 4 2 3 2 2 7" xfId="12989"/>
    <cellStyle name="Normal 4 2 3 2 2 7 2" xfId="29123"/>
    <cellStyle name="Normal 4 2 3 2 2 8" xfId="12990"/>
    <cellStyle name="Normal 4 2 3 2 2 8 2" xfId="29124"/>
    <cellStyle name="Normal 4 2 3 2 2 9" xfId="12991"/>
    <cellStyle name="Normal 4 2 3 2 2 9 2" xfId="29125"/>
    <cellStyle name="Normal 4 2 3 2 3" xfId="3066"/>
    <cellStyle name="Normal 4 2 3 2 3 10" xfId="12992"/>
    <cellStyle name="Normal 4 2 3 2 3 10 2" xfId="29126"/>
    <cellStyle name="Normal 4 2 3 2 3 11" xfId="6950"/>
    <cellStyle name="Normal 4 2 3 2 3 11 2" xfId="23112"/>
    <cellStyle name="Normal 4 2 3 2 3 12" xfId="19867"/>
    <cellStyle name="Normal 4 2 3 2 3 2" xfId="12993"/>
    <cellStyle name="Normal 4 2 3 2 3 2 2" xfId="29127"/>
    <cellStyle name="Normal 4 2 3 2 3 3" xfId="12994"/>
    <cellStyle name="Normal 4 2 3 2 3 3 2" xfId="29128"/>
    <cellStyle name="Normal 4 2 3 2 3 4" xfId="12995"/>
    <cellStyle name="Normal 4 2 3 2 3 4 2" xfId="29129"/>
    <cellStyle name="Normal 4 2 3 2 3 5" xfId="12996"/>
    <cellStyle name="Normal 4 2 3 2 3 5 2" xfId="29130"/>
    <cellStyle name="Normal 4 2 3 2 3 6" xfId="12997"/>
    <cellStyle name="Normal 4 2 3 2 3 6 2" xfId="29131"/>
    <cellStyle name="Normal 4 2 3 2 3 7" xfId="12998"/>
    <cellStyle name="Normal 4 2 3 2 3 7 2" xfId="29132"/>
    <cellStyle name="Normal 4 2 3 2 3 8" xfId="12999"/>
    <cellStyle name="Normal 4 2 3 2 3 8 2" xfId="29133"/>
    <cellStyle name="Normal 4 2 3 2 3 9" xfId="13000"/>
    <cellStyle name="Normal 4 2 3 2 3 9 2" xfId="29134"/>
    <cellStyle name="Normal 4 2 3 2 4" xfId="13001"/>
    <cellStyle name="Normal 4 2 3 2 4 2" xfId="29135"/>
    <cellStyle name="Normal 4 2 3 2 5" xfId="13002"/>
    <cellStyle name="Normal 4 2 3 2 5 2" xfId="29136"/>
    <cellStyle name="Normal 4 2 3 2 6" xfId="13003"/>
    <cellStyle name="Normal 4 2 3 2 6 2" xfId="29137"/>
    <cellStyle name="Normal 4 2 3 2 7" xfId="13004"/>
    <cellStyle name="Normal 4 2 3 2 7 2" xfId="29138"/>
    <cellStyle name="Normal 4 2 3 2 8" xfId="13005"/>
    <cellStyle name="Normal 4 2 3 2 8 2" xfId="29139"/>
    <cellStyle name="Normal 4 2 3 2 9" xfId="13006"/>
    <cellStyle name="Normal 4 2 3 2 9 2" xfId="29140"/>
    <cellStyle name="Normal 4 2 3 3" xfId="3067"/>
    <cellStyle name="Normal 4 2 3 3 10" xfId="13007"/>
    <cellStyle name="Normal 4 2 3 3 10 2" xfId="29141"/>
    <cellStyle name="Normal 4 2 3 3 11" xfId="13008"/>
    <cellStyle name="Normal 4 2 3 3 11 2" xfId="29142"/>
    <cellStyle name="Normal 4 2 3 3 12" xfId="13009"/>
    <cellStyle name="Normal 4 2 3 3 12 2" xfId="29143"/>
    <cellStyle name="Normal 4 2 3 3 13" xfId="6951"/>
    <cellStyle name="Normal 4 2 3 3 13 2" xfId="23113"/>
    <cellStyle name="Normal 4 2 3 3 14" xfId="19868"/>
    <cellStyle name="Normal 4 2 3 3 2" xfId="130"/>
    <cellStyle name="Normal 4 2 3 3 2 10" xfId="13010"/>
    <cellStyle name="Normal 4 2 3 3 2 10 2" xfId="29144"/>
    <cellStyle name="Normal 4 2 3 3 2 11" xfId="4075"/>
    <cellStyle name="Normal 4 2 3 3 2 11 2" xfId="20238"/>
    <cellStyle name="Normal 4 2 3 3 2 12" xfId="18996"/>
    <cellStyle name="Normal 4 2 3 3 2 2" xfId="13011"/>
    <cellStyle name="Normal 4 2 3 3 2 2 2" xfId="29145"/>
    <cellStyle name="Normal 4 2 3 3 2 3" xfId="13012"/>
    <cellStyle name="Normal 4 2 3 3 2 3 2" xfId="29146"/>
    <cellStyle name="Normal 4 2 3 3 2 4" xfId="13013"/>
    <cellStyle name="Normal 4 2 3 3 2 4 2" xfId="29147"/>
    <cellStyle name="Normal 4 2 3 3 2 5" xfId="13014"/>
    <cellStyle name="Normal 4 2 3 3 2 5 2" xfId="29148"/>
    <cellStyle name="Normal 4 2 3 3 2 6" xfId="13015"/>
    <cellStyle name="Normal 4 2 3 3 2 6 2" xfId="29149"/>
    <cellStyle name="Normal 4 2 3 3 2 7" xfId="13016"/>
    <cellStyle name="Normal 4 2 3 3 2 7 2" xfId="29150"/>
    <cellStyle name="Normal 4 2 3 3 2 8" xfId="13017"/>
    <cellStyle name="Normal 4 2 3 3 2 8 2" xfId="29151"/>
    <cellStyle name="Normal 4 2 3 3 2 9" xfId="13018"/>
    <cellStyle name="Normal 4 2 3 3 2 9 2" xfId="29152"/>
    <cellStyle name="Normal 4 2 3 3 3" xfId="3068"/>
    <cellStyle name="Normal 4 2 3 3 3 10" xfId="13019"/>
    <cellStyle name="Normal 4 2 3 3 3 10 2" xfId="29153"/>
    <cellStyle name="Normal 4 2 3 3 3 11" xfId="6952"/>
    <cellStyle name="Normal 4 2 3 3 3 11 2" xfId="23114"/>
    <cellStyle name="Normal 4 2 3 3 3 12" xfId="19869"/>
    <cellStyle name="Normal 4 2 3 3 3 2" xfId="13020"/>
    <cellStyle name="Normal 4 2 3 3 3 2 2" xfId="29154"/>
    <cellStyle name="Normal 4 2 3 3 3 3" xfId="13021"/>
    <cellStyle name="Normal 4 2 3 3 3 3 2" xfId="29155"/>
    <cellStyle name="Normal 4 2 3 3 3 4" xfId="13022"/>
    <cellStyle name="Normal 4 2 3 3 3 4 2" xfId="29156"/>
    <cellStyle name="Normal 4 2 3 3 3 5" xfId="13023"/>
    <cellStyle name="Normal 4 2 3 3 3 5 2" xfId="29157"/>
    <cellStyle name="Normal 4 2 3 3 3 6" xfId="13024"/>
    <cellStyle name="Normal 4 2 3 3 3 6 2" xfId="29158"/>
    <cellStyle name="Normal 4 2 3 3 3 7" xfId="13025"/>
    <cellStyle name="Normal 4 2 3 3 3 7 2" xfId="29159"/>
    <cellStyle name="Normal 4 2 3 3 3 8" xfId="13026"/>
    <cellStyle name="Normal 4 2 3 3 3 8 2" xfId="29160"/>
    <cellStyle name="Normal 4 2 3 3 3 9" xfId="13027"/>
    <cellStyle name="Normal 4 2 3 3 3 9 2" xfId="29161"/>
    <cellStyle name="Normal 4 2 3 3 4" xfId="13028"/>
    <cellStyle name="Normal 4 2 3 3 4 2" xfId="29162"/>
    <cellStyle name="Normal 4 2 3 3 5" xfId="13029"/>
    <cellStyle name="Normal 4 2 3 3 5 2" xfId="29163"/>
    <cellStyle name="Normal 4 2 3 3 6" xfId="13030"/>
    <cellStyle name="Normal 4 2 3 3 6 2" xfId="29164"/>
    <cellStyle name="Normal 4 2 3 3 7" xfId="13031"/>
    <cellStyle name="Normal 4 2 3 3 7 2" xfId="29165"/>
    <cellStyle name="Normal 4 2 3 3 8" xfId="13032"/>
    <cellStyle name="Normal 4 2 3 3 8 2" xfId="29166"/>
    <cellStyle name="Normal 4 2 3 3 9" xfId="13033"/>
    <cellStyle name="Normal 4 2 3 3 9 2" xfId="29167"/>
    <cellStyle name="Normal 4 2 3 4" xfId="3069"/>
    <cellStyle name="Normal 4 2 3 4 10" xfId="13034"/>
    <cellStyle name="Normal 4 2 3 4 10 2" xfId="29168"/>
    <cellStyle name="Normal 4 2 3 4 11" xfId="13035"/>
    <cellStyle name="Normal 4 2 3 4 11 2" xfId="29169"/>
    <cellStyle name="Normal 4 2 3 4 12" xfId="13036"/>
    <cellStyle name="Normal 4 2 3 4 12 2" xfId="29170"/>
    <cellStyle name="Normal 4 2 3 4 13" xfId="6953"/>
    <cellStyle name="Normal 4 2 3 4 13 2" xfId="23115"/>
    <cellStyle name="Normal 4 2 3 4 14" xfId="19870"/>
    <cellStyle name="Normal 4 2 3 4 2" xfId="1596"/>
    <cellStyle name="Normal 4 2 3 4 2 10" xfId="13037"/>
    <cellStyle name="Normal 4 2 3 4 2 10 2" xfId="29171"/>
    <cellStyle name="Normal 4 2 3 4 2 11" xfId="5513"/>
    <cellStyle name="Normal 4 2 3 4 2 11 2" xfId="21675"/>
    <cellStyle name="Normal 4 2 3 4 2 12" xfId="19558"/>
    <cellStyle name="Normal 4 2 3 4 2 2" xfId="13038"/>
    <cellStyle name="Normal 4 2 3 4 2 2 2" xfId="29172"/>
    <cellStyle name="Normal 4 2 3 4 2 3" xfId="13039"/>
    <cellStyle name="Normal 4 2 3 4 2 3 2" xfId="29173"/>
    <cellStyle name="Normal 4 2 3 4 2 4" xfId="13040"/>
    <cellStyle name="Normal 4 2 3 4 2 4 2" xfId="29174"/>
    <cellStyle name="Normal 4 2 3 4 2 5" xfId="13041"/>
    <cellStyle name="Normal 4 2 3 4 2 5 2" xfId="29175"/>
    <cellStyle name="Normal 4 2 3 4 2 6" xfId="13042"/>
    <cellStyle name="Normal 4 2 3 4 2 6 2" xfId="29176"/>
    <cellStyle name="Normal 4 2 3 4 2 7" xfId="13043"/>
    <cellStyle name="Normal 4 2 3 4 2 7 2" xfId="29177"/>
    <cellStyle name="Normal 4 2 3 4 2 8" xfId="13044"/>
    <cellStyle name="Normal 4 2 3 4 2 8 2" xfId="29178"/>
    <cellStyle name="Normal 4 2 3 4 2 9" xfId="13045"/>
    <cellStyle name="Normal 4 2 3 4 2 9 2" xfId="29179"/>
    <cellStyle name="Normal 4 2 3 4 3" xfId="3071"/>
    <cellStyle name="Normal 4 2 3 4 3 10" xfId="13046"/>
    <cellStyle name="Normal 4 2 3 4 3 10 2" xfId="29180"/>
    <cellStyle name="Normal 4 2 3 4 3 11" xfId="6954"/>
    <cellStyle name="Normal 4 2 3 4 3 11 2" xfId="23116"/>
    <cellStyle name="Normal 4 2 3 4 3 12" xfId="19871"/>
    <cellStyle name="Normal 4 2 3 4 3 2" xfId="13047"/>
    <cellStyle name="Normal 4 2 3 4 3 2 2" xfId="29181"/>
    <cellStyle name="Normal 4 2 3 4 3 3" xfId="13048"/>
    <cellStyle name="Normal 4 2 3 4 3 3 2" xfId="29182"/>
    <cellStyle name="Normal 4 2 3 4 3 4" xfId="13049"/>
    <cellStyle name="Normal 4 2 3 4 3 4 2" xfId="29183"/>
    <cellStyle name="Normal 4 2 3 4 3 5" xfId="13050"/>
    <cellStyle name="Normal 4 2 3 4 3 5 2" xfId="29184"/>
    <cellStyle name="Normal 4 2 3 4 3 6" xfId="13051"/>
    <cellStyle name="Normal 4 2 3 4 3 6 2" xfId="29185"/>
    <cellStyle name="Normal 4 2 3 4 3 7" xfId="13052"/>
    <cellStyle name="Normal 4 2 3 4 3 7 2" xfId="29186"/>
    <cellStyle name="Normal 4 2 3 4 3 8" xfId="13053"/>
    <cellStyle name="Normal 4 2 3 4 3 8 2" xfId="29187"/>
    <cellStyle name="Normal 4 2 3 4 3 9" xfId="13054"/>
    <cellStyle name="Normal 4 2 3 4 3 9 2" xfId="29188"/>
    <cellStyle name="Normal 4 2 3 4 4" xfId="13055"/>
    <cellStyle name="Normal 4 2 3 4 4 2" xfId="29189"/>
    <cellStyle name="Normal 4 2 3 4 5" xfId="13056"/>
    <cellStyle name="Normal 4 2 3 4 5 2" xfId="29190"/>
    <cellStyle name="Normal 4 2 3 4 6" xfId="13057"/>
    <cellStyle name="Normal 4 2 3 4 6 2" xfId="29191"/>
    <cellStyle name="Normal 4 2 3 4 7" xfId="13058"/>
    <cellStyle name="Normal 4 2 3 4 7 2" xfId="29192"/>
    <cellStyle name="Normal 4 2 3 4 8" xfId="13059"/>
    <cellStyle name="Normal 4 2 3 4 8 2" xfId="29193"/>
    <cellStyle name="Normal 4 2 3 4 9" xfId="13060"/>
    <cellStyle name="Normal 4 2 3 4 9 2" xfId="29194"/>
    <cellStyle name="Normal 4 2 3 5" xfId="3073"/>
    <cellStyle name="Normal 4 2 3 5 10" xfId="13061"/>
    <cellStyle name="Normal 4 2 3 5 10 2" xfId="29195"/>
    <cellStyle name="Normal 4 2 3 5 11" xfId="13062"/>
    <cellStyle name="Normal 4 2 3 5 11 2" xfId="29196"/>
    <cellStyle name="Normal 4 2 3 5 12" xfId="13063"/>
    <cellStyle name="Normal 4 2 3 5 12 2" xfId="29197"/>
    <cellStyle name="Normal 4 2 3 5 13" xfId="6956"/>
    <cellStyle name="Normal 4 2 3 5 13 2" xfId="23118"/>
    <cellStyle name="Normal 4 2 3 5 14" xfId="19873"/>
    <cellStyle name="Normal 4 2 3 5 2" xfId="2943"/>
    <cellStyle name="Normal 4 2 3 5 2 10" xfId="13064"/>
    <cellStyle name="Normal 4 2 3 5 2 10 2" xfId="29198"/>
    <cellStyle name="Normal 4 2 3 5 2 11" xfId="6830"/>
    <cellStyle name="Normal 4 2 3 5 2 11 2" xfId="22992"/>
    <cellStyle name="Normal 4 2 3 5 2 12" xfId="19852"/>
    <cellStyle name="Normal 4 2 3 5 2 2" xfId="13065"/>
    <cellStyle name="Normal 4 2 3 5 2 2 2" xfId="29199"/>
    <cellStyle name="Normal 4 2 3 5 2 3" xfId="13066"/>
    <cellStyle name="Normal 4 2 3 5 2 3 2" xfId="29200"/>
    <cellStyle name="Normal 4 2 3 5 2 4" xfId="13067"/>
    <cellStyle name="Normal 4 2 3 5 2 4 2" xfId="29201"/>
    <cellStyle name="Normal 4 2 3 5 2 5" xfId="13068"/>
    <cellStyle name="Normal 4 2 3 5 2 5 2" xfId="29202"/>
    <cellStyle name="Normal 4 2 3 5 2 6" xfId="13069"/>
    <cellStyle name="Normal 4 2 3 5 2 6 2" xfId="29203"/>
    <cellStyle name="Normal 4 2 3 5 2 7" xfId="13070"/>
    <cellStyle name="Normal 4 2 3 5 2 7 2" xfId="29204"/>
    <cellStyle name="Normal 4 2 3 5 2 8" xfId="13071"/>
    <cellStyle name="Normal 4 2 3 5 2 8 2" xfId="29205"/>
    <cellStyle name="Normal 4 2 3 5 2 9" xfId="13072"/>
    <cellStyle name="Normal 4 2 3 5 2 9 2" xfId="29206"/>
    <cellStyle name="Normal 4 2 3 5 3" xfId="2945"/>
    <cellStyle name="Normal 4 2 3 5 3 10" xfId="13073"/>
    <cellStyle name="Normal 4 2 3 5 3 10 2" xfId="29207"/>
    <cellStyle name="Normal 4 2 3 5 3 11" xfId="6832"/>
    <cellStyle name="Normal 4 2 3 5 3 11 2" xfId="22994"/>
    <cellStyle name="Normal 4 2 3 5 3 12" xfId="19853"/>
    <cellStyle name="Normal 4 2 3 5 3 2" xfId="13074"/>
    <cellStyle name="Normal 4 2 3 5 3 2 2" xfId="29208"/>
    <cellStyle name="Normal 4 2 3 5 3 3" xfId="13075"/>
    <cellStyle name="Normal 4 2 3 5 3 3 2" xfId="29209"/>
    <cellStyle name="Normal 4 2 3 5 3 4" xfId="13076"/>
    <cellStyle name="Normal 4 2 3 5 3 4 2" xfId="29210"/>
    <cellStyle name="Normal 4 2 3 5 3 5" xfId="13077"/>
    <cellStyle name="Normal 4 2 3 5 3 5 2" xfId="29211"/>
    <cellStyle name="Normal 4 2 3 5 3 6" xfId="13078"/>
    <cellStyle name="Normal 4 2 3 5 3 6 2" xfId="29212"/>
    <cellStyle name="Normal 4 2 3 5 3 7" xfId="13079"/>
    <cellStyle name="Normal 4 2 3 5 3 7 2" xfId="29213"/>
    <cellStyle name="Normal 4 2 3 5 3 8" xfId="13080"/>
    <cellStyle name="Normal 4 2 3 5 3 8 2" xfId="29214"/>
    <cellStyle name="Normal 4 2 3 5 3 9" xfId="13081"/>
    <cellStyle name="Normal 4 2 3 5 3 9 2" xfId="29215"/>
    <cellStyle name="Normal 4 2 3 5 4" xfId="13082"/>
    <cellStyle name="Normal 4 2 3 5 4 2" xfId="29216"/>
    <cellStyle name="Normal 4 2 3 5 5" xfId="13083"/>
    <cellStyle name="Normal 4 2 3 5 5 2" xfId="29217"/>
    <cellStyle name="Normal 4 2 3 5 6" xfId="13084"/>
    <cellStyle name="Normal 4 2 3 5 6 2" xfId="29218"/>
    <cellStyle name="Normal 4 2 3 5 7" xfId="13085"/>
    <cellStyle name="Normal 4 2 3 5 7 2" xfId="29219"/>
    <cellStyle name="Normal 4 2 3 5 8" xfId="13086"/>
    <cellStyle name="Normal 4 2 3 5 8 2" xfId="29220"/>
    <cellStyle name="Normal 4 2 3 5 9" xfId="13087"/>
    <cellStyle name="Normal 4 2 3 5 9 2" xfId="29221"/>
    <cellStyle name="Normal 4 2 3 6" xfId="1952"/>
    <cellStyle name="Normal 4 2 3 6 10" xfId="13088"/>
    <cellStyle name="Normal 4 2 3 6 10 2" xfId="29222"/>
    <cellStyle name="Normal 4 2 3 6 11" xfId="13089"/>
    <cellStyle name="Normal 4 2 3 6 11 2" xfId="29223"/>
    <cellStyle name="Normal 4 2 3 6 12" xfId="13090"/>
    <cellStyle name="Normal 4 2 3 6 12 2" xfId="29224"/>
    <cellStyle name="Normal 4 2 3 6 13" xfId="5857"/>
    <cellStyle name="Normal 4 2 3 6 13 2" xfId="22019"/>
    <cellStyle name="Normal 4 2 3 6 14" xfId="19604"/>
    <cellStyle name="Normal 4 2 3 6 2" xfId="1954"/>
    <cellStyle name="Normal 4 2 3 6 2 10" xfId="13091"/>
    <cellStyle name="Normal 4 2 3 6 2 10 2" xfId="29225"/>
    <cellStyle name="Normal 4 2 3 6 2 11" xfId="5859"/>
    <cellStyle name="Normal 4 2 3 6 2 11 2" xfId="22021"/>
    <cellStyle name="Normal 4 2 3 6 2 12" xfId="19605"/>
    <cellStyle name="Normal 4 2 3 6 2 2" xfId="13092"/>
    <cellStyle name="Normal 4 2 3 6 2 2 2" xfId="29226"/>
    <cellStyle name="Normal 4 2 3 6 2 3" xfId="13093"/>
    <cellStyle name="Normal 4 2 3 6 2 3 2" xfId="29227"/>
    <cellStyle name="Normal 4 2 3 6 2 4" xfId="13094"/>
    <cellStyle name="Normal 4 2 3 6 2 4 2" xfId="29228"/>
    <cellStyle name="Normal 4 2 3 6 2 5" xfId="13095"/>
    <cellStyle name="Normal 4 2 3 6 2 5 2" xfId="29229"/>
    <cellStyle name="Normal 4 2 3 6 2 6" xfId="13096"/>
    <cellStyle name="Normal 4 2 3 6 2 6 2" xfId="29230"/>
    <cellStyle name="Normal 4 2 3 6 2 7" xfId="13097"/>
    <cellStyle name="Normal 4 2 3 6 2 7 2" xfId="29231"/>
    <cellStyle name="Normal 4 2 3 6 2 8" xfId="13098"/>
    <cellStyle name="Normal 4 2 3 6 2 8 2" xfId="29232"/>
    <cellStyle name="Normal 4 2 3 6 2 9" xfId="13099"/>
    <cellStyle name="Normal 4 2 3 6 2 9 2" xfId="29233"/>
    <cellStyle name="Normal 4 2 3 6 3" xfId="1782"/>
    <cellStyle name="Normal 4 2 3 6 3 10" xfId="13100"/>
    <cellStyle name="Normal 4 2 3 6 3 10 2" xfId="29234"/>
    <cellStyle name="Normal 4 2 3 6 3 11" xfId="5694"/>
    <cellStyle name="Normal 4 2 3 6 3 11 2" xfId="21856"/>
    <cellStyle name="Normal 4 2 3 6 3 12" xfId="19576"/>
    <cellStyle name="Normal 4 2 3 6 3 2" xfId="13101"/>
    <cellStyle name="Normal 4 2 3 6 3 2 2" xfId="29235"/>
    <cellStyle name="Normal 4 2 3 6 3 3" xfId="13102"/>
    <cellStyle name="Normal 4 2 3 6 3 3 2" xfId="29236"/>
    <cellStyle name="Normal 4 2 3 6 3 4" xfId="13103"/>
    <cellStyle name="Normal 4 2 3 6 3 4 2" xfId="29237"/>
    <cellStyle name="Normal 4 2 3 6 3 5" xfId="13104"/>
    <cellStyle name="Normal 4 2 3 6 3 5 2" xfId="29238"/>
    <cellStyle name="Normal 4 2 3 6 3 6" xfId="13105"/>
    <cellStyle name="Normal 4 2 3 6 3 6 2" xfId="29239"/>
    <cellStyle name="Normal 4 2 3 6 3 7" xfId="13106"/>
    <cellStyle name="Normal 4 2 3 6 3 7 2" xfId="29240"/>
    <cellStyle name="Normal 4 2 3 6 3 8" xfId="13107"/>
    <cellStyle name="Normal 4 2 3 6 3 8 2" xfId="29241"/>
    <cellStyle name="Normal 4 2 3 6 3 9" xfId="13108"/>
    <cellStyle name="Normal 4 2 3 6 3 9 2" xfId="29242"/>
    <cellStyle name="Normal 4 2 3 6 4" xfId="13109"/>
    <cellStyle name="Normal 4 2 3 6 4 2" xfId="29243"/>
    <cellStyle name="Normal 4 2 3 6 5" xfId="13110"/>
    <cellStyle name="Normal 4 2 3 6 5 2" xfId="29244"/>
    <cellStyle name="Normal 4 2 3 6 6" xfId="13111"/>
    <cellStyle name="Normal 4 2 3 6 6 2" xfId="29245"/>
    <cellStyle name="Normal 4 2 3 6 7" xfId="13112"/>
    <cellStyle name="Normal 4 2 3 6 7 2" xfId="29246"/>
    <cellStyle name="Normal 4 2 3 6 8" xfId="13113"/>
    <cellStyle name="Normal 4 2 3 6 8 2" xfId="29247"/>
    <cellStyle name="Normal 4 2 3 6 9" xfId="13114"/>
    <cellStyle name="Normal 4 2 3 6 9 2" xfId="29248"/>
    <cellStyle name="Normal 4 2 3 7" xfId="1958"/>
    <cellStyle name="Normal 4 2 3 7 10" xfId="13115"/>
    <cellStyle name="Normal 4 2 3 7 10 2" xfId="29249"/>
    <cellStyle name="Normal 4 2 3 7 11" xfId="5863"/>
    <cellStyle name="Normal 4 2 3 7 11 2" xfId="22025"/>
    <cellStyle name="Normal 4 2 3 7 12" xfId="19606"/>
    <cellStyle name="Normal 4 2 3 7 2" xfId="13116"/>
    <cellStyle name="Normal 4 2 3 7 2 2" xfId="29250"/>
    <cellStyle name="Normal 4 2 3 7 3" xfId="13117"/>
    <cellStyle name="Normal 4 2 3 7 3 2" xfId="29251"/>
    <cellStyle name="Normal 4 2 3 7 4" xfId="13118"/>
    <cellStyle name="Normal 4 2 3 7 4 2" xfId="29252"/>
    <cellStyle name="Normal 4 2 3 7 5" xfId="13119"/>
    <cellStyle name="Normal 4 2 3 7 5 2" xfId="29253"/>
    <cellStyle name="Normal 4 2 3 7 6" xfId="13120"/>
    <cellStyle name="Normal 4 2 3 7 6 2" xfId="29254"/>
    <cellStyle name="Normal 4 2 3 7 7" xfId="13121"/>
    <cellStyle name="Normal 4 2 3 7 7 2" xfId="29255"/>
    <cellStyle name="Normal 4 2 3 7 8" xfId="13122"/>
    <cellStyle name="Normal 4 2 3 7 8 2" xfId="29256"/>
    <cellStyle name="Normal 4 2 3 7 9" xfId="13123"/>
    <cellStyle name="Normal 4 2 3 7 9 2" xfId="29257"/>
    <cellStyle name="Normal 4 2 3 8" xfId="1960"/>
    <cellStyle name="Normal 4 2 3 8 10" xfId="13124"/>
    <cellStyle name="Normal 4 2 3 8 10 2" xfId="29258"/>
    <cellStyle name="Normal 4 2 3 8 11" xfId="5865"/>
    <cellStyle name="Normal 4 2 3 8 11 2" xfId="22027"/>
    <cellStyle name="Normal 4 2 3 8 12" xfId="19607"/>
    <cellStyle name="Normal 4 2 3 8 2" xfId="13125"/>
    <cellStyle name="Normal 4 2 3 8 2 2" xfId="29259"/>
    <cellStyle name="Normal 4 2 3 8 3" xfId="13126"/>
    <cellStyle name="Normal 4 2 3 8 3 2" xfId="29260"/>
    <cellStyle name="Normal 4 2 3 8 4" xfId="13127"/>
    <cellStyle name="Normal 4 2 3 8 4 2" xfId="29261"/>
    <cellStyle name="Normal 4 2 3 8 5" xfId="13128"/>
    <cellStyle name="Normal 4 2 3 8 5 2" xfId="29262"/>
    <cellStyle name="Normal 4 2 3 8 6" xfId="13129"/>
    <cellStyle name="Normal 4 2 3 8 6 2" xfId="29263"/>
    <cellStyle name="Normal 4 2 3 8 7" xfId="13130"/>
    <cellStyle name="Normal 4 2 3 8 7 2" xfId="29264"/>
    <cellStyle name="Normal 4 2 3 8 8" xfId="13131"/>
    <cellStyle name="Normal 4 2 3 8 8 2" xfId="29265"/>
    <cellStyle name="Normal 4 2 3 8 9" xfId="13132"/>
    <cellStyle name="Normal 4 2 3 8 9 2" xfId="29266"/>
    <cellStyle name="Normal 4 2 3 9" xfId="13133"/>
    <cellStyle name="Normal 4 2 3 9 2" xfId="29267"/>
    <cellStyle name="Normal 4 2 4" xfId="1258"/>
    <cellStyle name="Normal 4 2 4 10" xfId="13134"/>
    <cellStyle name="Normal 4 2 4 10 2" xfId="29268"/>
    <cellStyle name="Normal 4 2 4 11" xfId="13135"/>
    <cellStyle name="Normal 4 2 4 11 2" xfId="29269"/>
    <cellStyle name="Normal 4 2 4 12" xfId="13136"/>
    <cellStyle name="Normal 4 2 4 12 2" xfId="29270"/>
    <cellStyle name="Normal 4 2 4 13" xfId="13137"/>
    <cellStyle name="Normal 4 2 4 13 2" xfId="29271"/>
    <cellStyle name="Normal 4 2 4 14" xfId="13138"/>
    <cellStyle name="Normal 4 2 4 14 2" xfId="29272"/>
    <cellStyle name="Normal 4 2 4 15" xfId="13139"/>
    <cellStyle name="Normal 4 2 4 15 2" xfId="29273"/>
    <cellStyle name="Normal 4 2 4 16" xfId="13140"/>
    <cellStyle name="Normal 4 2 4 16 2" xfId="29274"/>
    <cellStyle name="Normal 4 2 4 17" xfId="13141"/>
    <cellStyle name="Normal 4 2 4 17 2" xfId="29275"/>
    <cellStyle name="Normal 4 2 4 18" xfId="5178"/>
    <cellStyle name="Normal 4 2 4 18 2" xfId="21340"/>
    <cellStyle name="Normal 4 2 4 19" xfId="19381"/>
    <cellStyle name="Normal 4 2 4 2" xfId="2754"/>
    <cellStyle name="Normal 4 2 4 2 10" xfId="13142"/>
    <cellStyle name="Normal 4 2 4 2 10 2" xfId="29276"/>
    <cellStyle name="Normal 4 2 4 2 11" xfId="13143"/>
    <cellStyle name="Normal 4 2 4 2 11 2" xfId="29277"/>
    <cellStyle name="Normal 4 2 4 2 12" xfId="13144"/>
    <cellStyle name="Normal 4 2 4 2 12 2" xfId="29278"/>
    <cellStyle name="Normal 4 2 4 2 13" xfId="6647"/>
    <cellStyle name="Normal 4 2 4 2 13 2" xfId="22809"/>
    <cellStyle name="Normal 4 2 4 2 14" xfId="19714"/>
    <cellStyle name="Normal 4 2 4 2 2" xfId="1006"/>
    <cellStyle name="Normal 4 2 4 2 2 10" xfId="13145"/>
    <cellStyle name="Normal 4 2 4 2 2 10 2" xfId="29279"/>
    <cellStyle name="Normal 4 2 4 2 2 11" xfId="4927"/>
    <cellStyle name="Normal 4 2 4 2 2 11 2" xfId="21089"/>
    <cellStyle name="Normal 4 2 4 2 2 12" xfId="19274"/>
    <cellStyle name="Normal 4 2 4 2 2 2" xfId="13146"/>
    <cellStyle name="Normal 4 2 4 2 2 2 2" xfId="29280"/>
    <cellStyle name="Normal 4 2 4 2 2 3" xfId="13147"/>
    <cellStyle name="Normal 4 2 4 2 2 3 2" xfId="29281"/>
    <cellStyle name="Normal 4 2 4 2 2 4" xfId="13148"/>
    <cellStyle name="Normal 4 2 4 2 2 4 2" xfId="29282"/>
    <cellStyle name="Normal 4 2 4 2 2 5" xfId="13149"/>
    <cellStyle name="Normal 4 2 4 2 2 5 2" xfId="29283"/>
    <cellStyle name="Normal 4 2 4 2 2 6" xfId="13150"/>
    <cellStyle name="Normal 4 2 4 2 2 6 2" xfId="29284"/>
    <cellStyle name="Normal 4 2 4 2 2 7" xfId="13151"/>
    <cellStyle name="Normal 4 2 4 2 2 7 2" xfId="29285"/>
    <cellStyle name="Normal 4 2 4 2 2 8" xfId="13152"/>
    <cellStyle name="Normal 4 2 4 2 2 8 2" xfId="29286"/>
    <cellStyle name="Normal 4 2 4 2 2 9" xfId="13153"/>
    <cellStyle name="Normal 4 2 4 2 2 9 2" xfId="29287"/>
    <cellStyle name="Normal 4 2 4 2 3" xfId="3074"/>
    <cellStyle name="Normal 4 2 4 2 3 10" xfId="13154"/>
    <cellStyle name="Normal 4 2 4 2 3 10 2" xfId="29288"/>
    <cellStyle name="Normal 4 2 4 2 3 11" xfId="6958"/>
    <cellStyle name="Normal 4 2 4 2 3 11 2" xfId="23120"/>
    <cellStyle name="Normal 4 2 4 2 3 12" xfId="19874"/>
    <cellStyle name="Normal 4 2 4 2 3 2" xfId="13155"/>
    <cellStyle name="Normal 4 2 4 2 3 2 2" xfId="29289"/>
    <cellStyle name="Normal 4 2 4 2 3 3" xfId="13156"/>
    <cellStyle name="Normal 4 2 4 2 3 3 2" xfId="29290"/>
    <cellStyle name="Normal 4 2 4 2 3 4" xfId="13157"/>
    <cellStyle name="Normal 4 2 4 2 3 4 2" xfId="29291"/>
    <cellStyle name="Normal 4 2 4 2 3 5" xfId="13158"/>
    <cellStyle name="Normal 4 2 4 2 3 5 2" xfId="29292"/>
    <cellStyle name="Normal 4 2 4 2 3 6" xfId="13159"/>
    <cellStyle name="Normal 4 2 4 2 3 6 2" xfId="29293"/>
    <cellStyle name="Normal 4 2 4 2 3 7" xfId="13160"/>
    <cellStyle name="Normal 4 2 4 2 3 7 2" xfId="29294"/>
    <cellStyle name="Normal 4 2 4 2 3 8" xfId="13161"/>
    <cellStyle name="Normal 4 2 4 2 3 8 2" xfId="29295"/>
    <cellStyle name="Normal 4 2 4 2 3 9" xfId="13162"/>
    <cellStyle name="Normal 4 2 4 2 3 9 2" xfId="29296"/>
    <cellStyle name="Normal 4 2 4 2 4" xfId="13163"/>
    <cellStyle name="Normal 4 2 4 2 4 2" xfId="29297"/>
    <cellStyle name="Normal 4 2 4 2 5" xfId="13164"/>
    <cellStyle name="Normal 4 2 4 2 5 2" xfId="29298"/>
    <cellStyle name="Normal 4 2 4 2 6" xfId="13165"/>
    <cellStyle name="Normal 4 2 4 2 6 2" xfId="29299"/>
    <cellStyle name="Normal 4 2 4 2 7" xfId="13166"/>
    <cellStyle name="Normal 4 2 4 2 7 2" xfId="29300"/>
    <cellStyle name="Normal 4 2 4 2 8" xfId="13167"/>
    <cellStyle name="Normal 4 2 4 2 8 2" xfId="29301"/>
    <cellStyle name="Normal 4 2 4 2 9" xfId="13168"/>
    <cellStyle name="Normal 4 2 4 2 9 2" xfId="29302"/>
    <cellStyle name="Normal 4 2 4 3" xfId="2756"/>
    <cellStyle name="Normal 4 2 4 3 10" xfId="13169"/>
    <cellStyle name="Normal 4 2 4 3 10 2" xfId="29303"/>
    <cellStyle name="Normal 4 2 4 3 11" xfId="13170"/>
    <cellStyle name="Normal 4 2 4 3 11 2" xfId="29304"/>
    <cellStyle name="Normal 4 2 4 3 12" xfId="13171"/>
    <cellStyle name="Normal 4 2 4 3 12 2" xfId="29305"/>
    <cellStyle name="Normal 4 2 4 3 13" xfId="6649"/>
    <cellStyle name="Normal 4 2 4 3 13 2" xfId="22811"/>
    <cellStyle name="Normal 4 2 4 3 14" xfId="19716"/>
    <cellStyle name="Normal 4 2 4 3 2" xfId="3075"/>
    <cellStyle name="Normal 4 2 4 3 2 10" xfId="13172"/>
    <cellStyle name="Normal 4 2 4 3 2 10 2" xfId="29306"/>
    <cellStyle name="Normal 4 2 4 3 2 11" xfId="6959"/>
    <cellStyle name="Normal 4 2 4 3 2 11 2" xfId="23121"/>
    <cellStyle name="Normal 4 2 4 3 2 12" xfId="19875"/>
    <cellStyle name="Normal 4 2 4 3 2 2" xfId="13173"/>
    <cellStyle name="Normal 4 2 4 3 2 2 2" xfId="29307"/>
    <cellStyle name="Normal 4 2 4 3 2 3" xfId="13174"/>
    <cellStyle name="Normal 4 2 4 3 2 3 2" xfId="29308"/>
    <cellStyle name="Normal 4 2 4 3 2 4" xfId="13175"/>
    <cellStyle name="Normal 4 2 4 3 2 4 2" xfId="29309"/>
    <cellStyle name="Normal 4 2 4 3 2 5" xfId="13176"/>
    <cellStyle name="Normal 4 2 4 3 2 5 2" xfId="29310"/>
    <cellStyle name="Normal 4 2 4 3 2 6" xfId="13177"/>
    <cellStyle name="Normal 4 2 4 3 2 6 2" xfId="29311"/>
    <cellStyle name="Normal 4 2 4 3 2 7" xfId="13178"/>
    <cellStyle name="Normal 4 2 4 3 2 7 2" xfId="29312"/>
    <cellStyle name="Normal 4 2 4 3 2 8" xfId="13179"/>
    <cellStyle name="Normal 4 2 4 3 2 8 2" xfId="29313"/>
    <cellStyle name="Normal 4 2 4 3 2 9" xfId="13180"/>
    <cellStyle name="Normal 4 2 4 3 2 9 2" xfId="29314"/>
    <cellStyle name="Normal 4 2 4 3 3" xfId="3076"/>
    <cellStyle name="Normal 4 2 4 3 3 10" xfId="13181"/>
    <cellStyle name="Normal 4 2 4 3 3 10 2" xfId="29315"/>
    <cellStyle name="Normal 4 2 4 3 3 11" xfId="6960"/>
    <cellStyle name="Normal 4 2 4 3 3 11 2" xfId="23122"/>
    <cellStyle name="Normal 4 2 4 3 3 12" xfId="19876"/>
    <cellStyle name="Normal 4 2 4 3 3 2" xfId="13182"/>
    <cellStyle name="Normal 4 2 4 3 3 2 2" xfId="29316"/>
    <cellStyle name="Normal 4 2 4 3 3 3" xfId="13183"/>
    <cellStyle name="Normal 4 2 4 3 3 3 2" xfId="29317"/>
    <cellStyle name="Normal 4 2 4 3 3 4" xfId="13184"/>
    <cellStyle name="Normal 4 2 4 3 3 4 2" xfId="29318"/>
    <cellStyle name="Normal 4 2 4 3 3 5" xfId="13185"/>
    <cellStyle name="Normal 4 2 4 3 3 5 2" xfId="29319"/>
    <cellStyle name="Normal 4 2 4 3 3 6" xfId="13186"/>
    <cellStyle name="Normal 4 2 4 3 3 6 2" xfId="29320"/>
    <cellStyle name="Normal 4 2 4 3 3 7" xfId="13187"/>
    <cellStyle name="Normal 4 2 4 3 3 7 2" xfId="29321"/>
    <cellStyle name="Normal 4 2 4 3 3 8" xfId="13188"/>
    <cellStyle name="Normal 4 2 4 3 3 8 2" xfId="29322"/>
    <cellStyle name="Normal 4 2 4 3 3 9" xfId="13189"/>
    <cellStyle name="Normal 4 2 4 3 3 9 2" xfId="29323"/>
    <cellStyle name="Normal 4 2 4 3 4" xfId="13190"/>
    <cellStyle name="Normal 4 2 4 3 4 2" xfId="29324"/>
    <cellStyle name="Normal 4 2 4 3 5" xfId="13191"/>
    <cellStyle name="Normal 4 2 4 3 5 2" xfId="29325"/>
    <cellStyle name="Normal 4 2 4 3 6" xfId="13192"/>
    <cellStyle name="Normal 4 2 4 3 6 2" xfId="29326"/>
    <cellStyle name="Normal 4 2 4 3 7" xfId="13193"/>
    <cellStyle name="Normal 4 2 4 3 7 2" xfId="29327"/>
    <cellStyle name="Normal 4 2 4 3 8" xfId="13194"/>
    <cellStyle name="Normal 4 2 4 3 8 2" xfId="29328"/>
    <cellStyle name="Normal 4 2 4 3 9" xfId="13195"/>
    <cellStyle name="Normal 4 2 4 3 9 2" xfId="29329"/>
    <cellStyle name="Normal 4 2 4 4" xfId="3077"/>
    <cellStyle name="Normal 4 2 4 4 10" xfId="13196"/>
    <cellStyle name="Normal 4 2 4 4 10 2" xfId="29330"/>
    <cellStyle name="Normal 4 2 4 4 11" xfId="13197"/>
    <cellStyle name="Normal 4 2 4 4 11 2" xfId="29331"/>
    <cellStyle name="Normal 4 2 4 4 12" xfId="13198"/>
    <cellStyle name="Normal 4 2 4 4 12 2" xfId="29332"/>
    <cellStyle name="Normal 4 2 4 4 13" xfId="6961"/>
    <cellStyle name="Normal 4 2 4 4 13 2" xfId="23123"/>
    <cellStyle name="Normal 4 2 4 4 14" xfId="19877"/>
    <cellStyle name="Normal 4 2 4 4 2" xfId="3078"/>
    <cellStyle name="Normal 4 2 4 4 2 10" xfId="13199"/>
    <cellStyle name="Normal 4 2 4 4 2 10 2" xfId="29333"/>
    <cellStyle name="Normal 4 2 4 4 2 11" xfId="6962"/>
    <cellStyle name="Normal 4 2 4 4 2 11 2" xfId="23124"/>
    <cellStyle name="Normal 4 2 4 4 2 12" xfId="19878"/>
    <cellStyle name="Normal 4 2 4 4 2 2" xfId="13200"/>
    <cellStyle name="Normal 4 2 4 4 2 2 2" xfId="29334"/>
    <cellStyle name="Normal 4 2 4 4 2 3" xfId="13201"/>
    <cellStyle name="Normal 4 2 4 4 2 3 2" xfId="29335"/>
    <cellStyle name="Normal 4 2 4 4 2 4" xfId="13202"/>
    <cellStyle name="Normal 4 2 4 4 2 4 2" xfId="29336"/>
    <cellStyle name="Normal 4 2 4 4 2 5" xfId="13203"/>
    <cellStyle name="Normal 4 2 4 4 2 5 2" xfId="29337"/>
    <cellStyle name="Normal 4 2 4 4 2 6" xfId="13204"/>
    <cellStyle name="Normal 4 2 4 4 2 6 2" xfId="29338"/>
    <cellStyle name="Normal 4 2 4 4 2 7" xfId="13205"/>
    <cellStyle name="Normal 4 2 4 4 2 7 2" xfId="29339"/>
    <cellStyle name="Normal 4 2 4 4 2 8" xfId="13206"/>
    <cellStyle name="Normal 4 2 4 4 2 8 2" xfId="29340"/>
    <cellStyle name="Normal 4 2 4 4 2 9" xfId="13207"/>
    <cellStyle name="Normal 4 2 4 4 2 9 2" xfId="29341"/>
    <cellStyle name="Normal 4 2 4 4 3" xfId="3079"/>
    <cellStyle name="Normal 4 2 4 4 3 10" xfId="13208"/>
    <cellStyle name="Normal 4 2 4 4 3 10 2" xfId="29342"/>
    <cellStyle name="Normal 4 2 4 4 3 11" xfId="6963"/>
    <cellStyle name="Normal 4 2 4 4 3 11 2" xfId="23125"/>
    <cellStyle name="Normal 4 2 4 4 3 12" xfId="19879"/>
    <cellStyle name="Normal 4 2 4 4 3 2" xfId="13209"/>
    <cellStyle name="Normal 4 2 4 4 3 2 2" xfId="29343"/>
    <cellStyle name="Normal 4 2 4 4 3 3" xfId="13210"/>
    <cellStyle name="Normal 4 2 4 4 3 3 2" xfId="29344"/>
    <cellStyle name="Normal 4 2 4 4 3 4" xfId="13211"/>
    <cellStyle name="Normal 4 2 4 4 3 4 2" xfId="29345"/>
    <cellStyle name="Normal 4 2 4 4 3 5" xfId="13212"/>
    <cellStyle name="Normal 4 2 4 4 3 5 2" xfId="29346"/>
    <cellStyle name="Normal 4 2 4 4 3 6" xfId="13213"/>
    <cellStyle name="Normal 4 2 4 4 3 6 2" xfId="29347"/>
    <cellStyle name="Normal 4 2 4 4 3 7" xfId="13214"/>
    <cellStyle name="Normal 4 2 4 4 3 7 2" xfId="29348"/>
    <cellStyle name="Normal 4 2 4 4 3 8" xfId="13215"/>
    <cellStyle name="Normal 4 2 4 4 3 8 2" xfId="29349"/>
    <cellStyle name="Normal 4 2 4 4 3 9" xfId="13216"/>
    <cellStyle name="Normal 4 2 4 4 3 9 2" xfId="29350"/>
    <cellStyle name="Normal 4 2 4 4 4" xfId="13217"/>
    <cellStyle name="Normal 4 2 4 4 4 2" xfId="29351"/>
    <cellStyle name="Normal 4 2 4 4 5" xfId="13218"/>
    <cellStyle name="Normal 4 2 4 4 5 2" xfId="29352"/>
    <cellStyle name="Normal 4 2 4 4 6" xfId="13219"/>
    <cellStyle name="Normal 4 2 4 4 6 2" xfId="29353"/>
    <cellStyle name="Normal 4 2 4 4 7" xfId="13220"/>
    <cellStyle name="Normal 4 2 4 4 7 2" xfId="29354"/>
    <cellStyle name="Normal 4 2 4 4 8" xfId="13221"/>
    <cellStyle name="Normal 4 2 4 4 8 2" xfId="29355"/>
    <cellStyle name="Normal 4 2 4 4 9" xfId="13222"/>
    <cellStyle name="Normal 4 2 4 4 9 2" xfId="29356"/>
    <cellStyle name="Normal 4 2 4 5" xfId="3081"/>
    <cellStyle name="Normal 4 2 4 5 10" xfId="13223"/>
    <cellStyle name="Normal 4 2 4 5 10 2" xfId="29357"/>
    <cellStyle name="Normal 4 2 4 5 11" xfId="13224"/>
    <cellStyle name="Normal 4 2 4 5 11 2" xfId="29358"/>
    <cellStyle name="Normal 4 2 4 5 12" xfId="13225"/>
    <cellStyle name="Normal 4 2 4 5 12 2" xfId="29359"/>
    <cellStyle name="Normal 4 2 4 5 13" xfId="6964"/>
    <cellStyle name="Normal 4 2 4 5 13 2" xfId="23126"/>
    <cellStyle name="Normal 4 2 4 5 14" xfId="19881"/>
    <cellStyle name="Normal 4 2 4 5 2" xfId="3083"/>
    <cellStyle name="Normal 4 2 4 5 2 10" xfId="13226"/>
    <cellStyle name="Normal 4 2 4 5 2 10 2" xfId="29360"/>
    <cellStyle name="Normal 4 2 4 5 2 11" xfId="6966"/>
    <cellStyle name="Normal 4 2 4 5 2 11 2" xfId="23128"/>
    <cellStyle name="Normal 4 2 4 5 2 12" xfId="19882"/>
    <cellStyle name="Normal 4 2 4 5 2 2" xfId="13227"/>
    <cellStyle name="Normal 4 2 4 5 2 2 2" xfId="29361"/>
    <cellStyle name="Normal 4 2 4 5 2 3" xfId="13228"/>
    <cellStyle name="Normal 4 2 4 5 2 3 2" xfId="29362"/>
    <cellStyle name="Normal 4 2 4 5 2 4" xfId="13229"/>
    <cellStyle name="Normal 4 2 4 5 2 4 2" xfId="29363"/>
    <cellStyle name="Normal 4 2 4 5 2 5" xfId="13230"/>
    <cellStyle name="Normal 4 2 4 5 2 5 2" xfId="29364"/>
    <cellStyle name="Normal 4 2 4 5 2 6" xfId="13231"/>
    <cellStyle name="Normal 4 2 4 5 2 6 2" xfId="29365"/>
    <cellStyle name="Normal 4 2 4 5 2 7" xfId="13232"/>
    <cellStyle name="Normal 4 2 4 5 2 7 2" xfId="29366"/>
    <cellStyle name="Normal 4 2 4 5 2 8" xfId="13233"/>
    <cellStyle name="Normal 4 2 4 5 2 8 2" xfId="29367"/>
    <cellStyle name="Normal 4 2 4 5 2 9" xfId="13234"/>
    <cellStyle name="Normal 4 2 4 5 2 9 2" xfId="29368"/>
    <cellStyle name="Normal 4 2 4 5 3" xfId="3085"/>
    <cellStyle name="Normal 4 2 4 5 3 10" xfId="13235"/>
    <cellStyle name="Normal 4 2 4 5 3 10 2" xfId="29369"/>
    <cellStyle name="Normal 4 2 4 5 3 11" xfId="6968"/>
    <cellStyle name="Normal 4 2 4 5 3 11 2" xfId="23130"/>
    <cellStyle name="Normal 4 2 4 5 3 12" xfId="19883"/>
    <cellStyle name="Normal 4 2 4 5 3 2" xfId="13236"/>
    <cellStyle name="Normal 4 2 4 5 3 2 2" xfId="29370"/>
    <cellStyle name="Normal 4 2 4 5 3 3" xfId="13237"/>
    <cellStyle name="Normal 4 2 4 5 3 3 2" xfId="29371"/>
    <cellStyle name="Normal 4 2 4 5 3 4" xfId="13238"/>
    <cellStyle name="Normal 4 2 4 5 3 4 2" xfId="29372"/>
    <cellStyle name="Normal 4 2 4 5 3 5" xfId="13239"/>
    <cellStyle name="Normal 4 2 4 5 3 5 2" xfId="29373"/>
    <cellStyle name="Normal 4 2 4 5 3 6" xfId="13240"/>
    <cellStyle name="Normal 4 2 4 5 3 6 2" xfId="29374"/>
    <cellStyle name="Normal 4 2 4 5 3 7" xfId="13241"/>
    <cellStyle name="Normal 4 2 4 5 3 7 2" xfId="29375"/>
    <cellStyle name="Normal 4 2 4 5 3 8" xfId="13242"/>
    <cellStyle name="Normal 4 2 4 5 3 8 2" xfId="29376"/>
    <cellStyle name="Normal 4 2 4 5 3 9" xfId="13243"/>
    <cellStyle name="Normal 4 2 4 5 3 9 2" xfId="29377"/>
    <cellStyle name="Normal 4 2 4 5 4" xfId="13244"/>
    <cellStyle name="Normal 4 2 4 5 4 2" xfId="29378"/>
    <cellStyle name="Normal 4 2 4 5 5" xfId="13245"/>
    <cellStyle name="Normal 4 2 4 5 5 2" xfId="29379"/>
    <cellStyle name="Normal 4 2 4 5 6" xfId="13246"/>
    <cellStyle name="Normal 4 2 4 5 6 2" xfId="29380"/>
    <cellStyle name="Normal 4 2 4 5 7" xfId="13247"/>
    <cellStyle name="Normal 4 2 4 5 7 2" xfId="29381"/>
    <cellStyle name="Normal 4 2 4 5 8" xfId="13248"/>
    <cellStyle name="Normal 4 2 4 5 8 2" xfId="29382"/>
    <cellStyle name="Normal 4 2 4 5 9" xfId="13249"/>
    <cellStyle name="Normal 4 2 4 5 9 2" xfId="29383"/>
    <cellStyle name="Normal 4 2 4 6" xfId="3087"/>
    <cellStyle name="Normal 4 2 4 6 10" xfId="13250"/>
    <cellStyle name="Normal 4 2 4 6 10 2" xfId="29384"/>
    <cellStyle name="Normal 4 2 4 6 11" xfId="13251"/>
    <cellStyle name="Normal 4 2 4 6 11 2" xfId="29385"/>
    <cellStyle name="Normal 4 2 4 6 12" xfId="13252"/>
    <cellStyle name="Normal 4 2 4 6 12 2" xfId="29386"/>
    <cellStyle name="Normal 4 2 4 6 13" xfId="6970"/>
    <cellStyle name="Normal 4 2 4 6 13 2" xfId="23132"/>
    <cellStyle name="Normal 4 2 4 6 14" xfId="19885"/>
    <cellStyle name="Normal 4 2 4 6 2" xfId="3088"/>
    <cellStyle name="Normal 4 2 4 6 2 10" xfId="13253"/>
    <cellStyle name="Normal 4 2 4 6 2 10 2" xfId="29387"/>
    <cellStyle name="Normal 4 2 4 6 2 11" xfId="6972"/>
    <cellStyle name="Normal 4 2 4 6 2 11 2" xfId="23134"/>
    <cellStyle name="Normal 4 2 4 6 2 12" xfId="19886"/>
    <cellStyle name="Normal 4 2 4 6 2 2" xfId="13254"/>
    <cellStyle name="Normal 4 2 4 6 2 2 2" xfId="29388"/>
    <cellStyle name="Normal 4 2 4 6 2 3" xfId="13255"/>
    <cellStyle name="Normal 4 2 4 6 2 3 2" xfId="29389"/>
    <cellStyle name="Normal 4 2 4 6 2 4" xfId="13256"/>
    <cellStyle name="Normal 4 2 4 6 2 4 2" xfId="29390"/>
    <cellStyle name="Normal 4 2 4 6 2 5" xfId="13257"/>
    <cellStyle name="Normal 4 2 4 6 2 5 2" xfId="29391"/>
    <cellStyle name="Normal 4 2 4 6 2 6" xfId="13258"/>
    <cellStyle name="Normal 4 2 4 6 2 6 2" xfId="29392"/>
    <cellStyle name="Normal 4 2 4 6 2 7" xfId="13259"/>
    <cellStyle name="Normal 4 2 4 6 2 7 2" xfId="29393"/>
    <cellStyle name="Normal 4 2 4 6 2 8" xfId="13260"/>
    <cellStyle name="Normal 4 2 4 6 2 8 2" xfId="29394"/>
    <cellStyle name="Normal 4 2 4 6 2 9" xfId="13261"/>
    <cellStyle name="Normal 4 2 4 6 2 9 2" xfId="29395"/>
    <cellStyle name="Normal 4 2 4 6 3" xfId="3089"/>
    <cellStyle name="Normal 4 2 4 6 3 10" xfId="13262"/>
    <cellStyle name="Normal 4 2 4 6 3 10 2" xfId="29396"/>
    <cellStyle name="Normal 4 2 4 6 3 11" xfId="6973"/>
    <cellStyle name="Normal 4 2 4 6 3 11 2" xfId="23135"/>
    <cellStyle name="Normal 4 2 4 6 3 12" xfId="19887"/>
    <cellStyle name="Normal 4 2 4 6 3 2" xfId="13263"/>
    <cellStyle name="Normal 4 2 4 6 3 2 2" xfId="29397"/>
    <cellStyle name="Normal 4 2 4 6 3 3" xfId="13264"/>
    <cellStyle name="Normal 4 2 4 6 3 3 2" xfId="29398"/>
    <cellStyle name="Normal 4 2 4 6 3 4" xfId="13265"/>
    <cellStyle name="Normal 4 2 4 6 3 4 2" xfId="29399"/>
    <cellStyle name="Normal 4 2 4 6 3 5" xfId="13266"/>
    <cellStyle name="Normal 4 2 4 6 3 5 2" xfId="29400"/>
    <cellStyle name="Normal 4 2 4 6 3 6" xfId="13267"/>
    <cellStyle name="Normal 4 2 4 6 3 6 2" xfId="29401"/>
    <cellStyle name="Normal 4 2 4 6 3 7" xfId="13268"/>
    <cellStyle name="Normal 4 2 4 6 3 7 2" xfId="29402"/>
    <cellStyle name="Normal 4 2 4 6 3 8" xfId="13269"/>
    <cellStyle name="Normal 4 2 4 6 3 8 2" xfId="29403"/>
    <cellStyle name="Normal 4 2 4 6 3 9" xfId="13270"/>
    <cellStyle name="Normal 4 2 4 6 3 9 2" xfId="29404"/>
    <cellStyle name="Normal 4 2 4 6 4" xfId="13271"/>
    <cellStyle name="Normal 4 2 4 6 4 2" xfId="29405"/>
    <cellStyle name="Normal 4 2 4 6 5" xfId="13272"/>
    <cellStyle name="Normal 4 2 4 6 5 2" xfId="29406"/>
    <cellStyle name="Normal 4 2 4 6 6" xfId="13273"/>
    <cellStyle name="Normal 4 2 4 6 6 2" xfId="29407"/>
    <cellStyle name="Normal 4 2 4 6 7" xfId="13274"/>
    <cellStyle name="Normal 4 2 4 6 7 2" xfId="29408"/>
    <cellStyle name="Normal 4 2 4 6 8" xfId="13275"/>
    <cellStyle name="Normal 4 2 4 6 8 2" xfId="29409"/>
    <cellStyle name="Normal 4 2 4 6 9" xfId="13276"/>
    <cellStyle name="Normal 4 2 4 6 9 2" xfId="29410"/>
    <cellStyle name="Normal 4 2 4 7" xfId="3090"/>
    <cellStyle name="Normal 4 2 4 7 10" xfId="13277"/>
    <cellStyle name="Normal 4 2 4 7 10 2" xfId="29411"/>
    <cellStyle name="Normal 4 2 4 7 11" xfId="6974"/>
    <cellStyle name="Normal 4 2 4 7 11 2" xfId="23136"/>
    <cellStyle name="Normal 4 2 4 7 12" xfId="19888"/>
    <cellStyle name="Normal 4 2 4 7 2" xfId="13278"/>
    <cellStyle name="Normal 4 2 4 7 2 2" xfId="29412"/>
    <cellStyle name="Normal 4 2 4 7 3" xfId="13279"/>
    <cellStyle name="Normal 4 2 4 7 3 2" xfId="29413"/>
    <cellStyle name="Normal 4 2 4 7 4" xfId="13280"/>
    <cellStyle name="Normal 4 2 4 7 4 2" xfId="29414"/>
    <cellStyle name="Normal 4 2 4 7 5" xfId="13281"/>
    <cellStyle name="Normal 4 2 4 7 5 2" xfId="29415"/>
    <cellStyle name="Normal 4 2 4 7 6" xfId="13282"/>
    <cellStyle name="Normal 4 2 4 7 6 2" xfId="29416"/>
    <cellStyle name="Normal 4 2 4 7 7" xfId="13283"/>
    <cellStyle name="Normal 4 2 4 7 7 2" xfId="29417"/>
    <cellStyle name="Normal 4 2 4 7 8" xfId="13284"/>
    <cellStyle name="Normal 4 2 4 7 8 2" xfId="29418"/>
    <cellStyle name="Normal 4 2 4 7 9" xfId="13285"/>
    <cellStyle name="Normal 4 2 4 7 9 2" xfId="29419"/>
    <cellStyle name="Normal 4 2 4 8" xfId="3091"/>
    <cellStyle name="Normal 4 2 4 8 10" xfId="13286"/>
    <cellStyle name="Normal 4 2 4 8 10 2" xfId="29420"/>
    <cellStyle name="Normal 4 2 4 8 11" xfId="6975"/>
    <cellStyle name="Normal 4 2 4 8 11 2" xfId="23137"/>
    <cellStyle name="Normal 4 2 4 8 12" xfId="19889"/>
    <cellStyle name="Normal 4 2 4 8 2" xfId="13287"/>
    <cellStyle name="Normal 4 2 4 8 2 2" xfId="29421"/>
    <cellStyle name="Normal 4 2 4 8 3" xfId="13288"/>
    <cellStyle name="Normal 4 2 4 8 3 2" xfId="29422"/>
    <cellStyle name="Normal 4 2 4 8 4" xfId="13289"/>
    <cellStyle name="Normal 4 2 4 8 4 2" xfId="29423"/>
    <cellStyle name="Normal 4 2 4 8 5" xfId="13290"/>
    <cellStyle name="Normal 4 2 4 8 5 2" xfId="29424"/>
    <cellStyle name="Normal 4 2 4 8 6" xfId="13291"/>
    <cellStyle name="Normal 4 2 4 8 6 2" xfId="29425"/>
    <cellStyle name="Normal 4 2 4 8 7" xfId="13292"/>
    <cellStyle name="Normal 4 2 4 8 7 2" xfId="29426"/>
    <cellStyle name="Normal 4 2 4 8 8" xfId="13293"/>
    <cellStyle name="Normal 4 2 4 8 8 2" xfId="29427"/>
    <cellStyle name="Normal 4 2 4 8 9" xfId="13294"/>
    <cellStyle name="Normal 4 2 4 8 9 2" xfId="29428"/>
    <cellStyle name="Normal 4 2 4 9" xfId="13295"/>
    <cellStyle name="Normal 4 2 4 9 2" xfId="29429"/>
    <cellStyle name="Normal 4 2 5" xfId="1261"/>
    <cellStyle name="Normal 4 2 5 10" xfId="13296"/>
    <cellStyle name="Normal 4 2 5 10 2" xfId="29430"/>
    <cellStyle name="Normal 4 2 5 11" xfId="13297"/>
    <cellStyle name="Normal 4 2 5 11 2" xfId="29431"/>
    <cellStyle name="Normal 4 2 5 12" xfId="13298"/>
    <cellStyle name="Normal 4 2 5 12 2" xfId="29432"/>
    <cellStyle name="Normal 4 2 5 13" xfId="13299"/>
    <cellStyle name="Normal 4 2 5 13 2" xfId="29433"/>
    <cellStyle name="Normal 4 2 5 14" xfId="13300"/>
    <cellStyle name="Normal 4 2 5 14 2" xfId="29434"/>
    <cellStyle name="Normal 4 2 5 15" xfId="13301"/>
    <cellStyle name="Normal 4 2 5 15 2" xfId="29435"/>
    <cellStyle name="Normal 4 2 5 16" xfId="13302"/>
    <cellStyle name="Normal 4 2 5 16 2" xfId="29436"/>
    <cellStyle name="Normal 4 2 5 17" xfId="13303"/>
    <cellStyle name="Normal 4 2 5 17 2" xfId="29437"/>
    <cellStyle name="Normal 4 2 5 18" xfId="5181"/>
    <cellStyle name="Normal 4 2 5 18 2" xfId="21343"/>
    <cellStyle name="Normal 4 2 5 19" xfId="19384"/>
    <cellStyle name="Normal 4 2 5 2" xfId="3093"/>
    <cellStyle name="Normal 4 2 5 2 10" xfId="13304"/>
    <cellStyle name="Normal 4 2 5 2 10 2" xfId="29438"/>
    <cellStyle name="Normal 4 2 5 2 11" xfId="13305"/>
    <cellStyle name="Normal 4 2 5 2 11 2" xfId="29439"/>
    <cellStyle name="Normal 4 2 5 2 12" xfId="13306"/>
    <cellStyle name="Normal 4 2 5 2 12 2" xfId="29440"/>
    <cellStyle name="Normal 4 2 5 2 13" xfId="6976"/>
    <cellStyle name="Normal 4 2 5 2 13 2" xfId="23138"/>
    <cellStyle name="Normal 4 2 5 2 14" xfId="19891"/>
    <cellStyle name="Normal 4 2 5 2 2" xfId="2556"/>
    <cellStyle name="Normal 4 2 5 2 2 10" xfId="13307"/>
    <cellStyle name="Normal 4 2 5 2 2 10 2" xfId="29441"/>
    <cellStyle name="Normal 4 2 5 2 2 11" xfId="6450"/>
    <cellStyle name="Normal 4 2 5 2 2 11 2" xfId="22612"/>
    <cellStyle name="Normal 4 2 5 2 2 12" xfId="19681"/>
    <cellStyle name="Normal 4 2 5 2 2 2" xfId="13308"/>
    <cellStyle name="Normal 4 2 5 2 2 2 2" xfId="29442"/>
    <cellStyle name="Normal 4 2 5 2 2 3" xfId="13309"/>
    <cellStyle name="Normal 4 2 5 2 2 3 2" xfId="29443"/>
    <cellStyle name="Normal 4 2 5 2 2 4" xfId="13310"/>
    <cellStyle name="Normal 4 2 5 2 2 4 2" xfId="29444"/>
    <cellStyle name="Normal 4 2 5 2 2 5" xfId="13311"/>
    <cellStyle name="Normal 4 2 5 2 2 5 2" xfId="29445"/>
    <cellStyle name="Normal 4 2 5 2 2 6" xfId="13312"/>
    <cellStyle name="Normal 4 2 5 2 2 6 2" xfId="29446"/>
    <cellStyle name="Normal 4 2 5 2 2 7" xfId="13313"/>
    <cellStyle name="Normal 4 2 5 2 2 7 2" xfId="29447"/>
    <cellStyle name="Normal 4 2 5 2 2 8" xfId="13314"/>
    <cellStyle name="Normal 4 2 5 2 2 8 2" xfId="29448"/>
    <cellStyle name="Normal 4 2 5 2 2 9" xfId="13315"/>
    <cellStyle name="Normal 4 2 5 2 2 9 2" xfId="29449"/>
    <cellStyle name="Normal 4 2 5 2 3" xfId="2558"/>
    <cellStyle name="Normal 4 2 5 2 3 10" xfId="13316"/>
    <cellStyle name="Normal 4 2 5 2 3 10 2" xfId="29450"/>
    <cellStyle name="Normal 4 2 5 2 3 11" xfId="6453"/>
    <cellStyle name="Normal 4 2 5 2 3 11 2" xfId="22615"/>
    <cellStyle name="Normal 4 2 5 2 3 12" xfId="19682"/>
    <cellStyle name="Normal 4 2 5 2 3 2" xfId="13317"/>
    <cellStyle name="Normal 4 2 5 2 3 2 2" xfId="29451"/>
    <cellStyle name="Normal 4 2 5 2 3 3" xfId="13318"/>
    <cellStyle name="Normal 4 2 5 2 3 3 2" xfId="29452"/>
    <cellStyle name="Normal 4 2 5 2 3 4" xfId="13319"/>
    <cellStyle name="Normal 4 2 5 2 3 4 2" xfId="29453"/>
    <cellStyle name="Normal 4 2 5 2 3 5" xfId="13320"/>
    <cellStyle name="Normal 4 2 5 2 3 5 2" xfId="29454"/>
    <cellStyle name="Normal 4 2 5 2 3 6" xfId="13321"/>
    <cellStyle name="Normal 4 2 5 2 3 6 2" xfId="29455"/>
    <cellStyle name="Normal 4 2 5 2 3 7" xfId="13322"/>
    <cellStyle name="Normal 4 2 5 2 3 7 2" xfId="29456"/>
    <cellStyle name="Normal 4 2 5 2 3 8" xfId="13323"/>
    <cellStyle name="Normal 4 2 5 2 3 8 2" xfId="29457"/>
    <cellStyle name="Normal 4 2 5 2 3 9" xfId="13324"/>
    <cellStyle name="Normal 4 2 5 2 3 9 2" xfId="29458"/>
    <cellStyle name="Normal 4 2 5 2 4" xfId="13325"/>
    <cellStyle name="Normal 4 2 5 2 4 2" xfId="29459"/>
    <cellStyle name="Normal 4 2 5 2 5" xfId="13326"/>
    <cellStyle name="Normal 4 2 5 2 5 2" xfId="29460"/>
    <cellStyle name="Normal 4 2 5 2 6" xfId="13327"/>
    <cellStyle name="Normal 4 2 5 2 6 2" xfId="29461"/>
    <cellStyle name="Normal 4 2 5 2 7" xfId="13328"/>
    <cellStyle name="Normal 4 2 5 2 7 2" xfId="29462"/>
    <cellStyle name="Normal 4 2 5 2 8" xfId="13329"/>
    <cellStyle name="Normal 4 2 5 2 8 2" xfId="29463"/>
    <cellStyle name="Normal 4 2 5 2 9" xfId="13330"/>
    <cellStyle name="Normal 4 2 5 2 9 2" xfId="29464"/>
    <cellStyle name="Normal 4 2 5 3" xfId="3095"/>
    <cellStyle name="Normal 4 2 5 3 10" xfId="13331"/>
    <cellStyle name="Normal 4 2 5 3 10 2" xfId="29465"/>
    <cellStyle name="Normal 4 2 5 3 11" xfId="13332"/>
    <cellStyle name="Normal 4 2 5 3 11 2" xfId="29466"/>
    <cellStyle name="Normal 4 2 5 3 12" xfId="13333"/>
    <cellStyle name="Normal 4 2 5 3 12 2" xfId="29467"/>
    <cellStyle name="Normal 4 2 5 3 13" xfId="6978"/>
    <cellStyle name="Normal 4 2 5 3 13 2" xfId="23140"/>
    <cellStyle name="Normal 4 2 5 3 14" xfId="19893"/>
    <cellStyle name="Normal 4 2 5 3 2" xfId="2564"/>
    <cellStyle name="Normal 4 2 5 3 2 10" xfId="13334"/>
    <cellStyle name="Normal 4 2 5 3 2 10 2" xfId="29468"/>
    <cellStyle name="Normal 4 2 5 3 2 11" xfId="6458"/>
    <cellStyle name="Normal 4 2 5 3 2 11 2" xfId="22620"/>
    <cellStyle name="Normal 4 2 5 3 2 12" xfId="19683"/>
    <cellStyle name="Normal 4 2 5 3 2 2" xfId="13335"/>
    <cellStyle name="Normal 4 2 5 3 2 2 2" xfId="29469"/>
    <cellStyle name="Normal 4 2 5 3 2 3" xfId="13336"/>
    <cellStyle name="Normal 4 2 5 3 2 3 2" xfId="29470"/>
    <cellStyle name="Normal 4 2 5 3 2 4" xfId="13337"/>
    <cellStyle name="Normal 4 2 5 3 2 4 2" xfId="29471"/>
    <cellStyle name="Normal 4 2 5 3 2 5" xfId="13338"/>
    <cellStyle name="Normal 4 2 5 3 2 5 2" xfId="29472"/>
    <cellStyle name="Normal 4 2 5 3 2 6" xfId="13339"/>
    <cellStyle name="Normal 4 2 5 3 2 6 2" xfId="29473"/>
    <cellStyle name="Normal 4 2 5 3 2 7" xfId="13340"/>
    <cellStyle name="Normal 4 2 5 3 2 7 2" xfId="29474"/>
    <cellStyle name="Normal 4 2 5 3 2 8" xfId="13341"/>
    <cellStyle name="Normal 4 2 5 3 2 8 2" xfId="29475"/>
    <cellStyle name="Normal 4 2 5 3 2 9" xfId="13342"/>
    <cellStyle name="Normal 4 2 5 3 2 9 2" xfId="29476"/>
    <cellStyle name="Normal 4 2 5 3 3" xfId="3096"/>
    <cellStyle name="Normal 4 2 5 3 3 10" xfId="13343"/>
    <cellStyle name="Normal 4 2 5 3 3 10 2" xfId="29477"/>
    <cellStyle name="Normal 4 2 5 3 3 11" xfId="6980"/>
    <cellStyle name="Normal 4 2 5 3 3 11 2" xfId="23142"/>
    <cellStyle name="Normal 4 2 5 3 3 12" xfId="19894"/>
    <cellStyle name="Normal 4 2 5 3 3 2" xfId="13344"/>
    <cellStyle name="Normal 4 2 5 3 3 2 2" xfId="29478"/>
    <cellStyle name="Normal 4 2 5 3 3 3" xfId="13345"/>
    <cellStyle name="Normal 4 2 5 3 3 3 2" xfId="29479"/>
    <cellStyle name="Normal 4 2 5 3 3 4" xfId="13346"/>
    <cellStyle name="Normal 4 2 5 3 3 4 2" xfId="29480"/>
    <cellStyle name="Normal 4 2 5 3 3 5" xfId="13347"/>
    <cellStyle name="Normal 4 2 5 3 3 5 2" xfId="29481"/>
    <cellStyle name="Normal 4 2 5 3 3 6" xfId="13348"/>
    <cellStyle name="Normal 4 2 5 3 3 6 2" xfId="29482"/>
    <cellStyle name="Normal 4 2 5 3 3 7" xfId="13349"/>
    <cellStyle name="Normal 4 2 5 3 3 7 2" xfId="29483"/>
    <cellStyle name="Normal 4 2 5 3 3 8" xfId="13350"/>
    <cellStyle name="Normal 4 2 5 3 3 8 2" xfId="29484"/>
    <cellStyle name="Normal 4 2 5 3 3 9" xfId="13351"/>
    <cellStyle name="Normal 4 2 5 3 3 9 2" xfId="29485"/>
    <cellStyle name="Normal 4 2 5 3 4" xfId="13352"/>
    <cellStyle name="Normal 4 2 5 3 4 2" xfId="29486"/>
    <cellStyle name="Normal 4 2 5 3 5" xfId="13353"/>
    <cellStyle name="Normal 4 2 5 3 5 2" xfId="29487"/>
    <cellStyle name="Normal 4 2 5 3 6" xfId="13354"/>
    <cellStyle name="Normal 4 2 5 3 6 2" xfId="29488"/>
    <cellStyle name="Normal 4 2 5 3 7" xfId="13355"/>
    <cellStyle name="Normal 4 2 5 3 7 2" xfId="29489"/>
    <cellStyle name="Normal 4 2 5 3 8" xfId="13356"/>
    <cellStyle name="Normal 4 2 5 3 8 2" xfId="29490"/>
    <cellStyle name="Normal 4 2 5 3 9" xfId="13357"/>
    <cellStyle name="Normal 4 2 5 3 9 2" xfId="29491"/>
    <cellStyle name="Normal 4 2 5 4" xfId="3098"/>
    <cellStyle name="Normal 4 2 5 4 10" xfId="13358"/>
    <cellStyle name="Normal 4 2 5 4 10 2" xfId="29492"/>
    <cellStyle name="Normal 4 2 5 4 11" xfId="13359"/>
    <cellStyle name="Normal 4 2 5 4 11 2" xfId="29493"/>
    <cellStyle name="Normal 4 2 5 4 12" xfId="13360"/>
    <cellStyle name="Normal 4 2 5 4 12 2" xfId="29494"/>
    <cellStyle name="Normal 4 2 5 4 13" xfId="6981"/>
    <cellStyle name="Normal 4 2 5 4 13 2" xfId="23143"/>
    <cellStyle name="Normal 4 2 5 4 14" xfId="19896"/>
    <cellStyle name="Normal 4 2 5 4 2" xfId="3100"/>
    <cellStyle name="Normal 4 2 5 4 2 10" xfId="13361"/>
    <cellStyle name="Normal 4 2 5 4 2 10 2" xfId="29495"/>
    <cellStyle name="Normal 4 2 5 4 2 11" xfId="6983"/>
    <cellStyle name="Normal 4 2 5 4 2 11 2" xfId="23145"/>
    <cellStyle name="Normal 4 2 5 4 2 12" xfId="19897"/>
    <cellStyle name="Normal 4 2 5 4 2 2" xfId="13362"/>
    <cellStyle name="Normal 4 2 5 4 2 2 2" xfId="29496"/>
    <cellStyle name="Normal 4 2 5 4 2 3" xfId="13363"/>
    <cellStyle name="Normal 4 2 5 4 2 3 2" xfId="29497"/>
    <cellStyle name="Normal 4 2 5 4 2 4" xfId="13364"/>
    <cellStyle name="Normal 4 2 5 4 2 4 2" xfId="29498"/>
    <cellStyle name="Normal 4 2 5 4 2 5" xfId="13365"/>
    <cellStyle name="Normal 4 2 5 4 2 5 2" xfId="29499"/>
    <cellStyle name="Normal 4 2 5 4 2 6" xfId="13366"/>
    <cellStyle name="Normal 4 2 5 4 2 6 2" xfId="29500"/>
    <cellStyle name="Normal 4 2 5 4 2 7" xfId="13367"/>
    <cellStyle name="Normal 4 2 5 4 2 7 2" xfId="29501"/>
    <cellStyle name="Normal 4 2 5 4 2 8" xfId="13368"/>
    <cellStyle name="Normal 4 2 5 4 2 8 2" xfId="29502"/>
    <cellStyle name="Normal 4 2 5 4 2 9" xfId="13369"/>
    <cellStyle name="Normal 4 2 5 4 2 9 2" xfId="29503"/>
    <cellStyle name="Normal 4 2 5 4 3" xfId="3101"/>
    <cellStyle name="Normal 4 2 5 4 3 10" xfId="13370"/>
    <cellStyle name="Normal 4 2 5 4 3 10 2" xfId="29504"/>
    <cellStyle name="Normal 4 2 5 4 3 11" xfId="6985"/>
    <cellStyle name="Normal 4 2 5 4 3 11 2" xfId="23147"/>
    <cellStyle name="Normal 4 2 5 4 3 12" xfId="19898"/>
    <cellStyle name="Normal 4 2 5 4 3 2" xfId="13371"/>
    <cellStyle name="Normal 4 2 5 4 3 2 2" xfId="29505"/>
    <cellStyle name="Normal 4 2 5 4 3 3" xfId="13372"/>
    <cellStyle name="Normal 4 2 5 4 3 3 2" xfId="29506"/>
    <cellStyle name="Normal 4 2 5 4 3 4" xfId="13373"/>
    <cellStyle name="Normal 4 2 5 4 3 4 2" xfId="29507"/>
    <cellStyle name="Normal 4 2 5 4 3 5" xfId="13374"/>
    <cellStyle name="Normal 4 2 5 4 3 5 2" xfId="29508"/>
    <cellStyle name="Normal 4 2 5 4 3 6" xfId="13375"/>
    <cellStyle name="Normal 4 2 5 4 3 6 2" xfId="29509"/>
    <cellStyle name="Normal 4 2 5 4 3 7" xfId="13376"/>
    <cellStyle name="Normal 4 2 5 4 3 7 2" xfId="29510"/>
    <cellStyle name="Normal 4 2 5 4 3 8" xfId="13377"/>
    <cellStyle name="Normal 4 2 5 4 3 8 2" xfId="29511"/>
    <cellStyle name="Normal 4 2 5 4 3 9" xfId="13378"/>
    <cellStyle name="Normal 4 2 5 4 3 9 2" xfId="29512"/>
    <cellStyle name="Normal 4 2 5 4 4" xfId="13379"/>
    <cellStyle name="Normal 4 2 5 4 4 2" xfId="29513"/>
    <cellStyle name="Normal 4 2 5 4 5" xfId="13380"/>
    <cellStyle name="Normal 4 2 5 4 5 2" xfId="29514"/>
    <cellStyle name="Normal 4 2 5 4 6" xfId="13381"/>
    <cellStyle name="Normal 4 2 5 4 6 2" xfId="29515"/>
    <cellStyle name="Normal 4 2 5 4 7" xfId="13382"/>
    <cellStyle name="Normal 4 2 5 4 7 2" xfId="29516"/>
    <cellStyle name="Normal 4 2 5 4 8" xfId="13383"/>
    <cellStyle name="Normal 4 2 5 4 8 2" xfId="29517"/>
    <cellStyle name="Normal 4 2 5 4 9" xfId="13384"/>
    <cellStyle name="Normal 4 2 5 4 9 2" xfId="29518"/>
    <cellStyle name="Normal 4 2 5 5" xfId="3103"/>
    <cellStyle name="Normal 4 2 5 5 10" xfId="13385"/>
    <cellStyle name="Normal 4 2 5 5 10 2" xfId="29519"/>
    <cellStyle name="Normal 4 2 5 5 11" xfId="13386"/>
    <cellStyle name="Normal 4 2 5 5 11 2" xfId="29520"/>
    <cellStyle name="Normal 4 2 5 5 12" xfId="13387"/>
    <cellStyle name="Normal 4 2 5 5 12 2" xfId="29521"/>
    <cellStyle name="Normal 4 2 5 5 13" xfId="6986"/>
    <cellStyle name="Normal 4 2 5 5 13 2" xfId="23148"/>
    <cellStyle name="Normal 4 2 5 5 14" xfId="19900"/>
    <cellStyle name="Normal 4 2 5 5 2" xfId="659"/>
    <cellStyle name="Normal 4 2 5 5 2 10" xfId="13388"/>
    <cellStyle name="Normal 4 2 5 5 2 10 2" xfId="29522"/>
    <cellStyle name="Normal 4 2 5 5 2 11" xfId="4589"/>
    <cellStyle name="Normal 4 2 5 5 2 11 2" xfId="20751"/>
    <cellStyle name="Normal 4 2 5 5 2 12" xfId="19144"/>
    <cellStyle name="Normal 4 2 5 5 2 2" xfId="13389"/>
    <cellStyle name="Normal 4 2 5 5 2 2 2" xfId="29523"/>
    <cellStyle name="Normal 4 2 5 5 2 3" xfId="13390"/>
    <cellStyle name="Normal 4 2 5 5 2 3 2" xfId="29524"/>
    <cellStyle name="Normal 4 2 5 5 2 4" xfId="13391"/>
    <cellStyle name="Normal 4 2 5 5 2 4 2" xfId="29525"/>
    <cellStyle name="Normal 4 2 5 5 2 5" xfId="13392"/>
    <cellStyle name="Normal 4 2 5 5 2 5 2" xfId="29526"/>
    <cellStyle name="Normal 4 2 5 5 2 6" xfId="13393"/>
    <cellStyle name="Normal 4 2 5 5 2 6 2" xfId="29527"/>
    <cellStyle name="Normal 4 2 5 5 2 7" xfId="13394"/>
    <cellStyle name="Normal 4 2 5 5 2 7 2" xfId="29528"/>
    <cellStyle name="Normal 4 2 5 5 2 8" xfId="13395"/>
    <cellStyle name="Normal 4 2 5 5 2 8 2" xfId="29529"/>
    <cellStyle name="Normal 4 2 5 5 2 9" xfId="13396"/>
    <cellStyle name="Normal 4 2 5 5 2 9 2" xfId="29530"/>
    <cellStyle name="Normal 4 2 5 5 3" xfId="3104"/>
    <cellStyle name="Normal 4 2 5 5 3 10" xfId="13397"/>
    <cellStyle name="Normal 4 2 5 5 3 10 2" xfId="29531"/>
    <cellStyle name="Normal 4 2 5 5 3 11" xfId="6988"/>
    <cellStyle name="Normal 4 2 5 5 3 11 2" xfId="23150"/>
    <cellStyle name="Normal 4 2 5 5 3 12" xfId="19901"/>
    <cellStyle name="Normal 4 2 5 5 3 2" xfId="13398"/>
    <cellStyle name="Normal 4 2 5 5 3 2 2" xfId="29532"/>
    <cellStyle name="Normal 4 2 5 5 3 3" xfId="13399"/>
    <cellStyle name="Normal 4 2 5 5 3 3 2" xfId="29533"/>
    <cellStyle name="Normal 4 2 5 5 3 4" xfId="13400"/>
    <cellStyle name="Normal 4 2 5 5 3 4 2" xfId="29534"/>
    <cellStyle name="Normal 4 2 5 5 3 5" xfId="13401"/>
    <cellStyle name="Normal 4 2 5 5 3 5 2" xfId="29535"/>
    <cellStyle name="Normal 4 2 5 5 3 6" xfId="13402"/>
    <cellStyle name="Normal 4 2 5 5 3 6 2" xfId="29536"/>
    <cellStyle name="Normal 4 2 5 5 3 7" xfId="13403"/>
    <cellStyle name="Normal 4 2 5 5 3 7 2" xfId="29537"/>
    <cellStyle name="Normal 4 2 5 5 3 8" xfId="13404"/>
    <cellStyle name="Normal 4 2 5 5 3 8 2" xfId="29538"/>
    <cellStyle name="Normal 4 2 5 5 3 9" xfId="13405"/>
    <cellStyle name="Normal 4 2 5 5 3 9 2" xfId="29539"/>
    <cellStyle name="Normal 4 2 5 5 4" xfId="13406"/>
    <cellStyle name="Normal 4 2 5 5 4 2" xfId="29540"/>
    <cellStyle name="Normal 4 2 5 5 5" xfId="13407"/>
    <cellStyle name="Normal 4 2 5 5 5 2" xfId="29541"/>
    <cellStyle name="Normal 4 2 5 5 6" xfId="13408"/>
    <cellStyle name="Normal 4 2 5 5 6 2" xfId="29542"/>
    <cellStyle name="Normal 4 2 5 5 7" xfId="13409"/>
    <cellStyle name="Normal 4 2 5 5 7 2" xfId="29543"/>
    <cellStyle name="Normal 4 2 5 5 8" xfId="13410"/>
    <cellStyle name="Normal 4 2 5 5 8 2" xfId="29544"/>
    <cellStyle name="Normal 4 2 5 5 9" xfId="13411"/>
    <cellStyle name="Normal 4 2 5 5 9 2" xfId="29545"/>
    <cellStyle name="Normal 4 2 5 6" xfId="3105"/>
    <cellStyle name="Normal 4 2 5 6 10" xfId="13412"/>
    <cellStyle name="Normal 4 2 5 6 10 2" xfId="29546"/>
    <cellStyle name="Normal 4 2 5 6 11" xfId="13413"/>
    <cellStyle name="Normal 4 2 5 6 11 2" xfId="29547"/>
    <cellStyle name="Normal 4 2 5 6 12" xfId="13414"/>
    <cellStyle name="Normal 4 2 5 6 12 2" xfId="29548"/>
    <cellStyle name="Normal 4 2 5 6 13" xfId="6989"/>
    <cellStyle name="Normal 4 2 5 6 13 2" xfId="23151"/>
    <cellStyle name="Normal 4 2 5 6 14" xfId="19902"/>
    <cellStyle name="Normal 4 2 5 6 2" xfId="3107"/>
    <cellStyle name="Normal 4 2 5 6 2 10" xfId="13415"/>
    <cellStyle name="Normal 4 2 5 6 2 10 2" xfId="29549"/>
    <cellStyle name="Normal 4 2 5 6 2 11" xfId="6990"/>
    <cellStyle name="Normal 4 2 5 6 2 11 2" xfId="23152"/>
    <cellStyle name="Normal 4 2 5 6 2 12" xfId="19903"/>
    <cellStyle name="Normal 4 2 5 6 2 2" xfId="13416"/>
    <cellStyle name="Normal 4 2 5 6 2 2 2" xfId="29550"/>
    <cellStyle name="Normal 4 2 5 6 2 3" xfId="13417"/>
    <cellStyle name="Normal 4 2 5 6 2 3 2" xfId="29551"/>
    <cellStyle name="Normal 4 2 5 6 2 4" xfId="13418"/>
    <cellStyle name="Normal 4 2 5 6 2 4 2" xfId="29552"/>
    <cellStyle name="Normal 4 2 5 6 2 5" xfId="13419"/>
    <cellStyle name="Normal 4 2 5 6 2 5 2" xfId="29553"/>
    <cellStyle name="Normal 4 2 5 6 2 6" xfId="13420"/>
    <cellStyle name="Normal 4 2 5 6 2 6 2" xfId="29554"/>
    <cellStyle name="Normal 4 2 5 6 2 7" xfId="13421"/>
    <cellStyle name="Normal 4 2 5 6 2 7 2" xfId="29555"/>
    <cellStyle name="Normal 4 2 5 6 2 8" xfId="13422"/>
    <cellStyle name="Normal 4 2 5 6 2 8 2" xfId="29556"/>
    <cellStyle name="Normal 4 2 5 6 2 9" xfId="13423"/>
    <cellStyle name="Normal 4 2 5 6 2 9 2" xfId="29557"/>
    <cellStyle name="Normal 4 2 5 6 3" xfId="3108"/>
    <cellStyle name="Normal 4 2 5 6 3 10" xfId="13424"/>
    <cellStyle name="Normal 4 2 5 6 3 10 2" xfId="29558"/>
    <cellStyle name="Normal 4 2 5 6 3 11" xfId="6992"/>
    <cellStyle name="Normal 4 2 5 6 3 11 2" xfId="23154"/>
    <cellStyle name="Normal 4 2 5 6 3 12" xfId="19904"/>
    <cellStyle name="Normal 4 2 5 6 3 2" xfId="13425"/>
    <cellStyle name="Normal 4 2 5 6 3 2 2" xfId="29559"/>
    <cellStyle name="Normal 4 2 5 6 3 3" xfId="13426"/>
    <cellStyle name="Normal 4 2 5 6 3 3 2" xfId="29560"/>
    <cellStyle name="Normal 4 2 5 6 3 4" xfId="13427"/>
    <cellStyle name="Normal 4 2 5 6 3 4 2" xfId="29561"/>
    <cellStyle name="Normal 4 2 5 6 3 5" xfId="13428"/>
    <cellStyle name="Normal 4 2 5 6 3 5 2" xfId="29562"/>
    <cellStyle name="Normal 4 2 5 6 3 6" xfId="13429"/>
    <cellStyle name="Normal 4 2 5 6 3 6 2" xfId="29563"/>
    <cellStyle name="Normal 4 2 5 6 3 7" xfId="13430"/>
    <cellStyle name="Normal 4 2 5 6 3 7 2" xfId="29564"/>
    <cellStyle name="Normal 4 2 5 6 3 8" xfId="13431"/>
    <cellStyle name="Normal 4 2 5 6 3 8 2" xfId="29565"/>
    <cellStyle name="Normal 4 2 5 6 3 9" xfId="13432"/>
    <cellStyle name="Normal 4 2 5 6 3 9 2" xfId="29566"/>
    <cellStyle name="Normal 4 2 5 6 4" xfId="13433"/>
    <cellStyle name="Normal 4 2 5 6 4 2" xfId="29567"/>
    <cellStyle name="Normal 4 2 5 6 5" xfId="13434"/>
    <cellStyle name="Normal 4 2 5 6 5 2" xfId="29568"/>
    <cellStyle name="Normal 4 2 5 6 6" xfId="13435"/>
    <cellStyle name="Normal 4 2 5 6 6 2" xfId="29569"/>
    <cellStyle name="Normal 4 2 5 6 7" xfId="13436"/>
    <cellStyle name="Normal 4 2 5 6 7 2" xfId="29570"/>
    <cellStyle name="Normal 4 2 5 6 8" xfId="13437"/>
    <cellStyle name="Normal 4 2 5 6 8 2" xfId="29571"/>
    <cellStyle name="Normal 4 2 5 6 9" xfId="13438"/>
    <cellStyle name="Normal 4 2 5 6 9 2" xfId="29572"/>
    <cellStyle name="Normal 4 2 5 7" xfId="3109"/>
    <cellStyle name="Normal 4 2 5 7 10" xfId="13439"/>
    <cellStyle name="Normal 4 2 5 7 10 2" xfId="29573"/>
    <cellStyle name="Normal 4 2 5 7 11" xfId="6993"/>
    <cellStyle name="Normal 4 2 5 7 11 2" xfId="23155"/>
    <cellStyle name="Normal 4 2 5 7 12" xfId="19905"/>
    <cellStyle name="Normal 4 2 5 7 2" xfId="13440"/>
    <cellStyle name="Normal 4 2 5 7 2 2" xfId="29574"/>
    <cellStyle name="Normal 4 2 5 7 3" xfId="13441"/>
    <cellStyle name="Normal 4 2 5 7 3 2" xfId="29575"/>
    <cellStyle name="Normal 4 2 5 7 4" xfId="13442"/>
    <cellStyle name="Normal 4 2 5 7 4 2" xfId="29576"/>
    <cellStyle name="Normal 4 2 5 7 5" xfId="13443"/>
    <cellStyle name="Normal 4 2 5 7 5 2" xfId="29577"/>
    <cellStyle name="Normal 4 2 5 7 6" xfId="13444"/>
    <cellStyle name="Normal 4 2 5 7 6 2" xfId="29578"/>
    <cellStyle name="Normal 4 2 5 7 7" xfId="13445"/>
    <cellStyle name="Normal 4 2 5 7 7 2" xfId="29579"/>
    <cellStyle name="Normal 4 2 5 7 8" xfId="13446"/>
    <cellStyle name="Normal 4 2 5 7 8 2" xfId="29580"/>
    <cellStyle name="Normal 4 2 5 7 9" xfId="13447"/>
    <cellStyle name="Normal 4 2 5 7 9 2" xfId="29581"/>
    <cellStyle name="Normal 4 2 5 8" xfId="3110"/>
    <cellStyle name="Normal 4 2 5 8 10" xfId="13448"/>
    <cellStyle name="Normal 4 2 5 8 10 2" xfId="29582"/>
    <cellStyle name="Normal 4 2 5 8 11" xfId="6994"/>
    <cellStyle name="Normal 4 2 5 8 11 2" xfId="23156"/>
    <cellStyle name="Normal 4 2 5 8 12" xfId="19906"/>
    <cellStyle name="Normal 4 2 5 8 2" xfId="13449"/>
    <cellStyle name="Normal 4 2 5 8 2 2" xfId="29583"/>
    <cellStyle name="Normal 4 2 5 8 3" xfId="13450"/>
    <cellStyle name="Normal 4 2 5 8 3 2" xfId="29584"/>
    <cellStyle name="Normal 4 2 5 8 4" xfId="13451"/>
    <cellStyle name="Normal 4 2 5 8 4 2" xfId="29585"/>
    <cellStyle name="Normal 4 2 5 8 5" xfId="13452"/>
    <cellStyle name="Normal 4 2 5 8 5 2" xfId="29586"/>
    <cellStyle name="Normal 4 2 5 8 6" xfId="13453"/>
    <cellStyle name="Normal 4 2 5 8 6 2" xfId="29587"/>
    <cellStyle name="Normal 4 2 5 8 7" xfId="13454"/>
    <cellStyle name="Normal 4 2 5 8 7 2" xfId="29588"/>
    <cellStyle name="Normal 4 2 5 8 8" xfId="13455"/>
    <cellStyle name="Normal 4 2 5 8 8 2" xfId="29589"/>
    <cellStyle name="Normal 4 2 5 8 9" xfId="13456"/>
    <cellStyle name="Normal 4 2 5 8 9 2" xfId="29590"/>
    <cellStyle name="Normal 4 2 5 9" xfId="13457"/>
    <cellStyle name="Normal 4 2 5 9 2" xfId="29591"/>
    <cellStyle name="Normal 4 2 6" xfId="679"/>
    <cellStyle name="Normal 4 2 6 10" xfId="13458"/>
    <cellStyle name="Normal 4 2 6 10 2" xfId="29592"/>
    <cellStyle name="Normal 4 2 6 11" xfId="13459"/>
    <cellStyle name="Normal 4 2 6 11 2" xfId="29593"/>
    <cellStyle name="Normal 4 2 6 12" xfId="13460"/>
    <cellStyle name="Normal 4 2 6 12 2" xfId="29594"/>
    <cellStyle name="Normal 4 2 6 13" xfId="13461"/>
    <cellStyle name="Normal 4 2 6 13 2" xfId="29595"/>
    <cellStyle name="Normal 4 2 6 14" xfId="13462"/>
    <cellStyle name="Normal 4 2 6 14 2" xfId="29596"/>
    <cellStyle name="Normal 4 2 6 15" xfId="13463"/>
    <cellStyle name="Normal 4 2 6 15 2" xfId="29597"/>
    <cellStyle name="Normal 4 2 6 16" xfId="13464"/>
    <cellStyle name="Normal 4 2 6 16 2" xfId="29598"/>
    <cellStyle name="Normal 4 2 6 17" xfId="13465"/>
    <cellStyle name="Normal 4 2 6 17 2" xfId="29599"/>
    <cellStyle name="Normal 4 2 6 18" xfId="4609"/>
    <cellStyle name="Normal 4 2 6 18 2" xfId="20771"/>
    <cellStyle name="Normal 4 2 6 19" xfId="19151"/>
    <cellStyle name="Normal 4 2 6 2" xfId="3111"/>
    <cellStyle name="Normal 4 2 6 2 10" xfId="13466"/>
    <cellStyle name="Normal 4 2 6 2 10 2" xfId="29600"/>
    <cellStyle name="Normal 4 2 6 2 11" xfId="13467"/>
    <cellStyle name="Normal 4 2 6 2 11 2" xfId="29601"/>
    <cellStyle name="Normal 4 2 6 2 12" xfId="13468"/>
    <cellStyle name="Normal 4 2 6 2 12 2" xfId="29602"/>
    <cellStyle name="Normal 4 2 6 2 13" xfId="6995"/>
    <cellStyle name="Normal 4 2 6 2 13 2" xfId="23157"/>
    <cellStyle name="Normal 4 2 6 2 14" xfId="19907"/>
    <cellStyle name="Normal 4 2 6 2 2" xfId="2513"/>
    <cellStyle name="Normal 4 2 6 2 2 10" xfId="13469"/>
    <cellStyle name="Normal 4 2 6 2 2 10 2" xfId="29603"/>
    <cellStyle name="Normal 4 2 6 2 2 11" xfId="6407"/>
    <cellStyle name="Normal 4 2 6 2 2 11 2" xfId="22569"/>
    <cellStyle name="Normal 4 2 6 2 2 12" xfId="19674"/>
    <cellStyle name="Normal 4 2 6 2 2 2" xfId="13470"/>
    <cellStyle name="Normal 4 2 6 2 2 2 2" xfId="29604"/>
    <cellStyle name="Normal 4 2 6 2 2 3" xfId="13471"/>
    <cellStyle name="Normal 4 2 6 2 2 3 2" xfId="29605"/>
    <cellStyle name="Normal 4 2 6 2 2 4" xfId="13472"/>
    <cellStyle name="Normal 4 2 6 2 2 4 2" xfId="29606"/>
    <cellStyle name="Normal 4 2 6 2 2 5" xfId="13473"/>
    <cellStyle name="Normal 4 2 6 2 2 5 2" xfId="29607"/>
    <cellStyle name="Normal 4 2 6 2 2 6" xfId="13474"/>
    <cellStyle name="Normal 4 2 6 2 2 6 2" xfId="29608"/>
    <cellStyle name="Normal 4 2 6 2 2 7" xfId="13475"/>
    <cellStyle name="Normal 4 2 6 2 2 7 2" xfId="29609"/>
    <cellStyle name="Normal 4 2 6 2 2 8" xfId="13476"/>
    <cellStyle name="Normal 4 2 6 2 2 8 2" xfId="29610"/>
    <cellStyle name="Normal 4 2 6 2 2 9" xfId="13477"/>
    <cellStyle name="Normal 4 2 6 2 2 9 2" xfId="29611"/>
    <cellStyle name="Normal 4 2 6 2 3" xfId="3113"/>
    <cellStyle name="Normal 4 2 6 2 3 10" xfId="13478"/>
    <cellStyle name="Normal 4 2 6 2 3 10 2" xfId="29612"/>
    <cellStyle name="Normal 4 2 6 2 3 11" xfId="6996"/>
    <cellStyle name="Normal 4 2 6 2 3 11 2" xfId="23158"/>
    <cellStyle name="Normal 4 2 6 2 3 12" xfId="19908"/>
    <cellStyle name="Normal 4 2 6 2 3 2" xfId="13479"/>
    <cellStyle name="Normal 4 2 6 2 3 2 2" xfId="29613"/>
    <cellStyle name="Normal 4 2 6 2 3 3" xfId="13480"/>
    <cellStyle name="Normal 4 2 6 2 3 3 2" xfId="29614"/>
    <cellStyle name="Normal 4 2 6 2 3 4" xfId="13481"/>
    <cellStyle name="Normal 4 2 6 2 3 4 2" xfId="29615"/>
    <cellStyle name="Normal 4 2 6 2 3 5" xfId="13482"/>
    <cellStyle name="Normal 4 2 6 2 3 5 2" xfId="29616"/>
    <cellStyle name="Normal 4 2 6 2 3 6" xfId="13483"/>
    <cellStyle name="Normal 4 2 6 2 3 6 2" xfId="29617"/>
    <cellStyle name="Normal 4 2 6 2 3 7" xfId="13484"/>
    <cellStyle name="Normal 4 2 6 2 3 7 2" xfId="29618"/>
    <cellStyle name="Normal 4 2 6 2 3 8" xfId="13485"/>
    <cellStyle name="Normal 4 2 6 2 3 8 2" xfId="29619"/>
    <cellStyle name="Normal 4 2 6 2 3 9" xfId="13486"/>
    <cellStyle name="Normal 4 2 6 2 3 9 2" xfId="29620"/>
    <cellStyle name="Normal 4 2 6 2 4" xfId="13487"/>
    <cellStyle name="Normal 4 2 6 2 4 2" xfId="29621"/>
    <cellStyle name="Normal 4 2 6 2 5" xfId="13488"/>
    <cellStyle name="Normal 4 2 6 2 5 2" xfId="29622"/>
    <cellStyle name="Normal 4 2 6 2 6" xfId="13489"/>
    <cellStyle name="Normal 4 2 6 2 6 2" xfId="29623"/>
    <cellStyle name="Normal 4 2 6 2 7" xfId="13490"/>
    <cellStyle name="Normal 4 2 6 2 7 2" xfId="29624"/>
    <cellStyle name="Normal 4 2 6 2 8" xfId="13491"/>
    <cellStyle name="Normal 4 2 6 2 8 2" xfId="29625"/>
    <cellStyle name="Normal 4 2 6 2 9" xfId="13492"/>
    <cellStyle name="Normal 4 2 6 2 9 2" xfId="29626"/>
    <cellStyle name="Normal 4 2 6 3" xfId="3114"/>
    <cellStyle name="Normal 4 2 6 3 10" xfId="13493"/>
    <cellStyle name="Normal 4 2 6 3 10 2" xfId="29627"/>
    <cellStyle name="Normal 4 2 6 3 11" xfId="13494"/>
    <cellStyle name="Normal 4 2 6 3 11 2" xfId="29628"/>
    <cellStyle name="Normal 4 2 6 3 12" xfId="13495"/>
    <cellStyle name="Normal 4 2 6 3 12 2" xfId="29629"/>
    <cellStyle name="Normal 4 2 6 3 13" xfId="6998"/>
    <cellStyle name="Normal 4 2 6 3 13 2" xfId="23160"/>
    <cellStyle name="Normal 4 2 6 3 14" xfId="19909"/>
    <cellStyle name="Normal 4 2 6 3 2" xfId="2592"/>
    <cellStyle name="Normal 4 2 6 3 2 10" xfId="13496"/>
    <cellStyle name="Normal 4 2 6 3 2 10 2" xfId="29630"/>
    <cellStyle name="Normal 4 2 6 3 2 11" xfId="6486"/>
    <cellStyle name="Normal 4 2 6 3 2 11 2" xfId="22648"/>
    <cellStyle name="Normal 4 2 6 3 2 12" xfId="19688"/>
    <cellStyle name="Normal 4 2 6 3 2 2" xfId="13497"/>
    <cellStyle name="Normal 4 2 6 3 2 2 2" xfId="29631"/>
    <cellStyle name="Normal 4 2 6 3 2 3" xfId="13498"/>
    <cellStyle name="Normal 4 2 6 3 2 3 2" xfId="29632"/>
    <cellStyle name="Normal 4 2 6 3 2 4" xfId="13499"/>
    <cellStyle name="Normal 4 2 6 3 2 4 2" xfId="29633"/>
    <cellStyle name="Normal 4 2 6 3 2 5" xfId="13500"/>
    <cellStyle name="Normal 4 2 6 3 2 5 2" xfId="29634"/>
    <cellStyle name="Normal 4 2 6 3 2 6" xfId="13501"/>
    <cellStyle name="Normal 4 2 6 3 2 6 2" xfId="29635"/>
    <cellStyle name="Normal 4 2 6 3 2 7" xfId="13502"/>
    <cellStyle name="Normal 4 2 6 3 2 7 2" xfId="29636"/>
    <cellStyle name="Normal 4 2 6 3 2 8" xfId="13503"/>
    <cellStyle name="Normal 4 2 6 3 2 8 2" xfId="29637"/>
    <cellStyle name="Normal 4 2 6 3 2 9" xfId="13504"/>
    <cellStyle name="Normal 4 2 6 3 2 9 2" xfId="29638"/>
    <cellStyle name="Normal 4 2 6 3 3" xfId="3115"/>
    <cellStyle name="Normal 4 2 6 3 3 10" xfId="13505"/>
    <cellStyle name="Normal 4 2 6 3 3 10 2" xfId="29639"/>
    <cellStyle name="Normal 4 2 6 3 3 11" xfId="6999"/>
    <cellStyle name="Normal 4 2 6 3 3 11 2" xfId="23161"/>
    <cellStyle name="Normal 4 2 6 3 3 12" xfId="19910"/>
    <cellStyle name="Normal 4 2 6 3 3 2" xfId="13506"/>
    <cellStyle name="Normal 4 2 6 3 3 2 2" xfId="29640"/>
    <cellStyle name="Normal 4 2 6 3 3 3" xfId="13507"/>
    <cellStyle name="Normal 4 2 6 3 3 3 2" xfId="29641"/>
    <cellStyle name="Normal 4 2 6 3 3 4" xfId="13508"/>
    <cellStyle name="Normal 4 2 6 3 3 4 2" xfId="29642"/>
    <cellStyle name="Normal 4 2 6 3 3 5" xfId="13509"/>
    <cellStyle name="Normal 4 2 6 3 3 5 2" xfId="29643"/>
    <cellStyle name="Normal 4 2 6 3 3 6" xfId="13510"/>
    <cellStyle name="Normal 4 2 6 3 3 6 2" xfId="29644"/>
    <cellStyle name="Normal 4 2 6 3 3 7" xfId="13511"/>
    <cellStyle name="Normal 4 2 6 3 3 7 2" xfId="29645"/>
    <cellStyle name="Normal 4 2 6 3 3 8" xfId="13512"/>
    <cellStyle name="Normal 4 2 6 3 3 8 2" xfId="29646"/>
    <cellStyle name="Normal 4 2 6 3 3 9" xfId="13513"/>
    <cellStyle name="Normal 4 2 6 3 3 9 2" xfId="29647"/>
    <cellStyle name="Normal 4 2 6 3 4" xfId="13514"/>
    <cellStyle name="Normal 4 2 6 3 4 2" xfId="29648"/>
    <cellStyle name="Normal 4 2 6 3 5" xfId="13515"/>
    <cellStyle name="Normal 4 2 6 3 5 2" xfId="29649"/>
    <cellStyle name="Normal 4 2 6 3 6" xfId="13516"/>
    <cellStyle name="Normal 4 2 6 3 6 2" xfId="29650"/>
    <cellStyle name="Normal 4 2 6 3 7" xfId="13517"/>
    <cellStyle name="Normal 4 2 6 3 7 2" xfId="29651"/>
    <cellStyle name="Normal 4 2 6 3 8" xfId="13518"/>
    <cellStyle name="Normal 4 2 6 3 8 2" xfId="29652"/>
    <cellStyle name="Normal 4 2 6 3 9" xfId="13519"/>
    <cellStyle name="Normal 4 2 6 3 9 2" xfId="29653"/>
    <cellStyle name="Normal 4 2 6 4" xfId="3116"/>
    <cellStyle name="Normal 4 2 6 4 10" xfId="13520"/>
    <cellStyle name="Normal 4 2 6 4 10 2" xfId="29654"/>
    <cellStyle name="Normal 4 2 6 4 11" xfId="13521"/>
    <cellStyle name="Normal 4 2 6 4 11 2" xfId="29655"/>
    <cellStyle name="Normal 4 2 6 4 12" xfId="13522"/>
    <cellStyle name="Normal 4 2 6 4 12 2" xfId="29656"/>
    <cellStyle name="Normal 4 2 6 4 13" xfId="7000"/>
    <cellStyle name="Normal 4 2 6 4 13 2" xfId="23162"/>
    <cellStyle name="Normal 4 2 6 4 14" xfId="19911"/>
    <cellStyle name="Normal 4 2 6 4 2" xfId="2602"/>
    <cellStyle name="Normal 4 2 6 4 2 10" xfId="13523"/>
    <cellStyle name="Normal 4 2 6 4 2 10 2" xfId="29657"/>
    <cellStyle name="Normal 4 2 6 4 2 11" xfId="6497"/>
    <cellStyle name="Normal 4 2 6 4 2 11 2" xfId="22659"/>
    <cellStyle name="Normal 4 2 6 4 2 12" xfId="19689"/>
    <cellStyle name="Normal 4 2 6 4 2 2" xfId="13524"/>
    <cellStyle name="Normal 4 2 6 4 2 2 2" xfId="29658"/>
    <cellStyle name="Normal 4 2 6 4 2 3" xfId="13525"/>
    <cellStyle name="Normal 4 2 6 4 2 3 2" xfId="29659"/>
    <cellStyle name="Normal 4 2 6 4 2 4" xfId="13526"/>
    <cellStyle name="Normal 4 2 6 4 2 4 2" xfId="29660"/>
    <cellStyle name="Normal 4 2 6 4 2 5" xfId="13527"/>
    <cellStyle name="Normal 4 2 6 4 2 5 2" xfId="29661"/>
    <cellStyle name="Normal 4 2 6 4 2 6" xfId="13528"/>
    <cellStyle name="Normal 4 2 6 4 2 6 2" xfId="29662"/>
    <cellStyle name="Normal 4 2 6 4 2 7" xfId="13529"/>
    <cellStyle name="Normal 4 2 6 4 2 7 2" xfId="29663"/>
    <cellStyle name="Normal 4 2 6 4 2 8" xfId="13530"/>
    <cellStyle name="Normal 4 2 6 4 2 8 2" xfId="29664"/>
    <cellStyle name="Normal 4 2 6 4 2 9" xfId="13531"/>
    <cellStyle name="Normal 4 2 6 4 2 9 2" xfId="29665"/>
    <cellStyle name="Normal 4 2 6 4 3" xfId="2643"/>
    <cellStyle name="Normal 4 2 6 4 3 10" xfId="13532"/>
    <cellStyle name="Normal 4 2 6 4 3 10 2" xfId="29666"/>
    <cellStyle name="Normal 4 2 6 4 3 11" xfId="6536"/>
    <cellStyle name="Normal 4 2 6 4 3 11 2" xfId="22698"/>
    <cellStyle name="Normal 4 2 6 4 3 12" xfId="19692"/>
    <cellStyle name="Normal 4 2 6 4 3 2" xfId="13533"/>
    <cellStyle name="Normal 4 2 6 4 3 2 2" xfId="29667"/>
    <cellStyle name="Normal 4 2 6 4 3 3" xfId="13534"/>
    <cellStyle name="Normal 4 2 6 4 3 3 2" xfId="29668"/>
    <cellStyle name="Normal 4 2 6 4 3 4" xfId="13535"/>
    <cellStyle name="Normal 4 2 6 4 3 4 2" xfId="29669"/>
    <cellStyle name="Normal 4 2 6 4 3 5" xfId="13536"/>
    <cellStyle name="Normal 4 2 6 4 3 5 2" xfId="29670"/>
    <cellStyle name="Normal 4 2 6 4 3 6" xfId="13537"/>
    <cellStyle name="Normal 4 2 6 4 3 6 2" xfId="29671"/>
    <cellStyle name="Normal 4 2 6 4 3 7" xfId="13538"/>
    <cellStyle name="Normal 4 2 6 4 3 7 2" xfId="29672"/>
    <cellStyle name="Normal 4 2 6 4 3 8" xfId="13539"/>
    <cellStyle name="Normal 4 2 6 4 3 8 2" xfId="29673"/>
    <cellStyle name="Normal 4 2 6 4 3 9" xfId="13540"/>
    <cellStyle name="Normal 4 2 6 4 3 9 2" xfId="29674"/>
    <cellStyle name="Normal 4 2 6 4 4" xfId="13541"/>
    <cellStyle name="Normal 4 2 6 4 4 2" xfId="29675"/>
    <cellStyle name="Normal 4 2 6 4 5" xfId="13542"/>
    <cellStyle name="Normal 4 2 6 4 5 2" xfId="29676"/>
    <cellStyle name="Normal 4 2 6 4 6" xfId="13543"/>
    <cellStyle name="Normal 4 2 6 4 6 2" xfId="29677"/>
    <cellStyle name="Normal 4 2 6 4 7" xfId="13544"/>
    <cellStyle name="Normal 4 2 6 4 7 2" xfId="29678"/>
    <cellStyle name="Normal 4 2 6 4 8" xfId="13545"/>
    <cellStyle name="Normal 4 2 6 4 8 2" xfId="29679"/>
    <cellStyle name="Normal 4 2 6 4 9" xfId="13546"/>
    <cellStyle name="Normal 4 2 6 4 9 2" xfId="29680"/>
    <cellStyle name="Normal 4 2 6 5" xfId="3117"/>
    <cellStyle name="Normal 4 2 6 5 10" xfId="13547"/>
    <cellStyle name="Normal 4 2 6 5 10 2" xfId="29681"/>
    <cellStyle name="Normal 4 2 6 5 11" xfId="13548"/>
    <cellStyle name="Normal 4 2 6 5 11 2" xfId="29682"/>
    <cellStyle name="Normal 4 2 6 5 12" xfId="13549"/>
    <cellStyle name="Normal 4 2 6 5 12 2" xfId="29683"/>
    <cellStyle name="Normal 4 2 6 5 13" xfId="7001"/>
    <cellStyle name="Normal 4 2 6 5 13 2" xfId="23163"/>
    <cellStyle name="Normal 4 2 6 5 14" xfId="19912"/>
    <cellStyle name="Normal 4 2 6 5 2" xfId="2615"/>
    <cellStyle name="Normal 4 2 6 5 2 10" xfId="13550"/>
    <cellStyle name="Normal 4 2 6 5 2 10 2" xfId="29684"/>
    <cellStyle name="Normal 4 2 6 5 2 11" xfId="6510"/>
    <cellStyle name="Normal 4 2 6 5 2 11 2" xfId="22672"/>
    <cellStyle name="Normal 4 2 6 5 2 12" xfId="19690"/>
    <cellStyle name="Normal 4 2 6 5 2 2" xfId="13551"/>
    <cellStyle name="Normal 4 2 6 5 2 2 2" xfId="29685"/>
    <cellStyle name="Normal 4 2 6 5 2 3" xfId="13552"/>
    <cellStyle name="Normal 4 2 6 5 2 3 2" xfId="29686"/>
    <cellStyle name="Normal 4 2 6 5 2 4" xfId="13553"/>
    <cellStyle name="Normal 4 2 6 5 2 4 2" xfId="29687"/>
    <cellStyle name="Normal 4 2 6 5 2 5" xfId="13554"/>
    <cellStyle name="Normal 4 2 6 5 2 5 2" xfId="29688"/>
    <cellStyle name="Normal 4 2 6 5 2 6" xfId="13555"/>
    <cellStyle name="Normal 4 2 6 5 2 6 2" xfId="29689"/>
    <cellStyle name="Normal 4 2 6 5 2 7" xfId="13556"/>
    <cellStyle name="Normal 4 2 6 5 2 7 2" xfId="29690"/>
    <cellStyle name="Normal 4 2 6 5 2 8" xfId="13557"/>
    <cellStyle name="Normal 4 2 6 5 2 8 2" xfId="29691"/>
    <cellStyle name="Normal 4 2 6 5 2 9" xfId="13558"/>
    <cellStyle name="Normal 4 2 6 5 2 9 2" xfId="29692"/>
    <cellStyle name="Normal 4 2 6 5 3" xfId="2901"/>
    <cellStyle name="Normal 4 2 6 5 3 10" xfId="13559"/>
    <cellStyle name="Normal 4 2 6 5 3 10 2" xfId="29693"/>
    <cellStyle name="Normal 4 2 6 5 3 11" xfId="6789"/>
    <cellStyle name="Normal 4 2 6 5 3 11 2" xfId="22951"/>
    <cellStyle name="Normal 4 2 6 5 3 12" xfId="19838"/>
    <cellStyle name="Normal 4 2 6 5 3 2" xfId="13560"/>
    <cellStyle name="Normal 4 2 6 5 3 2 2" xfId="29694"/>
    <cellStyle name="Normal 4 2 6 5 3 3" xfId="13561"/>
    <cellStyle name="Normal 4 2 6 5 3 3 2" xfId="29695"/>
    <cellStyle name="Normal 4 2 6 5 3 4" xfId="13562"/>
    <cellStyle name="Normal 4 2 6 5 3 4 2" xfId="29696"/>
    <cellStyle name="Normal 4 2 6 5 3 5" xfId="13563"/>
    <cellStyle name="Normal 4 2 6 5 3 5 2" xfId="29697"/>
    <cellStyle name="Normal 4 2 6 5 3 6" xfId="13564"/>
    <cellStyle name="Normal 4 2 6 5 3 6 2" xfId="29698"/>
    <cellStyle name="Normal 4 2 6 5 3 7" xfId="13565"/>
    <cellStyle name="Normal 4 2 6 5 3 7 2" xfId="29699"/>
    <cellStyle name="Normal 4 2 6 5 3 8" xfId="13566"/>
    <cellStyle name="Normal 4 2 6 5 3 8 2" xfId="29700"/>
    <cellStyle name="Normal 4 2 6 5 3 9" xfId="13567"/>
    <cellStyle name="Normal 4 2 6 5 3 9 2" xfId="29701"/>
    <cellStyle name="Normal 4 2 6 5 4" xfId="13568"/>
    <cellStyle name="Normal 4 2 6 5 4 2" xfId="29702"/>
    <cellStyle name="Normal 4 2 6 5 5" xfId="13569"/>
    <cellStyle name="Normal 4 2 6 5 5 2" xfId="29703"/>
    <cellStyle name="Normal 4 2 6 5 6" xfId="13570"/>
    <cellStyle name="Normal 4 2 6 5 6 2" xfId="29704"/>
    <cellStyle name="Normal 4 2 6 5 7" xfId="13571"/>
    <cellStyle name="Normal 4 2 6 5 7 2" xfId="29705"/>
    <cellStyle name="Normal 4 2 6 5 8" xfId="13572"/>
    <cellStyle name="Normal 4 2 6 5 8 2" xfId="29706"/>
    <cellStyle name="Normal 4 2 6 5 9" xfId="13573"/>
    <cellStyle name="Normal 4 2 6 5 9 2" xfId="29707"/>
    <cellStyle name="Normal 4 2 6 6" xfId="3118"/>
    <cellStyle name="Normal 4 2 6 6 10" xfId="13574"/>
    <cellStyle name="Normal 4 2 6 6 10 2" xfId="29708"/>
    <cellStyle name="Normal 4 2 6 6 11" xfId="13575"/>
    <cellStyle name="Normal 4 2 6 6 11 2" xfId="29709"/>
    <cellStyle name="Normal 4 2 6 6 12" xfId="13576"/>
    <cellStyle name="Normal 4 2 6 6 12 2" xfId="29710"/>
    <cellStyle name="Normal 4 2 6 6 13" xfId="7002"/>
    <cellStyle name="Normal 4 2 6 6 13 2" xfId="23164"/>
    <cellStyle name="Normal 4 2 6 6 14" xfId="19913"/>
    <cellStyle name="Normal 4 2 6 6 2" xfId="2632"/>
    <cellStyle name="Normal 4 2 6 6 2 10" xfId="13577"/>
    <cellStyle name="Normal 4 2 6 6 2 10 2" xfId="29711"/>
    <cellStyle name="Normal 4 2 6 6 2 11" xfId="6525"/>
    <cellStyle name="Normal 4 2 6 6 2 11 2" xfId="22687"/>
    <cellStyle name="Normal 4 2 6 6 2 12" xfId="19691"/>
    <cellStyle name="Normal 4 2 6 6 2 2" xfId="13578"/>
    <cellStyle name="Normal 4 2 6 6 2 2 2" xfId="29712"/>
    <cellStyle name="Normal 4 2 6 6 2 3" xfId="13579"/>
    <cellStyle name="Normal 4 2 6 6 2 3 2" xfId="29713"/>
    <cellStyle name="Normal 4 2 6 6 2 4" xfId="13580"/>
    <cellStyle name="Normal 4 2 6 6 2 4 2" xfId="29714"/>
    <cellStyle name="Normal 4 2 6 6 2 5" xfId="13581"/>
    <cellStyle name="Normal 4 2 6 6 2 5 2" xfId="29715"/>
    <cellStyle name="Normal 4 2 6 6 2 6" xfId="13582"/>
    <cellStyle name="Normal 4 2 6 6 2 6 2" xfId="29716"/>
    <cellStyle name="Normal 4 2 6 6 2 7" xfId="13583"/>
    <cellStyle name="Normal 4 2 6 6 2 7 2" xfId="29717"/>
    <cellStyle name="Normal 4 2 6 6 2 8" xfId="13584"/>
    <cellStyle name="Normal 4 2 6 6 2 8 2" xfId="29718"/>
    <cellStyle name="Normal 4 2 6 6 2 9" xfId="13585"/>
    <cellStyle name="Normal 4 2 6 6 2 9 2" xfId="29719"/>
    <cellStyle name="Normal 4 2 6 6 3" xfId="3120"/>
    <cellStyle name="Normal 4 2 6 6 3 10" xfId="13586"/>
    <cellStyle name="Normal 4 2 6 6 3 10 2" xfId="29720"/>
    <cellStyle name="Normal 4 2 6 6 3 11" xfId="7003"/>
    <cellStyle name="Normal 4 2 6 6 3 11 2" xfId="23165"/>
    <cellStyle name="Normal 4 2 6 6 3 12" xfId="19914"/>
    <cellStyle name="Normal 4 2 6 6 3 2" xfId="13587"/>
    <cellStyle name="Normal 4 2 6 6 3 2 2" xfId="29721"/>
    <cellStyle name="Normal 4 2 6 6 3 3" xfId="13588"/>
    <cellStyle name="Normal 4 2 6 6 3 3 2" xfId="29722"/>
    <cellStyle name="Normal 4 2 6 6 3 4" xfId="13589"/>
    <cellStyle name="Normal 4 2 6 6 3 4 2" xfId="29723"/>
    <cellStyle name="Normal 4 2 6 6 3 5" xfId="13590"/>
    <cellStyle name="Normal 4 2 6 6 3 5 2" xfId="29724"/>
    <cellStyle name="Normal 4 2 6 6 3 6" xfId="13591"/>
    <cellStyle name="Normal 4 2 6 6 3 6 2" xfId="29725"/>
    <cellStyle name="Normal 4 2 6 6 3 7" xfId="13592"/>
    <cellStyle name="Normal 4 2 6 6 3 7 2" xfId="29726"/>
    <cellStyle name="Normal 4 2 6 6 3 8" xfId="13593"/>
    <cellStyle name="Normal 4 2 6 6 3 8 2" xfId="29727"/>
    <cellStyle name="Normal 4 2 6 6 3 9" xfId="13594"/>
    <cellStyle name="Normal 4 2 6 6 3 9 2" xfId="29728"/>
    <cellStyle name="Normal 4 2 6 6 4" xfId="13595"/>
    <cellStyle name="Normal 4 2 6 6 4 2" xfId="29729"/>
    <cellStyle name="Normal 4 2 6 6 5" xfId="13596"/>
    <cellStyle name="Normal 4 2 6 6 5 2" xfId="29730"/>
    <cellStyle name="Normal 4 2 6 6 6" xfId="13597"/>
    <cellStyle name="Normal 4 2 6 6 6 2" xfId="29731"/>
    <cellStyle name="Normal 4 2 6 6 7" xfId="13598"/>
    <cellStyle name="Normal 4 2 6 6 7 2" xfId="29732"/>
    <cellStyle name="Normal 4 2 6 6 8" xfId="13599"/>
    <cellStyle name="Normal 4 2 6 6 8 2" xfId="29733"/>
    <cellStyle name="Normal 4 2 6 6 9" xfId="13600"/>
    <cellStyle name="Normal 4 2 6 6 9 2" xfId="29734"/>
    <cellStyle name="Normal 4 2 6 7" xfId="3121"/>
    <cellStyle name="Normal 4 2 6 7 10" xfId="13601"/>
    <cellStyle name="Normal 4 2 6 7 10 2" xfId="29735"/>
    <cellStyle name="Normal 4 2 6 7 11" xfId="7005"/>
    <cellStyle name="Normal 4 2 6 7 11 2" xfId="23167"/>
    <cellStyle name="Normal 4 2 6 7 12" xfId="19915"/>
    <cellStyle name="Normal 4 2 6 7 2" xfId="13602"/>
    <cellStyle name="Normal 4 2 6 7 2 2" xfId="29736"/>
    <cellStyle name="Normal 4 2 6 7 3" xfId="13603"/>
    <cellStyle name="Normal 4 2 6 7 3 2" xfId="29737"/>
    <cellStyle name="Normal 4 2 6 7 4" xfId="13604"/>
    <cellStyle name="Normal 4 2 6 7 4 2" xfId="29738"/>
    <cellStyle name="Normal 4 2 6 7 5" xfId="13605"/>
    <cellStyle name="Normal 4 2 6 7 5 2" xfId="29739"/>
    <cellStyle name="Normal 4 2 6 7 6" xfId="13606"/>
    <cellStyle name="Normal 4 2 6 7 6 2" xfId="29740"/>
    <cellStyle name="Normal 4 2 6 7 7" xfId="13607"/>
    <cellStyle name="Normal 4 2 6 7 7 2" xfId="29741"/>
    <cellStyle name="Normal 4 2 6 7 8" xfId="13608"/>
    <cellStyle name="Normal 4 2 6 7 8 2" xfId="29742"/>
    <cellStyle name="Normal 4 2 6 7 9" xfId="13609"/>
    <cellStyle name="Normal 4 2 6 7 9 2" xfId="29743"/>
    <cellStyle name="Normal 4 2 6 8" xfId="3122"/>
    <cellStyle name="Normal 4 2 6 8 10" xfId="13610"/>
    <cellStyle name="Normal 4 2 6 8 10 2" xfId="29744"/>
    <cellStyle name="Normal 4 2 6 8 11" xfId="7006"/>
    <cellStyle name="Normal 4 2 6 8 11 2" xfId="23168"/>
    <cellStyle name="Normal 4 2 6 8 12" xfId="19916"/>
    <cellStyle name="Normal 4 2 6 8 2" xfId="13611"/>
    <cellStyle name="Normal 4 2 6 8 2 2" xfId="29745"/>
    <cellStyle name="Normal 4 2 6 8 3" xfId="13612"/>
    <cellStyle name="Normal 4 2 6 8 3 2" xfId="29746"/>
    <cellStyle name="Normal 4 2 6 8 4" xfId="13613"/>
    <cellStyle name="Normal 4 2 6 8 4 2" xfId="29747"/>
    <cellStyle name="Normal 4 2 6 8 5" xfId="13614"/>
    <cellStyle name="Normal 4 2 6 8 5 2" xfId="29748"/>
    <cellStyle name="Normal 4 2 6 8 6" xfId="13615"/>
    <cellStyle name="Normal 4 2 6 8 6 2" xfId="29749"/>
    <cellStyle name="Normal 4 2 6 8 7" xfId="13616"/>
    <cellStyle name="Normal 4 2 6 8 7 2" xfId="29750"/>
    <cellStyle name="Normal 4 2 6 8 8" xfId="13617"/>
    <cellStyle name="Normal 4 2 6 8 8 2" xfId="29751"/>
    <cellStyle name="Normal 4 2 6 8 9" xfId="13618"/>
    <cellStyle name="Normal 4 2 6 8 9 2" xfId="29752"/>
    <cellStyle name="Normal 4 2 6 9" xfId="13619"/>
    <cellStyle name="Normal 4 2 6 9 2" xfId="29753"/>
    <cellStyle name="Normal 4 2 7" xfId="1263"/>
    <cellStyle name="Normal 4 2 7 10" xfId="13620"/>
    <cellStyle name="Normal 4 2 7 10 2" xfId="29754"/>
    <cellStyle name="Normal 4 2 7 11" xfId="13621"/>
    <cellStyle name="Normal 4 2 7 11 2" xfId="29755"/>
    <cellStyle name="Normal 4 2 7 12" xfId="13622"/>
    <cellStyle name="Normal 4 2 7 12 2" xfId="29756"/>
    <cellStyle name="Normal 4 2 7 13" xfId="13623"/>
    <cellStyle name="Normal 4 2 7 13 2" xfId="29757"/>
    <cellStyle name="Normal 4 2 7 14" xfId="13624"/>
    <cellStyle name="Normal 4 2 7 14 2" xfId="29758"/>
    <cellStyle name="Normal 4 2 7 15" xfId="13625"/>
    <cellStyle name="Normal 4 2 7 15 2" xfId="29759"/>
    <cellStyle name="Normal 4 2 7 16" xfId="13626"/>
    <cellStyle name="Normal 4 2 7 16 2" xfId="29760"/>
    <cellStyle name="Normal 4 2 7 17" xfId="13627"/>
    <cellStyle name="Normal 4 2 7 17 2" xfId="29761"/>
    <cellStyle name="Normal 4 2 7 18" xfId="5183"/>
    <cellStyle name="Normal 4 2 7 18 2" xfId="21345"/>
    <cellStyle name="Normal 4 2 7 19" xfId="19386"/>
    <cellStyle name="Normal 4 2 7 2" xfId="2109"/>
    <cellStyle name="Normal 4 2 7 2 10" xfId="13628"/>
    <cellStyle name="Normal 4 2 7 2 10 2" xfId="29762"/>
    <cellStyle name="Normal 4 2 7 2 11" xfId="13629"/>
    <cellStyle name="Normal 4 2 7 2 11 2" xfId="29763"/>
    <cellStyle name="Normal 4 2 7 2 12" xfId="13630"/>
    <cellStyle name="Normal 4 2 7 2 12 2" xfId="29764"/>
    <cellStyle name="Normal 4 2 7 2 13" xfId="6011"/>
    <cellStyle name="Normal 4 2 7 2 13 2" xfId="22173"/>
    <cellStyle name="Normal 4 2 7 2 14" xfId="19616"/>
    <cellStyle name="Normal 4 2 7 2 2" xfId="867"/>
    <cellStyle name="Normal 4 2 7 2 2 10" xfId="13631"/>
    <cellStyle name="Normal 4 2 7 2 2 10 2" xfId="29765"/>
    <cellStyle name="Normal 4 2 7 2 2 11" xfId="4791"/>
    <cellStyle name="Normal 4 2 7 2 2 11 2" xfId="20953"/>
    <cellStyle name="Normal 4 2 7 2 2 12" xfId="19214"/>
    <cellStyle name="Normal 4 2 7 2 2 2" xfId="13632"/>
    <cellStyle name="Normal 4 2 7 2 2 2 2" xfId="29766"/>
    <cellStyle name="Normal 4 2 7 2 2 3" xfId="13633"/>
    <cellStyle name="Normal 4 2 7 2 2 3 2" xfId="29767"/>
    <cellStyle name="Normal 4 2 7 2 2 4" xfId="13634"/>
    <cellStyle name="Normal 4 2 7 2 2 4 2" xfId="29768"/>
    <cellStyle name="Normal 4 2 7 2 2 5" xfId="13635"/>
    <cellStyle name="Normal 4 2 7 2 2 5 2" xfId="29769"/>
    <cellStyle name="Normal 4 2 7 2 2 6" xfId="13636"/>
    <cellStyle name="Normal 4 2 7 2 2 6 2" xfId="29770"/>
    <cellStyle name="Normal 4 2 7 2 2 7" xfId="13637"/>
    <cellStyle name="Normal 4 2 7 2 2 7 2" xfId="29771"/>
    <cellStyle name="Normal 4 2 7 2 2 8" xfId="13638"/>
    <cellStyle name="Normal 4 2 7 2 2 8 2" xfId="29772"/>
    <cellStyle name="Normal 4 2 7 2 2 9" xfId="13639"/>
    <cellStyle name="Normal 4 2 7 2 2 9 2" xfId="29773"/>
    <cellStyle name="Normal 4 2 7 2 3" xfId="872"/>
    <cellStyle name="Normal 4 2 7 2 3 10" xfId="13640"/>
    <cellStyle name="Normal 4 2 7 2 3 10 2" xfId="29774"/>
    <cellStyle name="Normal 4 2 7 2 3 11" xfId="4797"/>
    <cellStyle name="Normal 4 2 7 2 3 11 2" xfId="20959"/>
    <cellStyle name="Normal 4 2 7 2 3 12" xfId="19218"/>
    <cellStyle name="Normal 4 2 7 2 3 2" xfId="13641"/>
    <cellStyle name="Normal 4 2 7 2 3 2 2" xfId="29775"/>
    <cellStyle name="Normal 4 2 7 2 3 3" xfId="13642"/>
    <cellStyle name="Normal 4 2 7 2 3 3 2" xfId="29776"/>
    <cellStyle name="Normal 4 2 7 2 3 4" xfId="13643"/>
    <cellStyle name="Normal 4 2 7 2 3 4 2" xfId="29777"/>
    <cellStyle name="Normal 4 2 7 2 3 5" xfId="13644"/>
    <cellStyle name="Normal 4 2 7 2 3 5 2" xfId="29778"/>
    <cellStyle name="Normal 4 2 7 2 3 6" xfId="13645"/>
    <cellStyle name="Normal 4 2 7 2 3 6 2" xfId="29779"/>
    <cellStyle name="Normal 4 2 7 2 3 7" xfId="13646"/>
    <cellStyle name="Normal 4 2 7 2 3 7 2" xfId="29780"/>
    <cellStyle name="Normal 4 2 7 2 3 8" xfId="13647"/>
    <cellStyle name="Normal 4 2 7 2 3 8 2" xfId="29781"/>
    <cellStyle name="Normal 4 2 7 2 3 9" xfId="13648"/>
    <cellStyle name="Normal 4 2 7 2 3 9 2" xfId="29782"/>
    <cellStyle name="Normal 4 2 7 2 4" xfId="13649"/>
    <cellStyle name="Normal 4 2 7 2 4 2" xfId="29783"/>
    <cellStyle name="Normal 4 2 7 2 5" xfId="13650"/>
    <cellStyle name="Normal 4 2 7 2 5 2" xfId="29784"/>
    <cellStyle name="Normal 4 2 7 2 6" xfId="13651"/>
    <cellStyle name="Normal 4 2 7 2 6 2" xfId="29785"/>
    <cellStyle name="Normal 4 2 7 2 7" xfId="13652"/>
    <cellStyle name="Normal 4 2 7 2 7 2" xfId="29786"/>
    <cellStyle name="Normal 4 2 7 2 8" xfId="13653"/>
    <cellStyle name="Normal 4 2 7 2 8 2" xfId="29787"/>
    <cellStyle name="Normal 4 2 7 2 9" xfId="13654"/>
    <cellStyle name="Normal 4 2 7 2 9 2" xfId="29788"/>
    <cellStyle name="Normal 4 2 7 3" xfId="2515"/>
    <cellStyle name="Normal 4 2 7 3 10" xfId="13655"/>
    <cellStyle name="Normal 4 2 7 3 10 2" xfId="29789"/>
    <cellStyle name="Normal 4 2 7 3 11" xfId="13656"/>
    <cellStyle name="Normal 4 2 7 3 11 2" xfId="29790"/>
    <cellStyle name="Normal 4 2 7 3 12" xfId="13657"/>
    <cellStyle name="Normal 4 2 7 3 12 2" xfId="29791"/>
    <cellStyle name="Normal 4 2 7 3 13" xfId="6411"/>
    <cellStyle name="Normal 4 2 7 3 13 2" xfId="22573"/>
    <cellStyle name="Normal 4 2 7 3 14" xfId="19675"/>
    <cellStyle name="Normal 4 2 7 3 2" xfId="882"/>
    <cellStyle name="Normal 4 2 7 3 2 10" xfId="13658"/>
    <cellStyle name="Normal 4 2 7 3 2 10 2" xfId="29792"/>
    <cellStyle name="Normal 4 2 7 3 2 11" xfId="4806"/>
    <cellStyle name="Normal 4 2 7 3 2 11 2" xfId="20968"/>
    <cellStyle name="Normal 4 2 7 3 2 12" xfId="19222"/>
    <cellStyle name="Normal 4 2 7 3 2 2" xfId="13659"/>
    <cellStyle name="Normal 4 2 7 3 2 2 2" xfId="29793"/>
    <cellStyle name="Normal 4 2 7 3 2 3" xfId="13660"/>
    <cellStyle name="Normal 4 2 7 3 2 3 2" xfId="29794"/>
    <cellStyle name="Normal 4 2 7 3 2 4" xfId="13661"/>
    <cellStyle name="Normal 4 2 7 3 2 4 2" xfId="29795"/>
    <cellStyle name="Normal 4 2 7 3 2 5" xfId="13662"/>
    <cellStyle name="Normal 4 2 7 3 2 5 2" xfId="29796"/>
    <cellStyle name="Normal 4 2 7 3 2 6" xfId="13663"/>
    <cellStyle name="Normal 4 2 7 3 2 6 2" xfId="29797"/>
    <cellStyle name="Normal 4 2 7 3 2 7" xfId="13664"/>
    <cellStyle name="Normal 4 2 7 3 2 7 2" xfId="29798"/>
    <cellStyle name="Normal 4 2 7 3 2 8" xfId="13665"/>
    <cellStyle name="Normal 4 2 7 3 2 8 2" xfId="29799"/>
    <cellStyle name="Normal 4 2 7 3 2 9" xfId="13666"/>
    <cellStyle name="Normal 4 2 7 3 2 9 2" xfId="29800"/>
    <cellStyle name="Normal 4 2 7 3 3" xfId="884"/>
    <cellStyle name="Normal 4 2 7 3 3 10" xfId="13667"/>
    <cellStyle name="Normal 4 2 7 3 3 10 2" xfId="29801"/>
    <cellStyle name="Normal 4 2 7 3 3 11" xfId="4808"/>
    <cellStyle name="Normal 4 2 7 3 3 11 2" xfId="20970"/>
    <cellStyle name="Normal 4 2 7 3 3 12" xfId="19223"/>
    <cellStyle name="Normal 4 2 7 3 3 2" xfId="13668"/>
    <cellStyle name="Normal 4 2 7 3 3 2 2" xfId="29802"/>
    <cellStyle name="Normal 4 2 7 3 3 3" xfId="13669"/>
    <cellStyle name="Normal 4 2 7 3 3 3 2" xfId="29803"/>
    <cellStyle name="Normal 4 2 7 3 3 4" xfId="13670"/>
    <cellStyle name="Normal 4 2 7 3 3 4 2" xfId="29804"/>
    <cellStyle name="Normal 4 2 7 3 3 5" xfId="13671"/>
    <cellStyle name="Normal 4 2 7 3 3 5 2" xfId="29805"/>
    <cellStyle name="Normal 4 2 7 3 3 6" xfId="13672"/>
    <cellStyle name="Normal 4 2 7 3 3 6 2" xfId="29806"/>
    <cellStyle name="Normal 4 2 7 3 3 7" xfId="13673"/>
    <cellStyle name="Normal 4 2 7 3 3 7 2" xfId="29807"/>
    <cellStyle name="Normal 4 2 7 3 3 8" xfId="13674"/>
    <cellStyle name="Normal 4 2 7 3 3 8 2" xfId="29808"/>
    <cellStyle name="Normal 4 2 7 3 3 9" xfId="13675"/>
    <cellStyle name="Normal 4 2 7 3 3 9 2" xfId="29809"/>
    <cellStyle name="Normal 4 2 7 3 4" xfId="13676"/>
    <cellStyle name="Normal 4 2 7 3 4 2" xfId="29810"/>
    <cellStyle name="Normal 4 2 7 3 5" xfId="13677"/>
    <cellStyle name="Normal 4 2 7 3 5 2" xfId="29811"/>
    <cellStyle name="Normal 4 2 7 3 6" xfId="13678"/>
    <cellStyle name="Normal 4 2 7 3 6 2" xfId="29812"/>
    <cellStyle name="Normal 4 2 7 3 7" xfId="13679"/>
    <cellStyle name="Normal 4 2 7 3 7 2" xfId="29813"/>
    <cellStyle name="Normal 4 2 7 3 8" xfId="13680"/>
    <cellStyle name="Normal 4 2 7 3 8 2" xfId="29814"/>
    <cellStyle name="Normal 4 2 7 3 9" xfId="13681"/>
    <cellStyle name="Normal 4 2 7 3 9 2" xfId="29815"/>
    <cellStyle name="Normal 4 2 7 4" xfId="2518"/>
    <cellStyle name="Normal 4 2 7 4 10" xfId="13682"/>
    <cellStyle name="Normal 4 2 7 4 10 2" xfId="29816"/>
    <cellStyle name="Normal 4 2 7 4 11" xfId="13683"/>
    <cellStyle name="Normal 4 2 7 4 11 2" xfId="29817"/>
    <cellStyle name="Normal 4 2 7 4 12" xfId="13684"/>
    <cellStyle name="Normal 4 2 7 4 12 2" xfId="29818"/>
    <cellStyle name="Normal 4 2 7 4 13" xfId="6414"/>
    <cellStyle name="Normal 4 2 7 4 13 2" xfId="22576"/>
    <cellStyle name="Normal 4 2 7 4 14" xfId="19676"/>
    <cellStyle name="Normal 4 2 7 4 2" xfId="892"/>
    <cellStyle name="Normal 4 2 7 4 2 10" xfId="13685"/>
    <cellStyle name="Normal 4 2 7 4 2 10 2" xfId="29819"/>
    <cellStyle name="Normal 4 2 7 4 2 11" xfId="4816"/>
    <cellStyle name="Normal 4 2 7 4 2 11 2" xfId="20978"/>
    <cellStyle name="Normal 4 2 7 4 2 12" xfId="19224"/>
    <cellStyle name="Normal 4 2 7 4 2 2" xfId="13686"/>
    <cellStyle name="Normal 4 2 7 4 2 2 2" xfId="29820"/>
    <cellStyle name="Normal 4 2 7 4 2 3" xfId="13687"/>
    <cellStyle name="Normal 4 2 7 4 2 3 2" xfId="29821"/>
    <cellStyle name="Normal 4 2 7 4 2 4" xfId="13688"/>
    <cellStyle name="Normal 4 2 7 4 2 4 2" xfId="29822"/>
    <cellStyle name="Normal 4 2 7 4 2 5" xfId="13689"/>
    <cellStyle name="Normal 4 2 7 4 2 5 2" xfId="29823"/>
    <cellStyle name="Normal 4 2 7 4 2 6" xfId="13690"/>
    <cellStyle name="Normal 4 2 7 4 2 6 2" xfId="29824"/>
    <cellStyle name="Normal 4 2 7 4 2 7" xfId="13691"/>
    <cellStyle name="Normal 4 2 7 4 2 7 2" xfId="29825"/>
    <cellStyle name="Normal 4 2 7 4 2 8" xfId="13692"/>
    <cellStyle name="Normal 4 2 7 4 2 8 2" xfId="29826"/>
    <cellStyle name="Normal 4 2 7 4 2 9" xfId="13693"/>
    <cellStyle name="Normal 4 2 7 4 2 9 2" xfId="29827"/>
    <cellStyle name="Normal 4 2 7 4 3" xfId="895"/>
    <cellStyle name="Normal 4 2 7 4 3 10" xfId="13694"/>
    <cellStyle name="Normal 4 2 7 4 3 10 2" xfId="29828"/>
    <cellStyle name="Normal 4 2 7 4 3 11" xfId="4818"/>
    <cellStyle name="Normal 4 2 7 4 3 11 2" xfId="20980"/>
    <cellStyle name="Normal 4 2 7 4 3 12" xfId="19225"/>
    <cellStyle name="Normal 4 2 7 4 3 2" xfId="13695"/>
    <cellStyle name="Normal 4 2 7 4 3 2 2" xfId="29829"/>
    <cellStyle name="Normal 4 2 7 4 3 3" xfId="13696"/>
    <cellStyle name="Normal 4 2 7 4 3 3 2" xfId="29830"/>
    <cellStyle name="Normal 4 2 7 4 3 4" xfId="13697"/>
    <cellStyle name="Normal 4 2 7 4 3 4 2" xfId="29831"/>
    <cellStyle name="Normal 4 2 7 4 3 5" xfId="13698"/>
    <cellStyle name="Normal 4 2 7 4 3 5 2" xfId="29832"/>
    <cellStyle name="Normal 4 2 7 4 3 6" xfId="13699"/>
    <cellStyle name="Normal 4 2 7 4 3 6 2" xfId="29833"/>
    <cellStyle name="Normal 4 2 7 4 3 7" xfId="13700"/>
    <cellStyle name="Normal 4 2 7 4 3 7 2" xfId="29834"/>
    <cellStyle name="Normal 4 2 7 4 3 8" xfId="13701"/>
    <cellStyle name="Normal 4 2 7 4 3 8 2" xfId="29835"/>
    <cellStyle name="Normal 4 2 7 4 3 9" xfId="13702"/>
    <cellStyle name="Normal 4 2 7 4 3 9 2" xfId="29836"/>
    <cellStyle name="Normal 4 2 7 4 4" xfId="13703"/>
    <cellStyle name="Normal 4 2 7 4 4 2" xfId="29837"/>
    <cellStyle name="Normal 4 2 7 4 5" xfId="13704"/>
    <cellStyle name="Normal 4 2 7 4 5 2" xfId="29838"/>
    <cellStyle name="Normal 4 2 7 4 6" xfId="13705"/>
    <cellStyle name="Normal 4 2 7 4 6 2" xfId="29839"/>
    <cellStyle name="Normal 4 2 7 4 7" xfId="13706"/>
    <cellStyle name="Normal 4 2 7 4 7 2" xfId="29840"/>
    <cellStyle name="Normal 4 2 7 4 8" xfId="13707"/>
    <cellStyle name="Normal 4 2 7 4 8 2" xfId="29841"/>
    <cellStyle name="Normal 4 2 7 4 9" xfId="13708"/>
    <cellStyle name="Normal 4 2 7 4 9 2" xfId="29842"/>
    <cellStyle name="Normal 4 2 7 5" xfId="2521"/>
    <cellStyle name="Normal 4 2 7 5 10" xfId="13709"/>
    <cellStyle name="Normal 4 2 7 5 10 2" xfId="29843"/>
    <cellStyle name="Normal 4 2 7 5 11" xfId="13710"/>
    <cellStyle name="Normal 4 2 7 5 11 2" xfId="29844"/>
    <cellStyle name="Normal 4 2 7 5 12" xfId="13711"/>
    <cellStyle name="Normal 4 2 7 5 12 2" xfId="29845"/>
    <cellStyle name="Normal 4 2 7 5 13" xfId="6417"/>
    <cellStyle name="Normal 4 2 7 5 13 2" xfId="22579"/>
    <cellStyle name="Normal 4 2 7 5 14" xfId="19677"/>
    <cellStyle name="Normal 4 2 7 5 2" xfId="3123"/>
    <cellStyle name="Normal 4 2 7 5 2 10" xfId="13712"/>
    <cellStyle name="Normal 4 2 7 5 2 10 2" xfId="29846"/>
    <cellStyle name="Normal 4 2 7 5 2 11" xfId="7007"/>
    <cellStyle name="Normal 4 2 7 5 2 11 2" xfId="23169"/>
    <cellStyle name="Normal 4 2 7 5 2 12" xfId="19917"/>
    <cellStyle name="Normal 4 2 7 5 2 2" xfId="13713"/>
    <cellStyle name="Normal 4 2 7 5 2 2 2" xfId="29847"/>
    <cellStyle name="Normal 4 2 7 5 2 3" xfId="13714"/>
    <cellStyle name="Normal 4 2 7 5 2 3 2" xfId="29848"/>
    <cellStyle name="Normal 4 2 7 5 2 4" xfId="13715"/>
    <cellStyle name="Normal 4 2 7 5 2 4 2" xfId="29849"/>
    <cellStyle name="Normal 4 2 7 5 2 5" xfId="13716"/>
    <cellStyle name="Normal 4 2 7 5 2 5 2" xfId="29850"/>
    <cellStyle name="Normal 4 2 7 5 2 6" xfId="13717"/>
    <cellStyle name="Normal 4 2 7 5 2 6 2" xfId="29851"/>
    <cellStyle name="Normal 4 2 7 5 2 7" xfId="13718"/>
    <cellStyle name="Normal 4 2 7 5 2 7 2" xfId="29852"/>
    <cellStyle name="Normal 4 2 7 5 2 8" xfId="13719"/>
    <cellStyle name="Normal 4 2 7 5 2 8 2" xfId="29853"/>
    <cellStyle name="Normal 4 2 7 5 2 9" xfId="13720"/>
    <cellStyle name="Normal 4 2 7 5 2 9 2" xfId="29854"/>
    <cellStyle name="Normal 4 2 7 5 3" xfId="3124"/>
    <cellStyle name="Normal 4 2 7 5 3 10" xfId="13721"/>
    <cellStyle name="Normal 4 2 7 5 3 10 2" xfId="29855"/>
    <cellStyle name="Normal 4 2 7 5 3 11" xfId="7008"/>
    <cellStyle name="Normal 4 2 7 5 3 11 2" xfId="23170"/>
    <cellStyle name="Normal 4 2 7 5 3 12" xfId="19918"/>
    <cellStyle name="Normal 4 2 7 5 3 2" xfId="13722"/>
    <cellStyle name="Normal 4 2 7 5 3 2 2" xfId="29856"/>
    <cellStyle name="Normal 4 2 7 5 3 3" xfId="13723"/>
    <cellStyle name="Normal 4 2 7 5 3 3 2" xfId="29857"/>
    <cellStyle name="Normal 4 2 7 5 3 4" xfId="13724"/>
    <cellStyle name="Normal 4 2 7 5 3 4 2" xfId="29858"/>
    <cellStyle name="Normal 4 2 7 5 3 5" xfId="13725"/>
    <cellStyle name="Normal 4 2 7 5 3 5 2" xfId="29859"/>
    <cellStyle name="Normal 4 2 7 5 3 6" xfId="13726"/>
    <cellStyle name="Normal 4 2 7 5 3 6 2" xfId="29860"/>
    <cellStyle name="Normal 4 2 7 5 3 7" xfId="13727"/>
    <cellStyle name="Normal 4 2 7 5 3 7 2" xfId="29861"/>
    <cellStyle name="Normal 4 2 7 5 3 8" xfId="13728"/>
    <cellStyle name="Normal 4 2 7 5 3 8 2" xfId="29862"/>
    <cellStyle name="Normal 4 2 7 5 3 9" xfId="13729"/>
    <cellStyle name="Normal 4 2 7 5 3 9 2" xfId="29863"/>
    <cellStyle name="Normal 4 2 7 5 4" xfId="13730"/>
    <cellStyle name="Normal 4 2 7 5 4 2" xfId="29864"/>
    <cellStyle name="Normal 4 2 7 5 5" xfId="13731"/>
    <cellStyle name="Normal 4 2 7 5 5 2" xfId="29865"/>
    <cellStyle name="Normal 4 2 7 5 6" xfId="13732"/>
    <cellStyle name="Normal 4 2 7 5 6 2" xfId="29866"/>
    <cellStyle name="Normal 4 2 7 5 7" xfId="13733"/>
    <cellStyle name="Normal 4 2 7 5 7 2" xfId="29867"/>
    <cellStyle name="Normal 4 2 7 5 8" xfId="13734"/>
    <cellStyle name="Normal 4 2 7 5 8 2" xfId="29868"/>
    <cellStyle name="Normal 4 2 7 5 9" xfId="13735"/>
    <cellStyle name="Normal 4 2 7 5 9 2" xfId="29869"/>
    <cellStyle name="Normal 4 2 7 6" xfId="2524"/>
    <cellStyle name="Normal 4 2 7 6 10" xfId="13736"/>
    <cellStyle name="Normal 4 2 7 6 10 2" xfId="29870"/>
    <cellStyle name="Normal 4 2 7 6 11" xfId="13737"/>
    <cellStyle name="Normal 4 2 7 6 11 2" xfId="29871"/>
    <cellStyle name="Normal 4 2 7 6 12" xfId="13738"/>
    <cellStyle name="Normal 4 2 7 6 12 2" xfId="29872"/>
    <cellStyle name="Normal 4 2 7 6 13" xfId="6420"/>
    <cellStyle name="Normal 4 2 7 6 13 2" xfId="22582"/>
    <cellStyle name="Normal 4 2 7 6 14" xfId="19678"/>
    <cellStyle name="Normal 4 2 7 6 2" xfId="3125"/>
    <cellStyle name="Normal 4 2 7 6 2 10" xfId="13739"/>
    <cellStyle name="Normal 4 2 7 6 2 10 2" xfId="29873"/>
    <cellStyle name="Normal 4 2 7 6 2 11" xfId="7009"/>
    <cellStyle name="Normal 4 2 7 6 2 11 2" xfId="23171"/>
    <cellStyle name="Normal 4 2 7 6 2 12" xfId="19919"/>
    <cellStyle name="Normal 4 2 7 6 2 2" xfId="13740"/>
    <cellStyle name="Normal 4 2 7 6 2 2 2" xfId="29874"/>
    <cellStyle name="Normal 4 2 7 6 2 3" xfId="13741"/>
    <cellStyle name="Normal 4 2 7 6 2 3 2" xfId="29875"/>
    <cellStyle name="Normal 4 2 7 6 2 4" xfId="13742"/>
    <cellStyle name="Normal 4 2 7 6 2 4 2" xfId="29876"/>
    <cellStyle name="Normal 4 2 7 6 2 5" xfId="13743"/>
    <cellStyle name="Normal 4 2 7 6 2 5 2" xfId="29877"/>
    <cellStyle name="Normal 4 2 7 6 2 6" xfId="13744"/>
    <cellStyle name="Normal 4 2 7 6 2 6 2" xfId="29878"/>
    <cellStyle name="Normal 4 2 7 6 2 7" xfId="13745"/>
    <cellStyle name="Normal 4 2 7 6 2 7 2" xfId="29879"/>
    <cellStyle name="Normal 4 2 7 6 2 8" xfId="13746"/>
    <cellStyle name="Normal 4 2 7 6 2 8 2" xfId="29880"/>
    <cellStyle name="Normal 4 2 7 6 2 9" xfId="13747"/>
    <cellStyle name="Normal 4 2 7 6 2 9 2" xfId="29881"/>
    <cellStyle name="Normal 4 2 7 6 3" xfId="3126"/>
    <cellStyle name="Normal 4 2 7 6 3 10" xfId="13748"/>
    <cellStyle name="Normal 4 2 7 6 3 10 2" xfId="29882"/>
    <cellStyle name="Normal 4 2 7 6 3 11" xfId="7010"/>
    <cellStyle name="Normal 4 2 7 6 3 11 2" xfId="23172"/>
    <cellStyle name="Normal 4 2 7 6 3 12" xfId="19920"/>
    <cellStyle name="Normal 4 2 7 6 3 2" xfId="13749"/>
    <cellStyle name="Normal 4 2 7 6 3 2 2" xfId="29883"/>
    <cellStyle name="Normal 4 2 7 6 3 3" xfId="13750"/>
    <cellStyle name="Normal 4 2 7 6 3 3 2" xfId="29884"/>
    <cellStyle name="Normal 4 2 7 6 3 4" xfId="13751"/>
    <cellStyle name="Normal 4 2 7 6 3 4 2" xfId="29885"/>
    <cellStyle name="Normal 4 2 7 6 3 5" xfId="13752"/>
    <cellStyle name="Normal 4 2 7 6 3 5 2" xfId="29886"/>
    <cellStyle name="Normal 4 2 7 6 3 6" xfId="13753"/>
    <cellStyle name="Normal 4 2 7 6 3 6 2" xfId="29887"/>
    <cellStyle name="Normal 4 2 7 6 3 7" xfId="13754"/>
    <cellStyle name="Normal 4 2 7 6 3 7 2" xfId="29888"/>
    <cellStyle name="Normal 4 2 7 6 3 8" xfId="13755"/>
    <cellStyle name="Normal 4 2 7 6 3 8 2" xfId="29889"/>
    <cellStyle name="Normal 4 2 7 6 3 9" xfId="13756"/>
    <cellStyle name="Normal 4 2 7 6 3 9 2" xfId="29890"/>
    <cellStyle name="Normal 4 2 7 6 4" xfId="13757"/>
    <cellStyle name="Normal 4 2 7 6 4 2" xfId="29891"/>
    <cellStyle name="Normal 4 2 7 6 5" xfId="13758"/>
    <cellStyle name="Normal 4 2 7 6 5 2" xfId="29892"/>
    <cellStyle name="Normal 4 2 7 6 6" xfId="13759"/>
    <cellStyle name="Normal 4 2 7 6 6 2" xfId="29893"/>
    <cellStyle name="Normal 4 2 7 6 7" xfId="13760"/>
    <cellStyle name="Normal 4 2 7 6 7 2" xfId="29894"/>
    <cellStyle name="Normal 4 2 7 6 8" xfId="13761"/>
    <cellStyle name="Normal 4 2 7 6 8 2" xfId="29895"/>
    <cellStyle name="Normal 4 2 7 6 9" xfId="13762"/>
    <cellStyle name="Normal 4 2 7 6 9 2" xfId="29896"/>
    <cellStyle name="Normal 4 2 7 7" xfId="2527"/>
    <cellStyle name="Normal 4 2 7 7 10" xfId="13763"/>
    <cellStyle name="Normal 4 2 7 7 10 2" xfId="29897"/>
    <cellStyle name="Normal 4 2 7 7 11" xfId="6422"/>
    <cellStyle name="Normal 4 2 7 7 11 2" xfId="22584"/>
    <cellStyle name="Normal 4 2 7 7 12" xfId="19679"/>
    <cellStyle name="Normal 4 2 7 7 2" xfId="13764"/>
    <cellStyle name="Normal 4 2 7 7 2 2" xfId="29898"/>
    <cellStyle name="Normal 4 2 7 7 3" xfId="13765"/>
    <cellStyle name="Normal 4 2 7 7 3 2" xfId="29899"/>
    <cellStyle name="Normal 4 2 7 7 4" xfId="13766"/>
    <cellStyle name="Normal 4 2 7 7 4 2" xfId="29900"/>
    <cellStyle name="Normal 4 2 7 7 5" xfId="13767"/>
    <cellStyle name="Normal 4 2 7 7 5 2" xfId="29901"/>
    <cellStyle name="Normal 4 2 7 7 6" xfId="13768"/>
    <cellStyle name="Normal 4 2 7 7 6 2" xfId="29902"/>
    <cellStyle name="Normal 4 2 7 7 7" xfId="13769"/>
    <cellStyle name="Normal 4 2 7 7 7 2" xfId="29903"/>
    <cellStyle name="Normal 4 2 7 7 8" xfId="13770"/>
    <cellStyle name="Normal 4 2 7 7 8 2" xfId="29904"/>
    <cellStyle name="Normal 4 2 7 7 9" xfId="13771"/>
    <cellStyle name="Normal 4 2 7 7 9 2" xfId="29905"/>
    <cellStyle name="Normal 4 2 7 8" xfId="3127"/>
    <cellStyle name="Normal 4 2 7 8 10" xfId="13772"/>
    <cellStyle name="Normal 4 2 7 8 10 2" xfId="29906"/>
    <cellStyle name="Normal 4 2 7 8 11" xfId="7011"/>
    <cellStyle name="Normal 4 2 7 8 11 2" xfId="23173"/>
    <cellStyle name="Normal 4 2 7 8 12" xfId="19921"/>
    <cellStyle name="Normal 4 2 7 8 2" xfId="13773"/>
    <cellStyle name="Normal 4 2 7 8 2 2" xfId="29907"/>
    <cellStyle name="Normal 4 2 7 8 3" xfId="13774"/>
    <cellStyle name="Normal 4 2 7 8 3 2" xfId="29908"/>
    <cellStyle name="Normal 4 2 7 8 4" xfId="13775"/>
    <cellStyle name="Normal 4 2 7 8 4 2" xfId="29909"/>
    <cellStyle name="Normal 4 2 7 8 5" xfId="13776"/>
    <cellStyle name="Normal 4 2 7 8 5 2" xfId="29910"/>
    <cellStyle name="Normal 4 2 7 8 6" xfId="13777"/>
    <cellStyle name="Normal 4 2 7 8 6 2" xfId="29911"/>
    <cellStyle name="Normal 4 2 7 8 7" xfId="13778"/>
    <cellStyle name="Normal 4 2 7 8 7 2" xfId="29912"/>
    <cellStyle name="Normal 4 2 7 8 8" xfId="13779"/>
    <cellStyle name="Normal 4 2 7 8 8 2" xfId="29913"/>
    <cellStyle name="Normal 4 2 7 8 9" xfId="13780"/>
    <cellStyle name="Normal 4 2 7 8 9 2" xfId="29914"/>
    <cellStyle name="Normal 4 2 7 9" xfId="13781"/>
    <cellStyle name="Normal 4 2 7 9 2" xfId="29915"/>
    <cellStyle name="Normal 4 2 8" xfId="1266"/>
    <cellStyle name="Normal 4 2 8 10" xfId="13782"/>
    <cellStyle name="Normal 4 2 8 10 2" xfId="29916"/>
    <cellStyle name="Normal 4 2 8 11" xfId="13783"/>
    <cellStyle name="Normal 4 2 8 11 2" xfId="29917"/>
    <cellStyle name="Normal 4 2 8 12" xfId="13784"/>
    <cellStyle name="Normal 4 2 8 12 2" xfId="29918"/>
    <cellStyle name="Normal 4 2 8 13" xfId="13785"/>
    <cellStyle name="Normal 4 2 8 13 2" xfId="29919"/>
    <cellStyle name="Normal 4 2 8 14" xfId="13786"/>
    <cellStyle name="Normal 4 2 8 14 2" xfId="29920"/>
    <cellStyle name="Normal 4 2 8 15" xfId="13787"/>
    <cellStyle name="Normal 4 2 8 15 2" xfId="29921"/>
    <cellStyle name="Normal 4 2 8 16" xfId="13788"/>
    <cellStyle name="Normal 4 2 8 16 2" xfId="29922"/>
    <cellStyle name="Normal 4 2 8 17" xfId="13789"/>
    <cellStyle name="Normal 4 2 8 17 2" xfId="29923"/>
    <cellStyle name="Normal 4 2 8 18" xfId="5186"/>
    <cellStyle name="Normal 4 2 8 18 2" xfId="21348"/>
    <cellStyle name="Normal 4 2 8 19" xfId="19389"/>
    <cellStyle name="Normal 4 2 8 2" xfId="3128"/>
    <cellStyle name="Normal 4 2 8 2 10" xfId="13790"/>
    <cellStyle name="Normal 4 2 8 2 10 2" xfId="29924"/>
    <cellStyle name="Normal 4 2 8 2 11" xfId="13791"/>
    <cellStyle name="Normal 4 2 8 2 11 2" xfId="29925"/>
    <cellStyle name="Normal 4 2 8 2 12" xfId="13792"/>
    <cellStyle name="Normal 4 2 8 2 12 2" xfId="29926"/>
    <cellStyle name="Normal 4 2 8 2 13" xfId="7012"/>
    <cellStyle name="Normal 4 2 8 2 13 2" xfId="23174"/>
    <cellStyle name="Normal 4 2 8 2 14" xfId="19922"/>
    <cellStyle name="Normal 4 2 8 2 2" xfId="3129"/>
    <cellStyle name="Normal 4 2 8 2 2 10" xfId="13793"/>
    <cellStyle name="Normal 4 2 8 2 2 10 2" xfId="29927"/>
    <cellStyle name="Normal 4 2 8 2 2 11" xfId="7013"/>
    <cellStyle name="Normal 4 2 8 2 2 11 2" xfId="23175"/>
    <cellStyle name="Normal 4 2 8 2 2 12" xfId="19923"/>
    <cellStyle name="Normal 4 2 8 2 2 2" xfId="13794"/>
    <cellStyle name="Normal 4 2 8 2 2 2 2" xfId="29928"/>
    <cellStyle name="Normal 4 2 8 2 2 3" xfId="13795"/>
    <cellStyle name="Normal 4 2 8 2 2 3 2" xfId="29929"/>
    <cellStyle name="Normal 4 2 8 2 2 4" xfId="13796"/>
    <cellStyle name="Normal 4 2 8 2 2 4 2" xfId="29930"/>
    <cellStyle name="Normal 4 2 8 2 2 5" xfId="13797"/>
    <cellStyle name="Normal 4 2 8 2 2 5 2" xfId="29931"/>
    <cellStyle name="Normal 4 2 8 2 2 6" xfId="13798"/>
    <cellStyle name="Normal 4 2 8 2 2 6 2" xfId="29932"/>
    <cellStyle name="Normal 4 2 8 2 2 7" xfId="13799"/>
    <cellStyle name="Normal 4 2 8 2 2 7 2" xfId="29933"/>
    <cellStyle name="Normal 4 2 8 2 2 8" xfId="13800"/>
    <cellStyle name="Normal 4 2 8 2 2 8 2" xfId="29934"/>
    <cellStyle name="Normal 4 2 8 2 2 9" xfId="13801"/>
    <cellStyle name="Normal 4 2 8 2 2 9 2" xfId="29935"/>
    <cellStyle name="Normal 4 2 8 2 3" xfId="3130"/>
    <cellStyle name="Normal 4 2 8 2 3 10" xfId="13802"/>
    <cellStyle name="Normal 4 2 8 2 3 10 2" xfId="29936"/>
    <cellStyle name="Normal 4 2 8 2 3 11" xfId="7014"/>
    <cellStyle name="Normal 4 2 8 2 3 11 2" xfId="23176"/>
    <cellStyle name="Normal 4 2 8 2 3 12" xfId="19924"/>
    <cellStyle name="Normal 4 2 8 2 3 2" xfId="13803"/>
    <cellStyle name="Normal 4 2 8 2 3 2 2" xfId="29937"/>
    <cellStyle name="Normal 4 2 8 2 3 3" xfId="13804"/>
    <cellStyle name="Normal 4 2 8 2 3 3 2" xfId="29938"/>
    <cellStyle name="Normal 4 2 8 2 3 4" xfId="13805"/>
    <cellStyle name="Normal 4 2 8 2 3 4 2" xfId="29939"/>
    <cellStyle name="Normal 4 2 8 2 3 5" xfId="13806"/>
    <cellStyle name="Normal 4 2 8 2 3 5 2" xfId="29940"/>
    <cellStyle name="Normal 4 2 8 2 3 6" xfId="13807"/>
    <cellStyle name="Normal 4 2 8 2 3 6 2" xfId="29941"/>
    <cellStyle name="Normal 4 2 8 2 3 7" xfId="13808"/>
    <cellStyle name="Normal 4 2 8 2 3 7 2" xfId="29942"/>
    <cellStyle name="Normal 4 2 8 2 3 8" xfId="13809"/>
    <cellStyle name="Normal 4 2 8 2 3 8 2" xfId="29943"/>
    <cellStyle name="Normal 4 2 8 2 3 9" xfId="13810"/>
    <cellStyle name="Normal 4 2 8 2 3 9 2" xfId="29944"/>
    <cellStyle name="Normal 4 2 8 2 4" xfId="13811"/>
    <cellStyle name="Normal 4 2 8 2 4 2" xfId="29945"/>
    <cellStyle name="Normal 4 2 8 2 5" xfId="13812"/>
    <cellStyle name="Normal 4 2 8 2 5 2" xfId="29946"/>
    <cellStyle name="Normal 4 2 8 2 6" xfId="13813"/>
    <cellStyle name="Normal 4 2 8 2 6 2" xfId="29947"/>
    <cellStyle name="Normal 4 2 8 2 7" xfId="13814"/>
    <cellStyle name="Normal 4 2 8 2 7 2" xfId="29948"/>
    <cellStyle name="Normal 4 2 8 2 8" xfId="13815"/>
    <cellStyle name="Normal 4 2 8 2 8 2" xfId="29949"/>
    <cellStyle name="Normal 4 2 8 2 9" xfId="13816"/>
    <cellStyle name="Normal 4 2 8 2 9 2" xfId="29950"/>
    <cellStyle name="Normal 4 2 8 3" xfId="3131"/>
    <cellStyle name="Normal 4 2 8 3 10" xfId="13817"/>
    <cellStyle name="Normal 4 2 8 3 10 2" xfId="29951"/>
    <cellStyle name="Normal 4 2 8 3 11" xfId="13818"/>
    <cellStyle name="Normal 4 2 8 3 11 2" xfId="29952"/>
    <cellStyle name="Normal 4 2 8 3 12" xfId="13819"/>
    <cellStyle name="Normal 4 2 8 3 12 2" xfId="29953"/>
    <cellStyle name="Normal 4 2 8 3 13" xfId="7015"/>
    <cellStyle name="Normal 4 2 8 3 13 2" xfId="23177"/>
    <cellStyle name="Normal 4 2 8 3 14" xfId="19925"/>
    <cellStyle name="Normal 4 2 8 3 2" xfId="3132"/>
    <cellStyle name="Normal 4 2 8 3 2 10" xfId="13820"/>
    <cellStyle name="Normal 4 2 8 3 2 10 2" xfId="29954"/>
    <cellStyle name="Normal 4 2 8 3 2 11" xfId="7016"/>
    <cellStyle name="Normal 4 2 8 3 2 11 2" xfId="23178"/>
    <cellStyle name="Normal 4 2 8 3 2 12" xfId="19926"/>
    <cellStyle name="Normal 4 2 8 3 2 2" xfId="13821"/>
    <cellStyle name="Normal 4 2 8 3 2 2 2" xfId="29955"/>
    <cellStyle name="Normal 4 2 8 3 2 3" xfId="13822"/>
    <cellStyle name="Normal 4 2 8 3 2 3 2" xfId="29956"/>
    <cellStyle name="Normal 4 2 8 3 2 4" xfId="13823"/>
    <cellStyle name="Normal 4 2 8 3 2 4 2" xfId="29957"/>
    <cellStyle name="Normal 4 2 8 3 2 5" xfId="13824"/>
    <cellStyle name="Normal 4 2 8 3 2 5 2" xfId="29958"/>
    <cellStyle name="Normal 4 2 8 3 2 6" xfId="13825"/>
    <cellStyle name="Normal 4 2 8 3 2 6 2" xfId="29959"/>
    <cellStyle name="Normal 4 2 8 3 2 7" xfId="13826"/>
    <cellStyle name="Normal 4 2 8 3 2 7 2" xfId="29960"/>
    <cellStyle name="Normal 4 2 8 3 2 8" xfId="13827"/>
    <cellStyle name="Normal 4 2 8 3 2 8 2" xfId="29961"/>
    <cellStyle name="Normal 4 2 8 3 2 9" xfId="13828"/>
    <cellStyle name="Normal 4 2 8 3 2 9 2" xfId="29962"/>
    <cellStyle name="Normal 4 2 8 3 3" xfId="3133"/>
    <cellStyle name="Normal 4 2 8 3 3 10" xfId="13829"/>
    <cellStyle name="Normal 4 2 8 3 3 10 2" xfId="29963"/>
    <cellStyle name="Normal 4 2 8 3 3 11" xfId="7017"/>
    <cellStyle name="Normal 4 2 8 3 3 11 2" xfId="23179"/>
    <cellStyle name="Normal 4 2 8 3 3 12" xfId="19927"/>
    <cellStyle name="Normal 4 2 8 3 3 2" xfId="13830"/>
    <cellStyle name="Normal 4 2 8 3 3 2 2" xfId="29964"/>
    <cellStyle name="Normal 4 2 8 3 3 3" xfId="13831"/>
    <cellStyle name="Normal 4 2 8 3 3 3 2" xfId="29965"/>
    <cellStyle name="Normal 4 2 8 3 3 4" xfId="13832"/>
    <cellStyle name="Normal 4 2 8 3 3 4 2" xfId="29966"/>
    <cellStyle name="Normal 4 2 8 3 3 5" xfId="13833"/>
    <cellStyle name="Normal 4 2 8 3 3 5 2" xfId="29967"/>
    <cellStyle name="Normal 4 2 8 3 3 6" xfId="13834"/>
    <cellStyle name="Normal 4 2 8 3 3 6 2" xfId="29968"/>
    <cellStyle name="Normal 4 2 8 3 3 7" xfId="13835"/>
    <cellStyle name="Normal 4 2 8 3 3 7 2" xfId="29969"/>
    <cellStyle name="Normal 4 2 8 3 3 8" xfId="13836"/>
    <cellStyle name="Normal 4 2 8 3 3 8 2" xfId="29970"/>
    <cellStyle name="Normal 4 2 8 3 3 9" xfId="13837"/>
    <cellStyle name="Normal 4 2 8 3 3 9 2" xfId="29971"/>
    <cellStyle name="Normal 4 2 8 3 4" xfId="13838"/>
    <cellStyle name="Normal 4 2 8 3 4 2" xfId="29972"/>
    <cellStyle name="Normal 4 2 8 3 5" xfId="13839"/>
    <cellStyle name="Normal 4 2 8 3 5 2" xfId="29973"/>
    <cellStyle name="Normal 4 2 8 3 6" xfId="13840"/>
    <cellStyle name="Normal 4 2 8 3 6 2" xfId="29974"/>
    <cellStyle name="Normal 4 2 8 3 7" xfId="13841"/>
    <cellStyle name="Normal 4 2 8 3 7 2" xfId="29975"/>
    <cellStyle name="Normal 4 2 8 3 8" xfId="13842"/>
    <cellStyle name="Normal 4 2 8 3 8 2" xfId="29976"/>
    <cellStyle name="Normal 4 2 8 3 9" xfId="13843"/>
    <cellStyle name="Normal 4 2 8 3 9 2" xfId="29977"/>
    <cellStyle name="Normal 4 2 8 4" xfId="3134"/>
    <cellStyle name="Normal 4 2 8 4 10" xfId="13844"/>
    <cellStyle name="Normal 4 2 8 4 10 2" xfId="29978"/>
    <cellStyle name="Normal 4 2 8 4 11" xfId="13845"/>
    <cellStyle name="Normal 4 2 8 4 11 2" xfId="29979"/>
    <cellStyle name="Normal 4 2 8 4 12" xfId="13846"/>
    <cellStyle name="Normal 4 2 8 4 12 2" xfId="29980"/>
    <cellStyle name="Normal 4 2 8 4 13" xfId="7018"/>
    <cellStyle name="Normal 4 2 8 4 13 2" xfId="23180"/>
    <cellStyle name="Normal 4 2 8 4 14" xfId="19928"/>
    <cellStyle name="Normal 4 2 8 4 2" xfId="3135"/>
    <cellStyle name="Normal 4 2 8 4 2 10" xfId="13847"/>
    <cellStyle name="Normal 4 2 8 4 2 10 2" xfId="29981"/>
    <cellStyle name="Normal 4 2 8 4 2 11" xfId="7019"/>
    <cellStyle name="Normal 4 2 8 4 2 11 2" xfId="23181"/>
    <cellStyle name="Normal 4 2 8 4 2 12" xfId="19929"/>
    <cellStyle name="Normal 4 2 8 4 2 2" xfId="13848"/>
    <cellStyle name="Normal 4 2 8 4 2 2 2" xfId="29982"/>
    <cellStyle name="Normal 4 2 8 4 2 3" xfId="13849"/>
    <cellStyle name="Normal 4 2 8 4 2 3 2" xfId="29983"/>
    <cellStyle name="Normal 4 2 8 4 2 4" xfId="13850"/>
    <cellStyle name="Normal 4 2 8 4 2 4 2" xfId="29984"/>
    <cellStyle name="Normal 4 2 8 4 2 5" xfId="13851"/>
    <cellStyle name="Normal 4 2 8 4 2 5 2" xfId="29985"/>
    <cellStyle name="Normal 4 2 8 4 2 6" xfId="13852"/>
    <cellStyle name="Normal 4 2 8 4 2 6 2" xfId="29986"/>
    <cellStyle name="Normal 4 2 8 4 2 7" xfId="13853"/>
    <cellStyle name="Normal 4 2 8 4 2 7 2" xfId="29987"/>
    <cellStyle name="Normal 4 2 8 4 2 8" xfId="13854"/>
    <cellStyle name="Normal 4 2 8 4 2 8 2" xfId="29988"/>
    <cellStyle name="Normal 4 2 8 4 2 9" xfId="13855"/>
    <cellStyle name="Normal 4 2 8 4 2 9 2" xfId="29989"/>
    <cellStyle name="Normal 4 2 8 4 3" xfId="3136"/>
    <cellStyle name="Normal 4 2 8 4 3 10" xfId="13856"/>
    <cellStyle name="Normal 4 2 8 4 3 10 2" xfId="29990"/>
    <cellStyle name="Normal 4 2 8 4 3 11" xfId="7020"/>
    <cellStyle name="Normal 4 2 8 4 3 11 2" xfId="23182"/>
    <cellStyle name="Normal 4 2 8 4 3 12" xfId="19930"/>
    <cellStyle name="Normal 4 2 8 4 3 2" xfId="13857"/>
    <cellStyle name="Normal 4 2 8 4 3 2 2" xfId="29991"/>
    <cellStyle name="Normal 4 2 8 4 3 3" xfId="13858"/>
    <cellStyle name="Normal 4 2 8 4 3 3 2" xfId="29992"/>
    <cellStyle name="Normal 4 2 8 4 3 4" xfId="13859"/>
    <cellStyle name="Normal 4 2 8 4 3 4 2" xfId="29993"/>
    <cellStyle name="Normal 4 2 8 4 3 5" xfId="13860"/>
    <cellStyle name="Normal 4 2 8 4 3 5 2" xfId="29994"/>
    <cellStyle name="Normal 4 2 8 4 3 6" xfId="13861"/>
    <cellStyle name="Normal 4 2 8 4 3 6 2" xfId="29995"/>
    <cellStyle name="Normal 4 2 8 4 3 7" xfId="13862"/>
    <cellStyle name="Normal 4 2 8 4 3 7 2" xfId="29996"/>
    <cellStyle name="Normal 4 2 8 4 3 8" xfId="13863"/>
    <cellStyle name="Normal 4 2 8 4 3 8 2" xfId="29997"/>
    <cellStyle name="Normal 4 2 8 4 3 9" xfId="13864"/>
    <cellStyle name="Normal 4 2 8 4 3 9 2" xfId="29998"/>
    <cellStyle name="Normal 4 2 8 4 4" xfId="13865"/>
    <cellStyle name="Normal 4 2 8 4 4 2" xfId="29999"/>
    <cellStyle name="Normal 4 2 8 4 5" xfId="13866"/>
    <cellStyle name="Normal 4 2 8 4 5 2" xfId="30000"/>
    <cellStyle name="Normal 4 2 8 4 6" xfId="13867"/>
    <cellStyle name="Normal 4 2 8 4 6 2" xfId="30001"/>
    <cellStyle name="Normal 4 2 8 4 7" xfId="13868"/>
    <cellStyle name="Normal 4 2 8 4 7 2" xfId="30002"/>
    <cellStyle name="Normal 4 2 8 4 8" xfId="13869"/>
    <cellStyle name="Normal 4 2 8 4 8 2" xfId="30003"/>
    <cellStyle name="Normal 4 2 8 4 9" xfId="13870"/>
    <cellStyle name="Normal 4 2 8 4 9 2" xfId="30004"/>
    <cellStyle name="Normal 4 2 8 5" xfId="3137"/>
    <cellStyle name="Normal 4 2 8 5 10" xfId="13871"/>
    <cellStyle name="Normal 4 2 8 5 10 2" xfId="30005"/>
    <cellStyle name="Normal 4 2 8 5 11" xfId="13872"/>
    <cellStyle name="Normal 4 2 8 5 11 2" xfId="30006"/>
    <cellStyle name="Normal 4 2 8 5 12" xfId="13873"/>
    <cellStyle name="Normal 4 2 8 5 12 2" xfId="30007"/>
    <cellStyle name="Normal 4 2 8 5 13" xfId="7021"/>
    <cellStyle name="Normal 4 2 8 5 13 2" xfId="23183"/>
    <cellStyle name="Normal 4 2 8 5 14" xfId="19931"/>
    <cellStyle name="Normal 4 2 8 5 2" xfId="3138"/>
    <cellStyle name="Normal 4 2 8 5 2 10" xfId="13874"/>
    <cellStyle name="Normal 4 2 8 5 2 10 2" xfId="30008"/>
    <cellStyle name="Normal 4 2 8 5 2 11" xfId="7022"/>
    <cellStyle name="Normal 4 2 8 5 2 11 2" xfId="23184"/>
    <cellStyle name="Normal 4 2 8 5 2 12" xfId="19932"/>
    <cellStyle name="Normal 4 2 8 5 2 2" xfId="13875"/>
    <cellStyle name="Normal 4 2 8 5 2 2 2" xfId="30009"/>
    <cellStyle name="Normal 4 2 8 5 2 3" xfId="13876"/>
    <cellStyle name="Normal 4 2 8 5 2 3 2" xfId="30010"/>
    <cellStyle name="Normal 4 2 8 5 2 4" xfId="13877"/>
    <cellStyle name="Normal 4 2 8 5 2 4 2" xfId="30011"/>
    <cellStyle name="Normal 4 2 8 5 2 5" xfId="13878"/>
    <cellStyle name="Normal 4 2 8 5 2 5 2" xfId="30012"/>
    <cellStyle name="Normal 4 2 8 5 2 6" xfId="13879"/>
    <cellStyle name="Normal 4 2 8 5 2 6 2" xfId="30013"/>
    <cellStyle name="Normal 4 2 8 5 2 7" xfId="13880"/>
    <cellStyle name="Normal 4 2 8 5 2 7 2" xfId="30014"/>
    <cellStyle name="Normal 4 2 8 5 2 8" xfId="13881"/>
    <cellStyle name="Normal 4 2 8 5 2 8 2" xfId="30015"/>
    <cellStyle name="Normal 4 2 8 5 2 9" xfId="13882"/>
    <cellStyle name="Normal 4 2 8 5 2 9 2" xfId="30016"/>
    <cellStyle name="Normal 4 2 8 5 3" xfId="3139"/>
    <cellStyle name="Normal 4 2 8 5 3 10" xfId="13883"/>
    <cellStyle name="Normal 4 2 8 5 3 10 2" xfId="30017"/>
    <cellStyle name="Normal 4 2 8 5 3 11" xfId="7023"/>
    <cellStyle name="Normal 4 2 8 5 3 11 2" xfId="23185"/>
    <cellStyle name="Normal 4 2 8 5 3 12" xfId="19933"/>
    <cellStyle name="Normal 4 2 8 5 3 2" xfId="13884"/>
    <cellStyle name="Normal 4 2 8 5 3 2 2" xfId="30018"/>
    <cellStyle name="Normal 4 2 8 5 3 3" xfId="13885"/>
    <cellStyle name="Normal 4 2 8 5 3 3 2" xfId="30019"/>
    <cellStyle name="Normal 4 2 8 5 3 4" xfId="13886"/>
    <cellStyle name="Normal 4 2 8 5 3 4 2" xfId="30020"/>
    <cellStyle name="Normal 4 2 8 5 3 5" xfId="13887"/>
    <cellStyle name="Normal 4 2 8 5 3 5 2" xfId="30021"/>
    <cellStyle name="Normal 4 2 8 5 3 6" xfId="13888"/>
    <cellStyle name="Normal 4 2 8 5 3 6 2" xfId="30022"/>
    <cellStyle name="Normal 4 2 8 5 3 7" xfId="13889"/>
    <cellStyle name="Normal 4 2 8 5 3 7 2" xfId="30023"/>
    <cellStyle name="Normal 4 2 8 5 3 8" xfId="13890"/>
    <cellStyle name="Normal 4 2 8 5 3 8 2" xfId="30024"/>
    <cellStyle name="Normal 4 2 8 5 3 9" xfId="13891"/>
    <cellStyle name="Normal 4 2 8 5 3 9 2" xfId="30025"/>
    <cellStyle name="Normal 4 2 8 5 4" xfId="13892"/>
    <cellStyle name="Normal 4 2 8 5 4 2" xfId="30026"/>
    <cellStyle name="Normal 4 2 8 5 5" xfId="13893"/>
    <cellStyle name="Normal 4 2 8 5 5 2" xfId="30027"/>
    <cellStyle name="Normal 4 2 8 5 6" xfId="13894"/>
    <cellStyle name="Normal 4 2 8 5 6 2" xfId="30028"/>
    <cellStyle name="Normal 4 2 8 5 7" xfId="13895"/>
    <cellStyle name="Normal 4 2 8 5 7 2" xfId="30029"/>
    <cellStyle name="Normal 4 2 8 5 8" xfId="13896"/>
    <cellStyle name="Normal 4 2 8 5 8 2" xfId="30030"/>
    <cellStyle name="Normal 4 2 8 5 9" xfId="13897"/>
    <cellStyle name="Normal 4 2 8 5 9 2" xfId="30031"/>
    <cellStyle name="Normal 4 2 8 6" xfId="3140"/>
    <cellStyle name="Normal 4 2 8 6 10" xfId="13898"/>
    <cellStyle name="Normal 4 2 8 6 10 2" xfId="30032"/>
    <cellStyle name="Normal 4 2 8 6 11" xfId="13899"/>
    <cellStyle name="Normal 4 2 8 6 11 2" xfId="30033"/>
    <cellStyle name="Normal 4 2 8 6 12" xfId="13900"/>
    <cellStyle name="Normal 4 2 8 6 12 2" xfId="30034"/>
    <cellStyle name="Normal 4 2 8 6 13" xfId="7024"/>
    <cellStyle name="Normal 4 2 8 6 13 2" xfId="23186"/>
    <cellStyle name="Normal 4 2 8 6 14" xfId="19934"/>
    <cellStyle name="Normal 4 2 8 6 2" xfId="3141"/>
    <cellStyle name="Normal 4 2 8 6 2 10" xfId="13901"/>
    <cellStyle name="Normal 4 2 8 6 2 10 2" xfId="30035"/>
    <cellStyle name="Normal 4 2 8 6 2 11" xfId="7025"/>
    <cellStyle name="Normal 4 2 8 6 2 11 2" xfId="23187"/>
    <cellStyle name="Normal 4 2 8 6 2 12" xfId="19935"/>
    <cellStyle name="Normal 4 2 8 6 2 2" xfId="13902"/>
    <cellStyle name="Normal 4 2 8 6 2 2 2" xfId="30036"/>
    <cellStyle name="Normal 4 2 8 6 2 3" xfId="13903"/>
    <cellStyle name="Normal 4 2 8 6 2 3 2" xfId="30037"/>
    <cellStyle name="Normal 4 2 8 6 2 4" xfId="13904"/>
    <cellStyle name="Normal 4 2 8 6 2 4 2" xfId="30038"/>
    <cellStyle name="Normal 4 2 8 6 2 5" xfId="13905"/>
    <cellStyle name="Normal 4 2 8 6 2 5 2" xfId="30039"/>
    <cellStyle name="Normal 4 2 8 6 2 6" xfId="13906"/>
    <cellStyle name="Normal 4 2 8 6 2 6 2" xfId="30040"/>
    <cellStyle name="Normal 4 2 8 6 2 7" xfId="13907"/>
    <cellStyle name="Normal 4 2 8 6 2 7 2" xfId="30041"/>
    <cellStyle name="Normal 4 2 8 6 2 8" xfId="13908"/>
    <cellStyle name="Normal 4 2 8 6 2 8 2" xfId="30042"/>
    <cellStyle name="Normal 4 2 8 6 2 9" xfId="13909"/>
    <cellStyle name="Normal 4 2 8 6 2 9 2" xfId="30043"/>
    <cellStyle name="Normal 4 2 8 6 3" xfId="3142"/>
    <cellStyle name="Normal 4 2 8 6 3 10" xfId="13910"/>
    <cellStyle name="Normal 4 2 8 6 3 10 2" xfId="30044"/>
    <cellStyle name="Normal 4 2 8 6 3 11" xfId="7026"/>
    <cellStyle name="Normal 4 2 8 6 3 11 2" xfId="23188"/>
    <cellStyle name="Normal 4 2 8 6 3 12" xfId="19936"/>
    <cellStyle name="Normal 4 2 8 6 3 2" xfId="13911"/>
    <cellStyle name="Normal 4 2 8 6 3 2 2" xfId="30045"/>
    <cellStyle name="Normal 4 2 8 6 3 3" xfId="13912"/>
    <cellStyle name="Normal 4 2 8 6 3 3 2" xfId="30046"/>
    <cellStyle name="Normal 4 2 8 6 3 4" xfId="13913"/>
    <cellStyle name="Normal 4 2 8 6 3 4 2" xfId="30047"/>
    <cellStyle name="Normal 4 2 8 6 3 5" xfId="13914"/>
    <cellStyle name="Normal 4 2 8 6 3 5 2" xfId="30048"/>
    <cellStyle name="Normal 4 2 8 6 3 6" xfId="13915"/>
    <cellStyle name="Normal 4 2 8 6 3 6 2" xfId="30049"/>
    <cellStyle name="Normal 4 2 8 6 3 7" xfId="13916"/>
    <cellStyle name="Normal 4 2 8 6 3 7 2" xfId="30050"/>
    <cellStyle name="Normal 4 2 8 6 3 8" xfId="13917"/>
    <cellStyle name="Normal 4 2 8 6 3 8 2" xfId="30051"/>
    <cellStyle name="Normal 4 2 8 6 3 9" xfId="13918"/>
    <cellStyle name="Normal 4 2 8 6 3 9 2" xfId="30052"/>
    <cellStyle name="Normal 4 2 8 6 4" xfId="13919"/>
    <cellStyle name="Normal 4 2 8 6 4 2" xfId="30053"/>
    <cellStyle name="Normal 4 2 8 6 5" xfId="13920"/>
    <cellStyle name="Normal 4 2 8 6 5 2" xfId="30054"/>
    <cellStyle name="Normal 4 2 8 6 6" xfId="13921"/>
    <cellStyle name="Normal 4 2 8 6 6 2" xfId="30055"/>
    <cellStyle name="Normal 4 2 8 6 7" xfId="13922"/>
    <cellStyle name="Normal 4 2 8 6 7 2" xfId="30056"/>
    <cellStyle name="Normal 4 2 8 6 8" xfId="13923"/>
    <cellStyle name="Normal 4 2 8 6 8 2" xfId="30057"/>
    <cellStyle name="Normal 4 2 8 6 9" xfId="13924"/>
    <cellStyle name="Normal 4 2 8 6 9 2" xfId="30058"/>
    <cellStyle name="Normal 4 2 8 7" xfId="3143"/>
    <cellStyle name="Normal 4 2 8 7 10" xfId="13925"/>
    <cellStyle name="Normal 4 2 8 7 10 2" xfId="30059"/>
    <cellStyle name="Normal 4 2 8 7 11" xfId="7027"/>
    <cellStyle name="Normal 4 2 8 7 11 2" xfId="23189"/>
    <cellStyle name="Normal 4 2 8 7 12" xfId="19937"/>
    <cellStyle name="Normal 4 2 8 7 2" xfId="13926"/>
    <cellStyle name="Normal 4 2 8 7 2 2" xfId="30060"/>
    <cellStyle name="Normal 4 2 8 7 3" xfId="13927"/>
    <cellStyle name="Normal 4 2 8 7 3 2" xfId="30061"/>
    <cellStyle name="Normal 4 2 8 7 4" xfId="13928"/>
    <cellStyle name="Normal 4 2 8 7 4 2" xfId="30062"/>
    <cellStyle name="Normal 4 2 8 7 5" xfId="13929"/>
    <cellStyle name="Normal 4 2 8 7 5 2" xfId="30063"/>
    <cellStyle name="Normal 4 2 8 7 6" xfId="13930"/>
    <cellStyle name="Normal 4 2 8 7 6 2" xfId="30064"/>
    <cellStyle name="Normal 4 2 8 7 7" xfId="13931"/>
    <cellStyle name="Normal 4 2 8 7 7 2" xfId="30065"/>
    <cellStyle name="Normal 4 2 8 7 8" xfId="13932"/>
    <cellStyle name="Normal 4 2 8 7 8 2" xfId="30066"/>
    <cellStyle name="Normal 4 2 8 7 9" xfId="13933"/>
    <cellStyle name="Normal 4 2 8 7 9 2" xfId="30067"/>
    <cellStyle name="Normal 4 2 8 8" xfId="3144"/>
    <cellStyle name="Normal 4 2 8 8 10" xfId="13934"/>
    <cellStyle name="Normal 4 2 8 8 10 2" xfId="30068"/>
    <cellStyle name="Normal 4 2 8 8 11" xfId="7028"/>
    <cellStyle name="Normal 4 2 8 8 11 2" xfId="23190"/>
    <cellStyle name="Normal 4 2 8 8 12" xfId="19938"/>
    <cellStyle name="Normal 4 2 8 8 2" xfId="13935"/>
    <cellStyle name="Normal 4 2 8 8 2 2" xfId="30069"/>
    <cellStyle name="Normal 4 2 8 8 3" xfId="13936"/>
    <cellStyle name="Normal 4 2 8 8 3 2" xfId="30070"/>
    <cellStyle name="Normal 4 2 8 8 4" xfId="13937"/>
    <cellStyle name="Normal 4 2 8 8 4 2" xfId="30071"/>
    <cellStyle name="Normal 4 2 8 8 5" xfId="13938"/>
    <cellStyle name="Normal 4 2 8 8 5 2" xfId="30072"/>
    <cellStyle name="Normal 4 2 8 8 6" xfId="13939"/>
    <cellStyle name="Normal 4 2 8 8 6 2" xfId="30073"/>
    <cellStyle name="Normal 4 2 8 8 7" xfId="13940"/>
    <cellStyle name="Normal 4 2 8 8 7 2" xfId="30074"/>
    <cellStyle name="Normal 4 2 8 8 8" xfId="13941"/>
    <cellStyle name="Normal 4 2 8 8 8 2" xfId="30075"/>
    <cellStyle name="Normal 4 2 8 8 9" xfId="13942"/>
    <cellStyle name="Normal 4 2 8 8 9 2" xfId="30076"/>
    <cellStyle name="Normal 4 2 8 9" xfId="13943"/>
    <cellStyle name="Normal 4 2 8 9 2" xfId="30077"/>
    <cellStyle name="Normal 4 2 9" xfId="1269"/>
    <cellStyle name="Normal 4 2 9 10" xfId="13944"/>
    <cellStyle name="Normal 4 2 9 10 2" xfId="30078"/>
    <cellStyle name="Normal 4 2 9 11" xfId="13945"/>
    <cellStyle name="Normal 4 2 9 11 2" xfId="30079"/>
    <cellStyle name="Normal 4 2 9 12" xfId="13946"/>
    <cellStyle name="Normal 4 2 9 12 2" xfId="30080"/>
    <cellStyle name="Normal 4 2 9 13" xfId="13947"/>
    <cellStyle name="Normal 4 2 9 13 2" xfId="30081"/>
    <cellStyle name="Normal 4 2 9 14" xfId="13948"/>
    <cellStyle name="Normal 4 2 9 14 2" xfId="30082"/>
    <cellStyle name="Normal 4 2 9 15" xfId="13949"/>
    <cellStyle name="Normal 4 2 9 15 2" xfId="30083"/>
    <cellStyle name="Normal 4 2 9 16" xfId="13950"/>
    <cellStyle name="Normal 4 2 9 16 2" xfId="30084"/>
    <cellStyle name="Normal 4 2 9 17" xfId="13951"/>
    <cellStyle name="Normal 4 2 9 17 2" xfId="30085"/>
    <cellStyle name="Normal 4 2 9 18" xfId="5189"/>
    <cellStyle name="Normal 4 2 9 18 2" xfId="21351"/>
    <cellStyle name="Normal 4 2 9 19" xfId="19392"/>
    <cellStyle name="Normal 4 2 9 2" xfId="3145"/>
    <cellStyle name="Normal 4 2 9 2 10" xfId="13952"/>
    <cellStyle name="Normal 4 2 9 2 10 2" xfId="30086"/>
    <cellStyle name="Normal 4 2 9 2 11" xfId="13953"/>
    <cellStyle name="Normal 4 2 9 2 11 2" xfId="30087"/>
    <cellStyle name="Normal 4 2 9 2 12" xfId="13954"/>
    <cellStyle name="Normal 4 2 9 2 12 2" xfId="30088"/>
    <cellStyle name="Normal 4 2 9 2 13" xfId="7029"/>
    <cellStyle name="Normal 4 2 9 2 13 2" xfId="23191"/>
    <cellStyle name="Normal 4 2 9 2 14" xfId="19939"/>
    <cellStyle name="Normal 4 2 9 2 2" xfId="3146"/>
    <cellStyle name="Normal 4 2 9 2 2 10" xfId="13955"/>
    <cellStyle name="Normal 4 2 9 2 2 10 2" xfId="30089"/>
    <cellStyle name="Normal 4 2 9 2 2 11" xfId="7030"/>
    <cellStyle name="Normal 4 2 9 2 2 11 2" xfId="23192"/>
    <cellStyle name="Normal 4 2 9 2 2 12" xfId="19940"/>
    <cellStyle name="Normal 4 2 9 2 2 2" xfId="13956"/>
    <cellStyle name="Normal 4 2 9 2 2 2 2" xfId="30090"/>
    <cellStyle name="Normal 4 2 9 2 2 3" xfId="13957"/>
    <cellStyle name="Normal 4 2 9 2 2 3 2" xfId="30091"/>
    <cellStyle name="Normal 4 2 9 2 2 4" xfId="13958"/>
    <cellStyle name="Normal 4 2 9 2 2 4 2" xfId="30092"/>
    <cellStyle name="Normal 4 2 9 2 2 5" xfId="13959"/>
    <cellStyle name="Normal 4 2 9 2 2 5 2" xfId="30093"/>
    <cellStyle name="Normal 4 2 9 2 2 6" xfId="13960"/>
    <cellStyle name="Normal 4 2 9 2 2 6 2" xfId="30094"/>
    <cellStyle name="Normal 4 2 9 2 2 7" xfId="13961"/>
    <cellStyle name="Normal 4 2 9 2 2 7 2" xfId="30095"/>
    <cellStyle name="Normal 4 2 9 2 2 8" xfId="13962"/>
    <cellStyle name="Normal 4 2 9 2 2 8 2" xfId="30096"/>
    <cellStyle name="Normal 4 2 9 2 2 9" xfId="13963"/>
    <cellStyle name="Normal 4 2 9 2 2 9 2" xfId="30097"/>
    <cellStyle name="Normal 4 2 9 2 3" xfId="3147"/>
    <cellStyle name="Normal 4 2 9 2 3 10" xfId="13964"/>
    <cellStyle name="Normal 4 2 9 2 3 10 2" xfId="30098"/>
    <cellStyle name="Normal 4 2 9 2 3 11" xfId="7031"/>
    <cellStyle name="Normal 4 2 9 2 3 11 2" xfId="23193"/>
    <cellStyle name="Normal 4 2 9 2 3 12" xfId="19941"/>
    <cellStyle name="Normal 4 2 9 2 3 2" xfId="13965"/>
    <cellStyle name="Normal 4 2 9 2 3 2 2" xfId="30099"/>
    <cellStyle name="Normal 4 2 9 2 3 3" xfId="13966"/>
    <cellStyle name="Normal 4 2 9 2 3 3 2" xfId="30100"/>
    <cellStyle name="Normal 4 2 9 2 3 4" xfId="13967"/>
    <cellStyle name="Normal 4 2 9 2 3 4 2" xfId="30101"/>
    <cellStyle name="Normal 4 2 9 2 3 5" xfId="13968"/>
    <cellStyle name="Normal 4 2 9 2 3 5 2" xfId="30102"/>
    <cellStyle name="Normal 4 2 9 2 3 6" xfId="13969"/>
    <cellStyle name="Normal 4 2 9 2 3 6 2" xfId="30103"/>
    <cellStyle name="Normal 4 2 9 2 3 7" xfId="13970"/>
    <cellStyle name="Normal 4 2 9 2 3 7 2" xfId="30104"/>
    <cellStyle name="Normal 4 2 9 2 3 8" xfId="13971"/>
    <cellStyle name="Normal 4 2 9 2 3 8 2" xfId="30105"/>
    <cellStyle name="Normal 4 2 9 2 3 9" xfId="13972"/>
    <cellStyle name="Normal 4 2 9 2 3 9 2" xfId="30106"/>
    <cellStyle name="Normal 4 2 9 2 4" xfId="13973"/>
    <cellStyle name="Normal 4 2 9 2 4 2" xfId="30107"/>
    <cellStyle name="Normal 4 2 9 2 5" xfId="13974"/>
    <cellStyle name="Normal 4 2 9 2 5 2" xfId="30108"/>
    <cellStyle name="Normal 4 2 9 2 6" xfId="13975"/>
    <cellStyle name="Normal 4 2 9 2 6 2" xfId="30109"/>
    <cellStyle name="Normal 4 2 9 2 7" xfId="13976"/>
    <cellStyle name="Normal 4 2 9 2 7 2" xfId="30110"/>
    <cellStyle name="Normal 4 2 9 2 8" xfId="13977"/>
    <cellStyle name="Normal 4 2 9 2 8 2" xfId="30111"/>
    <cellStyle name="Normal 4 2 9 2 9" xfId="13978"/>
    <cellStyle name="Normal 4 2 9 2 9 2" xfId="30112"/>
    <cellStyle name="Normal 4 2 9 3" xfId="3148"/>
    <cellStyle name="Normal 4 2 9 3 10" xfId="13979"/>
    <cellStyle name="Normal 4 2 9 3 10 2" xfId="30113"/>
    <cellStyle name="Normal 4 2 9 3 11" xfId="13980"/>
    <cellStyle name="Normal 4 2 9 3 11 2" xfId="30114"/>
    <cellStyle name="Normal 4 2 9 3 12" xfId="13981"/>
    <cellStyle name="Normal 4 2 9 3 12 2" xfId="30115"/>
    <cellStyle name="Normal 4 2 9 3 13" xfId="7032"/>
    <cellStyle name="Normal 4 2 9 3 13 2" xfId="23194"/>
    <cellStyle name="Normal 4 2 9 3 14" xfId="19942"/>
    <cellStyle name="Normal 4 2 9 3 2" xfId="3149"/>
    <cellStyle name="Normal 4 2 9 3 2 10" xfId="13982"/>
    <cellStyle name="Normal 4 2 9 3 2 10 2" xfId="30116"/>
    <cellStyle name="Normal 4 2 9 3 2 11" xfId="7033"/>
    <cellStyle name="Normal 4 2 9 3 2 11 2" xfId="23195"/>
    <cellStyle name="Normal 4 2 9 3 2 12" xfId="19943"/>
    <cellStyle name="Normal 4 2 9 3 2 2" xfId="13983"/>
    <cellStyle name="Normal 4 2 9 3 2 2 2" xfId="30117"/>
    <cellStyle name="Normal 4 2 9 3 2 3" xfId="13984"/>
    <cellStyle name="Normal 4 2 9 3 2 3 2" xfId="30118"/>
    <cellStyle name="Normal 4 2 9 3 2 4" xfId="13985"/>
    <cellStyle name="Normal 4 2 9 3 2 4 2" xfId="30119"/>
    <cellStyle name="Normal 4 2 9 3 2 5" xfId="13986"/>
    <cellStyle name="Normal 4 2 9 3 2 5 2" xfId="30120"/>
    <cellStyle name="Normal 4 2 9 3 2 6" xfId="13987"/>
    <cellStyle name="Normal 4 2 9 3 2 6 2" xfId="30121"/>
    <cellStyle name="Normal 4 2 9 3 2 7" xfId="13988"/>
    <cellStyle name="Normal 4 2 9 3 2 7 2" xfId="30122"/>
    <cellStyle name="Normal 4 2 9 3 2 8" xfId="13989"/>
    <cellStyle name="Normal 4 2 9 3 2 8 2" xfId="30123"/>
    <cellStyle name="Normal 4 2 9 3 2 9" xfId="13990"/>
    <cellStyle name="Normal 4 2 9 3 2 9 2" xfId="30124"/>
    <cellStyle name="Normal 4 2 9 3 3" xfId="3150"/>
    <cellStyle name="Normal 4 2 9 3 3 10" xfId="13991"/>
    <cellStyle name="Normal 4 2 9 3 3 10 2" xfId="30125"/>
    <cellStyle name="Normal 4 2 9 3 3 11" xfId="7034"/>
    <cellStyle name="Normal 4 2 9 3 3 11 2" xfId="23196"/>
    <cellStyle name="Normal 4 2 9 3 3 12" xfId="19944"/>
    <cellStyle name="Normal 4 2 9 3 3 2" xfId="13992"/>
    <cellStyle name="Normal 4 2 9 3 3 2 2" xfId="30126"/>
    <cellStyle name="Normal 4 2 9 3 3 3" xfId="13993"/>
    <cellStyle name="Normal 4 2 9 3 3 3 2" xfId="30127"/>
    <cellStyle name="Normal 4 2 9 3 3 4" xfId="13994"/>
    <cellStyle name="Normal 4 2 9 3 3 4 2" xfId="30128"/>
    <cellStyle name="Normal 4 2 9 3 3 5" xfId="13995"/>
    <cellStyle name="Normal 4 2 9 3 3 5 2" xfId="30129"/>
    <cellStyle name="Normal 4 2 9 3 3 6" xfId="13996"/>
    <cellStyle name="Normal 4 2 9 3 3 6 2" xfId="30130"/>
    <cellStyle name="Normal 4 2 9 3 3 7" xfId="13997"/>
    <cellStyle name="Normal 4 2 9 3 3 7 2" xfId="30131"/>
    <cellStyle name="Normal 4 2 9 3 3 8" xfId="13998"/>
    <cellStyle name="Normal 4 2 9 3 3 8 2" xfId="30132"/>
    <cellStyle name="Normal 4 2 9 3 3 9" xfId="13999"/>
    <cellStyle name="Normal 4 2 9 3 3 9 2" xfId="30133"/>
    <cellStyle name="Normal 4 2 9 3 4" xfId="14000"/>
    <cellStyle name="Normal 4 2 9 3 4 2" xfId="30134"/>
    <cellStyle name="Normal 4 2 9 3 5" xfId="14001"/>
    <cellStyle name="Normal 4 2 9 3 5 2" xfId="30135"/>
    <cellStyle name="Normal 4 2 9 3 6" xfId="14002"/>
    <cellStyle name="Normal 4 2 9 3 6 2" xfId="30136"/>
    <cellStyle name="Normal 4 2 9 3 7" xfId="14003"/>
    <cellStyle name="Normal 4 2 9 3 7 2" xfId="30137"/>
    <cellStyle name="Normal 4 2 9 3 8" xfId="14004"/>
    <cellStyle name="Normal 4 2 9 3 8 2" xfId="30138"/>
    <cellStyle name="Normal 4 2 9 3 9" xfId="14005"/>
    <cellStyle name="Normal 4 2 9 3 9 2" xfId="30139"/>
    <cellStyle name="Normal 4 2 9 4" xfId="3151"/>
    <cellStyle name="Normal 4 2 9 4 10" xfId="14006"/>
    <cellStyle name="Normal 4 2 9 4 10 2" xfId="30140"/>
    <cellStyle name="Normal 4 2 9 4 11" xfId="14007"/>
    <cellStyle name="Normal 4 2 9 4 11 2" xfId="30141"/>
    <cellStyle name="Normal 4 2 9 4 12" xfId="14008"/>
    <cellStyle name="Normal 4 2 9 4 12 2" xfId="30142"/>
    <cellStyle name="Normal 4 2 9 4 13" xfId="7035"/>
    <cellStyle name="Normal 4 2 9 4 13 2" xfId="23197"/>
    <cellStyle name="Normal 4 2 9 4 14" xfId="19945"/>
    <cellStyle name="Normal 4 2 9 4 2" xfId="3023"/>
    <cellStyle name="Normal 4 2 9 4 2 10" xfId="14009"/>
    <cellStyle name="Normal 4 2 9 4 2 10 2" xfId="30143"/>
    <cellStyle name="Normal 4 2 9 4 2 11" xfId="6909"/>
    <cellStyle name="Normal 4 2 9 4 2 11 2" xfId="23071"/>
    <cellStyle name="Normal 4 2 9 4 2 12" xfId="19864"/>
    <cellStyle name="Normal 4 2 9 4 2 2" xfId="14010"/>
    <cellStyle name="Normal 4 2 9 4 2 2 2" xfId="30144"/>
    <cellStyle name="Normal 4 2 9 4 2 3" xfId="14011"/>
    <cellStyle name="Normal 4 2 9 4 2 3 2" xfId="30145"/>
    <cellStyle name="Normal 4 2 9 4 2 4" xfId="14012"/>
    <cellStyle name="Normal 4 2 9 4 2 4 2" xfId="30146"/>
    <cellStyle name="Normal 4 2 9 4 2 5" xfId="14013"/>
    <cellStyle name="Normal 4 2 9 4 2 5 2" xfId="30147"/>
    <cellStyle name="Normal 4 2 9 4 2 6" xfId="14014"/>
    <cellStyle name="Normal 4 2 9 4 2 6 2" xfId="30148"/>
    <cellStyle name="Normal 4 2 9 4 2 7" xfId="14015"/>
    <cellStyle name="Normal 4 2 9 4 2 7 2" xfId="30149"/>
    <cellStyle name="Normal 4 2 9 4 2 8" xfId="14016"/>
    <cellStyle name="Normal 4 2 9 4 2 8 2" xfId="30150"/>
    <cellStyle name="Normal 4 2 9 4 2 9" xfId="14017"/>
    <cellStyle name="Normal 4 2 9 4 2 9 2" xfId="30151"/>
    <cellStyle name="Normal 4 2 9 4 3" xfId="3034"/>
    <cellStyle name="Normal 4 2 9 4 3 10" xfId="14018"/>
    <cellStyle name="Normal 4 2 9 4 3 10 2" xfId="30152"/>
    <cellStyle name="Normal 4 2 9 4 3 11" xfId="6919"/>
    <cellStyle name="Normal 4 2 9 4 3 11 2" xfId="23081"/>
    <cellStyle name="Normal 4 2 9 4 3 12" xfId="19865"/>
    <cellStyle name="Normal 4 2 9 4 3 2" xfId="14019"/>
    <cellStyle name="Normal 4 2 9 4 3 2 2" xfId="30153"/>
    <cellStyle name="Normal 4 2 9 4 3 3" xfId="14020"/>
    <cellStyle name="Normal 4 2 9 4 3 3 2" xfId="30154"/>
    <cellStyle name="Normal 4 2 9 4 3 4" xfId="14021"/>
    <cellStyle name="Normal 4 2 9 4 3 4 2" xfId="30155"/>
    <cellStyle name="Normal 4 2 9 4 3 5" xfId="14022"/>
    <cellStyle name="Normal 4 2 9 4 3 5 2" xfId="30156"/>
    <cellStyle name="Normal 4 2 9 4 3 6" xfId="14023"/>
    <cellStyle name="Normal 4 2 9 4 3 6 2" xfId="30157"/>
    <cellStyle name="Normal 4 2 9 4 3 7" xfId="14024"/>
    <cellStyle name="Normal 4 2 9 4 3 7 2" xfId="30158"/>
    <cellStyle name="Normal 4 2 9 4 3 8" xfId="14025"/>
    <cellStyle name="Normal 4 2 9 4 3 8 2" xfId="30159"/>
    <cellStyle name="Normal 4 2 9 4 3 9" xfId="14026"/>
    <cellStyle name="Normal 4 2 9 4 3 9 2" xfId="30160"/>
    <cellStyle name="Normal 4 2 9 4 4" xfId="14027"/>
    <cellStyle name="Normal 4 2 9 4 4 2" xfId="30161"/>
    <cellStyle name="Normal 4 2 9 4 5" xfId="14028"/>
    <cellStyle name="Normal 4 2 9 4 5 2" xfId="30162"/>
    <cellStyle name="Normal 4 2 9 4 6" xfId="14029"/>
    <cellStyle name="Normal 4 2 9 4 6 2" xfId="30163"/>
    <cellStyle name="Normal 4 2 9 4 7" xfId="14030"/>
    <cellStyle name="Normal 4 2 9 4 7 2" xfId="30164"/>
    <cellStyle name="Normal 4 2 9 4 8" xfId="14031"/>
    <cellStyle name="Normal 4 2 9 4 8 2" xfId="30165"/>
    <cellStyle name="Normal 4 2 9 4 9" xfId="14032"/>
    <cellStyle name="Normal 4 2 9 4 9 2" xfId="30166"/>
    <cellStyle name="Normal 4 2 9 5" xfId="3152"/>
    <cellStyle name="Normal 4 2 9 5 10" xfId="14033"/>
    <cellStyle name="Normal 4 2 9 5 10 2" xfId="30167"/>
    <cellStyle name="Normal 4 2 9 5 11" xfId="14034"/>
    <cellStyle name="Normal 4 2 9 5 11 2" xfId="30168"/>
    <cellStyle name="Normal 4 2 9 5 12" xfId="14035"/>
    <cellStyle name="Normal 4 2 9 5 12 2" xfId="30169"/>
    <cellStyle name="Normal 4 2 9 5 13" xfId="7036"/>
    <cellStyle name="Normal 4 2 9 5 13 2" xfId="23198"/>
    <cellStyle name="Normal 4 2 9 5 14" xfId="19946"/>
    <cellStyle name="Normal 4 2 9 5 2" xfId="3072"/>
    <cellStyle name="Normal 4 2 9 5 2 10" xfId="14036"/>
    <cellStyle name="Normal 4 2 9 5 2 10 2" xfId="30170"/>
    <cellStyle name="Normal 4 2 9 5 2 11" xfId="6957"/>
    <cellStyle name="Normal 4 2 9 5 2 11 2" xfId="23119"/>
    <cellStyle name="Normal 4 2 9 5 2 12" xfId="19872"/>
    <cellStyle name="Normal 4 2 9 5 2 2" xfId="14037"/>
    <cellStyle name="Normal 4 2 9 5 2 2 2" xfId="30171"/>
    <cellStyle name="Normal 4 2 9 5 2 3" xfId="14038"/>
    <cellStyle name="Normal 4 2 9 5 2 3 2" xfId="30172"/>
    <cellStyle name="Normal 4 2 9 5 2 4" xfId="14039"/>
    <cellStyle name="Normal 4 2 9 5 2 4 2" xfId="30173"/>
    <cellStyle name="Normal 4 2 9 5 2 5" xfId="14040"/>
    <cellStyle name="Normal 4 2 9 5 2 5 2" xfId="30174"/>
    <cellStyle name="Normal 4 2 9 5 2 6" xfId="14041"/>
    <cellStyle name="Normal 4 2 9 5 2 6 2" xfId="30175"/>
    <cellStyle name="Normal 4 2 9 5 2 7" xfId="14042"/>
    <cellStyle name="Normal 4 2 9 5 2 7 2" xfId="30176"/>
    <cellStyle name="Normal 4 2 9 5 2 8" xfId="14043"/>
    <cellStyle name="Normal 4 2 9 5 2 8 2" xfId="30177"/>
    <cellStyle name="Normal 4 2 9 5 2 9" xfId="14044"/>
    <cellStyle name="Normal 4 2 9 5 2 9 2" xfId="30178"/>
    <cellStyle name="Normal 4 2 9 5 3" xfId="1951"/>
    <cellStyle name="Normal 4 2 9 5 3 10" xfId="14045"/>
    <cellStyle name="Normal 4 2 9 5 3 10 2" xfId="30179"/>
    <cellStyle name="Normal 4 2 9 5 3 11" xfId="5856"/>
    <cellStyle name="Normal 4 2 9 5 3 11 2" xfId="22018"/>
    <cellStyle name="Normal 4 2 9 5 3 12" xfId="19603"/>
    <cellStyle name="Normal 4 2 9 5 3 2" xfId="14046"/>
    <cellStyle name="Normal 4 2 9 5 3 2 2" xfId="30180"/>
    <cellStyle name="Normal 4 2 9 5 3 3" xfId="14047"/>
    <cellStyle name="Normal 4 2 9 5 3 3 2" xfId="30181"/>
    <cellStyle name="Normal 4 2 9 5 3 4" xfId="14048"/>
    <cellStyle name="Normal 4 2 9 5 3 4 2" xfId="30182"/>
    <cellStyle name="Normal 4 2 9 5 3 5" xfId="14049"/>
    <cellStyle name="Normal 4 2 9 5 3 5 2" xfId="30183"/>
    <cellStyle name="Normal 4 2 9 5 3 6" xfId="14050"/>
    <cellStyle name="Normal 4 2 9 5 3 6 2" xfId="30184"/>
    <cellStyle name="Normal 4 2 9 5 3 7" xfId="14051"/>
    <cellStyle name="Normal 4 2 9 5 3 7 2" xfId="30185"/>
    <cellStyle name="Normal 4 2 9 5 3 8" xfId="14052"/>
    <cellStyle name="Normal 4 2 9 5 3 8 2" xfId="30186"/>
    <cellStyle name="Normal 4 2 9 5 3 9" xfId="14053"/>
    <cellStyle name="Normal 4 2 9 5 3 9 2" xfId="30187"/>
    <cellStyle name="Normal 4 2 9 5 4" xfId="14054"/>
    <cellStyle name="Normal 4 2 9 5 4 2" xfId="30188"/>
    <cellStyle name="Normal 4 2 9 5 5" xfId="14055"/>
    <cellStyle name="Normal 4 2 9 5 5 2" xfId="30189"/>
    <cellStyle name="Normal 4 2 9 5 6" xfId="14056"/>
    <cellStyle name="Normal 4 2 9 5 6 2" xfId="30190"/>
    <cellStyle name="Normal 4 2 9 5 7" xfId="14057"/>
    <cellStyle name="Normal 4 2 9 5 7 2" xfId="30191"/>
    <cellStyle name="Normal 4 2 9 5 8" xfId="14058"/>
    <cellStyle name="Normal 4 2 9 5 8 2" xfId="30192"/>
    <cellStyle name="Normal 4 2 9 5 9" xfId="14059"/>
    <cellStyle name="Normal 4 2 9 5 9 2" xfId="30193"/>
    <cellStyle name="Normal 4 2 9 6" xfId="3153"/>
    <cellStyle name="Normal 4 2 9 6 10" xfId="14060"/>
    <cellStyle name="Normal 4 2 9 6 10 2" xfId="30194"/>
    <cellStyle name="Normal 4 2 9 6 11" xfId="14061"/>
    <cellStyle name="Normal 4 2 9 6 11 2" xfId="30195"/>
    <cellStyle name="Normal 4 2 9 6 12" xfId="14062"/>
    <cellStyle name="Normal 4 2 9 6 12 2" xfId="30196"/>
    <cellStyle name="Normal 4 2 9 6 13" xfId="7037"/>
    <cellStyle name="Normal 4 2 9 6 13 2" xfId="23199"/>
    <cellStyle name="Normal 4 2 9 6 14" xfId="19947"/>
    <cellStyle name="Normal 4 2 9 6 2" xfId="3080"/>
    <cellStyle name="Normal 4 2 9 6 2 10" xfId="14063"/>
    <cellStyle name="Normal 4 2 9 6 2 10 2" xfId="30197"/>
    <cellStyle name="Normal 4 2 9 6 2 11" xfId="6965"/>
    <cellStyle name="Normal 4 2 9 6 2 11 2" xfId="23127"/>
    <cellStyle name="Normal 4 2 9 6 2 12" xfId="19880"/>
    <cellStyle name="Normal 4 2 9 6 2 2" xfId="14064"/>
    <cellStyle name="Normal 4 2 9 6 2 2 2" xfId="30198"/>
    <cellStyle name="Normal 4 2 9 6 2 3" xfId="14065"/>
    <cellStyle name="Normal 4 2 9 6 2 3 2" xfId="30199"/>
    <cellStyle name="Normal 4 2 9 6 2 4" xfId="14066"/>
    <cellStyle name="Normal 4 2 9 6 2 4 2" xfId="30200"/>
    <cellStyle name="Normal 4 2 9 6 2 5" xfId="14067"/>
    <cellStyle name="Normal 4 2 9 6 2 5 2" xfId="30201"/>
    <cellStyle name="Normal 4 2 9 6 2 6" xfId="14068"/>
    <cellStyle name="Normal 4 2 9 6 2 6 2" xfId="30202"/>
    <cellStyle name="Normal 4 2 9 6 2 7" xfId="14069"/>
    <cellStyle name="Normal 4 2 9 6 2 7 2" xfId="30203"/>
    <cellStyle name="Normal 4 2 9 6 2 8" xfId="14070"/>
    <cellStyle name="Normal 4 2 9 6 2 8 2" xfId="30204"/>
    <cellStyle name="Normal 4 2 9 6 2 9" xfId="14071"/>
    <cellStyle name="Normal 4 2 9 6 2 9 2" xfId="30205"/>
    <cellStyle name="Normal 4 2 9 6 3" xfId="3086"/>
    <cellStyle name="Normal 4 2 9 6 3 10" xfId="14072"/>
    <cellStyle name="Normal 4 2 9 6 3 10 2" xfId="30206"/>
    <cellStyle name="Normal 4 2 9 6 3 11" xfId="6971"/>
    <cellStyle name="Normal 4 2 9 6 3 11 2" xfId="23133"/>
    <cellStyle name="Normal 4 2 9 6 3 12" xfId="19884"/>
    <cellStyle name="Normal 4 2 9 6 3 2" xfId="14073"/>
    <cellStyle name="Normal 4 2 9 6 3 2 2" xfId="30207"/>
    <cellStyle name="Normal 4 2 9 6 3 3" xfId="14074"/>
    <cellStyle name="Normal 4 2 9 6 3 3 2" xfId="30208"/>
    <cellStyle name="Normal 4 2 9 6 3 4" xfId="14075"/>
    <cellStyle name="Normal 4 2 9 6 3 4 2" xfId="30209"/>
    <cellStyle name="Normal 4 2 9 6 3 5" xfId="14076"/>
    <cellStyle name="Normal 4 2 9 6 3 5 2" xfId="30210"/>
    <cellStyle name="Normal 4 2 9 6 3 6" xfId="14077"/>
    <cellStyle name="Normal 4 2 9 6 3 6 2" xfId="30211"/>
    <cellStyle name="Normal 4 2 9 6 3 7" xfId="14078"/>
    <cellStyle name="Normal 4 2 9 6 3 7 2" xfId="30212"/>
    <cellStyle name="Normal 4 2 9 6 3 8" xfId="14079"/>
    <cellStyle name="Normal 4 2 9 6 3 8 2" xfId="30213"/>
    <cellStyle name="Normal 4 2 9 6 3 9" xfId="14080"/>
    <cellStyle name="Normal 4 2 9 6 3 9 2" xfId="30214"/>
    <cellStyle name="Normal 4 2 9 6 4" xfId="14081"/>
    <cellStyle name="Normal 4 2 9 6 4 2" xfId="30215"/>
    <cellStyle name="Normal 4 2 9 6 5" xfId="14082"/>
    <cellStyle name="Normal 4 2 9 6 5 2" xfId="30216"/>
    <cellStyle name="Normal 4 2 9 6 6" xfId="14083"/>
    <cellStyle name="Normal 4 2 9 6 6 2" xfId="30217"/>
    <cellStyle name="Normal 4 2 9 6 7" xfId="14084"/>
    <cellStyle name="Normal 4 2 9 6 7 2" xfId="30218"/>
    <cellStyle name="Normal 4 2 9 6 8" xfId="14085"/>
    <cellStyle name="Normal 4 2 9 6 8 2" xfId="30219"/>
    <cellStyle name="Normal 4 2 9 6 9" xfId="14086"/>
    <cellStyle name="Normal 4 2 9 6 9 2" xfId="30220"/>
    <cellStyle name="Normal 4 2 9 7" xfId="3154"/>
    <cellStyle name="Normal 4 2 9 7 10" xfId="14087"/>
    <cellStyle name="Normal 4 2 9 7 10 2" xfId="30221"/>
    <cellStyle name="Normal 4 2 9 7 11" xfId="7038"/>
    <cellStyle name="Normal 4 2 9 7 11 2" xfId="23200"/>
    <cellStyle name="Normal 4 2 9 7 12" xfId="19948"/>
    <cellStyle name="Normal 4 2 9 7 2" xfId="14088"/>
    <cellStyle name="Normal 4 2 9 7 2 2" xfId="30222"/>
    <cellStyle name="Normal 4 2 9 7 3" xfId="14089"/>
    <cellStyle name="Normal 4 2 9 7 3 2" xfId="30223"/>
    <cellStyle name="Normal 4 2 9 7 4" xfId="14090"/>
    <cellStyle name="Normal 4 2 9 7 4 2" xfId="30224"/>
    <cellStyle name="Normal 4 2 9 7 5" xfId="14091"/>
    <cellStyle name="Normal 4 2 9 7 5 2" xfId="30225"/>
    <cellStyle name="Normal 4 2 9 7 6" xfId="14092"/>
    <cellStyle name="Normal 4 2 9 7 6 2" xfId="30226"/>
    <cellStyle name="Normal 4 2 9 7 7" xfId="14093"/>
    <cellStyle name="Normal 4 2 9 7 7 2" xfId="30227"/>
    <cellStyle name="Normal 4 2 9 7 8" xfId="14094"/>
    <cellStyle name="Normal 4 2 9 7 8 2" xfId="30228"/>
    <cellStyle name="Normal 4 2 9 7 9" xfId="14095"/>
    <cellStyle name="Normal 4 2 9 7 9 2" xfId="30229"/>
    <cellStyle name="Normal 4 2 9 8" xfId="3155"/>
    <cellStyle name="Normal 4 2 9 8 10" xfId="14096"/>
    <cellStyle name="Normal 4 2 9 8 10 2" xfId="30230"/>
    <cellStyle name="Normal 4 2 9 8 11" xfId="7039"/>
    <cellStyle name="Normal 4 2 9 8 11 2" xfId="23201"/>
    <cellStyle name="Normal 4 2 9 8 12" xfId="19949"/>
    <cellStyle name="Normal 4 2 9 8 2" xfId="14097"/>
    <cellStyle name="Normal 4 2 9 8 2 2" xfId="30231"/>
    <cellStyle name="Normal 4 2 9 8 3" xfId="14098"/>
    <cellStyle name="Normal 4 2 9 8 3 2" xfId="30232"/>
    <cellStyle name="Normal 4 2 9 8 4" xfId="14099"/>
    <cellStyle name="Normal 4 2 9 8 4 2" xfId="30233"/>
    <cellStyle name="Normal 4 2 9 8 5" xfId="14100"/>
    <cellStyle name="Normal 4 2 9 8 5 2" xfId="30234"/>
    <cellStyle name="Normal 4 2 9 8 6" xfId="14101"/>
    <cellStyle name="Normal 4 2 9 8 6 2" xfId="30235"/>
    <cellStyle name="Normal 4 2 9 8 7" xfId="14102"/>
    <cellStyle name="Normal 4 2 9 8 7 2" xfId="30236"/>
    <cellStyle name="Normal 4 2 9 8 8" xfId="14103"/>
    <cellStyle name="Normal 4 2 9 8 8 2" xfId="30237"/>
    <cellStyle name="Normal 4 2 9 8 9" xfId="14104"/>
    <cellStyle name="Normal 4 2 9 8 9 2" xfId="30238"/>
    <cellStyle name="Normal 4 2 9 9" xfId="14105"/>
    <cellStyle name="Normal 4 2 9 9 2" xfId="30239"/>
    <cellStyle name="Normal 4 2_2bhk_19122016" xfId="14106"/>
    <cellStyle name="Normal 4 20" xfId="2948"/>
    <cellStyle name="Normal 4 20 2" xfId="6835"/>
    <cellStyle name="Normal 4 20 2 2" xfId="22997"/>
    <cellStyle name="Normal 4 21" xfId="2950"/>
    <cellStyle name="Normal 4 21 2" xfId="6837"/>
    <cellStyle name="Normal 4 21 2 2" xfId="22999"/>
    <cellStyle name="Normal 4 22" xfId="14107"/>
    <cellStyle name="Normal 4 22 2" xfId="30240"/>
    <cellStyle name="Normal 4 23" xfId="14108"/>
    <cellStyle name="Normal 4 23 2" xfId="30241"/>
    <cellStyle name="Normal 4 24" xfId="14109"/>
    <cellStyle name="Normal 4 24 2" xfId="30242"/>
    <cellStyle name="Normal 4 25" xfId="14110"/>
    <cellStyle name="Normal 4 25 2" xfId="30243"/>
    <cellStyle name="Normal 4 26" xfId="14111"/>
    <cellStyle name="Normal 4 26 2" xfId="30244"/>
    <cellStyle name="Normal 4 27" xfId="14112"/>
    <cellStyle name="Normal 4 27 2" xfId="30245"/>
    <cellStyle name="Normal 4 28" xfId="14113"/>
    <cellStyle name="Normal 4 28 2" xfId="30246"/>
    <cellStyle name="Normal 4 29" xfId="14114"/>
    <cellStyle name="Normal 4 29 2" xfId="30247"/>
    <cellStyle name="Normal 4 3" xfId="2621"/>
    <cellStyle name="Normal 4 3 10" xfId="3156"/>
    <cellStyle name="Normal 4 3 10 10" xfId="14115"/>
    <cellStyle name="Normal 4 3 10 10 2" xfId="30248"/>
    <cellStyle name="Normal 4 3 10 11" xfId="14116"/>
    <cellStyle name="Normal 4 3 10 11 2" xfId="30249"/>
    <cellStyle name="Normal 4 3 10 12" xfId="14117"/>
    <cellStyle name="Normal 4 3 10 12 2" xfId="30250"/>
    <cellStyle name="Normal 4 3 10 13" xfId="14118"/>
    <cellStyle name="Normal 4 3 10 13 2" xfId="30251"/>
    <cellStyle name="Normal 4 3 10 14" xfId="14119"/>
    <cellStyle name="Normal 4 3 10 14 2" xfId="30252"/>
    <cellStyle name="Normal 4 3 10 15" xfId="14120"/>
    <cellStyle name="Normal 4 3 10 15 2" xfId="30253"/>
    <cellStyle name="Normal 4 3 10 16" xfId="14121"/>
    <cellStyle name="Normal 4 3 10 16 2" xfId="30254"/>
    <cellStyle name="Normal 4 3 10 17" xfId="14122"/>
    <cellStyle name="Normal 4 3 10 17 2" xfId="30255"/>
    <cellStyle name="Normal 4 3 10 18" xfId="7040"/>
    <cellStyle name="Normal 4 3 10 18 2" xfId="23202"/>
    <cellStyle name="Normal 4 3 10 2" xfId="1778"/>
    <cellStyle name="Normal 4 3 10 2 2" xfId="14123"/>
    <cellStyle name="Normal 4 3 10 2 2 2" xfId="30256"/>
    <cellStyle name="Normal 4 3 10 2 3" xfId="5687"/>
    <cellStyle name="Normal 4 3 10 2 3 2" xfId="21849"/>
    <cellStyle name="Normal 4 3 10 3" xfId="2509"/>
    <cellStyle name="Normal 4 3 10 3 2" xfId="6405"/>
    <cellStyle name="Normal 4 3 10 3 2 2" xfId="22567"/>
    <cellStyle name="Normal 4 3 10 4" xfId="3157"/>
    <cellStyle name="Normal 4 3 10 4 2" xfId="7041"/>
    <cellStyle name="Normal 4 3 10 4 2 2" xfId="23203"/>
    <cellStyle name="Normal 4 3 10 5" xfId="3158"/>
    <cellStyle name="Normal 4 3 10 5 2" xfId="7042"/>
    <cellStyle name="Normal 4 3 10 5 2 2" xfId="23204"/>
    <cellStyle name="Normal 4 3 10 6" xfId="3159"/>
    <cellStyle name="Normal 4 3 10 6 2" xfId="7043"/>
    <cellStyle name="Normal 4 3 10 6 2 2" xfId="23205"/>
    <cellStyle name="Normal 4 3 10 7" xfId="3161"/>
    <cellStyle name="Normal 4 3 10 7 2" xfId="7044"/>
    <cellStyle name="Normal 4 3 10 7 2 2" xfId="23206"/>
    <cellStyle name="Normal 4 3 10 8" xfId="3163"/>
    <cellStyle name="Normal 4 3 10 8 2" xfId="7046"/>
    <cellStyle name="Normal 4 3 10 8 2 2" xfId="23208"/>
    <cellStyle name="Normal 4 3 10 9" xfId="14124"/>
    <cellStyle name="Normal 4 3 10 9 2" xfId="30257"/>
    <cellStyle name="Normal 4 3 11" xfId="3164"/>
    <cellStyle name="Normal 4 3 11 10" xfId="14125"/>
    <cellStyle name="Normal 4 3 11 10 2" xfId="30258"/>
    <cellStyle name="Normal 4 3 11 11" xfId="14126"/>
    <cellStyle name="Normal 4 3 11 11 2" xfId="30259"/>
    <cellStyle name="Normal 4 3 11 12" xfId="14127"/>
    <cellStyle name="Normal 4 3 11 12 2" xfId="30260"/>
    <cellStyle name="Normal 4 3 11 13" xfId="14128"/>
    <cellStyle name="Normal 4 3 11 13 2" xfId="30261"/>
    <cellStyle name="Normal 4 3 11 14" xfId="14129"/>
    <cellStyle name="Normal 4 3 11 14 2" xfId="30262"/>
    <cellStyle name="Normal 4 3 11 15" xfId="14130"/>
    <cellStyle name="Normal 4 3 11 15 2" xfId="30263"/>
    <cellStyle name="Normal 4 3 11 16" xfId="14131"/>
    <cellStyle name="Normal 4 3 11 16 2" xfId="30264"/>
    <cellStyle name="Normal 4 3 11 17" xfId="14132"/>
    <cellStyle name="Normal 4 3 11 17 2" xfId="30265"/>
    <cellStyle name="Normal 4 3 11 18" xfId="7048"/>
    <cellStyle name="Normal 4 3 11 18 2" xfId="23210"/>
    <cellStyle name="Normal 4 3 11 2" xfId="2952"/>
    <cellStyle name="Normal 4 3 11 2 2" xfId="6839"/>
    <cellStyle name="Normal 4 3 11 2 2 2" xfId="23001"/>
    <cellStyle name="Normal 4 3 11 3" xfId="2647"/>
    <cellStyle name="Normal 4 3 11 3 2" xfId="6541"/>
    <cellStyle name="Normal 4 3 11 3 2 2" xfId="22703"/>
    <cellStyle name="Normal 4 3 11 4" xfId="2957"/>
    <cellStyle name="Normal 4 3 11 4 2" xfId="6844"/>
    <cellStyle name="Normal 4 3 11 4 2 2" xfId="23006"/>
    <cellStyle name="Normal 4 3 11 5" xfId="2959"/>
    <cellStyle name="Normal 4 3 11 5 2" xfId="6846"/>
    <cellStyle name="Normal 4 3 11 5 2 2" xfId="23008"/>
    <cellStyle name="Normal 4 3 11 6" xfId="2961"/>
    <cellStyle name="Normal 4 3 11 6 2" xfId="6848"/>
    <cellStyle name="Normal 4 3 11 6 2 2" xfId="23010"/>
    <cellStyle name="Normal 4 3 11 7" xfId="2963"/>
    <cellStyle name="Normal 4 3 11 7 2" xfId="6850"/>
    <cellStyle name="Normal 4 3 11 7 2 2" xfId="23012"/>
    <cellStyle name="Normal 4 3 11 8" xfId="2965"/>
    <cellStyle name="Normal 4 3 11 8 2" xfId="6852"/>
    <cellStyle name="Normal 4 3 11 8 2 2" xfId="23014"/>
    <cellStyle name="Normal 4 3 11 9" xfId="14133"/>
    <cellStyle name="Normal 4 3 11 9 2" xfId="30266"/>
    <cellStyle name="Normal 4 3 12" xfId="3165"/>
    <cellStyle name="Normal 4 3 12 2" xfId="14134"/>
    <cellStyle name="Normal 4 3 12 2 2" xfId="30267"/>
    <cellStyle name="Normal 4 3 12 3" xfId="7049"/>
    <cellStyle name="Normal 4 3 12 3 2" xfId="23211"/>
    <cellStyle name="Normal 4 3 13" xfId="3167"/>
    <cellStyle name="Normal 4 3 13 2" xfId="7050"/>
    <cellStyle name="Normal 4 3 13 2 2" xfId="23212"/>
    <cellStyle name="Normal 4 3 14" xfId="415"/>
    <cellStyle name="Normal 4 3 14 2" xfId="4356"/>
    <cellStyle name="Normal 4 3 14 2 2" xfId="20519"/>
    <cellStyle name="Normal 4 3 15" xfId="3168"/>
    <cellStyle name="Normal 4 3 15 2" xfId="7052"/>
    <cellStyle name="Normal 4 3 15 2 2" xfId="23214"/>
    <cellStyle name="Normal 4 3 16" xfId="3169"/>
    <cellStyle name="Normal 4 3 16 2" xfId="7053"/>
    <cellStyle name="Normal 4 3 16 2 2" xfId="23215"/>
    <cellStyle name="Normal 4 3 17" xfId="3170"/>
    <cellStyle name="Normal 4 3 17 2" xfId="7054"/>
    <cellStyle name="Normal 4 3 17 2 2" xfId="23216"/>
    <cellStyle name="Normal 4 3 18" xfId="19"/>
    <cellStyle name="Normal 4 3 18 2" xfId="3980"/>
    <cellStyle name="Normal 4 3 18 2 2" xfId="20143"/>
    <cellStyle name="Normal 4 3 19" xfId="14135"/>
    <cellStyle name="Normal 4 3 19 2" xfId="30268"/>
    <cellStyle name="Normal 4 3 2" xfId="3172"/>
    <cellStyle name="Normal 4 3 2 10" xfId="1592"/>
    <cellStyle name="Normal 4 3 2 10 10" xfId="14136"/>
    <cellStyle name="Normal 4 3 2 10 10 2" xfId="30269"/>
    <cellStyle name="Normal 4 3 2 10 11" xfId="14137"/>
    <cellStyle name="Normal 4 3 2 10 11 2" xfId="30270"/>
    <cellStyle name="Normal 4 3 2 10 12" xfId="14138"/>
    <cellStyle name="Normal 4 3 2 10 12 2" xfId="30271"/>
    <cellStyle name="Normal 4 3 2 10 13" xfId="14139"/>
    <cellStyle name="Normal 4 3 2 10 13 2" xfId="30272"/>
    <cellStyle name="Normal 4 3 2 10 14" xfId="14140"/>
    <cellStyle name="Normal 4 3 2 10 14 2" xfId="30273"/>
    <cellStyle name="Normal 4 3 2 10 15" xfId="14141"/>
    <cellStyle name="Normal 4 3 2 10 15 2" xfId="30274"/>
    <cellStyle name="Normal 4 3 2 10 16" xfId="14142"/>
    <cellStyle name="Normal 4 3 2 10 16 2" xfId="30275"/>
    <cellStyle name="Normal 4 3 2 10 17" xfId="14143"/>
    <cellStyle name="Normal 4 3 2 10 17 2" xfId="30276"/>
    <cellStyle name="Normal 4 3 2 10 18" xfId="5509"/>
    <cellStyle name="Normal 4 3 2 10 18 2" xfId="21671"/>
    <cellStyle name="Normal 4 3 2 10 2" xfId="3173"/>
    <cellStyle name="Normal 4 3 2 10 2 2" xfId="7057"/>
    <cellStyle name="Normal 4 3 2 10 2 2 2" xfId="23219"/>
    <cellStyle name="Normal 4 3 2 10 3" xfId="3174"/>
    <cellStyle name="Normal 4 3 2 10 3 2" xfId="7058"/>
    <cellStyle name="Normal 4 3 2 10 3 2 2" xfId="23220"/>
    <cellStyle name="Normal 4 3 2 10 4" xfId="3175"/>
    <cellStyle name="Normal 4 3 2 10 4 2" xfId="7059"/>
    <cellStyle name="Normal 4 3 2 10 4 2 2" xfId="23221"/>
    <cellStyle name="Normal 4 3 2 10 5" xfId="3176"/>
    <cellStyle name="Normal 4 3 2 10 5 2" xfId="7060"/>
    <cellStyle name="Normal 4 3 2 10 5 2 2" xfId="23222"/>
    <cellStyle name="Normal 4 3 2 10 6" xfId="3177"/>
    <cellStyle name="Normal 4 3 2 10 6 2" xfId="7061"/>
    <cellStyle name="Normal 4 3 2 10 6 2 2" xfId="23223"/>
    <cellStyle name="Normal 4 3 2 10 7" xfId="3178"/>
    <cellStyle name="Normal 4 3 2 10 7 2" xfId="7062"/>
    <cellStyle name="Normal 4 3 2 10 7 2 2" xfId="23224"/>
    <cellStyle name="Normal 4 3 2 10 8" xfId="3179"/>
    <cellStyle name="Normal 4 3 2 10 8 2" xfId="7063"/>
    <cellStyle name="Normal 4 3 2 10 8 2 2" xfId="23225"/>
    <cellStyle name="Normal 4 3 2 10 9" xfId="14144"/>
    <cellStyle name="Normal 4 3 2 10 9 2" xfId="30277"/>
    <cellStyle name="Normal 4 3 2 11" xfId="1595"/>
    <cellStyle name="Normal 4 3 2 11 2" xfId="5512"/>
    <cellStyle name="Normal 4 3 2 11 2 2" xfId="21674"/>
    <cellStyle name="Normal 4 3 2 12" xfId="3070"/>
    <cellStyle name="Normal 4 3 2 12 2" xfId="6955"/>
    <cellStyle name="Normal 4 3 2 12 2 2" xfId="23117"/>
    <cellStyle name="Normal 4 3 2 13" xfId="3180"/>
    <cellStyle name="Normal 4 3 2 13 2" xfId="7064"/>
    <cellStyle name="Normal 4 3 2 13 2 2" xfId="23226"/>
    <cellStyle name="Normal 4 3 2 14" xfId="3181"/>
    <cellStyle name="Normal 4 3 2 14 2" xfId="7065"/>
    <cellStyle name="Normal 4 3 2 14 2 2" xfId="23227"/>
    <cellStyle name="Normal 4 3 2 15" xfId="3182"/>
    <cellStyle name="Normal 4 3 2 15 2" xfId="7066"/>
    <cellStyle name="Normal 4 3 2 15 2 2" xfId="23228"/>
    <cellStyle name="Normal 4 3 2 16" xfId="3183"/>
    <cellStyle name="Normal 4 3 2 16 2" xfId="7067"/>
    <cellStyle name="Normal 4 3 2 16 2 2" xfId="23229"/>
    <cellStyle name="Normal 4 3 2 17" xfId="3184"/>
    <cellStyle name="Normal 4 3 2 17 2" xfId="7068"/>
    <cellStyle name="Normal 4 3 2 17 2 2" xfId="23230"/>
    <cellStyle name="Normal 4 3 2 18" xfId="14145"/>
    <cellStyle name="Normal 4 3 2 18 2" xfId="30278"/>
    <cellStyle name="Normal 4 3 2 19" xfId="14146"/>
    <cellStyle name="Normal 4 3 2 19 2" xfId="30279"/>
    <cellStyle name="Normal 4 3 2 2" xfId="3186"/>
    <cellStyle name="Normal 4 3 2 2 10" xfId="14147"/>
    <cellStyle name="Normal 4 3 2 2 10 2" xfId="30280"/>
    <cellStyle name="Normal 4 3 2 2 11" xfId="14148"/>
    <cellStyle name="Normal 4 3 2 2 11 2" xfId="30281"/>
    <cellStyle name="Normal 4 3 2 2 12" xfId="14149"/>
    <cellStyle name="Normal 4 3 2 2 12 2" xfId="30282"/>
    <cellStyle name="Normal 4 3 2 2 13" xfId="14150"/>
    <cellStyle name="Normal 4 3 2 2 13 2" xfId="30283"/>
    <cellStyle name="Normal 4 3 2 2 14" xfId="14151"/>
    <cellStyle name="Normal 4 3 2 2 14 2" xfId="30284"/>
    <cellStyle name="Normal 4 3 2 2 15" xfId="14152"/>
    <cellStyle name="Normal 4 3 2 2 15 2" xfId="30285"/>
    <cellStyle name="Normal 4 3 2 2 16" xfId="14153"/>
    <cellStyle name="Normal 4 3 2 2 16 2" xfId="30286"/>
    <cellStyle name="Normal 4 3 2 2 17" xfId="14154"/>
    <cellStyle name="Normal 4 3 2 2 17 2" xfId="30287"/>
    <cellStyle name="Normal 4 3 2 2 18" xfId="7069"/>
    <cellStyle name="Normal 4 3 2 2 18 2" xfId="23231"/>
    <cellStyle name="Normal 4 3 2 2 2" xfId="2248"/>
    <cellStyle name="Normal 4 3 2 2 2 2" xfId="6149"/>
    <cellStyle name="Normal 4 3 2 2 2 2 2" xfId="22311"/>
    <cellStyle name="Normal 4 3 2 2 3" xfId="2252"/>
    <cellStyle name="Normal 4 3 2 2 3 2" xfId="6152"/>
    <cellStyle name="Normal 4 3 2 2 3 2 2" xfId="22314"/>
    <cellStyle name="Normal 4 3 2 2 4" xfId="2254"/>
    <cellStyle name="Normal 4 3 2 2 4 2" xfId="6155"/>
    <cellStyle name="Normal 4 3 2 2 4 2 2" xfId="22317"/>
    <cellStyle name="Normal 4 3 2 2 5" xfId="1942"/>
    <cellStyle name="Normal 4 3 2 2 5 2" xfId="5849"/>
    <cellStyle name="Normal 4 3 2 2 5 2 2" xfId="22011"/>
    <cellStyle name="Normal 4 3 2 2 6" xfId="395"/>
    <cellStyle name="Normal 4 3 2 2 6 2" xfId="4335"/>
    <cellStyle name="Normal 4 3 2 2 6 2 2" xfId="20498"/>
    <cellStyle name="Normal 4 3 2 2 7" xfId="406"/>
    <cellStyle name="Normal 4 3 2 2 7 2" xfId="4345"/>
    <cellStyle name="Normal 4 3 2 2 7 2 2" xfId="20508"/>
    <cellStyle name="Normal 4 3 2 2 8" xfId="3188"/>
    <cellStyle name="Normal 4 3 2 2 8 2" xfId="7071"/>
    <cellStyle name="Normal 4 3 2 2 8 2 2" xfId="23233"/>
    <cellStyle name="Normal 4 3 2 2 9" xfId="14155"/>
    <cellStyle name="Normal 4 3 2 2 9 2" xfId="30288"/>
    <cellStyle name="Normal 4 3 2 20" xfId="14156"/>
    <cellStyle name="Normal 4 3 2 20 2" xfId="30289"/>
    <cellStyle name="Normal 4 3 2 21" xfId="14157"/>
    <cellStyle name="Normal 4 3 2 21 2" xfId="30290"/>
    <cellStyle name="Normal 4 3 2 22" xfId="14158"/>
    <cellStyle name="Normal 4 3 2 22 2" xfId="30291"/>
    <cellStyle name="Normal 4 3 2 23" xfId="14159"/>
    <cellStyle name="Normal 4 3 2 23 2" xfId="30292"/>
    <cellStyle name="Normal 4 3 2 24" xfId="14160"/>
    <cellStyle name="Normal 4 3 2 24 2" xfId="30293"/>
    <cellStyle name="Normal 4 3 2 25" xfId="14161"/>
    <cellStyle name="Normal 4 3 2 25 2" xfId="30294"/>
    <cellStyle name="Normal 4 3 2 26" xfId="14162"/>
    <cellStyle name="Normal 4 3 2 26 2" xfId="30295"/>
    <cellStyle name="Normal 4 3 2 27" xfId="7055"/>
    <cellStyle name="Normal 4 3 2 27 2" xfId="23217"/>
    <cellStyle name="Normal 4 3 2 3" xfId="3190"/>
    <cellStyle name="Normal 4 3 2 3 10" xfId="14163"/>
    <cellStyle name="Normal 4 3 2 3 10 2" xfId="30296"/>
    <cellStyle name="Normal 4 3 2 3 11" xfId="14164"/>
    <cellStyle name="Normal 4 3 2 3 11 2" xfId="30297"/>
    <cellStyle name="Normal 4 3 2 3 12" xfId="14165"/>
    <cellStyle name="Normal 4 3 2 3 12 2" xfId="30298"/>
    <cellStyle name="Normal 4 3 2 3 13" xfId="14166"/>
    <cellStyle name="Normal 4 3 2 3 13 2" xfId="30299"/>
    <cellStyle name="Normal 4 3 2 3 14" xfId="14167"/>
    <cellStyle name="Normal 4 3 2 3 14 2" xfId="30300"/>
    <cellStyle name="Normal 4 3 2 3 15" xfId="14168"/>
    <cellStyle name="Normal 4 3 2 3 15 2" xfId="30301"/>
    <cellStyle name="Normal 4 3 2 3 16" xfId="14169"/>
    <cellStyle name="Normal 4 3 2 3 16 2" xfId="30302"/>
    <cellStyle name="Normal 4 3 2 3 17" xfId="14170"/>
    <cellStyle name="Normal 4 3 2 3 17 2" xfId="30303"/>
    <cellStyle name="Normal 4 3 2 3 18" xfId="7073"/>
    <cellStyle name="Normal 4 3 2 3 18 2" xfId="23235"/>
    <cellStyle name="Normal 4 3 2 3 2" xfId="2836"/>
    <cellStyle name="Normal 4 3 2 3 2 2" xfId="6727"/>
    <cellStyle name="Normal 4 3 2 3 2 2 2" xfId="22889"/>
    <cellStyle name="Normal 4 3 2 3 3" xfId="3192"/>
    <cellStyle name="Normal 4 3 2 3 3 2" xfId="7075"/>
    <cellStyle name="Normal 4 3 2 3 3 2 2" xfId="23237"/>
    <cellStyle name="Normal 4 3 2 3 4" xfId="3194"/>
    <cellStyle name="Normal 4 3 2 3 4 2" xfId="7077"/>
    <cellStyle name="Normal 4 3 2 3 4 2 2" xfId="23239"/>
    <cellStyle name="Normal 4 3 2 3 5" xfId="3197"/>
    <cellStyle name="Normal 4 3 2 3 5 2" xfId="7079"/>
    <cellStyle name="Normal 4 3 2 3 5 2 2" xfId="23241"/>
    <cellStyle name="Normal 4 3 2 3 6" xfId="3200"/>
    <cellStyle name="Normal 4 3 2 3 6 2" xfId="7082"/>
    <cellStyle name="Normal 4 3 2 3 6 2 2" xfId="23244"/>
    <cellStyle name="Normal 4 3 2 3 7" xfId="3202"/>
    <cellStyle name="Normal 4 3 2 3 7 2" xfId="7085"/>
    <cellStyle name="Normal 4 3 2 3 7 2 2" xfId="23247"/>
    <cellStyle name="Normal 4 3 2 3 8" xfId="182"/>
    <cellStyle name="Normal 4 3 2 3 8 2" xfId="4108"/>
    <cellStyle name="Normal 4 3 2 3 8 2 2" xfId="20271"/>
    <cellStyle name="Normal 4 3 2 3 9" xfId="14171"/>
    <cellStyle name="Normal 4 3 2 3 9 2" xfId="30304"/>
    <cellStyle name="Normal 4 3 2 4" xfId="38"/>
    <cellStyle name="Normal 4 3 2 4 10" xfId="14172"/>
    <cellStyle name="Normal 4 3 2 4 10 2" xfId="30305"/>
    <cellStyle name="Normal 4 3 2 4 11" xfId="14173"/>
    <cellStyle name="Normal 4 3 2 4 11 2" xfId="30306"/>
    <cellStyle name="Normal 4 3 2 4 12" xfId="14174"/>
    <cellStyle name="Normal 4 3 2 4 12 2" xfId="30307"/>
    <cellStyle name="Normal 4 3 2 4 13" xfId="14175"/>
    <cellStyle name="Normal 4 3 2 4 13 2" xfId="30308"/>
    <cellStyle name="Normal 4 3 2 4 14" xfId="14176"/>
    <cellStyle name="Normal 4 3 2 4 14 2" xfId="30309"/>
    <cellStyle name="Normal 4 3 2 4 15" xfId="14177"/>
    <cellStyle name="Normal 4 3 2 4 15 2" xfId="30310"/>
    <cellStyle name="Normal 4 3 2 4 16" xfId="14178"/>
    <cellStyle name="Normal 4 3 2 4 16 2" xfId="30311"/>
    <cellStyle name="Normal 4 3 2 4 17" xfId="14179"/>
    <cellStyle name="Normal 4 3 2 4 17 2" xfId="30312"/>
    <cellStyle name="Normal 4 3 2 4 18" xfId="3992"/>
    <cellStyle name="Normal 4 3 2 4 18 2" xfId="20155"/>
    <cellStyle name="Normal 4 3 2 4 2" xfId="2839"/>
    <cellStyle name="Normal 4 3 2 4 2 2" xfId="6731"/>
    <cellStyle name="Normal 4 3 2 4 2 2 2" xfId="22893"/>
    <cellStyle name="Normal 4 3 2 4 3" xfId="447"/>
    <cellStyle name="Normal 4 3 2 4 3 2" xfId="4386"/>
    <cellStyle name="Normal 4 3 2 4 3 2 2" xfId="20549"/>
    <cellStyle name="Normal 4 3 2 4 4" xfId="53"/>
    <cellStyle name="Normal 4 3 2 4 4 2" xfId="4006"/>
    <cellStyle name="Normal 4 3 2 4 4 2 2" xfId="20169"/>
    <cellStyle name="Normal 4 3 2 4 5" xfId="3204"/>
    <cellStyle name="Normal 4 3 2 4 5 2" xfId="7087"/>
    <cellStyle name="Normal 4 3 2 4 5 2 2" xfId="23249"/>
    <cellStyle name="Normal 4 3 2 4 6" xfId="1816"/>
    <cellStyle name="Normal 4 3 2 4 6 2" xfId="5726"/>
    <cellStyle name="Normal 4 3 2 4 6 2 2" xfId="21888"/>
    <cellStyle name="Normal 4 3 2 4 7" xfId="1819"/>
    <cellStyle name="Normal 4 3 2 4 7 2" xfId="5729"/>
    <cellStyle name="Normal 4 3 2 4 7 2 2" xfId="21891"/>
    <cellStyle name="Normal 4 3 2 4 8" xfId="1823"/>
    <cellStyle name="Normal 4 3 2 4 8 2" xfId="5732"/>
    <cellStyle name="Normal 4 3 2 4 8 2 2" xfId="21894"/>
    <cellStyle name="Normal 4 3 2 4 9" xfId="14180"/>
    <cellStyle name="Normal 4 3 2 4 9 2" xfId="30313"/>
    <cellStyle name="Normal 4 3 2 5" xfId="3206"/>
    <cellStyle name="Normal 4 3 2 5 10" xfId="14181"/>
    <cellStyle name="Normal 4 3 2 5 10 2" xfId="30314"/>
    <cellStyle name="Normal 4 3 2 5 11" xfId="14182"/>
    <cellStyle name="Normal 4 3 2 5 11 2" xfId="30315"/>
    <cellStyle name="Normal 4 3 2 5 12" xfId="14183"/>
    <cellStyle name="Normal 4 3 2 5 12 2" xfId="30316"/>
    <cellStyle name="Normal 4 3 2 5 13" xfId="14184"/>
    <cellStyle name="Normal 4 3 2 5 13 2" xfId="30317"/>
    <cellStyle name="Normal 4 3 2 5 14" xfId="14185"/>
    <cellStyle name="Normal 4 3 2 5 14 2" xfId="30318"/>
    <cellStyle name="Normal 4 3 2 5 15" xfId="14186"/>
    <cellStyle name="Normal 4 3 2 5 15 2" xfId="30319"/>
    <cellStyle name="Normal 4 3 2 5 16" xfId="14187"/>
    <cellStyle name="Normal 4 3 2 5 16 2" xfId="30320"/>
    <cellStyle name="Normal 4 3 2 5 17" xfId="14188"/>
    <cellStyle name="Normal 4 3 2 5 17 2" xfId="30321"/>
    <cellStyle name="Normal 4 3 2 5 18" xfId="7089"/>
    <cellStyle name="Normal 4 3 2 5 18 2" xfId="23251"/>
    <cellStyle name="Normal 4 3 2 5 2" xfId="3207"/>
    <cellStyle name="Normal 4 3 2 5 2 2" xfId="7091"/>
    <cellStyle name="Normal 4 3 2 5 2 2 2" xfId="23253"/>
    <cellStyle name="Normal 4 3 2 5 3" xfId="3208"/>
    <cellStyle name="Normal 4 3 2 5 3 2" xfId="7092"/>
    <cellStyle name="Normal 4 3 2 5 3 2 2" xfId="23254"/>
    <cellStyle name="Normal 4 3 2 5 4" xfId="3209"/>
    <cellStyle name="Normal 4 3 2 5 4 2" xfId="7093"/>
    <cellStyle name="Normal 4 3 2 5 4 2 2" xfId="23255"/>
    <cellStyle name="Normal 4 3 2 5 5" xfId="2878"/>
    <cellStyle name="Normal 4 3 2 5 5 2" xfId="6766"/>
    <cellStyle name="Normal 4 3 2 5 5 2 2" xfId="22928"/>
    <cellStyle name="Normal 4 3 2 5 6" xfId="1763"/>
    <cellStyle name="Normal 4 3 2 5 6 2" xfId="5672"/>
    <cellStyle name="Normal 4 3 2 5 6 2 2" xfId="21834"/>
    <cellStyle name="Normal 4 3 2 5 7" xfId="1829"/>
    <cellStyle name="Normal 4 3 2 5 7 2" xfId="5738"/>
    <cellStyle name="Normal 4 3 2 5 7 2 2" xfId="21900"/>
    <cellStyle name="Normal 4 3 2 5 8" xfId="1832"/>
    <cellStyle name="Normal 4 3 2 5 8 2" xfId="5741"/>
    <cellStyle name="Normal 4 3 2 5 8 2 2" xfId="21903"/>
    <cellStyle name="Normal 4 3 2 5 9" xfId="14189"/>
    <cellStyle name="Normal 4 3 2 5 9 2" xfId="30322"/>
    <cellStyle name="Normal 4 3 2 6" xfId="3211"/>
    <cellStyle name="Normal 4 3 2 6 10" xfId="14190"/>
    <cellStyle name="Normal 4 3 2 6 10 2" xfId="30323"/>
    <cellStyle name="Normal 4 3 2 6 11" xfId="14191"/>
    <cellStyle name="Normal 4 3 2 6 11 2" xfId="30324"/>
    <cellStyle name="Normal 4 3 2 6 12" xfId="14192"/>
    <cellStyle name="Normal 4 3 2 6 12 2" xfId="30325"/>
    <cellStyle name="Normal 4 3 2 6 13" xfId="14193"/>
    <cellStyle name="Normal 4 3 2 6 13 2" xfId="30326"/>
    <cellStyle name="Normal 4 3 2 6 14" xfId="14194"/>
    <cellStyle name="Normal 4 3 2 6 14 2" xfId="30327"/>
    <cellStyle name="Normal 4 3 2 6 15" xfId="14195"/>
    <cellStyle name="Normal 4 3 2 6 15 2" xfId="30328"/>
    <cellStyle name="Normal 4 3 2 6 16" xfId="14196"/>
    <cellStyle name="Normal 4 3 2 6 16 2" xfId="30329"/>
    <cellStyle name="Normal 4 3 2 6 17" xfId="14197"/>
    <cellStyle name="Normal 4 3 2 6 17 2" xfId="30330"/>
    <cellStyle name="Normal 4 3 2 6 18" xfId="7094"/>
    <cellStyle name="Normal 4 3 2 6 18 2" xfId="23256"/>
    <cellStyle name="Normal 4 3 2 6 2" xfId="3212"/>
    <cellStyle name="Normal 4 3 2 6 2 2" xfId="7096"/>
    <cellStyle name="Normal 4 3 2 6 2 2 2" xfId="23258"/>
    <cellStyle name="Normal 4 3 2 6 3" xfId="3213"/>
    <cellStyle name="Normal 4 3 2 6 3 2" xfId="7097"/>
    <cellStyle name="Normal 4 3 2 6 3 2 2" xfId="23259"/>
    <cellStyle name="Normal 4 3 2 6 4" xfId="3214"/>
    <cellStyle name="Normal 4 3 2 6 4 2" xfId="7098"/>
    <cellStyle name="Normal 4 3 2 6 4 2 2" xfId="23260"/>
    <cellStyle name="Normal 4 3 2 6 5" xfId="3216"/>
    <cellStyle name="Normal 4 3 2 6 5 2" xfId="7099"/>
    <cellStyle name="Normal 4 3 2 6 5 2 2" xfId="23261"/>
    <cellStyle name="Normal 4 3 2 6 6" xfId="738"/>
    <cellStyle name="Normal 4 3 2 6 6 2" xfId="4665"/>
    <cellStyle name="Normal 4 3 2 6 6 2 2" xfId="20827"/>
    <cellStyle name="Normal 4 3 2 6 7" xfId="748"/>
    <cellStyle name="Normal 4 3 2 6 7 2" xfId="4675"/>
    <cellStyle name="Normal 4 3 2 6 7 2 2" xfId="20837"/>
    <cellStyle name="Normal 4 3 2 6 8" xfId="1839"/>
    <cellStyle name="Normal 4 3 2 6 8 2" xfId="5748"/>
    <cellStyle name="Normal 4 3 2 6 8 2 2" xfId="21910"/>
    <cellStyle name="Normal 4 3 2 6 9" xfId="14198"/>
    <cellStyle name="Normal 4 3 2 6 9 2" xfId="30331"/>
    <cellStyle name="Normal 4 3 2 7" xfId="3219"/>
    <cellStyle name="Normal 4 3 2 7 10" xfId="14199"/>
    <cellStyle name="Normal 4 3 2 7 10 2" xfId="30332"/>
    <cellStyle name="Normal 4 3 2 7 11" xfId="14200"/>
    <cellStyle name="Normal 4 3 2 7 11 2" xfId="30333"/>
    <cellStyle name="Normal 4 3 2 7 12" xfId="14201"/>
    <cellStyle name="Normal 4 3 2 7 12 2" xfId="30334"/>
    <cellStyle name="Normal 4 3 2 7 13" xfId="14202"/>
    <cellStyle name="Normal 4 3 2 7 13 2" xfId="30335"/>
    <cellStyle name="Normal 4 3 2 7 14" xfId="14203"/>
    <cellStyle name="Normal 4 3 2 7 14 2" xfId="30336"/>
    <cellStyle name="Normal 4 3 2 7 15" xfId="14204"/>
    <cellStyle name="Normal 4 3 2 7 15 2" xfId="30337"/>
    <cellStyle name="Normal 4 3 2 7 16" xfId="14205"/>
    <cellStyle name="Normal 4 3 2 7 16 2" xfId="30338"/>
    <cellStyle name="Normal 4 3 2 7 17" xfId="14206"/>
    <cellStyle name="Normal 4 3 2 7 17 2" xfId="30339"/>
    <cellStyle name="Normal 4 3 2 7 18" xfId="7101"/>
    <cellStyle name="Normal 4 3 2 7 18 2" xfId="23263"/>
    <cellStyle name="Normal 4 3 2 7 2" xfId="3220"/>
    <cellStyle name="Normal 4 3 2 7 2 2" xfId="7104"/>
    <cellStyle name="Normal 4 3 2 7 2 2 2" xfId="23266"/>
    <cellStyle name="Normal 4 3 2 7 3" xfId="3221"/>
    <cellStyle name="Normal 4 3 2 7 3 2" xfId="7105"/>
    <cellStyle name="Normal 4 3 2 7 3 2 2" xfId="23267"/>
    <cellStyle name="Normal 4 3 2 7 4" xfId="3222"/>
    <cellStyle name="Normal 4 3 2 7 4 2" xfId="7106"/>
    <cellStyle name="Normal 4 3 2 7 4 2 2" xfId="23268"/>
    <cellStyle name="Normal 4 3 2 7 5" xfId="3224"/>
    <cellStyle name="Normal 4 3 2 7 5 2" xfId="7107"/>
    <cellStyle name="Normal 4 3 2 7 5 2 2" xfId="23269"/>
    <cellStyle name="Normal 4 3 2 7 6" xfId="1851"/>
    <cellStyle name="Normal 4 3 2 7 6 2" xfId="5760"/>
    <cellStyle name="Normal 4 3 2 7 6 2 2" xfId="21922"/>
    <cellStyle name="Normal 4 3 2 7 7" xfId="305"/>
    <cellStyle name="Normal 4 3 2 7 7 2" xfId="4249"/>
    <cellStyle name="Normal 4 3 2 7 7 2 2" xfId="20412"/>
    <cellStyle name="Normal 4 3 2 7 8" xfId="313"/>
    <cellStyle name="Normal 4 3 2 7 8 2" xfId="4255"/>
    <cellStyle name="Normal 4 3 2 7 8 2 2" xfId="20418"/>
    <cellStyle name="Normal 4 3 2 7 9" xfId="14207"/>
    <cellStyle name="Normal 4 3 2 7 9 2" xfId="30340"/>
    <cellStyle name="Normal 4 3 2 8" xfId="42"/>
    <cellStyle name="Normal 4 3 2 8 10" xfId="14208"/>
    <cellStyle name="Normal 4 3 2 8 10 2" xfId="30341"/>
    <cellStyle name="Normal 4 3 2 8 11" xfId="14209"/>
    <cellStyle name="Normal 4 3 2 8 11 2" xfId="30342"/>
    <cellStyle name="Normal 4 3 2 8 12" xfId="14210"/>
    <cellStyle name="Normal 4 3 2 8 12 2" xfId="30343"/>
    <cellStyle name="Normal 4 3 2 8 13" xfId="14211"/>
    <cellStyle name="Normal 4 3 2 8 13 2" xfId="30344"/>
    <cellStyle name="Normal 4 3 2 8 14" xfId="14212"/>
    <cellStyle name="Normal 4 3 2 8 14 2" xfId="30345"/>
    <cellStyle name="Normal 4 3 2 8 15" xfId="14213"/>
    <cellStyle name="Normal 4 3 2 8 15 2" xfId="30346"/>
    <cellStyle name="Normal 4 3 2 8 16" xfId="14214"/>
    <cellStyle name="Normal 4 3 2 8 16 2" xfId="30347"/>
    <cellStyle name="Normal 4 3 2 8 17" xfId="14215"/>
    <cellStyle name="Normal 4 3 2 8 17 2" xfId="30348"/>
    <cellStyle name="Normal 4 3 2 8 18" xfId="3997"/>
    <cellStyle name="Normal 4 3 2 8 18 2" xfId="20160"/>
    <cellStyle name="Normal 4 3 2 8 2" xfId="787"/>
    <cellStyle name="Normal 4 3 2 8 2 2" xfId="4714"/>
    <cellStyle name="Normal 4 3 2 8 2 2 2" xfId="20876"/>
    <cellStyle name="Normal 4 3 2 8 3" xfId="790"/>
    <cellStyle name="Normal 4 3 2 8 3 2" xfId="4716"/>
    <cellStyle name="Normal 4 3 2 8 3 2 2" xfId="20878"/>
    <cellStyle name="Normal 4 3 2 8 4" xfId="3225"/>
    <cellStyle name="Normal 4 3 2 8 4 2" xfId="7109"/>
    <cellStyle name="Normal 4 3 2 8 4 2 2" xfId="23271"/>
    <cellStyle name="Normal 4 3 2 8 5" xfId="3227"/>
    <cellStyle name="Normal 4 3 2 8 5 2" xfId="7110"/>
    <cellStyle name="Normal 4 3 2 8 5 2 2" xfId="23272"/>
    <cellStyle name="Normal 4 3 2 8 6" xfId="1861"/>
    <cellStyle name="Normal 4 3 2 8 6 2" xfId="5770"/>
    <cellStyle name="Normal 4 3 2 8 6 2 2" xfId="21932"/>
    <cellStyle name="Normal 4 3 2 8 7" xfId="1864"/>
    <cellStyle name="Normal 4 3 2 8 7 2" xfId="5773"/>
    <cellStyle name="Normal 4 3 2 8 7 2 2" xfId="21935"/>
    <cellStyle name="Normal 4 3 2 8 8" xfId="1867"/>
    <cellStyle name="Normal 4 3 2 8 8 2" xfId="5776"/>
    <cellStyle name="Normal 4 3 2 8 8 2 2" xfId="21938"/>
    <cellStyle name="Normal 4 3 2 8 9" xfId="14216"/>
    <cellStyle name="Normal 4 3 2 8 9 2" xfId="30349"/>
    <cellStyle name="Normal 4 3 2 9" xfId="3229"/>
    <cellStyle name="Normal 4 3 2 9 10" xfId="14217"/>
    <cellStyle name="Normal 4 3 2 9 10 2" xfId="30350"/>
    <cellStyle name="Normal 4 3 2 9 11" xfId="14218"/>
    <cellStyle name="Normal 4 3 2 9 11 2" xfId="30351"/>
    <cellStyle name="Normal 4 3 2 9 12" xfId="14219"/>
    <cellStyle name="Normal 4 3 2 9 12 2" xfId="30352"/>
    <cellStyle name="Normal 4 3 2 9 13" xfId="14220"/>
    <cellStyle name="Normal 4 3 2 9 13 2" xfId="30353"/>
    <cellStyle name="Normal 4 3 2 9 14" xfId="14221"/>
    <cellStyle name="Normal 4 3 2 9 14 2" xfId="30354"/>
    <cellStyle name="Normal 4 3 2 9 15" xfId="14222"/>
    <cellStyle name="Normal 4 3 2 9 15 2" xfId="30355"/>
    <cellStyle name="Normal 4 3 2 9 16" xfId="14223"/>
    <cellStyle name="Normal 4 3 2 9 16 2" xfId="30356"/>
    <cellStyle name="Normal 4 3 2 9 17" xfId="14224"/>
    <cellStyle name="Normal 4 3 2 9 17 2" xfId="30357"/>
    <cellStyle name="Normal 4 3 2 9 18" xfId="7112"/>
    <cellStyle name="Normal 4 3 2 9 18 2" xfId="23274"/>
    <cellStyle name="Normal 4 3 2 9 2" xfId="3230"/>
    <cellStyle name="Normal 4 3 2 9 2 2" xfId="7114"/>
    <cellStyle name="Normal 4 3 2 9 2 2 2" xfId="23276"/>
    <cellStyle name="Normal 4 3 2 9 3" xfId="3231"/>
    <cellStyle name="Normal 4 3 2 9 3 2" xfId="7115"/>
    <cellStyle name="Normal 4 3 2 9 3 2 2" xfId="23277"/>
    <cellStyle name="Normal 4 3 2 9 4" xfId="340"/>
    <cellStyle name="Normal 4 3 2 9 4 2" xfId="4282"/>
    <cellStyle name="Normal 4 3 2 9 4 2 2" xfId="20445"/>
    <cellStyle name="Normal 4 3 2 9 5" xfId="344"/>
    <cellStyle name="Normal 4 3 2 9 5 2" xfId="4287"/>
    <cellStyle name="Normal 4 3 2 9 5 2 2" xfId="20450"/>
    <cellStyle name="Normal 4 3 2 9 6" xfId="1875"/>
    <cellStyle name="Normal 4 3 2 9 6 2" xfId="5783"/>
    <cellStyle name="Normal 4 3 2 9 6 2 2" xfId="21945"/>
    <cellStyle name="Normal 4 3 2 9 7" xfId="1877"/>
    <cellStyle name="Normal 4 3 2 9 7 2" xfId="5785"/>
    <cellStyle name="Normal 4 3 2 9 7 2 2" xfId="21947"/>
    <cellStyle name="Normal 4 3 2 9 8" xfId="1879"/>
    <cellStyle name="Normal 4 3 2 9 8 2" xfId="5787"/>
    <cellStyle name="Normal 4 3 2 9 8 2 2" xfId="21949"/>
    <cellStyle name="Normal 4 3 2 9 9" xfId="14225"/>
    <cellStyle name="Normal 4 3 2 9 9 2" xfId="30358"/>
    <cellStyle name="Normal 4 3 2_Achampally-Gattubuthkur-Ganga-CRR" xfId="1870"/>
    <cellStyle name="Normal 4 3 20" xfId="14226"/>
    <cellStyle name="Normal 4 3 20 2" xfId="30359"/>
    <cellStyle name="Normal 4 3 21" xfId="14227"/>
    <cellStyle name="Normal 4 3 21 2" xfId="30360"/>
    <cellStyle name="Normal 4 3 22" xfId="14228"/>
    <cellStyle name="Normal 4 3 22 2" xfId="30361"/>
    <cellStyle name="Normal 4 3 23" xfId="14229"/>
    <cellStyle name="Normal 4 3 23 2" xfId="30362"/>
    <cellStyle name="Normal 4 3 24" xfId="14230"/>
    <cellStyle name="Normal 4 3 24 2" xfId="30363"/>
    <cellStyle name="Normal 4 3 25" xfId="14231"/>
    <cellStyle name="Normal 4 3 25 2" xfId="30364"/>
    <cellStyle name="Normal 4 3 26" xfId="14232"/>
    <cellStyle name="Normal 4 3 26 2" xfId="30365"/>
    <cellStyle name="Normal 4 3 27" xfId="14233"/>
    <cellStyle name="Normal 4 3 27 2" xfId="30366"/>
    <cellStyle name="Normal 4 3 28" xfId="6514"/>
    <cellStyle name="Normal 4 3 28 2" xfId="22676"/>
    <cellStyle name="Normal 4 3 3" xfId="3233"/>
    <cellStyle name="Normal 4 3 3 10" xfId="14234"/>
    <cellStyle name="Normal 4 3 3 10 2" xfId="30367"/>
    <cellStyle name="Normal 4 3 3 11" xfId="14235"/>
    <cellStyle name="Normal 4 3 3 11 2" xfId="30368"/>
    <cellStyle name="Normal 4 3 3 12" xfId="14236"/>
    <cellStyle name="Normal 4 3 3 12 2" xfId="30369"/>
    <cellStyle name="Normal 4 3 3 13" xfId="14237"/>
    <cellStyle name="Normal 4 3 3 13 2" xfId="30370"/>
    <cellStyle name="Normal 4 3 3 14" xfId="14238"/>
    <cellStyle name="Normal 4 3 3 14 2" xfId="30371"/>
    <cellStyle name="Normal 4 3 3 15" xfId="14239"/>
    <cellStyle name="Normal 4 3 3 15 2" xfId="30372"/>
    <cellStyle name="Normal 4 3 3 16" xfId="14240"/>
    <cellStyle name="Normal 4 3 3 16 2" xfId="30373"/>
    <cellStyle name="Normal 4 3 3 17" xfId="14241"/>
    <cellStyle name="Normal 4 3 3 17 2" xfId="30374"/>
    <cellStyle name="Normal 4 3 3 18" xfId="7116"/>
    <cellStyle name="Normal 4 3 3 18 2" xfId="23278"/>
    <cellStyle name="Normal 4 3 3 2" xfId="3234"/>
    <cellStyle name="Normal 4 3 3 2 2" xfId="7118"/>
    <cellStyle name="Normal 4 3 3 2 2 2" xfId="23280"/>
    <cellStyle name="Normal 4 3 3 3" xfId="3236"/>
    <cellStyle name="Normal 4 3 3 3 2" xfId="7119"/>
    <cellStyle name="Normal 4 3 3 3 2 2" xfId="23281"/>
    <cellStyle name="Normal 4 3 3 4" xfId="3238"/>
    <cellStyle name="Normal 4 3 3 4 2" xfId="7121"/>
    <cellStyle name="Normal 4 3 3 4 2 2" xfId="23283"/>
    <cellStyle name="Normal 4 3 3 5" xfId="3240"/>
    <cellStyle name="Normal 4 3 3 5 2" xfId="7123"/>
    <cellStyle name="Normal 4 3 3 5 2 2" xfId="23285"/>
    <cellStyle name="Normal 4 3 3 6" xfId="3242"/>
    <cellStyle name="Normal 4 3 3 6 2" xfId="7125"/>
    <cellStyle name="Normal 4 3 3 6 2 2" xfId="23287"/>
    <cellStyle name="Normal 4 3 3 7" xfId="3245"/>
    <cellStyle name="Normal 4 3 3 7 2" xfId="7127"/>
    <cellStyle name="Normal 4 3 3 7 2 2" xfId="23289"/>
    <cellStyle name="Normal 4 3 3 8" xfId="3248"/>
    <cellStyle name="Normal 4 3 3 8 2" xfId="7130"/>
    <cellStyle name="Normal 4 3 3 8 2 2" xfId="23292"/>
    <cellStyle name="Normal 4 3 3 9" xfId="14242"/>
    <cellStyle name="Normal 4 3 3 9 2" xfId="30375"/>
    <cellStyle name="Normal 4 3 4" xfId="3250"/>
    <cellStyle name="Normal 4 3 4 10" xfId="14243"/>
    <cellStyle name="Normal 4 3 4 10 2" xfId="30376"/>
    <cellStyle name="Normal 4 3 4 11" xfId="14244"/>
    <cellStyle name="Normal 4 3 4 11 2" xfId="30377"/>
    <cellStyle name="Normal 4 3 4 12" xfId="14245"/>
    <cellStyle name="Normal 4 3 4 12 2" xfId="30378"/>
    <cellStyle name="Normal 4 3 4 13" xfId="14246"/>
    <cellStyle name="Normal 4 3 4 13 2" xfId="30379"/>
    <cellStyle name="Normal 4 3 4 14" xfId="14247"/>
    <cellStyle name="Normal 4 3 4 14 2" xfId="30380"/>
    <cellStyle name="Normal 4 3 4 15" xfId="14248"/>
    <cellStyle name="Normal 4 3 4 15 2" xfId="30381"/>
    <cellStyle name="Normal 4 3 4 16" xfId="14249"/>
    <cellStyle name="Normal 4 3 4 16 2" xfId="30382"/>
    <cellStyle name="Normal 4 3 4 17" xfId="14250"/>
    <cellStyle name="Normal 4 3 4 17 2" xfId="30383"/>
    <cellStyle name="Normal 4 3 4 18" xfId="7133"/>
    <cellStyle name="Normal 4 3 4 18 2" xfId="23295"/>
    <cellStyle name="Normal 4 3 4 2" xfId="3251"/>
    <cellStyle name="Normal 4 3 4 2 2" xfId="7135"/>
    <cellStyle name="Normal 4 3 4 2 2 2" xfId="23297"/>
    <cellStyle name="Normal 4 3 4 3" xfId="3253"/>
    <cellStyle name="Normal 4 3 4 3 2" xfId="7136"/>
    <cellStyle name="Normal 4 3 4 3 2 2" xfId="23298"/>
    <cellStyle name="Normal 4 3 4 4" xfId="3256"/>
    <cellStyle name="Normal 4 3 4 4 2" xfId="7138"/>
    <cellStyle name="Normal 4 3 4 4 2 2" xfId="23300"/>
    <cellStyle name="Normal 4 3 4 5" xfId="3259"/>
    <cellStyle name="Normal 4 3 4 5 2" xfId="7140"/>
    <cellStyle name="Normal 4 3 4 5 2 2" xfId="23302"/>
    <cellStyle name="Normal 4 3 4 6" xfId="3261"/>
    <cellStyle name="Normal 4 3 4 6 2" xfId="7142"/>
    <cellStyle name="Normal 4 3 4 6 2 2" xfId="23304"/>
    <cellStyle name="Normal 4 3 4 7" xfId="3264"/>
    <cellStyle name="Normal 4 3 4 7 2" xfId="7144"/>
    <cellStyle name="Normal 4 3 4 7 2 2" xfId="23306"/>
    <cellStyle name="Normal 4 3 4 8" xfId="3267"/>
    <cellStyle name="Normal 4 3 4 8 2" xfId="7147"/>
    <cellStyle name="Normal 4 3 4 8 2 2" xfId="23309"/>
    <cellStyle name="Normal 4 3 4 9" xfId="14251"/>
    <cellStyle name="Normal 4 3 4 9 2" xfId="30384"/>
    <cellStyle name="Normal 4 3 5" xfId="3270"/>
    <cellStyle name="Normal 4 3 5 10" xfId="14252"/>
    <cellStyle name="Normal 4 3 5 10 2" xfId="30385"/>
    <cellStyle name="Normal 4 3 5 11" xfId="14253"/>
    <cellStyle name="Normal 4 3 5 11 2" xfId="30386"/>
    <cellStyle name="Normal 4 3 5 12" xfId="14254"/>
    <cellStyle name="Normal 4 3 5 12 2" xfId="30387"/>
    <cellStyle name="Normal 4 3 5 13" xfId="14255"/>
    <cellStyle name="Normal 4 3 5 13 2" xfId="30388"/>
    <cellStyle name="Normal 4 3 5 14" xfId="14256"/>
    <cellStyle name="Normal 4 3 5 14 2" xfId="30389"/>
    <cellStyle name="Normal 4 3 5 15" xfId="14257"/>
    <cellStyle name="Normal 4 3 5 15 2" xfId="30390"/>
    <cellStyle name="Normal 4 3 5 16" xfId="14258"/>
    <cellStyle name="Normal 4 3 5 16 2" xfId="30391"/>
    <cellStyle name="Normal 4 3 5 17" xfId="14259"/>
    <cellStyle name="Normal 4 3 5 17 2" xfId="30392"/>
    <cellStyle name="Normal 4 3 5 18" xfId="7150"/>
    <cellStyle name="Normal 4 3 5 18 2" xfId="23312"/>
    <cellStyle name="Normal 4 3 5 2" xfId="3271"/>
    <cellStyle name="Normal 4 3 5 2 2" xfId="14260"/>
    <cellStyle name="Normal 4 3 5 2 2 2" xfId="14261"/>
    <cellStyle name="Normal 4 3 5 2 2 2 2" xfId="14262"/>
    <cellStyle name="Normal 4 3 5 2 2 2 2 2" xfId="30395"/>
    <cellStyle name="Normal 4 3 5 2 2 2 3" xfId="30394"/>
    <cellStyle name="Normal 4 3 5 2 2 3" xfId="14263"/>
    <cellStyle name="Normal 4 3 5 2 2 3 2" xfId="30396"/>
    <cellStyle name="Normal 4 3 5 2 2 4" xfId="30393"/>
    <cellStyle name="Normal 4 3 5 2 3" xfId="14264"/>
    <cellStyle name="Normal 4 3 5 2 3 2" xfId="14265"/>
    <cellStyle name="Normal 4 3 5 2 3 2 2" xfId="30398"/>
    <cellStyle name="Normal 4 3 5 2 3 3" xfId="30397"/>
    <cellStyle name="Normal 4 3 5 2 4" xfId="14266"/>
    <cellStyle name="Normal 4 3 5 2 4 2" xfId="14267"/>
    <cellStyle name="Normal 4 3 5 2 4 2 2" xfId="30400"/>
    <cellStyle name="Normal 4 3 5 2 4 3" xfId="30399"/>
    <cellStyle name="Normal 4 3 5 2 5" xfId="14268"/>
    <cellStyle name="Normal 4 3 5 2 5 2" xfId="30401"/>
    <cellStyle name="Normal 4 3 5 2 6" xfId="7153"/>
    <cellStyle name="Normal 4 3 5 2 6 2" xfId="23315"/>
    <cellStyle name="Normal 4 3 5 3" xfId="3273"/>
    <cellStyle name="Normal 4 3 5 3 2" xfId="14269"/>
    <cellStyle name="Normal 4 3 5 3 2 2" xfId="14270"/>
    <cellStyle name="Normal 4 3 5 3 2 2 2" xfId="14271"/>
    <cellStyle name="Normal 4 3 5 3 2 2 2 2" xfId="30404"/>
    <cellStyle name="Normal 4 3 5 3 2 2 3" xfId="30403"/>
    <cellStyle name="Normal 4 3 5 3 2 3" xfId="14272"/>
    <cellStyle name="Normal 4 3 5 3 2 3 2" xfId="30405"/>
    <cellStyle name="Normal 4 3 5 3 2 4" xfId="30402"/>
    <cellStyle name="Normal 4 3 5 3 3" xfId="14273"/>
    <cellStyle name="Normal 4 3 5 3 3 2" xfId="14274"/>
    <cellStyle name="Normal 4 3 5 3 3 2 2" xfId="30407"/>
    <cellStyle name="Normal 4 3 5 3 3 3" xfId="30406"/>
    <cellStyle name="Normal 4 3 5 3 4" xfId="14275"/>
    <cellStyle name="Normal 4 3 5 3 4 2" xfId="14276"/>
    <cellStyle name="Normal 4 3 5 3 4 2 2" xfId="30409"/>
    <cellStyle name="Normal 4 3 5 3 4 3" xfId="30408"/>
    <cellStyle name="Normal 4 3 5 3 5" xfId="14277"/>
    <cellStyle name="Normal 4 3 5 3 5 2" xfId="30410"/>
    <cellStyle name="Normal 4 3 5 3 6" xfId="7154"/>
    <cellStyle name="Normal 4 3 5 3 6 2" xfId="23316"/>
    <cellStyle name="Normal 4 3 5 4" xfId="3276"/>
    <cellStyle name="Normal 4 3 5 4 2" xfId="14278"/>
    <cellStyle name="Normal 4 3 5 4 2 2" xfId="14279"/>
    <cellStyle name="Normal 4 3 5 4 2 2 2" xfId="30412"/>
    <cellStyle name="Normal 4 3 5 4 2 3" xfId="30411"/>
    <cellStyle name="Normal 4 3 5 4 3" xfId="14280"/>
    <cellStyle name="Normal 4 3 5 4 3 2" xfId="30413"/>
    <cellStyle name="Normal 4 3 5 4 4" xfId="7156"/>
    <cellStyle name="Normal 4 3 5 4 4 2" xfId="23318"/>
    <cellStyle name="Normal 4 3 5 5" xfId="3278"/>
    <cellStyle name="Normal 4 3 5 5 2" xfId="14281"/>
    <cellStyle name="Normal 4 3 5 5 2 2" xfId="30414"/>
    <cellStyle name="Normal 4 3 5 5 3" xfId="7159"/>
    <cellStyle name="Normal 4 3 5 5 3 2" xfId="23321"/>
    <cellStyle name="Normal 4 3 5 6" xfId="3280"/>
    <cellStyle name="Normal 4 3 5 6 2" xfId="14282"/>
    <cellStyle name="Normal 4 3 5 6 2 2" xfId="30415"/>
    <cellStyle name="Normal 4 3 5 6 3" xfId="7161"/>
    <cellStyle name="Normal 4 3 5 6 3 2" xfId="23323"/>
    <cellStyle name="Normal 4 3 5 7" xfId="3282"/>
    <cellStyle name="Normal 4 3 5 7 2" xfId="7163"/>
    <cellStyle name="Normal 4 3 5 7 2 2" xfId="23325"/>
    <cellStyle name="Normal 4 3 5 8" xfId="3284"/>
    <cellStyle name="Normal 4 3 5 8 2" xfId="7165"/>
    <cellStyle name="Normal 4 3 5 8 2 2" xfId="23327"/>
    <cellStyle name="Normal 4 3 5 9" xfId="14283"/>
    <cellStyle name="Normal 4 3 5 9 2" xfId="30416"/>
    <cellStyle name="Normal 4 3 6" xfId="3287"/>
    <cellStyle name="Normal 4 3 6 10" xfId="14284"/>
    <cellStyle name="Normal 4 3 6 10 2" xfId="30417"/>
    <cellStyle name="Normal 4 3 6 11" xfId="14285"/>
    <cellStyle name="Normal 4 3 6 11 2" xfId="30418"/>
    <cellStyle name="Normal 4 3 6 12" xfId="14286"/>
    <cellStyle name="Normal 4 3 6 12 2" xfId="30419"/>
    <cellStyle name="Normal 4 3 6 13" xfId="14287"/>
    <cellStyle name="Normal 4 3 6 13 2" xfId="30420"/>
    <cellStyle name="Normal 4 3 6 14" xfId="14288"/>
    <cellStyle name="Normal 4 3 6 14 2" xfId="30421"/>
    <cellStyle name="Normal 4 3 6 15" xfId="14289"/>
    <cellStyle name="Normal 4 3 6 15 2" xfId="30422"/>
    <cellStyle name="Normal 4 3 6 16" xfId="14290"/>
    <cellStyle name="Normal 4 3 6 16 2" xfId="30423"/>
    <cellStyle name="Normal 4 3 6 17" xfId="14291"/>
    <cellStyle name="Normal 4 3 6 17 2" xfId="30424"/>
    <cellStyle name="Normal 4 3 6 18" xfId="7167"/>
    <cellStyle name="Normal 4 3 6 18 2" xfId="23329"/>
    <cellStyle name="Normal 4 3 6 2" xfId="3288"/>
    <cellStyle name="Normal 4 3 6 2 2" xfId="14292"/>
    <cellStyle name="Normal 4 3 6 2 2 2" xfId="14293"/>
    <cellStyle name="Normal 4 3 6 2 2 2 2" xfId="30426"/>
    <cellStyle name="Normal 4 3 6 2 2 3" xfId="30425"/>
    <cellStyle name="Normal 4 3 6 2 3" xfId="14294"/>
    <cellStyle name="Normal 4 3 6 2 3 2" xfId="30427"/>
    <cellStyle name="Normal 4 3 6 2 4" xfId="7170"/>
    <cellStyle name="Normal 4 3 6 2 4 2" xfId="23332"/>
    <cellStyle name="Normal 4 3 6 3" xfId="3290"/>
    <cellStyle name="Normal 4 3 6 3 2" xfId="14295"/>
    <cellStyle name="Normal 4 3 6 3 2 2" xfId="30428"/>
    <cellStyle name="Normal 4 3 6 3 3" xfId="7171"/>
    <cellStyle name="Normal 4 3 6 3 3 2" xfId="23333"/>
    <cellStyle name="Normal 4 3 6 4" xfId="3292"/>
    <cellStyle name="Normal 4 3 6 4 2" xfId="14296"/>
    <cellStyle name="Normal 4 3 6 4 2 2" xfId="30429"/>
    <cellStyle name="Normal 4 3 6 4 3" xfId="7173"/>
    <cellStyle name="Normal 4 3 6 4 3 2" xfId="23335"/>
    <cellStyle name="Normal 4 3 6 5" xfId="3294"/>
    <cellStyle name="Normal 4 3 6 5 2" xfId="7175"/>
    <cellStyle name="Normal 4 3 6 5 2 2" xfId="23337"/>
    <cellStyle name="Normal 4 3 6 6" xfId="3296"/>
    <cellStyle name="Normal 4 3 6 6 2" xfId="7177"/>
    <cellStyle name="Normal 4 3 6 6 2 2" xfId="23339"/>
    <cellStyle name="Normal 4 3 6 7" xfId="3299"/>
    <cellStyle name="Normal 4 3 6 7 2" xfId="7179"/>
    <cellStyle name="Normal 4 3 6 7 2 2" xfId="23341"/>
    <cellStyle name="Normal 4 3 6 8" xfId="3302"/>
    <cellStyle name="Normal 4 3 6 8 2" xfId="7182"/>
    <cellStyle name="Normal 4 3 6 8 2 2" xfId="23344"/>
    <cellStyle name="Normal 4 3 6 9" xfId="14297"/>
    <cellStyle name="Normal 4 3 6 9 2" xfId="30430"/>
    <cellStyle name="Normal 4 3 7" xfId="3304"/>
    <cellStyle name="Normal 4 3 7 10" xfId="14298"/>
    <cellStyle name="Normal 4 3 7 10 2" xfId="30431"/>
    <cellStyle name="Normal 4 3 7 11" xfId="14299"/>
    <cellStyle name="Normal 4 3 7 11 2" xfId="30432"/>
    <cellStyle name="Normal 4 3 7 12" xfId="14300"/>
    <cellStyle name="Normal 4 3 7 12 2" xfId="30433"/>
    <cellStyle name="Normal 4 3 7 13" xfId="14301"/>
    <cellStyle name="Normal 4 3 7 13 2" xfId="30434"/>
    <cellStyle name="Normal 4 3 7 14" xfId="14302"/>
    <cellStyle name="Normal 4 3 7 14 2" xfId="30435"/>
    <cellStyle name="Normal 4 3 7 15" xfId="14303"/>
    <cellStyle name="Normal 4 3 7 15 2" xfId="30436"/>
    <cellStyle name="Normal 4 3 7 16" xfId="14304"/>
    <cellStyle name="Normal 4 3 7 16 2" xfId="30437"/>
    <cellStyle name="Normal 4 3 7 17" xfId="14305"/>
    <cellStyle name="Normal 4 3 7 17 2" xfId="30438"/>
    <cellStyle name="Normal 4 3 7 18" xfId="7185"/>
    <cellStyle name="Normal 4 3 7 18 2" xfId="23347"/>
    <cellStyle name="Normal 4 3 7 2" xfId="3306"/>
    <cellStyle name="Normal 4 3 7 2 2" xfId="14306"/>
    <cellStyle name="Normal 4 3 7 2 2 2" xfId="14307"/>
    <cellStyle name="Normal 4 3 7 2 2 2 2" xfId="30440"/>
    <cellStyle name="Normal 4 3 7 2 2 3" xfId="30439"/>
    <cellStyle name="Normal 4 3 7 2 3" xfId="14308"/>
    <cellStyle name="Normal 4 3 7 2 3 2" xfId="30441"/>
    <cellStyle name="Normal 4 3 7 2 4" xfId="7187"/>
    <cellStyle name="Normal 4 3 7 2 4 2" xfId="23349"/>
    <cellStyle name="Normal 4 3 7 3" xfId="3309"/>
    <cellStyle name="Normal 4 3 7 3 2" xfId="14309"/>
    <cellStyle name="Normal 4 3 7 3 2 2" xfId="30442"/>
    <cellStyle name="Normal 4 3 7 3 3" xfId="7189"/>
    <cellStyle name="Normal 4 3 7 3 3 2" xfId="23351"/>
    <cellStyle name="Normal 4 3 7 4" xfId="3312"/>
    <cellStyle name="Normal 4 3 7 4 2" xfId="14310"/>
    <cellStyle name="Normal 4 3 7 4 2 2" xfId="30443"/>
    <cellStyle name="Normal 4 3 7 4 3" xfId="7192"/>
    <cellStyle name="Normal 4 3 7 4 3 2" xfId="23354"/>
    <cellStyle name="Normal 4 3 7 5" xfId="3315"/>
    <cellStyle name="Normal 4 3 7 5 2" xfId="7195"/>
    <cellStyle name="Normal 4 3 7 5 2 2" xfId="23357"/>
    <cellStyle name="Normal 4 3 7 6" xfId="3318"/>
    <cellStyle name="Normal 4 3 7 6 2" xfId="7198"/>
    <cellStyle name="Normal 4 3 7 6 2 2" xfId="23360"/>
    <cellStyle name="Normal 4 3 7 7" xfId="3321"/>
    <cellStyle name="Normal 4 3 7 7 2" xfId="7201"/>
    <cellStyle name="Normal 4 3 7 7 2 2" xfId="23363"/>
    <cellStyle name="Normal 4 3 7 8" xfId="3323"/>
    <cellStyle name="Normal 4 3 7 8 2" xfId="7204"/>
    <cellStyle name="Normal 4 3 7 8 2 2" xfId="23366"/>
    <cellStyle name="Normal 4 3 7 9" xfId="14311"/>
    <cellStyle name="Normal 4 3 7 9 2" xfId="30444"/>
    <cellStyle name="Normal 4 3 8" xfId="3325"/>
    <cellStyle name="Normal 4 3 8 10" xfId="14312"/>
    <cellStyle name="Normal 4 3 8 10 2" xfId="30445"/>
    <cellStyle name="Normal 4 3 8 11" xfId="14313"/>
    <cellStyle name="Normal 4 3 8 11 2" xfId="30446"/>
    <cellStyle name="Normal 4 3 8 12" xfId="14314"/>
    <cellStyle name="Normal 4 3 8 12 2" xfId="30447"/>
    <cellStyle name="Normal 4 3 8 13" xfId="14315"/>
    <cellStyle name="Normal 4 3 8 13 2" xfId="30448"/>
    <cellStyle name="Normal 4 3 8 14" xfId="14316"/>
    <cellStyle name="Normal 4 3 8 14 2" xfId="30449"/>
    <cellStyle name="Normal 4 3 8 15" xfId="14317"/>
    <cellStyle name="Normal 4 3 8 15 2" xfId="30450"/>
    <cellStyle name="Normal 4 3 8 16" xfId="14318"/>
    <cellStyle name="Normal 4 3 8 16 2" xfId="30451"/>
    <cellStyle name="Normal 4 3 8 17" xfId="14319"/>
    <cellStyle name="Normal 4 3 8 17 2" xfId="30452"/>
    <cellStyle name="Normal 4 3 8 18" xfId="7206"/>
    <cellStyle name="Normal 4 3 8 18 2" xfId="23368"/>
    <cellStyle name="Normal 4 3 8 2" xfId="3326"/>
    <cellStyle name="Normal 4 3 8 2 2" xfId="14320"/>
    <cellStyle name="Normal 4 3 8 2 2 2" xfId="14321"/>
    <cellStyle name="Normal 4 3 8 2 2 2 2" xfId="30454"/>
    <cellStyle name="Normal 4 3 8 2 2 3" xfId="30453"/>
    <cellStyle name="Normal 4 3 8 2 3" xfId="14322"/>
    <cellStyle name="Normal 4 3 8 2 3 2" xfId="30455"/>
    <cellStyle name="Normal 4 3 8 2 4" xfId="7208"/>
    <cellStyle name="Normal 4 3 8 2 4 2" xfId="23370"/>
    <cellStyle name="Normal 4 3 8 3" xfId="3328"/>
    <cellStyle name="Normal 4 3 8 3 2" xfId="14323"/>
    <cellStyle name="Normal 4 3 8 3 2 2" xfId="30456"/>
    <cellStyle name="Normal 4 3 8 3 3" xfId="7209"/>
    <cellStyle name="Normal 4 3 8 3 3 2" xfId="23371"/>
    <cellStyle name="Normal 4 3 8 4" xfId="3330"/>
    <cellStyle name="Normal 4 3 8 4 2" xfId="14324"/>
    <cellStyle name="Normal 4 3 8 4 2 2" xfId="30457"/>
    <cellStyle name="Normal 4 3 8 4 3" xfId="7211"/>
    <cellStyle name="Normal 4 3 8 4 3 2" xfId="23373"/>
    <cellStyle name="Normal 4 3 8 5" xfId="3332"/>
    <cellStyle name="Normal 4 3 8 5 2" xfId="7213"/>
    <cellStyle name="Normal 4 3 8 5 2 2" xfId="23375"/>
    <cellStyle name="Normal 4 3 8 6" xfId="3334"/>
    <cellStyle name="Normal 4 3 8 6 2" xfId="7215"/>
    <cellStyle name="Normal 4 3 8 6 2 2" xfId="23377"/>
    <cellStyle name="Normal 4 3 8 7" xfId="3336"/>
    <cellStyle name="Normal 4 3 8 7 2" xfId="7217"/>
    <cellStyle name="Normal 4 3 8 7 2 2" xfId="23379"/>
    <cellStyle name="Normal 4 3 8 8" xfId="3338"/>
    <cellStyle name="Normal 4 3 8 8 2" xfId="7219"/>
    <cellStyle name="Normal 4 3 8 8 2 2" xfId="23381"/>
    <cellStyle name="Normal 4 3 8 9" xfId="14325"/>
    <cellStyle name="Normal 4 3 8 9 2" xfId="30458"/>
    <cellStyle name="Normal 4 3 9" xfId="3339"/>
    <cellStyle name="Normal 4 3 9 10" xfId="14326"/>
    <cellStyle name="Normal 4 3 9 10 2" xfId="30459"/>
    <cellStyle name="Normal 4 3 9 11" xfId="14327"/>
    <cellStyle name="Normal 4 3 9 11 2" xfId="30460"/>
    <cellStyle name="Normal 4 3 9 12" xfId="14328"/>
    <cellStyle name="Normal 4 3 9 12 2" xfId="30461"/>
    <cellStyle name="Normal 4 3 9 13" xfId="14329"/>
    <cellStyle name="Normal 4 3 9 13 2" xfId="30462"/>
    <cellStyle name="Normal 4 3 9 14" xfId="14330"/>
    <cellStyle name="Normal 4 3 9 14 2" xfId="30463"/>
    <cellStyle name="Normal 4 3 9 15" xfId="14331"/>
    <cellStyle name="Normal 4 3 9 15 2" xfId="30464"/>
    <cellStyle name="Normal 4 3 9 16" xfId="14332"/>
    <cellStyle name="Normal 4 3 9 16 2" xfId="30465"/>
    <cellStyle name="Normal 4 3 9 17" xfId="14333"/>
    <cellStyle name="Normal 4 3 9 17 2" xfId="30466"/>
    <cellStyle name="Normal 4 3 9 18" xfId="7221"/>
    <cellStyle name="Normal 4 3 9 18 2" xfId="23383"/>
    <cellStyle name="Normal 4 3 9 2" xfId="3340"/>
    <cellStyle name="Normal 4 3 9 2 2" xfId="14334"/>
    <cellStyle name="Normal 4 3 9 2 2 2" xfId="14335"/>
    <cellStyle name="Normal 4 3 9 2 2 2 2" xfId="30468"/>
    <cellStyle name="Normal 4 3 9 2 2 3" xfId="30467"/>
    <cellStyle name="Normal 4 3 9 2 3" xfId="14336"/>
    <cellStyle name="Normal 4 3 9 2 3 2" xfId="30469"/>
    <cellStyle name="Normal 4 3 9 2 4" xfId="7222"/>
    <cellStyle name="Normal 4 3 9 2 4 2" xfId="23384"/>
    <cellStyle name="Normal 4 3 9 3" xfId="3342"/>
    <cellStyle name="Normal 4 3 9 3 2" xfId="14337"/>
    <cellStyle name="Normal 4 3 9 3 2 2" xfId="30470"/>
    <cellStyle name="Normal 4 3 9 3 3" xfId="7223"/>
    <cellStyle name="Normal 4 3 9 3 3 2" xfId="23385"/>
    <cellStyle name="Normal 4 3 9 4" xfId="3344"/>
    <cellStyle name="Normal 4 3 9 4 2" xfId="14338"/>
    <cellStyle name="Normal 4 3 9 4 2 2" xfId="30471"/>
    <cellStyle name="Normal 4 3 9 4 3" xfId="7225"/>
    <cellStyle name="Normal 4 3 9 4 3 2" xfId="23387"/>
    <cellStyle name="Normal 4 3 9 5" xfId="3347"/>
    <cellStyle name="Normal 4 3 9 5 2" xfId="7227"/>
    <cellStyle name="Normal 4 3 9 5 2 2" xfId="23389"/>
    <cellStyle name="Normal 4 3 9 6" xfId="3349"/>
    <cellStyle name="Normal 4 3 9 6 2" xfId="7229"/>
    <cellStyle name="Normal 4 3 9 6 2 2" xfId="23391"/>
    <cellStyle name="Normal 4 3 9 7" xfId="3351"/>
    <cellStyle name="Normal 4 3 9 7 2" xfId="7231"/>
    <cellStyle name="Normal 4 3 9 7 2 2" xfId="23393"/>
    <cellStyle name="Normal 4 3 9 8" xfId="3353"/>
    <cellStyle name="Normal 4 3 9 8 2" xfId="7233"/>
    <cellStyle name="Normal 4 3 9 8 2 2" xfId="23395"/>
    <cellStyle name="Normal 4 3 9 9" xfId="14339"/>
    <cellStyle name="Normal 4 3 9 9 2" xfId="30472"/>
    <cellStyle name="Normal 4 3_2bhk_19122016" xfId="14340"/>
    <cellStyle name="Normal 4 30" xfId="14341"/>
    <cellStyle name="Normal 4 30 2" xfId="30473"/>
    <cellStyle name="Normal 4 31" xfId="4973"/>
    <cellStyle name="Normal 4 31 2" xfId="21135"/>
    <cellStyle name="Normal 4 35" xfId="1514"/>
    <cellStyle name="Normal 4 35 2" xfId="5431"/>
    <cellStyle name="Normal 4 35 2 2" xfId="21593"/>
    <cellStyle name="Normal 4 4" xfId="2623"/>
    <cellStyle name="Normal 4 4 10" xfId="2697"/>
    <cellStyle name="Normal 4 4 10 10" xfId="14342"/>
    <cellStyle name="Normal 4 4 10 10 2" xfId="30474"/>
    <cellStyle name="Normal 4 4 10 11" xfId="14343"/>
    <cellStyle name="Normal 4 4 10 11 2" xfId="30475"/>
    <cellStyle name="Normal 4 4 10 12" xfId="14344"/>
    <cellStyle name="Normal 4 4 10 12 2" xfId="30476"/>
    <cellStyle name="Normal 4 4 10 13" xfId="14345"/>
    <cellStyle name="Normal 4 4 10 13 2" xfId="30477"/>
    <cellStyle name="Normal 4 4 10 14" xfId="14346"/>
    <cellStyle name="Normal 4 4 10 14 2" xfId="30478"/>
    <cellStyle name="Normal 4 4 10 15" xfId="14347"/>
    <cellStyle name="Normal 4 4 10 15 2" xfId="30479"/>
    <cellStyle name="Normal 4 4 10 16" xfId="14348"/>
    <cellStyle name="Normal 4 4 10 16 2" xfId="30480"/>
    <cellStyle name="Normal 4 4 10 17" xfId="14349"/>
    <cellStyle name="Normal 4 4 10 17 2" xfId="30481"/>
    <cellStyle name="Normal 4 4 10 18" xfId="6590"/>
    <cellStyle name="Normal 4 4 10 18 2" xfId="22752"/>
    <cellStyle name="Normal 4 4 10 2" xfId="1688"/>
    <cellStyle name="Normal 4 4 10 2 2" xfId="5601"/>
    <cellStyle name="Normal 4 4 10 2 2 2" xfId="21763"/>
    <cellStyle name="Normal 4 4 10 3" xfId="1690"/>
    <cellStyle name="Normal 4 4 10 3 2" xfId="5603"/>
    <cellStyle name="Normal 4 4 10 3 2 2" xfId="21765"/>
    <cellStyle name="Normal 4 4 10 4" xfId="1692"/>
    <cellStyle name="Normal 4 4 10 4 2" xfId="5605"/>
    <cellStyle name="Normal 4 4 10 4 2 2" xfId="21767"/>
    <cellStyle name="Normal 4 4 10 5" xfId="1694"/>
    <cellStyle name="Normal 4 4 10 5 2" xfId="5607"/>
    <cellStyle name="Normal 4 4 10 5 2 2" xfId="21769"/>
    <cellStyle name="Normal 4 4 10 6" xfId="1696"/>
    <cellStyle name="Normal 4 4 10 6 2" xfId="5609"/>
    <cellStyle name="Normal 4 4 10 6 2 2" xfId="21771"/>
    <cellStyle name="Normal 4 4 10 7" xfId="3354"/>
    <cellStyle name="Normal 4 4 10 7 2" xfId="7235"/>
    <cellStyle name="Normal 4 4 10 7 2 2" xfId="23397"/>
    <cellStyle name="Normal 4 4 10 8" xfId="3355"/>
    <cellStyle name="Normal 4 4 10 8 2" xfId="7236"/>
    <cellStyle name="Normal 4 4 10 8 2 2" xfId="23398"/>
    <cellStyle name="Normal 4 4 10 9" xfId="14350"/>
    <cellStyle name="Normal 4 4 10 9 2" xfId="30482"/>
    <cellStyle name="Normal 4 4 11" xfId="153"/>
    <cellStyle name="Normal 4 4 11 2" xfId="4091"/>
    <cellStyle name="Normal 4 4 11 2 2" xfId="20254"/>
    <cellStyle name="Normal 4 4 12" xfId="174"/>
    <cellStyle name="Normal 4 4 12 2" xfId="4105"/>
    <cellStyle name="Normal 4 4 12 2 2" xfId="20268"/>
    <cellStyle name="Normal 4 4 13" xfId="99"/>
    <cellStyle name="Normal 4 4 13 2" xfId="4044"/>
    <cellStyle name="Normal 4 4 13 2 2" xfId="20207"/>
    <cellStyle name="Normal 4 4 14" xfId="31"/>
    <cellStyle name="Normal 4 4 14 2" xfId="3989"/>
    <cellStyle name="Normal 4 4 14 2 2" xfId="20152"/>
    <cellStyle name="Normal 4 4 15" xfId="214"/>
    <cellStyle name="Normal 4 4 15 2" xfId="4139"/>
    <cellStyle name="Normal 4 4 15 2 2" xfId="20302"/>
    <cellStyle name="Normal 4 4 16" xfId="225"/>
    <cellStyle name="Normal 4 4 16 2" xfId="4147"/>
    <cellStyle name="Normal 4 4 16 2 2" xfId="20310"/>
    <cellStyle name="Normal 4 4 17" xfId="1901"/>
    <cellStyle name="Normal 4 4 17 2" xfId="5808"/>
    <cellStyle name="Normal 4 4 17 2 2" xfId="21970"/>
    <cellStyle name="Normal 4 4 18" xfId="14351"/>
    <cellStyle name="Normal 4 4 18 2" xfId="30483"/>
    <cellStyle name="Normal 4 4 19" xfId="14352"/>
    <cellStyle name="Normal 4 4 19 2" xfId="30484"/>
    <cellStyle name="Normal 4 4 2" xfId="3356"/>
    <cellStyle name="Normal 4 4 2 10" xfId="14353"/>
    <cellStyle name="Normal 4 4 2 10 2" xfId="30485"/>
    <cellStyle name="Normal 4 4 2 11" xfId="14354"/>
    <cellStyle name="Normal 4 4 2 11 2" xfId="30486"/>
    <cellStyle name="Normal 4 4 2 12" xfId="14355"/>
    <cellStyle name="Normal 4 4 2 12 2" xfId="30487"/>
    <cellStyle name="Normal 4 4 2 13" xfId="14356"/>
    <cellStyle name="Normal 4 4 2 13 2" xfId="30488"/>
    <cellStyle name="Normal 4 4 2 14" xfId="14357"/>
    <cellStyle name="Normal 4 4 2 14 2" xfId="30489"/>
    <cellStyle name="Normal 4 4 2 15" xfId="14358"/>
    <cellStyle name="Normal 4 4 2 15 2" xfId="30490"/>
    <cellStyle name="Normal 4 4 2 16" xfId="14359"/>
    <cellStyle name="Normal 4 4 2 16 2" xfId="30491"/>
    <cellStyle name="Normal 4 4 2 17" xfId="14360"/>
    <cellStyle name="Normal 4 4 2 17 2" xfId="30492"/>
    <cellStyle name="Normal 4 4 2 18" xfId="7237"/>
    <cellStyle name="Normal 4 4 2 18 2" xfId="23399"/>
    <cellStyle name="Normal 4 4 2 2" xfId="3357"/>
    <cellStyle name="Normal 4 4 2 2 2" xfId="7238"/>
    <cellStyle name="Normal 4 4 2 2 2 2" xfId="23400"/>
    <cellStyle name="Normal 4 4 2 3" xfId="349"/>
    <cellStyle name="Normal 4 4 2 3 2" xfId="4291"/>
    <cellStyle name="Normal 4 4 2 3 2 2" xfId="20454"/>
    <cellStyle name="Normal 4 4 2 4" xfId="3358"/>
    <cellStyle name="Normal 4 4 2 4 2" xfId="7239"/>
    <cellStyle name="Normal 4 4 2 4 2 2" xfId="23401"/>
    <cellStyle name="Normal 4 4 2 5" xfId="3359"/>
    <cellStyle name="Normal 4 4 2 5 2" xfId="7240"/>
    <cellStyle name="Normal 4 4 2 5 2 2" xfId="23402"/>
    <cellStyle name="Normal 4 4 2 6" xfId="3360"/>
    <cellStyle name="Normal 4 4 2 6 2" xfId="7241"/>
    <cellStyle name="Normal 4 4 2 6 2 2" xfId="23403"/>
    <cellStyle name="Normal 4 4 2 7" xfId="3361"/>
    <cellStyle name="Normal 4 4 2 7 2" xfId="7242"/>
    <cellStyle name="Normal 4 4 2 7 2 2" xfId="23404"/>
    <cellStyle name="Normal 4 4 2 8" xfId="3362"/>
    <cellStyle name="Normal 4 4 2 8 2" xfId="7243"/>
    <cellStyle name="Normal 4 4 2 8 2 2" xfId="23405"/>
    <cellStyle name="Normal 4 4 2 9" xfId="14361"/>
    <cellStyle name="Normal 4 4 2 9 2" xfId="30493"/>
    <cellStyle name="Normal 4 4 20" xfId="14362"/>
    <cellStyle name="Normal 4 4 20 2" xfId="30494"/>
    <cellStyle name="Normal 4 4 21" xfId="14363"/>
    <cellStyle name="Normal 4 4 21 2" xfId="30495"/>
    <cellStyle name="Normal 4 4 22" xfId="14364"/>
    <cellStyle name="Normal 4 4 22 2" xfId="30496"/>
    <cellStyle name="Normal 4 4 23" xfId="14365"/>
    <cellStyle name="Normal 4 4 23 2" xfId="30497"/>
    <cellStyle name="Normal 4 4 24" xfId="14366"/>
    <cellStyle name="Normal 4 4 24 2" xfId="30498"/>
    <cellStyle name="Normal 4 4 25" xfId="14367"/>
    <cellStyle name="Normal 4 4 25 2" xfId="30499"/>
    <cellStyle name="Normal 4 4 26" xfId="14368"/>
    <cellStyle name="Normal 4 4 26 2" xfId="30500"/>
    <cellStyle name="Normal 4 4 27" xfId="6517"/>
    <cellStyle name="Normal 4 4 27 2" xfId="22679"/>
    <cellStyle name="Normal 4 4 3" xfId="3363"/>
    <cellStyle name="Normal 4 4 3 10" xfId="14369"/>
    <cellStyle name="Normal 4 4 3 10 2" xfId="30501"/>
    <cellStyle name="Normal 4 4 3 11" xfId="14370"/>
    <cellStyle name="Normal 4 4 3 11 2" xfId="30502"/>
    <cellStyle name="Normal 4 4 3 12" xfId="14371"/>
    <cellStyle name="Normal 4 4 3 12 2" xfId="30503"/>
    <cellStyle name="Normal 4 4 3 13" xfId="14372"/>
    <cellStyle name="Normal 4 4 3 13 2" xfId="30504"/>
    <cellStyle name="Normal 4 4 3 14" xfId="14373"/>
    <cellStyle name="Normal 4 4 3 14 2" xfId="30505"/>
    <cellStyle name="Normal 4 4 3 15" xfId="14374"/>
    <cellStyle name="Normal 4 4 3 15 2" xfId="30506"/>
    <cellStyle name="Normal 4 4 3 16" xfId="14375"/>
    <cellStyle name="Normal 4 4 3 16 2" xfId="30507"/>
    <cellStyle name="Normal 4 4 3 17" xfId="14376"/>
    <cellStyle name="Normal 4 4 3 17 2" xfId="30508"/>
    <cellStyle name="Normal 4 4 3 18" xfId="7244"/>
    <cellStyle name="Normal 4 4 3 18 2" xfId="23406"/>
    <cellStyle name="Normal 4 4 3 2" xfId="3364"/>
    <cellStyle name="Normal 4 4 3 2 2" xfId="7245"/>
    <cellStyle name="Normal 4 4 3 2 2 2" xfId="23407"/>
    <cellStyle name="Normal 4 4 3 3" xfId="363"/>
    <cellStyle name="Normal 4 4 3 3 2" xfId="4307"/>
    <cellStyle name="Normal 4 4 3 3 2 2" xfId="20470"/>
    <cellStyle name="Normal 4 4 3 4" xfId="3365"/>
    <cellStyle name="Normal 4 4 3 4 2" xfId="7246"/>
    <cellStyle name="Normal 4 4 3 4 2 2" xfId="23408"/>
    <cellStyle name="Normal 4 4 3 5" xfId="3366"/>
    <cellStyle name="Normal 4 4 3 5 2" xfId="7247"/>
    <cellStyle name="Normal 4 4 3 5 2 2" xfId="23409"/>
    <cellStyle name="Normal 4 4 3 6" xfId="3367"/>
    <cellStyle name="Normal 4 4 3 6 2" xfId="7248"/>
    <cellStyle name="Normal 4 4 3 6 2 2" xfId="23410"/>
    <cellStyle name="Normal 4 4 3 7" xfId="3368"/>
    <cellStyle name="Normal 4 4 3 7 2" xfId="7249"/>
    <cellStyle name="Normal 4 4 3 7 2 2" xfId="23411"/>
    <cellStyle name="Normal 4 4 3 8" xfId="3369"/>
    <cellStyle name="Normal 4 4 3 8 2" xfId="7250"/>
    <cellStyle name="Normal 4 4 3 8 2 2" xfId="23412"/>
    <cellStyle name="Normal 4 4 3 9" xfId="14377"/>
    <cellStyle name="Normal 4 4 3 9 2" xfId="30509"/>
    <cellStyle name="Normal 4 4 4" xfId="3370"/>
    <cellStyle name="Normal 4 4 4 10" xfId="14378"/>
    <cellStyle name="Normal 4 4 4 10 2" xfId="30510"/>
    <cellStyle name="Normal 4 4 4 11" xfId="14379"/>
    <cellStyle name="Normal 4 4 4 11 2" xfId="30511"/>
    <cellStyle name="Normal 4 4 4 12" xfId="14380"/>
    <cellStyle name="Normal 4 4 4 12 2" xfId="30512"/>
    <cellStyle name="Normal 4 4 4 13" xfId="14381"/>
    <cellStyle name="Normal 4 4 4 13 2" xfId="30513"/>
    <cellStyle name="Normal 4 4 4 14" xfId="14382"/>
    <cellStyle name="Normal 4 4 4 14 2" xfId="30514"/>
    <cellStyle name="Normal 4 4 4 15" xfId="14383"/>
    <cellStyle name="Normal 4 4 4 15 2" xfId="30515"/>
    <cellStyle name="Normal 4 4 4 16" xfId="14384"/>
    <cellStyle name="Normal 4 4 4 16 2" xfId="30516"/>
    <cellStyle name="Normal 4 4 4 17" xfId="14385"/>
    <cellStyle name="Normal 4 4 4 17 2" xfId="30517"/>
    <cellStyle name="Normal 4 4 4 18" xfId="7251"/>
    <cellStyle name="Normal 4 4 4 18 2" xfId="23413"/>
    <cellStyle name="Normal 4 4 4 2" xfId="3371"/>
    <cellStyle name="Normal 4 4 4 2 2" xfId="7252"/>
    <cellStyle name="Normal 4 4 4 2 2 2" xfId="23414"/>
    <cellStyle name="Normal 4 4 4 3" xfId="3372"/>
    <cellStyle name="Normal 4 4 4 3 2" xfId="7253"/>
    <cellStyle name="Normal 4 4 4 3 2 2" xfId="23415"/>
    <cellStyle name="Normal 4 4 4 4" xfId="3373"/>
    <cellStyle name="Normal 4 4 4 4 2" xfId="7254"/>
    <cellStyle name="Normal 4 4 4 4 2 2" xfId="23416"/>
    <cellStyle name="Normal 4 4 4 5" xfId="3374"/>
    <cellStyle name="Normal 4 4 4 5 2" xfId="7255"/>
    <cellStyle name="Normal 4 4 4 5 2 2" xfId="23417"/>
    <cellStyle name="Normal 4 4 4 6" xfId="3375"/>
    <cellStyle name="Normal 4 4 4 6 2" xfId="7256"/>
    <cellStyle name="Normal 4 4 4 6 2 2" xfId="23418"/>
    <cellStyle name="Normal 4 4 4 7" xfId="3376"/>
    <cellStyle name="Normal 4 4 4 7 2" xfId="7257"/>
    <cellStyle name="Normal 4 4 4 7 2 2" xfId="23419"/>
    <cellStyle name="Normal 4 4 4 8" xfId="3377"/>
    <cellStyle name="Normal 4 4 4 8 2" xfId="7258"/>
    <cellStyle name="Normal 4 4 4 8 2 2" xfId="23420"/>
    <cellStyle name="Normal 4 4 4 9" xfId="14386"/>
    <cellStyle name="Normal 4 4 4 9 2" xfId="30518"/>
    <cellStyle name="Normal 4 4 5" xfId="3378"/>
    <cellStyle name="Normal 4 4 5 10" xfId="14387"/>
    <cellStyle name="Normal 4 4 5 10 2" xfId="30519"/>
    <cellStyle name="Normal 4 4 5 11" xfId="14388"/>
    <cellStyle name="Normal 4 4 5 11 2" xfId="30520"/>
    <cellStyle name="Normal 4 4 5 12" xfId="14389"/>
    <cellStyle name="Normal 4 4 5 12 2" xfId="30521"/>
    <cellStyle name="Normal 4 4 5 13" xfId="14390"/>
    <cellStyle name="Normal 4 4 5 13 2" xfId="30522"/>
    <cellStyle name="Normal 4 4 5 14" xfId="14391"/>
    <cellStyle name="Normal 4 4 5 14 2" xfId="30523"/>
    <cellStyle name="Normal 4 4 5 15" xfId="14392"/>
    <cellStyle name="Normal 4 4 5 15 2" xfId="30524"/>
    <cellStyle name="Normal 4 4 5 16" xfId="14393"/>
    <cellStyle name="Normal 4 4 5 16 2" xfId="30525"/>
    <cellStyle name="Normal 4 4 5 17" xfId="14394"/>
    <cellStyle name="Normal 4 4 5 17 2" xfId="30526"/>
    <cellStyle name="Normal 4 4 5 18" xfId="7259"/>
    <cellStyle name="Normal 4 4 5 18 2" xfId="23421"/>
    <cellStyle name="Normal 4 4 5 2" xfId="2984"/>
    <cellStyle name="Normal 4 4 5 2 2" xfId="6871"/>
    <cellStyle name="Normal 4 4 5 2 2 2" xfId="23033"/>
    <cellStyle name="Normal 4 4 5 3" xfId="2986"/>
    <cellStyle name="Normal 4 4 5 3 2" xfId="6873"/>
    <cellStyle name="Normal 4 4 5 3 2 2" xfId="23035"/>
    <cellStyle name="Normal 4 4 5 4" xfId="3379"/>
    <cellStyle name="Normal 4 4 5 4 2" xfId="7260"/>
    <cellStyle name="Normal 4 4 5 4 2 2" xfId="23422"/>
    <cellStyle name="Normal 4 4 5 5" xfId="3380"/>
    <cellStyle name="Normal 4 4 5 5 2" xfId="7261"/>
    <cellStyle name="Normal 4 4 5 5 2 2" xfId="23423"/>
    <cellStyle name="Normal 4 4 5 6" xfId="3381"/>
    <cellStyle name="Normal 4 4 5 6 2" xfId="7262"/>
    <cellStyle name="Normal 4 4 5 6 2 2" xfId="23424"/>
    <cellStyle name="Normal 4 4 5 7" xfId="3382"/>
    <cellStyle name="Normal 4 4 5 7 2" xfId="7263"/>
    <cellStyle name="Normal 4 4 5 7 2 2" xfId="23425"/>
    <cellStyle name="Normal 4 4 5 8" xfId="3383"/>
    <cellStyle name="Normal 4 4 5 8 2" xfId="7264"/>
    <cellStyle name="Normal 4 4 5 8 2 2" xfId="23426"/>
    <cellStyle name="Normal 4 4 5 9" xfId="14395"/>
    <cellStyle name="Normal 4 4 5 9 2" xfId="30527"/>
    <cellStyle name="Normal 4 4 6" xfId="3384"/>
    <cellStyle name="Normal 4 4 6 10" xfId="14396"/>
    <cellStyle name="Normal 4 4 6 10 2" xfId="30528"/>
    <cellStyle name="Normal 4 4 6 11" xfId="14397"/>
    <cellStyle name="Normal 4 4 6 11 2" xfId="30529"/>
    <cellStyle name="Normal 4 4 6 12" xfId="14398"/>
    <cellStyle name="Normal 4 4 6 12 2" xfId="30530"/>
    <cellStyle name="Normal 4 4 6 13" xfId="14399"/>
    <cellStyle name="Normal 4 4 6 13 2" xfId="30531"/>
    <cellStyle name="Normal 4 4 6 14" xfId="14400"/>
    <cellStyle name="Normal 4 4 6 14 2" xfId="30532"/>
    <cellStyle name="Normal 4 4 6 15" xfId="14401"/>
    <cellStyle name="Normal 4 4 6 15 2" xfId="30533"/>
    <cellStyle name="Normal 4 4 6 16" xfId="14402"/>
    <cellStyle name="Normal 4 4 6 16 2" xfId="30534"/>
    <cellStyle name="Normal 4 4 6 17" xfId="14403"/>
    <cellStyle name="Normal 4 4 6 17 2" xfId="30535"/>
    <cellStyle name="Normal 4 4 6 18" xfId="7265"/>
    <cellStyle name="Normal 4 4 6 18 2" xfId="23427"/>
    <cellStyle name="Normal 4 4 6 2" xfId="3385"/>
    <cellStyle name="Normal 4 4 6 2 2" xfId="7266"/>
    <cellStyle name="Normal 4 4 6 2 2 2" xfId="23428"/>
    <cellStyle name="Normal 4 4 6 3" xfId="3386"/>
    <cellStyle name="Normal 4 4 6 3 2" xfId="7267"/>
    <cellStyle name="Normal 4 4 6 3 2 2" xfId="23429"/>
    <cellStyle name="Normal 4 4 6 4" xfId="3387"/>
    <cellStyle name="Normal 4 4 6 4 2" xfId="7268"/>
    <cellStyle name="Normal 4 4 6 4 2 2" xfId="23430"/>
    <cellStyle name="Normal 4 4 6 5" xfId="3388"/>
    <cellStyle name="Normal 4 4 6 5 2" xfId="7269"/>
    <cellStyle name="Normal 4 4 6 5 2 2" xfId="23431"/>
    <cellStyle name="Normal 4 4 6 6" xfId="3389"/>
    <cellStyle name="Normal 4 4 6 6 2" xfId="7270"/>
    <cellStyle name="Normal 4 4 6 6 2 2" xfId="23432"/>
    <cellStyle name="Normal 4 4 6 7" xfId="3390"/>
    <cellStyle name="Normal 4 4 6 7 2" xfId="7271"/>
    <cellStyle name="Normal 4 4 6 7 2 2" xfId="23433"/>
    <cellStyle name="Normal 4 4 6 8" xfId="3391"/>
    <cellStyle name="Normal 4 4 6 8 2" xfId="7272"/>
    <cellStyle name="Normal 4 4 6 8 2 2" xfId="23434"/>
    <cellStyle name="Normal 4 4 6 9" xfId="14404"/>
    <cellStyle name="Normal 4 4 6 9 2" xfId="30536"/>
    <cellStyle name="Normal 4 4 7" xfId="3392"/>
    <cellStyle name="Normal 4 4 7 10" xfId="14405"/>
    <cellStyle name="Normal 4 4 7 10 2" xfId="30537"/>
    <cellStyle name="Normal 4 4 7 11" xfId="14406"/>
    <cellStyle name="Normal 4 4 7 11 2" xfId="30538"/>
    <cellStyle name="Normal 4 4 7 12" xfId="14407"/>
    <cellStyle name="Normal 4 4 7 12 2" xfId="30539"/>
    <cellStyle name="Normal 4 4 7 13" xfId="14408"/>
    <cellStyle name="Normal 4 4 7 13 2" xfId="30540"/>
    <cellStyle name="Normal 4 4 7 14" xfId="14409"/>
    <cellStyle name="Normal 4 4 7 14 2" xfId="30541"/>
    <cellStyle name="Normal 4 4 7 15" xfId="14410"/>
    <cellStyle name="Normal 4 4 7 15 2" xfId="30542"/>
    <cellStyle name="Normal 4 4 7 16" xfId="14411"/>
    <cellStyle name="Normal 4 4 7 16 2" xfId="30543"/>
    <cellStyle name="Normal 4 4 7 17" xfId="14412"/>
    <cellStyle name="Normal 4 4 7 17 2" xfId="30544"/>
    <cellStyle name="Normal 4 4 7 18" xfId="7273"/>
    <cellStyle name="Normal 4 4 7 18 2" xfId="23435"/>
    <cellStyle name="Normal 4 4 7 2" xfId="1793"/>
    <cellStyle name="Normal 4 4 7 2 2" xfId="5703"/>
    <cellStyle name="Normal 4 4 7 2 2 2" xfId="21865"/>
    <cellStyle name="Normal 4 4 7 3" xfId="1795"/>
    <cellStyle name="Normal 4 4 7 3 2" xfId="5705"/>
    <cellStyle name="Normal 4 4 7 3 2 2" xfId="21867"/>
    <cellStyle name="Normal 4 4 7 4" xfId="3393"/>
    <cellStyle name="Normal 4 4 7 4 2" xfId="7274"/>
    <cellStyle name="Normal 4 4 7 4 2 2" xfId="23436"/>
    <cellStyle name="Normal 4 4 7 5" xfId="3394"/>
    <cellStyle name="Normal 4 4 7 5 2" xfId="7275"/>
    <cellStyle name="Normal 4 4 7 5 2 2" xfId="23437"/>
    <cellStyle name="Normal 4 4 7 6" xfId="3395"/>
    <cellStyle name="Normal 4 4 7 6 2" xfId="7276"/>
    <cellStyle name="Normal 4 4 7 6 2 2" xfId="23438"/>
    <cellStyle name="Normal 4 4 7 7" xfId="3396"/>
    <cellStyle name="Normal 4 4 7 7 2" xfId="7277"/>
    <cellStyle name="Normal 4 4 7 7 2 2" xfId="23439"/>
    <cellStyle name="Normal 4 4 7 8" xfId="3397"/>
    <cellStyle name="Normal 4 4 7 8 2" xfId="7278"/>
    <cellStyle name="Normal 4 4 7 8 2 2" xfId="23440"/>
    <cellStyle name="Normal 4 4 7 9" xfId="14413"/>
    <cellStyle name="Normal 4 4 7 9 2" xfId="30545"/>
    <cellStyle name="Normal 4 4 8" xfId="3398"/>
    <cellStyle name="Normal 4 4 8 10" xfId="14414"/>
    <cellStyle name="Normal 4 4 8 10 2" xfId="30546"/>
    <cellStyle name="Normal 4 4 8 11" xfId="14415"/>
    <cellStyle name="Normal 4 4 8 11 2" xfId="30547"/>
    <cellStyle name="Normal 4 4 8 12" xfId="14416"/>
    <cellStyle name="Normal 4 4 8 12 2" xfId="30548"/>
    <cellStyle name="Normal 4 4 8 13" xfId="14417"/>
    <cellStyle name="Normal 4 4 8 13 2" xfId="30549"/>
    <cellStyle name="Normal 4 4 8 14" xfId="14418"/>
    <cellStyle name="Normal 4 4 8 14 2" xfId="30550"/>
    <cellStyle name="Normal 4 4 8 15" xfId="14419"/>
    <cellStyle name="Normal 4 4 8 15 2" xfId="30551"/>
    <cellStyle name="Normal 4 4 8 16" xfId="14420"/>
    <cellStyle name="Normal 4 4 8 16 2" xfId="30552"/>
    <cellStyle name="Normal 4 4 8 17" xfId="14421"/>
    <cellStyle name="Normal 4 4 8 17 2" xfId="30553"/>
    <cellStyle name="Normal 4 4 8 18" xfId="7279"/>
    <cellStyle name="Normal 4 4 8 18 2" xfId="23441"/>
    <cellStyle name="Normal 4 4 8 2" xfId="1679"/>
    <cellStyle name="Normal 4 4 8 2 2" xfId="5591"/>
    <cellStyle name="Normal 4 4 8 2 2 2" xfId="21753"/>
    <cellStyle name="Normal 4 4 8 3" xfId="1797"/>
    <cellStyle name="Normal 4 4 8 3 2" xfId="5707"/>
    <cellStyle name="Normal 4 4 8 3 2 2" xfId="21869"/>
    <cellStyle name="Normal 4 4 8 4" xfId="3399"/>
    <cellStyle name="Normal 4 4 8 4 2" xfId="7280"/>
    <cellStyle name="Normal 4 4 8 4 2 2" xfId="23442"/>
    <cellStyle name="Normal 4 4 8 5" xfId="3400"/>
    <cellStyle name="Normal 4 4 8 5 2" xfId="7281"/>
    <cellStyle name="Normal 4 4 8 5 2 2" xfId="23443"/>
    <cellStyle name="Normal 4 4 8 6" xfId="3401"/>
    <cellStyle name="Normal 4 4 8 6 2" xfId="7282"/>
    <cellStyle name="Normal 4 4 8 6 2 2" xfId="23444"/>
    <cellStyle name="Normal 4 4 8 7" xfId="3402"/>
    <cellStyle name="Normal 4 4 8 7 2" xfId="7283"/>
    <cellStyle name="Normal 4 4 8 7 2 2" xfId="23445"/>
    <cellStyle name="Normal 4 4 8 8" xfId="3403"/>
    <cellStyle name="Normal 4 4 8 8 2" xfId="7284"/>
    <cellStyle name="Normal 4 4 8 8 2 2" xfId="23446"/>
    <cellStyle name="Normal 4 4 8 9" xfId="14422"/>
    <cellStyle name="Normal 4 4 8 9 2" xfId="30554"/>
    <cellStyle name="Normal 4 4 9" xfId="3404"/>
    <cellStyle name="Normal 4 4 9 10" xfId="14423"/>
    <cellStyle name="Normal 4 4 9 10 2" xfId="30555"/>
    <cellStyle name="Normal 4 4 9 11" xfId="14424"/>
    <cellStyle name="Normal 4 4 9 11 2" xfId="30556"/>
    <cellStyle name="Normal 4 4 9 12" xfId="14425"/>
    <cellStyle name="Normal 4 4 9 12 2" xfId="30557"/>
    <cellStyle name="Normal 4 4 9 13" xfId="14426"/>
    <cellStyle name="Normal 4 4 9 13 2" xfId="30558"/>
    <cellStyle name="Normal 4 4 9 14" xfId="14427"/>
    <cellStyle name="Normal 4 4 9 14 2" xfId="30559"/>
    <cellStyle name="Normal 4 4 9 15" xfId="14428"/>
    <cellStyle name="Normal 4 4 9 15 2" xfId="30560"/>
    <cellStyle name="Normal 4 4 9 16" xfId="14429"/>
    <cellStyle name="Normal 4 4 9 16 2" xfId="30561"/>
    <cellStyle name="Normal 4 4 9 17" xfId="14430"/>
    <cellStyle name="Normal 4 4 9 17 2" xfId="30562"/>
    <cellStyle name="Normal 4 4 9 18" xfId="7285"/>
    <cellStyle name="Normal 4 4 9 18 2" xfId="23447"/>
    <cellStyle name="Normal 4 4 9 2" xfId="3405"/>
    <cellStyle name="Normal 4 4 9 2 2" xfId="7286"/>
    <cellStyle name="Normal 4 4 9 2 2 2" xfId="23448"/>
    <cellStyle name="Normal 4 4 9 3" xfId="3406"/>
    <cellStyle name="Normal 4 4 9 3 2" xfId="7287"/>
    <cellStyle name="Normal 4 4 9 3 2 2" xfId="23449"/>
    <cellStyle name="Normal 4 4 9 4" xfId="3407"/>
    <cellStyle name="Normal 4 4 9 4 2" xfId="7288"/>
    <cellStyle name="Normal 4 4 9 4 2 2" xfId="23450"/>
    <cellStyle name="Normal 4 4 9 5" xfId="3408"/>
    <cellStyle name="Normal 4 4 9 5 2" xfId="7289"/>
    <cellStyle name="Normal 4 4 9 5 2 2" xfId="23451"/>
    <cellStyle name="Normal 4 4 9 6" xfId="3409"/>
    <cellStyle name="Normal 4 4 9 6 2" xfId="7290"/>
    <cellStyle name="Normal 4 4 9 6 2 2" xfId="23452"/>
    <cellStyle name="Normal 4 4 9 7" xfId="3410"/>
    <cellStyle name="Normal 4 4 9 7 2" xfId="7291"/>
    <cellStyle name="Normal 4 4 9 7 2 2" xfId="23453"/>
    <cellStyle name="Normal 4 4 9 8" xfId="3411"/>
    <cellStyle name="Normal 4 4 9 8 2" xfId="7292"/>
    <cellStyle name="Normal 4 4 9 8 2 2" xfId="23454"/>
    <cellStyle name="Normal 4 4 9 9" xfId="14431"/>
    <cellStyle name="Normal 4 4 9 9 2" xfId="30563"/>
    <cellStyle name="Normal 4 4_Achampally-Gattubuthkur-Ganga-CRR" xfId="847"/>
    <cellStyle name="Normal 4 5" xfId="2625"/>
    <cellStyle name="Normal 4 5 10" xfId="2739"/>
    <cellStyle name="Normal 4 5 10 10" xfId="14432"/>
    <cellStyle name="Normal 4 5 10 10 2" xfId="30564"/>
    <cellStyle name="Normal 4 5 10 11" xfId="14433"/>
    <cellStyle name="Normal 4 5 10 11 2" xfId="30565"/>
    <cellStyle name="Normal 4 5 10 12" xfId="14434"/>
    <cellStyle name="Normal 4 5 10 12 2" xfId="30566"/>
    <cellStyle name="Normal 4 5 10 13" xfId="14435"/>
    <cellStyle name="Normal 4 5 10 13 2" xfId="30567"/>
    <cellStyle name="Normal 4 5 10 14" xfId="14436"/>
    <cellStyle name="Normal 4 5 10 14 2" xfId="30568"/>
    <cellStyle name="Normal 4 5 10 15" xfId="14437"/>
    <cellStyle name="Normal 4 5 10 15 2" xfId="30569"/>
    <cellStyle name="Normal 4 5 10 16" xfId="14438"/>
    <cellStyle name="Normal 4 5 10 16 2" xfId="30570"/>
    <cellStyle name="Normal 4 5 10 17" xfId="14439"/>
    <cellStyle name="Normal 4 5 10 17 2" xfId="30571"/>
    <cellStyle name="Normal 4 5 10 18" xfId="6632"/>
    <cellStyle name="Normal 4 5 10 18 2" xfId="22794"/>
    <cellStyle name="Normal 4 5 10 2" xfId="3412"/>
    <cellStyle name="Normal 4 5 10 2 2" xfId="7293"/>
    <cellStyle name="Normal 4 5 10 2 2 2" xfId="23455"/>
    <cellStyle name="Normal 4 5 10 3" xfId="3413"/>
    <cellStyle name="Normal 4 5 10 3 2" xfId="7294"/>
    <cellStyle name="Normal 4 5 10 3 2 2" xfId="23456"/>
    <cellStyle name="Normal 4 5 10 4" xfId="588"/>
    <cellStyle name="Normal 4 5 10 4 2" xfId="4522"/>
    <cellStyle name="Normal 4 5 10 4 2 2" xfId="20685"/>
    <cellStyle name="Normal 4 5 10 5" xfId="593"/>
    <cellStyle name="Normal 4 5 10 5 2" xfId="4527"/>
    <cellStyle name="Normal 4 5 10 5 2 2" xfId="20690"/>
    <cellStyle name="Normal 4 5 10 6" xfId="515"/>
    <cellStyle name="Normal 4 5 10 6 2" xfId="4452"/>
    <cellStyle name="Normal 4 5 10 6 2 2" xfId="20615"/>
    <cellStyle name="Normal 4 5 10 7" xfId="519"/>
    <cellStyle name="Normal 4 5 10 7 2" xfId="4455"/>
    <cellStyle name="Normal 4 5 10 7 2 2" xfId="20618"/>
    <cellStyle name="Normal 4 5 10 8" xfId="69"/>
    <cellStyle name="Normal 4 5 10 8 2" xfId="4021"/>
    <cellStyle name="Normal 4 5 10 8 2 2" xfId="20184"/>
    <cellStyle name="Normal 4 5 10 9" xfId="14440"/>
    <cellStyle name="Normal 4 5 10 9 2" xfId="30572"/>
    <cellStyle name="Normal 4 5 11" xfId="1922"/>
    <cellStyle name="Normal 4 5 11 10" xfId="14441"/>
    <cellStyle name="Normal 4 5 11 10 2" xfId="30573"/>
    <cellStyle name="Normal 4 5 11 11" xfId="14442"/>
    <cellStyle name="Normal 4 5 11 11 2" xfId="30574"/>
    <cellStyle name="Normal 4 5 11 12" xfId="14443"/>
    <cellStyle name="Normal 4 5 11 12 2" xfId="30575"/>
    <cellStyle name="Normal 4 5 11 13" xfId="14444"/>
    <cellStyle name="Normal 4 5 11 13 2" xfId="30576"/>
    <cellStyle name="Normal 4 5 11 14" xfId="14445"/>
    <cellStyle name="Normal 4 5 11 14 2" xfId="30577"/>
    <cellStyle name="Normal 4 5 11 15" xfId="14446"/>
    <cellStyle name="Normal 4 5 11 15 2" xfId="30578"/>
    <cellStyle name="Normal 4 5 11 16" xfId="14447"/>
    <cellStyle name="Normal 4 5 11 16 2" xfId="30579"/>
    <cellStyle name="Normal 4 5 11 17" xfId="14448"/>
    <cellStyle name="Normal 4 5 11 17 2" xfId="30580"/>
    <cellStyle name="Normal 4 5 11 18" xfId="5829"/>
    <cellStyle name="Normal 4 5 11 18 2" xfId="21991"/>
    <cellStyle name="Normal 4 5 11 2" xfId="3414"/>
    <cellStyle name="Normal 4 5 11 2 2" xfId="7295"/>
    <cellStyle name="Normal 4 5 11 2 2 2" xfId="23457"/>
    <cellStyle name="Normal 4 5 11 3" xfId="1709"/>
    <cellStyle name="Normal 4 5 11 3 2" xfId="5622"/>
    <cellStyle name="Normal 4 5 11 3 2 2" xfId="21784"/>
    <cellStyle name="Normal 4 5 11 4" xfId="803"/>
    <cellStyle name="Normal 4 5 11 4 2" xfId="4730"/>
    <cellStyle name="Normal 4 5 11 4 2 2" xfId="20892"/>
    <cellStyle name="Normal 4 5 11 5" xfId="805"/>
    <cellStyle name="Normal 4 5 11 5 2" xfId="4732"/>
    <cellStyle name="Normal 4 5 11 5 2 2" xfId="20894"/>
    <cellStyle name="Normal 4 5 11 6" xfId="807"/>
    <cellStyle name="Normal 4 5 11 6 2" xfId="4734"/>
    <cellStyle name="Normal 4 5 11 6 2 2" xfId="20896"/>
    <cellStyle name="Normal 4 5 11 7" xfId="809"/>
    <cellStyle name="Normal 4 5 11 7 2" xfId="4736"/>
    <cellStyle name="Normal 4 5 11 7 2 2" xfId="20898"/>
    <cellStyle name="Normal 4 5 11 8" xfId="811"/>
    <cellStyle name="Normal 4 5 11 8 2" xfId="4738"/>
    <cellStyle name="Normal 4 5 11 8 2 2" xfId="20900"/>
    <cellStyle name="Normal 4 5 11 9" xfId="14449"/>
    <cellStyle name="Normal 4 5 11 9 2" xfId="30581"/>
    <cellStyle name="Normal 4 5 12" xfId="1926"/>
    <cellStyle name="Normal 4 5 12 2" xfId="5832"/>
    <cellStyle name="Normal 4 5 12 2 2" xfId="21994"/>
    <cellStyle name="Normal 4 5 13" xfId="1929"/>
    <cellStyle name="Normal 4 5 13 2" xfId="5835"/>
    <cellStyle name="Normal 4 5 13 2 2" xfId="21997"/>
    <cellStyle name="Normal 4 5 14" xfId="1931"/>
    <cellStyle name="Normal 4 5 14 2" xfId="5837"/>
    <cellStyle name="Normal 4 5 14 2 2" xfId="21999"/>
    <cellStyle name="Normal 4 5 15" xfId="1933"/>
    <cellStyle name="Normal 4 5 15 2" xfId="5839"/>
    <cellStyle name="Normal 4 5 15 2 2" xfId="22001"/>
    <cellStyle name="Normal 4 5 16" xfId="1935"/>
    <cellStyle name="Normal 4 5 16 2" xfId="5841"/>
    <cellStyle name="Normal 4 5 16 2 2" xfId="22003"/>
    <cellStyle name="Normal 4 5 17" xfId="1937"/>
    <cellStyle name="Normal 4 5 17 2" xfId="5843"/>
    <cellStyle name="Normal 4 5 17 2 2" xfId="22005"/>
    <cellStyle name="Normal 4 5 18" xfId="3415"/>
    <cellStyle name="Normal 4 5 18 2" xfId="7296"/>
    <cellStyle name="Normal 4 5 18 2 2" xfId="23458"/>
    <cellStyle name="Normal 4 5 19" xfId="14450"/>
    <cellStyle name="Normal 4 5 19 2" xfId="30582"/>
    <cellStyle name="Normal 4 5 2" xfId="3416"/>
    <cellStyle name="Normal 4 5 2 10" xfId="1185"/>
    <cellStyle name="Normal 4 5 2 10 10" xfId="14451"/>
    <cellStyle name="Normal 4 5 2 10 10 2" xfId="30583"/>
    <cellStyle name="Normal 4 5 2 10 11" xfId="14452"/>
    <cellStyle name="Normal 4 5 2 10 11 2" xfId="30584"/>
    <cellStyle name="Normal 4 5 2 10 12" xfId="14453"/>
    <cellStyle name="Normal 4 5 2 10 12 2" xfId="30585"/>
    <cellStyle name="Normal 4 5 2 10 13" xfId="14454"/>
    <cellStyle name="Normal 4 5 2 10 13 2" xfId="30586"/>
    <cellStyle name="Normal 4 5 2 10 14" xfId="14455"/>
    <cellStyle name="Normal 4 5 2 10 14 2" xfId="30587"/>
    <cellStyle name="Normal 4 5 2 10 15" xfId="14456"/>
    <cellStyle name="Normal 4 5 2 10 15 2" xfId="30588"/>
    <cellStyle name="Normal 4 5 2 10 16" xfId="14457"/>
    <cellStyle name="Normal 4 5 2 10 16 2" xfId="30589"/>
    <cellStyle name="Normal 4 5 2 10 17" xfId="14458"/>
    <cellStyle name="Normal 4 5 2 10 17 2" xfId="30590"/>
    <cellStyle name="Normal 4 5 2 10 18" xfId="5106"/>
    <cellStyle name="Normal 4 5 2 10 18 2" xfId="21268"/>
    <cellStyle name="Normal 4 5 2 10 2" xfId="2678"/>
    <cellStyle name="Normal 4 5 2 10 2 2" xfId="6571"/>
    <cellStyle name="Normal 4 5 2 10 2 2 2" xfId="22733"/>
    <cellStyle name="Normal 4 5 2 10 3" xfId="2680"/>
    <cellStyle name="Normal 4 5 2 10 3 2" xfId="6573"/>
    <cellStyle name="Normal 4 5 2 10 3 2 2" xfId="22735"/>
    <cellStyle name="Normal 4 5 2 10 4" xfId="2682"/>
    <cellStyle name="Normal 4 5 2 10 4 2" xfId="6575"/>
    <cellStyle name="Normal 4 5 2 10 4 2 2" xfId="22737"/>
    <cellStyle name="Normal 4 5 2 10 5" xfId="2684"/>
    <cellStyle name="Normal 4 5 2 10 5 2" xfId="6577"/>
    <cellStyle name="Normal 4 5 2 10 5 2 2" xfId="22739"/>
    <cellStyle name="Normal 4 5 2 10 6" xfId="2686"/>
    <cellStyle name="Normal 4 5 2 10 6 2" xfId="6579"/>
    <cellStyle name="Normal 4 5 2 10 6 2 2" xfId="22741"/>
    <cellStyle name="Normal 4 5 2 10 7" xfId="2688"/>
    <cellStyle name="Normal 4 5 2 10 7 2" xfId="6581"/>
    <cellStyle name="Normal 4 5 2 10 7 2 2" xfId="22743"/>
    <cellStyle name="Normal 4 5 2 10 8" xfId="2690"/>
    <cellStyle name="Normal 4 5 2 10 8 2" xfId="6583"/>
    <cellStyle name="Normal 4 5 2 10 8 2 2" xfId="22745"/>
    <cellStyle name="Normal 4 5 2 10 9" xfId="14459"/>
    <cellStyle name="Normal 4 5 2 10 9 2" xfId="30591"/>
    <cellStyle name="Normal 4 5 2 11" xfId="390"/>
    <cellStyle name="Normal 4 5 2 11 2" xfId="4338"/>
    <cellStyle name="Normal 4 5 2 11 2 2" xfId="20501"/>
    <cellStyle name="Normal 4 5 2 12" xfId="401"/>
    <cellStyle name="Normal 4 5 2 12 2" xfId="4349"/>
    <cellStyle name="Normal 4 5 2 12 2 2" xfId="20512"/>
    <cellStyle name="Normal 4 5 2 13" xfId="1190"/>
    <cellStyle name="Normal 4 5 2 13 2" xfId="5111"/>
    <cellStyle name="Normal 4 5 2 13 2 2" xfId="21273"/>
    <cellStyle name="Normal 4 5 2 14" xfId="1194"/>
    <cellStyle name="Normal 4 5 2 14 2" xfId="5115"/>
    <cellStyle name="Normal 4 5 2 14 2 2" xfId="21277"/>
    <cellStyle name="Normal 4 5 2 15" xfId="1201"/>
    <cellStyle name="Normal 4 5 2 15 2" xfId="5121"/>
    <cellStyle name="Normal 4 5 2 15 2 2" xfId="21283"/>
    <cellStyle name="Normal 4 5 2 16" xfId="636"/>
    <cellStyle name="Normal 4 5 2 16 2" xfId="4573"/>
    <cellStyle name="Normal 4 5 2 16 2 2" xfId="20735"/>
    <cellStyle name="Normal 4 5 2 17" xfId="121"/>
    <cellStyle name="Normal 4 5 2 17 2" xfId="4064"/>
    <cellStyle name="Normal 4 5 2 17 2 2" xfId="20227"/>
    <cellStyle name="Normal 4 5 2 18" xfId="14460"/>
    <cellStyle name="Normal 4 5 2 18 2" xfId="30592"/>
    <cellStyle name="Normal 4 5 2 19" xfId="14461"/>
    <cellStyle name="Normal 4 5 2 19 2" xfId="30593"/>
    <cellStyle name="Normal 4 5 2 2" xfId="3417"/>
    <cellStyle name="Normal 4 5 2 2 10" xfId="14462"/>
    <cellStyle name="Normal 4 5 2 2 10 2" xfId="30594"/>
    <cellStyle name="Normal 4 5 2 2 11" xfId="14463"/>
    <cellStyle name="Normal 4 5 2 2 11 2" xfId="30595"/>
    <cellStyle name="Normal 4 5 2 2 12" xfId="14464"/>
    <cellStyle name="Normal 4 5 2 2 12 2" xfId="30596"/>
    <cellStyle name="Normal 4 5 2 2 13" xfId="14465"/>
    <cellStyle name="Normal 4 5 2 2 13 2" xfId="30597"/>
    <cellStyle name="Normal 4 5 2 2 14" xfId="14466"/>
    <cellStyle name="Normal 4 5 2 2 14 2" xfId="30598"/>
    <cellStyle name="Normal 4 5 2 2 15" xfId="14467"/>
    <cellStyle name="Normal 4 5 2 2 15 2" xfId="30599"/>
    <cellStyle name="Normal 4 5 2 2 16" xfId="14468"/>
    <cellStyle name="Normal 4 5 2 2 16 2" xfId="30600"/>
    <cellStyle name="Normal 4 5 2 2 17" xfId="14469"/>
    <cellStyle name="Normal 4 5 2 2 17 2" xfId="30601"/>
    <cellStyle name="Normal 4 5 2 2 18" xfId="7298"/>
    <cellStyle name="Normal 4 5 2 2 18 2" xfId="23460"/>
    <cellStyle name="Normal 4 5 2 2 2" xfId="1998"/>
    <cellStyle name="Normal 4 5 2 2 2 2" xfId="5903"/>
    <cellStyle name="Normal 4 5 2 2 2 2 2" xfId="22065"/>
    <cellStyle name="Normal 4 5 2 2 3" xfId="2000"/>
    <cellStyle name="Normal 4 5 2 2 3 2" xfId="5905"/>
    <cellStyle name="Normal 4 5 2 2 3 2 2" xfId="22067"/>
    <cellStyle name="Normal 4 5 2 2 4" xfId="2002"/>
    <cellStyle name="Normal 4 5 2 2 4 2" xfId="5907"/>
    <cellStyle name="Normal 4 5 2 2 4 2 2" xfId="22069"/>
    <cellStyle name="Normal 4 5 2 2 5" xfId="2004"/>
    <cellStyle name="Normal 4 5 2 2 5 2" xfId="5909"/>
    <cellStyle name="Normal 4 5 2 2 5 2 2" xfId="22071"/>
    <cellStyle name="Normal 4 5 2 2 6" xfId="2006"/>
    <cellStyle name="Normal 4 5 2 2 6 2" xfId="5911"/>
    <cellStyle name="Normal 4 5 2 2 6 2 2" xfId="22073"/>
    <cellStyle name="Normal 4 5 2 2 7" xfId="3418"/>
    <cellStyle name="Normal 4 5 2 2 7 2" xfId="7299"/>
    <cellStyle name="Normal 4 5 2 2 7 2 2" xfId="23461"/>
    <cellStyle name="Normal 4 5 2 2 8" xfId="3419"/>
    <cellStyle name="Normal 4 5 2 2 8 2" xfId="7300"/>
    <cellStyle name="Normal 4 5 2 2 8 2 2" xfId="23462"/>
    <cellStyle name="Normal 4 5 2 2 9" xfId="14470"/>
    <cellStyle name="Normal 4 5 2 2 9 2" xfId="30602"/>
    <cellStyle name="Normal 4 5 2 20" xfId="14471"/>
    <cellStyle name="Normal 4 5 2 20 2" xfId="30603"/>
    <cellStyle name="Normal 4 5 2 21" xfId="14472"/>
    <cellStyle name="Normal 4 5 2 21 2" xfId="30604"/>
    <cellStyle name="Normal 4 5 2 22" xfId="14473"/>
    <cellStyle name="Normal 4 5 2 22 2" xfId="30605"/>
    <cellStyle name="Normal 4 5 2 23" xfId="14474"/>
    <cellStyle name="Normal 4 5 2 23 2" xfId="30606"/>
    <cellStyle name="Normal 4 5 2 24" xfId="14475"/>
    <cellStyle name="Normal 4 5 2 24 2" xfId="30607"/>
    <cellStyle name="Normal 4 5 2 25" xfId="14476"/>
    <cellStyle name="Normal 4 5 2 25 2" xfId="30608"/>
    <cellStyle name="Normal 4 5 2 26" xfId="14477"/>
    <cellStyle name="Normal 4 5 2 26 2" xfId="30609"/>
    <cellStyle name="Normal 4 5 2 27" xfId="7297"/>
    <cellStyle name="Normal 4 5 2 27 2" xfId="23459"/>
    <cellStyle name="Normal 4 5 2 3" xfId="2532"/>
    <cellStyle name="Normal 4 5 2 3 10" xfId="14478"/>
    <cellStyle name="Normal 4 5 2 3 10 2" xfId="30610"/>
    <cellStyle name="Normal 4 5 2 3 11" xfId="14479"/>
    <cellStyle name="Normal 4 5 2 3 11 2" xfId="30611"/>
    <cellStyle name="Normal 4 5 2 3 12" xfId="14480"/>
    <cellStyle name="Normal 4 5 2 3 12 2" xfId="30612"/>
    <cellStyle name="Normal 4 5 2 3 13" xfId="14481"/>
    <cellStyle name="Normal 4 5 2 3 13 2" xfId="30613"/>
    <cellStyle name="Normal 4 5 2 3 14" xfId="14482"/>
    <cellStyle name="Normal 4 5 2 3 14 2" xfId="30614"/>
    <cellStyle name="Normal 4 5 2 3 15" xfId="14483"/>
    <cellStyle name="Normal 4 5 2 3 15 2" xfId="30615"/>
    <cellStyle name="Normal 4 5 2 3 16" xfId="14484"/>
    <cellStyle name="Normal 4 5 2 3 16 2" xfId="30616"/>
    <cellStyle name="Normal 4 5 2 3 17" xfId="14485"/>
    <cellStyle name="Normal 4 5 2 3 17 2" xfId="30617"/>
    <cellStyle name="Normal 4 5 2 3 18" xfId="6427"/>
    <cellStyle name="Normal 4 5 2 3 18 2" xfId="22589"/>
    <cellStyle name="Normal 4 5 2 3 2" xfId="2012"/>
    <cellStyle name="Normal 4 5 2 3 2 2" xfId="5918"/>
    <cellStyle name="Normal 4 5 2 3 2 2 2" xfId="22080"/>
    <cellStyle name="Normal 4 5 2 3 3" xfId="197"/>
    <cellStyle name="Normal 4 5 2 3 3 2" xfId="4124"/>
    <cellStyle name="Normal 4 5 2 3 3 2 2" xfId="20287"/>
    <cellStyle name="Normal 4 5 2 3 4" xfId="149"/>
    <cellStyle name="Normal 4 5 2 3 4 2" xfId="4086"/>
    <cellStyle name="Normal 4 5 2 3 4 2 2" xfId="20249"/>
    <cellStyle name="Normal 4 5 2 3 5" xfId="2015"/>
    <cellStyle name="Normal 4 5 2 3 5 2" xfId="5921"/>
    <cellStyle name="Normal 4 5 2 3 5 2 2" xfId="22083"/>
    <cellStyle name="Normal 4 5 2 3 6" xfId="2018"/>
    <cellStyle name="Normal 4 5 2 3 6 2" xfId="5924"/>
    <cellStyle name="Normal 4 5 2 3 6 2 2" xfId="22086"/>
    <cellStyle name="Normal 4 5 2 3 7" xfId="2548"/>
    <cellStyle name="Normal 4 5 2 3 7 2" xfId="6443"/>
    <cellStyle name="Normal 4 5 2 3 7 2 2" xfId="22605"/>
    <cellStyle name="Normal 4 5 2 3 8" xfId="2550"/>
    <cellStyle name="Normal 4 5 2 3 8 2" xfId="6445"/>
    <cellStyle name="Normal 4 5 2 3 8 2 2" xfId="22607"/>
    <cellStyle name="Normal 4 5 2 3 9" xfId="14486"/>
    <cellStyle name="Normal 4 5 2 3 9 2" xfId="30618"/>
    <cellStyle name="Normal 4 5 2 4" xfId="1020"/>
    <cellStyle name="Normal 4 5 2 4 10" xfId="14487"/>
    <cellStyle name="Normal 4 5 2 4 10 2" xfId="30619"/>
    <cellStyle name="Normal 4 5 2 4 11" xfId="14488"/>
    <cellStyle name="Normal 4 5 2 4 11 2" xfId="30620"/>
    <cellStyle name="Normal 4 5 2 4 12" xfId="14489"/>
    <cellStyle name="Normal 4 5 2 4 12 2" xfId="30621"/>
    <cellStyle name="Normal 4 5 2 4 13" xfId="14490"/>
    <cellStyle name="Normal 4 5 2 4 13 2" xfId="30622"/>
    <cellStyle name="Normal 4 5 2 4 14" xfId="14491"/>
    <cellStyle name="Normal 4 5 2 4 14 2" xfId="30623"/>
    <cellStyle name="Normal 4 5 2 4 15" xfId="14492"/>
    <cellStyle name="Normal 4 5 2 4 15 2" xfId="30624"/>
    <cellStyle name="Normal 4 5 2 4 16" xfId="14493"/>
    <cellStyle name="Normal 4 5 2 4 16 2" xfId="30625"/>
    <cellStyle name="Normal 4 5 2 4 17" xfId="14494"/>
    <cellStyle name="Normal 4 5 2 4 17 2" xfId="30626"/>
    <cellStyle name="Normal 4 5 2 4 18" xfId="4941"/>
    <cellStyle name="Normal 4 5 2 4 18 2" xfId="21103"/>
    <cellStyle name="Normal 4 5 2 4 2" xfId="2027"/>
    <cellStyle name="Normal 4 5 2 4 2 2" xfId="5934"/>
    <cellStyle name="Normal 4 5 2 4 2 2 2" xfId="22096"/>
    <cellStyle name="Normal 4 5 2 4 3" xfId="2031"/>
    <cellStyle name="Normal 4 5 2 4 3 2" xfId="5937"/>
    <cellStyle name="Normal 4 5 2 4 3 2 2" xfId="22099"/>
    <cellStyle name="Normal 4 5 2 4 4" xfId="2034"/>
    <cellStyle name="Normal 4 5 2 4 4 2" xfId="5940"/>
    <cellStyle name="Normal 4 5 2 4 4 2 2" xfId="22102"/>
    <cellStyle name="Normal 4 5 2 4 5" xfId="2037"/>
    <cellStyle name="Normal 4 5 2 4 5 2" xfId="5943"/>
    <cellStyle name="Normal 4 5 2 4 5 2 2" xfId="22105"/>
    <cellStyle name="Normal 4 5 2 4 6" xfId="2040"/>
    <cellStyle name="Normal 4 5 2 4 6 2" xfId="5946"/>
    <cellStyle name="Normal 4 5 2 4 6 2 2" xfId="22108"/>
    <cellStyle name="Normal 4 5 2 4 7" xfId="2553"/>
    <cellStyle name="Normal 4 5 2 4 7 2" xfId="6448"/>
    <cellStyle name="Normal 4 5 2 4 7 2 2" xfId="22610"/>
    <cellStyle name="Normal 4 5 2 4 8" xfId="2555"/>
    <cellStyle name="Normal 4 5 2 4 8 2" xfId="6451"/>
    <cellStyle name="Normal 4 5 2 4 8 2 2" xfId="22613"/>
    <cellStyle name="Normal 4 5 2 4 9" xfId="14495"/>
    <cellStyle name="Normal 4 5 2 4 9 2" xfId="30627"/>
    <cellStyle name="Normal 4 5 2 5" xfId="366"/>
    <cellStyle name="Normal 4 5 2 5 10" xfId="14496"/>
    <cellStyle name="Normal 4 5 2 5 10 2" xfId="30628"/>
    <cellStyle name="Normal 4 5 2 5 11" xfId="14497"/>
    <cellStyle name="Normal 4 5 2 5 11 2" xfId="30629"/>
    <cellStyle name="Normal 4 5 2 5 12" xfId="14498"/>
    <cellStyle name="Normal 4 5 2 5 12 2" xfId="30630"/>
    <cellStyle name="Normal 4 5 2 5 13" xfId="14499"/>
    <cellStyle name="Normal 4 5 2 5 13 2" xfId="30631"/>
    <cellStyle name="Normal 4 5 2 5 14" xfId="14500"/>
    <cellStyle name="Normal 4 5 2 5 14 2" xfId="30632"/>
    <cellStyle name="Normal 4 5 2 5 15" xfId="14501"/>
    <cellStyle name="Normal 4 5 2 5 15 2" xfId="30633"/>
    <cellStyle name="Normal 4 5 2 5 16" xfId="14502"/>
    <cellStyle name="Normal 4 5 2 5 16 2" xfId="30634"/>
    <cellStyle name="Normal 4 5 2 5 17" xfId="14503"/>
    <cellStyle name="Normal 4 5 2 5 17 2" xfId="30635"/>
    <cellStyle name="Normal 4 5 2 5 18" xfId="4311"/>
    <cellStyle name="Normal 4 5 2 5 18 2" xfId="20474"/>
    <cellStyle name="Normal 4 5 2 5 2" xfId="2047"/>
    <cellStyle name="Normal 4 5 2 5 2 2" xfId="5952"/>
    <cellStyle name="Normal 4 5 2 5 2 2 2" xfId="22114"/>
    <cellStyle name="Normal 4 5 2 5 3" xfId="2050"/>
    <cellStyle name="Normal 4 5 2 5 3 2" xfId="5956"/>
    <cellStyle name="Normal 4 5 2 5 3 2 2" xfId="22118"/>
    <cellStyle name="Normal 4 5 2 5 4" xfId="2053"/>
    <cellStyle name="Normal 4 5 2 5 4 2" xfId="5959"/>
    <cellStyle name="Normal 4 5 2 5 4 2 2" xfId="22121"/>
    <cellStyle name="Normal 4 5 2 5 5" xfId="2056"/>
    <cellStyle name="Normal 4 5 2 5 5 2" xfId="5962"/>
    <cellStyle name="Normal 4 5 2 5 5 2 2" xfId="22124"/>
    <cellStyle name="Normal 4 5 2 5 6" xfId="2059"/>
    <cellStyle name="Normal 4 5 2 5 6 2" xfId="5965"/>
    <cellStyle name="Normal 4 5 2 5 6 2 2" xfId="22127"/>
    <cellStyle name="Normal 4 5 2 5 7" xfId="2561"/>
    <cellStyle name="Normal 4 5 2 5 7 2" xfId="6456"/>
    <cellStyle name="Normal 4 5 2 5 7 2 2" xfId="22618"/>
    <cellStyle name="Normal 4 5 2 5 8" xfId="2563"/>
    <cellStyle name="Normal 4 5 2 5 8 2" xfId="6459"/>
    <cellStyle name="Normal 4 5 2 5 8 2 2" xfId="22621"/>
    <cellStyle name="Normal 4 5 2 5 9" xfId="14504"/>
    <cellStyle name="Normal 4 5 2 5 9 2" xfId="30636"/>
    <cellStyle name="Normal 4 5 2 6" xfId="373"/>
    <cellStyle name="Normal 4 5 2 6 10" xfId="14505"/>
    <cellStyle name="Normal 4 5 2 6 10 2" xfId="30637"/>
    <cellStyle name="Normal 4 5 2 6 11" xfId="14506"/>
    <cellStyle name="Normal 4 5 2 6 11 2" xfId="30638"/>
    <cellStyle name="Normal 4 5 2 6 12" xfId="14507"/>
    <cellStyle name="Normal 4 5 2 6 12 2" xfId="30639"/>
    <cellStyle name="Normal 4 5 2 6 13" xfId="14508"/>
    <cellStyle name="Normal 4 5 2 6 13 2" xfId="30640"/>
    <cellStyle name="Normal 4 5 2 6 14" xfId="14509"/>
    <cellStyle name="Normal 4 5 2 6 14 2" xfId="30641"/>
    <cellStyle name="Normal 4 5 2 6 15" xfId="14510"/>
    <cellStyle name="Normal 4 5 2 6 15 2" xfId="30642"/>
    <cellStyle name="Normal 4 5 2 6 16" xfId="14511"/>
    <cellStyle name="Normal 4 5 2 6 16 2" xfId="30643"/>
    <cellStyle name="Normal 4 5 2 6 17" xfId="14512"/>
    <cellStyle name="Normal 4 5 2 6 17 2" xfId="30644"/>
    <cellStyle name="Normal 4 5 2 6 18" xfId="4319"/>
    <cellStyle name="Normal 4 5 2 6 18 2" xfId="20482"/>
    <cellStyle name="Normal 4 5 2 6 2" xfId="2069"/>
    <cellStyle name="Normal 4 5 2 6 2 2" xfId="5973"/>
    <cellStyle name="Normal 4 5 2 6 2 2 2" xfId="22135"/>
    <cellStyle name="Normal 4 5 2 6 3" xfId="2072"/>
    <cellStyle name="Normal 4 5 2 6 3 2" xfId="5977"/>
    <cellStyle name="Normal 4 5 2 6 3 2 2" xfId="22139"/>
    <cellStyle name="Normal 4 5 2 6 4" xfId="1246"/>
    <cellStyle name="Normal 4 5 2 6 4 2" xfId="5167"/>
    <cellStyle name="Normal 4 5 2 6 4 2 2" xfId="21329"/>
    <cellStyle name="Normal 4 5 2 6 5" xfId="1249"/>
    <cellStyle name="Normal 4 5 2 6 5 2" xfId="5170"/>
    <cellStyle name="Normal 4 5 2 6 5 2 2" xfId="21332"/>
    <cellStyle name="Normal 4 5 2 6 6" xfId="2075"/>
    <cellStyle name="Normal 4 5 2 6 6 2" xfId="5979"/>
    <cellStyle name="Normal 4 5 2 6 6 2 2" xfId="22141"/>
    <cellStyle name="Normal 4 5 2 6 7" xfId="3420"/>
    <cellStyle name="Normal 4 5 2 6 7 2" xfId="7301"/>
    <cellStyle name="Normal 4 5 2 6 7 2 2" xfId="23463"/>
    <cellStyle name="Normal 4 5 2 6 8" xfId="3099"/>
    <cellStyle name="Normal 4 5 2 6 8 2" xfId="6984"/>
    <cellStyle name="Normal 4 5 2 6 8 2 2" xfId="23146"/>
    <cellStyle name="Normal 4 5 2 6 9" xfId="14513"/>
    <cellStyle name="Normal 4 5 2 6 9 2" xfId="30645"/>
    <cellStyle name="Normal 4 5 2 7" xfId="1024"/>
    <cellStyle name="Normal 4 5 2 7 10" xfId="14514"/>
    <cellStyle name="Normal 4 5 2 7 10 2" xfId="30646"/>
    <cellStyle name="Normal 4 5 2 7 11" xfId="14515"/>
    <cellStyle name="Normal 4 5 2 7 11 2" xfId="30647"/>
    <cellStyle name="Normal 4 5 2 7 12" xfId="14516"/>
    <cellStyle name="Normal 4 5 2 7 12 2" xfId="30648"/>
    <cellStyle name="Normal 4 5 2 7 13" xfId="14517"/>
    <cellStyle name="Normal 4 5 2 7 13 2" xfId="30649"/>
    <cellStyle name="Normal 4 5 2 7 14" xfId="14518"/>
    <cellStyle name="Normal 4 5 2 7 14 2" xfId="30650"/>
    <cellStyle name="Normal 4 5 2 7 15" xfId="14519"/>
    <cellStyle name="Normal 4 5 2 7 15 2" xfId="30651"/>
    <cellStyle name="Normal 4 5 2 7 16" xfId="14520"/>
    <cellStyle name="Normal 4 5 2 7 16 2" xfId="30652"/>
    <cellStyle name="Normal 4 5 2 7 17" xfId="14521"/>
    <cellStyle name="Normal 4 5 2 7 17 2" xfId="30653"/>
    <cellStyle name="Normal 4 5 2 7 18" xfId="4945"/>
    <cellStyle name="Normal 4 5 2 7 18 2" xfId="21107"/>
    <cellStyle name="Normal 4 5 2 7 2" xfId="3422"/>
    <cellStyle name="Normal 4 5 2 7 2 2" xfId="7302"/>
    <cellStyle name="Normal 4 5 2 7 2 2 2" xfId="23464"/>
    <cellStyle name="Normal 4 5 2 7 3" xfId="3423"/>
    <cellStyle name="Normal 4 5 2 7 3 2" xfId="7304"/>
    <cellStyle name="Normal 4 5 2 7 3 2 2" xfId="23466"/>
    <cellStyle name="Normal 4 5 2 7 4" xfId="3424"/>
    <cellStyle name="Normal 4 5 2 7 4 2" xfId="7305"/>
    <cellStyle name="Normal 4 5 2 7 4 2 2" xfId="23467"/>
    <cellStyle name="Normal 4 5 2 7 5" xfId="3425"/>
    <cellStyle name="Normal 4 5 2 7 5 2" xfId="7306"/>
    <cellStyle name="Normal 4 5 2 7 5 2 2" xfId="23468"/>
    <cellStyle name="Normal 4 5 2 7 6" xfId="3426"/>
    <cellStyle name="Normal 4 5 2 7 6 2" xfId="7307"/>
    <cellStyle name="Normal 4 5 2 7 6 2 2" xfId="23469"/>
    <cellStyle name="Normal 4 5 2 7 7" xfId="3427"/>
    <cellStyle name="Normal 4 5 2 7 7 2" xfId="7308"/>
    <cellStyle name="Normal 4 5 2 7 7 2 2" xfId="23470"/>
    <cellStyle name="Normal 4 5 2 7 8" xfId="658"/>
    <cellStyle name="Normal 4 5 2 7 8 2" xfId="4590"/>
    <cellStyle name="Normal 4 5 2 7 8 2 2" xfId="20752"/>
    <cellStyle name="Normal 4 5 2 7 9" xfId="14522"/>
    <cellStyle name="Normal 4 5 2 7 9 2" xfId="30654"/>
    <cellStyle name="Normal 4 5 2 8" xfId="559"/>
    <cellStyle name="Normal 4 5 2 8 10" xfId="14523"/>
    <cellStyle name="Normal 4 5 2 8 10 2" xfId="30655"/>
    <cellStyle name="Normal 4 5 2 8 11" xfId="14524"/>
    <cellStyle name="Normal 4 5 2 8 11 2" xfId="30656"/>
    <cellStyle name="Normal 4 5 2 8 12" xfId="14525"/>
    <cellStyle name="Normal 4 5 2 8 12 2" xfId="30657"/>
    <cellStyle name="Normal 4 5 2 8 13" xfId="14526"/>
    <cellStyle name="Normal 4 5 2 8 13 2" xfId="30658"/>
    <cellStyle name="Normal 4 5 2 8 14" xfId="14527"/>
    <cellStyle name="Normal 4 5 2 8 14 2" xfId="30659"/>
    <cellStyle name="Normal 4 5 2 8 15" xfId="14528"/>
    <cellStyle name="Normal 4 5 2 8 15 2" xfId="30660"/>
    <cellStyle name="Normal 4 5 2 8 16" xfId="14529"/>
    <cellStyle name="Normal 4 5 2 8 16 2" xfId="30661"/>
    <cellStyle name="Normal 4 5 2 8 17" xfId="14530"/>
    <cellStyle name="Normal 4 5 2 8 17 2" xfId="30662"/>
    <cellStyle name="Normal 4 5 2 8 18" xfId="4494"/>
    <cellStyle name="Normal 4 5 2 8 18 2" xfId="20657"/>
    <cellStyle name="Normal 4 5 2 8 2" xfId="429"/>
    <cellStyle name="Normal 4 5 2 8 2 2" xfId="4372"/>
    <cellStyle name="Normal 4 5 2 8 2 2 2" xfId="20535"/>
    <cellStyle name="Normal 4 5 2 8 3" xfId="563"/>
    <cellStyle name="Normal 4 5 2 8 3 2" xfId="4497"/>
    <cellStyle name="Normal 4 5 2 8 3 2 2" xfId="20660"/>
    <cellStyle name="Normal 4 5 2 8 4" xfId="1150"/>
    <cellStyle name="Normal 4 5 2 8 4 2" xfId="5073"/>
    <cellStyle name="Normal 4 5 2 8 4 2 2" xfId="21235"/>
    <cellStyle name="Normal 4 5 2 8 5" xfId="3428"/>
    <cellStyle name="Normal 4 5 2 8 5 2" xfId="7309"/>
    <cellStyle name="Normal 4 5 2 8 5 2 2" xfId="23471"/>
    <cellStyle name="Normal 4 5 2 8 6" xfId="3429"/>
    <cellStyle name="Normal 4 5 2 8 6 2" xfId="7310"/>
    <cellStyle name="Normal 4 5 2 8 6 2 2" xfId="23472"/>
    <cellStyle name="Normal 4 5 2 8 7" xfId="3430"/>
    <cellStyle name="Normal 4 5 2 8 7 2" xfId="7311"/>
    <cellStyle name="Normal 4 5 2 8 7 2 2" xfId="23473"/>
    <cellStyle name="Normal 4 5 2 8 8" xfId="3106"/>
    <cellStyle name="Normal 4 5 2 8 8 2" xfId="6991"/>
    <cellStyle name="Normal 4 5 2 8 8 2 2" xfId="23153"/>
    <cellStyle name="Normal 4 5 2 8 9" xfId="14531"/>
    <cellStyle name="Normal 4 5 2 8 9 2" xfId="30663"/>
    <cellStyle name="Normal 4 5 2 9" xfId="1027"/>
    <cellStyle name="Normal 4 5 2 9 10" xfId="14532"/>
    <cellStyle name="Normal 4 5 2 9 10 2" xfId="30664"/>
    <cellStyle name="Normal 4 5 2 9 11" xfId="14533"/>
    <cellStyle name="Normal 4 5 2 9 11 2" xfId="30665"/>
    <cellStyle name="Normal 4 5 2 9 12" xfId="14534"/>
    <cellStyle name="Normal 4 5 2 9 12 2" xfId="30666"/>
    <cellStyle name="Normal 4 5 2 9 13" xfId="14535"/>
    <cellStyle name="Normal 4 5 2 9 13 2" xfId="30667"/>
    <cellStyle name="Normal 4 5 2 9 14" xfId="14536"/>
    <cellStyle name="Normal 4 5 2 9 14 2" xfId="30668"/>
    <cellStyle name="Normal 4 5 2 9 15" xfId="14537"/>
    <cellStyle name="Normal 4 5 2 9 15 2" xfId="30669"/>
    <cellStyle name="Normal 4 5 2 9 16" xfId="14538"/>
    <cellStyle name="Normal 4 5 2 9 16 2" xfId="30670"/>
    <cellStyle name="Normal 4 5 2 9 17" xfId="14539"/>
    <cellStyle name="Normal 4 5 2 9 17 2" xfId="30671"/>
    <cellStyle name="Normal 4 5 2 9 18" xfId="4948"/>
    <cellStyle name="Normal 4 5 2 9 18 2" xfId="21110"/>
    <cellStyle name="Normal 4 5 2 9 2" xfId="442"/>
    <cellStyle name="Normal 4 5 2 9 2 2" xfId="4384"/>
    <cellStyle name="Normal 4 5 2 9 2 2 2" xfId="20547"/>
    <cellStyle name="Normal 4 5 2 9 3" xfId="3431"/>
    <cellStyle name="Normal 4 5 2 9 3 2" xfId="7312"/>
    <cellStyle name="Normal 4 5 2 9 3 2 2" xfId="23474"/>
    <cellStyle name="Normal 4 5 2 9 4" xfId="3432"/>
    <cellStyle name="Normal 4 5 2 9 4 2" xfId="7313"/>
    <cellStyle name="Normal 4 5 2 9 4 2 2" xfId="23475"/>
    <cellStyle name="Normal 4 5 2 9 5" xfId="3433"/>
    <cellStyle name="Normal 4 5 2 9 5 2" xfId="7314"/>
    <cellStyle name="Normal 4 5 2 9 5 2 2" xfId="23476"/>
    <cellStyle name="Normal 4 5 2 9 6" xfId="3434"/>
    <cellStyle name="Normal 4 5 2 9 6 2" xfId="7315"/>
    <cellStyle name="Normal 4 5 2 9 6 2 2" xfId="23477"/>
    <cellStyle name="Normal 4 5 2 9 7" xfId="3435"/>
    <cellStyle name="Normal 4 5 2 9 7 2" xfId="7316"/>
    <cellStyle name="Normal 4 5 2 9 7 2 2" xfId="23478"/>
    <cellStyle name="Normal 4 5 2 9 8" xfId="3436"/>
    <cellStyle name="Normal 4 5 2 9 8 2" xfId="7317"/>
    <cellStyle name="Normal 4 5 2 9 8 2 2" xfId="23479"/>
    <cellStyle name="Normal 4 5 2 9 9" xfId="14540"/>
    <cellStyle name="Normal 4 5 2 9 9 2" xfId="30672"/>
    <cellStyle name="Normal 4 5 2_Achampally-Gattubuthkur-Ganga-CRR" xfId="3437"/>
    <cellStyle name="Normal 4 5 20" xfId="14541"/>
    <cellStyle name="Normal 4 5 20 2" xfId="30673"/>
    <cellStyle name="Normal 4 5 21" xfId="14542"/>
    <cellStyle name="Normal 4 5 21 2" xfId="30674"/>
    <cellStyle name="Normal 4 5 22" xfId="14543"/>
    <cellStyle name="Normal 4 5 22 2" xfId="30675"/>
    <cellStyle name="Normal 4 5 23" xfId="14544"/>
    <cellStyle name="Normal 4 5 23 2" xfId="30676"/>
    <cellStyle name="Normal 4 5 24" xfId="14545"/>
    <cellStyle name="Normal 4 5 24 2" xfId="30677"/>
    <cellStyle name="Normal 4 5 25" xfId="14546"/>
    <cellStyle name="Normal 4 5 25 2" xfId="30678"/>
    <cellStyle name="Normal 4 5 26" xfId="14547"/>
    <cellStyle name="Normal 4 5 26 2" xfId="30679"/>
    <cellStyle name="Normal 4 5 27" xfId="14548"/>
    <cellStyle name="Normal 4 5 27 2" xfId="30680"/>
    <cellStyle name="Normal 4 5 28" xfId="6519"/>
    <cellStyle name="Normal 4 5 28 2" xfId="22681"/>
    <cellStyle name="Normal 4 5 3" xfId="3438"/>
    <cellStyle name="Normal 4 5 3 10" xfId="14549"/>
    <cellStyle name="Normal 4 5 3 10 2" xfId="30681"/>
    <cellStyle name="Normal 4 5 3 11" xfId="14550"/>
    <cellStyle name="Normal 4 5 3 11 2" xfId="30682"/>
    <cellStyle name="Normal 4 5 3 12" xfId="14551"/>
    <cellStyle name="Normal 4 5 3 12 2" xfId="30683"/>
    <cellStyle name="Normal 4 5 3 13" xfId="14552"/>
    <cellStyle name="Normal 4 5 3 13 2" xfId="30684"/>
    <cellStyle name="Normal 4 5 3 14" xfId="14553"/>
    <cellStyle name="Normal 4 5 3 14 2" xfId="30685"/>
    <cellStyle name="Normal 4 5 3 15" xfId="14554"/>
    <cellStyle name="Normal 4 5 3 15 2" xfId="30686"/>
    <cellStyle name="Normal 4 5 3 16" xfId="14555"/>
    <cellStyle name="Normal 4 5 3 16 2" xfId="30687"/>
    <cellStyle name="Normal 4 5 3 17" xfId="14556"/>
    <cellStyle name="Normal 4 5 3 17 2" xfId="30688"/>
    <cellStyle name="Normal 4 5 3 18" xfId="7318"/>
    <cellStyle name="Normal 4 5 3 18 2" xfId="23480"/>
    <cellStyle name="Normal 4 5 3 2" xfId="3439"/>
    <cellStyle name="Normal 4 5 3 2 2" xfId="7319"/>
    <cellStyle name="Normal 4 5 3 2 2 2" xfId="23481"/>
    <cellStyle name="Normal 4 5 3 3" xfId="2590"/>
    <cellStyle name="Normal 4 5 3 3 2" xfId="6484"/>
    <cellStyle name="Normal 4 5 3 3 2 2" xfId="22646"/>
    <cellStyle name="Normal 4 5 3 4" xfId="1035"/>
    <cellStyle name="Normal 4 5 3 4 2" xfId="4956"/>
    <cellStyle name="Normal 4 5 3 4 2 2" xfId="21118"/>
    <cellStyle name="Normal 4 5 3 5" xfId="1038"/>
    <cellStyle name="Normal 4 5 3 5 2" xfId="4959"/>
    <cellStyle name="Normal 4 5 3 5 2 2" xfId="21121"/>
    <cellStyle name="Normal 4 5 3 6" xfId="1042"/>
    <cellStyle name="Normal 4 5 3 6 2" xfId="4963"/>
    <cellStyle name="Normal 4 5 3 6 2 2" xfId="21125"/>
    <cellStyle name="Normal 4 5 3 7" xfId="1047"/>
    <cellStyle name="Normal 4 5 3 7 2" xfId="4968"/>
    <cellStyle name="Normal 4 5 3 7 2 2" xfId="21130"/>
    <cellStyle name="Normal 4 5 3 8" xfId="1051"/>
    <cellStyle name="Normal 4 5 3 8 2" xfId="4972"/>
    <cellStyle name="Normal 4 5 3 8 2 2" xfId="21134"/>
    <cellStyle name="Normal 4 5 3 9" xfId="14557"/>
    <cellStyle name="Normal 4 5 3 9 2" xfId="30689"/>
    <cellStyle name="Normal 4 5 4" xfId="3440"/>
    <cellStyle name="Normal 4 5 4 10" xfId="14558"/>
    <cellStyle name="Normal 4 5 4 10 2" xfId="30690"/>
    <cellStyle name="Normal 4 5 4 11" xfId="14559"/>
    <cellStyle name="Normal 4 5 4 11 2" xfId="30691"/>
    <cellStyle name="Normal 4 5 4 12" xfId="14560"/>
    <cellStyle name="Normal 4 5 4 12 2" xfId="30692"/>
    <cellStyle name="Normal 4 5 4 13" xfId="14561"/>
    <cellStyle name="Normal 4 5 4 13 2" xfId="30693"/>
    <cellStyle name="Normal 4 5 4 14" xfId="14562"/>
    <cellStyle name="Normal 4 5 4 14 2" xfId="30694"/>
    <cellStyle name="Normal 4 5 4 15" xfId="14563"/>
    <cellStyle name="Normal 4 5 4 15 2" xfId="30695"/>
    <cellStyle name="Normal 4 5 4 16" xfId="14564"/>
    <cellStyle name="Normal 4 5 4 16 2" xfId="30696"/>
    <cellStyle name="Normal 4 5 4 17" xfId="14565"/>
    <cellStyle name="Normal 4 5 4 17 2" xfId="30697"/>
    <cellStyle name="Normal 4 5 4 18" xfId="7320"/>
    <cellStyle name="Normal 4 5 4 18 2" xfId="23482"/>
    <cellStyle name="Normal 4 5 4 2" xfId="3441"/>
    <cellStyle name="Normal 4 5 4 2 2" xfId="7321"/>
    <cellStyle name="Normal 4 5 4 2 2 2" xfId="23483"/>
    <cellStyle name="Normal 4 5 4 3" xfId="2638"/>
    <cellStyle name="Normal 4 5 4 3 2" xfId="6531"/>
    <cellStyle name="Normal 4 5 4 3 2 2" xfId="22693"/>
    <cellStyle name="Normal 4 5 4 4" xfId="1059"/>
    <cellStyle name="Normal 4 5 4 4 2" xfId="4980"/>
    <cellStyle name="Normal 4 5 4 4 2 2" xfId="21142"/>
    <cellStyle name="Normal 4 5 4 5" xfId="8"/>
    <cellStyle name="Normal 4 5 4 5 2" xfId="3973"/>
    <cellStyle name="Normal 4 5 4 5 2 2" xfId="20136"/>
    <cellStyle name="Normal 4 5 4 6" xfId="542"/>
    <cellStyle name="Normal 4 5 4 6 2" xfId="4476"/>
    <cellStyle name="Normal 4 5 4 6 2 2" xfId="20639"/>
    <cellStyle name="Normal 4 5 4 7" xfId="549"/>
    <cellStyle name="Normal 4 5 4 7 2" xfId="4482"/>
    <cellStyle name="Normal 4 5 4 7 2 2" xfId="20645"/>
    <cellStyle name="Normal 4 5 4 8" xfId="1064"/>
    <cellStyle name="Normal 4 5 4 8 2" xfId="4985"/>
    <cellStyle name="Normal 4 5 4 8 2 2" xfId="21147"/>
    <cellStyle name="Normal 4 5 4 9" xfId="14566"/>
    <cellStyle name="Normal 4 5 4 9 2" xfId="30698"/>
    <cellStyle name="Normal 4 5 5" xfId="3442"/>
    <cellStyle name="Normal 4 5 5 10" xfId="14567"/>
    <cellStyle name="Normal 4 5 5 10 2" xfId="30699"/>
    <cellStyle name="Normal 4 5 5 11" xfId="14568"/>
    <cellStyle name="Normal 4 5 5 11 2" xfId="30700"/>
    <cellStyle name="Normal 4 5 5 12" xfId="14569"/>
    <cellStyle name="Normal 4 5 5 12 2" xfId="30701"/>
    <cellStyle name="Normal 4 5 5 13" xfId="14570"/>
    <cellStyle name="Normal 4 5 5 13 2" xfId="30702"/>
    <cellStyle name="Normal 4 5 5 14" xfId="14571"/>
    <cellStyle name="Normal 4 5 5 14 2" xfId="30703"/>
    <cellStyle name="Normal 4 5 5 15" xfId="14572"/>
    <cellStyle name="Normal 4 5 5 15 2" xfId="30704"/>
    <cellStyle name="Normal 4 5 5 16" xfId="14573"/>
    <cellStyle name="Normal 4 5 5 16 2" xfId="30705"/>
    <cellStyle name="Normal 4 5 5 17" xfId="14574"/>
    <cellStyle name="Normal 4 5 5 17 2" xfId="30706"/>
    <cellStyle name="Normal 4 5 5 18" xfId="7322"/>
    <cellStyle name="Normal 4 5 5 18 2" xfId="23484"/>
    <cellStyle name="Normal 4 5 5 2" xfId="2123"/>
    <cellStyle name="Normal 4 5 5 2 2" xfId="6025"/>
    <cellStyle name="Normal 4 5 5 2 2 2" xfId="22187"/>
    <cellStyle name="Normal 4 5 5 3" xfId="2133"/>
    <cellStyle name="Normal 4 5 5 3 2" xfId="6036"/>
    <cellStyle name="Normal 4 5 5 3 2 2" xfId="22198"/>
    <cellStyle name="Normal 4 5 5 4" xfId="1072"/>
    <cellStyle name="Normal 4 5 5 4 2" xfId="4995"/>
    <cellStyle name="Normal 4 5 5 4 2 2" xfId="21157"/>
    <cellStyle name="Normal 4 5 5 5" xfId="1078"/>
    <cellStyle name="Normal 4 5 5 5 2" xfId="5001"/>
    <cellStyle name="Normal 4 5 5 5 2 2" xfId="21163"/>
    <cellStyle name="Normal 4 5 5 6" xfId="1084"/>
    <cellStyle name="Normal 4 5 5 6 2" xfId="5006"/>
    <cellStyle name="Normal 4 5 5 6 2 2" xfId="21168"/>
    <cellStyle name="Normal 4 5 5 7" xfId="1089"/>
    <cellStyle name="Normal 4 5 5 7 2" xfId="5011"/>
    <cellStyle name="Normal 4 5 5 7 2 2" xfId="21173"/>
    <cellStyle name="Normal 4 5 5 8" xfId="1094"/>
    <cellStyle name="Normal 4 5 5 8 2" xfId="5016"/>
    <cellStyle name="Normal 4 5 5 8 2 2" xfId="21178"/>
    <cellStyle name="Normal 4 5 5 9" xfId="14575"/>
    <cellStyle name="Normal 4 5 5 9 2" xfId="30707"/>
    <cellStyle name="Normal 4 5 6" xfId="3443"/>
    <cellStyle name="Normal 4 5 6 10" xfId="14576"/>
    <cellStyle name="Normal 4 5 6 10 2" xfId="30708"/>
    <cellStyle name="Normal 4 5 6 11" xfId="14577"/>
    <cellStyle name="Normal 4 5 6 11 2" xfId="30709"/>
    <cellStyle name="Normal 4 5 6 12" xfId="14578"/>
    <cellStyle name="Normal 4 5 6 12 2" xfId="30710"/>
    <cellStyle name="Normal 4 5 6 13" xfId="14579"/>
    <cellStyle name="Normal 4 5 6 13 2" xfId="30711"/>
    <cellStyle name="Normal 4 5 6 14" xfId="14580"/>
    <cellStyle name="Normal 4 5 6 14 2" xfId="30712"/>
    <cellStyle name="Normal 4 5 6 15" xfId="14581"/>
    <cellStyle name="Normal 4 5 6 15 2" xfId="30713"/>
    <cellStyle name="Normal 4 5 6 16" xfId="14582"/>
    <cellStyle name="Normal 4 5 6 16 2" xfId="30714"/>
    <cellStyle name="Normal 4 5 6 17" xfId="14583"/>
    <cellStyle name="Normal 4 5 6 17 2" xfId="30715"/>
    <cellStyle name="Normal 4 5 6 18" xfId="7323"/>
    <cellStyle name="Normal 4 5 6 18 2" xfId="23485"/>
    <cellStyle name="Normal 4 5 6 2" xfId="3444"/>
    <cellStyle name="Normal 4 5 6 2 2" xfId="7324"/>
    <cellStyle name="Normal 4 5 6 2 2 2" xfId="23486"/>
    <cellStyle name="Normal 4 5 6 3" xfId="2641"/>
    <cellStyle name="Normal 4 5 6 3 2" xfId="6534"/>
    <cellStyle name="Normal 4 5 6 3 2 2" xfId="22696"/>
    <cellStyle name="Normal 4 5 6 4" xfId="710"/>
    <cellStyle name="Normal 4 5 6 4 2" xfId="4639"/>
    <cellStyle name="Normal 4 5 6 4 2 2" xfId="20801"/>
    <cellStyle name="Normal 4 5 6 5" xfId="1104"/>
    <cellStyle name="Normal 4 5 6 5 2" xfId="5025"/>
    <cellStyle name="Normal 4 5 6 5 2 2" xfId="21187"/>
    <cellStyle name="Normal 4 5 6 6" xfId="1106"/>
    <cellStyle name="Normal 4 5 6 6 2" xfId="5027"/>
    <cellStyle name="Normal 4 5 6 6 2 2" xfId="21189"/>
    <cellStyle name="Normal 4 5 6 7" xfId="1112"/>
    <cellStyle name="Normal 4 5 6 7 2" xfId="5032"/>
    <cellStyle name="Normal 4 5 6 7 2 2" xfId="21194"/>
    <cellStyle name="Normal 4 5 6 8" xfId="1118"/>
    <cellStyle name="Normal 4 5 6 8 2" xfId="5038"/>
    <cellStyle name="Normal 4 5 6 8 2 2" xfId="21200"/>
    <cellStyle name="Normal 4 5 6 9" xfId="14584"/>
    <cellStyle name="Normal 4 5 6 9 2" xfId="30716"/>
    <cellStyle name="Normal 4 5 7" xfId="3445"/>
    <cellStyle name="Normal 4 5 7 10" xfId="14585"/>
    <cellStyle name="Normal 4 5 7 10 2" xfId="30717"/>
    <cellStyle name="Normal 4 5 7 11" xfId="14586"/>
    <cellStyle name="Normal 4 5 7 11 2" xfId="30718"/>
    <cellStyle name="Normal 4 5 7 12" xfId="14587"/>
    <cellStyle name="Normal 4 5 7 12 2" xfId="30719"/>
    <cellStyle name="Normal 4 5 7 13" xfId="14588"/>
    <cellStyle name="Normal 4 5 7 13 2" xfId="30720"/>
    <cellStyle name="Normal 4 5 7 14" xfId="14589"/>
    <cellStyle name="Normal 4 5 7 14 2" xfId="30721"/>
    <cellStyle name="Normal 4 5 7 15" xfId="14590"/>
    <cellStyle name="Normal 4 5 7 15 2" xfId="30722"/>
    <cellStyle name="Normal 4 5 7 16" xfId="14591"/>
    <cellStyle name="Normal 4 5 7 16 2" xfId="30723"/>
    <cellStyle name="Normal 4 5 7 17" xfId="14592"/>
    <cellStyle name="Normal 4 5 7 17 2" xfId="30724"/>
    <cellStyle name="Normal 4 5 7 18" xfId="7325"/>
    <cellStyle name="Normal 4 5 7 18 2" xfId="23487"/>
    <cellStyle name="Normal 4 5 7 2" xfId="3446"/>
    <cellStyle name="Normal 4 5 7 2 2" xfId="7326"/>
    <cellStyle name="Normal 4 5 7 2 2 2" xfId="23488"/>
    <cellStyle name="Normal 4 5 7 3" xfId="3447"/>
    <cellStyle name="Normal 4 5 7 3 2" xfId="7327"/>
    <cellStyle name="Normal 4 5 7 3 2 2" xfId="23489"/>
    <cellStyle name="Normal 4 5 7 4" xfId="1132"/>
    <cellStyle name="Normal 4 5 7 4 2" xfId="5053"/>
    <cellStyle name="Normal 4 5 7 4 2 2" xfId="21215"/>
    <cellStyle name="Normal 4 5 7 5" xfId="1134"/>
    <cellStyle name="Normal 4 5 7 5 2" xfId="5055"/>
    <cellStyle name="Normal 4 5 7 5 2 2" xfId="21217"/>
    <cellStyle name="Normal 4 5 7 6" xfId="270"/>
    <cellStyle name="Normal 4 5 7 6 2" xfId="4221"/>
    <cellStyle name="Normal 4 5 7 6 2 2" xfId="20384"/>
    <cellStyle name="Normal 4 5 7 7" xfId="277"/>
    <cellStyle name="Normal 4 5 7 7 2" xfId="4227"/>
    <cellStyle name="Normal 4 5 7 7 2 2" xfId="20390"/>
    <cellStyle name="Normal 4 5 7 8" xfId="1139"/>
    <cellStyle name="Normal 4 5 7 8 2" xfId="5059"/>
    <cellStyle name="Normal 4 5 7 8 2 2" xfId="21221"/>
    <cellStyle name="Normal 4 5 7 9" xfId="14593"/>
    <cellStyle name="Normal 4 5 7 9 2" xfId="30725"/>
    <cellStyle name="Normal 4 5 8" xfId="3448"/>
    <cellStyle name="Normal 4 5 8 10" xfId="14594"/>
    <cellStyle name="Normal 4 5 8 10 2" xfId="30726"/>
    <cellStyle name="Normal 4 5 8 11" xfId="14595"/>
    <cellStyle name="Normal 4 5 8 11 2" xfId="30727"/>
    <cellStyle name="Normal 4 5 8 12" xfId="14596"/>
    <cellStyle name="Normal 4 5 8 12 2" xfId="30728"/>
    <cellStyle name="Normal 4 5 8 13" xfId="14597"/>
    <cellStyle name="Normal 4 5 8 13 2" xfId="30729"/>
    <cellStyle name="Normal 4 5 8 14" xfId="14598"/>
    <cellStyle name="Normal 4 5 8 14 2" xfId="30730"/>
    <cellStyle name="Normal 4 5 8 15" xfId="14599"/>
    <cellStyle name="Normal 4 5 8 15 2" xfId="30731"/>
    <cellStyle name="Normal 4 5 8 16" xfId="14600"/>
    <cellStyle name="Normal 4 5 8 16 2" xfId="30732"/>
    <cellStyle name="Normal 4 5 8 17" xfId="14601"/>
    <cellStyle name="Normal 4 5 8 17 2" xfId="30733"/>
    <cellStyle name="Normal 4 5 8 18" xfId="7328"/>
    <cellStyle name="Normal 4 5 8 18 2" xfId="23490"/>
    <cellStyle name="Normal 4 5 8 2" xfId="3449"/>
    <cellStyle name="Normal 4 5 8 2 2" xfId="7329"/>
    <cellStyle name="Normal 4 5 8 2 2 2" xfId="23491"/>
    <cellStyle name="Normal 4 5 8 3" xfId="3450"/>
    <cellStyle name="Normal 4 5 8 3 2" xfId="7330"/>
    <cellStyle name="Normal 4 5 8 3 2 2" xfId="23492"/>
    <cellStyle name="Normal 4 5 8 4" xfId="1145"/>
    <cellStyle name="Normal 4 5 8 4 2" xfId="5066"/>
    <cellStyle name="Normal 4 5 8 4 2 2" xfId="21228"/>
    <cellStyle name="Normal 4 5 8 5" xfId="108"/>
    <cellStyle name="Normal 4 5 8 5 2" xfId="4056"/>
    <cellStyle name="Normal 4 5 8 5 2 2" xfId="20219"/>
    <cellStyle name="Normal 4 5 8 6" xfId="168"/>
    <cellStyle name="Normal 4 5 8 6 2" xfId="4101"/>
    <cellStyle name="Normal 4 5 8 6 2 2" xfId="20264"/>
    <cellStyle name="Normal 4 5 8 7" xfId="185"/>
    <cellStyle name="Normal 4 5 8 7 2" xfId="4116"/>
    <cellStyle name="Normal 4 5 8 7 2 2" xfId="20279"/>
    <cellStyle name="Normal 4 5 8 8" xfId="193"/>
    <cellStyle name="Normal 4 5 8 8 2" xfId="4127"/>
    <cellStyle name="Normal 4 5 8 8 2 2" xfId="20290"/>
    <cellStyle name="Normal 4 5 8 9" xfId="14602"/>
    <cellStyle name="Normal 4 5 8 9 2" xfId="30734"/>
    <cellStyle name="Normal 4 5 9" xfId="3451"/>
    <cellStyle name="Normal 4 5 9 10" xfId="14603"/>
    <cellStyle name="Normal 4 5 9 10 2" xfId="30735"/>
    <cellStyle name="Normal 4 5 9 11" xfId="14604"/>
    <cellStyle name="Normal 4 5 9 11 2" xfId="30736"/>
    <cellStyle name="Normal 4 5 9 12" xfId="14605"/>
    <cellStyle name="Normal 4 5 9 12 2" xfId="30737"/>
    <cellStyle name="Normal 4 5 9 13" xfId="14606"/>
    <cellStyle name="Normal 4 5 9 13 2" xfId="30738"/>
    <cellStyle name="Normal 4 5 9 14" xfId="14607"/>
    <cellStyle name="Normal 4 5 9 14 2" xfId="30739"/>
    <cellStyle name="Normal 4 5 9 15" xfId="14608"/>
    <cellStyle name="Normal 4 5 9 15 2" xfId="30740"/>
    <cellStyle name="Normal 4 5 9 16" xfId="14609"/>
    <cellStyle name="Normal 4 5 9 16 2" xfId="30741"/>
    <cellStyle name="Normal 4 5 9 17" xfId="14610"/>
    <cellStyle name="Normal 4 5 9 17 2" xfId="30742"/>
    <cellStyle name="Normal 4 5 9 18" xfId="7331"/>
    <cellStyle name="Normal 4 5 9 18 2" xfId="23493"/>
    <cellStyle name="Normal 4 5 9 2" xfId="3452"/>
    <cellStyle name="Normal 4 5 9 2 2" xfId="7332"/>
    <cellStyle name="Normal 4 5 9 2 2 2" xfId="23494"/>
    <cellStyle name="Normal 4 5 9 3" xfId="3453"/>
    <cellStyle name="Normal 4 5 9 3 2" xfId="7333"/>
    <cellStyle name="Normal 4 5 9 3 2 2" xfId="23495"/>
    <cellStyle name="Normal 4 5 9 4" xfId="3454"/>
    <cellStyle name="Normal 4 5 9 4 2" xfId="7334"/>
    <cellStyle name="Normal 4 5 9 4 2 2" xfId="23496"/>
    <cellStyle name="Normal 4 5 9 5" xfId="3455"/>
    <cellStyle name="Normal 4 5 9 5 2" xfId="7335"/>
    <cellStyle name="Normal 4 5 9 5 2 2" xfId="23497"/>
    <cellStyle name="Normal 4 5 9 6" xfId="3456"/>
    <cellStyle name="Normal 4 5 9 6 2" xfId="7336"/>
    <cellStyle name="Normal 4 5 9 6 2 2" xfId="23498"/>
    <cellStyle name="Normal 4 5 9 7" xfId="3457"/>
    <cellStyle name="Normal 4 5 9 7 2" xfId="7337"/>
    <cellStyle name="Normal 4 5 9 7 2 2" xfId="23499"/>
    <cellStyle name="Normal 4 5 9 8" xfId="3458"/>
    <cellStyle name="Normal 4 5 9 8 2" xfId="7338"/>
    <cellStyle name="Normal 4 5 9 8 2 2" xfId="23500"/>
    <cellStyle name="Normal 4 5 9 9" xfId="14611"/>
    <cellStyle name="Normal 4 5 9 9 2" xfId="30743"/>
    <cellStyle name="Normal 4 5_2bhk_19122016" xfId="14612"/>
    <cellStyle name="Normal 4 6" xfId="2627"/>
    <cellStyle name="Normal 4 6 10" xfId="14613"/>
    <cellStyle name="Normal 4 6 10 2" xfId="30744"/>
    <cellStyle name="Normal 4 6 11" xfId="14614"/>
    <cellStyle name="Normal 4 6 11 2" xfId="30745"/>
    <cellStyle name="Normal 4 6 12" xfId="14615"/>
    <cellStyle name="Normal 4 6 12 2" xfId="30746"/>
    <cellStyle name="Normal 4 6 13" xfId="14616"/>
    <cellStyle name="Normal 4 6 13 2" xfId="30747"/>
    <cellStyle name="Normal 4 6 14" xfId="14617"/>
    <cellStyle name="Normal 4 6 14 2" xfId="30748"/>
    <cellStyle name="Normal 4 6 15" xfId="14618"/>
    <cellStyle name="Normal 4 6 15 2" xfId="30749"/>
    <cellStyle name="Normal 4 6 16" xfId="14619"/>
    <cellStyle name="Normal 4 6 16 2" xfId="30750"/>
    <cellStyle name="Normal 4 6 17" xfId="14620"/>
    <cellStyle name="Normal 4 6 17 2" xfId="30751"/>
    <cellStyle name="Normal 4 6 18" xfId="6521"/>
    <cellStyle name="Normal 4 6 18 2" xfId="22683"/>
    <cellStyle name="Normal 4 6 2" xfId="3460"/>
    <cellStyle name="Normal 4 6 2 2" xfId="7340"/>
    <cellStyle name="Normal 4 6 2 2 2" xfId="23502"/>
    <cellStyle name="Normal 4 6 3" xfId="3461"/>
    <cellStyle name="Normal 4 6 3 2" xfId="7341"/>
    <cellStyle name="Normal 4 6 3 2 2" xfId="23503"/>
    <cellStyle name="Normal 4 6 4" xfId="3462"/>
    <cellStyle name="Normal 4 6 4 2" xfId="7342"/>
    <cellStyle name="Normal 4 6 4 2 2" xfId="23504"/>
    <cellStyle name="Normal 4 6 5" xfId="3463"/>
    <cellStyle name="Normal 4 6 5 2" xfId="7343"/>
    <cellStyle name="Normal 4 6 5 2 2" xfId="23505"/>
    <cellStyle name="Normal 4 6 6" xfId="3464"/>
    <cellStyle name="Normal 4 6 6 2" xfId="7344"/>
    <cellStyle name="Normal 4 6 6 2 2" xfId="23506"/>
    <cellStyle name="Normal 4 6 7" xfId="1149"/>
    <cellStyle name="Normal 4 6 7 2" xfId="5068"/>
    <cellStyle name="Normal 4 6 7 2 2" xfId="21230"/>
    <cellStyle name="Normal 4 6 8" xfId="3465"/>
    <cellStyle name="Normal 4 6 8 2" xfId="7345"/>
    <cellStyle name="Normal 4 6 8 2 2" xfId="23507"/>
    <cellStyle name="Normal 4 6 9" xfId="14621"/>
    <cellStyle name="Normal 4 6 9 2" xfId="30752"/>
    <cellStyle name="Normal 4 7" xfId="2629"/>
    <cellStyle name="Normal 4 7 2" xfId="14622"/>
    <cellStyle name="Normal 4 7 2 2" xfId="30753"/>
    <cellStyle name="Normal 4 7 3" xfId="6523"/>
    <cellStyle name="Normal 4 7 3 2" xfId="22685"/>
    <cellStyle name="Normal 4 8" xfId="2631"/>
    <cellStyle name="Normal 4 8 2" xfId="6526"/>
    <cellStyle name="Normal 4 8 2 2" xfId="22688"/>
    <cellStyle name="Normal 4 9" xfId="3119"/>
    <cellStyle name="Normal 4 9 2" xfId="7004"/>
    <cellStyle name="Normal 4 9 2 2" xfId="23166"/>
    <cellStyle name="Normal 4_2bhk_19122016" xfId="14623"/>
    <cellStyle name="Normal 40" xfId="2914"/>
    <cellStyle name="Normal 40 2" xfId="14624"/>
    <cellStyle name="Normal 40 2 2" xfId="30754"/>
    <cellStyle name="Normal 40 3" xfId="6801"/>
    <cellStyle name="Normal 40 3 2" xfId="22963"/>
    <cellStyle name="Normal 41" xfId="2917"/>
    <cellStyle name="Normal 41 2" xfId="6804"/>
    <cellStyle name="Normal 41 2 2" xfId="22966"/>
    <cellStyle name="Normal 42" xfId="2920"/>
    <cellStyle name="Normal 42 2" xfId="6807"/>
    <cellStyle name="Normal 42 2 2" xfId="22969"/>
    <cellStyle name="Normal 43" xfId="2936"/>
    <cellStyle name="Normal 43 2" xfId="14625"/>
    <cellStyle name="Normal 43 2 2" xfId="14626"/>
    <cellStyle name="Normal 43 2 2 2" xfId="14627"/>
    <cellStyle name="Normal 43 2 2 2 2" xfId="30757"/>
    <cellStyle name="Normal 43 2 2 3" xfId="30756"/>
    <cellStyle name="Normal 43 2 3" xfId="14628"/>
    <cellStyle name="Normal 43 2 3 2" xfId="30758"/>
    <cellStyle name="Normal 43 2 4" xfId="30755"/>
    <cellStyle name="Normal 43 3" xfId="14629"/>
    <cellStyle name="Normal 43 3 2" xfId="14630"/>
    <cellStyle name="Normal 43 3 2 2" xfId="30760"/>
    <cellStyle name="Normal 43 3 3" xfId="30759"/>
    <cellStyle name="Normal 43 4" xfId="14631"/>
    <cellStyle name="Normal 43 4 2" xfId="14632"/>
    <cellStyle name="Normal 43 4 2 2" xfId="30762"/>
    <cellStyle name="Normal 43 4 3" xfId="30761"/>
    <cellStyle name="Normal 43 5" xfId="14633"/>
    <cellStyle name="Normal 43 5 2" xfId="30763"/>
    <cellStyle name="Normal 43 6" xfId="6823"/>
    <cellStyle name="Normal 43 6 2" xfId="22985"/>
    <cellStyle name="Normal 44" xfId="2938"/>
    <cellStyle name="Normal 44 2" xfId="14634"/>
    <cellStyle name="Normal 44 2 2" xfId="3771"/>
    <cellStyle name="Normal 44 2 2 2" xfId="7824"/>
    <cellStyle name="Normal 44 2 2 2 2" xfId="23986"/>
    <cellStyle name="Normal 44 2 2 3" xfId="20074"/>
    <cellStyle name="Normal 44 2 3" xfId="14635"/>
    <cellStyle name="Normal 44 2 3 2" xfId="30765"/>
    <cellStyle name="Normal 44 2 4" xfId="14636"/>
    <cellStyle name="Normal 44 2 4 2" xfId="30766"/>
    <cellStyle name="Normal 44 2 5" xfId="30764"/>
    <cellStyle name="Normal 44 3" xfId="14637"/>
    <cellStyle name="Normal 44 3 2" xfId="30767"/>
    <cellStyle name="Normal 44 4" xfId="6825"/>
    <cellStyle name="Normal 44 4 2" xfId="22987"/>
    <cellStyle name="Normal 45" xfId="3467"/>
    <cellStyle name="Normal 45 10" xfId="14638"/>
    <cellStyle name="Normal 45 10 2" xfId="30768"/>
    <cellStyle name="Normal 45 11" xfId="14639"/>
    <cellStyle name="Normal 45 11 2" xfId="30769"/>
    <cellStyle name="Normal 45 12" xfId="14640"/>
    <cellStyle name="Normal 45 12 2" xfId="30770"/>
    <cellStyle name="Normal 45 13" xfId="7346"/>
    <cellStyle name="Normal 45 13 2" xfId="23508"/>
    <cellStyle name="Normal 45 14" xfId="19976"/>
    <cellStyle name="Normal 45 2" xfId="717"/>
    <cellStyle name="Normal 45 2 10" xfId="14641"/>
    <cellStyle name="Normal 45 2 10 2" xfId="30771"/>
    <cellStyle name="Normal 45 2 11" xfId="4646"/>
    <cellStyle name="Normal 45 2 11 2" xfId="20808"/>
    <cellStyle name="Normal 45 2 12" xfId="19166"/>
    <cellStyle name="Normal 45 2 2" xfId="14642"/>
    <cellStyle name="Normal 45 2 2 2" xfId="30772"/>
    <cellStyle name="Normal 45 2 3" xfId="14643"/>
    <cellStyle name="Normal 45 2 3 2" xfId="30773"/>
    <cellStyle name="Normal 45 2 4" xfId="14644"/>
    <cellStyle name="Normal 45 2 4 2" xfId="30774"/>
    <cellStyle name="Normal 45 2 5" xfId="14645"/>
    <cellStyle name="Normal 45 2 5 2" xfId="30775"/>
    <cellStyle name="Normal 45 2 6" xfId="14646"/>
    <cellStyle name="Normal 45 2 6 2" xfId="30776"/>
    <cellStyle name="Normal 45 2 7" xfId="14647"/>
    <cellStyle name="Normal 45 2 7 2" xfId="30777"/>
    <cellStyle name="Normal 45 2 8" xfId="14648"/>
    <cellStyle name="Normal 45 2 8 2" xfId="30778"/>
    <cellStyle name="Normal 45 2 9" xfId="14649"/>
    <cellStyle name="Normal 45 2 9 2" xfId="30779"/>
    <cellStyle name="Normal 45 3" xfId="2695"/>
    <cellStyle name="Normal 45 3 10" xfId="14650"/>
    <cellStyle name="Normal 45 3 10 2" xfId="30780"/>
    <cellStyle name="Normal 45 3 11" xfId="6588"/>
    <cellStyle name="Normal 45 3 11 2" xfId="22750"/>
    <cellStyle name="Normal 45 3 12" xfId="19696"/>
    <cellStyle name="Normal 45 3 2" xfId="14651"/>
    <cellStyle name="Normal 45 3 2 2" xfId="30781"/>
    <cellStyle name="Normal 45 3 3" xfId="14652"/>
    <cellStyle name="Normal 45 3 3 2" xfId="30782"/>
    <cellStyle name="Normal 45 3 4" xfId="14653"/>
    <cellStyle name="Normal 45 3 4 2" xfId="30783"/>
    <cellStyle name="Normal 45 3 5" xfId="14654"/>
    <cellStyle name="Normal 45 3 5 2" xfId="30784"/>
    <cellStyle name="Normal 45 3 6" xfId="14655"/>
    <cellStyle name="Normal 45 3 6 2" xfId="30785"/>
    <cellStyle name="Normal 45 3 7" xfId="14656"/>
    <cellStyle name="Normal 45 3 7 2" xfId="30786"/>
    <cellStyle name="Normal 45 3 8" xfId="14657"/>
    <cellStyle name="Normal 45 3 8 2" xfId="30787"/>
    <cellStyle name="Normal 45 3 9" xfId="14658"/>
    <cellStyle name="Normal 45 3 9 2" xfId="30788"/>
    <cellStyle name="Normal 45 4" xfId="14659"/>
    <cellStyle name="Normal 45 4 2" xfId="30789"/>
    <cellStyle name="Normal 45 5" xfId="14660"/>
    <cellStyle name="Normal 45 5 2" xfId="30790"/>
    <cellStyle name="Normal 45 6" xfId="14661"/>
    <cellStyle name="Normal 45 6 2" xfId="30791"/>
    <cellStyle name="Normal 45 7" xfId="14662"/>
    <cellStyle name="Normal 45 7 2" xfId="30792"/>
    <cellStyle name="Normal 45 8" xfId="14663"/>
    <cellStyle name="Normal 45 8 2" xfId="30793"/>
    <cellStyle name="Normal 45 9" xfId="14664"/>
    <cellStyle name="Normal 45 9 2" xfId="30794"/>
    <cellStyle name="Normal 46" xfId="3469"/>
    <cellStyle name="Normal 46 2" xfId="14665"/>
    <cellStyle name="Normal 46 2 2" xfId="30795"/>
    <cellStyle name="Normal 46 3" xfId="7348"/>
    <cellStyle name="Normal 46 3 2" xfId="23510"/>
    <cellStyle name="Normal 47" xfId="3472"/>
    <cellStyle name="Normal 47 10" xfId="14666"/>
    <cellStyle name="Normal 47 10 2" xfId="30796"/>
    <cellStyle name="Normal 47 11" xfId="14667"/>
    <cellStyle name="Normal 47 11 2" xfId="30797"/>
    <cellStyle name="Normal 47 12" xfId="14668"/>
    <cellStyle name="Normal 47 12 2" xfId="30798"/>
    <cellStyle name="Normal 47 13" xfId="7350"/>
    <cellStyle name="Normal 47 13 2" xfId="23512"/>
    <cellStyle name="Normal 47 14" xfId="19977"/>
    <cellStyle name="Normal 47 2" xfId="2709"/>
    <cellStyle name="Normal 47 2 10" xfId="14669"/>
    <cellStyle name="Normal 47 2 10 2" xfId="30799"/>
    <cellStyle name="Normal 47 2 11" xfId="6602"/>
    <cellStyle name="Normal 47 2 11 2" xfId="22764"/>
    <cellStyle name="Normal 47 2 12" xfId="19698"/>
    <cellStyle name="Normal 47 2 2" xfId="14670"/>
    <cellStyle name="Normal 47 2 2 2" xfId="30800"/>
    <cellStyle name="Normal 47 2 3" xfId="14671"/>
    <cellStyle name="Normal 47 2 3 2" xfId="30801"/>
    <cellStyle name="Normal 47 2 4" xfId="14672"/>
    <cellStyle name="Normal 47 2 4 2" xfId="30802"/>
    <cellStyle name="Normal 47 2 5" xfId="14673"/>
    <cellStyle name="Normal 47 2 5 2" xfId="30803"/>
    <cellStyle name="Normal 47 2 6" xfId="14674"/>
    <cellStyle name="Normal 47 2 6 2" xfId="30804"/>
    <cellStyle name="Normal 47 2 7" xfId="14675"/>
    <cellStyle name="Normal 47 2 7 2" xfId="30805"/>
    <cellStyle name="Normal 47 2 8" xfId="14676"/>
    <cellStyle name="Normal 47 2 8 2" xfId="30806"/>
    <cellStyle name="Normal 47 2 9" xfId="14677"/>
    <cellStyle name="Normal 47 2 9 2" xfId="30807"/>
    <cellStyle name="Normal 47 3" xfId="2711"/>
    <cellStyle name="Normal 47 3 10" xfId="14678"/>
    <cellStyle name="Normal 47 3 10 2" xfId="30808"/>
    <cellStyle name="Normal 47 3 11" xfId="6604"/>
    <cellStyle name="Normal 47 3 11 2" xfId="22766"/>
    <cellStyle name="Normal 47 3 12" xfId="19699"/>
    <cellStyle name="Normal 47 3 2" xfId="14679"/>
    <cellStyle name="Normal 47 3 2 2" xfId="30809"/>
    <cellStyle name="Normal 47 3 3" xfId="14680"/>
    <cellStyle name="Normal 47 3 3 2" xfId="30810"/>
    <cellStyle name="Normal 47 3 4" xfId="14681"/>
    <cellStyle name="Normal 47 3 4 2" xfId="30811"/>
    <cellStyle name="Normal 47 3 5" xfId="14682"/>
    <cellStyle name="Normal 47 3 5 2" xfId="30812"/>
    <cellStyle name="Normal 47 3 6" xfId="14683"/>
    <cellStyle name="Normal 47 3 6 2" xfId="30813"/>
    <cellStyle name="Normal 47 3 7" xfId="14684"/>
    <cellStyle name="Normal 47 3 7 2" xfId="30814"/>
    <cellStyle name="Normal 47 3 8" xfId="14685"/>
    <cellStyle name="Normal 47 3 8 2" xfId="30815"/>
    <cellStyle name="Normal 47 3 9" xfId="14686"/>
    <cellStyle name="Normal 47 3 9 2" xfId="30816"/>
    <cellStyle name="Normal 47 4" xfId="14687"/>
    <cellStyle name="Normal 47 4 2" xfId="30817"/>
    <cellStyle name="Normal 47 5" xfId="14688"/>
    <cellStyle name="Normal 47 5 2" xfId="30818"/>
    <cellStyle name="Normal 47 6" xfId="14689"/>
    <cellStyle name="Normal 47 6 2" xfId="30819"/>
    <cellStyle name="Normal 47 7" xfId="14690"/>
    <cellStyle name="Normal 47 7 2" xfId="30820"/>
    <cellStyle name="Normal 47 8" xfId="14691"/>
    <cellStyle name="Normal 47 8 2" xfId="30821"/>
    <cellStyle name="Normal 47 9" xfId="14692"/>
    <cellStyle name="Normal 47 9 2" xfId="30822"/>
    <cellStyle name="Normal 48" xfId="3474"/>
    <cellStyle name="Normal 48 2" xfId="14693"/>
    <cellStyle name="Normal 48 2 2" xfId="30823"/>
    <cellStyle name="Normal 48 3" xfId="7352"/>
    <cellStyle name="Normal 48 3 2" xfId="23514"/>
    <cellStyle name="Normal 49" xfId="799"/>
    <cellStyle name="Normal 49 2" xfId="14694"/>
    <cellStyle name="Normal 49 2 2" xfId="30824"/>
    <cellStyle name="Normal 49 3" xfId="4725"/>
    <cellStyle name="Normal 49 3 2" xfId="20887"/>
    <cellStyle name="Normal 49 4" xfId="19189"/>
    <cellStyle name="Normal 5" xfId="1055"/>
    <cellStyle name="Normal 5 10" xfId="3475"/>
    <cellStyle name="Normal 5 10 10" xfId="14695"/>
    <cellStyle name="Normal 5 10 10 2" xfId="30825"/>
    <cellStyle name="Normal 5 10 11" xfId="14696"/>
    <cellStyle name="Normal 5 10 11 2" xfId="30826"/>
    <cellStyle name="Normal 5 10 12" xfId="14697"/>
    <cellStyle name="Normal 5 10 12 2" xfId="30827"/>
    <cellStyle name="Normal 5 10 13" xfId="14698"/>
    <cellStyle name="Normal 5 10 13 2" xfId="30828"/>
    <cellStyle name="Normal 5 10 14" xfId="14699"/>
    <cellStyle name="Normal 5 10 14 2" xfId="30829"/>
    <cellStyle name="Normal 5 10 15" xfId="14700"/>
    <cellStyle name="Normal 5 10 15 2" xfId="30830"/>
    <cellStyle name="Normal 5 10 16" xfId="14701"/>
    <cellStyle name="Normal 5 10 16 2" xfId="30831"/>
    <cellStyle name="Normal 5 10 17" xfId="14702"/>
    <cellStyle name="Normal 5 10 17 2" xfId="30832"/>
    <cellStyle name="Normal 5 10 18" xfId="7354"/>
    <cellStyle name="Normal 5 10 18 2" xfId="23516"/>
    <cellStyle name="Normal 5 10 2" xfId="268"/>
    <cellStyle name="Normal 5 10 2 2" xfId="4215"/>
    <cellStyle name="Normal 5 10 2 2 2" xfId="20378"/>
    <cellStyle name="Normal 5 10 3" xfId="286"/>
    <cellStyle name="Normal 5 10 3 2" xfId="4232"/>
    <cellStyle name="Normal 5 10 3 2 2" xfId="20395"/>
    <cellStyle name="Normal 5 10 4" xfId="3476"/>
    <cellStyle name="Normal 5 10 4 2" xfId="7355"/>
    <cellStyle name="Normal 5 10 4 2 2" xfId="23517"/>
    <cellStyle name="Normal 5 10 5" xfId="3477"/>
    <cellStyle name="Normal 5 10 5 2" xfId="7356"/>
    <cellStyle name="Normal 5 10 5 2 2" xfId="23518"/>
    <cellStyle name="Normal 5 10 6" xfId="3478"/>
    <cellStyle name="Normal 5 10 6 2" xfId="7357"/>
    <cellStyle name="Normal 5 10 6 2 2" xfId="23519"/>
    <cellStyle name="Normal 5 10 7" xfId="2994"/>
    <cellStyle name="Normal 5 10 7 2" xfId="6881"/>
    <cellStyle name="Normal 5 10 7 2 2" xfId="23043"/>
    <cellStyle name="Normal 5 10 8" xfId="2996"/>
    <cellStyle name="Normal 5 10 8 2" xfId="6883"/>
    <cellStyle name="Normal 5 10 8 2 2" xfId="23045"/>
    <cellStyle name="Normal 5 10 9" xfId="14703"/>
    <cellStyle name="Normal 5 10 9 2" xfId="30833"/>
    <cellStyle name="Normal 5 11" xfId="3479"/>
    <cellStyle name="Normal 5 11 10" xfId="14704"/>
    <cellStyle name="Normal 5 11 10 2" xfId="30834"/>
    <cellStyle name="Normal 5 11 11" xfId="14705"/>
    <cellStyle name="Normal 5 11 11 2" xfId="30835"/>
    <cellStyle name="Normal 5 11 12" xfId="14706"/>
    <cellStyle name="Normal 5 11 12 2" xfId="30836"/>
    <cellStyle name="Normal 5 11 13" xfId="14707"/>
    <cellStyle name="Normal 5 11 13 2" xfId="30837"/>
    <cellStyle name="Normal 5 11 14" xfId="14708"/>
    <cellStyle name="Normal 5 11 14 2" xfId="30838"/>
    <cellStyle name="Normal 5 11 15" xfId="14709"/>
    <cellStyle name="Normal 5 11 15 2" xfId="30839"/>
    <cellStyle name="Normal 5 11 16" xfId="14710"/>
    <cellStyle name="Normal 5 11 16 2" xfId="30840"/>
    <cellStyle name="Normal 5 11 17" xfId="14711"/>
    <cellStyle name="Normal 5 11 17 2" xfId="30841"/>
    <cellStyle name="Normal 5 11 18" xfId="7358"/>
    <cellStyle name="Normal 5 11 18 2" xfId="23520"/>
    <cellStyle name="Normal 5 11 2" xfId="293"/>
    <cellStyle name="Normal 5 11 2 2" xfId="4243"/>
    <cellStyle name="Normal 5 11 2 2 2" xfId="20406"/>
    <cellStyle name="Normal 5 11 3" xfId="136"/>
    <cellStyle name="Normal 5 11 3 2" xfId="4070"/>
    <cellStyle name="Normal 5 11 3 2 2" xfId="20233"/>
    <cellStyle name="Normal 5 11 4" xfId="3480"/>
    <cellStyle name="Normal 5 11 4 2" xfId="7359"/>
    <cellStyle name="Normal 5 11 4 2 2" xfId="23521"/>
    <cellStyle name="Normal 5 11 5" xfId="3481"/>
    <cellStyle name="Normal 5 11 5 2" xfId="7360"/>
    <cellStyle name="Normal 5 11 5 2 2" xfId="23522"/>
    <cellStyle name="Normal 5 11 6" xfId="3482"/>
    <cellStyle name="Normal 5 11 6 2" xfId="7361"/>
    <cellStyle name="Normal 5 11 6 2 2" xfId="23523"/>
    <cellStyle name="Normal 5 11 7" xfId="2998"/>
    <cellStyle name="Normal 5 11 7 2" xfId="6885"/>
    <cellStyle name="Normal 5 11 7 2 2" xfId="23047"/>
    <cellStyle name="Normal 5 11 8" xfId="3000"/>
    <cellStyle name="Normal 5 11 8 2" xfId="6887"/>
    <cellStyle name="Normal 5 11 8 2 2" xfId="23049"/>
    <cellStyle name="Normal 5 11 9" xfId="14712"/>
    <cellStyle name="Normal 5 11 9 2" xfId="30842"/>
    <cellStyle name="Normal 5 12" xfId="3483"/>
    <cellStyle name="Normal 5 12 2" xfId="7362"/>
    <cellStyle name="Normal 5 12 2 2" xfId="23524"/>
    <cellStyle name="Normal 5 13" xfId="2375"/>
    <cellStyle name="Normal 5 13 2" xfId="6270"/>
    <cellStyle name="Normal 5 13 2 2" xfId="22432"/>
    <cellStyle name="Normal 5 14" xfId="3484"/>
    <cellStyle name="Normal 5 14 2" xfId="7363"/>
    <cellStyle name="Normal 5 14 2 2" xfId="23525"/>
    <cellStyle name="Normal 5 15" xfId="3485"/>
    <cellStyle name="Normal 5 15 2" xfId="7364"/>
    <cellStyle name="Normal 5 15 2 2" xfId="23526"/>
    <cellStyle name="Normal 5 16" xfId="3486"/>
    <cellStyle name="Normal 5 16 2" xfId="7365"/>
    <cellStyle name="Normal 5 16 2 2" xfId="23527"/>
    <cellStyle name="Normal 5 17" xfId="3487"/>
    <cellStyle name="Normal 5 17 2" xfId="7366"/>
    <cellStyle name="Normal 5 17 2 2" xfId="23528"/>
    <cellStyle name="Normal 5 18" xfId="3488"/>
    <cellStyle name="Normal 5 18 2" xfId="7367"/>
    <cellStyle name="Normal 5 18 2 2" xfId="23529"/>
    <cellStyle name="Normal 5 19" xfId="14713"/>
    <cellStyle name="Normal 5 19 2" xfId="30843"/>
    <cellStyle name="Normal 5 2" xfId="2537"/>
    <cellStyle name="Normal 5 2 10" xfId="421"/>
    <cellStyle name="Normal 5 2 10 10" xfId="14714"/>
    <cellStyle name="Normal 5 2 10 10 2" xfId="30844"/>
    <cellStyle name="Normal 5 2 10 11" xfId="14715"/>
    <cellStyle name="Normal 5 2 10 11 2" xfId="30845"/>
    <cellStyle name="Normal 5 2 10 12" xfId="14716"/>
    <cellStyle name="Normal 5 2 10 12 2" xfId="30846"/>
    <cellStyle name="Normal 5 2 10 13" xfId="14717"/>
    <cellStyle name="Normal 5 2 10 13 2" xfId="30847"/>
    <cellStyle name="Normal 5 2 10 14" xfId="14718"/>
    <cellStyle name="Normal 5 2 10 14 2" xfId="30848"/>
    <cellStyle name="Normal 5 2 10 15" xfId="14719"/>
    <cellStyle name="Normal 5 2 10 15 2" xfId="30849"/>
    <cellStyle name="Normal 5 2 10 16" xfId="14720"/>
    <cellStyle name="Normal 5 2 10 16 2" xfId="30850"/>
    <cellStyle name="Normal 5 2 10 17" xfId="14721"/>
    <cellStyle name="Normal 5 2 10 17 2" xfId="30851"/>
    <cellStyle name="Normal 5 2 10 18" xfId="4360"/>
    <cellStyle name="Normal 5 2 10 18 2" xfId="20523"/>
    <cellStyle name="Normal 5 2 10 19" xfId="19085"/>
    <cellStyle name="Normal 5 2 10 2" xfId="425"/>
    <cellStyle name="Normal 5 2 10 2 10" xfId="14722"/>
    <cellStyle name="Normal 5 2 10 2 10 2" xfId="30852"/>
    <cellStyle name="Normal 5 2 10 2 11" xfId="14723"/>
    <cellStyle name="Normal 5 2 10 2 11 2" xfId="30853"/>
    <cellStyle name="Normal 5 2 10 2 12" xfId="14724"/>
    <cellStyle name="Normal 5 2 10 2 12 2" xfId="30854"/>
    <cellStyle name="Normal 5 2 10 2 13" xfId="4365"/>
    <cellStyle name="Normal 5 2 10 2 13 2" xfId="20528"/>
    <cellStyle name="Normal 5 2 10 2 14" xfId="19086"/>
    <cellStyle name="Normal 5 2 10 2 2" xfId="3489"/>
    <cellStyle name="Normal 5 2 10 2 2 10" xfId="14725"/>
    <cellStyle name="Normal 5 2 10 2 2 10 2" xfId="30855"/>
    <cellStyle name="Normal 5 2 10 2 2 11" xfId="7368"/>
    <cellStyle name="Normal 5 2 10 2 2 11 2" xfId="23530"/>
    <cellStyle name="Normal 5 2 10 2 2 12" xfId="19979"/>
    <cellStyle name="Normal 5 2 10 2 2 2" xfId="14726"/>
    <cellStyle name="Normal 5 2 10 2 2 2 2" xfId="30856"/>
    <cellStyle name="Normal 5 2 10 2 2 3" xfId="14727"/>
    <cellStyle name="Normal 5 2 10 2 2 3 2" xfId="30857"/>
    <cellStyle name="Normal 5 2 10 2 2 4" xfId="14728"/>
    <cellStyle name="Normal 5 2 10 2 2 4 2" xfId="30858"/>
    <cellStyle name="Normal 5 2 10 2 2 5" xfId="14729"/>
    <cellStyle name="Normal 5 2 10 2 2 5 2" xfId="30859"/>
    <cellStyle name="Normal 5 2 10 2 2 6" xfId="14730"/>
    <cellStyle name="Normal 5 2 10 2 2 6 2" xfId="30860"/>
    <cellStyle name="Normal 5 2 10 2 2 7" xfId="14731"/>
    <cellStyle name="Normal 5 2 10 2 2 7 2" xfId="30861"/>
    <cellStyle name="Normal 5 2 10 2 2 8" xfId="14732"/>
    <cellStyle name="Normal 5 2 10 2 2 8 2" xfId="30862"/>
    <cellStyle name="Normal 5 2 10 2 2 9" xfId="14733"/>
    <cellStyle name="Normal 5 2 10 2 2 9 2" xfId="30863"/>
    <cellStyle name="Normal 5 2 10 2 3" xfId="3490"/>
    <cellStyle name="Normal 5 2 10 2 3 10" xfId="14734"/>
    <cellStyle name="Normal 5 2 10 2 3 10 2" xfId="30864"/>
    <cellStyle name="Normal 5 2 10 2 3 11" xfId="7369"/>
    <cellStyle name="Normal 5 2 10 2 3 11 2" xfId="23531"/>
    <cellStyle name="Normal 5 2 10 2 3 12" xfId="19980"/>
    <cellStyle name="Normal 5 2 10 2 3 2" xfId="14735"/>
    <cellStyle name="Normal 5 2 10 2 3 2 2" xfId="30865"/>
    <cellStyle name="Normal 5 2 10 2 3 3" xfId="14736"/>
    <cellStyle name="Normal 5 2 10 2 3 3 2" xfId="30866"/>
    <cellStyle name="Normal 5 2 10 2 3 4" xfId="14737"/>
    <cellStyle name="Normal 5 2 10 2 3 4 2" xfId="30867"/>
    <cellStyle name="Normal 5 2 10 2 3 5" xfId="14738"/>
    <cellStyle name="Normal 5 2 10 2 3 5 2" xfId="30868"/>
    <cellStyle name="Normal 5 2 10 2 3 6" xfId="14739"/>
    <cellStyle name="Normal 5 2 10 2 3 6 2" xfId="30869"/>
    <cellStyle name="Normal 5 2 10 2 3 7" xfId="14740"/>
    <cellStyle name="Normal 5 2 10 2 3 7 2" xfId="30870"/>
    <cellStyle name="Normal 5 2 10 2 3 8" xfId="14741"/>
    <cellStyle name="Normal 5 2 10 2 3 8 2" xfId="30871"/>
    <cellStyle name="Normal 5 2 10 2 3 9" xfId="14742"/>
    <cellStyle name="Normal 5 2 10 2 3 9 2" xfId="30872"/>
    <cellStyle name="Normal 5 2 10 2 4" xfId="14743"/>
    <cellStyle name="Normal 5 2 10 2 4 2" xfId="30873"/>
    <cellStyle name="Normal 5 2 10 2 5" xfId="14744"/>
    <cellStyle name="Normal 5 2 10 2 5 2" xfId="30874"/>
    <cellStyle name="Normal 5 2 10 2 6" xfId="14745"/>
    <cellStyle name="Normal 5 2 10 2 6 2" xfId="30875"/>
    <cellStyle name="Normal 5 2 10 2 7" xfId="14746"/>
    <cellStyle name="Normal 5 2 10 2 7 2" xfId="30876"/>
    <cellStyle name="Normal 5 2 10 2 8" xfId="14747"/>
    <cellStyle name="Normal 5 2 10 2 8 2" xfId="30877"/>
    <cellStyle name="Normal 5 2 10 2 9" xfId="14748"/>
    <cellStyle name="Normal 5 2 10 2 9 2" xfId="30878"/>
    <cellStyle name="Normal 5 2 10 3" xfId="387"/>
    <cellStyle name="Normal 5 2 10 3 10" xfId="14749"/>
    <cellStyle name="Normal 5 2 10 3 10 2" xfId="30879"/>
    <cellStyle name="Normal 5 2 10 3 11" xfId="14750"/>
    <cellStyle name="Normal 5 2 10 3 11 2" xfId="30880"/>
    <cellStyle name="Normal 5 2 10 3 12" xfId="14751"/>
    <cellStyle name="Normal 5 2 10 3 12 2" xfId="30881"/>
    <cellStyle name="Normal 5 2 10 3 13" xfId="4328"/>
    <cellStyle name="Normal 5 2 10 3 13 2" xfId="20491"/>
    <cellStyle name="Normal 5 2 10 3 14" xfId="19072"/>
    <cellStyle name="Normal 5 2 10 3 2" xfId="2570"/>
    <cellStyle name="Normal 5 2 10 3 2 10" xfId="14752"/>
    <cellStyle name="Normal 5 2 10 3 2 10 2" xfId="30882"/>
    <cellStyle name="Normal 5 2 10 3 2 11" xfId="6465"/>
    <cellStyle name="Normal 5 2 10 3 2 11 2" xfId="22627"/>
    <cellStyle name="Normal 5 2 10 3 2 12" xfId="19684"/>
    <cellStyle name="Normal 5 2 10 3 2 2" xfId="14753"/>
    <cellStyle name="Normal 5 2 10 3 2 2 2" xfId="30883"/>
    <cellStyle name="Normal 5 2 10 3 2 3" xfId="14754"/>
    <cellStyle name="Normal 5 2 10 3 2 3 2" xfId="30884"/>
    <cellStyle name="Normal 5 2 10 3 2 4" xfId="14755"/>
    <cellStyle name="Normal 5 2 10 3 2 4 2" xfId="30885"/>
    <cellStyle name="Normal 5 2 10 3 2 5" xfId="14756"/>
    <cellStyle name="Normal 5 2 10 3 2 5 2" xfId="30886"/>
    <cellStyle name="Normal 5 2 10 3 2 6" xfId="14757"/>
    <cellStyle name="Normal 5 2 10 3 2 6 2" xfId="30887"/>
    <cellStyle name="Normal 5 2 10 3 2 7" xfId="14758"/>
    <cellStyle name="Normal 5 2 10 3 2 7 2" xfId="30888"/>
    <cellStyle name="Normal 5 2 10 3 2 8" xfId="14759"/>
    <cellStyle name="Normal 5 2 10 3 2 8 2" xfId="30889"/>
    <cellStyle name="Normal 5 2 10 3 2 9" xfId="14760"/>
    <cellStyle name="Normal 5 2 10 3 2 9 2" xfId="30890"/>
    <cellStyle name="Normal 5 2 10 3 3" xfId="2572"/>
    <cellStyle name="Normal 5 2 10 3 3 10" xfId="14761"/>
    <cellStyle name="Normal 5 2 10 3 3 10 2" xfId="30891"/>
    <cellStyle name="Normal 5 2 10 3 3 11" xfId="6467"/>
    <cellStyle name="Normal 5 2 10 3 3 11 2" xfId="22629"/>
    <cellStyle name="Normal 5 2 10 3 3 12" xfId="19685"/>
    <cellStyle name="Normal 5 2 10 3 3 2" xfId="14762"/>
    <cellStyle name="Normal 5 2 10 3 3 2 2" xfId="30892"/>
    <cellStyle name="Normal 5 2 10 3 3 3" xfId="14763"/>
    <cellStyle name="Normal 5 2 10 3 3 3 2" xfId="30893"/>
    <cellStyle name="Normal 5 2 10 3 3 4" xfId="14764"/>
    <cellStyle name="Normal 5 2 10 3 3 4 2" xfId="30894"/>
    <cellStyle name="Normal 5 2 10 3 3 5" xfId="14765"/>
    <cellStyle name="Normal 5 2 10 3 3 5 2" xfId="30895"/>
    <cellStyle name="Normal 5 2 10 3 3 6" xfId="14766"/>
    <cellStyle name="Normal 5 2 10 3 3 6 2" xfId="30896"/>
    <cellStyle name="Normal 5 2 10 3 3 7" xfId="14767"/>
    <cellStyle name="Normal 5 2 10 3 3 7 2" xfId="30897"/>
    <cellStyle name="Normal 5 2 10 3 3 8" xfId="14768"/>
    <cellStyle name="Normal 5 2 10 3 3 8 2" xfId="30898"/>
    <cellStyle name="Normal 5 2 10 3 3 9" xfId="14769"/>
    <cellStyle name="Normal 5 2 10 3 3 9 2" xfId="30899"/>
    <cellStyle name="Normal 5 2 10 3 4" xfId="14770"/>
    <cellStyle name="Normal 5 2 10 3 4 2" xfId="30900"/>
    <cellStyle name="Normal 5 2 10 3 5" xfId="14771"/>
    <cellStyle name="Normal 5 2 10 3 5 2" xfId="30901"/>
    <cellStyle name="Normal 5 2 10 3 6" xfId="14772"/>
    <cellStyle name="Normal 5 2 10 3 6 2" xfId="30902"/>
    <cellStyle name="Normal 5 2 10 3 7" xfId="14773"/>
    <cellStyle name="Normal 5 2 10 3 7 2" xfId="30903"/>
    <cellStyle name="Normal 5 2 10 3 8" xfId="14774"/>
    <cellStyle name="Normal 5 2 10 3 8 2" xfId="30904"/>
    <cellStyle name="Normal 5 2 10 3 9" xfId="14775"/>
    <cellStyle name="Normal 5 2 10 3 9 2" xfId="30905"/>
    <cellStyle name="Normal 5 2 10 4" xfId="3491"/>
    <cellStyle name="Normal 5 2 10 4 10" xfId="14776"/>
    <cellStyle name="Normal 5 2 10 4 10 2" xfId="30906"/>
    <cellStyle name="Normal 5 2 10 4 11" xfId="14777"/>
    <cellStyle name="Normal 5 2 10 4 11 2" xfId="30907"/>
    <cellStyle name="Normal 5 2 10 4 12" xfId="14778"/>
    <cellStyle name="Normal 5 2 10 4 12 2" xfId="30908"/>
    <cellStyle name="Normal 5 2 10 4 13" xfId="7370"/>
    <cellStyle name="Normal 5 2 10 4 13 2" xfId="23532"/>
    <cellStyle name="Normal 5 2 10 4 14" xfId="19981"/>
    <cellStyle name="Normal 5 2 10 4 2" xfId="2579"/>
    <cellStyle name="Normal 5 2 10 4 2 10" xfId="14779"/>
    <cellStyle name="Normal 5 2 10 4 2 10 2" xfId="30909"/>
    <cellStyle name="Normal 5 2 10 4 2 11" xfId="6473"/>
    <cellStyle name="Normal 5 2 10 4 2 11 2" xfId="22635"/>
    <cellStyle name="Normal 5 2 10 4 2 12" xfId="19686"/>
    <cellStyle name="Normal 5 2 10 4 2 2" xfId="14780"/>
    <cellStyle name="Normal 5 2 10 4 2 2 2" xfId="30910"/>
    <cellStyle name="Normal 5 2 10 4 2 3" xfId="14781"/>
    <cellStyle name="Normal 5 2 10 4 2 3 2" xfId="30911"/>
    <cellStyle name="Normal 5 2 10 4 2 4" xfId="14782"/>
    <cellStyle name="Normal 5 2 10 4 2 4 2" xfId="30912"/>
    <cellStyle name="Normal 5 2 10 4 2 5" xfId="14783"/>
    <cellStyle name="Normal 5 2 10 4 2 5 2" xfId="30913"/>
    <cellStyle name="Normal 5 2 10 4 2 6" xfId="14784"/>
    <cellStyle name="Normal 5 2 10 4 2 6 2" xfId="30914"/>
    <cellStyle name="Normal 5 2 10 4 2 7" xfId="14785"/>
    <cellStyle name="Normal 5 2 10 4 2 7 2" xfId="30915"/>
    <cellStyle name="Normal 5 2 10 4 2 8" xfId="14786"/>
    <cellStyle name="Normal 5 2 10 4 2 8 2" xfId="30916"/>
    <cellStyle name="Normal 5 2 10 4 2 9" xfId="14787"/>
    <cellStyle name="Normal 5 2 10 4 2 9 2" xfId="30917"/>
    <cellStyle name="Normal 5 2 10 4 3" xfId="2581"/>
    <cellStyle name="Normal 5 2 10 4 3 10" xfId="14788"/>
    <cellStyle name="Normal 5 2 10 4 3 10 2" xfId="30918"/>
    <cellStyle name="Normal 5 2 10 4 3 11" xfId="6475"/>
    <cellStyle name="Normal 5 2 10 4 3 11 2" xfId="22637"/>
    <cellStyle name="Normal 5 2 10 4 3 12" xfId="19687"/>
    <cellStyle name="Normal 5 2 10 4 3 2" xfId="14789"/>
    <cellStyle name="Normal 5 2 10 4 3 2 2" xfId="30919"/>
    <cellStyle name="Normal 5 2 10 4 3 3" xfId="14790"/>
    <cellStyle name="Normal 5 2 10 4 3 3 2" xfId="30920"/>
    <cellStyle name="Normal 5 2 10 4 3 4" xfId="14791"/>
    <cellStyle name="Normal 5 2 10 4 3 4 2" xfId="30921"/>
    <cellStyle name="Normal 5 2 10 4 3 5" xfId="14792"/>
    <cellStyle name="Normal 5 2 10 4 3 5 2" xfId="30922"/>
    <cellStyle name="Normal 5 2 10 4 3 6" xfId="14793"/>
    <cellStyle name="Normal 5 2 10 4 3 6 2" xfId="30923"/>
    <cellStyle name="Normal 5 2 10 4 3 7" xfId="14794"/>
    <cellStyle name="Normal 5 2 10 4 3 7 2" xfId="30924"/>
    <cellStyle name="Normal 5 2 10 4 3 8" xfId="14795"/>
    <cellStyle name="Normal 5 2 10 4 3 8 2" xfId="30925"/>
    <cellStyle name="Normal 5 2 10 4 3 9" xfId="14796"/>
    <cellStyle name="Normal 5 2 10 4 3 9 2" xfId="30926"/>
    <cellStyle name="Normal 5 2 10 4 4" xfId="14797"/>
    <cellStyle name="Normal 5 2 10 4 4 2" xfId="30927"/>
    <cellStyle name="Normal 5 2 10 4 5" xfId="14798"/>
    <cellStyle name="Normal 5 2 10 4 5 2" xfId="30928"/>
    <cellStyle name="Normal 5 2 10 4 6" xfId="14799"/>
    <cellStyle name="Normal 5 2 10 4 6 2" xfId="30929"/>
    <cellStyle name="Normal 5 2 10 4 7" xfId="14800"/>
    <cellStyle name="Normal 5 2 10 4 7 2" xfId="30930"/>
    <cellStyle name="Normal 5 2 10 4 8" xfId="14801"/>
    <cellStyle name="Normal 5 2 10 4 8 2" xfId="30931"/>
    <cellStyle name="Normal 5 2 10 4 9" xfId="14802"/>
    <cellStyle name="Normal 5 2 10 4 9 2" xfId="30932"/>
    <cellStyle name="Normal 5 2 10 5" xfId="3493"/>
    <cellStyle name="Normal 5 2 10 5 10" xfId="14803"/>
    <cellStyle name="Normal 5 2 10 5 10 2" xfId="30933"/>
    <cellStyle name="Normal 5 2 10 5 11" xfId="14804"/>
    <cellStyle name="Normal 5 2 10 5 11 2" xfId="30934"/>
    <cellStyle name="Normal 5 2 10 5 12" xfId="14805"/>
    <cellStyle name="Normal 5 2 10 5 12 2" xfId="30935"/>
    <cellStyle name="Normal 5 2 10 5 13" xfId="7371"/>
    <cellStyle name="Normal 5 2 10 5 13 2" xfId="23533"/>
    <cellStyle name="Normal 5 2 10 5 14" xfId="19982"/>
    <cellStyle name="Normal 5 2 10 5 2" xfId="3495"/>
    <cellStyle name="Normal 5 2 10 5 2 10" xfId="14806"/>
    <cellStyle name="Normal 5 2 10 5 2 10 2" xfId="30936"/>
    <cellStyle name="Normal 5 2 10 5 2 11" xfId="7373"/>
    <cellStyle name="Normal 5 2 10 5 2 11 2" xfId="23535"/>
    <cellStyle name="Normal 5 2 10 5 2 12" xfId="19983"/>
    <cellStyle name="Normal 5 2 10 5 2 2" xfId="14807"/>
    <cellStyle name="Normal 5 2 10 5 2 2 2" xfId="30937"/>
    <cellStyle name="Normal 5 2 10 5 2 3" xfId="14808"/>
    <cellStyle name="Normal 5 2 10 5 2 3 2" xfId="30938"/>
    <cellStyle name="Normal 5 2 10 5 2 4" xfId="14809"/>
    <cellStyle name="Normal 5 2 10 5 2 4 2" xfId="30939"/>
    <cellStyle name="Normal 5 2 10 5 2 5" xfId="14810"/>
    <cellStyle name="Normal 5 2 10 5 2 5 2" xfId="30940"/>
    <cellStyle name="Normal 5 2 10 5 2 6" xfId="14811"/>
    <cellStyle name="Normal 5 2 10 5 2 6 2" xfId="30941"/>
    <cellStyle name="Normal 5 2 10 5 2 7" xfId="14812"/>
    <cellStyle name="Normal 5 2 10 5 2 7 2" xfId="30942"/>
    <cellStyle name="Normal 5 2 10 5 2 8" xfId="14813"/>
    <cellStyle name="Normal 5 2 10 5 2 8 2" xfId="30943"/>
    <cellStyle name="Normal 5 2 10 5 2 9" xfId="14814"/>
    <cellStyle name="Normal 5 2 10 5 2 9 2" xfId="30944"/>
    <cellStyle name="Normal 5 2 10 5 3" xfId="3497"/>
    <cellStyle name="Normal 5 2 10 5 3 10" xfId="14815"/>
    <cellStyle name="Normal 5 2 10 5 3 10 2" xfId="30945"/>
    <cellStyle name="Normal 5 2 10 5 3 11" xfId="7375"/>
    <cellStyle name="Normal 5 2 10 5 3 11 2" xfId="23537"/>
    <cellStyle name="Normal 5 2 10 5 3 12" xfId="19984"/>
    <cellStyle name="Normal 5 2 10 5 3 2" xfId="14816"/>
    <cellStyle name="Normal 5 2 10 5 3 2 2" xfId="30946"/>
    <cellStyle name="Normal 5 2 10 5 3 3" xfId="14817"/>
    <cellStyle name="Normal 5 2 10 5 3 3 2" xfId="30947"/>
    <cellStyle name="Normal 5 2 10 5 3 4" xfId="14818"/>
    <cellStyle name="Normal 5 2 10 5 3 4 2" xfId="30948"/>
    <cellStyle name="Normal 5 2 10 5 3 5" xfId="14819"/>
    <cellStyle name="Normal 5 2 10 5 3 5 2" xfId="30949"/>
    <cellStyle name="Normal 5 2 10 5 3 6" xfId="14820"/>
    <cellStyle name="Normal 5 2 10 5 3 6 2" xfId="30950"/>
    <cellStyle name="Normal 5 2 10 5 3 7" xfId="14821"/>
    <cellStyle name="Normal 5 2 10 5 3 7 2" xfId="30951"/>
    <cellStyle name="Normal 5 2 10 5 3 8" xfId="14822"/>
    <cellStyle name="Normal 5 2 10 5 3 8 2" xfId="30952"/>
    <cellStyle name="Normal 5 2 10 5 3 9" xfId="14823"/>
    <cellStyle name="Normal 5 2 10 5 3 9 2" xfId="30953"/>
    <cellStyle name="Normal 5 2 10 5 4" xfId="14824"/>
    <cellStyle name="Normal 5 2 10 5 4 2" xfId="30954"/>
    <cellStyle name="Normal 5 2 10 5 5" xfId="14825"/>
    <cellStyle name="Normal 5 2 10 5 5 2" xfId="30955"/>
    <cellStyle name="Normal 5 2 10 5 6" xfId="14826"/>
    <cellStyle name="Normal 5 2 10 5 6 2" xfId="30956"/>
    <cellStyle name="Normal 5 2 10 5 7" xfId="14827"/>
    <cellStyle name="Normal 5 2 10 5 7 2" xfId="30957"/>
    <cellStyle name="Normal 5 2 10 5 8" xfId="14828"/>
    <cellStyle name="Normal 5 2 10 5 8 2" xfId="30958"/>
    <cellStyle name="Normal 5 2 10 5 9" xfId="14829"/>
    <cellStyle name="Normal 5 2 10 5 9 2" xfId="30959"/>
    <cellStyle name="Normal 5 2 10 6" xfId="3499"/>
    <cellStyle name="Normal 5 2 10 6 10" xfId="14830"/>
    <cellStyle name="Normal 5 2 10 6 10 2" xfId="30960"/>
    <cellStyle name="Normal 5 2 10 6 11" xfId="14831"/>
    <cellStyle name="Normal 5 2 10 6 11 2" xfId="30961"/>
    <cellStyle name="Normal 5 2 10 6 12" xfId="14832"/>
    <cellStyle name="Normal 5 2 10 6 12 2" xfId="30962"/>
    <cellStyle name="Normal 5 2 10 6 13" xfId="7377"/>
    <cellStyle name="Normal 5 2 10 6 13 2" xfId="23539"/>
    <cellStyle name="Normal 5 2 10 6 14" xfId="19985"/>
    <cellStyle name="Normal 5 2 10 6 2" xfId="3501"/>
    <cellStyle name="Normal 5 2 10 6 2 10" xfId="14833"/>
    <cellStyle name="Normal 5 2 10 6 2 10 2" xfId="30963"/>
    <cellStyle name="Normal 5 2 10 6 2 11" xfId="7379"/>
    <cellStyle name="Normal 5 2 10 6 2 11 2" xfId="23541"/>
    <cellStyle name="Normal 5 2 10 6 2 12" xfId="19986"/>
    <cellStyle name="Normal 5 2 10 6 2 2" xfId="14834"/>
    <cellStyle name="Normal 5 2 10 6 2 2 2" xfId="30964"/>
    <cellStyle name="Normal 5 2 10 6 2 3" xfId="14835"/>
    <cellStyle name="Normal 5 2 10 6 2 3 2" xfId="30965"/>
    <cellStyle name="Normal 5 2 10 6 2 4" xfId="14836"/>
    <cellStyle name="Normal 5 2 10 6 2 4 2" xfId="30966"/>
    <cellStyle name="Normal 5 2 10 6 2 5" xfId="14837"/>
    <cellStyle name="Normal 5 2 10 6 2 5 2" xfId="30967"/>
    <cellStyle name="Normal 5 2 10 6 2 6" xfId="14838"/>
    <cellStyle name="Normal 5 2 10 6 2 6 2" xfId="30968"/>
    <cellStyle name="Normal 5 2 10 6 2 7" xfId="14839"/>
    <cellStyle name="Normal 5 2 10 6 2 7 2" xfId="30969"/>
    <cellStyle name="Normal 5 2 10 6 2 8" xfId="14840"/>
    <cellStyle name="Normal 5 2 10 6 2 8 2" xfId="30970"/>
    <cellStyle name="Normal 5 2 10 6 2 9" xfId="14841"/>
    <cellStyle name="Normal 5 2 10 6 2 9 2" xfId="30971"/>
    <cellStyle name="Normal 5 2 10 6 3" xfId="3503"/>
    <cellStyle name="Normal 5 2 10 6 3 10" xfId="14842"/>
    <cellStyle name="Normal 5 2 10 6 3 10 2" xfId="30972"/>
    <cellStyle name="Normal 5 2 10 6 3 11" xfId="7381"/>
    <cellStyle name="Normal 5 2 10 6 3 11 2" xfId="23543"/>
    <cellStyle name="Normal 5 2 10 6 3 12" xfId="19987"/>
    <cellStyle name="Normal 5 2 10 6 3 2" xfId="14843"/>
    <cellStyle name="Normal 5 2 10 6 3 2 2" xfId="30973"/>
    <cellStyle name="Normal 5 2 10 6 3 3" xfId="14844"/>
    <cellStyle name="Normal 5 2 10 6 3 3 2" xfId="30974"/>
    <cellStyle name="Normal 5 2 10 6 3 4" xfId="14845"/>
    <cellStyle name="Normal 5 2 10 6 3 4 2" xfId="30975"/>
    <cellStyle name="Normal 5 2 10 6 3 5" xfId="14846"/>
    <cellStyle name="Normal 5 2 10 6 3 5 2" xfId="30976"/>
    <cellStyle name="Normal 5 2 10 6 3 6" xfId="14847"/>
    <cellStyle name="Normal 5 2 10 6 3 6 2" xfId="30977"/>
    <cellStyle name="Normal 5 2 10 6 3 7" xfId="14848"/>
    <cellStyle name="Normal 5 2 10 6 3 7 2" xfId="30978"/>
    <cellStyle name="Normal 5 2 10 6 3 8" xfId="14849"/>
    <cellStyle name="Normal 5 2 10 6 3 8 2" xfId="30979"/>
    <cellStyle name="Normal 5 2 10 6 3 9" xfId="14850"/>
    <cellStyle name="Normal 5 2 10 6 3 9 2" xfId="30980"/>
    <cellStyle name="Normal 5 2 10 6 4" xfId="14851"/>
    <cellStyle name="Normal 5 2 10 6 4 2" xfId="30981"/>
    <cellStyle name="Normal 5 2 10 6 5" xfId="14852"/>
    <cellStyle name="Normal 5 2 10 6 5 2" xfId="30982"/>
    <cellStyle name="Normal 5 2 10 6 6" xfId="14853"/>
    <cellStyle name="Normal 5 2 10 6 6 2" xfId="30983"/>
    <cellStyle name="Normal 5 2 10 6 7" xfId="14854"/>
    <cellStyle name="Normal 5 2 10 6 7 2" xfId="30984"/>
    <cellStyle name="Normal 5 2 10 6 8" xfId="14855"/>
    <cellStyle name="Normal 5 2 10 6 8 2" xfId="30985"/>
    <cellStyle name="Normal 5 2 10 6 9" xfId="14856"/>
    <cellStyle name="Normal 5 2 10 6 9 2" xfId="30986"/>
    <cellStyle name="Normal 5 2 10 7" xfId="3505"/>
    <cellStyle name="Normal 5 2 10 7 10" xfId="14857"/>
    <cellStyle name="Normal 5 2 10 7 10 2" xfId="30987"/>
    <cellStyle name="Normal 5 2 10 7 11" xfId="7383"/>
    <cellStyle name="Normal 5 2 10 7 11 2" xfId="23545"/>
    <cellStyle name="Normal 5 2 10 7 12" xfId="19988"/>
    <cellStyle name="Normal 5 2 10 7 2" xfId="14858"/>
    <cellStyle name="Normal 5 2 10 7 2 2" xfId="30988"/>
    <cellStyle name="Normal 5 2 10 7 3" xfId="14859"/>
    <cellStyle name="Normal 5 2 10 7 3 2" xfId="30989"/>
    <cellStyle name="Normal 5 2 10 7 4" xfId="14860"/>
    <cellStyle name="Normal 5 2 10 7 4 2" xfId="30990"/>
    <cellStyle name="Normal 5 2 10 7 5" xfId="14861"/>
    <cellStyle name="Normal 5 2 10 7 5 2" xfId="30991"/>
    <cellStyle name="Normal 5 2 10 7 6" xfId="14862"/>
    <cellStyle name="Normal 5 2 10 7 6 2" xfId="30992"/>
    <cellStyle name="Normal 5 2 10 7 7" xfId="14863"/>
    <cellStyle name="Normal 5 2 10 7 7 2" xfId="30993"/>
    <cellStyle name="Normal 5 2 10 7 8" xfId="14864"/>
    <cellStyle name="Normal 5 2 10 7 8 2" xfId="30994"/>
    <cellStyle name="Normal 5 2 10 7 9" xfId="14865"/>
    <cellStyle name="Normal 5 2 10 7 9 2" xfId="30995"/>
    <cellStyle name="Normal 5 2 10 8" xfId="3507"/>
    <cellStyle name="Normal 5 2 10 8 10" xfId="14866"/>
    <cellStyle name="Normal 5 2 10 8 10 2" xfId="30996"/>
    <cellStyle name="Normal 5 2 10 8 11" xfId="7385"/>
    <cellStyle name="Normal 5 2 10 8 11 2" xfId="23547"/>
    <cellStyle name="Normal 5 2 10 8 12" xfId="19989"/>
    <cellStyle name="Normal 5 2 10 8 2" xfId="14867"/>
    <cellStyle name="Normal 5 2 10 8 2 2" xfId="30997"/>
    <cellStyle name="Normal 5 2 10 8 3" xfId="14868"/>
    <cellStyle name="Normal 5 2 10 8 3 2" xfId="30998"/>
    <cellStyle name="Normal 5 2 10 8 4" xfId="14869"/>
    <cellStyle name="Normal 5 2 10 8 4 2" xfId="30999"/>
    <cellStyle name="Normal 5 2 10 8 5" xfId="14870"/>
    <cellStyle name="Normal 5 2 10 8 5 2" xfId="31000"/>
    <cellStyle name="Normal 5 2 10 8 6" xfId="14871"/>
    <cellStyle name="Normal 5 2 10 8 6 2" xfId="31001"/>
    <cellStyle name="Normal 5 2 10 8 7" xfId="14872"/>
    <cellStyle name="Normal 5 2 10 8 7 2" xfId="31002"/>
    <cellStyle name="Normal 5 2 10 8 8" xfId="14873"/>
    <cellStyle name="Normal 5 2 10 8 8 2" xfId="31003"/>
    <cellStyle name="Normal 5 2 10 8 9" xfId="14874"/>
    <cellStyle name="Normal 5 2 10 8 9 2" xfId="31004"/>
    <cellStyle name="Normal 5 2 10 9" xfId="14875"/>
    <cellStyle name="Normal 5 2 10 9 2" xfId="31005"/>
    <cellStyle name="Normal 5 2 11" xfId="432"/>
    <cellStyle name="Normal 5 2 11 10" xfId="14876"/>
    <cellStyle name="Normal 5 2 11 10 2" xfId="31006"/>
    <cellStyle name="Normal 5 2 11 11" xfId="14877"/>
    <cellStyle name="Normal 5 2 11 11 2" xfId="31007"/>
    <cellStyle name="Normal 5 2 11 12" xfId="14878"/>
    <cellStyle name="Normal 5 2 11 12 2" xfId="31008"/>
    <cellStyle name="Normal 5 2 11 13" xfId="4368"/>
    <cellStyle name="Normal 5 2 11 13 2" xfId="20531"/>
    <cellStyle name="Normal 5 2 11 14" xfId="19089"/>
    <cellStyle name="Normal 5 2 11 2" xfId="2400"/>
    <cellStyle name="Normal 5 2 11 2 10" xfId="14879"/>
    <cellStyle name="Normal 5 2 11 2 10 2" xfId="31009"/>
    <cellStyle name="Normal 5 2 11 2 11" xfId="6295"/>
    <cellStyle name="Normal 5 2 11 2 11 2" xfId="22457"/>
    <cellStyle name="Normal 5 2 11 2 12" xfId="19650"/>
    <cellStyle name="Normal 5 2 11 2 2" xfId="14880"/>
    <cellStyle name="Normal 5 2 11 2 2 2" xfId="14881"/>
    <cellStyle name="Normal 5 2 11 2 2 2 2" xfId="31011"/>
    <cellStyle name="Normal 5 2 11 2 2 3" xfId="31010"/>
    <cellStyle name="Normal 5 2 11 2 3" xfId="14882"/>
    <cellStyle name="Normal 5 2 11 2 3 2" xfId="31012"/>
    <cellStyle name="Normal 5 2 11 2 4" xfId="14883"/>
    <cellStyle name="Normal 5 2 11 2 4 2" xfId="31013"/>
    <cellStyle name="Normal 5 2 11 2 5" xfId="14884"/>
    <cellStyle name="Normal 5 2 11 2 5 2" xfId="31014"/>
    <cellStyle name="Normal 5 2 11 2 6" xfId="14885"/>
    <cellStyle name="Normal 5 2 11 2 6 2" xfId="31015"/>
    <cellStyle name="Normal 5 2 11 2 7" xfId="14886"/>
    <cellStyle name="Normal 5 2 11 2 7 2" xfId="31016"/>
    <cellStyle name="Normal 5 2 11 2 8" xfId="14887"/>
    <cellStyle name="Normal 5 2 11 2 8 2" xfId="31017"/>
    <cellStyle name="Normal 5 2 11 2 9" xfId="14888"/>
    <cellStyle name="Normal 5 2 11 2 9 2" xfId="31018"/>
    <cellStyle name="Normal 5 2 11 3" xfId="2402"/>
    <cellStyle name="Normal 5 2 11 3 10" xfId="14889"/>
    <cellStyle name="Normal 5 2 11 3 10 2" xfId="31019"/>
    <cellStyle name="Normal 5 2 11 3 11" xfId="6297"/>
    <cellStyle name="Normal 5 2 11 3 11 2" xfId="22459"/>
    <cellStyle name="Normal 5 2 11 3 12" xfId="19651"/>
    <cellStyle name="Normal 5 2 11 3 2" xfId="14890"/>
    <cellStyle name="Normal 5 2 11 3 2 2" xfId="31020"/>
    <cellStyle name="Normal 5 2 11 3 3" xfId="14891"/>
    <cellStyle name="Normal 5 2 11 3 3 2" xfId="31021"/>
    <cellStyle name="Normal 5 2 11 3 4" xfId="14892"/>
    <cellStyle name="Normal 5 2 11 3 4 2" xfId="31022"/>
    <cellStyle name="Normal 5 2 11 3 5" xfId="14893"/>
    <cellStyle name="Normal 5 2 11 3 5 2" xfId="31023"/>
    <cellStyle name="Normal 5 2 11 3 6" xfId="14894"/>
    <cellStyle name="Normal 5 2 11 3 6 2" xfId="31024"/>
    <cellStyle name="Normal 5 2 11 3 7" xfId="14895"/>
    <cellStyle name="Normal 5 2 11 3 7 2" xfId="31025"/>
    <cellStyle name="Normal 5 2 11 3 8" xfId="14896"/>
    <cellStyle name="Normal 5 2 11 3 8 2" xfId="31026"/>
    <cellStyle name="Normal 5 2 11 3 9" xfId="14897"/>
    <cellStyle name="Normal 5 2 11 3 9 2" xfId="31027"/>
    <cellStyle name="Normal 5 2 11 4" xfId="14898"/>
    <cellStyle name="Normal 5 2 11 4 2" xfId="14899"/>
    <cellStyle name="Normal 5 2 11 4 2 2" xfId="31029"/>
    <cellStyle name="Normal 5 2 11 4 3" xfId="31028"/>
    <cellStyle name="Normal 5 2 11 5" xfId="14900"/>
    <cellStyle name="Normal 5 2 11 5 2" xfId="31030"/>
    <cellStyle name="Normal 5 2 11 6" xfId="14901"/>
    <cellStyle name="Normal 5 2 11 6 2" xfId="31031"/>
    <cellStyle name="Normal 5 2 11 7" xfId="14902"/>
    <cellStyle name="Normal 5 2 11 7 2" xfId="31032"/>
    <cellStyle name="Normal 5 2 11 8" xfId="14903"/>
    <cellStyle name="Normal 5 2 11 8 2" xfId="31033"/>
    <cellStyle name="Normal 5 2 11 9" xfId="14904"/>
    <cellStyle name="Normal 5 2 11 9 2" xfId="31034"/>
    <cellStyle name="Normal 5 2 12" xfId="566"/>
    <cellStyle name="Normal 5 2 12 10" xfId="14905"/>
    <cellStyle name="Normal 5 2 12 10 2" xfId="31035"/>
    <cellStyle name="Normal 5 2 12 11" xfId="14906"/>
    <cellStyle name="Normal 5 2 12 11 2" xfId="31036"/>
    <cellStyle name="Normal 5 2 12 12" xfId="14907"/>
    <cellStyle name="Normal 5 2 12 12 2" xfId="31037"/>
    <cellStyle name="Normal 5 2 12 13" xfId="4499"/>
    <cellStyle name="Normal 5 2 12 13 2" xfId="20662"/>
    <cellStyle name="Normal 5 2 12 14" xfId="19111"/>
    <cellStyle name="Normal 5 2 12 2" xfId="2407"/>
    <cellStyle name="Normal 5 2 12 2 10" xfId="14908"/>
    <cellStyle name="Normal 5 2 12 2 10 2" xfId="31038"/>
    <cellStyle name="Normal 5 2 12 2 11" xfId="6302"/>
    <cellStyle name="Normal 5 2 12 2 11 2" xfId="22464"/>
    <cellStyle name="Normal 5 2 12 2 12" xfId="19652"/>
    <cellStyle name="Normal 5 2 12 2 2" xfId="14909"/>
    <cellStyle name="Normal 5 2 12 2 2 2" xfId="31039"/>
    <cellStyle name="Normal 5 2 12 2 3" xfId="14910"/>
    <cellStyle name="Normal 5 2 12 2 3 2" xfId="31040"/>
    <cellStyle name="Normal 5 2 12 2 4" xfId="14911"/>
    <cellStyle name="Normal 5 2 12 2 4 2" xfId="31041"/>
    <cellStyle name="Normal 5 2 12 2 5" xfId="14912"/>
    <cellStyle name="Normal 5 2 12 2 5 2" xfId="31042"/>
    <cellStyle name="Normal 5 2 12 2 6" xfId="14913"/>
    <cellStyle name="Normal 5 2 12 2 6 2" xfId="31043"/>
    <cellStyle name="Normal 5 2 12 2 7" xfId="14914"/>
    <cellStyle name="Normal 5 2 12 2 7 2" xfId="31044"/>
    <cellStyle name="Normal 5 2 12 2 8" xfId="14915"/>
    <cellStyle name="Normal 5 2 12 2 8 2" xfId="31045"/>
    <cellStyle name="Normal 5 2 12 2 9" xfId="14916"/>
    <cellStyle name="Normal 5 2 12 2 9 2" xfId="31046"/>
    <cellStyle name="Normal 5 2 12 3" xfId="2409"/>
    <cellStyle name="Normal 5 2 12 3 10" xfId="14917"/>
    <cellStyle name="Normal 5 2 12 3 10 2" xfId="31047"/>
    <cellStyle name="Normal 5 2 12 3 11" xfId="6304"/>
    <cellStyle name="Normal 5 2 12 3 11 2" xfId="22466"/>
    <cellStyle name="Normal 5 2 12 3 12" xfId="19653"/>
    <cellStyle name="Normal 5 2 12 3 2" xfId="14918"/>
    <cellStyle name="Normal 5 2 12 3 2 2" xfId="31048"/>
    <cellStyle name="Normal 5 2 12 3 3" xfId="14919"/>
    <cellStyle name="Normal 5 2 12 3 3 2" xfId="31049"/>
    <cellStyle name="Normal 5 2 12 3 4" xfId="14920"/>
    <cellStyle name="Normal 5 2 12 3 4 2" xfId="31050"/>
    <cellStyle name="Normal 5 2 12 3 5" xfId="14921"/>
    <cellStyle name="Normal 5 2 12 3 5 2" xfId="31051"/>
    <cellStyle name="Normal 5 2 12 3 6" xfId="14922"/>
    <cellStyle name="Normal 5 2 12 3 6 2" xfId="31052"/>
    <cellStyle name="Normal 5 2 12 3 7" xfId="14923"/>
    <cellStyle name="Normal 5 2 12 3 7 2" xfId="31053"/>
    <cellStyle name="Normal 5 2 12 3 8" xfId="14924"/>
    <cellStyle name="Normal 5 2 12 3 8 2" xfId="31054"/>
    <cellStyle name="Normal 5 2 12 3 9" xfId="14925"/>
    <cellStyle name="Normal 5 2 12 3 9 2" xfId="31055"/>
    <cellStyle name="Normal 5 2 12 4" xfId="14926"/>
    <cellStyle name="Normal 5 2 12 4 2" xfId="31056"/>
    <cellStyle name="Normal 5 2 12 5" xfId="14927"/>
    <cellStyle name="Normal 5 2 12 5 2" xfId="31057"/>
    <cellStyle name="Normal 5 2 12 6" xfId="14928"/>
    <cellStyle name="Normal 5 2 12 6 2" xfId="31058"/>
    <cellStyle name="Normal 5 2 12 7" xfId="14929"/>
    <cellStyle name="Normal 5 2 12 7 2" xfId="31059"/>
    <cellStyle name="Normal 5 2 12 8" xfId="14930"/>
    <cellStyle name="Normal 5 2 12 8 2" xfId="31060"/>
    <cellStyle name="Normal 5 2 12 9" xfId="14931"/>
    <cellStyle name="Normal 5 2 12 9 2" xfId="31061"/>
    <cellStyle name="Normal 5 2 13" xfId="1152"/>
    <cellStyle name="Normal 5 2 13 10" xfId="14932"/>
    <cellStyle name="Normal 5 2 13 10 2" xfId="31062"/>
    <cellStyle name="Normal 5 2 13 11" xfId="14933"/>
    <cellStyle name="Normal 5 2 13 11 2" xfId="31063"/>
    <cellStyle name="Normal 5 2 13 12" xfId="14934"/>
    <cellStyle name="Normal 5 2 13 12 2" xfId="31064"/>
    <cellStyle name="Normal 5 2 13 13" xfId="5071"/>
    <cellStyle name="Normal 5 2 13 13 2" xfId="21233"/>
    <cellStyle name="Normal 5 2 13 14" xfId="19330"/>
    <cellStyle name="Normal 5 2 13 2" xfId="1154"/>
    <cellStyle name="Normal 5 2 13 2 10" xfId="14935"/>
    <cellStyle name="Normal 5 2 13 2 10 2" xfId="31065"/>
    <cellStyle name="Normal 5 2 13 2 11" xfId="5076"/>
    <cellStyle name="Normal 5 2 13 2 11 2" xfId="21238"/>
    <cellStyle name="Normal 5 2 13 2 12" xfId="19331"/>
    <cellStyle name="Normal 5 2 13 2 2" xfId="14936"/>
    <cellStyle name="Normal 5 2 13 2 2 2" xfId="31066"/>
    <cellStyle name="Normal 5 2 13 2 3" xfId="14937"/>
    <cellStyle name="Normal 5 2 13 2 3 2" xfId="31067"/>
    <cellStyle name="Normal 5 2 13 2 4" xfId="14938"/>
    <cellStyle name="Normal 5 2 13 2 4 2" xfId="31068"/>
    <cellStyle name="Normal 5 2 13 2 5" xfId="14939"/>
    <cellStyle name="Normal 5 2 13 2 5 2" xfId="31069"/>
    <cellStyle name="Normal 5 2 13 2 6" xfId="14940"/>
    <cellStyle name="Normal 5 2 13 2 6 2" xfId="31070"/>
    <cellStyle name="Normal 5 2 13 2 7" xfId="14941"/>
    <cellStyle name="Normal 5 2 13 2 7 2" xfId="31071"/>
    <cellStyle name="Normal 5 2 13 2 8" xfId="14942"/>
    <cellStyle name="Normal 5 2 13 2 8 2" xfId="31072"/>
    <cellStyle name="Normal 5 2 13 2 9" xfId="14943"/>
    <cellStyle name="Normal 5 2 13 2 9 2" xfId="31073"/>
    <cellStyle name="Normal 5 2 13 3" xfId="1157"/>
    <cellStyle name="Normal 5 2 13 3 10" xfId="14944"/>
    <cellStyle name="Normal 5 2 13 3 10 2" xfId="31074"/>
    <cellStyle name="Normal 5 2 13 3 11" xfId="5079"/>
    <cellStyle name="Normal 5 2 13 3 11 2" xfId="21241"/>
    <cellStyle name="Normal 5 2 13 3 12" xfId="19333"/>
    <cellStyle name="Normal 5 2 13 3 2" xfId="14945"/>
    <cellStyle name="Normal 5 2 13 3 2 2" xfId="31075"/>
    <cellStyle name="Normal 5 2 13 3 3" xfId="14946"/>
    <cellStyle name="Normal 5 2 13 3 3 2" xfId="31076"/>
    <cellStyle name="Normal 5 2 13 3 4" xfId="14947"/>
    <cellStyle name="Normal 5 2 13 3 4 2" xfId="31077"/>
    <cellStyle name="Normal 5 2 13 3 5" xfId="14948"/>
    <cellStyle name="Normal 5 2 13 3 5 2" xfId="31078"/>
    <cellStyle name="Normal 5 2 13 3 6" xfId="14949"/>
    <cellStyle name="Normal 5 2 13 3 6 2" xfId="31079"/>
    <cellStyle name="Normal 5 2 13 3 7" xfId="14950"/>
    <cellStyle name="Normal 5 2 13 3 7 2" xfId="31080"/>
    <cellStyle name="Normal 5 2 13 3 8" xfId="14951"/>
    <cellStyle name="Normal 5 2 13 3 8 2" xfId="31081"/>
    <cellStyle name="Normal 5 2 13 3 9" xfId="14952"/>
    <cellStyle name="Normal 5 2 13 3 9 2" xfId="31082"/>
    <cellStyle name="Normal 5 2 13 4" xfId="14953"/>
    <cellStyle name="Normal 5 2 13 4 2" xfId="31083"/>
    <cellStyle name="Normal 5 2 13 5" xfId="14954"/>
    <cellStyle name="Normal 5 2 13 5 2" xfId="31084"/>
    <cellStyle name="Normal 5 2 13 6" xfId="14955"/>
    <cellStyle name="Normal 5 2 13 6 2" xfId="31085"/>
    <cellStyle name="Normal 5 2 13 7" xfId="14956"/>
    <cellStyle name="Normal 5 2 13 7 2" xfId="31086"/>
    <cellStyle name="Normal 5 2 13 8" xfId="14957"/>
    <cellStyle name="Normal 5 2 13 8 2" xfId="31087"/>
    <cellStyle name="Normal 5 2 13 9" xfId="14958"/>
    <cellStyle name="Normal 5 2 13 9 2" xfId="31088"/>
    <cellStyle name="Normal 5 2 14" xfId="1698"/>
    <cellStyle name="Normal 5 2 14 10" xfId="14959"/>
    <cellStyle name="Normal 5 2 14 10 2" xfId="31089"/>
    <cellStyle name="Normal 5 2 14 11" xfId="14960"/>
    <cellStyle name="Normal 5 2 14 11 2" xfId="31090"/>
    <cellStyle name="Normal 5 2 14 12" xfId="14961"/>
    <cellStyle name="Normal 5 2 14 12 2" xfId="31091"/>
    <cellStyle name="Normal 5 2 14 13" xfId="5611"/>
    <cellStyle name="Normal 5 2 14 13 2" xfId="21773"/>
    <cellStyle name="Normal 5 2 14 14" xfId="19566"/>
    <cellStyle name="Normal 5 2 14 2" xfId="555"/>
    <cellStyle name="Normal 5 2 14 2 10" xfId="14962"/>
    <cellStyle name="Normal 5 2 14 2 10 2" xfId="31092"/>
    <cellStyle name="Normal 5 2 14 2 11" xfId="4489"/>
    <cellStyle name="Normal 5 2 14 2 11 2" xfId="20652"/>
    <cellStyle name="Normal 5 2 14 2 12" xfId="19108"/>
    <cellStyle name="Normal 5 2 14 2 2" xfId="14963"/>
    <cellStyle name="Normal 5 2 14 2 2 2" xfId="31093"/>
    <cellStyle name="Normal 5 2 14 2 3" xfId="14964"/>
    <cellStyle name="Normal 5 2 14 2 3 2" xfId="31094"/>
    <cellStyle name="Normal 5 2 14 2 4" xfId="14965"/>
    <cellStyle name="Normal 5 2 14 2 4 2" xfId="31095"/>
    <cellStyle name="Normal 5 2 14 2 5" xfId="14966"/>
    <cellStyle name="Normal 5 2 14 2 5 2" xfId="31096"/>
    <cellStyle name="Normal 5 2 14 2 6" xfId="14967"/>
    <cellStyle name="Normal 5 2 14 2 6 2" xfId="31097"/>
    <cellStyle name="Normal 5 2 14 2 7" xfId="14968"/>
    <cellStyle name="Normal 5 2 14 2 7 2" xfId="31098"/>
    <cellStyle name="Normal 5 2 14 2 8" xfId="14969"/>
    <cellStyle name="Normal 5 2 14 2 8 2" xfId="31099"/>
    <cellStyle name="Normal 5 2 14 2 9" xfId="14970"/>
    <cellStyle name="Normal 5 2 14 2 9 2" xfId="31100"/>
    <cellStyle name="Normal 5 2 14 3" xfId="2422"/>
    <cellStyle name="Normal 5 2 14 3 10" xfId="14971"/>
    <cellStyle name="Normal 5 2 14 3 10 2" xfId="31101"/>
    <cellStyle name="Normal 5 2 14 3 11" xfId="6317"/>
    <cellStyle name="Normal 5 2 14 3 11 2" xfId="22479"/>
    <cellStyle name="Normal 5 2 14 3 12" xfId="19654"/>
    <cellStyle name="Normal 5 2 14 3 2" xfId="14972"/>
    <cellStyle name="Normal 5 2 14 3 2 2" xfId="31102"/>
    <cellStyle name="Normal 5 2 14 3 3" xfId="14973"/>
    <cellStyle name="Normal 5 2 14 3 3 2" xfId="31103"/>
    <cellStyle name="Normal 5 2 14 3 4" xfId="14974"/>
    <cellStyle name="Normal 5 2 14 3 4 2" xfId="31104"/>
    <cellStyle name="Normal 5 2 14 3 5" xfId="14975"/>
    <cellStyle name="Normal 5 2 14 3 5 2" xfId="31105"/>
    <cellStyle name="Normal 5 2 14 3 6" xfId="14976"/>
    <cellStyle name="Normal 5 2 14 3 6 2" xfId="31106"/>
    <cellStyle name="Normal 5 2 14 3 7" xfId="14977"/>
    <cellStyle name="Normal 5 2 14 3 7 2" xfId="31107"/>
    <cellStyle name="Normal 5 2 14 3 8" xfId="14978"/>
    <cellStyle name="Normal 5 2 14 3 8 2" xfId="31108"/>
    <cellStyle name="Normal 5 2 14 3 9" xfId="14979"/>
    <cellStyle name="Normal 5 2 14 3 9 2" xfId="31109"/>
    <cellStyle name="Normal 5 2 14 4" xfId="14980"/>
    <cellStyle name="Normal 5 2 14 4 2" xfId="31110"/>
    <cellStyle name="Normal 5 2 14 5" xfId="14981"/>
    <cellStyle name="Normal 5 2 14 5 2" xfId="31111"/>
    <cellStyle name="Normal 5 2 14 6" xfId="14982"/>
    <cellStyle name="Normal 5 2 14 6 2" xfId="31112"/>
    <cellStyle name="Normal 5 2 14 7" xfId="14983"/>
    <cellStyle name="Normal 5 2 14 7 2" xfId="31113"/>
    <cellStyle name="Normal 5 2 14 8" xfId="14984"/>
    <cellStyle name="Normal 5 2 14 8 2" xfId="31114"/>
    <cellStyle name="Normal 5 2 14 9" xfId="14985"/>
    <cellStyle name="Normal 5 2 14 9 2" xfId="31115"/>
    <cellStyle name="Normal 5 2 15" xfId="3508"/>
    <cellStyle name="Normal 5 2 15 10" xfId="14986"/>
    <cellStyle name="Normal 5 2 15 10 2" xfId="31116"/>
    <cellStyle name="Normal 5 2 15 11" xfId="14987"/>
    <cellStyle name="Normal 5 2 15 11 2" xfId="31117"/>
    <cellStyle name="Normal 5 2 15 12" xfId="14988"/>
    <cellStyle name="Normal 5 2 15 12 2" xfId="31118"/>
    <cellStyle name="Normal 5 2 15 13" xfId="7387"/>
    <cellStyle name="Normal 5 2 15 13 2" xfId="23549"/>
    <cellStyle name="Normal 5 2 15 14" xfId="19990"/>
    <cellStyle name="Normal 5 2 15 2" xfId="781"/>
    <cellStyle name="Normal 5 2 15 2 10" xfId="14989"/>
    <cellStyle name="Normal 5 2 15 2 10 2" xfId="31119"/>
    <cellStyle name="Normal 5 2 15 2 11" xfId="4709"/>
    <cellStyle name="Normal 5 2 15 2 11 2" xfId="20871"/>
    <cellStyle name="Normal 5 2 15 2 12" xfId="19181"/>
    <cellStyle name="Normal 5 2 15 2 2" xfId="14990"/>
    <cellStyle name="Normal 5 2 15 2 2 2" xfId="31120"/>
    <cellStyle name="Normal 5 2 15 2 3" xfId="14991"/>
    <cellStyle name="Normal 5 2 15 2 3 2" xfId="31121"/>
    <cellStyle name="Normal 5 2 15 2 4" xfId="14992"/>
    <cellStyle name="Normal 5 2 15 2 4 2" xfId="31122"/>
    <cellStyle name="Normal 5 2 15 2 5" xfId="14993"/>
    <cellStyle name="Normal 5 2 15 2 5 2" xfId="31123"/>
    <cellStyle name="Normal 5 2 15 2 6" xfId="14994"/>
    <cellStyle name="Normal 5 2 15 2 6 2" xfId="31124"/>
    <cellStyle name="Normal 5 2 15 2 7" xfId="14995"/>
    <cellStyle name="Normal 5 2 15 2 7 2" xfId="31125"/>
    <cellStyle name="Normal 5 2 15 2 8" xfId="14996"/>
    <cellStyle name="Normal 5 2 15 2 8 2" xfId="31126"/>
    <cellStyle name="Normal 5 2 15 2 9" xfId="14997"/>
    <cellStyle name="Normal 5 2 15 2 9 2" xfId="31127"/>
    <cellStyle name="Normal 5 2 15 3" xfId="317"/>
    <cellStyle name="Normal 5 2 15 3 10" xfId="14998"/>
    <cellStyle name="Normal 5 2 15 3 10 2" xfId="31128"/>
    <cellStyle name="Normal 5 2 15 3 11" xfId="4263"/>
    <cellStyle name="Normal 5 2 15 3 11 2" xfId="20426"/>
    <cellStyle name="Normal 5 2 15 3 12" xfId="19063"/>
    <cellStyle name="Normal 5 2 15 3 2" xfId="14999"/>
    <cellStyle name="Normal 5 2 15 3 2 2" xfId="31129"/>
    <cellStyle name="Normal 5 2 15 3 3" xfId="15000"/>
    <cellStyle name="Normal 5 2 15 3 3 2" xfId="31130"/>
    <cellStyle name="Normal 5 2 15 3 4" xfId="15001"/>
    <cellStyle name="Normal 5 2 15 3 4 2" xfId="31131"/>
    <cellStyle name="Normal 5 2 15 3 5" xfId="15002"/>
    <cellStyle name="Normal 5 2 15 3 5 2" xfId="31132"/>
    <cellStyle name="Normal 5 2 15 3 6" xfId="15003"/>
    <cellStyle name="Normal 5 2 15 3 6 2" xfId="31133"/>
    <cellStyle name="Normal 5 2 15 3 7" xfId="15004"/>
    <cellStyle name="Normal 5 2 15 3 7 2" xfId="31134"/>
    <cellStyle name="Normal 5 2 15 3 8" xfId="15005"/>
    <cellStyle name="Normal 5 2 15 3 8 2" xfId="31135"/>
    <cellStyle name="Normal 5 2 15 3 9" xfId="15006"/>
    <cellStyle name="Normal 5 2 15 3 9 2" xfId="31136"/>
    <cellStyle name="Normal 5 2 15 4" xfId="15007"/>
    <cellStyle name="Normal 5 2 15 4 2" xfId="31137"/>
    <cellStyle name="Normal 5 2 15 5" xfId="15008"/>
    <cellStyle name="Normal 5 2 15 5 2" xfId="31138"/>
    <cellStyle name="Normal 5 2 15 6" xfId="15009"/>
    <cellStyle name="Normal 5 2 15 6 2" xfId="31139"/>
    <cellStyle name="Normal 5 2 15 7" xfId="15010"/>
    <cellStyle name="Normal 5 2 15 7 2" xfId="31140"/>
    <cellStyle name="Normal 5 2 15 8" xfId="15011"/>
    <cellStyle name="Normal 5 2 15 8 2" xfId="31141"/>
    <cellStyle name="Normal 5 2 15 9" xfId="15012"/>
    <cellStyle name="Normal 5 2 15 9 2" xfId="31142"/>
    <cellStyle name="Normal 5 2 16" xfId="3459"/>
    <cellStyle name="Normal 5 2 16 10" xfId="15013"/>
    <cellStyle name="Normal 5 2 16 10 2" xfId="31143"/>
    <cellStyle name="Normal 5 2 16 11" xfId="7339"/>
    <cellStyle name="Normal 5 2 16 11 2" xfId="23501"/>
    <cellStyle name="Normal 5 2 16 12" xfId="19975"/>
    <cellStyle name="Normal 5 2 16 2" xfId="15014"/>
    <cellStyle name="Normal 5 2 16 2 2" xfId="31144"/>
    <cellStyle name="Normal 5 2 16 3" xfId="15015"/>
    <cellStyle name="Normal 5 2 16 3 2" xfId="31145"/>
    <cellStyle name="Normal 5 2 16 4" xfId="15016"/>
    <cellStyle name="Normal 5 2 16 4 2" xfId="31146"/>
    <cellStyle name="Normal 5 2 16 5" xfId="15017"/>
    <cellStyle name="Normal 5 2 16 5 2" xfId="31147"/>
    <cellStyle name="Normal 5 2 16 6" xfId="15018"/>
    <cellStyle name="Normal 5 2 16 6 2" xfId="31148"/>
    <cellStyle name="Normal 5 2 16 7" xfId="15019"/>
    <cellStyle name="Normal 5 2 16 7 2" xfId="31149"/>
    <cellStyle name="Normal 5 2 16 8" xfId="15020"/>
    <cellStyle name="Normal 5 2 16 8 2" xfId="31150"/>
    <cellStyle name="Normal 5 2 16 9" xfId="15021"/>
    <cellStyle name="Normal 5 2 16 9 2" xfId="31151"/>
    <cellStyle name="Normal 5 2 17" xfId="3509"/>
    <cellStyle name="Normal 5 2 17 10" xfId="15022"/>
    <cellStyle name="Normal 5 2 17 10 2" xfId="31152"/>
    <cellStyle name="Normal 5 2 17 11" xfId="7388"/>
    <cellStyle name="Normal 5 2 17 11 2" xfId="23550"/>
    <cellStyle name="Normal 5 2 17 12" xfId="19991"/>
    <cellStyle name="Normal 5 2 17 2" xfId="15023"/>
    <cellStyle name="Normal 5 2 17 2 2" xfId="31153"/>
    <cellStyle name="Normal 5 2 17 3" xfId="15024"/>
    <cellStyle name="Normal 5 2 17 3 2" xfId="31154"/>
    <cellStyle name="Normal 5 2 17 4" xfId="15025"/>
    <cellStyle name="Normal 5 2 17 4 2" xfId="31155"/>
    <cellStyle name="Normal 5 2 17 5" xfId="15026"/>
    <cellStyle name="Normal 5 2 17 5 2" xfId="31156"/>
    <cellStyle name="Normal 5 2 17 6" xfId="15027"/>
    <cellStyle name="Normal 5 2 17 6 2" xfId="31157"/>
    <cellStyle name="Normal 5 2 17 7" xfId="15028"/>
    <cellStyle name="Normal 5 2 17 7 2" xfId="31158"/>
    <cellStyle name="Normal 5 2 17 8" xfId="15029"/>
    <cellStyle name="Normal 5 2 17 8 2" xfId="31159"/>
    <cellStyle name="Normal 5 2 17 9" xfId="15030"/>
    <cellStyle name="Normal 5 2 17 9 2" xfId="31160"/>
    <cellStyle name="Normal 5 2 18" xfId="15031"/>
    <cellStyle name="Normal 5 2 18 2" xfId="31161"/>
    <cellStyle name="Normal 5 2 19" xfId="15032"/>
    <cellStyle name="Normal 5 2 19 2" xfId="31162"/>
    <cellStyle name="Normal 5 2 2" xfId="3510"/>
    <cellStyle name="Normal 5 2 2 2" xfId="15033"/>
    <cellStyle name="Normal 5 2 2 2 2" xfId="15034"/>
    <cellStyle name="Normal 5 2 2 2 2 2" xfId="31164"/>
    <cellStyle name="Normal 5 2 2 2 3" xfId="15035"/>
    <cellStyle name="Normal 5 2 2 2 3 2" xfId="31165"/>
    <cellStyle name="Normal 5 2 2 2 4" xfId="31163"/>
    <cellStyle name="Normal 5 2 2 3" xfId="15036"/>
    <cellStyle name="Normal 5 2 2 3 2" xfId="31166"/>
    <cellStyle name="Normal 5 2 2 4" xfId="7389"/>
    <cellStyle name="Normal 5 2 2 4 2" xfId="23551"/>
    <cellStyle name="Normal 5 2 20" xfId="15037"/>
    <cellStyle name="Normal 5 2 20 2" xfId="31167"/>
    <cellStyle name="Normal 5 2 21" xfId="15038"/>
    <cellStyle name="Normal 5 2 21 2" xfId="31168"/>
    <cellStyle name="Normal 5 2 22" xfId="15039"/>
    <cellStyle name="Normal 5 2 22 2" xfId="31169"/>
    <cellStyle name="Normal 5 2 23" xfId="15040"/>
    <cellStyle name="Normal 5 2 23 2" xfId="31170"/>
    <cellStyle name="Normal 5 2 24" xfId="15041"/>
    <cellStyle name="Normal 5 2 24 2" xfId="31171"/>
    <cellStyle name="Normal 5 2 25" xfId="15042"/>
    <cellStyle name="Normal 5 2 25 2" xfId="31172"/>
    <cellStyle name="Normal 5 2 26" xfId="15043"/>
    <cellStyle name="Normal 5 2 26 2" xfId="31173"/>
    <cellStyle name="Normal 5 2 27" xfId="6433"/>
    <cellStyle name="Normal 5 2 27 2" xfId="22595"/>
    <cellStyle name="Normal 5 2 28" xfId="19680"/>
    <cellStyle name="Normal 5 2 3" xfId="1303"/>
    <cellStyle name="Normal 5 2 3 10" xfId="15044"/>
    <cellStyle name="Normal 5 2 3 10 2" xfId="31174"/>
    <cellStyle name="Normal 5 2 3 11" xfId="15045"/>
    <cellStyle name="Normal 5 2 3 11 2" xfId="31175"/>
    <cellStyle name="Normal 5 2 3 12" xfId="15046"/>
    <cellStyle name="Normal 5 2 3 12 2" xfId="31176"/>
    <cellStyle name="Normal 5 2 3 13" xfId="15047"/>
    <cellStyle name="Normal 5 2 3 13 2" xfId="31177"/>
    <cellStyle name="Normal 5 2 3 14" xfId="15048"/>
    <cellStyle name="Normal 5 2 3 14 2" xfId="31178"/>
    <cellStyle name="Normal 5 2 3 15" xfId="15049"/>
    <cellStyle name="Normal 5 2 3 15 2" xfId="31179"/>
    <cellStyle name="Normal 5 2 3 16" xfId="15050"/>
    <cellStyle name="Normal 5 2 3 16 2" xfId="31180"/>
    <cellStyle name="Normal 5 2 3 17" xfId="15051"/>
    <cellStyle name="Normal 5 2 3 17 2" xfId="31181"/>
    <cellStyle name="Normal 5 2 3 18" xfId="5223"/>
    <cellStyle name="Normal 5 2 3 18 2" xfId="21385"/>
    <cellStyle name="Normal 5 2 3 19" xfId="19411"/>
    <cellStyle name="Normal 5 2 3 2" xfId="3511"/>
    <cellStyle name="Normal 5 2 3 2 10" xfId="15052"/>
    <cellStyle name="Normal 5 2 3 2 10 2" xfId="31182"/>
    <cellStyle name="Normal 5 2 3 2 11" xfId="15053"/>
    <cellStyle name="Normal 5 2 3 2 11 2" xfId="31183"/>
    <cellStyle name="Normal 5 2 3 2 12" xfId="15054"/>
    <cellStyle name="Normal 5 2 3 2 12 2" xfId="31184"/>
    <cellStyle name="Normal 5 2 3 2 13" xfId="7390"/>
    <cellStyle name="Normal 5 2 3 2 13 2" xfId="23552"/>
    <cellStyle name="Normal 5 2 3 2 14" xfId="19992"/>
    <cellStyle name="Normal 5 2 3 2 2" xfId="3512"/>
    <cellStyle name="Normal 5 2 3 2 2 10" xfId="15055"/>
    <cellStyle name="Normal 5 2 3 2 2 10 2" xfId="31185"/>
    <cellStyle name="Normal 5 2 3 2 2 11" xfId="7391"/>
    <cellStyle name="Normal 5 2 3 2 2 11 2" xfId="23553"/>
    <cellStyle name="Normal 5 2 3 2 2 12" xfId="19993"/>
    <cellStyle name="Normal 5 2 3 2 2 2" xfId="15056"/>
    <cellStyle name="Normal 5 2 3 2 2 2 2" xfId="31186"/>
    <cellStyle name="Normal 5 2 3 2 2 3" xfId="15057"/>
    <cellStyle name="Normal 5 2 3 2 2 3 2" xfId="31187"/>
    <cellStyle name="Normal 5 2 3 2 2 4" xfId="15058"/>
    <cellStyle name="Normal 5 2 3 2 2 4 2" xfId="31188"/>
    <cellStyle name="Normal 5 2 3 2 2 5" xfId="15059"/>
    <cellStyle name="Normal 5 2 3 2 2 5 2" xfId="31189"/>
    <cellStyle name="Normal 5 2 3 2 2 6" xfId="15060"/>
    <cellStyle name="Normal 5 2 3 2 2 6 2" xfId="31190"/>
    <cellStyle name="Normal 5 2 3 2 2 7" xfId="15061"/>
    <cellStyle name="Normal 5 2 3 2 2 7 2" xfId="31191"/>
    <cellStyle name="Normal 5 2 3 2 2 8" xfId="15062"/>
    <cellStyle name="Normal 5 2 3 2 2 8 2" xfId="31192"/>
    <cellStyle name="Normal 5 2 3 2 2 9" xfId="15063"/>
    <cellStyle name="Normal 5 2 3 2 2 9 2" xfId="31193"/>
    <cellStyle name="Normal 5 2 3 2 3" xfId="3513"/>
    <cellStyle name="Normal 5 2 3 2 3 10" xfId="15064"/>
    <cellStyle name="Normal 5 2 3 2 3 10 2" xfId="31194"/>
    <cellStyle name="Normal 5 2 3 2 3 11" xfId="7392"/>
    <cellStyle name="Normal 5 2 3 2 3 11 2" xfId="23554"/>
    <cellStyle name="Normal 5 2 3 2 3 12" xfId="19994"/>
    <cellStyle name="Normal 5 2 3 2 3 2" xfId="15065"/>
    <cellStyle name="Normal 5 2 3 2 3 2 2" xfId="31195"/>
    <cellStyle name="Normal 5 2 3 2 3 3" xfId="15066"/>
    <cellStyle name="Normal 5 2 3 2 3 3 2" xfId="31196"/>
    <cellStyle name="Normal 5 2 3 2 3 4" xfId="15067"/>
    <cellStyle name="Normal 5 2 3 2 3 4 2" xfId="31197"/>
    <cellStyle name="Normal 5 2 3 2 3 5" xfId="15068"/>
    <cellStyle name="Normal 5 2 3 2 3 5 2" xfId="31198"/>
    <cellStyle name="Normal 5 2 3 2 3 6" xfId="15069"/>
    <cellStyle name="Normal 5 2 3 2 3 6 2" xfId="31199"/>
    <cellStyle name="Normal 5 2 3 2 3 7" xfId="15070"/>
    <cellStyle name="Normal 5 2 3 2 3 7 2" xfId="31200"/>
    <cellStyle name="Normal 5 2 3 2 3 8" xfId="15071"/>
    <cellStyle name="Normal 5 2 3 2 3 8 2" xfId="31201"/>
    <cellStyle name="Normal 5 2 3 2 3 9" xfId="15072"/>
    <cellStyle name="Normal 5 2 3 2 3 9 2" xfId="31202"/>
    <cellStyle name="Normal 5 2 3 2 4" xfId="15073"/>
    <cellStyle name="Normal 5 2 3 2 4 2" xfId="31203"/>
    <cellStyle name="Normal 5 2 3 2 5" xfId="15074"/>
    <cellStyle name="Normal 5 2 3 2 5 2" xfId="31204"/>
    <cellStyle name="Normal 5 2 3 2 6" xfId="15075"/>
    <cellStyle name="Normal 5 2 3 2 6 2" xfId="31205"/>
    <cellStyle name="Normal 5 2 3 2 7" xfId="15076"/>
    <cellStyle name="Normal 5 2 3 2 7 2" xfId="31206"/>
    <cellStyle name="Normal 5 2 3 2 8" xfId="15077"/>
    <cellStyle name="Normal 5 2 3 2 8 2" xfId="31207"/>
    <cellStyle name="Normal 5 2 3 2 9" xfId="15078"/>
    <cellStyle name="Normal 5 2 3 2 9 2" xfId="31208"/>
    <cellStyle name="Normal 5 2 3 3" xfId="3514"/>
    <cellStyle name="Normal 5 2 3 3 10" xfId="15079"/>
    <cellStyle name="Normal 5 2 3 3 10 2" xfId="31209"/>
    <cellStyle name="Normal 5 2 3 3 11" xfId="15080"/>
    <cellStyle name="Normal 5 2 3 3 11 2" xfId="31210"/>
    <cellStyle name="Normal 5 2 3 3 12" xfId="15081"/>
    <cellStyle name="Normal 5 2 3 3 12 2" xfId="31211"/>
    <cellStyle name="Normal 5 2 3 3 13" xfId="7393"/>
    <cellStyle name="Normal 5 2 3 3 13 2" xfId="23555"/>
    <cellStyle name="Normal 5 2 3 3 14" xfId="19995"/>
    <cellStyle name="Normal 5 2 3 3 2" xfId="1387"/>
    <cellStyle name="Normal 5 2 3 3 2 10" xfId="15082"/>
    <cellStyle name="Normal 5 2 3 3 2 10 2" xfId="31212"/>
    <cellStyle name="Normal 5 2 3 3 2 11" xfId="5303"/>
    <cellStyle name="Normal 5 2 3 3 2 11 2" xfId="21465"/>
    <cellStyle name="Normal 5 2 3 3 2 12" xfId="19457"/>
    <cellStyle name="Normal 5 2 3 3 2 2" xfId="15083"/>
    <cellStyle name="Normal 5 2 3 3 2 2 2" xfId="31213"/>
    <cellStyle name="Normal 5 2 3 3 2 3" xfId="15084"/>
    <cellStyle name="Normal 5 2 3 3 2 3 2" xfId="31214"/>
    <cellStyle name="Normal 5 2 3 3 2 4" xfId="15085"/>
    <cellStyle name="Normal 5 2 3 3 2 4 2" xfId="31215"/>
    <cellStyle name="Normal 5 2 3 3 2 5" xfId="15086"/>
    <cellStyle name="Normal 5 2 3 3 2 5 2" xfId="31216"/>
    <cellStyle name="Normal 5 2 3 3 2 6" xfId="15087"/>
    <cellStyle name="Normal 5 2 3 3 2 6 2" xfId="31217"/>
    <cellStyle name="Normal 5 2 3 3 2 7" xfId="15088"/>
    <cellStyle name="Normal 5 2 3 3 2 7 2" xfId="31218"/>
    <cellStyle name="Normal 5 2 3 3 2 8" xfId="15089"/>
    <cellStyle name="Normal 5 2 3 3 2 8 2" xfId="31219"/>
    <cellStyle name="Normal 5 2 3 3 2 9" xfId="15090"/>
    <cellStyle name="Normal 5 2 3 3 2 9 2" xfId="31220"/>
    <cellStyle name="Normal 5 2 3 3 3" xfId="1391"/>
    <cellStyle name="Normal 5 2 3 3 3 10" xfId="15091"/>
    <cellStyle name="Normal 5 2 3 3 3 10 2" xfId="31221"/>
    <cellStyle name="Normal 5 2 3 3 3 11" xfId="5307"/>
    <cellStyle name="Normal 5 2 3 3 3 11 2" xfId="21469"/>
    <cellStyle name="Normal 5 2 3 3 3 12" xfId="19459"/>
    <cellStyle name="Normal 5 2 3 3 3 2" xfId="15092"/>
    <cellStyle name="Normal 5 2 3 3 3 2 2" xfId="31222"/>
    <cellStyle name="Normal 5 2 3 3 3 3" xfId="15093"/>
    <cellStyle name="Normal 5 2 3 3 3 3 2" xfId="31223"/>
    <cellStyle name="Normal 5 2 3 3 3 4" xfId="15094"/>
    <cellStyle name="Normal 5 2 3 3 3 4 2" xfId="31224"/>
    <cellStyle name="Normal 5 2 3 3 3 5" xfId="15095"/>
    <cellStyle name="Normal 5 2 3 3 3 5 2" xfId="31225"/>
    <cellStyle name="Normal 5 2 3 3 3 6" xfId="15096"/>
    <cellStyle name="Normal 5 2 3 3 3 6 2" xfId="31226"/>
    <cellStyle name="Normal 5 2 3 3 3 7" xfId="15097"/>
    <cellStyle name="Normal 5 2 3 3 3 7 2" xfId="31227"/>
    <cellStyle name="Normal 5 2 3 3 3 8" xfId="15098"/>
    <cellStyle name="Normal 5 2 3 3 3 8 2" xfId="31228"/>
    <cellStyle name="Normal 5 2 3 3 3 9" xfId="15099"/>
    <cellStyle name="Normal 5 2 3 3 3 9 2" xfId="31229"/>
    <cellStyle name="Normal 5 2 3 3 4" xfId="15100"/>
    <cellStyle name="Normal 5 2 3 3 4 2" xfId="31230"/>
    <cellStyle name="Normal 5 2 3 3 5" xfId="15101"/>
    <cellStyle name="Normal 5 2 3 3 5 2" xfId="31231"/>
    <cellStyle name="Normal 5 2 3 3 6" xfId="15102"/>
    <cellStyle name="Normal 5 2 3 3 6 2" xfId="31232"/>
    <cellStyle name="Normal 5 2 3 3 7" xfId="15103"/>
    <cellStyle name="Normal 5 2 3 3 7 2" xfId="31233"/>
    <cellStyle name="Normal 5 2 3 3 8" xfId="15104"/>
    <cellStyle name="Normal 5 2 3 3 8 2" xfId="31234"/>
    <cellStyle name="Normal 5 2 3 3 9" xfId="15105"/>
    <cellStyle name="Normal 5 2 3 3 9 2" xfId="31235"/>
    <cellStyle name="Normal 5 2 3 4" xfId="3515"/>
    <cellStyle name="Normal 5 2 3 4 10" xfId="15106"/>
    <cellStyle name="Normal 5 2 3 4 10 2" xfId="31236"/>
    <cellStyle name="Normal 5 2 3 4 11" xfId="15107"/>
    <cellStyle name="Normal 5 2 3 4 11 2" xfId="31237"/>
    <cellStyle name="Normal 5 2 3 4 12" xfId="15108"/>
    <cellStyle name="Normal 5 2 3 4 12 2" xfId="31238"/>
    <cellStyle name="Normal 5 2 3 4 13" xfId="7394"/>
    <cellStyle name="Normal 5 2 3 4 13 2" xfId="23556"/>
    <cellStyle name="Normal 5 2 3 4 14" xfId="19996"/>
    <cellStyle name="Normal 5 2 3 4 2" xfId="1009"/>
    <cellStyle name="Normal 5 2 3 4 2 10" xfId="15109"/>
    <cellStyle name="Normal 5 2 3 4 2 10 2" xfId="31239"/>
    <cellStyle name="Normal 5 2 3 4 2 11" xfId="4932"/>
    <cellStyle name="Normal 5 2 3 4 2 11 2" xfId="21094"/>
    <cellStyle name="Normal 5 2 3 4 2 12" xfId="19277"/>
    <cellStyle name="Normal 5 2 3 4 2 2" xfId="15110"/>
    <cellStyle name="Normal 5 2 3 4 2 2 2" xfId="31240"/>
    <cellStyle name="Normal 5 2 3 4 2 3" xfId="15111"/>
    <cellStyle name="Normal 5 2 3 4 2 3 2" xfId="31241"/>
    <cellStyle name="Normal 5 2 3 4 2 4" xfId="15112"/>
    <cellStyle name="Normal 5 2 3 4 2 4 2" xfId="31242"/>
    <cellStyle name="Normal 5 2 3 4 2 5" xfId="15113"/>
    <cellStyle name="Normal 5 2 3 4 2 5 2" xfId="31243"/>
    <cellStyle name="Normal 5 2 3 4 2 6" xfId="15114"/>
    <cellStyle name="Normal 5 2 3 4 2 6 2" xfId="31244"/>
    <cellStyle name="Normal 5 2 3 4 2 7" xfId="15115"/>
    <cellStyle name="Normal 5 2 3 4 2 7 2" xfId="31245"/>
    <cellStyle name="Normal 5 2 3 4 2 8" xfId="15116"/>
    <cellStyle name="Normal 5 2 3 4 2 8 2" xfId="31246"/>
    <cellStyle name="Normal 5 2 3 4 2 9" xfId="15117"/>
    <cellStyle name="Normal 5 2 3 4 2 9 2" xfId="31247"/>
    <cellStyle name="Normal 5 2 3 4 3" xfId="1013"/>
    <cellStyle name="Normal 5 2 3 4 3 10" xfId="15118"/>
    <cellStyle name="Normal 5 2 3 4 3 10 2" xfId="31248"/>
    <cellStyle name="Normal 5 2 3 4 3 11" xfId="4936"/>
    <cellStyle name="Normal 5 2 3 4 3 11 2" xfId="21098"/>
    <cellStyle name="Normal 5 2 3 4 3 12" xfId="19280"/>
    <cellStyle name="Normal 5 2 3 4 3 2" xfId="15119"/>
    <cellStyle name="Normal 5 2 3 4 3 2 2" xfId="31249"/>
    <cellStyle name="Normal 5 2 3 4 3 3" xfId="15120"/>
    <cellStyle name="Normal 5 2 3 4 3 3 2" xfId="31250"/>
    <cellStyle name="Normal 5 2 3 4 3 4" xfId="15121"/>
    <cellStyle name="Normal 5 2 3 4 3 4 2" xfId="31251"/>
    <cellStyle name="Normal 5 2 3 4 3 5" xfId="15122"/>
    <cellStyle name="Normal 5 2 3 4 3 5 2" xfId="31252"/>
    <cellStyle name="Normal 5 2 3 4 3 6" xfId="15123"/>
    <cellStyle name="Normal 5 2 3 4 3 6 2" xfId="31253"/>
    <cellStyle name="Normal 5 2 3 4 3 7" xfId="15124"/>
    <cellStyle name="Normal 5 2 3 4 3 7 2" xfId="31254"/>
    <cellStyle name="Normal 5 2 3 4 3 8" xfId="15125"/>
    <cellStyle name="Normal 5 2 3 4 3 8 2" xfId="31255"/>
    <cellStyle name="Normal 5 2 3 4 3 9" xfId="15126"/>
    <cellStyle name="Normal 5 2 3 4 3 9 2" xfId="31256"/>
    <cellStyle name="Normal 5 2 3 4 4" xfId="15127"/>
    <cellStyle name="Normal 5 2 3 4 4 2" xfId="31257"/>
    <cellStyle name="Normal 5 2 3 4 5" xfId="15128"/>
    <cellStyle name="Normal 5 2 3 4 5 2" xfId="31258"/>
    <cellStyle name="Normal 5 2 3 4 6" xfId="15129"/>
    <cellStyle name="Normal 5 2 3 4 6 2" xfId="31259"/>
    <cellStyle name="Normal 5 2 3 4 7" xfId="15130"/>
    <cellStyle name="Normal 5 2 3 4 7 2" xfId="31260"/>
    <cellStyle name="Normal 5 2 3 4 8" xfId="15131"/>
    <cellStyle name="Normal 5 2 3 4 8 2" xfId="31261"/>
    <cellStyle name="Normal 5 2 3 4 9" xfId="15132"/>
    <cellStyle name="Normal 5 2 3 4 9 2" xfId="31262"/>
    <cellStyle name="Normal 5 2 3 5" xfId="3516"/>
    <cellStyle name="Normal 5 2 3 5 10" xfId="15133"/>
    <cellStyle name="Normal 5 2 3 5 10 2" xfId="31263"/>
    <cellStyle name="Normal 5 2 3 5 11" xfId="15134"/>
    <cellStyle name="Normal 5 2 3 5 11 2" xfId="31264"/>
    <cellStyle name="Normal 5 2 3 5 12" xfId="15135"/>
    <cellStyle name="Normal 5 2 3 5 12 2" xfId="31265"/>
    <cellStyle name="Normal 5 2 3 5 13" xfId="7395"/>
    <cellStyle name="Normal 5 2 3 5 13 2" xfId="23557"/>
    <cellStyle name="Normal 5 2 3 5 14" xfId="19997"/>
    <cellStyle name="Normal 5 2 3 5 2" xfId="372"/>
    <cellStyle name="Normal 5 2 3 5 2 10" xfId="15136"/>
    <cellStyle name="Normal 5 2 3 5 2 10 2" xfId="31266"/>
    <cellStyle name="Normal 5 2 3 5 2 11" xfId="4318"/>
    <cellStyle name="Normal 5 2 3 5 2 11 2" xfId="20481"/>
    <cellStyle name="Normal 5 2 3 5 2 12" xfId="19068"/>
    <cellStyle name="Normal 5 2 3 5 2 2" xfId="15137"/>
    <cellStyle name="Normal 5 2 3 5 2 2 2" xfId="31267"/>
    <cellStyle name="Normal 5 2 3 5 2 3" xfId="15138"/>
    <cellStyle name="Normal 5 2 3 5 2 3 2" xfId="31268"/>
    <cellStyle name="Normal 5 2 3 5 2 4" xfId="15139"/>
    <cellStyle name="Normal 5 2 3 5 2 4 2" xfId="31269"/>
    <cellStyle name="Normal 5 2 3 5 2 5" xfId="15140"/>
    <cellStyle name="Normal 5 2 3 5 2 5 2" xfId="31270"/>
    <cellStyle name="Normal 5 2 3 5 2 6" xfId="15141"/>
    <cellStyle name="Normal 5 2 3 5 2 6 2" xfId="31271"/>
    <cellStyle name="Normal 5 2 3 5 2 7" xfId="15142"/>
    <cellStyle name="Normal 5 2 3 5 2 7 2" xfId="31272"/>
    <cellStyle name="Normal 5 2 3 5 2 8" xfId="15143"/>
    <cellStyle name="Normal 5 2 3 5 2 8 2" xfId="31273"/>
    <cellStyle name="Normal 5 2 3 5 2 9" xfId="15144"/>
    <cellStyle name="Normal 5 2 3 5 2 9 2" xfId="31274"/>
    <cellStyle name="Normal 5 2 3 5 3" xfId="1023"/>
    <cellStyle name="Normal 5 2 3 5 3 10" xfId="15145"/>
    <cellStyle name="Normal 5 2 3 5 3 10 2" xfId="31275"/>
    <cellStyle name="Normal 5 2 3 5 3 11" xfId="4944"/>
    <cellStyle name="Normal 5 2 3 5 3 11 2" xfId="21106"/>
    <cellStyle name="Normal 5 2 3 5 3 12" xfId="19286"/>
    <cellStyle name="Normal 5 2 3 5 3 2" xfId="15146"/>
    <cellStyle name="Normal 5 2 3 5 3 2 2" xfId="31276"/>
    <cellStyle name="Normal 5 2 3 5 3 3" xfId="15147"/>
    <cellStyle name="Normal 5 2 3 5 3 3 2" xfId="31277"/>
    <cellStyle name="Normal 5 2 3 5 3 4" xfId="15148"/>
    <cellStyle name="Normal 5 2 3 5 3 4 2" xfId="31278"/>
    <cellStyle name="Normal 5 2 3 5 3 5" xfId="15149"/>
    <cellStyle name="Normal 5 2 3 5 3 5 2" xfId="31279"/>
    <cellStyle name="Normal 5 2 3 5 3 6" xfId="15150"/>
    <cellStyle name="Normal 5 2 3 5 3 6 2" xfId="31280"/>
    <cellStyle name="Normal 5 2 3 5 3 7" xfId="15151"/>
    <cellStyle name="Normal 5 2 3 5 3 7 2" xfId="31281"/>
    <cellStyle name="Normal 5 2 3 5 3 8" xfId="15152"/>
    <cellStyle name="Normal 5 2 3 5 3 8 2" xfId="31282"/>
    <cellStyle name="Normal 5 2 3 5 3 9" xfId="15153"/>
    <cellStyle name="Normal 5 2 3 5 3 9 2" xfId="31283"/>
    <cellStyle name="Normal 5 2 3 5 4" xfId="15154"/>
    <cellStyle name="Normal 5 2 3 5 4 2" xfId="31284"/>
    <cellStyle name="Normal 5 2 3 5 5" xfId="15155"/>
    <cellStyle name="Normal 5 2 3 5 5 2" xfId="31285"/>
    <cellStyle name="Normal 5 2 3 5 6" xfId="15156"/>
    <cellStyle name="Normal 5 2 3 5 6 2" xfId="31286"/>
    <cellStyle name="Normal 5 2 3 5 7" xfId="15157"/>
    <cellStyle name="Normal 5 2 3 5 7 2" xfId="31287"/>
    <cellStyle name="Normal 5 2 3 5 8" xfId="15158"/>
    <cellStyle name="Normal 5 2 3 5 8 2" xfId="31288"/>
    <cellStyle name="Normal 5 2 3 5 9" xfId="15159"/>
    <cellStyle name="Normal 5 2 3 5 9 2" xfId="31289"/>
    <cellStyle name="Normal 5 2 3 6" xfId="7"/>
    <cellStyle name="Normal 5 2 3 6 10" xfId="15160"/>
    <cellStyle name="Normal 5 2 3 6 10 2" xfId="31290"/>
    <cellStyle name="Normal 5 2 3 6 11" xfId="15161"/>
    <cellStyle name="Normal 5 2 3 6 11 2" xfId="31291"/>
    <cellStyle name="Normal 5 2 3 6 12" xfId="15162"/>
    <cellStyle name="Normal 5 2 3 6 12 2" xfId="31292"/>
    <cellStyle name="Normal 5 2 3 6 13" xfId="3968"/>
    <cellStyle name="Normal 5 2 3 6 13 2" xfId="20131"/>
    <cellStyle name="Normal 5 2 3 6 14" xfId="18967"/>
    <cellStyle name="Normal 5 2 3 6 2" xfId="1041"/>
    <cellStyle name="Normal 5 2 3 6 2 10" xfId="15163"/>
    <cellStyle name="Normal 5 2 3 6 2 10 2" xfId="31293"/>
    <cellStyle name="Normal 5 2 3 6 2 11" xfId="4962"/>
    <cellStyle name="Normal 5 2 3 6 2 11 2" xfId="21124"/>
    <cellStyle name="Normal 5 2 3 6 2 12" xfId="19292"/>
    <cellStyle name="Normal 5 2 3 6 2 2" xfId="15164"/>
    <cellStyle name="Normal 5 2 3 6 2 2 2" xfId="31294"/>
    <cellStyle name="Normal 5 2 3 6 2 3" xfId="15165"/>
    <cellStyle name="Normal 5 2 3 6 2 3 2" xfId="31295"/>
    <cellStyle name="Normal 5 2 3 6 2 4" xfId="15166"/>
    <cellStyle name="Normal 5 2 3 6 2 4 2" xfId="31296"/>
    <cellStyle name="Normal 5 2 3 6 2 5" xfId="15167"/>
    <cellStyle name="Normal 5 2 3 6 2 5 2" xfId="31297"/>
    <cellStyle name="Normal 5 2 3 6 2 6" xfId="15168"/>
    <cellStyle name="Normal 5 2 3 6 2 6 2" xfId="31298"/>
    <cellStyle name="Normal 5 2 3 6 2 7" xfId="15169"/>
    <cellStyle name="Normal 5 2 3 6 2 7 2" xfId="31299"/>
    <cellStyle name="Normal 5 2 3 6 2 8" xfId="15170"/>
    <cellStyle name="Normal 5 2 3 6 2 8 2" xfId="31300"/>
    <cellStyle name="Normal 5 2 3 6 2 9" xfId="15171"/>
    <cellStyle name="Normal 5 2 3 6 2 9 2" xfId="31301"/>
    <cellStyle name="Normal 5 2 3 6 3" xfId="1046"/>
    <cellStyle name="Normal 5 2 3 6 3 10" xfId="15172"/>
    <cellStyle name="Normal 5 2 3 6 3 10 2" xfId="31302"/>
    <cellStyle name="Normal 5 2 3 6 3 11" xfId="4967"/>
    <cellStyle name="Normal 5 2 3 6 3 11 2" xfId="21129"/>
    <cellStyle name="Normal 5 2 3 6 3 12" xfId="19294"/>
    <cellStyle name="Normal 5 2 3 6 3 2" xfId="15173"/>
    <cellStyle name="Normal 5 2 3 6 3 2 2" xfId="31303"/>
    <cellStyle name="Normal 5 2 3 6 3 3" xfId="15174"/>
    <cellStyle name="Normal 5 2 3 6 3 3 2" xfId="31304"/>
    <cellStyle name="Normal 5 2 3 6 3 4" xfId="15175"/>
    <cellStyle name="Normal 5 2 3 6 3 4 2" xfId="31305"/>
    <cellStyle name="Normal 5 2 3 6 3 5" xfId="15176"/>
    <cellStyle name="Normal 5 2 3 6 3 5 2" xfId="31306"/>
    <cellStyle name="Normal 5 2 3 6 3 6" xfId="15177"/>
    <cellStyle name="Normal 5 2 3 6 3 6 2" xfId="31307"/>
    <cellStyle name="Normal 5 2 3 6 3 7" xfId="15178"/>
    <cellStyle name="Normal 5 2 3 6 3 7 2" xfId="31308"/>
    <cellStyle name="Normal 5 2 3 6 3 8" xfId="15179"/>
    <cellStyle name="Normal 5 2 3 6 3 8 2" xfId="31309"/>
    <cellStyle name="Normal 5 2 3 6 3 9" xfId="15180"/>
    <cellStyle name="Normal 5 2 3 6 3 9 2" xfId="31310"/>
    <cellStyle name="Normal 5 2 3 6 4" xfId="15181"/>
    <cellStyle name="Normal 5 2 3 6 4 2" xfId="31311"/>
    <cellStyle name="Normal 5 2 3 6 5" xfId="15182"/>
    <cellStyle name="Normal 5 2 3 6 5 2" xfId="31312"/>
    <cellStyle name="Normal 5 2 3 6 6" xfId="15183"/>
    <cellStyle name="Normal 5 2 3 6 6 2" xfId="31313"/>
    <cellStyle name="Normal 5 2 3 6 7" xfId="15184"/>
    <cellStyle name="Normal 5 2 3 6 7 2" xfId="31314"/>
    <cellStyle name="Normal 5 2 3 6 8" xfId="15185"/>
    <cellStyle name="Normal 5 2 3 6 8 2" xfId="31315"/>
    <cellStyle name="Normal 5 2 3 6 9" xfId="15186"/>
    <cellStyle name="Normal 5 2 3 6 9 2" xfId="31316"/>
    <cellStyle name="Normal 5 2 3 7" xfId="3517"/>
    <cellStyle name="Normal 5 2 3 7 10" xfId="15187"/>
    <cellStyle name="Normal 5 2 3 7 10 2" xfId="31317"/>
    <cellStyle name="Normal 5 2 3 7 11" xfId="7396"/>
    <cellStyle name="Normal 5 2 3 7 11 2" xfId="23558"/>
    <cellStyle name="Normal 5 2 3 7 12" xfId="19998"/>
    <cellStyle name="Normal 5 2 3 7 2" xfId="15188"/>
    <cellStyle name="Normal 5 2 3 7 2 2" xfId="31318"/>
    <cellStyle name="Normal 5 2 3 7 3" xfId="15189"/>
    <cellStyle name="Normal 5 2 3 7 3 2" xfId="31319"/>
    <cellStyle name="Normal 5 2 3 7 4" xfId="15190"/>
    <cellStyle name="Normal 5 2 3 7 4 2" xfId="31320"/>
    <cellStyle name="Normal 5 2 3 7 5" xfId="15191"/>
    <cellStyle name="Normal 5 2 3 7 5 2" xfId="31321"/>
    <cellStyle name="Normal 5 2 3 7 6" xfId="15192"/>
    <cellStyle name="Normal 5 2 3 7 6 2" xfId="31322"/>
    <cellStyle name="Normal 5 2 3 7 7" xfId="15193"/>
    <cellStyle name="Normal 5 2 3 7 7 2" xfId="31323"/>
    <cellStyle name="Normal 5 2 3 7 8" xfId="15194"/>
    <cellStyle name="Normal 5 2 3 7 8 2" xfId="31324"/>
    <cellStyle name="Normal 5 2 3 7 9" xfId="15195"/>
    <cellStyle name="Normal 5 2 3 7 9 2" xfId="31325"/>
    <cellStyle name="Normal 5 2 3 8" xfId="2125"/>
    <cellStyle name="Normal 5 2 3 8 10" xfId="15196"/>
    <cellStyle name="Normal 5 2 3 8 10 2" xfId="31326"/>
    <cellStyle name="Normal 5 2 3 8 11" xfId="6027"/>
    <cellStyle name="Normal 5 2 3 8 11 2" xfId="22189"/>
    <cellStyle name="Normal 5 2 3 8 12" xfId="19617"/>
    <cellStyle name="Normal 5 2 3 8 2" xfId="15197"/>
    <cellStyle name="Normal 5 2 3 8 2 2" xfId="31327"/>
    <cellStyle name="Normal 5 2 3 8 3" xfId="15198"/>
    <cellStyle name="Normal 5 2 3 8 3 2" xfId="31328"/>
    <cellStyle name="Normal 5 2 3 8 4" xfId="15199"/>
    <cellStyle name="Normal 5 2 3 8 4 2" xfId="31329"/>
    <cellStyle name="Normal 5 2 3 8 5" xfId="15200"/>
    <cellStyle name="Normal 5 2 3 8 5 2" xfId="31330"/>
    <cellStyle name="Normal 5 2 3 8 6" xfId="15201"/>
    <cellStyle name="Normal 5 2 3 8 6 2" xfId="31331"/>
    <cellStyle name="Normal 5 2 3 8 7" xfId="15202"/>
    <cellStyle name="Normal 5 2 3 8 7 2" xfId="31332"/>
    <cellStyle name="Normal 5 2 3 8 8" xfId="15203"/>
    <cellStyle name="Normal 5 2 3 8 8 2" xfId="31333"/>
    <cellStyle name="Normal 5 2 3 8 9" xfId="15204"/>
    <cellStyle name="Normal 5 2 3 8 9 2" xfId="31334"/>
    <cellStyle name="Normal 5 2 3 9" xfId="15205"/>
    <cellStyle name="Normal 5 2 3 9 2" xfId="31335"/>
    <cellStyle name="Normal 5 2 4" xfId="1305"/>
    <cellStyle name="Normal 5 2 4 10" xfId="15206"/>
    <cellStyle name="Normal 5 2 4 10 2" xfId="31336"/>
    <cellStyle name="Normal 5 2 4 11" xfId="15207"/>
    <cellStyle name="Normal 5 2 4 11 2" xfId="31337"/>
    <cellStyle name="Normal 5 2 4 12" xfId="15208"/>
    <cellStyle name="Normal 5 2 4 12 2" xfId="31338"/>
    <cellStyle name="Normal 5 2 4 13" xfId="15209"/>
    <cellStyle name="Normal 5 2 4 13 2" xfId="31339"/>
    <cellStyle name="Normal 5 2 4 14" xfId="15210"/>
    <cellStyle name="Normal 5 2 4 14 2" xfId="31340"/>
    <cellStyle name="Normal 5 2 4 15" xfId="15211"/>
    <cellStyle name="Normal 5 2 4 15 2" xfId="31341"/>
    <cellStyle name="Normal 5 2 4 16" xfId="15212"/>
    <cellStyle name="Normal 5 2 4 16 2" xfId="31342"/>
    <cellStyle name="Normal 5 2 4 17" xfId="15213"/>
    <cellStyle name="Normal 5 2 4 17 2" xfId="31343"/>
    <cellStyle name="Normal 5 2 4 18" xfId="5225"/>
    <cellStyle name="Normal 5 2 4 18 2" xfId="21387"/>
    <cellStyle name="Normal 5 2 4 19" xfId="19413"/>
    <cellStyle name="Normal 5 2 4 2" xfId="1495"/>
    <cellStyle name="Normal 5 2 4 2 10" xfId="15214"/>
    <cellStyle name="Normal 5 2 4 2 10 2" xfId="31344"/>
    <cellStyle name="Normal 5 2 4 2 11" xfId="15215"/>
    <cellStyle name="Normal 5 2 4 2 11 2" xfId="31345"/>
    <cellStyle name="Normal 5 2 4 2 12" xfId="15216"/>
    <cellStyle name="Normal 5 2 4 2 12 2" xfId="31346"/>
    <cellStyle name="Normal 5 2 4 2 13" xfId="5413"/>
    <cellStyle name="Normal 5 2 4 2 13 2" xfId="21575"/>
    <cellStyle name="Normal 5 2 4 2 14" xfId="19521"/>
    <cellStyle name="Normal 5 2 4 2 2" xfId="3518"/>
    <cellStyle name="Normal 5 2 4 2 2 10" xfId="15217"/>
    <cellStyle name="Normal 5 2 4 2 2 10 2" xfId="31347"/>
    <cellStyle name="Normal 5 2 4 2 2 11" xfId="7397"/>
    <cellStyle name="Normal 5 2 4 2 2 11 2" xfId="23559"/>
    <cellStyle name="Normal 5 2 4 2 2 12" xfId="19999"/>
    <cellStyle name="Normal 5 2 4 2 2 2" xfId="15218"/>
    <cellStyle name="Normal 5 2 4 2 2 2 2" xfId="15219"/>
    <cellStyle name="Normal 5 2 4 2 2 2 2 2" xfId="15220"/>
    <cellStyle name="Normal 5 2 4 2 2 2 2 2 2" xfId="31350"/>
    <cellStyle name="Normal 5 2 4 2 2 2 2 3" xfId="31349"/>
    <cellStyle name="Normal 5 2 4 2 2 2 3" xfId="15221"/>
    <cellStyle name="Normal 5 2 4 2 2 2 3 2" xfId="31351"/>
    <cellStyle name="Normal 5 2 4 2 2 2 4" xfId="31348"/>
    <cellStyle name="Normal 5 2 4 2 2 3" xfId="15222"/>
    <cellStyle name="Normal 5 2 4 2 2 3 2" xfId="15223"/>
    <cellStyle name="Normal 5 2 4 2 2 3 2 2" xfId="31353"/>
    <cellStyle name="Normal 5 2 4 2 2 3 3" xfId="31352"/>
    <cellStyle name="Normal 5 2 4 2 2 4" xfId="15224"/>
    <cellStyle name="Normal 5 2 4 2 2 4 2" xfId="15225"/>
    <cellStyle name="Normal 5 2 4 2 2 4 2 2" xfId="31355"/>
    <cellStyle name="Normal 5 2 4 2 2 4 3" xfId="31354"/>
    <cellStyle name="Normal 5 2 4 2 2 5" xfId="15226"/>
    <cellStyle name="Normal 5 2 4 2 2 5 2" xfId="31356"/>
    <cellStyle name="Normal 5 2 4 2 2 6" xfId="15227"/>
    <cellStyle name="Normal 5 2 4 2 2 6 2" xfId="31357"/>
    <cellStyle name="Normal 5 2 4 2 2 7" xfId="15228"/>
    <cellStyle name="Normal 5 2 4 2 2 7 2" xfId="31358"/>
    <cellStyle name="Normal 5 2 4 2 2 8" xfId="15229"/>
    <cellStyle name="Normal 5 2 4 2 2 8 2" xfId="31359"/>
    <cellStyle name="Normal 5 2 4 2 2 9" xfId="15230"/>
    <cellStyle name="Normal 5 2 4 2 2 9 2" xfId="31360"/>
    <cellStyle name="Normal 5 2 4 2 3" xfId="3519"/>
    <cellStyle name="Normal 5 2 4 2 3 10" xfId="15231"/>
    <cellStyle name="Normal 5 2 4 2 3 10 2" xfId="31361"/>
    <cellStyle name="Normal 5 2 4 2 3 11" xfId="7398"/>
    <cellStyle name="Normal 5 2 4 2 3 11 2" xfId="23560"/>
    <cellStyle name="Normal 5 2 4 2 3 12" xfId="20000"/>
    <cellStyle name="Normal 5 2 4 2 3 2" xfId="15232"/>
    <cellStyle name="Normal 5 2 4 2 3 2 2" xfId="15233"/>
    <cellStyle name="Normal 5 2 4 2 3 2 2 2" xfId="15234"/>
    <cellStyle name="Normal 5 2 4 2 3 2 2 2 2" xfId="31364"/>
    <cellStyle name="Normal 5 2 4 2 3 2 2 3" xfId="31363"/>
    <cellStyle name="Normal 5 2 4 2 3 2 3" xfId="15235"/>
    <cellStyle name="Normal 5 2 4 2 3 2 3 2" xfId="31365"/>
    <cellStyle name="Normal 5 2 4 2 3 2 4" xfId="31362"/>
    <cellStyle name="Normal 5 2 4 2 3 3" xfId="15236"/>
    <cellStyle name="Normal 5 2 4 2 3 3 2" xfId="15237"/>
    <cellStyle name="Normal 5 2 4 2 3 3 2 2" xfId="31367"/>
    <cellStyle name="Normal 5 2 4 2 3 3 3" xfId="31366"/>
    <cellStyle name="Normal 5 2 4 2 3 4" xfId="15238"/>
    <cellStyle name="Normal 5 2 4 2 3 4 2" xfId="15239"/>
    <cellStyle name="Normal 5 2 4 2 3 4 2 2" xfId="31369"/>
    <cellStyle name="Normal 5 2 4 2 3 4 3" xfId="31368"/>
    <cellStyle name="Normal 5 2 4 2 3 5" xfId="15240"/>
    <cellStyle name="Normal 5 2 4 2 3 5 2" xfId="31370"/>
    <cellStyle name="Normal 5 2 4 2 3 6" xfId="15241"/>
    <cellStyle name="Normal 5 2 4 2 3 6 2" xfId="31371"/>
    <cellStyle name="Normal 5 2 4 2 3 7" xfId="15242"/>
    <cellStyle name="Normal 5 2 4 2 3 7 2" xfId="31372"/>
    <cellStyle name="Normal 5 2 4 2 3 8" xfId="15243"/>
    <cellStyle name="Normal 5 2 4 2 3 8 2" xfId="31373"/>
    <cellStyle name="Normal 5 2 4 2 3 9" xfId="15244"/>
    <cellStyle name="Normal 5 2 4 2 3 9 2" xfId="31374"/>
    <cellStyle name="Normal 5 2 4 2 4" xfId="15245"/>
    <cellStyle name="Normal 5 2 4 2 4 2" xfId="15246"/>
    <cellStyle name="Normal 5 2 4 2 4 2 2" xfId="15247"/>
    <cellStyle name="Normal 5 2 4 2 4 2 2 2" xfId="31377"/>
    <cellStyle name="Normal 5 2 4 2 4 2 3" xfId="31376"/>
    <cellStyle name="Normal 5 2 4 2 4 3" xfId="15248"/>
    <cellStyle name="Normal 5 2 4 2 4 3 2" xfId="31378"/>
    <cellStyle name="Normal 5 2 4 2 4 4" xfId="31375"/>
    <cellStyle name="Normal 5 2 4 2 5" xfId="15249"/>
    <cellStyle name="Normal 5 2 4 2 5 2" xfId="15250"/>
    <cellStyle name="Normal 5 2 4 2 5 2 2" xfId="31380"/>
    <cellStyle name="Normal 5 2 4 2 5 3" xfId="31379"/>
    <cellStyle name="Normal 5 2 4 2 6" xfId="15251"/>
    <cellStyle name="Normal 5 2 4 2 6 2" xfId="15252"/>
    <cellStyle name="Normal 5 2 4 2 6 2 2" xfId="31382"/>
    <cellStyle name="Normal 5 2 4 2 6 3" xfId="31381"/>
    <cellStyle name="Normal 5 2 4 2 7" xfId="15253"/>
    <cellStyle name="Normal 5 2 4 2 7 2" xfId="31383"/>
    <cellStyle name="Normal 5 2 4 2 8" xfId="15254"/>
    <cellStyle name="Normal 5 2 4 2 8 2" xfId="31384"/>
    <cellStyle name="Normal 5 2 4 2 9" xfId="15255"/>
    <cellStyle name="Normal 5 2 4 2 9 2" xfId="31385"/>
    <cellStyle name="Normal 5 2 4 3" xfId="1517"/>
    <cellStyle name="Normal 5 2 4 3 10" xfId="15256"/>
    <cellStyle name="Normal 5 2 4 3 10 2" xfId="31386"/>
    <cellStyle name="Normal 5 2 4 3 11" xfId="15257"/>
    <cellStyle name="Normal 5 2 4 3 11 2" xfId="31387"/>
    <cellStyle name="Normal 5 2 4 3 12" xfId="15258"/>
    <cellStyle name="Normal 5 2 4 3 12 2" xfId="31388"/>
    <cellStyle name="Normal 5 2 4 3 13" xfId="5435"/>
    <cellStyle name="Normal 5 2 4 3 13 2" xfId="21597"/>
    <cellStyle name="Normal 5 2 4 3 14" xfId="19535"/>
    <cellStyle name="Normal 5 2 4 3 2" xfId="3520"/>
    <cellStyle name="Normal 5 2 4 3 2 10" xfId="15259"/>
    <cellStyle name="Normal 5 2 4 3 2 10 2" xfId="31389"/>
    <cellStyle name="Normal 5 2 4 3 2 11" xfId="7399"/>
    <cellStyle name="Normal 5 2 4 3 2 11 2" xfId="23561"/>
    <cellStyle name="Normal 5 2 4 3 2 12" xfId="20001"/>
    <cellStyle name="Normal 5 2 4 3 2 2" xfId="15260"/>
    <cellStyle name="Normal 5 2 4 3 2 2 2" xfId="15261"/>
    <cellStyle name="Normal 5 2 4 3 2 2 2 2" xfId="31391"/>
    <cellStyle name="Normal 5 2 4 3 2 2 3" xfId="31390"/>
    <cellStyle name="Normal 5 2 4 3 2 3" xfId="15262"/>
    <cellStyle name="Normal 5 2 4 3 2 3 2" xfId="31392"/>
    <cellStyle name="Normal 5 2 4 3 2 4" xfId="15263"/>
    <cellStyle name="Normal 5 2 4 3 2 4 2" xfId="31393"/>
    <cellStyle name="Normal 5 2 4 3 2 5" xfId="15264"/>
    <cellStyle name="Normal 5 2 4 3 2 5 2" xfId="31394"/>
    <cellStyle name="Normal 5 2 4 3 2 6" xfId="15265"/>
    <cellStyle name="Normal 5 2 4 3 2 6 2" xfId="31395"/>
    <cellStyle name="Normal 5 2 4 3 2 7" xfId="15266"/>
    <cellStyle name="Normal 5 2 4 3 2 7 2" xfId="31396"/>
    <cellStyle name="Normal 5 2 4 3 2 8" xfId="15267"/>
    <cellStyle name="Normal 5 2 4 3 2 8 2" xfId="31397"/>
    <cellStyle name="Normal 5 2 4 3 2 9" xfId="15268"/>
    <cellStyle name="Normal 5 2 4 3 2 9 2" xfId="31398"/>
    <cellStyle name="Normal 5 2 4 3 3" xfId="3521"/>
    <cellStyle name="Normal 5 2 4 3 3 10" xfId="15269"/>
    <cellStyle name="Normal 5 2 4 3 3 10 2" xfId="31399"/>
    <cellStyle name="Normal 5 2 4 3 3 11" xfId="7400"/>
    <cellStyle name="Normal 5 2 4 3 3 11 2" xfId="23562"/>
    <cellStyle name="Normal 5 2 4 3 3 12" xfId="20002"/>
    <cellStyle name="Normal 5 2 4 3 3 2" xfId="15270"/>
    <cellStyle name="Normal 5 2 4 3 3 2 2" xfId="31400"/>
    <cellStyle name="Normal 5 2 4 3 3 3" xfId="15271"/>
    <cellStyle name="Normal 5 2 4 3 3 3 2" xfId="31401"/>
    <cellStyle name="Normal 5 2 4 3 3 4" xfId="15272"/>
    <cellStyle name="Normal 5 2 4 3 3 4 2" xfId="31402"/>
    <cellStyle name="Normal 5 2 4 3 3 5" xfId="15273"/>
    <cellStyle name="Normal 5 2 4 3 3 5 2" xfId="31403"/>
    <cellStyle name="Normal 5 2 4 3 3 6" xfId="15274"/>
    <cellStyle name="Normal 5 2 4 3 3 6 2" xfId="31404"/>
    <cellStyle name="Normal 5 2 4 3 3 7" xfId="15275"/>
    <cellStyle name="Normal 5 2 4 3 3 7 2" xfId="31405"/>
    <cellStyle name="Normal 5 2 4 3 3 8" xfId="15276"/>
    <cellStyle name="Normal 5 2 4 3 3 8 2" xfId="31406"/>
    <cellStyle name="Normal 5 2 4 3 3 9" xfId="15277"/>
    <cellStyle name="Normal 5 2 4 3 3 9 2" xfId="31407"/>
    <cellStyle name="Normal 5 2 4 3 4" xfId="15278"/>
    <cellStyle name="Normal 5 2 4 3 4 2" xfId="15279"/>
    <cellStyle name="Normal 5 2 4 3 4 2 2" xfId="31409"/>
    <cellStyle name="Normal 5 2 4 3 4 3" xfId="31408"/>
    <cellStyle name="Normal 5 2 4 3 5" xfId="15280"/>
    <cellStyle name="Normal 5 2 4 3 5 2" xfId="31410"/>
    <cellStyle name="Normal 5 2 4 3 6" xfId="15281"/>
    <cellStyle name="Normal 5 2 4 3 6 2" xfId="31411"/>
    <cellStyle name="Normal 5 2 4 3 7" xfId="15282"/>
    <cellStyle name="Normal 5 2 4 3 7 2" xfId="31412"/>
    <cellStyle name="Normal 5 2 4 3 8" xfId="15283"/>
    <cellStyle name="Normal 5 2 4 3 8 2" xfId="31413"/>
    <cellStyle name="Normal 5 2 4 3 9" xfId="15284"/>
    <cellStyle name="Normal 5 2 4 3 9 2" xfId="31414"/>
    <cellStyle name="Normal 5 2 4 4" xfId="1535"/>
    <cellStyle name="Normal 5 2 4 4 10" xfId="15285"/>
    <cellStyle name="Normal 5 2 4 4 10 2" xfId="31415"/>
    <cellStyle name="Normal 5 2 4 4 11" xfId="15286"/>
    <cellStyle name="Normal 5 2 4 4 11 2" xfId="31416"/>
    <cellStyle name="Normal 5 2 4 4 12" xfId="15287"/>
    <cellStyle name="Normal 5 2 4 4 12 2" xfId="31417"/>
    <cellStyle name="Normal 5 2 4 4 13" xfId="5453"/>
    <cellStyle name="Normal 5 2 4 4 13 2" xfId="21615"/>
    <cellStyle name="Normal 5 2 4 4 14" xfId="19546"/>
    <cellStyle name="Normal 5 2 4 4 2" xfId="1175"/>
    <cellStyle name="Normal 5 2 4 4 2 10" xfId="15288"/>
    <cellStyle name="Normal 5 2 4 4 2 10 2" xfId="31418"/>
    <cellStyle name="Normal 5 2 4 4 2 11" xfId="5097"/>
    <cellStyle name="Normal 5 2 4 4 2 11 2" xfId="21259"/>
    <cellStyle name="Normal 5 2 4 4 2 12" xfId="19345"/>
    <cellStyle name="Normal 5 2 4 4 2 2" xfId="15289"/>
    <cellStyle name="Normal 5 2 4 4 2 2 2" xfId="15290"/>
    <cellStyle name="Normal 5 2 4 4 2 2 2 2" xfId="31420"/>
    <cellStyle name="Normal 5 2 4 4 2 2 3" xfId="31419"/>
    <cellStyle name="Normal 5 2 4 4 2 3" xfId="15291"/>
    <cellStyle name="Normal 5 2 4 4 2 3 2" xfId="31421"/>
    <cellStyle name="Normal 5 2 4 4 2 4" xfId="15292"/>
    <cellStyle name="Normal 5 2 4 4 2 4 2" xfId="31422"/>
    <cellStyle name="Normal 5 2 4 4 2 5" xfId="15293"/>
    <cellStyle name="Normal 5 2 4 4 2 5 2" xfId="31423"/>
    <cellStyle name="Normal 5 2 4 4 2 6" xfId="15294"/>
    <cellStyle name="Normal 5 2 4 4 2 6 2" xfId="31424"/>
    <cellStyle name="Normal 5 2 4 4 2 7" xfId="15295"/>
    <cellStyle name="Normal 5 2 4 4 2 7 2" xfId="31425"/>
    <cellStyle name="Normal 5 2 4 4 2 8" xfId="15296"/>
    <cellStyle name="Normal 5 2 4 4 2 8 2" xfId="31426"/>
    <cellStyle name="Normal 5 2 4 4 2 9" xfId="15297"/>
    <cellStyle name="Normal 5 2 4 4 2 9 2" xfId="31427"/>
    <cellStyle name="Normal 5 2 4 4 3" xfId="1179"/>
    <cellStyle name="Normal 5 2 4 4 3 10" xfId="15298"/>
    <cellStyle name="Normal 5 2 4 4 3 10 2" xfId="31428"/>
    <cellStyle name="Normal 5 2 4 4 3 11" xfId="5101"/>
    <cellStyle name="Normal 5 2 4 4 3 11 2" xfId="21263"/>
    <cellStyle name="Normal 5 2 4 4 3 12" xfId="19348"/>
    <cellStyle name="Normal 5 2 4 4 3 2" xfId="15299"/>
    <cellStyle name="Normal 5 2 4 4 3 2 2" xfId="31429"/>
    <cellStyle name="Normal 5 2 4 4 3 3" xfId="15300"/>
    <cellStyle name="Normal 5 2 4 4 3 3 2" xfId="31430"/>
    <cellStyle name="Normal 5 2 4 4 3 4" xfId="15301"/>
    <cellStyle name="Normal 5 2 4 4 3 4 2" xfId="31431"/>
    <cellStyle name="Normal 5 2 4 4 3 5" xfId="15302"/>
    <cellStyle name="Normal 5 2 4 4 3 5 2" xfId="31432"/>
    <cellStyle name="Normal 5 2 4 4 3 6" xfId="15303"/>
    <cellStyle name="Normal 5 2 4 4 3 6 2" xfId="31433"/>
    <cellStyle name="Normal 5 2 4 4 3 7" xfId="15304"/>
    <cellStyle name="Normal 5 2 4 4 3 7 2" xfId="31434"/>
    <cellStyle name="Normal 5 2 4 4 3 8" xfId="15305"/>
    <cellStyle name="Normal 5 2 4 4 3 8 2" xfId="31435"/>
    <cellStyle name="Normal 5 2 4 4 3 9" xfId="15306"/>
    <cellStyle name="Normal 5 2 4 4 3 9 2" xfId="31436"/>
    <cellStyle name="Normal 5 2 4 4 4" xfId="15307"/>
    <cellStyle name="Normal 5 2 4 4 4 2" xfId="15308"/>
    <cellStyle name="Normal 5 2 4 4 4 2 2" xfId="31438"/>
    <cellStyle name="Normal 5 2 4 4 4 3" xfId="31437"/>
    <cellStyle name="Normal 5 2 4 4 5" xfId="15309"/>
    <cellStyle name="Normal 5 2 4 4 5 2" xfId="31439"/>
    <cellStyle name="Normal 5 2 4 4 6" xfId="15310"/>
    <cellStyle name="Normal 5 2 4 4 6 2" xfId="31440"/>
    <cellStyle name="Normal 5 2 4 4 7" xfId="15311"/>
    <cellStyle name="Normal 5 2 4 4 7 2" xfId="31441"/>
    <cellStyle name="Normal 5 2 4 4 8" xfId="15312"/>
    <cellStyle name="Normal 5 2 4 4 8 2" xfId="31442"/>
    <cellStyle name="Normal 5 2 4 4 9" xfId="15313"/>
    <cellStyle name="Normal 5 2 4 4 9 2" xfId="31443"/>
    <cellStyle name="Normal 5 2 4 5" xfId="2379"/>
    <cellStyle name="Normal 5 2 4 5 10" xfId="15314"/>
    <cellStyle name="Normal 5 2 4 5 10 2" xfId="31444"/>
    <cellStyle name="Normal 5 2 4 5 11" xfId="15315"/>
    <cellStyle name="Normal 5 2 4 5 11 2" xfId="31445"/>
    <cellStyle name="Normal 5 2 4 5 12" xfId="15316"/>
    <cellStyle name="Normal 5 2 4 5 12 2" xfId="31446"/>
    <cellStyle name="Normal 5 2 4 5 13" xfId="6274"/>
    <cellStyle name="Normal 5 2 4 5 13 2" xfId="22436"/>
    <cellStyle name="Normal 5 2 4 5 14" xfId="19637"/>
    <cellStyle name="Normal 5 2 4 5 2" xfId="400"/>
    <cellStyle name="Normal 5 2 4 5 2 10" xfId="15317"/>
    <cellStyle name="Normal 5 2 4 5 2 10 2" xfId="31447"/>
    <cellStyle name="Normal 5 2 4 5 2 11" xfId="4348"/>
    <cellStyle name="Normal 5 2 4 5 2 11 2" xfId="20511"/>
    <cellStyle name="Normal 5 2 4 5 2 12" xfId="19077"/>
    <cellStyle name="Normal 5 2 4 5 2 2" xfId="15318"/>
    <cellStyle name="Normal 5 2 4 5 2 2 2" xfId="15319"/>
    <cellStyle name="Normal 5 2 4 5 2 2 2 2" xfId="31449"/>
    <cellStyle name="Normal 5 2 4 5 2 2 3" xfId="31448"/>
    <cellStyle name="Normal 5 2 4 5 2 3" xfId="15320"/>
    <cellStyle name="Normal 5 2 4 5 2 3 2" xfId="31450"/>
    <cellStyle name="Normal 5 2 4 5 2 4" xfId="15321"/>
    <cellStyle name="Normal 5 2 4 5 2 4 2" xfId="31451"/>
    <cellStyle name="Normal 5 2 4 5 2 5" xfId="15322"/>
    <cellStyle name="Normal 5 2 4 5 2 5 2" xfId="31452"/>
    <cellStyle name="Normal 5 2 4 5 2 6" xfId="15323"/>
    <cellStyle name="Normal 5 2 4 5 2 6 2" xfId="31453"/>
    <cellStyle name="Normal 5 2 4 5 2 7" xfId="15324"/>
    <cellStyle name="Normal 5 2 4 5 2 7 2" xfId="31454"/>
    <cellStyle name="Normal 5 2 4 5 2 8" xfId="15325"/>
    <cellStyle name="Normal 5 2 4 5 2 8 2" xfId="31455"/>
    <cellStyle name="Normal 5 2 4 5 2 9" xfId="15326"/>
    <cellStyle name="Normal 5 2 4 5 2 9 2" xfId="31456"/>
    <cellStyle name="Normal 5 2 4 5 3" xfId="1189"/>
    <cellStyle name="Normal 5 2 4 5 3 10" xfId="15327"/>
    <cellStyle name="Normal 5 2 4 5 3 10 2" xfId="31457"/>
    <cellStyle name="Normal 5 2 4 5 3 11" xfId="5110"/>
    <cellStyle name="Normal 5 2 4 5 3 11 2" xfId="21272"/>
    <cellStyle name="Normal 5 2 4 5 3 12" xfId="19354"/>
    <cellStyle name="Normal 5 2 4 5 3 2" xfId="15328"/>
    <cellStyle name="Normal 5 2 4 5 3 2 2" xfId="31458"/>
    <cellStyle name="Normal 5 2 4 5 3 3" xfId="15329"/>
    <cellStyle name="Normal 5 2 4 5 3 3 2" xfId="31459"/>
    <cellStyle name="Normal 5 2 4 5 3 4" xfId="15330"/>
    <cellStyle name="Normal 5 2 4 5 3 4 2" xfId="31460"/>
    <cellStyle name="Normal 5 2 4 5 3 5" xfId="15331"/>
    <cellStyle name="Normal 5 2 4 5 3 5 2" xfId="31461"/>
    <cellStyle name="Normal 5 2 4 5 3 6" xfId="15332"/>
    <cellStyle name="Normal 5 2 4 5 3 6 2" xfId="31462"/>
    <cellStyle name="Normal 5 2 4 5 3 7" xfId="15333"/>
    <cellStyle name="Normal 5 2 4 5 3 7 2" xfId="31463"/>
    <cellStyle name="Normal 5 2 4 5 3 8" xfId="15334"/>
    <cellStyle name="Normal 5 2 4 5 3 8 2" xfId="31464"/>
    <cellStyle name="Normal 5 2 4 5 3 9" xfId="15335"/>
    <cellStyle name="Normal 5 2 4 5 3 9 2" xfId="31465"/>
    <cellStyle name="Normal 5 2 4 5 4" xfId="15336"/>
    <cellStyle name="Normal 5 2 4 5 4 2" xfId="15337"/>
    <cellStyle name="Normal 5 2 4 5 4 2 2" xfId="31467"/>
    <cellStyle name="Normal 5 2 4 5 4 3" xfId="31466"/>
    <cellStyle name="Normal 5 2 4 5 5" xfId="15338"/>
    <cellStyle name="Normal 5 2 4 5 5 2" xfId="31468"/>
    <cellStyle name="Normal 5 2 4 5 6" xfId="15339"/>
    <cellStyle name="Normal 5 2 4 5 6 2" xfId="31469"/>
    <cellStyle name="Normal 5 2 4 5 7" xfId="15340"/>
    <cellStyle name="Normal 5 2 4 5 7 2" xfId="31470"/>
    <cellStyle name="Normal 5 2 4 5 8" xfId="15341"/>
    <cellStyle name="Normal 5 2 4 5 8 2" xfId="31471"/>
    <cellStyle name="Normal 5 2 4 5 9" xfId="15342"/>
    <cellStyle name="Normal 5 2 4 5 9 2" xfId="31472"/>
    <cellStyle name="Normal 5 2 4 6" xfId="2381"/>
    <cellStyle name="Normal 5 2 4 6 10" xfId="15343"/>
    <cellStyle name="Normal 5 2 4 6 10 2" xfId="31473"/>
    <cellStyle name="Normal 5 2 4 6 11" xfId="15344"/>
    <cellStyle name="Normal 5 2 4 6 11 2" xfId="31474"/>
    <cellStyle name="Normal 5 2 4 6 12" xfId="15345"/>
    <cellStyle name="Normal 5 2 4 6 12 2" xfId="31475"/>
    <cellStyle name="Normal 5 2 4 6 13" xfId="6276"/>
    <cellStyle name="Normal 5 2 4 6 13 2" xfId="22438"/>
    <cellStyle name="Normal 5 2 4 6 14" xfId="19638"/>
    <cellStyle name="Normal 5 2 4 6 2" xfId="164"/>
    <cellStyle name="Normal 5 2 4 6 2 10" xfId="15346"/>
    <cellStyle name="Normal 5 2 4 6 2 10 2" xfId="31476"/>
    <cellStyle name="Normal 5 2 4 6 2 11" xfId="4097"/>
    <cellStyle name="Normal 5 2 4 6 2 11 2" xfId="20260"/>
    <cellStyle name="Normal 5 2 4 6 2 12" xfId="19006"/>
    <cellStyle name="Normal 5 2 4 6 2 2" xfId="15347"/>
    <cellStyle name="Normal 5 2 4 6 2 2 2" xfId="15348"/>
    <cellStyle name="Normal 5 2 4 6 2 2 2 2" xfId="31478"/>
    <cellStyle name="Normal 5 2 4 6 2 2 3" xfId="31477"/>
    <cellStyle name="Normal 5 2 4 6 2 3" xfId="15349"/>
    <cellStyle name="Normal 5 2 4 6 2 3 2" xfId="31479"/>
    <cellStyle name="Normal 5 2 4 6 2 4" xfId="15350"/>
    <cellStyle name="Normal 5 2 4 6 2 4 2" xfId="31480"/>
    <cellStyle name="Normal 5 2 4 6 2 5" xfId="15351"/>
    <cellStyle name="Normal 5 2 4 6 2 5 2" xfId="31481"/>
    <cellStyle name="Normal 5 2 4 6 2 6" xfId="15352"/>
    <cellStyle name="Normal 5 2 4 6 2 6 2" xfId="31482"/>
    <cellStyle name="Normal 5 2 4 6 2 7" xfId="15353"/>
    <cellStyle name="Normal 5 2 4 6 2 7 2" xfId="31483"/>
    <cellStyle name="Normal 5 2 4 6 2 8" xfId="15354"/>
    <cellStyle name="Normal 5 2 4 6 2 8 2" xfId="31484"/>
    <cellStyle name="Normal 5 2 4 6 2 9" xfId="15355"/>
    <cellStyle name="Normal 5 2 4 6 2 9 2" xfId="31485"/>
    <cellStyle name="Normal 5 2 4 6 3" xfId="178"/>
    <cellStyle name="Normal 5 2 4 6 3 10" xfId="15356"/>
    <cellStyle name="Normal 5 2 4 6 3 10 2" xfId="31486"/>
    <cellStyle name="Normal 5 2 4 6 3 11" xfId="4112"/>
    <cellStyle name="Normal 5 2 4 6 3 11 2" xfId="20275"/>
    <cellStyle name="Normal 5 2 4 6 3 12" xfId="19012"/>
    <cellStyle name="Normal 5 2 4 6 3 2" xfId="15357"/>
    <cellStyle name="Normal 5 2 4 6 3 2 2" xfId="31487"/>
    <cellStyle name="Normal 5 2 4 6 3 3" xfId="15358"/>
    <cellStyle name="Normal 5 2 4 6 3 3 2" xfId="31488"/>
    <cellStyle name="Normal 5 2 4 6 3 4" xfId="15359"/>
    <cellStyle name="Normal 5 2 4 6 3 4 2" xfId="31489"/>
    <cellStyle name="Normal 5 2 4 6 3 5" xfId="15360"/>
    <cellStyle name="Normal 5 2 4 6 3 5 2" xfId="31490"/>
    <cellStyle name="Normal 5 2 4 6 3 6" xfId="15361"/>
    <cellStyle name="Normal 5 2 4 6 3 6 2" xfId="31491"/>
    <cellStyle name="Normal 5 2 4 6 3 7" xfId="15362"/>
    <cellStyle name="Normal 5 2 4 6 3 7 2" xfId="31492"/>
    <cellStyle name="Normal 5 2 4 6 3 8" xfId="15363"/>
    <cellStyle name="Normal 5 2 4 6 3 8 2" xfId="31493"/>
    <cellStyle name="Normal 5 2 4 6 3 9" xfId="15364"/>
    <cellStyle name="Normal 5 2 4 6 3 9 2" xfId="31494"/>
    <cellStyle name="Normal 5 2 4 6 4" xfId="15365"/>
    <cellStyle name="Normal 5 2 4 6 4 2" xfId="15366"/>
    <cellStyle name="Normal 5 2 4 6 4 2 2" xfId="31496"/>
    <cellStyle name="Normal 5 2 4 6 4 3" xfId="31495"/>
    <cellStyle name="Normal 5 2 4 6 5" xfId="15367"/>
    <cellStyle name="Normal 5 2 4 6 5 2" xfId="31497"/>
    <cellStyle name="Normal 5 2 4 6 6" xfId="15368"/>
    <cellStyle name="Normal 5 2 4 6 6 2" xfId="31498"/>
    <cellStyle name="Normal 5 2 4 6 7" xfId="15369"/>
    <cellStyle name="Normal 5 2 4 6 7 2" xfId="31499"/>
    <cellStyle name="Normal 5 2 4 6 8" xfId="15370"/>
    <cellStyle name="Normal 5 2 4 6 8 2" xfId="31500"/>
    <cellStyle name="Normal 5 2 4 6 9" xfId="15371"/>
    <cellStyle name="Normal 5 2 4 6 9 2" xfId="31501"/>
    <cellStyle name="Normal 5 2 4 7" xfId="3522"/>
    <cellStyle name="Normal 5 2 4 7 10" xfId="15372"/>
    <cellStyle name="Normal 5 2 4 7 10 2" xfId="31502"/>
    <cellStyle name="Normal 5 2 4 7 11" xfId="7401"/>
    <cellStyle name="Normal 5 2 4 7 11 2" xfId="23563"/>
    <cellStyle name="Normal 5 2 4 7 12" xfId="20003"/>
    <cellStyle name="Normal 5 2 4 7 2" xfId="15373"/>
    <cellStyle name="Normal 5 2 4 7 2 2" xfId="15374"/>
    <cellStyle name="Normal 5 2 4 7 2 2 2" xfId="31504"/>
    <cellStyle name="Normal 5 2 4 7 2 3" xfId="31503"/>
    <cellStyle name="Normal 5 2 4 7 3" xfId="15375"/>
    <cellStyle name="Normal 5 2 4 7 3 2" xfId="31505"/>
    <cellStyle name="Normal 5 2 4 7 4" xfId="15376"/>
    <cellStyle name="Normal 5 2 4 7 4 2" xfId="31506"/>
    <cellStyle name="Normal 5 2 4 7 5" xfId="15377"/>
    <cellStyle name="Normal 5 2 4 7 5 2" xfId="31507"/>
    <cellStyle name="Normal 5 2 4 7 6" xfId="15378"/>
    <cellStyle name="Normal 5 2 4 7 6 2" xfId="31508"/>
    <cellStyle name="Normal 5 2 4 7 7" xfId="15379"/>
    <cellStyle name="Normal 5 2 4 7 7 2" xfId="31509"/>
    <cellStyle name="Normal 5 2 4 7 8" xfId="15380"/>
    <cellStyle name="Normal 5 2 4 7 8 2" xfId="31510"/>
    <cellStyle name="Normal 5 2 4 7 9" xfId="15381"/>
    <cellStyle name="Normal 5 2 4 7 9 2" xfId="31511"/>
    <cellStyle name="Normal 5 2 4 8" xfId="943"/>
    <cellStyle name="Normal 5 2 4 8 10" xfId="15382"/>
    <cellStyle name="Normal 5 2 4 8 10 2" xfId="31512"/>
    <cellStyle name="Normal 5 2 4 8 11" xfId="4866"/>
    <cellStyle name="Normal 5 2 4 8 11 2" xfId="21028"/>
    <cellStyle name="Normal 5 2 4 8 12" xfId="19242"/>
    <cellStyle name="Normal 5 2 4 8 2" xfId="15383"/>
    <cellStyle name="Normal 5 2 4 8 2 2" xfId="31513"/>
    <cellStyle name="Normal 5 2 4 8 3" xfId="15384"/>
    <cellStyle name="Normal 5 2 4 8 3 2" xfId="31514"/>
    <cellStyle name="Normal 5 2 4 8 4" xfId="15385"/>
    <cellStyle name="Normal 5 2 4 8 4 2" xfId="31515"/>
    <cellStyle name="Normal 5 2 4 8 5" xfId="15386"/>
    <cellStyle name="Normal 5 2 4 8 5 2" xfId="31516"/>
    <cellStyle name="Normal 5 2 4 8 6" xfId="15387"/>
    <cellStyle name="Normal 5 2 4 8 6 2" xfId="31517"/>
    <cellStyle name="Normal 5 2 4 8 7" xfId="15388"/>
    <cellStyle name="Normal 5 2 4 8 7 2" xfId="31518"/>
    <cellStyle name="Normal 5 2 4 8 8" xfId="15389"/>
    <cellStyle name="Normal 5 2 4 8 8 2" xfId="31519"/>
    <cellStyle name="Normal 5 2 4 8 9" xfId="15390"/>
    <cellStyle name="Normal 5 2 4 8 9 2" xfId="31520"/>
    <cellStyle name="Normal 5 2 4 9" xfId="15391"/>
    <cellStyle name="Normal 5 2 4 9 2" xfId="15392"/>
    <cellStyle name="Normal 5 2 4 9 2 2" xfId="31522"/>
    <cellStyle name="Normal 5 2 4 9 3" xfId="31521"/>
    <cellStyle name="Normal 5 2 5" xfId="1308"/>
    <cellStyle name="Normal 5 2 5 10" xfId="15393"/>
    <cellStyle name="Normal 5 2 5 10 2" xfId="31523"/>
    <cellStyle name="Normal 5 2 5 11" xfId="15394"/>
    <cellStyle name="Normal 5 2 5 11 2" xfId="31524"/>
    <cellStyle name="Normal 5 2 5 12" xfId="15395"/>
    <cellStyle name="Normal 5 2 5 12 2" xfId="31525"/>
    <cellStyle name="Normal 5 2 5 13" xfId="15396"/>
    <cellStyle name="Normal 5 2 5 13 2" xfId="31526"/>
    <cellStyle name="Normal 5 2 5 14" xfId="15397"/>
    <cellStyle name="Normal 5 2 5 14 2" xfId="31527"/>
    <cellStyle name="Normal 5 2 5 15" xfId="15398"/>
    <cellStyle name="Normal 5 2 5 15 2" xfId="31528"/>
    <cellStyle name="Normal 5 2 5 16" xfId="15399"/>
    <cellStyle name="Normal 5 2 5 16 2" xfId="31529"/>
    <cellStyle name="Normal 5 2 5 17" xfId="15400"/>
    <cellStyle name="Normal 5 2 5 17 2" xfId="31530"/>
    <cellStyle name="Normal 5 2 5 18" xfId="5228"/>
    <cellStyle name="Normal 5 2 5 18 2" xfId="21390"/>
    <cellStyle name="Normal 5 2 5 19" xfId="19416"/>
    <cellStyle name="Normal 5 2 5 2" xfId="3523"/>
    <cellStyle name="Normal 5 2 5 2 10" xfId="15401"/>
    <cellStyle name="Normal 5 2 5 2 10 2" xfId="31531"/>
    <cellStyle name="Normal 5 2 5 2 11" xfId="15402"/>
    <cellStyle name="Normal 5 2 5 2 11 2" xfId="31532"/>
    <cellStyle name="Normal 5 2 5 2 12" xfId="15403"/>
    <cellStyle name="Normal 5 2 5 2 12 2" xfId="31533"/>
    <cellStyle name="Normal 5 2 5 2 13" xfId="7402"/>
    <cellStyle name="Normal 5 2 5 2 13 2" xfId="23564"/>
    <cellStyle name="Normal 5 2 5 2 14" xfId="20004"/>
    <cellStyle name="Normal 5 2 5 2 2" xfId="3524"/>
    <cellStyle name="Normal 5 2 5 2 2 10" xfId="15404"/>
    <cellStyle name="Normal 5 2 5 2 2 10 2" xfId="31534"/>
    <cellStyle name="Normal 5 2 5 2 2 11" xfId="7403"/>
    <cellStyle name="Normal 5 2 5 2 2 11 2" xfId="23565"/>
    <cellStyle name="Normal 5 2 5 2 2 12" xfId="20005"/>
    <cellStyle name="Normal 5 2 5 2 2 2" xfId="15405"/>
    <cellStyle name="Normal 5 2 5 2 2 2 2" xfId="15406"/>
    <cellStyle name="Normal 5 2 5 2 2 2 2 2" xfId="31536"/>
    <cellStyle name="Normal 5 2 5 2 2 2 3" xfId="31535"/>
    <cellStyle name="Normal 5 2 5 2 2 3" xfId="15407"/>
    <cellStyle name="Normal 5 2 5 2 2 3 2" xfId="31537"/>
    <cellStyle name="Normal 5 2 5 2 2 4" xfId="15408"/>
    <cellStyle name="Normal 5 2 5 2 2 4 2" xfId="31538"/>
    <cellStyle name="Normal 5 2 5 2 2 5" xfId="15409"/>
    <cellStyle name="Normal 5 2 5 2 2 5 2" xfId="31539"/>
    <cellStyle name="Normal 5 2 5 2 2 6" xfId="15410"/>
    <cellStyle name="Normal 5 2 5 2 2 6 2" xfId="31540"/>
    <cellStyle name="Normal 5 2 5 2 2 7" xfId="15411"/>
    <cellStyle name="Normal 5 2 5 2 2 7 2" xfId="31541"/>
    <cellStyle name="Normal 5 2 5 2 2 8" xfId="15412"/>
    <cellStyle name="Normal 5 2 5 2 2 8 2" xfId="31542"/>
    <cellStyle name="Normal 5 2 5 2 2 9" xfId="15413"/>
    <cellStyle name="Normal 5 2 5 2 2 9 2" xfId="31543"/>
    <cellStyle name="Normal 5 2 5 2 3" xfId="3525"/>
    <cellStyle name="Normal 5 2 5 2 3 10" xfId="15414"/>
    <cellStyle name="Normal 5 2 5 2 3 10 2" xfId="31544"/>
    <cellStyle name="Normal 5 2 5 2 3 11" xfId="7404"/>
    <cellStyle name="Normal 5 2 5 2 3 11 2" xfId="23566"/>
    <cellStyle name="Normal 5 2 5 2 3 12" xfId="20006"/>
    <cellStyle name="Normal 5 2 5 2 3 2" xfId="15415"/>
    <cellStyle name="Normal 5 2 5 2 3 2 2" xfId="31545"/>
    <cellStyle name="Normal 5 2 5 2 3 3" xfId="15416"/>
    <cellStyle name="Normal 5 2 5 2 3 3 2" xfId="31546"/>
    <cellStyle name="Normal 5 2 5 2 3 4" xfId="15417"/>
    <cellStyle name="Normal 5 2 5 2 3 4 2" xfId="31547"/>
    <cellStyle name="Normal 5 2 5 2 3 5" xfId="15418"/>
    <cellStyle name="Normal 5 2 5 2 3 5 2" xfId="31548"/>
    <cellStyle name="Normal 5 2 5 2 3 6" xfId="15419"/>
    <cellStyle name="Normal 5 2 5 2 3 6 2" xfId="31549"/>
    <cellStyle name="Normal 5 2 5 2 3 7" xfId="15420"/>
    <cellStyle name="Normal 5 2 5 2 3 7 2" xfId="31550"/>
    <cellStyle name="Normal 5 2 5 2 3 8" xfId="15421"/>
    <cellStyle name="Normal 5 2 5 2 3 8 2" xfId="31551"/>
    <cellStyle name="Normal 5 2 5 2 3 9" xfId="15422"/>
    <cellStyle name="Normal 5 2 5 2 3 9 2" xfId="31552"/>
    <cellStyle name="Normal 5 2 5 2 4" xfId="15423"/>
    <cellStyle name="Normal 5 2 5 2 4 2" xfId="15424"/>
    <cellStyle name="Normal 5 2 5 2 4 2 2" xfId="31554"/>
    <cellStyle name="Normal 5 2 5 2 4 3" xfId="31553"/>
    <cellStyle name="Normal 5 2 5 2 5" xfId="15425"/>
    <cellStyle name="Normal 5 2 5 2 5 2" xfId="31555"/>
    <cellStyle name="Normal 5 2 5 2 6" xfId="15426"/>
    <cellStyle name="Normal 5 2 5 2 6 2" xfId="31556"/>
    <cellStyle name="Normal 5 2 5 2 7" xfId="15427"/>
    <cellStyle name="Normal 5 2 5 2 7 2" xfId="31557"/>
    <cellStyle name="Normal 5 2 5 2 8" xfId="15428"/>
    <cellStyle name="Normal 5 2 5 2 8 2" xfId="31558"/>
    <cellStyle name="Normal 5 2 5 2 9" xfId="15429"/>
    <cellStyle name="Normal 5 2 5 2 9 2" xfId="31559"/>
    <cellStyle name="Normal 5 2 5 3" xfId="3526"/>
    <cellStyle name="Normal 5 2 5 3 10" xfId="15430"/>
    <cellStyle name="Normal 5 2 5 3 10 2" xfId="31560"/>
    <cellStyle name="Normal 5 2 5 3 11" xfId="15431"/>
    <cellStyle name="Normal 5 2 5 3 11 2" xfId="31561"/>
    <cellStyle name="Normal 5 2 5 3 12" xfId="15432"/>
    <cellStyle name="Normal 5 2 5 3 12 2" xfId="31562"/>
    <cellStyle name="Normal 5 2 5 3 13" xfId="7405"/>
    <cellStyle name="Normal 5 2 5 3 13 2" xfId="23567"/>
    <cellStyle name="Normal 5 2 5 3 14" xfId="20007"/>
    <cellStyle name="Normal 5 2 5 3 2" xfId="3527"/>
    <cellStyle name="Normal 5 2 5 3 2 10" xfId="15433"/>
    <cellStyle name="Normal 5 2 5 3 2 10 2" xfId="31563"/>
    <cellStyle name="Normal 5 2 5 3 2 11" xfId="7406"/>
    <cellStyle name="Normal 5 2 5 3 2 11 2" xfId="23568"/>
    <cellStyle name="Normal 5 2 5 3 2 12" xfId="20008"/>
    <cellStyle name="Normal 5 2 5 3 2 2" xfId="15434"/>
    <cellStyle name="Normal 5 2 5 3 2 2 2" xfId="15435"/>
    <cellStyle name="Normal 5 2 5 3 2 2 2 2" xfId="31565"/>
    <cellStyle name="Normal 5 2 5 3 2 2 3" xfId="31564"/>
    <cellStyle name="Normal 5 2 5 3 2 3" xfId="15436"/>
    <cellStyle name="Normal 5 2 5 3 2 3 2" xfId="31566"/>
    <cellStyle name="Normal 5 2 5 3 2 4" xfId="15437"/>
    <cellStyle name="Normal 5 2 5 3 2 4 2" xfId="31567"/>
    <cellStyle name="Normal 5 2 5 3 2 5" xfId="15438"/>
    <cellStyle name="Normal 5 2 5 3 2 5 2" xfId="31568"/>
    <cellStyle name="Normal 5 2 5 3 2 6" xfId="15439"/>
    <cellStyle name="Normal 5 2 5 3 2 6 2" xfId="31569"/>
    <cellStyle name="Normal 5 2 5 3 2 7" xfId="15440"/>
    <cellStyle name="Normal 5 2 5 3 2 7 2" xfId="31570"/>
    <cellStyle name="Normal 5 2 5 3 2 8" xfId="15441"/>
    <cellStyle name="Normal 5 2 5 3 2 8 2" xfId="31571"/>
    <cellStyle name="Normal 5 2 5 3 2 9" xfId="15442"/>
    <cellStyle name="Normal 5 2 5 3 2 9 2" xfId="31572"/>
    <cellStyle name="Normal 5 2 5 3 3" xfId="3528"/>
    <cellStyle name="Normal 5 2 5 3 3 10" xfId="15443"/>
    <cellStyle name="Normal 5 2 5 3 3 10 2" xfId="31573"/>
    <cellStyle name="Normal 5 2 5 3 3 11" xfId="7407"/>
    <cellStyle name="Normal 5 2 5 3 3 11 2" xfId="23569"/>
    <cellStyle name="Normal 5 2 5 3 3 12" xfId="20009"/>
    <cellStyle name="Normal 5 2 5 3 3 2" xfId="15444"/>
    <cellStyle name="Normal 5 2 5 3 3 2 2" xfId="31574"/>
    <cellStyle name="Normal 5 2 5 3 3 3" xfId="15445"/>
    <cellStyle name="Normal 5 2 5 3 3 3 2" xfId="31575"/>
    <cellStyle name="Normal 5 2 5 3 3 4" xfId="15446"/>
    <cellStyle name="Normal 5 2 5 3 3 4 2" xfId="31576"/>
    <cellStyle name="Normal 5 2 5 3 3 5" xfId="15447"/>
    <cellStyle name="Normal 5 2 5 3 3 5 2" xfId="31577"/>
    <cellStyle name="Normal 5 2 5 3 3 6" xfId="15448"/>
    <cellStyle name="Normal 5 2 5 3 3 6 2" xfId="31578"/>
    <cellStyle name="Normal 5 2 5 3 3 7" xfId="15449"/>
    <cellStyle name="Normal 5 2 5 3 3 7 2" xfId="31579"/>
    <cellStyle name="Normal 5 2 5 3 3 8" xfId="15450"/>
    <cellStyle name="Normal 5 2 5 3 3 8 2" xfId="31580"/>
    <cellStyle name="Normal 5 2 5 3 3 9" xfId="15451"/>
    <cellStyle name="Normal 5 2 5 3 3 9 2" xfId="31581"/>
    <cellStyle name="Normal 5 2 5 3 4" xfId="15452"/>
    <cellStyle name="Normal 5 2 5 3 4 2" xfId="15453"/>
    <cellStyle name="Normal 5 2 5 3 4 2 2" xfId="31583"/>
    <cellStyle name="Normal 5 2 5 3 4 3" xfId="31582"/>
    <cellStyle name="Normal 5 2 5 3 5" xfId="15454"/>
    <cellStyle name="Normal 5 2 5 3 5 2" xfId="31584"/>
    <cellStyle name="Normal 5 2 5 3 6" xfId="15455"/>
    <cellStyle name="Normal 5 2 5 3 6 2" xfId="31585"/>
    <cellStyle name="Normal 5 2 5 3 7" xfId="15456"/>
    <cellStyle name="Normal 5 2 5 3 7 2" xfId="31586"/>
    <cellStyle name="Normal 5 2 5 3 8" xfId="15457"/>
    <cellStyle name="Normal 5 2 5 3 8 2" xfId="31587"/>
    <cellStyle name="Normal 5 2 5 3 9" xfId="15458"/>
    <cellStyle name="Normal 5 2 5 3 9 2" xfId="31588"/>
    <cellStyle name="Normal 5 2 5 4" xfId="3529"/>
    <cellStyle name="Normal 5 2 5 4 10" xfId="15459"/>
    <cellStyle name="Normal 5 2 5 4 10 2" xfId="31589"/>
    <cellStyle name="Normal 5 2 5 4 11" xfId="15460"/>
    <cellStyle name="Normal 5 2 5 4 11 2" xfId="31590"/>
    <cellStyle name="Normal 5 2 5 4 12" xfId="15461"/>
    <cellStyle name="Normal 5 2 5 4 12 2" xfId="31591"/>
    <cellStyle name="Normal 5 2 5 4 13" xfId="7408"/>
    <cellStyle name="Normal 5 2 5 4 13 2" xfId="23570"/>
    <cellStyle name="Normal 5 2 5 4 14" xfId="20010"/>
    <cellStyle name="Normal 5 2 5 4 2" xfId="3530"/>
    <cellStyle name="Normal 5 2 5 4 2 10" xfId="15462"/>
    <cellStyle name="Normal 5 2 5 4 2 10 2" xfId="31592"/>
    <cellStyle name="Normal 5 2 5 4 2 11" xfId="7409"/>
    <cellStyle name="Normal 5 2 5 4 2 11 2" xfId="23571"/>
    <cellStyle name="Normal 5 2 5 4 2 12" xfId="20011"/>
    <cellStyle name="Normal 5 2 5 4 2 2" xfId="15463"/>
    <cellStyle name="Normal 5 2 5 4 2 2 2" xfId="15464"/>
    <cellStyle name="Normal 5 2 5 4 2 2 2 2" xfId="31594"/>
    <cellStyle name="Normal 5 2 5 4 2 2 3" xfId="31593"/>
    <cellStyle name="Normal 5 2 5 4 2 3" xfId="15465"/>
    <cellStyle name="Normal 5 2 5 4 2 3 2" xfId="31595"/>
    <cellStyle name="Normal 5 2 5 4 2 4" xfId="15466"/>
    <cellStyle name="Normal 5 2 5 4 2 4 2" xfId="31596"/>
    <cellStyle name="Normal 5 2 5 4 2 5" xfId="15467"/>
    <cellStyle name="Normal 5 2 5 4 2 5 2" xfId="31597"/>
    <cellStyle name="Normal 5 2 5 4 2 6" xfId="15468"/>
    <cellStyle name="Normal 5 2 5 4 2 6 2" xfId="31598"/>
    <cellStyle name="Normal 5 2 5 4 2 7" xfId="15469"/>
    <cellStyle name="Normal 5 2 5 4 2 7 2" xfId="31599"/>
    <cellStyle name="Normal 5 2 5 4 2 8" xfId="15470"/>
    <cellStyle name="Normal 5 2 5 4 2 8 2" xfId="31600"/>
    <cellStyle name="Normal 5 2 5 4 2 9" xfId="15471"/>
    <cellStyle name="Normal 5 2 5 4 2 9 2" xfId="31601"/>
    <cellStyle name="Normal 5 2 5 4 3" xfId="1553"/>
    <cellStyle name="Normal 5 2 5 4 3 10" xfId="15472"/>
    <cellStyle name="Normal 5 2 5 4 3 10 2" xfId="31602"/>
    <cellStyle name="Normal 5 2 5 4 3 11" xfId="5470"/>
    <cellStyle name="Normal 5 2 5 4 3 11 2" xfId="21632"/>
    <cellStyle name="Normal 5 2 5 4 3 12" xfId="19554"/>
    <cellStyle name="Normal 5 2 5 4 3 2" xfId="15473"/>
    <cellStyle name="Normal 5 2 5 4 3 2 2" xfId="31603"/>
    <cellStyle name="Normal 5 2 5 4 3 3" xfId="15474"/>
    <cellStyle name="Normal 5 2 5 4 3 3 2" xfId="31604"/>
    <cellStyle name="Normal 5 2 5 4 3 4" xfId="15475"/>
    <cellStyle name="Normal 5 2 5 4 3 4 2" xfId="31605"/>
    <cellStyle name="Normal 5 2 5 4 3 5" xfId="15476"/>
    <cellStyle name="Normal 5 2 5 4 3 5 2" xfId="31606"/>
    <cellStyle name="Normal 5 2 5 4 3 6" xfId="15477"/>
    <cellStyle name="Normal 5 2 5 4 3 6 2" xfId="31607"/>
    <cellStyle name="Normal 5 2 5 4 3 7" xfId="15478"/>
    <cellStyle name="Normal 5 2 5 4 3 7 2" xfId="31608"/>
    <cellStyle name="Normal 5 2 5 4 3 8" xfId="15479"/>
    <cellStyle name="Normal 5 2 5 4 3 8 2" xfId="31609"/>
    <cellStyle name="Normal 5 2 5 4 3 9" xfId="15480"/>
    <cellStyle name="Normal 5 2 5 4 3 9 2" xfId="31610"/>
    <cellStyle name="Normal 5 2 5 4 4" xfId="15481"/>
    <cellStyle name="Normal 5 2 5 4 4 2" xfId="15482"/>
    <cellStyle name="Normal 5 2 5 4 4 2 2" xfId="31612"/>
    <cellStyle name="Normal 5 2 5 4 4 3" xfId="31611"/>
    <cellStyle name="Normal 5 2 5 4 5" xfId="15483"/>
    <cellStyle name="Normal 5 2 5 4 5 2" xfId="31613"/>
    <cellStyle name="Normal 5 2 5 4 6" xfId="15484"/>
    <cellStyle name="Normal 5 2 5 4 6 2" xfId="31614"/>
    <cellStyle name="Normal 5 2 5 4 7" xfId="15485"/>
    <cellStyle name="Normal 5 2 5 4 7 2" xfId="31615"/>
    <cellStyle name="Normal 5 2 5 4 8" xfId="15486"/>
    <cellStyle name="Normal 5 2 5 4 8 2" xfId="31616"/>
    <cellStyle name="Normal 5 2 5 4 9" xfId="15487"/>
    <cellStyle name="Normal 5 2 5 4 9 2" xfId="31617"/>
    <cellStyle name="Normal 5 2 5 5" xfId="3531"/>
    <cellStyle name="Normal 5 2 5 5 10" xfId="15488"/>
    <cellStyle name="Normal 5 2 5 5 10 2" xfId="31618"/>
    <cellStyle name="Normal 5 2 5 5 11" xfId="15489"/>
    <cellStyle name="Normal 5 2 5 5 11 2" xfId="31619"/>
    <cellStyle name="Normal 5 2 5 5 12" xfId="15490"/>
    <cellStyle name="Normal 5 2 5 5 12 2" xfId="31620"/>
    <cellStyle name="Normal 5 2 5 5 13" xfId="7410"/>
    <cellStyle name="Normal 5 2 5 5 13 2" xfId="23572"/>
    <cellStyle name="Normal 5 2 5 5 14" xfId="20012"/>
    <cellStyle name="Normal 5 2 5 5 2" xfId="1260"/>
    <cellStyle name="Normal 5 2 5 5 2 10" xfId="15491"/>
    <cellStyle name="Normal 5 2 5 5 2 10 2" xfId="31621"/>
    <cellStyle name="Normal 5 2 5 5 2 11" xfId="5180"/>
    <cellStyle name="Normal 5 2 5 5 2 11 2" xfId="21342"/>
    <cellStyle name="Normal 5 2 5 5 2 12" xfId="19383"/>
    <cellStyle name="Normal 5 2 5 5 2 2" xfId="15492"/>
    <cellStyle name="Normal 5 2 5 5 2 2 2" xfId="15493"/>
    <cellStyle name="Normal 5 2 5 5 2 2 2 2" xfId="31623"/>
    <cellStyle name="Normal 5 2 5 5 2 2 3" xfId="31622"/>
    <cellStyle name="Normal 5 2 5 5 2 3" xfId="15494"/>
    <cellStyle name="Normal 5 2 5 5 2 3 2" xfId="31624"/>
    <cellStyle name="Normal 5 2 5 5 2 4" xfId="15495"/>
    <cellStyle name="Normal 5 2 5 5 2 4 2" xfId="31625"/>
    <cellStyle name="Normal 5 2 5 5 2 5" xfId="15496"/>
    <cellStyle name="Normal 5 2 5 5 2 5 2" xfId="31626"/>
    <cellStyle name="Normal 5 2 5 5 2 6" xfId="15497"/>
    <cellStyle name="Normal 5 2 5 5 2 6 2" xfId="31627"/>
    <cellStyle name="Normal 5 2 5 5 2 7" xfId="15498"/>
    <cellStyle name="Normal 5 2 5 5 2 7 2" xfId="31628"/>
    <cellStyle name="Normal 5 2 5 5 2 8" xfId="15499"/>
    <cellStyle name="Normal 5 2 5 5 2 8 2" xfId="31629"/>
    <cellStyle name="Normal 5 2 5 5 2 9" xfId="15500"/>
    <cellStyle name="Normal 5 2 5 5 2 9 2" xfId="31630"/>
    <cellStyle name="Normal 5 2 5 5 3" xfId="678"/>
    <cellStyle name="Normal 5 2 5 5 3 10" xfId="15501"/>
    <cellStyle name="Normal 5 2 5 5 3 10 2" xfId="31631"/>
    <cellStyle name="Normal 5 2 5 5 3 11" xfId="4610"/>
    <cellStyle name="Normal 5 2 5 5 3 11 2" xfId="20772"/>
    <cellStyle name="Normal 5 2 5 5 3 12" xfId="19150"/>
    <cellStyle name="Normal 5 2 5 5 3 2" xfId="15502"/>
    <cellStyle name="Normal 5 2 5 5 3 2 2" xfId="31632"/>
    <cellStyle name="Normal 5 2 5 5 3 3" xfId="15503"/>
    <cellStyle name="Normal 5 2 5 5 3 3 2" xfId="31633"/>
    <cellStyle name="Normal 5 2 5 5 3 4" xfId="15504"/>
    <cellStyle name="Normal 5 2 5 5 3 4 2" xfId="31634"/>
    <cellStyle name="Normal 5 2 5 5 3 5" xfId="15505"/>
    <cellStyle name="Normal 5 2 5 5 3 5 2" xfId="31635"/>
    <cellStyle name="Normal 5 2 5 5 3 6" xfId="15506"/>
    <cellStyle name="Normal 5 2 5 5 3 6 2" xfId="31636"/>
    <cellStyle name="Normal 5 2 5 5 3 7" xfId="15507"/>
    <cellStyle name="Normal 5 2 5 5 3 7 2" xfId="31637"/>
    <cellStyle name="Normal 5 2 5 5 3 8" xfId="15508"/>
    <cellStyle name="Normal 5 2 5 5 3 8 2" xfId="31638"/>
    <cellStyle name="Normal 5 2 5 5 3 9" xfId="15509"/>
    <cellStyle name="Normal 5 2 5 5 3 9 2" xfId="31639"/>
    <cellStyle name="Normal 5 2 5 5 4" xfId="15510"/>
    <cellStyle name="Normal 5 2 5 5 4 2" xfId="15511"/>
    <cellStyle name="Normal 5 2 5 5 4 2 2" xfId="31641"/>
    <cellStyle name="Normal 5 2 5 5 4 3" xfId="31640"/>
    <cellStyle name="Normal 5 2 5 5 5" xfId="15512"/>
    <cellStyle name="Normal 5 2 5 5 5 2" xfId="31642"/>
    <cellStyle name="Normal 5 2 5 5 6" xfId="15513"/>
    <cellStyle name="Normal 5 2 5 5 6 2" xfId="31643"/>
    <cellStyle name="Normal 5 2 5 5 7" xfId="15514"/>
    <cellStyle name="Normal 5 2 5 5 7 2" xfId="31644"/>
    <cellStyle name="Normal 5 2 5 5 8" xfId="15515"/>
    <cellStyle name="Normal 5 2 5 5 8 2" xfId="31645"/>
    <cellStyle name="Normal 5 2 5 5 9" xfId="15516"/>
    <cellStyle name="Normal 5 2 5 5 9 2" xfId="31646"/>
    <cellStyle name="Normal 5 2 5 6" xfId="3532"/>
    <cellStyle name="Normal 5 2 5 6 10" xfId="15517"/>
    <cellStyle name="Normal 5 2 5 6 10 2" xfId="31647"/>
    <cellStyle name="Normal 5 2 5 6 11" xfId="15518"/>
    <cellStyle name="Normal 5 2 5 6 11 2" xfId="31648"/>
    <cellStyle name="Normal 5 2 5 6 12" xfId="15519"/>
    <cellStyle name="Normal 5 2 5 6 12 2" xfId="31649"/>
    <cellStyle name="Normal 5 2 5 6 13" xfId="7411"/>
    <cellStyle name="Normal 5 2 5 6 13 2" xfId="23573"/>
    <cellStyle name="Normal 5 2 5 6 14" xfId="20013"/>
    <cellStyle name="Normal 5 2 5 6 2" xfId="3269"/>
    <cellStyle name="Normal 5 2 5 6 2 10" xfId="15520"/>
    <cellStyle name="Normal 5 2 5 6 2 10 2" xfId="31650"/>
    <cellStyle name="Normal 5 2 5 6 2 11" xfId="7151"/>
    <cellStyle name="Normal 5 2 5 6 2 11 2" xfId="23313"/>
    <cellStyle name="Normal 5 2 5 6 2 12" xfId="19969"/>
    <cellStyle name="Normal 5 2 5 6 2 2" xfId="15521"/>
    <cellStyle name="Normal 5 2 5 6 2 2 2" xfId="31651"/>
    <cellStyle name="Normal 5 2 5 6 2 3" xfId="15522"/>
    <cellStyle name="Normal 5 2 5 6 2 3 2" xfId="31652"/>
    <cellStyle name="Normal 5 2 5 6 2 4" xfId="15523"/>
    <cellStyle name="Normal 5 2 5 6 2 4 2" xfId="31653"/>
    <cellStyle name="Normal 5 2 5 6 2 5" xfId="15524"/>
    <cellStyle name="Normal 5 2 5 6 2 5 2" xfId="31654"/>
    <cellStyle name="Normal 5 2 5 6 2 6" xfId="15525"/>
    <cellStyle name="Normal 5 2 5 6 2 6 2" xfId="31655"/>
    <cellStyle name="Normal 5 2 5 6 2 7" xfId="15526"/>
    <cellStyle name="Normal 5 2 5 6 2 7 2" xfId="31656"/>
    <cellStyle name="Normal 5 2 5 6 2 8" xfId="15527"/>
    <cellStyle name="Normal 5 2 5 6 2 8 2" xfId="31657"/>
    <cellStyle name="Normal 5 2 5 6 2 9" xfId="15528"/>
    <cellStyle name="Normal 5 2 5 6 2 9 2" xfId="31658"/>
    <cellStyle name="Normal 5 2 5 6 3" xfId="3286"/>
    <cellStyle name="Normal 5 2 5 6 3 10" xfId="15529"/>
    <cellStyle name="Normal 5 2 5 6 3 10 2" xfId="31659"/>
    <cellStyle name="Normal 5 2 5 6 3 11" xfId="7168"/>
    <cellStyle name="Normal 5 2 5 6 3 11 2" xfId="23330"/>
    <cellStyle name="Normal 5 2 5 6 3 12" xfId="19971"/>
    <cellStyle name="Normal 5 2 5 6 3 2" xfId="15530"/>
    <cellStyle name="Normal 5 2 5 6 3 2 2" xfId="31660"/>
    <cellStyle name="Normal 5 2 5 6 3 3" xfId="15531"/>
    <cellStyle name="Normal 5 2 5 6 3 3 2" xfId="31661"/>
    <cellStyle name="Normal 5 2 5 6 3 4" xfId="15532"/>
    <cellStyle name="Normal 5 2 5 6 3 4 2" xfId="31662"/>
    <cellStyle name="Normal 5 2 5 6 3 5" xfId="15533"/>
    <cellStyle name="Normal 5 2 5 6 3 5 2" xfId="31663"/>
    <cellStyle name="Normal 5 2 5 6 3 6" xfId="15534"/>
    <cellStyle name="Normal 5 2 5 6 3 6 2" xfId="31664"/>
    <cellStyle name="Normal 5 2 5 6 3 7" xfId="15535"/>
    <cellStyle name="Normal 5 2 5 6 3 7 2" xfId="31665"/>
    <cellStyle name="Normal 5 2 5 6 3 8" xfId="15536"/>
    <cellStyle name="Normal 5 2 5 6 3 8 2" xfId="31666"/>
    <cellStyle name="Normal 5 2 5 6 3 9" xfId="15537"/>
    <cellStyle name="Normal 5 2 5 6 3 9 2" xfId="31667"/>
    <cellStyle name="Normal 5 2 5 6 4" xfId="15538"/>
    <cellStyle name="Normal 5 2 5 6 4 2" xfId="31668"/>
    <cellStyle name="Normal 5 2 5 6 5" xfId="15539"/>
    <cellStyle name="Normal 5 2 5 6 5 2" xfId="31669"/>
    <cellStyle name="Normal 5 2 5 6 6" xfId="15540"/>
    <cellStyle name="Normal 5 2 5 6 6 2" xfId="31670"/>
    <cellStyle name="Normal 5 2 5 6 7" xfId="15541"/>
    <cellStyle name="Normal 5 2 5 6 7 2" xfId="31671"/>
    <cellStyle name="Normal 5 2 5 6 8" xfId="15542"/>
    <cellStyle name="Normal 5 2 5 6 8 2" xfId="31672"/>
    <cellStyle name="Normal 5 2 5 6 9" xfId="15543"/>
    <cellStyle name="Normal 5 2 5 6 9 2" xfId="31673"/>
    <cellStyle name="Normal 5 2 5 7" xfId="3533"/>
    <cellStyle name="Normal 5 2 5 7 10" xfId="15544"/>
    <cellStyle name="Normal 5 2 5 7 10 2" xfId="31674"/>
    <cellStyle name="Normal 5 2 5 7 11" xfId="7412"/>
    <cellStyle name="Normal 5 2 5 7 11 2" xfId="23574"/>
    <cellStyle name="Normal 5 2 5 7 12" xfId="20014"/>
    <cellStyle name="Normal 5 2 5 7 2" xfId="15545"/>
    <cellStyle name="Normal 5 2 5 7 2 2" xfId="31675"/>
    <cellStyle name="Normal 5 2 5 7 3" xfId="15546"/>
    <cellStyle name="Normal 5 2 5 7 3 2" xfId="31676"/>
    <cellStyle name="Normal 5 2 5 7 4" xfId="15547"/>
    <cellStyle name="Normal 5 2 5 7 4 2" xfId="31677"/>
    <cellStyle name="Normal 5 2 5 7 5" xfId="15548"/>
    <cellStyle name="Normal 5 2 5 7 5 2" xfId="31678"/>
    <cellStyle name="Normal 5 2 5 7 6" xfId="15549"/>
    <cellStyle name="Normal 5 2 5 7 6 2" xfId="31679"/>
    <cellStyle name="Normal 5 2 5 7 7" xfId="15550"/>
    <cellStyle name="Normal 5 2 5 7 7 2" xfId="31680"/>
    <cellStyle name="Normal 5 2 5 7 8" xfId="15551"/>
    <cellStyle name="Normal 5 2 5 7 8 2" xfId="31681"/>
    <cellStyle name="Normal 5 2 5 7 9" xfId="15552"/>
    <cellStyle name="Normal 5 2 5 7 9 2" xfId="31682"/>
    <cellStyle name="Normal 5 2 5 8" xfId="3534"/>
    <cellStyle name="Normal 5 2 5 8 10" xfId="15553"/>
    <cellStyle name="Normal 5 2 5 8 10 2" xfId="31683"/>
    <cellStyle name="Normal 5 2 5 8 11" xfId="7413"/>
    <cellStyle name="Normal 5 2 5 8 11 2" xfId="23575"/>
    <cellStyle name="Normal 5 2 5 8 12" xfId="20015"/>
    <cellStyle name="Normal 5 2 5 8 2" xfId="15554"/>
    <cellStyle name="Normal 5 2 5 8 2 2" xfId="31684"/>
    <cellStyle name="Normal 5 2 5 8 3" xfId="15555"/>
    <cellStyle name="Normal 5 2 5 8 3 2" xfId="31685"/>
    <cellStyle name="Normal 5 2 5 8 4" xfId="15556"/>
    <cellStyle name="Normal 5 2 5 8 4 2" xfId="31686"/>
    <cellStyle name="Normal 5 2 5 8 5" xfId="15557"/>
    <cellStyle name="Normal 5 2 5 8 5 2" xfId="31687"/>
    <cellStyle name="Normal 5 2 5 8 6" xfId="15558"/>
    <cellStyle name="Normal 5 2 5 8 6 2" xfId="31688"/>
    <cellStyle name="Normal 5 2 5 8 7" xfId="15559"/>
    <cellStyle name="Normal 5 2 5 8 7 2" xfId="31689"/>
    <cellStyle name="Normal 5 2 5 8 8" xfId="15560"/>
    <cellStyle name="Normal 5 2 5 8 8 2" xfId="31690"/>
    <cellStyle name="Normal 5 2 5 8 9" xfId="15561"/>
    <cellStyle name="Normal 5 2 5 8 9 2" xfId="31691"/>
    <cellStyle name="Normal 5 2 5 9" xfId="15562"/>
    <cellStyle name="Normal 5 2 5 9 2" xfId="31692"/>
    <cellStyle name="Normal 5 2 6" xfId="1311"/>
    <cellStyle name="Normal 5 2 6 10" xfId="15563"/>
    <cellStyle name="Normal 5 2 6 10 2" xfId="31693"/>
    <cellStyle name="Normal 5 2 6 11" xfId="15564"/>
    <cellStyle name="Normal 5 2 6 11 2" xfId="31694"/>
    <cellStyle name="Normal 5 2 6 12" xfId="15565"/>
    <cellStyle name="Normal 5 2 6 12 2" xfId="31695"/>
    <cellStyle name="Normal 5 2 6 13" xfId="15566"/>
    <cellStyle name="Normal 5 2 6 13 2" xfId="31696"/>
    <cellStyle name="Normal 5 2 6 14" xfId="15567"/>
    <cellStyle name="Normal 5 2 6 14 2" xfId="31697"/>
    <cellStyle name="Normal 5 2 6 15" xfId="15568"/>
    <cellStyle name="Normal 5 2 6 15 2" xfId="31698"/>
    <cellStyle name="Normal 5 2 6 16" xfId="15569"/>
    <cellStyle name="Normal 5 2 6 16 2" xfId="31699"/>
    <cellStyle name="Normal 5 2 6 17" xfId="15570"/>
    <cellStyle name="Normal 5 2 6 17 2" xfId="31700"/>
    <cellStyle name="Normal 5 2 6 18" xfId="5231"/>
    <cellStyle name="Normal 5 2 6 18 2" xfId="21393"/>
    <cellStyle name="Normal 5 2 6 19" xfId="19419"/>
    <cellStyle name="Normal 5 2 6 2" xfId="2895"/>
    <cellStyle name="Normal 5 2 6 2 10" xfId="15571"/>
    <cellStyle name="Normal 5 2 6 2 10 2" xfId="31701"/>
    <cellStyle name="Normal 5 2 6 2 11" xfId="15572"/>
    <cellStyle name="Normal 5 2 6 2 11 2" xfId="31702"/>
    <cellStyle name="Normal 5 2 6 2 12" xfId="15573"/>
    <cellStyle name="Normal 5 2 6 2 12 2" xfId="31703"/>
    <cellStyle name="Normal 5 2 6 2 13" xfId="6784"/>
    <cellStyle name="Normal 5 2 6 2 13 2" xfId="22946"/>
    <cellStyle name="Normal 5 2 6 2 14" xfId="19834"/>
    <cellStyle name="Normal 5 2 6 2 2" xfId="3536"/>
    <cellStyle name="Normal 5 2 6 2 2 10" xfId="15574"/>
    <cellStyle name="Normal 5 2 6 2 2 10 2" xfId="31704"/>
    <cellStyle name="Normal 5 2 6 2 2 11" xfId="7414"/>
    <cellStyle name="Normal 5 2 6 2 2 11 2" xfId="23576"/>
    <cellStyle name="Normal 5 2 6 2 2 12" xfId="20016"/>
    <cellStyle name="Normal 5 2 6 2 2 2" xfId="15575"/>
    <cellStyle name="Normal 5 2 6 2 2 2 2" xfId="15576"/>
    <cellStyle name="Normal 5 2 6 2 2 2 2 2" xfId="31706"/>
    <cellStyle name="Normal 5 2 6 2 2 2 3" xfId="31705"/>
    <cellStyle name="Normal 5 2 6 2 2 3" xfId="15577"/>
    <cellStyle name="Normal 5 2 6 2 2 3 2" xfId="31707"/>
    <cellStyle name="Normal 5 2 6 2 2 4" xfId="15578"/>
    <cellStyle name="Normal 5 2 6 2 2 4 2" xfId="31708"/>
    <cellStyle name="Normal 5 2 6 2 2 5" xfId="15579"/>
    <cellStyle name="Normal 5 2 6 2 2 5 2" xfId="31709"/>
    <cellStyle name="Normal 5 2 6 2 2 6" xfId="15580"/>
    <cellStyle name="Normal 5 2 6 2 2 6 2" xfId="31710"/>
    <cellStyle name="Normal 5 2 6 2 2 7" xfId="15581"/>
    <cellStyle name="Normal 5 2 6 2 2 7 2" xfId="31711"/>
    <cellStyle name="Normal 5 2 6 2 2 8" xfId="15582"/>
    <cellStyle name="Normal 5 2 6 2 2 8 2" xfId="31712"/>
    <cellStyle name="Normal 5 2 6 2 2 9" xfId="15583"/>
    <cellStyle name="Normal 5 2 6 2 2 9 2" xfId="31713"/>
    <cellStyle name="Normal 5 2 6 2 3" xfId="3538"/>
    <cellStyle name="Normal 5 2 6 2 3 10" xfId="15584"/>
    <cellStyle name="Normal 5 2 6 2 3 10 2" xfId="31714"/>
    <cellStyle name="Normal 5 2 6 2 3 11" xfId="7416"/>
    <cellStyle name="Normal 5 2 6 2 3 11 2" xfId="23578"/>
    <cellStyle name="Normal 5 2 6 2 3 12" xfId="20017"/>
    <cellStyle name="Normal 5 2 6 2 3 2" xfId="15585"/>
    <cellStyle name="Normal 5 2 6 2 3 2 2" xfId="31715"/>
    <cellStyle name="Normal 5 2 6 2 3 3" xfId="15586"/>
    <cellStyle name="Normal 5 2 6 2 3 3 2" xfId="31716"/>
    <cellStyle name="Normal 5 2 6 2 3 4" xfId="15587"/>
    <cellStyle name="Normal 5 2 6 2 3 4 2" xfId="31717"/>
    <cellStyle name="Normal 5 2 6 2 3 5" xfId="15588"/>
    <cellStyle name="Normal 5 2 6 2 3 5 2" xfId="31718"/>
    <cellStyle name="Normal 5 2 6 2 3 6" xfId="15589"/>
    <cellStyle name="Normal 5 2 6 2 3 6 2" xfId="31719"/>
    <cellStyle name="Normal 5 2 6 2 3 7" xfId="15590"/>
    <cellStyle name="Normal 5 2 6 2 3 7 2" xfId="31720"/>
    <cellStyle name="Normal 5 2 6 2 3 8" xfId="15591"/>
    <cellStyle name="Normal 5 2 6 2 3 8 2" xfId="31721"/>
    <cellStyle name="Normal 5 2 6 2 3 9" xfId="15592"/>
    <cellStyle name="Normal 5 2 6 2 3 9 2" xfId="31722"/>
    <cellStyle name="Normal 5 2 6 2 4" xfId="15593"/>
    <cellStyle name="Normal 5 2 6 2 4 2" xfId="15594"/>
    <cellStyle name="Normal 5 2 6 2 4 2 2" xfId="31724"/>
    <cellStyle name="Normal 5 2 6 2 4 3" xfId="31723"/>
    <cellStyle name="Normal 5 2 6 2 5" xfId="15595"/>
    <cellStyle name="Normal 5 2 6 2 5 2" xfId="31725"/>
    <cellStyle name="Normal 5 2 6 2 6" xfId="15596"/>
    <cellStyle name="Normal 5 2 6 2 6 2" xfId="31726"/>
    <cellStyle name="Normal 5 2 6 2 7" xfId="15597"/>
    <cellStyle name="Normal 5 2 6 2 7 2" xfId="31727"/>
    <cellStyle name="Normal 5 2 6 2 8" xfId="15598"/>
    <cellStyle name="Normal 5 2 6 2 8 2" xfId="31728"/>
    <cellStyle name="Normal 5 2 6 2 9" xfId="15599"/>
    <cellStyle name="Normal 5 2 6 2 9 2" xfId="31729"/>
    <cellStyle name="Normal 5 2 6 3" xfId="2897"/>
    <cellStyle name="Normal 5 2 6 3 10" xfId="15600"/>
    <cellStyle name="Normal 5 2 6 3 10 2" xfId="31730"/>
    <cellStyle name="Normal 5 2 6 3 11" xfId="15601"/>
    <cellStyle name="Normal 5 2 6 3 11 2" xfId="31731"/>
    <cellStyle name="Normal 5 2 6 3 12" xfId="15602"/>
    <cellStyle name="Normal 5 2 6 3 12 2" xfId="31732"/>
    <cellStyle name="Normal 5 2 6 3 13" xfId="6786"/>
    <cellStyle name="Normal 5 2 6 3 13 2" xfId="22948"/>
    <cellStyle name="Normal 5 2 6 3 14" xfId="19836"/>
    <cellStyle name="Normal 5 2 6 3 2" xfId="3539"/>
    <cellStyle name="Normal 5 2 6 3 2 10" xfId="15603"/>
    <cellStyle name="Normal 5 2 6 3 2 10 2" xfId="31733"/>
    <cellStyle name="Normal 5 2 6 3 2 11" xfId="7418"/>
    <cellStyle name="Normal 5 2 6 3 2 11 2" xfId="23580"/>
    <cellStyle name="Normal 5 2 6 3 2 12" xfId="20018"/>
    <cellStyle name="Normal 5 2 6 3 2 2" xfId="15604"/>
    <cellStyle name="Normal 5 2 6 3 2 2 2" xfId="15605"/>
    <cellStyle name="Normal 5 2 6 3 2 2 2 2" xfId="31735"/>
    <cellStyle name="Normal 5 2 6 3 2 2 3" xfId="31734"/>
    <cellStyle name="Normal 5 2 6 3 2 3" xfId="15606"/>
    <cellStyle name="Normal 5 2 6 3 2 3 2" xfId="31736"/>
    <cellStyle name="Normal 5 2 6 3 2 4" xfId="15607"/>
    <cellStyle name="Normal 5 2 6 3 2 4 2" xfId="31737"/>
    <cellStyle name="Normal 5 2 6 3 2 5" xfId="15608"/>
    <cellStyle name="Normal 5 2 6 3 2 5 2" xfId="31738"/>
    <cellStyle name="Normal 5 2 6 3 2 6" xfId="15609"/>
    <cellStyle name="Normal 5 2 6 3 2 6 2" xfId="31739"/>
    <cellStyle name="Normal 5 2 6 3 2 7" xfId="15610"/>
    <cellStyle name="Normal 5 2 6 3 2 7 2" xfId="31740"/>
    <cellStyle name="Normal 5 2 6 3 2 8" xfId="15611"/>
    <cellStyle name="Normal 5 2 6 3 2 8 2" xfId="31741"/>
    <cellStyle name="Normal 5 2 6 3 2 9" xfId="15612"/>
    <cellStyle name="Normal 5 2 6 3 2 9 2" xfId="31742"/>
    <cellStyle name="Normal 5 2 6 3 3" xfId="3540"/>
    <cellStyle name="Normal 5 2 6 3 3 10" xfId="15613"/>
    <cellStyle name="Normal 5 2 6 3 3 10 2" xfId="31743"/>
    <cellStyle name="Normal 5 2 6 3 3 11" xfId="7419"/>
    <cellStyle name="Normal 5 2 6 3 3 11 2" xfId="23581"/>
    <cellStyle name="Normal 5 2 6 3 3 12" xfId="20019"/>
    <cellStyle name="Normal 5 2 6 3 3 2" xfId="15614"/>
    <cellStyle name="Normal 5 2 6 3 3 2 2" xfId="31744"/>
    <cellStyle name="Normal 5 2 6 3 3 3" xfId="15615"/>
    <cellStyle name="Normal 5 2 6 3 3 3 2" xfId="31745"/>
    <cellStyle name="Normal 5 2 6 3 3 4" xfId="15616"/>
    <cellStyle name="Normal 5 2 6 3 3 4 2" xfId="31746"/>
    <cellStyle name="Normal 5 2 6 3 3 5" xfId="15617"/>
    <cellStyle name="Normal 5 2 6 3 3 5 2" xfId="31747"/>
    <cellStyle name="Normal 5 2 6 3 3 6" xfId="15618"/>
    <cellStyle name="Normal 5 2 6 3 3 6 2" xfId="31748"/>
    <cellStyle name="Normal 5 2 6 3 3 7" xfId="15619"/>
    <cellStyle name="Normal 5 2 6 3 3 7 2" xfId="31749"/>
    <cellStyle name="Normal 5 2 6 3 3 8" xfId="15620"/>
    <cellStyle name="Normal 5 2 6 3 3 8 2" xfId="31750"/>
    <cellStyle name="Normal 5 2 6 3 3 9" xfId="15621"/>
    <cellStyle name="Normal 5 2 6 3 3 9 2" xfId="31751"/>
    <cellStyle name="Normal 5 2 6 3 4" xfId="15622"/>
    <cellStyle name="Normal 5 2 6 3 4 2" xfId="15623"/>
    <cellStyle name="Normal 5 2 6 3 4 2 2" xfId="31753"/>
    <cellStyle name="Normal 5 2 6 3 4 3" xfId="31752"/>
    <cellStyle name="Normal 5 2 6 3 5" xfId="15624"/>
    <cellStyle name="Normal 5 2 6 3 5 2" xfId="31754"/>
    <cellStyle name="Normal 5 2 6 3 6" xfId="15625"/>
    <cellStyle name="Normal 5 2 6 3 6 2" xfId="31755"/>
    <cellStyle name="Normal 5 2 6 3 7" xfId="15626"/>
    <cellStyle name="Normal 5 2 6 3 7 2" xfId="31756"/>
    <cellStyle name="Normal 5 2 6 3 8" xfId="15627"/>
    <cellStyle name="Normal 5 2 6 3 8 2" xfId="31757"/>
    <cellStyle name="Normal 5 2 6 3 9" xfId="15628"/>
    <cellStyle name="Normal 5 2 6 3 9 2" xfId="31758"/>
    <cellStyle name="Normal 5 2 6 4" xfId="3541"/>
    <cellStyle name="Normal 5 2 6 4 10" xfId="15629"/>
    <cellStyle name="Normal 5 2 6 4 10 2" xfId="31759"/>
    <cellStyle name="Normal 5 2 6 4 11" xfId="15630"/>
    <cellStyle name="Normal 5 2 6 4 11 2" xfId="31760"/>
    <cellStyle name="Normal 5 2 6 4 12" xfId="15631"/>
    <cellStyle name="Normal 5 2 6 4 12 2" xfId="31761"/>
    <cellStyle name="Normal 5 2 6 4 13" xfId="7420"/>
    <cellStyle name="Normal 5 2 6 4 13 2" xfId="23582"/>
    <cellStyle name="Normal 5 2 6 4 14" xfId="20020"/>
    <cellStyle name="Normal 5 2 6 4 2" xfId="205"/>
    <cellStyle name="Normal 5 2 6 4 2 10" xfId="15632"/>
    <cellStyle name="Normal 5 2 6 4 2 10 2" xfId="31762"/>
    <cellStyle name="Normal 5 2 6 4 2 11" xfId="4130"/>
    <cellStyle name="Normal 5 2 6 4 2 11 2" xfId="20293"/>
    <cellStyle name="Normal 5 2 6 4 2 12" xfId="19024"/>
    <cellStyle name="Normal 5 2 6 4 2 2" xfId="15633"/>
    <cellStyle name="Normal 5 2 6 4 2 2 2" xfId="15634"/>
    <cellStyle name="Normal 5 2 6 4 2 2 2 2" xfId="31764"/>
    <cellStyle name="Normal 5 2 6 4 2 2 3" xfId="31763"/>
    <cellStyle name="Normal 5 2 6 4 2 3" xfId="15635"/>
    <cellStyle name="Normal 5 2 6 4 2 3 2" xfId="31765"/>
    <cellStyle name="Normal 5 2 6 4 2 4" xfId="15636"/>
    <cellStyle name="Normal 5 2 6 4 2 4 2" xfId="31766"/>
    <cellStyle name="Normal 5 2 6 4 2 5" xfId="15637"/>
    <cellStyle name="Normal 5 2 6 4 2 5 2" xfId="31767"/>
    <cellStyle name="Normal 5 2 6 4 2 6" xfId="15638"/>
    <cellStyle name="Normal 5 2 6 4 2 6 2" xfId="31768"/>
    <cellStyle name="Normal 5 2 6 4 2 7" xfId="15639"/>
    <cellStyle name="Normal 5 2 6 4 2 7 2" xfId="31769"/>
    <cellStyle name="Normal 5 2 6 4 2 8" xfId="15640"/>
    <cellStyle name="Normal 5 2 6 4 2 8 2" xfId="31770"/>
    <cellStyle name="Normal 5 2 6 4 2 9" xfId="15641"/>
    <cellStyle name="Normal 5 2 6 4 2 9 2" xfId="31771"/>
    <cellStyle name="Normal 5 2 6 4 3" xfId="212"/>
    <cellStyle name="Normal 5 2 6 4 3 10" xfId="15642"/>
    <cellStyle name="Normal 5 2 6 4 3 10 2" xfId="31772"/>
    <cellStyle name="Normal 5 2 6 4 3 11" xfId="4137"/>
    <cellStyle name="Normal 5 2 6 4 3 11 2" xfId="20300"/>
    <cellStyle name="Normal 5 2 6 4 3 12" xfId="19028"/>
    <cellStyle name="Normal 5 2 6 4 3 2" xfId="15643"/>
    <cellStyle name="Normal 5 2 6 4 3 2 2" xfId="31773"/>
    <cellStyle name="Normal 5 2 6 4 3 3" xfId="15644"/>
    <cellStyle name="Normal 5 2 6 4 3 3 2" xfId="31774"/>
    <cellStyle name="Normal 5 2 6 4 3 4" xfId="15645"/>
    <cellStyle name="Normal 5 2 6 4 3 4 2" xfId="31775"/>
    <cellStyle name="Normal 5 2 6 4 3 5" xfId="15646"/>
    <cellStyle name="Normal 5 2 6 4 3 5 2" xfId="31776"/>
    <cellStyle name="Normal 5 2 6 4 3 6" xfId="15647"/>
    <cellStyle name="Normal 5 2 6 4 3 6 2" xfId="31777"/>
    <cellStyle name="Normal 5 2 6 4 3 7" xfId="15648"/>
    <cellStyle name="Normal 5 2 6 4 3 7 2" xfId="31778"/>
    <cellStyle name="Normal 5 2 6 4 3 8" xfId="15649"/>
    <cellStyle name="Normal 5 2 6 4 3 8 2" xfId="31779"/>
    <cellStyle name="Normal 5 2 6 4 3 9" xfId="15650"/>
    <cellStyle name="Normal 5 2 6 4 3 9 2" xfId="31780"/>
    <cellStyle name="Normal 5 2 6 4 4" xfId="15651"/>
    <cellStyle name="Normal 5 2 6 4 4 2" xfId="15652"/>
    <cellStyle name="Normal 5 2 6 4 4 2 2" xfId="31782"/>
    <cellStyle name="Normal 5 2 6 4 4 3" xfId="31781"/>
    <cellStyle name="Normal 5 2 6 4 5" xfId="15653"/>
    <cellStyle name="Normal 5 2 6 4 5 2" xfId="31783"/>
    <cellStyle name="Normal 5 2 6 4 6" xfId="15654"/>
    <cellStyle name="Normal 5 2 6 4 6 2" xfId="31784"/>
    <cellStyle name="Normal 5 2 6 4 7" xfId="15655"/>
    <cellStyle name="Normal 5 2 6 4 7 2" xfId="31785"/>
    <cellStyle name="Normal 5 2 6 4 8" xfId="15656"/>
    <cellStyle name="Normal 5 2 6 4 8 2" xfId="31786"/>
    <cellStyle name="Normal 5 2 6 4 9" xfId="15657"/>
    <cellStyle name="Normal 5 2 6 4 9 2" xfId="31787"/>
    <cellStyle name="Normal 5 2 6 5" xfId="3542"/>
    <cellStyle name="Normal 5 2 6 5 10" xfId="15658"/>
    <cellStyle name="Normal 5 2 6 5 10 2" xfId="31788"/>
    <cellStyle name="Normal 5 2 6 5 11" xfId="15659"/>
    <cellStyle name="Normal 5 2 6 5 11 2" xfId="31789"/>
    <cellStyle name="Normal 5 2 6 5 12" xfId="15660"/>
    <cellStyle name="Normal 5 2 6 5 12 2" xfId="31790"/>
    <cellStyle name="Normal 5 2 6 5 13" xfId="7421"/>
    <cellStyle name="Normal 5 2 6 5 13 2" xfId="23583"/>
    <cellStyle name="Normal 5 2 6 5 14" xfId="20021"/>
    <cellStyle name="Normal 5 2 6 5 2" xfId="1307"/>
    <cellStyle name="Normal 5 2 6 5 2 10" xfId="15661"/>
    <cellStyle name="Normal 5 2 6 5 2 10 2" xfId="31791"/>
    <cellStyle name="Normal 5 2 6 5 2 11" xfId="5227"/>
    <cellStyle name="Normal 5 2 6 5 2 11 2" xfId="21389"/>
    <cellStyle name="Normal 5 2 6 5 2 12" xfId="19415"/>
    <cellStyle name="Normal 5 2 6 5 2 2" xfId="15662"/>
    <cellStyle name="Normal 5 2 6 5 2 2 2" xfId="15663"/>
    <cellStyle name="Normal 5 2 6 5 2 2 2 2" xfId="31793"/>
    <cellStyle name="Normal 5 2 6 5 2 2 3" xfId="31792"/>
    <cellStyle name="Normal 5 2 6 5 2 3" xfId="15664"/>
    <cellStyle name="Normal 5 2 6 5 2 3 2" xfId="31794"/>
    <cellStyle name="Normal 5 2 6 5 2 4" xfId="15665"/>
    <cellStyle name="Normal 5 2 6 5 2 4 2" xfId="31795"/>
    <cellStyle name="Normal 5 2 6 5 2 5" xfId="15666"/>
    <cellStyle name="Normal 5 2 6 5 2 5 2" xfId="31796"/>
    <cellStyle name="Normal 5 2 6 5 2 6" xfId="15667"/>
    <cellStyle name="Normal 5 2 6 5 2 6 2" xfId="31797"/>
    <cellStyle name="Normal 5 2 6 5 2 7" xfId="15668"/>
    <cellStyle name="Normal 5 2 6 5 2 7 2" xfId="31798"/>
    <cellStyle name="Normal 5 2 6 5 2 8" xfId="15669"/>
    <cellStyle name="Normal 5 2 6 5 2 8 2" xfId="31799"/>
    <cellStyle name="Normal 5 2 6 5 2 9" xfId="15670"/>
    <cellStyle name="Normal 5 2 6 5 2 9 2" xfId="31800"/>
    <cellStyle name="Normal 5 2 6 5 3" xfId="1310"/>
    <cellStyle name="Normal 5 2 6 5 3 10" xfId="15671"/>
    <cellStyle name="Normal 5 2 6 5 3 10 2" xfId="31801"/>
    <cellStyle name="Normal 5 2 6 5 3 11" xfId="5230"/>
    <cellStyle name="Normal 5 2 6 5 3 11 2" xfId="21392"/>
    <cellStyle name="Normal 5 2 6 5 3 12" xfId="19418"/>
    <cellStyle name="Normal 5 2 6 5 3 2" xfId="15672"/>
    <cellStyle name="Normal 5 2 6 5 3 2 2" xfId="31802"/>
    <cellStyle name="Normal 5 2 6 5 3 3" xfId="15673"/>
    <cellStyle name="Normal 5 2 6 5 3 3 2" xfId="31803"/>
    <cellStyle name="Normal 5 2 6 5 3 4" xfId="15674"/>
    <cellStyle name="Normal 5 2 6 5 3 4 2" xfId="31804"/>
    <cellStyle name="Normal 5 2 6 5 3 5" xfId="15675"/>
    <cellStyle name="Normal 5 2 6 5 3 5 2" xfId="31805"/>
    <cellStyle name="Normal 5 2 6 5 3 6" xfId="15676"/>
    <cellStyle name="Normal 5 2 6 5 3 6 2" xfId="31806"/>
    <cellStyle name="Normal 5 2 6 5 3 7" xfId="15677"/>
    <cellStyle name="Normal 5 2 6 5 3 7 2" xfId="31807"/>
    <cellStyle name="Normal 5 2 6 5 3 8" xfId="15678"/>
    <cellStyle name="Normal 5 2 6 5 3 8 2" xfId="31808"/>
    <cellStyle name="Normal 5 2 6 5 3 9" xfId="15679"/>
    <cellStyle name="Normal 5 2 6 5 3 9 2" xfId="31809"/>
    <cellStyle name="Normal 5 2 6 5 4" xfId="15680"/>
    <cellStyle name="Normal 5 2 6 5 4 2" xfId="15681"/>
    <cellStyle name="Normal 5 2 6 5 4 2 2" xfId="31811"/>
    <cellStyle name="Normal 5 2 6 5 4 3" xfId="31810"/>
    <cellStyle name="Normal 5 2 6 5 5" xfId="15682"/>
    <cellStyle name="Normal 5 2 6 5 5 2" xfId="31812"/>
    <cellStyle name="Normal 5 2 6 5 6" xfId="15683"/>
    <cellStyle name="Normal 5 2 6 5 6 2" xfId="31813"/>
    <cellStyle name="Normal 5 2 6 5 7" xfId="15684"/>
    <cellStyle name="Normal 5 2 6 5 7 2" xfId="31814"/>
    <cellStyle name="Normal 5 2 6 5 8" xfId="15685"/>
    <cellStyle name="Normal 5 2 6 5 8 2" xfId="31815"/>
    <cellStyle name="Normal 5 2 6 5 9" xfId="15686"/>
    <cellStyle name="Normal 5 2 6 5 9 2" xfId="31816"/>
    <cellStyle name="Normal 5 2 6 6" xfId="3543"/>
    <cellStyle name="Normal 5 2 6 6 10" xfId="15687"/>
    <cellStyle name="Normal 5 2 6 6 10 2" xfId="31817"/>
    <cellStyle name="Normal 5 2 6 6 11" xfId="15688"/>
    <cellStyle name="Normal 5 2 6 6 11 2" xfId="31818"/>
    <cellStyle name="Normal 5 2 6 6 12" xfId="15689"/>
    <cellStyle name="Normal 5 2 6 6 12 2" xfId="31819"/>
    <cellStyle name="Normal 5 2 6 6 13" xfId="7422"/>
    <cellStyle name="Normal 5 2 6 6 13 2" xfId="23584"/>
    <cellStyle name="Normal 5 2 6 6 14" xfId="20022"/>
    <cellStyle name="Normal 5 2 6 6 2" xfId="1333"/>
    <cellStyle name="Normal 5 2 6 6 2 10" xfId="15690"/>
    <cellStyle name="Normal 5 2 6 6 2 10 2" xfId="31820"/>
    <cellStyle name="Normal 5 2 6 6 2 11" xfId="5252"/>
    <cellStyle name="Normal 5 2 6 6 2 11 2" xfId="21414"/>
    <cellStyle name="Normal 5 2 6 6 2 12" xfId="19434"/>
    <cellStyle name="Normal 5 2 6 6 2 2" xfId="15691"/>
    <cellStyle name="Normal 5 2 6 6 2 2 2" xfId="31821"/>
    <cellStyle name="Normal 5 2 6 6 2 3" xfId="15692"/>
    <cellStyle name="Normal 5 2 6 6 2 3 2" xfId="31822"/>
    <cellStyle name="Normal 5 2 6 6 2 4" xfId="15693"/>
    <cellStyle name="Normal 5 2 6 6 2 4 2" xfId="31823"/>
    <cellStyle name="Normal 5 2 6 6 2 5" xfId="15694"/>
    <cellStyle name="Normal 5 2 6 6 2 5 2" xfId="31824"/>
    <cellStyle name="Normal 5 2 6 6 2 6" xfId="15695"/>
    <cellStyle name="Normal 5 2 6 6 2 6 2" xfId="31825"/>
    <cellStyle name="Normal 5 2 6 6 2 7" xfId="15696"/>
    <cellStyle name="Normal 5 2 6 6 2 7 2" xfId="31826"/>
    <cellStyle name="Normal 5 2 6 6 2 8" xfId="15697"/>
    <cellStyle name="Normal 5 2 6 6 2 8 2" xfId="31827"/>
    <cellStyle name="Normal 5 2 6 6 2 9" xfId="15698"/>
    <cellStyle name="Normal 5 2 6 6 2 9 2" xfId="31828"/>
    <cellStyle name="Normal 5 2 6 6 3" xfId="1337"/>
    <cellStyle name="Normal 5 2 6 6 3 10" xfId="15699"/>
    <cellStyle name="Normal 5 2 6 6 3 10 2" xfId="31829"/>
    <cellStyle name="Normal 5 2 6 6 3 11" xfId="5256"/>
    <cellStyle name="Normal 5 2 6 6 3 11 2" xfId="21418"/>
    <cellStyle name="Normal 5 2 6 6 3 12" xfId="19436"/>
    <cellStyle name="Normal 5 2 6 6 3 2" xfId="15700"/>
    <cellStyle name="Normal 5 2 6 6 3 2 2" xfId="31830"/>
    <cellStyle name="Normal 5 2 6 6 3 3" xfId="15701"/>
    <cellStyle name="Normal 5 2 6 6 3 3 2" xfId="31831"/>
    <cellStyle name="Normal 5 2 6 6 3 4" xfId="15702"/>
    <cellStyle name="Normal 5 2 6 6 3 4 2" xfId="31832"/>
    <cellStyle name="Normal 5 2 6 6 3 5" xfId="15703"/>
    <cellStyle name="Normal 5 2 6 6 3 5 2" xfId="31833"/>
    <cellStyle name="Normal 5 2 6 6 3 6" xfId="15704"/>
    <cellStyle name="Normal 5 2 6 6 3 6 2" xfId="31834"/>
    <cellStyle name="Normal 5 2 6 6 3 7" xfId="15705"/>
    <cellStyle name="Normal 5 2 6 6 3 7 2" xfId="31835"/>
    <cellStyle name="Normal 5 2 6 6 3 8" xfId="15706"/>
    <cellStyle name="Normal 5 2 6 6 3 8 2" xfId="31836"/>
    <cellStyle name="Normal 5 2 6 6 3 9" xfId="15707"/>
    <cellStyle name="Normal 5 2 6 6 3 9 2" xfId="31837"/>
    <cellStyle name="Normal 5 2 6 6 4" xfId="15708"/>
    <cellStyle name="Normal 5 2 6 6 4 2" xfId="31838"/>
    <cellStyle name="Normal 5 2 6 6 5" xfId="15709"/>
    <cellStyle name="Normal 5 2 6 6 5 2" xfId="31839"/>
    <cellStyle name="Normal 5 2 6 6 6" xfId="15710"/>
    <cellStyle name="Normal 5 2 6 6 6 2" xfId="31840"/>
    <cellStyle name="Normal 5 2 6 6 7" xfId="15711"/>
    <cellStyle name="Normal 5 2 6 6 7 2" xfId="31841"/>
    <cellStyle name="Normal 5 2 6 6 8" xfId="15712"/>
    <cellStyle name="Normal 5 2 6 6 8 2" xfId="31842"/>
    <cellStyle name="Normal 5 2 6 6 9" xfId="15713"/>
    <cellStyle name="Normal 5 2 6 6 9 2" xfId="31843"/>
    <cellStyle name="Normal 5 2 6 7" xfId="1667"/>
    <cellStyle name="Normal 5 2 6 7 10" xfId="15714"/>
    <cellStyle name="Normal 5 2 6 7 10 2" xfId="31844"/>
    <cellStyle name="Normal 5 2 6 7 11" xfId="5580"/>
    <cellStyle name="Normal 5 2 6 7 11 2" xfId="21742"/>
    <cellStyle name="Normal 5 2 6 7 12" xfId="19564"/>
    <cellStyle name="Normal 5 2 6 7 2" xfId="15715"/>
    <cellStyle name="Normal 5 2 6 7 2 2" xfId="31845"/>
    <cellStyle name="Normal 5 2 6 7 3" xfId="15716"/>
    <cellStyle name="Normal 5 2 6 7 3 2" xfId="31846"/>
    <cellStyle name="Normal 5 2 6 7 4" xfId="15717"/>
    <cellStyle name="Normal 5 2 6 7 4 2" xfId="31847"/>
    <cellStyle name="Normal 5 2 6 7 5" xfId="15718"/>
    <cellStyle name="Normal 5 2 6 7 5 2" xfId="31848"/>
    <cellStyle name="Normal 5 2 6 7 6" xfId="15719"/>
    <cellStyle name="Normal 5 2 6 7 6 2" xfId="31849"/>
    <cellStyle name="Normal 5 2 6 7 7" xfId="15720"/>
    <cellStyle name="Normal 5 2 6 7 7 2" xfId="31850"/>
    <cellStyle name="Normal 5 2 6 7 8" xfId="15721"/>
    <cellStyle name="Normal 5 2 6 7 8 2" xfId="31851"/>
    <cellStyle name="Normal 5 2 6 7 9" xfId="15722"/>
    <cellStyle name="Normal 5 2 6 7 9 2" xfId="31852"/>
    <cellStyle name="Normal 5 2 6 8" xfId="1669"/>
    <cellStyle name="Normal 5 2 6 8 10" xfId="15723"/>
    <cellStyle name="Normal 5 2 6 8 10 2" xfId="31853"/>
    <cellStyle name="Normal 5 2 6 8 11" xfId="5583"/>
    <cellStyle name="Normal 5 2 6 8 11 2" xfId="21745"/>
    <cellStyle name="Normal 5 2 6 8 12" xfId="19565"/>
    <cellStyle name="Normal 5 2 6 8 2" xfId="15724"/>
    <cellStyle name="Normal 5 2 6 8 2 2" xfId="31854"/>
    <cellStyle name="Normal 5 2 6 8 3" xfId="15725"/>
    <cellStyle name="Normal 5 2 6 8 3 2" xfId="31855"/>
    <cellStyle name="Normal 5 2 6 8 4" xfId="15726"/>
    <cellStyle name="Normal 5 2 6 8 4 2" xfId="31856"/>
    <cellStyle name="Normal 5 2 6 8 5" xfId="15727"/>
    <cellStyle name="Normal 5 2 6 8 5 2" xfId="31857"/>
    <cellStyle name="Normal 5 2 6 8 6" xfId="15728"/>
    <cellStyle name="Normal 5 2 6 8 6 2" xfId="31858"/>
    <cellStyle name="Normal 5 2 6 8 7" xfId="15729"/>
    <cellStyle name="Normal 5 2 6 8 7 2" xfId="31859"/>
    <cellStyle name="Normal 5 2 6 8 8" xfId="15730"/>
    <cellStyle name="Normal 5 2 6 8 8 2" xfId="31860"/>
    <cellStyle name="Normal 5 2 6 8 9" xfId="15731"/>
    <cellStyle name="Normal 5 2 6 8 9 2" xfId="31861"/>
    <cellStyle name="Normal 5 2 6 9" xfId="15732"/>
    <cellStyle name="Normal 5 2 6 9 2" xfId="31862"/>
    <cellStyle name="Normal 5 2 7" xfId="1313"/>
    <cellStyle name="Normal 5 2 7 10" xfId="15733"/>
    <cellStyle name="Normal 5 2 7 10 2" xfId="31863"/>
    <cellStyle name="Normal 5 2 7 11" xfId="15734"/>
    <cellStyle name="Normal 5 2 7 11 2" xfId="31864"/>
    <cellStyle name="Normal 5 2 7 12" xfId="15735"/>
    <cellStyle name="Normal 5 2 7 12 2" xfId="31865"/>
    <cellStyle name="Normal 5 2 7 13" xfId="15736"/>
    <cellStyle name="Normal 5 2 7 13 2" xfId="31866"/>
    <cellStyle name="Normal 5 2 7 14" xfId="15737"/>
    <cellStyle name="Normal 5 2 7 14 2" xfId="31867"/>
    <cellStyle name="Normal 5 2 7 15" xfId="15738"/>
    <cellStyle name="Normal 5 2 7 15 2" xfId="31868"/>
    <cellStyle name="Normal 5 2 7 16" xfId="15739"/>
    <cellStyle name="Normal 5 2 7 16 2" xfId="31869"/>
    <cellStyle name="Normal 5 2 7 17" xfId="15740"/>
    <cellStyle name="Normal 5 2 7 17 2" xfId="31870"/>
    <cellStyle name="Normal 5 2 7 18" xfId="5233"/>
    <cellStyle name="Normal 5 2 7 18 2" xfId="21395"/>
    <cellStyle name="Normal 5 2 7 19" xfId="19421"/>
    <cellStyle name="Normal 5 2 7 2" xfId="3545"/>
    <cellStyle name="Normal 5 2 7 2 10" xfId="15741"/>
    <cellStyle name="Normal 5 2 7 2 10 2" xfId="31871"/>
    <cellStyle name="Normal 5 2 7 2 11" xfId="15742"/>
    <cellStyle name="Normal 5 2 7 2 11 2" xfId="31872"/>
    <cellStyle name="Normal 5 2 7 2 12" xfId="15743"/>
    <cellStyle name="Normal 5 2 7 2 12 2" xfId="31873"/>
    <cellStyle name="Normal 5 2 7 2 13" xfId="7423"/>
    <cellStyle name="Normal 5 2 7 2 13 2" xfId="23585"/>
    <cellStyle name="Normal 5 2 7 2 14" xfId="20024"/>
    <cellStyle name="Normal 5 2 7 2 2" xfId="3546"/>
    <cellStyle name="Normal 5 2 7 2 2 10" xfId="15744"/>
    <cellStyle name="Normal 5 2 7 2 2 10 2" xfId="31874"/>
    <cellStyle name="Normal 5 2 7 2 2 11" xfId="7425"/>
    <cellStyle name="Normal 5 2 7 2 2 11 2" xfId="23587"/>
    <cellStyle name="Normal 5 2 7 2 2 12" xfId="20025"/>
    <cellStyle name="Normal 5 2 7 2 2 2" xfId="15745"/>
    <cellStyle name="Normal 5 2 7 2 2 2 2" xfId="15746"/>
    <cellStyle name="Normal 5 2 7 2 2 2 2 2" xfId="31876"/>
    <cellStyle name="Normal 5 2 7 2 2 2 3" xfId="31875"/>
    <cellStyle name="Normal 5 2 7 2 2 3" xfId="15747"/>
    <cellStyle name="Normal 5 2 7 2 2 3 2" xfId="31877"/>
    <cellStyle name="Normal 5 2 7 2 2 4" xfId="15748"/>
    <cellStyle name="Normal 5 2 7 2 2 4 2" xfId="31878"/>
    <cellStyle name="Normal 5 2 7 2 2 5" xfId="15749"/>
    <cellStyle name="Normal 5 2 7 2 2 5 2" xfId="31879"/>
    <cellStyle name="Normal 5 2 7 2 2 6" xfId="15750"/>
    <cellStyle name="Normal 5 2 7 2 2 6 2" xfId="31880"/>
    <cellStyle name="Normal 5 2 7 2 2 7" xfId="15751"/>
    <cellStyle name="Normal 5 2 7 2 2 7 2" xfId="31881"/>
    <cellStyle name="Normal 5 2 7 2 2 8" xfId="15752"/>
    <cellStyle name="Normal 5 2 7 2 2 8 2" xfId="31882"/>
    <cellStyle name="Normal 5 2 7 2 2 9" xfId="15753"/>
    <cellStyle name="Normal 5 2 7 2 2 9 2" xfId="31883"/>
    <cellStyle name="Normal 5 2 7 2 3" xfId="3547"/>
    <cellStyle name="Normal 5 2 7 2 3 10" xfId="15754"/>
    <cellStyle name="Normal 5 2 7 2 3 10 2" xfId="31884"/>
    <cellStyle name="Normal 5 2 7 2 3 11" xfId="7426"/>
    <cellStyle name="Normal 5 2 7 2 3 11 2" xfId="23588"/>
    <cellStyle name="Normal 5 2 7 2 3 12" xfId="20026"/>
    <cellStyle name="Normal 5 2 7 2 3 2" xfId="15755"/>
    <cellStyle name="Normal 5 2 7 2 3 2 2" xfId="31885"/>
    <cellStyle name="Normal 5 2 7 2 3 3" xfId="15756"/>
    <cellStyle name="Normal 5 2 7 2 3 3 2" xfId="31886"/>
    <cellStyle name="Normal 5 2 7 2 3 4" xfId="15757"/>
    <cellStyle name="Normal 5 2 7 2 3 4 2" xfId="31887"/>
    <cellStyle name="Normal 5 2 7 2 3 5" xfId="15758"/>
    <cellStyle name="Normal 5 2 7 2 3 5 2" xfId="31888"/>
    <cellStyle name="Normal 5 2 7 2 3 6" xfId="15759"/>
    <cellStyle name="Normal 5 2 7 2 3 6 2" xfId="31889"/>
    <cellStyle name="Normal 5 2 7 2 3 7" xfId="15760"/>
    <cellStyle name="Normal 5 2 7 2 3 7 2" xfId="31890"/>
    <cellStyle name="Normal 5 2 7 2 3 8" xfId="15761"/>
    <cellStyle name="Normal 5 2 7 2 3 8 2" xfId="31891"/>
    <cellStyle name="Normal 5 2 7 2 3 9" xfId="15762"/>
    <cellStyle name="Normal 5 2 7 2 3 9 2" xfId="31892"/>
    <cellStyle name="Normal 5 2 7 2 4" xfId="15763"/>
    <cellStyle name="Normal 5 2 7 2 4 2" xfId="15764"/>
    <cellStyle name="Normal 5 2 7 2 4 2 2" xfId="31894"/>
    <cellStyle name="Normal 5 2 7 2 4 3" xfId="31893"/>
    <cellStyle name="Normal 5 2 7 2 5" xfId="15765"/>
    <cellStyle name="Normal 5 2 7 2 5 2" xfId="31895"/>
    <cellStyle name="Normal 5 2 7 2 6" xfId="15766"/>
    <cellStyle name="Normal 5 2 7 2 6 2" xfId="31896"/>
    <cellStyle name="Normal 5 2 7 2 7" xfId="15767"/>
    <cellStyle name="Normal 5 2 7 2 7 2" xfId="31897"/>
    <cellStyle name="Normal 5 2 7 2 8" xfId="15768"/>
    <cellStyle name="Normal 5 2 7 2 8 2" xfId="31898"/>
    <cellStyle name="Normal 5 2 7 2 9" xfId="15769"/>
    <cellStyle name="Normal 5 2 7 2 9 2" xfId="31899"/>
    <cellStyle name="Normal 5 2 7 3" xfId="3548"/>
    <cellStyle name="Normal 5 2 7 3 10" xfId="15770"/>
    <cellStyle name="Normal 5 2 7 3 10 2" xfId="31900"/>
    <cellStyle name="Normal 5 2 7 3 11" xfId="15771"/>
    <cellStyle name="Normal 5 2 7 3 11 2" xfId="31901"/>
    <cellStyle name="Normal 5 2 7 3 12" xfId="15772"/>
    <cellStyle name="Normal 5 2 7 3 12 2" xfId="31902"/>
    <cellStyle name="Normal 5 2 7 3 13" xfId="7427"/>
    <cellStyle name="Normal 5 2 7 3 13 2" xfId="23589"/>
    <cellStyle name="Normal 5 2 7 3 14" xfId="20027"/>
    <cellStyle name="Normal 5 2 7 3 2" xfId="3549"/>
    <cellStyle name="Normal 5 2 7 3 2 10" xfId="15773"/>
    <cellStyle name="Normal 5 2 7 3 2 10 2" xfId="31903"/>
    <cellStyle name="Normal 5 2 7 3 2 11" xfId="7428"/>
    <cellStyle name="Normal 5 2 7 3 2 11 2" xfId="23590"/>
    <cellStyle name="Normal 5 2 7 3 2 12" xfId="20028"/>
    <cellStyle name="Normal 5 2 7 3 2 2" xfId="15774"/>
    <cellStyle name="Normal 5 2 7 3 2 2 2" xfId="15775"/>
    <cellStyle name="Normal 5 2 7 3 2 2 2 2" xfId="31905"/>
    <cellStyle name="Normal 5 2 7 3 2 2 3" xfId="31904"/>
    <cellStyle name="Normal 5 2 7 3 2 3" xfId="15776"/>
    <cellStyle name="Normal 5 2 7 3 2 3 2" xfId="31906"/>
    <cellStyle name="Normal 5 2 7 3 2 4" xfId="15777"/>
    <cellStyle name="Normal 5 2 7 3 2 4 2" xfId="31907"/>
    <cellStyle name="Normal 5 2 7 3 2 5" xfId="15778"/>
    <cellStyle name="Normal 5 2 7 3 2 5 2" xfId="31908"/>
    <cellStyle name="Normal 5 2 7 3 2 6" xfId="15779"/>
    <cellStyle name="Normal 5 2 7 3 2 6 2" xfId="31909"/>
    <cellStyle name="Normal 5 2 7 3 2 7" xfId="15780"/>
    <cellStyle name="Normal 5 2 7 3 2 7 2" xfId="31910"/>
    <cellStyle name="Normal 5 2 7 3 2 8" xfId="15781"/>
    <cellStyle name="Normal 5 2 7 3 2 8 2" xfId="31911"/>
    <cellStyle name="Normal 5 2 7 3 2 9" xfId="15782"/>
    <cellStyle name="Normal 5 2 7 3 2 9 2" xfId="31912"/>
    <cellStyle name="Normal 5 2 7 3 3" xfId="3550"/>
    <cellStyle name="Normal 5 2 7 3 3 10" xfId="15783"/>
    <cellStyle name="Normal 5 2 7 3 3 10 2" xfId="31913"/>
    <cellStyle name="Normal 5 2 7 3 3 11" xfId="7429"/>
    <cellStyle name="Normal 5 2 7 3 3 11 2" xfId="23591"/>
    <cellStyle name="Normal 5 2 7 3 3 12" xfId="20029"/>
    <cellStyle name="Normal 5 2 7 3 3 2" xfId="15784"/>
    <cellStyle name="Normal 5 2 7 3 3 2 2" xfId="31914"/>
    <cellStyle name="Normal 5 2 7 3 3 3" xfId="15785"/>
    <cellStyle name="Normal 5 2 7 3 3 3 2" xfId="31915"/>
    <cellStyle name="Normal 5 2 7 3 3 4" xfId="15786"/>
    <cellStyle name="Normal 5 2 7 3 3 4 2" xfId="31916"/>
    <cellStyle name="Normal 5 2 7 3 3 5" xfId="15787"/>
    <cellStyle name="Normal 5 2 7 3 3 5 2" xfId="31917"/>
    <cellStyle name="Normal 5 2 7 3 3 6" xfId="15788"/>
    <cellStyle name="Normal 5 2 7 3 3 6 2" xfId="31918"/>
    <cellStyle name="Normal 5 2 7 3 3 7" xfId="15789"/>
    <cellStyle name="Normal 5 2 7 3 3 7 2" xfId="31919"/>
    <cellStyle name="Normal 5 2 7 3 3 8" xfId="15790"/>
    <cellStyle name="Normal 5 2 7 3 3 8 2" xfId="31920"/>
    <cellStyle name="Normal 5 2 7 3 3 9" xfId="15791"/>
    <cellStyle name="Normal 5 2 7 3 3 9 2" xfId="31921"/>
    <cellStyle name="Normal 5 2 7 3 4" xfId="15792"/>
    <cellStyle name="Normal 5 2 7 3 4 2" xfId="15793"/>
    <cellStyle name="Normal 5 2 7 3 4 2 2" xfId="31923"/>
    <cellStyle name="Normal 5 2 7 3 4 3" xfId="31922"/>
    <cellStyle name="Normal 5 2 7 3 5" xfId="15794"/>
    <cellStyle name="Normal 5 2 7 3 5 2" xfId="31924"/>
    <cellStyle name="Normal 5 2 7 3 6" xfId="15795"/>
    <cellStyle name="Normal 5 2 7 3 6 2" xfId="31925"/>
    <cellStyle name="Normal 5 2 7 3 7" xfId="15796"/>
    <cellStyle name="Normal 5 2 7 3 7 2" xfId="31926"/>
    <cellStyle name="Normal 5 2 7 3 8" xfId="15797"/>
    <cellStyle name="Normal 5 2 7 3 8 2" xfId="31927"/>
    <cellStyle name="Normal 5 2 7 3 9" xfId="15798"/>
    <cellStyle name="Normal 5 2 7 3 9 2" xfId="31928"/>
    <cellStyle name="Normal 5 2 7 4" xfId="3552"/>
    <cellStyle name="Normal 5 2 7 4 10" xfId="15799"/>
    <cellStyle name="Normal 5 2 7 4 10 2" xfId="31929"/>
    <cellStyle name="Normal 5 2 7 4 11" xfId="15800"/>
    <cellStyle name="Normal 5 2 7 4 11 2" xfId="31930"/>
    <cellStyle name="Normal 5 2 7 4 12" xfId="15801"/>
    <cellStyle name="Normal 5 2 7 4 12 2" xfId="31931"/>
    <cellStyle name="Normal 5 2 7 4 13" xfId="7430"/>
    <cellStyle name="Normal 5 2 7 4 13 2" xfId="23592"/>
    <cellStyle name="Normal 5 2 7 4 14" xfId="20030"/>
    <cellStyle name="Normal 5 2 7 4 2" xfId="1428"/>
    <cellStyle name="Normal 5 2 7 4 2 10" xfId="15802"/>
    <cellStyle name="Normal 5 2 7 4 2 10 2" xfId="31932"/>
    <cellStyle name="Normal 5 2 7 4 2 11" xfId="5346"/>
    <cellStyle name="Normal 5 2 7 4 2 11 2" xfId="21508"/>
    <cellStyle name="Normal 5 2 7 4 2 12" xfId="19475"/>
    <cellStyle name="Normal 5 2 7 4 2 2" xfId="15803"/>
    <cellStyle name="Normal 5 2 7 4 2 2 2" xfId="31933"/>
    <cellStyle name="Normal 5 2 7 4 2 3" xfId="15804"/>
    <cellStyle name="Normal 5 2 7 4 2 3 2" xfId="31934"/>
    <cellStyle name="Normal 5 2 7 4 2 4" xfId="15805"/>
    <cellStyle name="Normal 5 2 7 4 2 4 2" xfId="31935"/>
    <cellStyle name="Normal 5 2 7 4 2 5" xfId="15806"/>
    <cellStyle name="Normal 5 2 7 4 2 5 2" xfId="31936"/>
    <cellStyle name="Normal 5 2 7 4 2 6" xfId="15807"/>
    <cellStyle name="Normal 5 2 7 4 2 6 2" xfId="31937"/>
    <cellStyle name="Normal 5 2 7 4 2 7" xfId="15808"/>
    <cellStyle name="Normal 5 2 7 4 2 7 2" xfId="31938"/>
    <cellStyle name="Normal 5 2 7 4 2 8" xfId="15809"/>
    <cellStyle name="Normal 5 2 7 4 2 8 2" xfId="31939"/>
    <cellStyle name="Normal 5 2 7 4 2 9" xfId="15810"/>
    <cellStyle name="Normal 5 2 7 4 2 9 2" xfId="31940"/>
    <cellStyle name="Normal 5 2 7 4 3" xfId="1430"/>
    <cellStyle name="Normal 5 2 7 4 3 10" xfId="15811"/>
    <cellStyle name="Normal 5 2 7 4 3 10 2" xfId="31941"/>
    <cellStyle name="Normal 5 2 7 4 3 11" xfId="5348"/>
    <cellStyle name="Normal 5 2 7 4 3 11 2" xfId="21510"/>
    <cellStyle name="Normal 5 2 7 4 3 12" xfId="19477"/>
    <cellStyle name="Normal 5 2 7 4 3 2" xfId="15812"/>
    <cellStyle name="Normal 5 2 7 4 3 2 2" xfId="31942"/>
    <cellStyle name="Normal 5 2 7 4 3 3" xfId="15813"/>
    <cellStyle name="Normal 5 2 7 4 3 3 2" xfId="31943"/>
    <cellStyle name="Normal 5 2 7 4 3 4" xfId="15814"/>
    <cellStyle name="Normal 5 2 7 4 3 4 2" xfId="31944"/>
    <cellStyle name="Normal 5 2 7 4 3 5" xfId="15815"/>
    <cellStyle name="Normal 5 2 7 4 3 5 2" xfId="31945"/>
    <cellStyle name="Normal 5 2 7 4 3 6" xfId="15816"/>
    <cellStyle name="Normal 5 2 7 4 3 6 2" xfId="31946"/>
    <cellStyle name="Normal 5 2 7 4 3 7" xfId="15817"/>
    <cellStyle name="Normal 5 2 7 4 3 7 2" xfId="31947"/>
    <cellStyle name="Normal 5 2 7 4 3 8" xfId="15818"/>
    <cellStyle name="Normal 5 2 7 4 3 8 2" xfId="31948"/>
    <cellStyle name="Normal 5 2 7 4 3 9" xfId="15819"/>
    <cellStyle name="Normal 5 2 7 4 3 9 2" xfId="31949"/>
    <cellStyle name="Normal 5 2 7 4 4" xfId="15820"/>
    <cellStyle name="Normal 5 2 7 4 4 2" xfId="31950"/>
    <cellStyle name="Normal 5 2 7 4 5" xfId="15821"/>
    <cellStyle name="Normal 5 2 7 4 5 2" xfId="31951"/>
    <cellStyle name="Normal 5 2 7 4 6" xfId="15822"/>
    <cellStyle name="Normal 5 2 7 4 6 2" xfId="31952"/>
    <cellStyle name="Normal 5 2 7 4 7" xfId="15823"/>
    <cellStyle name="Normal 5 2 7 4 7 2" xfId="31953"/>
    <cellStyle name="Normal 5 2 7 4 8" xfId="15824"/>
    <cellStyle name="Normal 5 2 7 4 8 2" xfId="31954"/>
    <cellStyle name="Normal 5 2 7 4 9" xfId="15825"/>
    <cellStyle name="Normal 5 2 7 4 9 2" xfId="31955"/>
    <cellStyle name="Normal 5 2 7 5" xfId="3554"/>
    <cellStyle name="Normal 5 2 7 5 10" xfId="15826"/>
    <cellStyle name="Normal 5 2 7 5 10 2" xfId="31956"/>
    <cellStyle name="Normal 5 2 7 5 11" xfId="15827"/>
    <cellStyle name="Normal 5 2 7 5 11 2" xfId="31957"/>
    <cellStyle name="Normal 5 2 7 5 12" xfId="15828"/>
    <cellStyle name="Normal 5 2 7 5 12 2" xfId="31958"/>
    <cellStyle name="Normal 5 2 7 5 13" xfId="7432"/>
    <cellStyle name="Normal 5 2 7 5 13 2" xfId="23594"/>
    <cellStyle name="Normal 5 2 7 5 14" xfId="20031"/>
    <cellStyle name="Normal 5 2 7 5 2" xfId="1438"/>
    <cellStyle name="Normal 5 2 7 5 2 10" xfId="15829"/>
    <cellStyle name="Normal 5 2 7 5 2 10 2" xfId="31959"/>
    <cellStyle name="Normal 5 2 7 5 2 11" xfId="5356"/>
    <cellStyle name="Normal 5 2 7 5 2 11 2" xfId="21518"/>
    <cellStyle name="Normal 5 2 7 5 2 12" xfId="19483"/>
    <cellStyle name="Normal 5 2 7 5 2 2" xfId="15830"/>
    <cellStyle name="Normal 5 2 7 5 2 2 2" xfId="31960"/>
    <cellStyle name="Normal 5 2 7 5 2 3" xfId="15831"/>
    <cellStyle name="Normal 5 2 7 5 2 3 2" xfId="31961"/>
    <cellStyle name="Normal 5 2 7 5 2 4" xfId="15832"/>
    <cellStyle name="Normal 5 2 7 5 2 4 2" xfId="31962"/>
    <cellStyle name="Normal 5 2 7 5 2 5" xfId="15833"/>
    <cellStyle name="Normal 5 2 7 5 2 5 2" xfId="31963"/>
    <cellStyle name="Normal 5 2 7 5 2 6" xfId="15834"/>
    <cellStyle name="Normal 5 2 7 5 2 6 2" xfId="31964"/>
    <cellStyle name="Normal 5 2 7 5 2 7" xfId="15835"/>
    <cellStyle name="Normal 5 2 7 5 2 7 2" xfId="31965"/>
    <cellStyle name="Normal 5 2 7 5 2 8" xfId="15836"/>
    <cellStyle name="Normal 5 2 7 5 2 8 2" xfId="31966"/>
    <cellStyle name="Normal 5 2 7 5 2 9" xfId="15837"/>
    <cellStyle name="Normal 5 2 7 5 2 9 2" xfId="31967"/>
    <cellStyle name="Normal 5 2 7 5 3" xfId="1441"/>
    <cellStyle name="Normal 5 2 7 5 3 10" xfId="15838"/>
    <cellStyle name="Normal 5 2 7 5 3 10 2" xfId="31968"/>
    <cellStyle name="Normal 5 2 7 5 3 11" xfId="5359"/>
    <cellStyle name="Normal 5 2 7 5 3 11 2" xfId="21521"/>
    <cellStyle name="Normal 5 2 7 5 3 12" xfId="19486"/>
    <cellStyle name="Normal 5 2 7 5 3 2" xfId="15839"/>
    <cellStyle name="Normal 5 2 7 5 3 2 2" xfId="31969"/>
    <cellStyle name="Normal 5 2 7 5 3 3" xfId="15840"/>
    <cellStyle name="Normal 5 2 7 5 3 3 2" xfId="31970"/>
    <cellStyle name="Normal 5 2 7 5 3 4" xfId="15841"/>
    <cellStyle name="Normal 5 2 7 5 3 4 2" xfId="31971"/>
    <cellStyle name="Normal 5 2 7 5 3 5" xfId="15842"/>
    <cellStyle name="Normal 5 2 7 5 3 5 2" xfId="31972"/>
    <cellStyle name="Normal 5 2 7 5 3 6" xfId="15843"/>
    <cellStyle name="Normal 5 2 7 5 3 6 2" xfId="31973"/>
    <cellStyle name="Normal 5 2 7 5 3 7" xfId="15844"/>
    <cellStyle name="Normal 5 2 7 5 3 7 2" xfId="31974"/>
    <cellStyle name="Normal 5 2 7 5 3 8" xfId="15845"/>
    <cellStyle name="Normal 5 2 7 5 3 8 2" xfId="31975"/>
    <cellStyle name="Normal 5 2 7 5 3 9" xfId="15846"/>
    <cellStyle name="Normal 5 2 7 5 3 9 2" xfId="31976"/>
    <cellStyle name="Normal 5 2 7 5 4" xfId="15847"/>
    <cellStyle name="Normal 5 2 7 5 4 2" xfId="31977"/>
    <cellStyle name="Normal 5 2 7 5 5" xfId="15848"/>
    <cellStyle name="Normal 5 2 7 5 5 2" xfId="31978"/>
    <cellStyle name="Normal 5 2 7 5 6" xfId="15849"/>
    <cellStyle name="Normal 5 2 7 5 6 2" xfId="31979"/>
    <cellStyle name="Normal 5 2 7 5 7" xfId="15850"/>
    <cellStyle name="Normal 5 2 7 5 7 2" xfId="31980"/>
    <cellStyle name="Normal 5 2 7 5 8" xfId="15851"/>
    <cellStyle name="Normal 5 2 7 5 8 2" xfId="31981"/>
    <cellStyle name="Normal 5 2 7 5 9" xfId="15852"/>
    <cellStyle name="Normal 5 2 7 5 9 2" xfId="31982"/>
    <cellStyle name="Normal 5 2 7 6" xfId="3555"/>
    <cellStyle name="Normal 5 2 7 6 10" xfId="15853"/>
    <cellStyle name="Normal 5 2 7 6 10 2" xfId="31983"/>
    <cellStyle name="Normal 5 2 7 6 11" xfId="15854"/>
    <cellStyle name="Normal 5 2 7 6 11 2" xfId="31984"/>
    <cellStyle name="Normal 5 2 7 6 12" xfId="15855"/>
    <cellStyle name="Normal 5 2 7 6 12 2" xfId="31985"/>
    <cellStyle name="Normal 5 2 7 6 13" xfId="7434"/>
    <cellStyle name="Normal 5 2 7 6 13 2" xfId="23596"/>
    <cellStyle name="Normal 5 2 7 6 14" xfId="20032"/>
    <cellStyle name="Normal 5 2 7 6 2" xfId="1459"/>
    <cellStyle name="Normal 5 2 7 6 2 10" xfId="15856"/>
    <cellStyle name="Normal 5 2 7 6 2 10 2" xfId="31986"/>
    <cellStyle name="Normal 5 2 7 6 2 11" xfId="5375"/>
    <cellStyle name="Normal 5 2 7 6 2 11 2" xfId="21537"/>
    <cellStyle name="Normal 5 2 7 6 2 12" xfId="19497"/>
    <cellStyle name="Normal 5 2 7 6 2 2" xfId="15857"/>
    <cellStyle name="Normal 5 2 7 6 2 2 2" xfId="31987"/>
    <cellStyle name="Normal 5 2 7 6 2 3" xfId="15858"/>
    <cellStyle name="Normal 5 2 7 6 2 3 2" xfId="31988"/>
    <cellStyle name="Normal 5 2 7 6 2 4" xfId="15859"/>
    <cellStyle name="Normal 5 2 7 6 2 4 2" xfId="31989"/>
    <cellStyle name="Normal 5 2 7 6 2 5" xfId="15860"/>
    <cellStyle name="Normal 5 2 7 6 2 5 2" xfId="31990"/>
    <cellStyle name="Normal 5 2 7 6 2 6" xfId="15861"/>
    <cellStyle name="Normal 5 2 7 6 2 6 2" xfId="31991"/>
    <cellStyle name="Normal 5 2 7 6 2 7" xfId="15862"/>
    <cellStyle name="Normal 5 2 7 6 2 7 2" xfId="31992"/>
    <cellStyle name="Normal 5 2 7 6 2 8" xfId="15863"/>
    <cellStyle name="Normal 5 2 7 6 2 8 2" xfId="31993"/>
    <cellStyle name="Normal 5 2 7 6 2 9" xfId="15864"/>
    <cellStyle name="Normal 5 2 7 6 2 9 2" xfId="31994"/>
    <cellStyle name="Normal 5 2 7 6 3" xfId="1462"/>
    <cellStyle name="Normal 5 2 7 6 3 10" xfId="15865"/>
    <cellStyle name="Normal 5 2 7 6 3 10 2" xfId="31995"/>
    <cellStyle name="Normal 5 2 7 6 3 11" xfId="5378"/>
    <cellStyle name="Normal 5 2 7 6 3 11 2" xfId="21540"/>
    <cellStyle name="Normal 5 2 7 6 3 12" xfId="19499"/>
    <cellStyle name="Normal 5 2 7 6 3 2" xfId="15866"/>
    <cellStyle name="Normal 5 2 7 6 3 2 2" xfId="31996"/>
    <cellStyle name="Normal 5 2 7 6 3 3" xfId="15867"/>
    <cellStyle name="Normal 5 2 7 6 3 3 2" xfId="31997"/>
    <cellStyle name="Normal 5 2 7 6 3 4" xfId="15868"/>
    <cellStyle name="Normal 5 2 7 6 3 4 2" xfId="31998"/>
    <cellStyle name="Normal 5 2 7 6 3 5" xfId="15869"/>
    <cellStyle name="Normal 5 2 7 6 3 5 2" xfId="31999"/>
    <cellStyle name="Normal 5 2 7 6 3 6" xfId="15870"/>
    <cellStyle name="Normal 5 2 7 6 3 6 2" xfId="32000"/>
    <cellStyle name="Normal 5 2 7 6 3 7" xfId="15871"/>
    <cellStyle name="Normal 5 2 7 6 3 7 2" xfId="32001"/>
    <cellStyle name="Normal 5 2 7 6 3 8" xfId="15872"/>
    <cellStyle name="Normal 5 2 7 6 3 8 2" xfId="32002"/>
    <cellStyle name="Normal 5 2 7 6 3 9" xfId="15873"/>
    <cellStyle name="Normal 5 2 7 6 3 9 2" xfId="32003"/>
    <cellStyle name="Normal 5 2 7 6 4" xfId="15874"/>
    <cellStyle name="Normal 5 2 7 6 4 2" xfId="32004"/>
    <cellStyle name="Normal 5 2 7 6 5" xfId="15875"/>
    <cellStyle name="Normal 5 2 7 6 5 2" xfId="32005"/>
    <cellStyle name="Normal 5 2 7 6 6" xfId="15876"/>
    <cellStyle name="Normal 5 2 7 6 6 2" xfId="32006"/>
    <cellStyle name="Normal 5 2 7 6 7" xfId="15877"/>
    <cellStyle name="Normal 5 2 7 6 7 2" xfId="32007"/>
    <cellStyle name="Normal 5 2 7 6 8" xfId="15878"/>
    <cellStyle name="Normal 5 2 7 6 8 2" xfId="32008"/>
    <cellStyle name="Normal 5 2 7 6 9" xfId="15879"/>
    <cellStyle name="Normal 5 2 7 6 9 2" xfId="32009"/>
    <cellStyle name="Normal 5 2 7 7" xfId="3556"/>
    <cellStyle name="Normal 5 2 7 7 10" xfId="15880"/>
    <cellStyle name="Normal 5 2 7 7 10 2" xfId="32010"/>
    <cellStyle name="Normal 5 2 7 7 11" xfId="7435"/>
    <cellStyle name="Normal 5 2 7 7 11 2" xfId="23597"/>
    <cellStyle name="Normal 5 2 7 7 12" xfId="20033"/>
    <cellStyle name="Normal 5 2 7 7 2" xfId="15881"/>
    <cellStyle name="Normal 5 2 7 7 2 2" xfId="32011"/>
    <cellStyle name="Normal 5 2 7 7 3" xfId="15882"/>
    <cellStyle name="Normal 5 2 7 7 3 2" xfId="32012"/>
    <cellStyle name="Normal 5 2 7 7 4" xfId="15883"/>
    <cellStyle name="Normal 5 2 7 7 4 2" xfId="32013"/>
    <cellStyle name="Normal 5 2 7 7 5" xfId="15884"/>
    <cellStyle name="Normal 5 2 7 7 5 2" xfId="32014"/>
    <cellStyle name="Normal 5 2 7 7 6" xfId="15885"/>
    <cellStyle name="Normal 5 2 7 7 6 2" xfId="32015"/>
    <cellStyle name="Normal 5 2 7 7 7" xfId="15886"/>
    <cellStyle name="Normal 5 2 7 7 7 2" xfId="32016"/>
    <cellStyle name="Normal 5 2 7 7 8" xfId="15887"/>
    <cellStyle name="Normal 5 2 7 7 8 2" xfId="32017"/>
    <cellStyle name="Normal 5 2 7 7 9" xfId="15888"/>
    <cellStyle name="Normal 5 2 7 7 9 2" xfId="32018"/>
    <cellStyle name="Normal 5 2 7 8" xfId="3557"/>
    <cellStyle name="Normal 5 2 7 8 10" xfId="15889"/>
    <cellStyle name="Normal 5 2 7 8 10 2" xfId="32019"/>
    <cellStyle name="Normal 5 2 7 8 11" xfId="7436"/>
    <cellStyle name="Normal 5 2 7 8 11 2" xfId="23598"/>
    <cellStyle name="Normal 5 2 7 8 12" xfId="20034"/>
    <cellStyle name="Normal 5 2 7 8 2" xfId="15890"/>
    <cellStyle name="Normal 5 2 7 8 2 2" xfId="32020"/>
    <cellStyle name="Normal 5 2 7 8 3" xfId="15891"/>
    <cellStyle name="Normal 5 2 7 8 3 2" xfId="32021"/>
    <cellStyle name="Normal 5 2 7 8 4" xfId="15892"/>
    <cellStyle name="Normal 5 2 7 8 4 2" xfId="32022"/>
    <cellStyle name="Normal 5 2 7 8 5" xfId="15893"/>
    <cellStyle name="Normal 5 2 7 8 5 2" xfId="32023"/>
    <cellStyle name="Normal 5 2 7 8 6" xfId="15894"/>
    <cellStyle name="Normal 5 2 7 8 6 2" xfId="32024"/>
    <cellStyle name="Normal 5 2 7 8 7" xfId="15895"/>
    <cellStyle name="Normal 5 2 7 8 7 2" xfId="32025"/>
    <cellStyle name="Normal 5 2 7 8 8" xfId="15896"/>
    <cellStyle name="Normal 5 2 7 8 8 2" xfId="32026"/>
    <cellStyle name="Normal 5 2 7 8 9" xfId="15897"/>
    <cellStyle name="Normal 5 2 7 8 9 2" xfId="32027"/>
    <cellStyle name="Normal 5 2 7 9" xfId="15898"/>
    <cellStyle name="Normal 5 2 7 9 2" xfId="32028"/>
    <cellStyle name="Normal 5 2 8" xfId="1315"/>
    <cellStyle name="Normal 5 2 8 10" xfId="15899"/>
    <cellStyle name="Normal 5 2 8 10 2" xfId="32029"/>
    <cellStyle name="Normal 5 2 8 11" xfId="15900"/>
    <cellStyle name="Normal 5 2 8 11 2" xfId="32030"/>
    <cellStyle name="Normal 5 2 8 12" xfId="15901"/>
    <cellStyle name="Normal 5 2 8 12 2" xfId="32031"/>
    <cellStyle name="Normal 5 2 8 13" xfId="15902"/>
    <cellStyle name="Normal 5 2 8 13 2" xfId="32032"/>
    <cellStyle name="Normal 5 2 8 14" xfId="15903"/>
    <cellStyle name="Normal 5 2 8 14 2" xfId="32033"/>
    <cellStyle name="Normal 5 2 8 15" xfId="15904"/>
    <cellStyle name="Normal 5 2 8 15 2" xfId="32034"/>
    <cellStyle name="Normal 5 2 8 16" xfId="15905"/>
    <cellStyle name="Normal 5 2 8 16 2" xfId="32035"/>
    <cellStyle name="Normal 5 2 8 17" xfId="15906"/>
    <cellStyle name="Normal 5 2 8 17 2" xfId="32036"/>
    <cellStyle name="Normal 5 2 8 18" xfId="5235"/>
    <cellStyle name="Normal 5 2 8 18 2" xfId="21397"/>
    <cellStyle name="Normal 5 2 8 19" xfId="19423"/>
    <cellStyle name="Normal 5 2 8 2" xfId="3559"/>
    <cellStyle name="Normal 5 2 8 2 10" xfId="15907"/>
    <cellStyle name="Normal 5 2 8 2 10 2" xfId="32037"/>
    <cellStyle name="Normal 5 2 8 2 11" xfId="15908"/>
    <cellStyle name="Normal 5 2 8 2 11 2" xfId="32038"/>
    <cellStyle name="Normal 5 2 8 2 12" xfId="15909"/>
    <cellStyle name="Normal 5 2 8 2 12 2" xfId="32039"/>
    <cellStyle name="Normal 5 2 8 2 13" xfId="7437"/>
    <cellStyle name="Normal 5 2 8 2 13 2" xfId="23599"/>
    <cellStyle name="Normal 5 2 8 2 14" xfId="20036"/>
    <cellStyle name="Normal 5 2 8 2 2" xfId="2150"/>
    <cellStyle name="Normal 5 2 8 2 2 10" xfId="15910"/>
    <cellStyle name="Normal 5 2 8 2 2 10 2" xfId="32040"/>
    <cellStyle name="Normal 5 2 8 2 2 11" xfId="6051"/>
    <cellStyle name="Normal 5 2 8 2 2 11 2" xfId="22213"/>
    <cellStyle name="Normal 5 2 8 2 2 12" xfId="19618"/>
    <cellStyle name="Normal 5 2 8 2 2 2" xfId="15911"/>
    <cellStyle name="Normal 5 2 8 2 2 2 2" xfId="32041"/>
    <cellStyle name="Normal 5 2 8 2 2 3" xfId="15912"/>
    <cellStyle name="Normal 5 2 8 2 2 3 2" xfId="32042"/>
    <cellStyle name="Normal 5 2 8 2 2 4" xfId="15913"/>
    <cellStyle name="Normal 5 2 8 2 2 4 2" xfId="32043"/>
    <cellStyle name="Normal 5 2 8 2 2 5" xfId="15914"/>
    <cellStyle name="Normal 5 2 8 2 2 5 2" xfId="32044"/>
    <cellStyle name="Normal 5 2 8 2 2 6" xfId="15915"/>
    <cellStyle name="Normal 5 2 8 2 2 6 2" xfId="32045"/>
    <cellStyle name="Normal 5 2 8 2 2 7" xfId="15916"/>
    <cellStyle name="Normal 5 2 8 2 2 7 2" xfId="32046"/>
    <cellStyle name="Normal 5 2 8 2 2 8" xfId="15917"/>
    <cellStyle name="Normal 5 2 8 2 2 8 2" xfId="32047"/>
    <cellStyle name="Normal 5 2 8 2 2 9" xfId="15918"/>
    <cellStyle name="Normal 5 2 8 2 2 9 2" xfId="32048"/>
    <cellStyle name="Normal 5 2 8 2 3" xfId="2699"/>
    <cellStyle name="Normal 5 2 8 2 3 10" xfId="15919"/>
    <cellStyle name="Normal 5 2 8 2 3 10 2" xfId="32049"/>
    <cellStyle name="Normal 5 2 8 2 3 11" xfId="6592"/>
    <cellStyle name="Normal 5 2 8 2 3 11 2" xfId="22754"/>
    <cellStyle name="Normal 5 2 8 2 3 12" xfId="19697"/>
    <cellStyle name="Normal 5 2 8 2 3 2" xfId="15920"/>
    <cellStyle name="Normal 5 2 8 2 3 2 2" xfId="32050"/>
    <cellStyle name="Normal 5 2 8 2 3 3" xfId="15921"/>
    <cellStyle name="Normal 5 2 8 2 3 3 2" xfId="32051"/>
    <cellStyle name="Normal 5 2 8 2 3 4" xfId="15922"/>
    <cellStyle name="Normal 5 2 8 2 3 4 2" xfId="32052"/>
    <cellStyle name="Normal 5 2 8 2 3 5" xfId="15923"/>
    <cellStyle name="Normal 5 2 8 2 3 5 2" xfId="32053"/>
    <cellStyle name="Normal 5 2 8 2 3 6" xfId="15924"/>
    <cellStyle name="Normal 5 2 8 2 3 6 2" xfId="32054"/>
    <cellStyle name="Normal 5 2 8 2 3 7" xfId="15925"/>
    <cellStyle name="Normal 5 2 8 2 3 7 2" xfId="32055"/>
    <cellStyle name="Normal 5 2 8 2 3 8" xfId="15926"/>
    <cellStyle name="Normal 5 2 8 2 3 8 2" xfId="32056"/>
    <cellStyle name="Normal 5 2 8 2 3 9" xfId="15927"/>
    <cellStyle name="Normal 5 2 8 2 3 9 2" xfId="32057"/>
    <cellStyle name="Normal 5 2 8 2 4" xfId="15928"/>
    <cellStyle name="Normal 5 2 8 2 4 2" xfId="32058"/>
    <cellStyle name="Normal 5 2 8 2 5" xfId="15929"/>
    <cellStyle name="Normal 5 2 8 2 5 2" xfId="32059"/>
    <cellStyle name="Normal 5 2 8 2 6" xfId="15930"/>
    <cellStyle name="Normal 5 2 8 2 6 2" xfId="32060"/>
    <cellStyle name="Normal 5 2 8 2 7" xfId="15931"/>
    <cellStyle name="Normal 5 2 8 2 7 2" xfId="32061"/>
    <cellStyle name="Normal 5 2 8 2 8" xfId="15932"/>
    <cellStyle name="Normal 5 2 8 2 8 2" xfId="32062"/>
    <cellStyle name="Normal 5 2 8 2 9" xfId="15933"/>
    <cellStyle name="Normal 5 2 8 2 9 2" xfId="32063"/>
    <cellStyle name="Normal 5 2 8 3" xfId="3560"/>
    <cellStyle name="Normal 5 2 8 3 10" xfId="15934"/>
    <cellStyle name="Normal 5 2 8 3 10 2" xfId="32064"/>
    <cellStyle name="Normal 5 2 8 3 11" xfId="15935"/>
    <cellStyle name="Normal 5 2 8 3 11 2" xfId="32065"/>
    <cellStyle name="Normal 5 2 8 3 12" xfId="15936"/>
    <cellStyle name="Normal 5 2 8 3 12 2" xfId="32066"/>
    <cellStyle name="Normal 5 2 8 3 13" xfId="7439"/>
    <cellStyle name="Normal 5 2 8 3 13 2" xfId="23601"/>
    <cellStyle name="Normal 5 2 8 3 14" xfId="20037"/>
    <cellStyle name="Normal 5 2 8 3 2" xfId="3561"/>
    <cellStyle name="Normal 5 2 8 3 2 10" xfId="15937"/>
    <cellStyle name="Normal 5 2 8 3 2 10 2" xfId="32067"/>
    <cellStyle name="Normal 5 2 8 3 2 11" xfId="7440"/>
    <cellStyle name="Normal 5 2 8 3 2 11 2" xfId="23602"/>
    <cellStyle name="Normal 5 2 8 3 2 12" xfId="20038"/>
    <cellStyle name="Normal 5 2 8 3 2 2" xfId="15938"/>
    <cellStyle name="Normal 5 2 8 3 2 2 2" xfId="32068"/>
    <cellStyle name="Normal 5 2 8 3 2 3" xfId="15939"/>
    <cellStyle name="Normal 5 2 8 3 2 3 2" xfId="32069"/>
    <cellStyle name="Normal 5 2 8 3 2 4" xfId="15940"/>
    <cellStyle name="Normal 5 2 8 3 2 4 2" xfId="32070"/>
    <cellStyle name="Normal 5 2 8 3 2 5" xfId="15941"/>
    <cellStyle name="Normal 5 2 8 3 2 5 2" xfId="32071"/>
    <cellStyle name="Normal 5 2 8 3 2 6" xfId="15942"/>
    <cellStyle name="Normal 5 2 8 3 2 6 2" xfId="32072"/>
    <cellStyle name="Normal 5 2 8 3 2 7" xfId="15943"/>
    <cellStyle name="Normal 5 2 8 3 2 7 2" xfId="32073"/>
    <cellStyle name="Normal 5 2 8 3 2 8" xfId="15944"/>
    <cellStyle name="Normal 5 2 8 3 2 8 2" xfId="32074"/>
    <cellStyle name="Normal 5 2 8 3 2 9" xfId="15945"/>
    <cellStyle name="Normal 5 2 8 3 2 9 2" xfId="32075"/>
    <cellStyle name="Normal 5 2 8 3 3" xfId="2159"/>
    <cellStyle name="Normal 5 2 8 3 3 10" xfId="15946"/>
    <cellStyle name="Normal 5 2 8 3 3 10 2" xfId="32076"/>
    <cellStyle name="Normal 5 2 8 3 3 11" xfId="6061"/>
    <cellStyle name="Normal 5 2 8 3 3 11 2" xfId="22223"/>
    <cellStyle name="Normal 5 2 8 3 3 12" xfId="19619"/>
    <cellStyle name="Normal 5 2 8 3 3 2" xfId="15947"/>
    <cellStyle name="Normal 5 2 8 3 3 2 2" xfId="32077"/>
    <cellStyle name="Normal 5 2 8 3 3 3" xfId="15948"/>
    <cellStyle name="Normal 5 2 8 3 3 3 2" xfId="32078"/>
    <cellStyle name="Normal 5 2 8 3 3 4" xfId="15949"/>
    <cellStyle name="Normal 5 2 8 3 3 4 2" xfId="32079"/>
    <cellStyle name="Normal 5 2 8 3 3 5" xfId="15950"/>
    <cellStyle name="Normal 5 2 8 3 3 5 2" xfId="32080"/>
    <cellStyle name="Normal 5 2 8 3 3 6" xfId="15951"/>
    <cellStyle name="Normal 5 2 8 3 3 6 2" xfId="32081"/>
    <cellStyle name="Normal 5 2 8 3 3 7" xfId="15952"/>
    <cellStyle name="Normal 5 2 8 3 3 7 2" xfId="32082"/>
    <cellStyle name="Normal 5 2 8 3 3 8" xfId="15953"/>
    <cellStyle name="Normal 5 2 8 3 3 8 2" xfId="32083"/>
    <cellStyle name="Normal 5 2 8 3 3 9" xfId="15954"/>
    <cellStyle name="Normal 5 2 8 3 3 9 2" xfId="32084"/>
    <cellStyle name="Normal 5 2 8 3 4" xfId="15955"/>
    <cellStyle name="Normal 5 2 8 3 4 2" xfId="32085"/>
    <cellStyle name="Normal 5 2 8 3 5" xfId="15956"/>
    <cellStyle name="Normal 5 2 8 3 5 2" xfId="32086"/>
    <cellStyle name="Normal 5 2 8 3 6" xfId="15957"/>
    <cellStyle name="Normal 5 2 8 3 6 2" xfId="32087"/>
    <cellStyle name="Normal 5 2 8 3 7" xfId="15958"/>
    <cellStyle name="Normal 5 2 8 3 7 2" xfId="32088"/>
    <cellStyle name="Normal 5 2 8 3 8" xfId="15959"/>
    <cellStyle name="Normal 5 2 8 3 8 2" xfId="32089"/>
    <cellStyle name="Normal 5 2 8 3 9" xfId="15960"/>
    <cellStyle name="Normal 5 2 8 3 9 2" xfId="32090"/>
    <cellStyle name="Normal 5 2 8 4" xfId="3563"/>
    <cellStyle name="Normal 5 2 8 4 10" xfId="15961"/>
    <cellStyle name="Normal 5 2 8 4 10 2" xfId="32091"/>
    <cellStyle name="Normal 5 2 8 4 11" xfId="15962"/>
    <cellStyle name="Normal 5 2 8 4 11 2" xfId="32092"/>
    <cellStyle name="Normal 5 2 8 4 12" xfId="15963"/>
    <cellStyle name="Normal 5 2 8 4 12 2" xfId="32093"/>
    <cellStyle name="Normal 5 2 8 4 13" xfId="7441"/>
    <cellStyle name="Normal 5 2 8 4 13 2" xfId="23603"/>
    <cellStyle name="Normal 5 2 8 4 14" xfId="20039"/>
    <cellStyle name="Normal 5 2 8 4 2" xfId="3564"/>
    <cellStyle name="Normal 5 2 8 4 2 10" xfId="15964"/>
    <cellStyle name="Normal 5 2 8 4 2 10 2" xfId="32094"/>
    <cellStyle name="Normal 5 2 8 4 2 11" xfId="7443"/>
    <cellStyle name="Normal 5 2 8 4 2 11 2" xfId="23605"/>
    <cellStyle name="Normal 5 2 8 4 2 12" xfId="20040"/>
    <cellStyle name="Normal 5 2 8 4 2 2" xfId="15965"/>
    <cellStyle name="Normal 5 2 8 4 2 2 2" xfId="32095"/>
    <cellStyle name="Normal 5 2 8 4 2 3" xfId="15966"/>
    <cellStyle name="Normal 5 2 8 4 2 3 2" xfId="32096"/>
    <cellStyle name="Normal 5 2 8 4 2 4" xfId="15967"/>
    <cellStyle name="Normal 5 2 8 4 2 4 2" xfId="32097"/>
    <cellStyle name="Normal 5 2 8 4 2 5" xfId="15968"/>
    <cellStyle name="Normal 5 2 8 4 2 5 2" xfId="32098"/>
    <cellStyle name="Normal 5 2 8 4 2 6" xfId="15969"/>
    <cellStyle name="Normal 5 2 8 4 2 6 2" xfId="32099"/>
    <cellStyle name="Normal 5 2 8 4 2 7" xfId="15970"/>
    <cellStyle name="Normal 5 2 8 4 2 7 2" xfId="32100"/>
    <cellStyle name="Normal 5 2 8 4 2 8" xfId="15971"/>
    <cellStyle name="Normal 5 2 8 4 2 8 2" xfId="32101"/>
    <cellStyle name="Normal 5 2 8 4 2 9" xfId="15972"/>
    <cellStyle name="Normal 5 2 8 4 2 9 2" xfId="32102"/>
    <cellStyle name="Normal 5 2 8 4 3" xfId="2714"/>
    <cellStyle name="Normal 5 2 8 4 3 10" xfId="15973"/>
    <cellStyle name="Normal 5 2 8 4 3 10 2" xfId="32103"/>
    <cellStyle name="Normal 5 2 8 4 3 11" xfId="6607"/>
    <cellStyle name="Normal 5 2 8 4 3 11 2" xfId="22769"/>
    <cellStyle name="Normal 5 2 8 4 3 12" xfId="19700"/>
    <cellStyle name="Normal 5 2 8 4 3 2" xfId="15974"/>
    <cellStyle name="Normal 5 2 8 4 3 2 2" xfId="32104"/>
    <cellStyle name="Normal 5 2 8 4 3 3" xfId="15975"/>
    <cellStyle name="Normal 5 2 8 4 3 3 2" xfId="32105"/>
    <cellStyle name="Normal 5 2 8 4 3 4" xfId="15976"/>
    <cellStyle name="Normal 5 2 8 4 3 4 2" xfId="32106"/>
    <cellStyle name="Normal 5 2 8 4 3 5" xfId="15977"/>
    <cellStyle name="Normal 5 2 8 4 3 5 2" xfId="32107"/>
    <cellStyle name="Normal 5 2 8 4 3 6" xfId="15978"/>
    <cellStyle name="Normal 5 2 8 4 3 6 2" xfId="32108"/>
    <cellStyle name="Normal 5 2 8 4 3 7" xfId="15979"/>
    <cellStyle name="Normal 5 2 8 4 3 7 2" xfId="32109"/>
    <cellStyle name="Normal 5 2 8 4 3 8" xfId="15980"/>
    <cellStyle name="Normal 5 2 8 4 3 8 2" xfId="32110"/>
    <cellStyle name="Normal 5 2 8 4 3 9" xfId="15981"/>
    <cellStyle name="Normal 5 2 8 4 3 9 2" xfId="32111"/>
    <cellStyle name="Normal 5 2 8 4 4" xfId="15982"/>
    <cellStyle name="Normal 5 2 8 4 4 2" xfId="32112"/>
    <cellStyle name="Normal 5 2 8 4 5" xfId="15983"/>
    <cellStyle name="Normal 5 2 8 4 5 2" xfId="32113"/>
    <cellStyle name="Normal 5 2 8 4 6" xfId="15984"/>
    <cellStyle name="Normal 5 2 8 4 6 2" xfId="32114"/>
    <cellStyle name="Normal 5 2 8 4 7" xfId="15985"/>
    <cellStyle name="Normal 5 2 8 4 7 2" xfId="32115"/>
    <cellStyle name="Normal 5 2 8 4 8" xfId="15986"/>
    <cellStyle name="Normal 5 2 8 4 8 2" xfId="32116"/>
    <cellStyle name="Normal 5 2 8 4 9" xfId="15987"/>
    <cellStyle name="Normal 5 2 8 4 9 2" xfId="32117"/>
    <cellStyle name="Normal 5 2 8 5" xfId="3566"/>
    <cellStyle name="Normal 5 2 8 5 10" xfId="15988"/>
    <cellStyle name="Normal 5 2 8 5 10 2" xfId="32118"/>
    <cellStyle name="Normal 5 2 8 5 11" xfId="15989"/>
    <cellStyle name="Normal 5 2 8 5 11 2" xfId="32119"/>
    <cellStyle name="Normal 5 2 8 5 12" xfId="15990"/>
    <cellStyle name="Normal 5 2 8 5 12 2" xfId="32120"/>
    <cellStyle name="Normal 5 2 8 5 13" xfId="7444"/>
    <cellStyle name="Normal 5 2 8 5 13 2" xfId="23606"/>
    <cellStyle name="Normal 5 2 8 5 14" xfId="20041"/>
    <cellStyle name="Normal 5 2 8 5 2" xfId="3567"/>
    <cellStyle name="Normal 5 2 8 5 2 10" xfId="15991"/>
    <cellStyle name="Normal 5 2 8 5 2 10 2" xfId="32121"/>
    <cellStyle name="Normal 5 2 8 5 2 11" xfId="7446"/>
    <cellStyle name="Normal 5 2 8 5 2 11 2" xfId="23608"/>
    <cellStyle name="Normal 5 2 8 5 2 12" xfId="20042"/>
    <cellStyle name="Normal 5 2 8 5 2 2" xfId="15992"/>
    <cellStyle name="Normal 5 2 8 5 2 2 2" xfId="32122"/>
    <cellStyle name="Normal 5 2 8 5 2 3" xfId="15993"/>
    <cellStyle name="Normal 5 2 8 5 2 3 2" xfId="32123"/>
    <cellStyle name="Normal 5 2 8 5 2 4" xfId="15994"/>
    <cellStyle name="Normal 5 2 8 5 2 4 2" xfId="32124"/>
    <cellStyle name="Normal 5 2 8 5 2 5" xfId="15995"/>
    <cellStyle name="Normal 5 2 8 5 2 5 2" xfId="32125"/>
    <cellStyle name="Normal 5 2 8 5 2 6" xfId="15996"/>
    <cellStyle name="Normal 5 2 8 5 2 6 2" xfId="32126"/>
    <cellStyle name="Normal 5 2 8 5 2 7" xfId="15997"/>
    <cellStyle name="Normal 5 2 8 5 2 7 2" xfId="32127"/>
    <cellStyle name="Normal 5 2 8 5 2 8" xfId="15998"/>
    <cellStyle name="Normal 5 2 8 5 2 8 2" xfId="32128"/>
    <cellStyle name="Normal 5 2 8 5 2 9" xfId="15999"/>
    <cellStyle name="Normal 5 2 8 5 2 9 2" xfId="32129"/>
    <cellStyle name="Normal 5 2 8 5 3" xfId="2722"/>
    <cellStyle name="Normal 5 2 8 5 3 10" xfId="16000"/>
    <cellStyle name="Normal 5 2 8 5 3 10 2" xfId="32130"/>
    <cellStyle name="Normal 5 2 8 5 3 11" xfId="6615"/>
    <cellStyle name="Normal 5 2 8 5 3 11 2" xfId="22777"/>
    <cellStyle name="Normal 5 2 8 5 3 12" xfId="19701"/>
    <cellStyle name="Normal 5 2 8 5 3 2" xfId="16001"/>
    <cellStyle name="Normal 5 2 8 5 3 2 2" xfId="32131"/>
    <cellStyle name="Normal 5 2 8 5 3 3" xfId="16002"/>
    <cellStyle name="Normal 5 2 8 5 3 3 2" xfId="32132"/>
    <cellStyle name="Normal 5 2 8 5 3 4" xfId="16003"/>
    <cellStyle name="Normal 5 2 8 5 3 4 2" xfId="32133"/>
    <cellStyle name="Normal 5 2 8 5 3 5" xfId="16004"/>
    <cellStyle name="Normal 5 2 8 5 3 5 2" xfId="32134"/>
    <cellStyle name="Normal 5 2 8 5 3 6" xfId="16005"/>
    <cellStyle name="Normal 5 2 8 5 3 6 2" xfId="32135"/>
    <cellStyle name="Normal 5 2 8 5 3 7" xfId="16006"/>
    <cellStyle name="Normal 5 2 8 5 3 7 2" xfId="32136"/>
    <cellStyle name="Normal 5 2 8 5 3 8" xfId="16007"/>
    <cellStyle name="Normal 5 2 8 5 3 8 2" xfId="32137"/>
    <cellStyle name="Normal 5 2 8 5 3 9" xfId="16008"/>
    <cellStyle name="Normal 5 2 8 5 3 9 2" xfId="32138"/>
    <cellStyle name="Normal 5 2 8 5 4" xfId="16009"/>
    <cellStyle name="Normal 5 2 8 5 4 2" xfId="32139"/>
    <cellStyle name="Normal 5 2 8 5 5" xfId="16010"/>
    <cellStyle name="Normal 5 2 8 5 5 2" xfId="32140"/>
    <cellStyle name="Normal 5 2 8 5 6" xfId="16011"/>
    <cellStyle name="Normal 5 2 8 5 6 2" xfId="32141"/>
    <cellStyle name="Normal 5 2 8 5 7" xfId="16012"/>
    <cellStyle name="Normal 5 2 8 5 7 2" xfId="32142"/>
    <cellStyle name="Normal 5 2 8 5 8" xfId="16013"/>
    <cellStyle name="Normal 5 2 8 5 8 2" xfId="32143"/>
    <cellStyle name="Normal 5 2 8 5 9" xfId="16014"/>
    <cellStyle name="Normal 5 2 8 5 9 2" xfId="32144"/>
    <cellStyle name="Normal 5 2 8 6" xfId="3568"/>
    <cellStyle name="Normal 5 2 8 6 10" xfId="16015"/>
    <cellStyle name="Normal 5 2 8 6 10 2" xfId="32145"/>
    <cellStyle name="Normal 5 2 8 6 11" xfId="16016"/>
    <cellStyle name="Normal 5 2 8 6 11 2" xfId="32146"/>
    <cellStyle name="Normal 5 2 8 6 12" xfId="16017"/>
    <cellStyle name="Normal 5 2 8 6 12 2" xfId="32147"/>
    <cellStyle name="Normal 5 2 8 6 13" xfId="7447"/>
    <cellStyle name="Normal 5 2 8 6 13 2" xfId="23609"/>
    <cellStyle name="Normal 5 2 8 6 14" xfId="20043"/>
    <cellStyle name="Normal 5 2 8 6 2" xfId="3569"/>
    <cellStyle name="Normal 5 2 8 6 2 10" xfId="16018"/>
    <cellStyle name="Normal 5 2 8 6 2 10 2" xfId="32148"/>
    <cellStyle name="Normal 5 2 8 6 2 11" xfId="7448"/>
    <cellStyle name="Normal 5 2 8 6 2 11 2" xfId="23610"/>
    <cellStyle name="Normal 5 2 8 6 2 12" xfId="20044"/>
    <cellStyle name="Normal 5 2 8 6 2 2" xfId="16019"/>
    <cellStyle name="Normal 5 2 8 6 2 2 2" xfId="32149"/>
    <cellStyle name="Normal 5 2 8 6 2 3" xfId="16020"/>
    <cellStyle name="Normal 5 2 8 6 2 3 2" xfId="32150"/>
    <cellStyle name="Normal 5 2 8 6 2 4" xfId="16021"/>
    <cellStyle name="Normal 5 2 8 6 2 4 2" xfId="32151"/>
    <cellStyle name="Normal 5 2 8 6 2 5" xfId="16022"/>
    <cellStyle name="Normal 5 2 8 6 2 5 2" xfId="32152"/>
    <cellStyle name="Normal 5 2 8 6 2 6" xfId="16023"/>
    <cellStyle name="Normal 5 2 8 6 2 6 2" xfId="32153"/>
    <cellStyle name="Normal 5 2 8 6 2 7" xfId="16024"/>
    <cellStyle name="Normal 5 2 8 6 2 7 2" xfId="32154"/>
    <cellStyle name="Normal 5 2 8 6 2 8" xfId="16025"/>
    <cellStyle name="Normal 5 2 8 6 2 8 2" xfId="32155"/>
    <cellStyle name="Normal 5 2 8 6 2 9" xfId="16026"/>
    <cellStyle name="Normal 5 2 8 6 2 9 2" xfId="32156"/>
    <cellStyle name="Normal 5 2 8 6 3" xfId="2732"/>
    <cellStyle name="Normal 5 2 8 6 3 10" xfId="16027"/>
    <cellStyle name="Normal 5 2 8 6 3 10 2" xfId="32157"/>
    <cellStyle name="Normal 5 2 8 6 3 11" xfId="6625"/>
    <cellStyle name="Normal 5 2 8 6 3 11 2" xfId="22787"/>
    <cellStyle name="Normal 5 2 8 6 3 12" xfId="19705"/>
    <cellStyle name="Normal 5 2 8 6 3 2" xfId="16028"/>
    <cellStyle name="Normal 5 2 8 6 3 2 2" xfId="32158"/>
    <cellStyle name="Normal 5 2 8 6 3 3" xfId="16029"/>
    <cellStyle name="Normal 5 2 8 6 3 3 2" xfId="32159"/>
    <cellStyle name="Normal 5 2 8 6 3 4" xfId="16030"/>
    <cellStyle name="Normal 5 2 8 6 3 4 2" xfId="32160"/>
    <cellStyle name="Normal 5 2 8 6 3 5" xfId="16031"/>
    <cellStyle name="Normal 5 2 8 6 3 5 2" xfId="32161"/>
    <cellStyle name="Normal 5 2 8 6 3 6" xfId="16032"/>
    <cellStyle name="Normal 5 2 8 6 3 6 2" xfId="32162"/>
    <cellStyle name="Normal 5 2 8 6 3 7" xfId="16033"/>
    <cellStyle name="Normal 5 2 8 6 3 7 2" xfId="32163"/>
    <cellStyle name="Normal 5 2 8 6 3 8" xfId="16034"/>
    <cellStyle name="Normal 5 2 8 6 3 8 2" xfId="32164"/>
    <cellStyle name="Normal 5 2 8 6 3 9" xfId="16035"/>
    <cellStyle name="Normal 5 2 8 6 3 9 2" xfId="32165"/>
    <cellStyle name="Normal 5 2 8 6 4" xfId="16036"/>
    <cellStyle name="Normal 5 2 8 6 4 2" xfId="32166"/>
    <cellStyle name="Normal 5 2 8 6 5" xfId="16037"/>
    <cellStyle name="Normal 5 2 8 6 5 2" xfId="32167"/>
    <cellStyle name="Normal 5 2 8 6 6" xfId="16038"/>
    <cellStyle name="Normal 5 2 8 6 6 2" xfId="32168"/>
    <cellStyle name="Normal 5 2 8 6 7" xfId="16039"/>
    <cellStyle name="Normal 5 2 8 6 7 2" xfId="32169"/>
    <cellStyle name="Normal 5 2 8 6 8" xfId="16040"/>
    <cellStyle name="Normal 5 2 8 6 8 2" xfId="32170"/>
    <cellStyle name="Normal 5 2 8 6 9" xfId="16041"/>
    <cellStyle name="Normal 5 2 8 6 9 2" xfId="32171"/>
    <cellStyle name="Normal 5 2 8 7" xfId="3570"/>
    <cellStyle name="Normal 5 2 8 7 10" xfId="16042"/>
    <cellStyle name="Normal 5 2 8 7 10 2" xfId="32172"/>
    <cellStyle name="Normal 5 2 8 7 11" xfId="7449"/>
    <cellStyle name="Normal 5 2 8 7 11 2" xfId="23611"/>
    <cellStyle name="Normal 5 2 8 7 12" xfId="20045"/>
    <cellStyle name="Normal 5 2 8 7 2" xfId="16043"/>
    <cellStyle name="Normal 5 2 8 7 2 2" xfId="32173"/>
    <cellStyle name="Normal 5 2 8 7 3" xfId="16044"/>
    <cellStyle name="Normal 5 2 8 7 3 2" xfId="32174"/>
    <cellStyle name="Normal 5 2 8 7 4" xfId="16045"/>
    <cellStyle name="Normal 5 2 8 7 4 2" xfId="32175"/>
    <cellStyle name="Normal 5 2 8 7 5" xfId="16046"/>
    <cellStyle name="Normal 5 2 8 7 5 2" xfId="32176"/>
    <cellStyle name="Normal 5 2 8 7 6" xfId="16047"/>
    <cellStyle name="Normal 5 2 8 7 6 2" xfId="32177"/>
    <cellStyle name="Normal 5 2 8 7 7" xfId="16048"/>
    <cellStyle name="Normal 5 2 8 7 7 2" xfId="32178"/>
    <cellStyle name="Normal 5 2 8 7 8" xfId="16049"/>
    <cellStyle name="Normal 5 2 8 7 8 2" xfId="32179"/>
    <cellStyle name="Normal 5 2 8 7 9" xfId="16050"/>
    <cellStyle name="Normal 5 2 8 7 9 2" xfId="32180"/>
    <cellStyle name="Normal 5 2 8 8" xfId="3571"/>
    <cellStyle name="Normal 5 2 8 8 10" xfId="16051"/>
    <cellStyle name="Normal 5 2 8 8 10 2" xfId="32181"/>
    <cellStyle name="Normal 5 2 8 8 11" xfId="7450"/>
    <cellStyle name="Normal 5 2 8 8 11 2" xfId="23612"/>
    <cellStyle name="Normal 5 2 8 8 12" xfId="20046"/>
    <cellStyle name="Normal 5 2 8 8 2" xfId="16052"/>
    <cellStyle name="Normal 5 2 8 8 2 2" xfId="32182"/>
    <cellStyle name="Normal 5 2 8 8 3" xfId="16053"/>
    <cellStyle name="Normal 5 2 8 8 3 2" xfId="32183"/>
    <cellStyle name="Normal 5 2 8 8 4" xfId="16054"/>
    <cellStyle name="Normal 5 2 8 8 4 2" xfId="32184"/>
    <cellStyle name="Normal 5 2 8 8 5" xfId="16055"/>
    <cellStyle name="Normal 5 2 8 8 5 2" xfId="32185"/>
    <cellStyle name="Normal 5 2 8 8 6" xfId="16056"/>
    <cellStyle name="Normal 5 2 8 8 6 2" xfId="32186"/>
    <cellStyle name="Normal 5 2 8 8 7" xfId="16057"/>
    <cellStyle name="Normal 5 2 8 8 7 2" xfId="32187"/>
    <cellStyle name="Normal 5 2 8 8 8" xfId="16058"/>
    <cellStyle name="Normal 5 2 8 8 8 2" xfId="32188"/>
    <cellStyle name="Normal 5 2 8 8 9" xfId="16059"/>
    <cellStyle name="Normal 5 2 8 8 9 2" xfId="32189"/>
    <cellStyle name="Normal 5 2 8 9" xfId="16060"/>
    <cellStyle name="Normal 5 2 8 9 2" xfId="32190"/>
    <cellStyle name="Normal 5 2 9" xfId="1318"/>
    <cellStyle name="Normal 5 2 9 10" xfId="16061"/>
    <cellStyle name="Normal 5 2 9 10 2" xfId="32191"/>
    <cellStyle name="Normal 5 2 9 11" xfId="16062"/>
    <cellStyle name="Normal 5 2 9 11 2" xfId="32192"/>
    <cellStyle name="Normal 5 2 9 12" xfId="16063"/>
    <cellStyle name="Normal 5 2 9 12 2" xfId="32193"/>
    <cellStyle name="Normal 5 2 9 13" xfId="16064"/>
    <cellStyle name="Normal 5 2 9 13 2" xfId="32194"/>
    <cellStyle name="Normal 5 2 9 14" xfId="16065"/>
    <cellStyle name="Normal 5 2 9 14 2" xfId="32195"/>
    <cellStyle name="Normal 5 2 9 15" xfId="16066"/>
    <cellStyle name="Normal 5 2 9 15 2" xfId="32196"/>
    <cellStyle name="Normal 5 2 9 16" xfId="16067"/>
    <cellStyle name="Normal 5 2 9 16 2" xfId="32197"/>
    <cellStyle name="Normal 5 2 9 17" xfId="16068"/>
    <cellStyle name="Normal 5 2 9 17 2" xfId="32198"/>
    <cellStyle name="Normal 5 2 9 18" xfId="5238"/>
    <cellStyle name="Normal 5 2 9 18 2" xfId="21400"/>
    <cellStyle name="Normal 5 2 9 19" xfId="19426"/>
    <cellStyle name="Normal 5 2 9 2" xfId="2447"/>
    <cellStyle name="Normal 5 2 9 2 10" xfId="16069"/>
    <cellStyle name="Normal 5 2 9 2 10 2" xfId="32199"/>
    <cellStyle name="Normal 5 2 9 2 11" xfId="16070"/>
    <cellStyle name="Normal 5 2 9 2 11 2" xfId="32200"/>
    <cellStyle name="Normal 5 2 9 2 12" xfId="16071"/>
    <cellStyle name="Normal 5 2 9 2 12 2" xfId="32201"/>
    <cellStyle name="Normal 5 2 9 2 13" xfId="6341"/>
    <cellStyle name="Normal 5 2 9 2 13 2" xfId="22503"/>
    <cellStyle name="Normal 5 2 9 2 14" xfId="19661"/>
    <cellStyle name="Normal 5 2 9 2 2" xfId="3572"/>
    <cellStyle name="Normal 5 2 9 2 2 10" xfId="16072"/>
    <cellStyle name="Normal 5 2 9 2 2 10 2" xfId="32202"/>
    <cellStyle name="Normal 5 2 9 2 2 11" xfId="7451"/>
    <cellStyle name="Normal 5 2 9 2 2 11 2" xfId="23613"/>
    <cellStyle name="Normal 5 2 9 2 2 12" xfId="20047"/>
    <cellStyle name="Normal 5 2 9 2 2 2" xfId="16073"/>
    <cellStyle name="Normal 5 2 9 2 2 2 2" xfId="32203"/>
    <cellStyle name="Normal 5 2 9 2 2 3" xfId="16074"/>
    <cellStyle name="Normal 5 2 9 2 2 3 2" xfId="32204"/>
    <cellStyle name="Normal 5 2 9 2 2 4" xfId="16075"/>
    <cellStyle name="Normal 5 2 9 2 2 4 2" xfId="32205"/>
    <cellStyle name="Normal 5 2 9 2 2 5" xfId="16076"/>
    <cellStyle name="Normal 5 2 9 2 2 5 2" xfId="32206"/>
    <cellStyle name="Normal 5 2 9 2 2 6" xfId="16077"/>
    <cellStyle name="Normal 5 2 9 2 2 6 2" xfId="32207"/>
    <cellStyle name="Normal 5 2 9 2 2 7" xfId="16078"/>
    <cellStyle name="Normal 5 2 9 2 2 7 2" xfId="32208"/>
    <cellStyle name="Normal 5 2 9 2 2 8" xfId="16079"/>
    <cellStyle name="Normal 5 2 9 2 2 8 2" xfId="32209"/>
    <cellStyle name="Normal 5 2 9 2 2 9" xfId="16080"/>
    <cellStyle name="Normal 5 2 9 2 2 9 2" xfId="32210"/>
    <cellStyle name="Normal 5 2 9 2 3" xfId="3573"/>
    <cellStyle name="Normal 5 2 9 2 3 10" xfId="16081"/>
    <cellStyle name="Normal 5 2 9 2 3 10 2" xfId="32211"/>
    <cellStyle name="Normal 5 2 9 2 3 11" xfId="7452"/>
    <cellStyle name="Normal 5 2 9 2 3 11 2" xfId="23614"/>
    <cellStyle name="Normal 5 2 9 2 3 12" xfId="20048"/>
    <cellStyle name="Normal 5 2 9 2 3 2" xfId="16082"/>
    <cellStyle name="Normal 5 2 9 2 3 2 2" xfId="32212"/>
    <cellStyle name="Normal 5 2 9 2 3 3" xfId="16083"/>
    <cellStyle name="Normal 5 2 9 2 3 3 2" xfId="32213"/>
    <cellStyle name="Normal 5 2 9 2 3 4" xfId="16084"/>
    <cellStyle name="Normal 5 2 9 2 3 4 2" xfId="32214"/>
    <cellStyle name="Normal 5 2 9 2 3 5" xfId="16085"/>
    <cellStyle name="Normal 5 2 9 2 3 5 2" xfId="32215"/>
    <cellStyle name="Normal 5 2 9 2 3 6" xfId="16086"/>
    <cellStyle name="Normal 5 2 9 2 3 6 2" xfId="32216"/>
    <cellStyle name="Normal 5 2 9 2 3 7" xfId="16087"/>
    <cellStyle name="Normal 5 2 9 2 3 7 2" xfId="32217"/>
    <cellStyle name="Normal 5 2 9 2 3 8" xfId="16088"/>
    <cellStyle name="Normal 5 2 9 2 3 8 2" xfId="32218"/>
    <cellStyle name="Normal 5 2 9 2 3 9" xfId="16089"/>
    <cellStyle name="Normal 5 2 9 2 3 9 2" xfId="32219"/>
    <cellStyle name="Normal 5 2 9 2 4" xfId="16090"/>
    <cellStyle name="Normal 5 2 9 2 4 2" xfId="32220"/>
    <cellStyle name="Normal 5 2 9 2 5" xfId="16091"/>
    <cellStyle name="Normal 5 2 9 2 5 2" xfId="32221"/>
    <cellStyle name="Normal 5 2 9 2 6" xfId="16092"/>
    <cellStyle name="Normal 5 2 9 2 6 2" xfId="32222"/>
    <cellStyle name="Normal 5 2 9 2 7" xfId="16093"/>
    <cellStyle name="Normal 5 2 9 2 7 2" xfId="32223"/>
    <cellStyle name="Normal 5 2 9 2 8" xfId="16094"/>
    <cellStyle name="Normal 5 2 9 2 8 2" xfId="32224"/>
    <cellStyle name="Normal 5 2 9 2 9" xfId="16095"/>
    <cellStyle name="Normal 5 2 9 2 9 2" xfId="32225"/>
    <cellStyle name="Normal 5 2 9 3" xfId="1652"/>
    <cellStyle name="Normal 5 2 9 3 10" xfId="16096"/>
    <cellStyle name="Normal 5 2 9 3 10 2" xfId="32226"/>
    <cellStyle name="Normal 5 2 9 3 11" xfId="16097"/>
    <cellStyle name="Normal 5 2 9 3 11 2" xfId="32227"/>
    <cellStyle name="Normal 5 2 9 3 12" xfId="16098"/>
    <cellStyle name="Normal 5 2 9 3 12 2" xfId="32228"/>
    <cellStyle name="Normal 5 2 9 3 13" xfId="5565"/>
    <cellStyle name="Normal 5 2 9 3 13 2" xfId="21727"/>
    <cellStyle name="Normal 5 2 9 3 14" xfId="19562"/>
    <cellStyle name="Normal 5 2 9 3 2" xfId="3574"/>
    <cellStyle name="Normal 5 2 9 3 2 10" xfId="16099"/>
    <cellStyle name="Normal 5 2 9 3 2 10 2" xfId="32229"/>
    <cellStyle name="Normal 5 2 9 3 2 11" xfId="7453"/>
    <cellStyle name="Normal 5 2 9 3 2 11 2" xfId="23615"/>
    <cellStyle name="Normal 5 2 9 3 2 12" xfId="20049"/>
    <cellStyle name="Normal 5 2 9 3 2 2" xfId="16100"/>
    <cellStyle name="Normal 5 2 9 3 2 2 2" xfId="32230"/>
    <cellStyle name="Normal 5 2 9 3 2 3" xfId="16101"/>
    <cellStyle name="Normal 5 2 9 3 2 3 2" xfId="32231"/>
    <cellStyle name="Normal 5 2 9 3 2 4" xfId="16102"/>
    <cellStyle name="Normal 5 2 9 3 2 4 2" xfId="32232"/>
    <cellStyle name="Normal 5 2 9 3 2 5" xfId="16103"/>
    <cellStyle name="Normal 5 2 9 3 2 5 2" xfId="32233"/>
    <cellStyle name="Normal 5 2 9 3 2 6" xfId="16104"/>
    <cellStyle name="Normal 5 2 9 3 2 6 2" xfId="32234"/>
    <cellStyle name="Normal 5 2 9 3 2 7" xfId="16105"/>
    <cellStyle name="Normal 5 2 9 3 2 7 2" xfId="32235"/>
    <cellStyle name="Normal 5 2 9 3 2 8" xfId="16106"/>
    <cellStyle name="Normal 5 2 9 3 2 8 2" xfId="32236"/>
    <cellStyle name="Normal 5 2 9 3 2 9" xfId="16107"/>
    <cellStyle name="Normal 5 2 9 3 2 9 2" xfId="32237"/>
    <cellStyle name="Normal 5 2 9 3 3" xfId="3575"/>
    <cellStyle name="Normal 5 2 9 3 3 10" xfId="16108"/>
    <cellStyle name="Normal 5 2 9 3 3 10 2" xfId="32238"/>
    <cellStyle name="Normal 5 2 9 3 3 11" xfId="7454"/>
    <cellStyle name="Normal 5 2 9 3 3 11 2" xfId="23616"/>
    <cellStyle name="Normal 5 2 9 3 3 12" xfId="20050"/>
    <cellStyle name="Normal 5 2 9 3 3 2" xfId="16109"/>
    <cellStyle name="Normal 5 2 9 3 3 2 2" xfId="32239"/>
    <cellStyle name="Normal 5 2 9 3 3 3" xfId="16110"/>
    <cellStyle name="Normal 5 2 9 3 3 3 2" xfId="32240"/>
    <cellStyle name="Normal 5 2 9 3 3 4" xfId="16111"/>
    <cellStyle name="Normal 5 2 9 3 3 4 2" xfId="32241"/>
    <cellStyle name="Normal 5 2 9 3 3 5" xfId="16112"/>
    <cellStyle name="Normal 5 2 9 3 3 5 2" xfId="32242"/>
    <cellStyle name="Normal 5 2 9 3 3 6" xfId="16113"/>
    <cellStyle name="Normal 5 2 9 3 3 6 2" xfId="32243"/>
    <cellStyle name="Normal 5 2 9 3 3 7" xfId="16114"/>
    <cellStyle name="Normal 5 2 9 3 3 7 2" xfId="32244"/>
    <cellStyle name="Normal 5 2 9 3 3 8" xfId="16115"/>
    <cellStyle name="Normal 5 2 9 3 3 8 2" xfId="32245"/>
    <cellStyle name="Normal 5 2 9 3 3 9" xfId="16116"/>
    <cellStyle name="Normal 5 2 9 3 3 9 2" xfId="32246"/>
    <cellStyle name="Normal 5 2 9 3 4" xfId="16117"/>
    <cellStyle name="Normal 5 2 9 3 4 2" xfId="32247"/>
    <cellStyle name="Normal 5 2 9 3 5" xfId="16118"/>
    <cellStyle name="Normal 5 2 9 3 5 2" xfId="32248"/>
    <cellStyle name="Normal 5 2 9 3 6" xfId="16119"/>
    <cellStyle name="Normal 5 2 9 3 6 2" xfId="32249"/>
    <cellStyle name="Normal 5 2 9 3 7" xfId="16120"/>
    <cellStyle name="Normal 5 2 9 3 7 2" xfId="32250"/>
    <cellStyle name="Normal 5 2 9 3 8" xfId="16121"/>
    <cellStyle name="Normal 5 2 9 3 8 2" xfId="32251"/>
    <cellStyle name="Normal 5 2 9 3 9" xfId="16122"/>
    <cellStyle name="Normal 5 2 9 3 9 2" xfId="32252"/>
    <cellStyle name="Normal 5 2 9 4" xfId="1655"/>
    <cellStyle name="Normal 5 2 9 4 10" xfId="16123"/>
    <cellStyle name="Normal 5 2 9 4 10 2" xfId="32253"/>
    <cellStyle name="Normal 5 2 9 4 11" xfId="16124"/>
    <cellStyle name="Normal 5 2 9 4 11 2" xfId="32254"/>
    <cellStyle name="Normal 5 2 9 4 12" xfId="16125"/>
    <cellStyle name="Normal 5 2 9 4 12 2" xfId="32255"/>
    <cellStyle name="Normal 5 2 9 4 13" xfId="5569"/>
    <cellStyle name="Normal 5 2 9 4 13 2" xfId="21731"/>
    <cellStyle name="Normal 5 2 9 4 14" xfId="19563"/>
    <cellStyle name="Normal 5 2 9 4 2" xfId="2764"/>
    <cellStyle name="Normal 5 2 9 4 2 10" xfId="16126"/>
    <cellStyle name="Normal 5 2 9 4 2 10 2" xfId="32256"/>
    <cellStyle name="Normal 5 2 9 4 2 11" xfId="6657"/>
    <cellStyle name="Normal 5 2 9 4 2 11 2" xfId="22819"/>
    <cellStyle name="Normal 5 2 9 4 2 12" xfId="19724"/>
    <cellStyle name="Normal 5 2 9 4 2 2" xfId="16127"/>
    <cellStyle name="Normal 5 2 9 4 2 2 2" xfId="32257"/>
    <cellStyle name="Normal 5 2 9 4 2 3" xfId="16128"/>
    <cellStyle name="Normal 5 2 9 4 2 3 2" xfId="32258"/>
    <cellStyle name="Normal 5 2 9 4 2 4" xfId="16129"/>
    <cellStyle name="Normal 5 2 9 4 2 4 2" xfId="32259"/>
    <cellStyle name="Normal 5 2 9 4 2 5" xfId="16130"/>
    <cellStyle name="Normal 5 2 9 4 2 5 2" xfId="32260"/>
    <cellStyle name="Normal 5 2 9 4 2 6" xfId="16131"/>
    <cellStyle name="Normal 5 2 9 4 2 6 2" xfId="32261"/>
    <cellStyle name="Normal 5 2 9 4 2 7" xfId="16132"/>
    <cellStyle name="Normal 5 2 9 4 2 7 2" xfId="32262"/>
    <cellStyle name="Normal 5 2 9 4 2 8" xfId="16133"/>
    <cellStyle name="Normal 5 2 9 4 2 8 2" xfId="32263"/>
    <cellStyle name="Normal 5 2 9 4 2 9" xfId="16134"/>
    <cellStyle name="Normal 5 2 9 4 2 9 2" xfId="32264"/>
    <cellStyle name="Normal 5 2 9 4 3" xfId="2768"/>
    <cellStyle name="Normal 5 2 9 4 3 10" xfId="16135"/>
    <cellStyle name="Normal 5 2 9 4 3 10 2" xfId="32265"/>
    <cellStyle name="Normal 5 2 9 4 3 11" xfId="6661"/>
    <cellStyle name="Normal 5 2 9 4 3 11 2" xfId="22823"/>
    <cellStyle name="Normal 5 2 9 4 3 12" xfId="19728"/>
    <cellStyle name="Normal 5 2 9 4 3 2" xfId="16136"/>
    <cellStyle name="Normal 5 2 9 4 3 2 2" xfId="32266"/>
    <cellStyle name="Normal 5 2 9 4 3 3" xfId="16137"/>
    <cellStyle name="Normal 5 2 9 4 3 3 2" xfId="32267"/>
    <cellStyle name="Normal 5 2 9 4 3 4" xfId="16138"/>
    <cellStyle name="Normal 5 2 9 4 3 4 2" xfId="32268"/>
    <cellStyle name="Normal 5 2 9 4 3 5" xfId="16139"/>
    <cellStyle name="Normal 5 2 9 4 3 5 2" xfId="32269"/>
    <cellStyle name="Normal 5 2 9 4 3 6" xfId="16140"/>
    <cellStyle name="Normal 5 2 9 4 3 6 2" xfId="32270"/>
    <cellStyle name="Normal 5 2 9 4 3 7" xfId="16141"/>
    <cellStyle name="Normal 5 2 9 4 3 7 2" xfId="32271"/>
    <cellStyle name="Normal 5 2 9 4 3 8" xfId="16142"/>
    <cellStyle name="Normal 5 2 9 4 3 8 2" xfId="32272"/>
    <cellStyle name="Normal 5 2 9 4 3 9" xfId="16143"/>
    <cellStyle name="Normal 5 2 9 4 3 9 2" xfId="32273"/>
    <cellStyle name="Normal 5 2 9 4 4" xfId="16144"/>
    <cellStyle name="Normal 5 2 9 4 4 2" xfId="32274"/>
    <cellStyle name="Normal 5 2 9 4 5" xfId="16145"/>
    <cellStyle name="Normal 5 2 9 4 5 2" xfId="32275"/>
    <cellStyle name="Normal 5 2 9 4 6" xfId="16146"/>
    <cellStyle name="Normal 5 2 9 4 6 2" xfId="32276"/>
    <cellStyle name="Normal 5 2 9 4 7" xfId="16147"/>
    <cellStyle name="Normal 5 2 9 4 7 2" xfId="32277"/>
    <cellStyle name="Normal 5 2 9 4 8" xfId="16148"/>
    <cellStyle name="Normal 5 2 9 4 8 2" xfId="32278"/>
    <cellStyle name="Normal 5 2 9 4 9" xfId="16149"/>
    <cellStyle name="Normal 5 2 9 4 9 2" xfId="32279"/>
    <cellStyle name="Normal 5 2 9 5" xfId="1988"/>
    <cellStyle name="Normal 5 2 9 5 10" xfId="16150"/>
    <cellStyle name="Normal 5 2 9 5 10 2" xfId="32280"/>
    <cellStyle name="Normal 5 2 9 5 11" xfId="16151"/>
    <cellStyle name="Normal 5 2 9 5 11 2" xfId="32281"/>
    <cellStyle name="Normal 5 2 9 5 12" xfId="16152"/>
    <cellStyle name="Normal 5 2 9 5 12 2" xfId="32282"/>
    <cellStyle name="Normal 5 2 9 5 13" xfId="5893"/>
    <cellStyle name="Normal 5 2 9 5 13 2" xfId="22055"/>
    <cellStyle name="Normal 5 2 9 5 14" xfId="19608"/>
    <cellStyle name="Normal 5 2 9 5 2" xfId="2785"/>
    <cellStyle name="Normal 5 2 9 5 2 10" xfId="16153"/>
    <cellStyle name="Normal 5 2 9 5 2 10 2" xfId="32283"/>
    <cellStyle name="Normal 5 2 9 5 2 11" xfId="6678"/>
    <cellStyle name="Normal 5 2 9 5 2 11 2" xfId="22840"/>
    <cellStyle name="Normal 5 2 9 5 2 12" xfId="19741"/>
    <cellStyle name="Normal 5 2 9 5 2 2" xfId="16154"/>
    <cellStyle name="Normal 5 2 9 5 2 2 2" xfId="32284"/>
    <cellStyle name="Normal 5 2 9 5 2 3" xfId="16155"/>
    <cellStyle name="Normal 5 2 9 5 2 3 2" xfId="32285"/>
    <cellStyle name="Normal 5 2 9 5 2 4" xfId="16156"/>
    <cellStyle name="Normal 5 2 9 5 2 4 2" xfId="32286"/>
    <cellStyle name="Normal 5 2 9 5 2 5" xfId="16157"/>
    <cellStyle name="Normal 5 2 9 5 2 5 2" xfId="32287"/>
    <cellStyle name="Normal 5 2 9 5 2 6" xfId="16158"/>
    <cellStyle name="Normal 5 2 9 5 2 6 2" xfId="32288"/>
    <cellStyle name="Normal 5 2 9 5 2 7" xfId="16159"/>
    <cellStyle name="Normal 5 2 9 5 2 7 2" xfId="32289"/>
    <cellStyle name="Normal 5 2 9 5 2 8" xfId="16160"/>
    <cellStyle name="Normal 5 2 9 5 2 8 2" xfId="32290"/>
    <cellStyle name="Normal 5 2 9 5 2 9" xfId="16161"/>
    <cellStyle name="Normal 5 2 9 5 2 9 2" xfId="32291"/>
    <cellStyle name="Normal 5 2 9 5 3" xfId="2789"/>
    <cellStyle name="Normal 5 2 9 5 3 10" xfId="16162"/>
    <cellStyle name="Normal 5 2 9 5 3 10 2" xfId="32292"/>
    <cellStyle name="Normal 5 2 9 5 3 11" xfId="6682"/>
    <cellStyle name="Normal 5 2 9 5 3 11 2" xfId="22844"/>
    <cellStyle name="Normal 5 2 9 5 3 12" xfId="19745"/>
    <cellStyle name="Normal 5 2 9 5 3 2" xfId="16163"/>
    <cellStyle name="Normal 5 2 9 5 3 2 2" xfId="32293"/>
    <cellStyle name="Normal 5 2 9 5 3 3" xfId="16164"/>
    <cellStyle name="Normal 5 2 9 5 3 3 2" xfId="32294"/>
    <cellStyle name="Normal 5 2 9 5 3 4" xfId="16165"/>
    <cellStyle name="Normal 5 2 9 5 3 4 2" xfId="32295"/>
    <cellStyle name="Normal 5 2 9 5 3 5" xfId="16166"/>
    <cellStyle name="Normal 5 2 9 5 3 5 2" xfId="32296"/>
    <cellStyle name="Normal 5 2 9 5 3 6" xfId="16167"/>
    <cellStyle name="Normal 5 2 9 5 3 6 2" xfId="32297"/>
    <cellStyle name="Normal 5 2 9 5 3 7" xfId="16168"/>
    <cellStyle name="Normal 5 2 9 5 3 7 2" xfId="32298"/>
    <cellStyle name="Normal 5 2 9 5 3 8" xfId="16169"/>
    <cellStyle name="Normal 5 2 9 5 3 8 2" xfId="32299"/>
    <cellStyle name="Normal 5 2 9 5 3 9" xfId="16170"/>
    <cellStyle name="Normal 5 2 9 5 3 9 2" xfId="32300"/>
    <cellStyle name="Normal 5 2 9 5 4" xfId="16171"/>
    <cellStyle name="Normal 5 2 9 5 4 2" xfId="32301"/>
    <cellStyle name="Normal 5 2 9 5 5" xfId="16172"/>
    <cellStyle name="Normal 5 2 9 5 5 2" xfId="32302"/>
    <cellStyle name="Normal 5 2 9 5 6" xfId="16173"/>
    <cellStyle name="Normal 5 2 9 5 6 2" xfId="32303"/>
    <cellStyle name="Normal 5 2 9 5 7" xfId="16174"/>
    <cellStyle name="Normal 5 2 9 5 7 2" xfId="32304"/>
    <cellStyle name="Normal 5 2 9 5 8" xfId="16175"/>
    <cellStyle name="Normal 5 2 9 5 8 2" xfId="32305"/>
    <cellStyle name="Normal 5 2 9 5 9" xfId="16176"/>
    <cellStyle name="Normal 5 2 9 5 9 2" xfId="32306"/>
    <cellStyle name="Normal 5 2 9 6" xfId="1991"/>
    <cellStyle name="Normal 5 2 9 6 10" xfId="16177"/>
    <cellStyle name="Normal 5 2 9 6 10 2" xfId="32307"/>
    <cellStyle name="Normal 5 2 9 6 11" xfId="16178"/>
    <cellStyle name="Normal 5 2 9 6 11 2" xfId="32308"/>
    <cellStyle name="Normal 5 2 9 6 12" xfId="16179"/>
    <cellStyle name="Normal 5 2 9 6 12 2" xfId="32309"/>
    <cellStyle name="Normal 5 2 9 6 13" xfId="5896"/>
    <cellStyle name="Normal 5 2 9 6 13 2" xfId="22058"/>
    <cellStyle name="Normal 5 2 9 6 14" xfId="19609"/>
    <cellStyle name="Normal 5 2 9 6 2" xfId="2799"/>
    <cellStyle name="Normal 5 2 9 6 2 10" xfId="16180"/>
    <cellStyle name="Normal 5 2 9 6 2 10 2" xfId="32310"/>
    <cellStyle name="Normal 5 2 9 6 2 11" xfId="6692"/>
    <cellStyle name="Normal 5 2 9 6 2 11 2" xfId="22854"/>
    <cellStyle name="Normal 5 2 9 6 2 12" xfId="19755"/>
    <cellStyle name="Normal 5 2 9 6 2 2" xfId="16181"/>
    <cellStyle name="Normal 5 2 9 6 2 2 2" xfId="32311"/>
    <cellStyle name="Normal 5 2 9 6 2 3" xfId="16182"/>
    <cellStyle name="Normal 5 2 9 6 2 3 2" xfId="32312"/>
    <cellStyle name="Normal 5 2 9 6 2 4" xfId="16183"/>
    <cellStyle name="Normal 5 2 9 6 2 4 2" xfId="32313"/>
    <cellStyle name="Normal 5 2 9 6 2 5" xfId="16184"/>
    <cellStyle name="Normal 5 2 9 6 2 5 2" xfId="32314"/>
    <cellStyle name="Normal 5 2 9 6 2 6" xfId="16185"/>
    <cellStyle name="Normal 5 2 9 6 2 6 2" xfId="32315"/>
    <cellStyle name="Normal 5 2 9 6 2 7" xfId="16186"/>
    <cellStyle name="Normal 5 2 9 6 2 7 2" xfId="32316"/>
    <cellStyle name="Normal 5 2 9 6 2 8" xfId="16187"/>
    <cellStyle name="Normal 5 2 9 6 2 8 2" xfId="32317"/>
    <cellStyle name="Normal 5 2 9 6 2 9" xfId="16188"/>
    <cellStyle name="Normal 5 2 9 6 2 9 2" xfId="32318"/>
    <cellStyle name="Normal 5 2 9 6 3" xfId="2802"/>
    <cellStyle name="Normal 5 2 9 6 3 10" xfId="16189"/>
    <cellStyle name="Normal 5 2 9 6 3 10 2" xfId="32319"/>
    <cellStyle name="Normal 5 2 9 6 3 11" xfId="6695"/>
    <cellStyle name="Normal 5 2 9 6 3 11 2" xfId="22857"/>
    <cellStyle name="Normal 5 2 9 6 3 12" xfId="19758"/>
    <cellStyle name="Normal 5 2 9 6 3 2" xfId="16190"/>
    <cellStyle name="Normal 5 2 9 6 3 2 2" xfId="32320"/>
    <cellStyle name="Normal 5 2 9 6 3 3" xfId="16191"/>
    <cellStyle name="Normal 5 2 9 6 3 3 2" xfId="32321"/>
    <cellStyle name="Normal 5 2 9 6 3 4" xfId="16192"/>
    <cellStyle name="Normal 5 2 9 6 3 4 2" xfId="32322"/>
    <cellStyle name="Normal 5 2 9 6 3 5" xfId="16193"/>
    <cellStyle name="Normal 5 2 9 6 3 5 2" xfId="32323"/>
    <cellStyle name="Normal 5 2 9 6 3 6" xfId="16194"/>
    <cellStyle name="Normal 5 2 9 6 3 6 2" xfId="32324"/>
    <cellStyle name="Normal 5 2 9 6 3 7" xfId="16195"/>
    <cellStyle name="Normal 5 2 9 6 3 7 2" xfId="32325"/>
    <cellStyle name="Normal 5 2 9 6 3 8" xfId="16196"/>
    <cellStyle name="Normal 5 2 9 6 3 8 2" xfId="32326"/>
    <cellStyle name="Normal 5 2 9 6 3 9" xfId="16197"/>
    <cellStyle name="Normal 5 2 9 6 3 9 2" xfId="32327"/>
    <cellStyle name="Normal 5 2 9 6 4" xfId="16198"/>
    <cellStyle name="Normal 5 2 9 6 4 2" xfId="32328"/>
    <cellStyle name="Normal 5 2 9 6 5" xfId="16199"/>
    <cellStyle name="Normal 5 2 9 6 5 2" xfId="32329"/>
    <cellStyle name="Normal 5 2 9 6 6" xfId="16200"/>
    <cellStyle name="Normal 5 2 9 6 6 2" xfId="32330"/>
    <cellStyle name="Normal 5 2 9 6 7" xfId="16201"/>
    <cellStyle name="Normal 5 2 9 6 7 2" xfId="32331"/>
    <cellStyle name="Normal 5 2 9 6 8" xfId="16202"/>
    <cellStyle name="Normal 5 2 9 6 8 2" xfId="32332"/>
    <cellStyle name="Normal 5 2 9 6 9" xfId="16203"/>
    <cellStyle name="Normal 5 2 9 6 9 2" xfId="32333"/>
    <cellStyle name="Normal 5 2 9 7" xfId="3576"/>
    <cellStyle name="Normal 5 2 9 7 10" xfId="16204"/>
    <cellStyle name="Normal 5 2 9 7 10 2" xfId="32334"/>
    <cellStyle name="Normal 5 2 9 7 11" xfId="7455"/>
    <cellStyle name="Normal 5 2 9 7 11 2" xfId="23617"/>
    <cellStyle name="Normal 5 2 9 7 12" xfId="20051"/>
    <cellStyle name="Normal 5 2 9 7 2" xfId="16205"/>
    <cellStyle name="Normal 5 2 9 7 2 2" xfId="32335"/>
    <cellStyle name="Normal 5 2 9 7 3" xfId="16206"/>
    <cellStyle name="Normal 5 2 9 7 3 2" xfId="32336"/>
    <cellStyle name="Normal 5 2 9 7 4" xfId="16207"/>
    <cellStyle name="Normal 5 2 9 7 4 2" xfId="32337"/>
    <cellStyle name="Normal 5 2 9 7 5" xfId="16208"/>
    <cellStyle name="Normal 5 2 9 7 5 2" xfId="32338"/>
    <cellStyle name="Normal 5 2 9 7 6" xfId="16209"/>
    <cellStyle name="Normal 5 2 9 7 6 2" xfId="32339"/>
    <cellStyle name="Normal 5 2 9 7 7" xfId="16210"/>
    <cellStyle name="Normal 5 2 9 7 7 2" xfId="32340"/>
    <cellStyle name="Normal 5 2 9 7 8" xfId="16211"/>
    <cellStyle name="Normal 5 2 9 7 8 2" xfId="32341"/>
    <cellStyle name="Normal 5 2 9 7 9" xfId="16212"/>
    <cellStyle name="Normal 5 2 9 7 9 2" xfId="32342"/>
    <cellStyle name="Normal 5 2 9 8" xfId="1122"/>
    <cellStyle name="Normal 5 2 9 8 10" xfId="16213"/>
    <cellStyle name="Normal 5 2 9 8 10 2" xfId="32343"/>
    <cellStyle name="Normal 5 2 9 8 11" xfId="5041"/>
    <cellStyle name="Normal 5 2 9 8 11 2" xfId="21203"/>
    <cellStyle name="Normal 5 2 9 8 12" xfId="19317"/>
    <cellStyle name="Normal 5 2 9 8 2" xfId="16214"/>
    <cellStyle name="Normal 5 2 9 8 2 2" xfId="32344"/>
    <cellStyle name="Normal 5 2 9 8 3" xfId="16215"/>
    <cellStyle name="Normal 5 2 9 8 3 2" xfId="32345"/>
    <cellStyle name="Normal 5 2 9 8 4" xfId="16216"/>
    <cellStyle name="Normal 5 2 9 8 4 2" xfId="32346"/>
    <cellStyle name="Normal 5 2 9 8 5" xfId="16217"/>
    <cellStyle name="Normal 5 2 9 8 5 2" xfId="32347"/>
    <cellStyle name="Normal 5 2 9 8 6" xfId="16218"/>
    <cellStyle name="Normal 5 2 9 8 6 2" xfId="32348"/>
    <cellStyle name="Normal 5 2 9 8 7" xfId="16219"/>
    <cellStyle name="Normal 5 2 9 8 7 2" xfId="32349"/>
    <cellStyle name="Normal 5 2 9 8 8" xfId="16220"/>
    <cellStyle name="Normal 5 2 9 8 8 2" xfId="32350"/>
    <cellStyle name="Normal 5 2 9 8 9" xfId="16221"/>
    <cellStyle name="Normal 5 2 9 8 9 2" xfId="32351"/>
    <cellStyle name="Normal 5 2 9 9" xfId="16222"/>
    <cellStyle name="Normal 5 2 9 9 2" xfId="32352"/>
    <cellStyle name="Normal 5 2_2bhk_19122016" xfId="16223"/>
    <cellStyle name="Normal 5 2_temp-mtc" xfId="1822"/>
    <cellStyle name="Normal 5 20" xfId="16224"/>
    <cellStyle name="Normal 5 20 2" xfId="32353"/>
    <cellStyle name="Normal 5 21" xfId="16225"/>
    <cellStyle name="Normal 5 21 2" xfId="32354"/>
    <cellStyle name="Normal 5 22" xfId="16226"/>
    <cellStyle name="Normal 5 22 2" xfId="32355"/>
    <cellStyle name="Normal 5 23" xfId="16227"/>
    <cellStyle name="Normal 5 23 2" xfId="32356"/>
    <cellStyle name="Normal 5 24" xfId="16228"/>
    <cellStyle name="Normal 5 24 2" xfId="32357"/>
    <cellStyle name="Normal 5 25" xfId="16229"/>
    <cellStyle name="Normal 5 25 2" xfId="32358"/>
    <cellStyle name="Normal 5 26" xfId="16230"/>
    <cellStyle name="Normal 5 26 2" xfId="32359"/>
    <cellStyle name="Normal 5 27" xfId="16231"/>
    <cellStyle name="Normal 5 27 2" xfId="32360"/>
    <cellStyle name="Normal 5 28" xfId="4976"/>
    <cellStyle name="Normal 5 28 2" xfId="21138"/>
    <cellStyle name="Normal 5 3" xfId="2541"/>
    <cellStyle name="Normal 5 3 10" xfId="16232"/>
    <cellStyle name="Normal 5 3 10 2" xfId="32361"/>
    <cellStyle name="Normal 5 3 11" xfId="16233"/>
    <cellStyle name="Normal 5 3 11 2" xfId="32362"/>
    <cellStyle name="Normal 5 3 12" xfId="16234"/>
    <cellStyle name="Normal 5 3 12 2" xfId="32363"/>
    <cellStyle name="Normal 5 3 13" xfId="16235"/>
    <cellStyle name="Normal 5 3 13 2" xfId="32364"/>
    <cellStyle name="Normal 5 3 14" xfId="16236"/>
    <cellStyle name="Normal 5 3 14 2" xfId="32365"/>
    <cellStyle name="Normal 5 3 15" xfId="16237"/>
    <cellStyle name="Normal 5 3 15 2" xfId="32366"/>
    <cellStyle name="Normal 5 3 16" xfId="16238"/>
    <cellStyle name="Normal 5 3 16 2" xfId="32367"/>
    <cellStyle name="Normal 5 3 17" xfId="16239"/>
    <cellStyle name="Normal 5 3 17 2" xfId="32368"/>
    <cellStyle name="Normal 5 3 18" xfId="6437"/>
    <cellStyle name="Normal 5 3 18 2" xfId="22599"/>
    <cellStyle name="Normal 5 3 2" xfId="3002"/>
    <cellStyle name="Normal 5 3 2 2" xfId="6889"/>
    <cellStyle name="Normal 5 3 2 2 2" xfId="23051"/>
    <cellStyle name="Normal 5 3 3" xfId="1326"/>
    <cellStyle name="Normal 5 3 3 2" xfId="5245"/>
    <cellStyle name="Normal 5 3 3 2 2" xfId="21407"/>
    <cellStyle name="Normal 5 3 4" xfId="1329"/>
    <cellStyle name="Normal 5 3 4 2" xfId="5248"/>
    <cellStyle name="Normal 5 3 4 2 2" xfId="21410"/>
    <cellStyle name="Normal 5 3 5" xfId="1332"/>
    <cellStyle name="Normal 5 3 5 2" xfId="5251"/>
    <cellStyle name="Normal 5 3 5 2 2" xfId="21413"/>
    <cellStyle name="Normal 5 3 6" xfId="1336"/>
    <cellStyle name="Normal 5 3 6 2" xfId="5255"/>
    <cellStyle name="Normal 5 3 6 2 2" xfId="21417"/>
    <cellStyle name="Normal 5 3 7" xfId="1341"/>
    <cellStyle name="Normal 5 3 7 2" xfId="5259"/>
    <cellStyle name="Normal 5 3 7 2 2" xfId="21421"/>
    <cellStyle name="Normal 5 3 8" xfId="230"/>
    <cellStyle name="Normal 5 3 8 2" xfId="4178"/>
    <cellStyle name="Normal 5 3 8 2 2" xfId="20341"/>
    <cellStyle name="Normal 5 3 9" xfId="16240"/>
    <cellStyle name="Normal 5 3 9 2" xfId="32369"/>
    <cellStyle name="Normal 5 4" xfId="45"/>
    <cellStyle name="Normal 5 4 10" xfId="16241"/>
    <cellStyle name="Normal 5 4 10 2" xfId="32370"/>
    <cellStyle name="Normal 5 4 11" xfId="16242"/>
    <cellStyle name="Normal 5 4 11 2" xfId="32371"/>
    <cellStyle name="Normal 5 4 12" xfId="16243"/>
    <cellStyle name="Normal 5 4 12 2" xfId="32372"/>
    <cellStyle name="Normal 5 4 13" xfId="16244"/>
    <cellStyle name="Normal 5 4 13 2" xfId="32373"/>
    <cellStyle name="Normal 5 4 14" xfId="16245"/>
    <cellStyle name="Normal 5 4 14 2" xfId="32374"/>
    <cellStyle name="Normal 5 4 15" xfId="16246"/>
    <cellStyle name="Normal 5 4 15 2" xfId="32375"/>
    <cellStyle name="Normal 5 4 16" xfId="16247"/>
    <cellStyle name="Normal 5 4 16 2" xfId="32376"/>
    <cellStyle name="Normal 5 4 17" xfId="16248"/>
    <cellStyle name="Normal 5 4 17 2" xfId="32377"/>
    <cellStyle name="Normal 5 4 18" xfId="4002"/>
    <cellStyle name="Normal 5 4 18 2" xfId="20165"/>
    <cellStyle name="Normal 5 4 2" xfId="3011"/>
    <cellStyle name="Normal 5 4 2 2" xfId="6898"/>
    <cellStyle name="Normal 5 4 2 2 2" xfId="23060"/>
    <cellStyle name="Normal 5 4 3" xfId="1347"/>
    <cellStyle name="Normal 5 4 3 2" xfId="5265"/>
    <cellStyle name="Normal 5 4 3 2 2" xfId="21427"/>
    <cellStyle name="Normal 5 4 4" xfId="1350"/>
    <cellStyle name="Normal 5 4 4 2" xfId="5268"/>
    <cellStyle name="Normal 5 4 4 2 2" xfId="21430"/>
    <cellStyle name="Normal 5 4 5" xfId="1353"/>
    <cellStyle name="Normal 5 4 5 2" xfId="5271"/>
    <cellStyle name="Normal 5 4 5 2 2" xfId="21433"/>
    <cellStyle name="Normal 5 4 6" xfId="1358"/>
    <cellStyle name="Normal 5 4 6 2" xfId="5276"/>
    <cellStyle name="Normal 5 4 6 2 2" xfId="21438"/>
    <cellStyle name="Normal 5 4 7" xfId="1363"/>
    <cellStyle name="Normal 5 4 7 2" xfId="5280"/>
    <cellStyle name="Normal 5 4 7 2 2" xfId="21442"/>
    <cellStyle name="Normal 5 4 8" xfId="242"/>
    <cellStyle name="Normal 5 4 8 2" xfId="4190"/>
    <cellStyle name="Normal 5 4 8 2 2" xfId="20353"/>
    <cellStyle name="Normal 5 4 9" xfId="16249"/>
    <cellStyle name="Normal 5 4 9 2" xfId="32378"/>
    <cellStyle name="Normal 5 5" xfId="2545"/>
    <cellStyle name="Normal 5 5 10" xfId="16250"/>
    <cellStyle name="Normal 5 5 10 2" xfId="32379"/>
    <cellStyle name="Normal 5 5 11" xfId="16251"/>
    <cellStyle name="Normal 5 5 11 2" xfId="32380"/>
    <cellStyle name="Normal 5 5 12" xfId="16252"/>
    <cellStyle name="Normal 5 5 12 2" xfId="32381"/>
    <cellStyle name="Normal 5 5 13" xfId="16253"/>
    <cellStyle name="Normal 5 5 13 2" xfId="32382"/>
    <cellStyle name="Normal 5 5 14" xfId="16254"/>
    <cellStyle name="Normal 5 5 14 2" xfId="32383"/>
    <cellStyle name="Normal 5 5 15" xfId="16255"/>
    <cellStyle name="Normal 5 5 15 2" xfId="32384"/>
    <cellStyle name="Normal 5 5 16" xfId="16256"/>
    <cellStyle name="Normal 5 5 16 2" xfId="32385"/>
    <cellStyle name="Normal 5 5 17" xfId="16257"/>
    <cellStyle name="Normal 5 5 17 2" xfId="32386"/>
    <cellStyle name="Normal 5 5 18" xfId="6441"/>
    <cellStyle name="Normal 5 5 18 2" xfId="22603"/>
    <cellStyle name="Normal 5 5 2" xfId="3020"/>
    <cellStyle name="Normal 5 5 2 2" xfId="16258"/>
    <cellStyle name="Normal 5 5 2 2 2" xfId="16259"/>
    <cellStyle name="Normal 5 5 2 2 2 2" xfId="16260"/>
    <cellStyle name="Normal 5 5 2 2 2 2 2" xfId="32389"/>
    <cellStyle name="Normal 5 5 2 2 2 3" xfId="32388"/>
    <cellStyle name="Normal 5 5 2 2 3" xfId="16261"/>
    <cellStyle name="Normal 5 5 2 2 3 2" xfId="32390"/>
    <cellStyle name="Normal 5 5 2 2 4" xfId="32387"/>
    <cellStyle name="Normal 5 5 2 3" xfId="16262"/>
    <cellStyle name="Normal 5 5 2 3 2" xfId="16263"/>
    <cellStyle name="Normal 5 5 2 3 2 2" xfId="32392"/>
    <cellStyle name="Normal 5 5 2 3 3" xfId="32391"/>
    <cellStyle name="Normal 5 5 2 4" xfId="16264"/>
    <cellStyle name="Normal 5 5 2 4 2" xfId="16265"/>
    <cellStyle name="Normal 5 5 2 4 2 2" xfId="32394"/>
    <cellStyle name="Normal 5 5 2 4 3" xfId="32393"/>
    <cellStyle name="Normal 5 5 2 5" xfId="16266"/>
    <cellStyle name="Normal 5 5 2 5 2" xfId="32395"/>
    <cellStyle name="Normal 5 5 2 6" xfId="6907"/>
    <cellStyle name="Normal 5 5 2 6 2" xfId="23069"/>
    <cellStyle name="Normal 5 5 3" xfId="1369"/>
    <cellStyle name="Normal 5 5 3 2" xfId="16267"/>
    <cellStyle name="Normal 5 5 3 2 2" xfId="16268"/>
    <cellStyle name="Normal 5 5 3 2 2 2" xfId="16269"/>
    <cellStyle name="Normal 5 5 3 2 2 2 2" xfId="32398"/>
    <cellStyle name="Normal 5 5 3 2 2 3" xfId="32397"/>
    <cellStyle name="Normal 5 5 3 2 3" xfId="16270"/>
    <cellStyle name="Normal 5 5 3 2 3 2" xfId="32399"/>
    <cellStyle name="Normal 5 5 3 2 4" xfId="32396"/>
    <cellStyle name="Normal 5 5 3 3" xfId="16271"/>
    <cellStyle name="Normal 5 5 3 3 2" xfId="16272"/>
    <cellStyle name="Normal 5 5 3 3 2 2" xfId="32401"/>
    <cellStyle name="Normal 5 5 3 3 3" xfId="32400"/>
    <cellStyle name="Normal 5 5 3 4" xfId="16273"/>
    <cellStyle name="Normal 5 5 3 4 2" xfId="16274"/>
    <cellStyle name="Normal 5 5 3 4 2 2" xfId="32403"/>
    <cellStyle name="Normal 5 5 3 4 3" xfId="32402"/>
    <cellStyle name="Normal 5 5 3 5" xfId="16275"/>
    <cellStyle name="Normal 5 5 3 5 2" xfId="32404"/>
    <cellStyle name="Normal 5 5 3 6" xfId="5286"/>
    <cellStyle name="Normal 5 5 3 6 2" xfId="21448"/>
    <cellStyle name="Normal 5 5 4" xfId="1373"/>
    <cellStyle name="Normal 5 5 4 2" xfId="16276"/>
    <cellStyle name="Normal 5 5 4 2 2" xfId="16277"/>
    <cellStyle name="Normal 5 5 4 2 2 2" xfId="16278"/>
    <cellStyle name="Normal 5 5 4 2 2 2 2" xfId="32407"/>
    <cellStyle name="Normal 5 5 4 2 2 3" xfId="32406"/>
    <cellStyle name="Normal 5 5 4 2 3" xfId="16279"/>
    <cellStyle name="Normal 5 5 4 2 3 2" xfId="32408"/>
    <cellStyle name="Normal 5 5 4 2 4" xfId="32405"/>
    <cellStyle name="Normal 5 5 4 3" xfId="16280"/>
    <cellStyle name="Normal 5 5 4 3 2" xfId="16281"/>
    <cellStyle name="Normal 5 5 4 3 2 2" xfId="32410"/>
    <cellStyle name="Normal 5 5 4 3 3" xfId="32409"/>
    <cellStyle name="Normal 5 5 4 4" xfId="16282"/>
    <cellStyle name="Normal 5 5 4 4 2" xfId="16283"/>
    <cellStyle name="Normal 5 5 4 4 2 2" xfId="32412"/>
    <cellStyle name="Normal 5 5 4 4 3" xfId="32411"/>
    <cellStyle name="Normal 5 5 4 5" xfId="16284"/>
    <cellStyle name="Normal 5 5 4 5 2" xfId="32413"/>
    <cellStyle name="Normal 5 5 4 6" xfId="5290"/>
    <cellStyle name="Normal 5 5 4 6 2" xfId="21452"/>
    <cellStyle name="Normal 5 5 5" xfId="531"/>
    <cellStyle name="Normal 5 5 5 2" xfId="16285"/>
    <cellStyle name="Normal 5 5 5 2 2" xfId="16286"/>
    <cellStyle name="Normal 5 5 5 2 2 2" xfId="16287"/>
    <cellStyle name="Normal 5 5 5 2 2 2 2" xfId="32416"/>
    <cellStyle name="Normal 5 5 5 2 2 3" xfId="32415"/>
    <cellStyle name="Normal 5 5 5 2 3" xfId="16288"/>
    <cellStyle name="Normal 5 5 5 2 3 2" xfId="32417"/>
    <cellStyle name="Normal 5 5 5 2 4" xfId="32414"/>
    <cellStyle name="Normal 5 5 5 3" xfId="16289"/>
    <cellStyle name="Normal 5 5 5 3 2" xfId="16290"/>
    <cellStyle name="Normal 5 5 5 3 2 2" xfId="32419"/>
    <cellStyle name="Normal 5 5 5 3 3" xfId="32418"/>
    <cellStyle name="Normal 5 5 5 4" xfId="16291"/>
    <cellStyle name="Normal 5 5 5 4 2" xfId="16292"/>
    <cellStyle name="Normal 5 5 5 4 2 2" xfId="32421"/>
    <cellStyle name="Normal 5 5 5 4 3" xfId="32420"/>
    <cellStyle name="Normal 5 5 5 5" xfId="16293"/>
    <cellStyle name="Normal 5 5 5 5 2" xfId="32422"/>
    <cellStyle name="Normal 5 5 5 6" xfId="4467"/>
    <cellStyle name="Normal 5 5 5 6 2" xfId="20630"/>
    <cellStyle name="Normal 5 5 6" xfId="72"/>
    <cellStyle name="Normal 5 5 6 2" xfId="16294"/>
    <cellStyle name="Normal 5 5 6 2 2" xfId="16295"/>
    <cellStyle name="Normal 5 5 6 2 2 2" xfId="32424"/>
    <cellStyle name="Normal 5 5 6 2 3" xfId="32423"/>
    <cellStyle name="Normal 5 5 6 3" xfId="16296"/>
    <cellStyle name="Normal 5 5 6 3 2" xfId="32425"/>
    <cellStyle name="Normal 5 5 6 4" xfId="4024"/>
    <cellStyle name="Normal 5 5 6 4 2" xfId="20187"/>
    <cellStyle name="Normal 5 5 7" xfId="49"/>
    <cellStyle name="Normal 5 5 7 2" xfId="16297"/>
    <cellStyle name="Normal 5 5 7 2 2" xfId="32426"/>
    <cellStyle name="Normal 5 5 7 3" xfId="3998"/>
    <cellStyle name="Normal 5 5 7 3 2" xfId="20161"/>
    <cellStyle name="Normal 5 5 8" xfId="78"/>
    <cellStyle name="Normal 5 5 8 2" xfId="16298"/>
    <cellStyle name="Normal 5 5 8 2 2" xfId="32427"/>
    <cellStyle name="Normal 5 5 8 3" xfId="4030"/>
    <cellStyle name="Normal 5 5 8 3 2" xfId="20193"/>
    <cellStyle name="Normal 5 5 9" xfId="16299"/>
    <cellStyle name="Normal 5 5 9 2" xfId="32428"/>
    <cellStyle name="Normal 5 6" xfId="84"/>
    <cellStyle name="Normal 5 6 10" xfId="16300"/>
    <cellStyle name="Normal 5 6 10 2" xfId="32429"/>
    <cellStyle name="Normal 5 6 11" xfId="16301"/>
    <cellStyle name="Normal 5 6 11 2" xfId="32430"/>
    <cellStyle name="Normal 5 6 12" xfId="16302"/>
    <cellStyle name="Normal 5 6 12 2" xfId="32431"/>
    <cellStyle name="Normal 5 6 13" xfId="16303"/>
    <cellStyle name="Normal 5 6 13 2" xfId="32432"/>
    <cellStyle name="Normal 5 6 14" xfId="16304"/>
    <cellStyle name="Normal 5 6 14 2" xfId="32433"/>
    <cellStyle name="Normal 5 6 15" xfId="16305"/>
    <cellStyle name="Normal 5 6 15 2" xfId="32434"/>
    <cellStyle name="Normal 5 6 16" xfId="16306"/>
    <cellStyle name="Normal 5 6 16 2" xfId="32435"/>
    <cellStyle name="Normal 5 6 17" xfId="16307"/>
    <cellStyle name="Normal 5 6 17 2" xfId="32436"/>
    <cellStyle name="Normal 5 6 18" xfId="4042"/>
    <cellStyle name="Normal 5 6 18 2" xfId="20205"/>
    <cellStyle name="Normal 5 6 2" xfId="3031"/>
    <cellStyle name="Normal 5 6 2 2" xfId="16308"/>
    <cellStyle name="Normal 5 6 2 2 2" xfId="16309"/>
    <cellStyle name="Normal 5 6 2 2 2 2" xfId="16310"/>
    <cellStyle name="Normal 5 6 2 2 2 2 2" xfId="32439"/>
    <cellStyle name="Normal 5 6 2 2 2 3" xfId="32438"/>
    <cellStyle name="Normal 5 6 2 2 3" xfId="16311"/>
    <cellStyle name="Normal 5 6 2 2 3 2" xfId="32440"/>
    <cellStyle name="Normal 5 6 2 2 4" xfId="32437"/>
    <cellStyle name="Normal 5 6 2 3" xfId="16312"/>
    <cellStyle name="Normal 5 6 2 3 2" xfId="16313"/>
    <cellStyle name="Normal 5 6 2 3 2 2" xfId="32442"/>
    <cellStyle name="Normal 5 6 2 3 3" xfId="32441"/>
    <cellStyle name="Normal 5 6 2 4" xfId="16314"/>
    <cellStyle name="Normal 5 6 2 4 2" xfId="16315"/>
    <cellStyle name="Normal 5 6 2 4 2 2" xfId="32444"/>
    <cellStyle name="Normal 5 6 2 4 3" xfId="32443"/>
    <cellStyle name="Normal 5 6 2 5" xfId="16316"/>
    <cellStyle name="Normal 5 6 2 5 2" xfId="32445"/>
    <cellStyle name="Normal 5 6 2 6" xfId="6917"/>
    <cellStyle name="Normal 5 6 2 6 2" xfId="23079"/>
    <cellStyle name="Normal 5 6 3" xfId="1377"/>
    <cellStyle name="Normal 5 6 3 2" xfId="16317"/>
    <cellStyle name="Normal 5 6 3 2 2" xfId="16318"/>
    <cellStyle name="Normal 5 6 3 2 2 2" xfId="16319"/>
    <cellStyle name="Normal 5 6 3 2 2 2 2" xfId="32448"/>
    <cellStyle name="Normal 5 6 3 2 2 3" xfId="32447"/>
    <cellStyle name="Normal 5 6 3 2 3" xfId="16320"/>
    <cellStyle name="Normal 5 6 3 2 3 2" xfId="32449"/>
    <cellStyle name="Normal 5 6 3 2 4" xfId="32446"/>
    <cellStyle name="Normal 5 6 3 3" xfId="16321"/>
    <cellStyle name="Normal 5 6 3 3 2" xfId="16322"/>
    <cellStyle name="Normal 5 6 3 3 2 2" xfId="32451"/>
    <cellStyle name="Normal 5 6 3 3 3" xfId="32450"/>
    <cellStyle name="Normal 5 6 3 4" xfId="16323"/>
    <cellStyle name="Normal 5 6 3 4 2" xfId="16324"/>
    <cellStyle name="Normal 5 6 3 4 2 2" xfId="32453"/>
    <cellStyle name="Normal 5 6 3 4 3" xfId="32452"/>
    <cellStyle name="Normal 5 6 3 5" xfId="16325"/>
    <cellStyle name="Normal 5 6 3 5 2" xfId="32454"/>
    <cellStyle name="Normal 5 6 3 6" xfId="5295"/>
    <cellStyle name="Normal 5 6 3 6 2" xfId="21457"/>
    <cellStyle name="Normal 5 6 4" xfId="1379"/>
    <cellStyle name="Normal 5 6 4 2" xfId="16326"/>
    <cellStyle name="Normal 5 6 4 2 2" xfId="16327"/>
    <cellStyle name="Normal 5 6 4 2 2 2" xfId="16328"/>
    <cellStyle name="Normal 5 6 4 2 2 2 2" xfId="32457"/>
    <cellStyle name="Normal 5 6 4 2 2 3" xfId="32456"/>
    <cellStyle name="Normal 5 6 4 2 3" xfId="16329"/>
    <cellStyle name="Normal 5 6 4 2 3 2" xfId="32458"/>
    <cellStyle name="Normal 5 6 4 2 4" xfId="32455"/>
    <cellStyle name="Normal 5 6 4 3" xfId="16330"/>
    <cellStyle name="Normal 5 6 4 3 2" xfId="16331"/>
    <cellStyle name="Normal 5 6 4 3 2 2" xfId="32460"/>
    <cellStyle name="Normal 5 6 4 3 3" xfId="32459"/>
    <cellStyle name="Normal 5 6 4 4" xfId="16332"/>
    <cellStyle name="Normal 5 6 4 4 2" xfId="16333"/>
    <cellStyle name="Normal 5 6 4 4 2 2" xfId="32462"/>
    <cellStyle name="Normal 5 6 4 4 3" xfId="32461"/>
    <cellStyle name="Normal 5 6 4 5" xfId="16334"/>
    <cellStyle name="Normal 5 6 4 5 2" xfId="32463"/>
    <cellStyle name="Normal 5 6 4 6" xfId="5297"/>
    <cellStyle name="Normal 5 6 4 6 2" xfId="21459"/>
    <cellStyle name="Normal 5 6 5" xfId="754"/>
    <cellStyle name="Normal 5 6 5 2" xfId="16335"/>
    <cellStyle name="Normal 5 6 5 2 2" xfId="16336"/>
    <cellStyle name="Normal 5 6 5 2 2 2" xfId="16337"/>
    <cellStyle name="Normal 5 6 5 2 2 2 2" xfId="32466"/>
    <cellStyle name="Normal 5 6 5 2 2 3" xfId="32465"/>
    <cellStyle name="Normal 5 6 5 2 3" xfId="16338"/>
    <cellStyle name="Normal 5 6 5 2 3 2" xfId="32467"/>
    <cellStyle name="Normal 5 6 5 2 4" xfId="32464"/>
    <cellStyle name="Normal 5 6 5 3" xfId="16339"/>
    <cellStyle name="Normal 5 6 5 3 2" xfId="16340"/>
    <cellStyle name="Normal 5 6 5 3 2 2" xfId="32469"/>
    <cellStyle name="Normal 5 6 5 3 3" xfId="32468"/>
    <cellStyle name="Normal 5 6 5 4" xfId="16341"/>
    <cellStyle name="Normal 5 6 5 4 2" xfId="16342"/>
    <cellStyle name="Normal 5 6 5 4 2 2" xfId="32471"/>
    <cellStyle name="Normal 5 6 5 4 3" xfId="32470"/>
    <cellStyle name="Normal 5 6 5 5" xfId="16343"/>
    <cellStyle name="Normal 5 6 5 5 2" xfId="32472"/>
    <cellStyle name="Normal 5 6 5 6" xfId="4684"/>
    <cellStyle name="Normal 5 6 5 6 2" xfId="20846"/>
    <cellStyle name="Normal 5 6 6" xfId="65"/>
    <cellStyle name="Normal 5 6 6 2" xfId="16344"/>
    <cellStyle name="Normal 5 6 6 2 2" xfId="16345"/>
    <cellStyle name="Normal 5 6 6 2 2 2" xfId="32474"/>
    <cellStyle name="Normal 5 6 6 2 3" xfId="32473"/>
    <cellStyle name="Normal 5 6 6 3" xfId="16346"/>
    <cellStyle name="Normal 5 6 6 3 2" xfId="32475"/>
    <cellStyle name="Normal 5 6 6 4" xfId="4016"/>
    <cellStyle name="Normal 5 6 6 4 2" xfId="20179"/>
    <cellStyle name="Normal 5 6 7" xfId="1382"/>
    <cellStyle name="Normal 5 6 7 2" xfId="16347"/>
    <cellStyle name="Normal 5 6 7 2 2" xfId="32476"/>
    <cellStyle name="Normal 5 6 7 3" xfId="5299"/>
    <cellStyle name="Normal 5 6 7 3 2" xfId="21461"/>
    <cellStyle name="Normal 5 6 8" xfId="248"/>
    <cellStyle name="Normal 5 6 8 2" xfId="16348"/>
    <cellStyle name="Normal 5 6 8 2 2" xfId="32477"/>
    <cellStyle name="Normal 5 6 8 3" xfId="4200"/>
    <cellStyle name="Normal 5 6 8 3 2" xfId="20363"/>
    <cellStyle name="Normal 5 6 9" xfId="16349"/>
    <cellStyle name="Normal 5 6 9 2" xfId="32478"/>
    <cellStyle name="Normal 5 7" xfId="766"/>
    <cellStyle name="Normal 5 7 10" xfId="16350"/>
    <cellStyle name="Normal 5 7 10 2" xfId="32479"/>
    <cellStyle name="Normal 5 7 11" xfId="16351"/>
    <cellStyle name="Normal 5 7 11 2" xfId="32480"/>
    <cellStyle name="Normal 5 7 12" xfId="16352"/>
    <cellStyle name="Normal 5 7 12 2" xfId="32481"/>
    <cellStyle name="Normal 5 7 13" xfId="16353"/>
    <cellStyle name="Normal 5 7 13 2" xfId="32482"/>
    <cellStyle name="Normal 5 7 14" xfId="16354"/>
    <cellStyle name="Normal 5 7 14 2" xfId="32483"/>
    <cellStyle name="Normal 5 7 15" xfId="16355"/>
    <cellStyle name="Normal 5 7 15 2" xfId="32484"/>
    <cellStyle name="Normal 5 7 16" xfId="16356"/>
    <cellStyle name="Normal 5 7 16 2" xfId="32485"/>
    <cellStyle name="Normal 5 7 17" xfId="16357"/>
    <cellStyle name="Normal 5 7 17 2" xfId="32486"/>
    <cellStyle name="Normal 5 7 18" xfId="4693"/>
    <cellStyle name="Normal 5 7 18 2" xfId="20855"/>
    <cellStyle name="Normal 5 7 2" xfId="3042"/>
    <cellStyle name="Normal 5 7 2 2" xfId="6928"/>
    <cellStyle name="Normal 5 7 2 2 2" xfId="23090"/>
    <cellStyle name="Normal 5 7 3" xfId="1385"/>
    <cellStyle name="Normal 5 7 3 2" xfId="5305"/>
    <cellStyle name="Normal 5 7 3 2 2" xfId="21467"/>
    <cellStyle name="Normal 5 7 4" xfId="1389"/>
    <cellStyle name="Normal 5 7 4 2" xfId="5309"/>
    <cellStyle name="Normal 5 7 4 2 2" xfId="21471"/>
    <cellStyle name="Normal 5 7 5" xfId="22"/>
    <cellStyle name="Normal 5 7 5 2" xfId="3985"/>
    <cellStyle name="Normal 5 7 5 2 2" xfId="20148"/>
    <cellStyle name="Normal 5 7 6" xfId="1394"/>
    <cellStyle name="Normal 5 7 6 2" xfId="5311"/>
    <cellStyle name="Normal 5 7 6 2 2" xfId="21473"/>
    <cellStyle name="Normal 5 7 7" xfId="1397"/>
    <cellStyle name="Normal 5 7 7 2" xfId="5314"/>
    <cellStyle name="Normal 5 7 7 2 2" xfId="21476"/>
    <cellStyle name="Normal 5 7 8" xfId="267"/>
    <cellStyle name="Normal 5 7 8 2" xfId="4214"/>
    <cellStyle name="Normal 5 7 8 2 2" xfId="20377"/>
    <cellStyle name="Normal 5 7 9" xfId="16358"/>
    <cellStyle name="Normal 5 7 9 2" xfId="32487"/>
    <cellStyle name="Normal 5 8" xfId="2634"/>
    <cellStyle name="Normal 5 8 10" xfId="16359"/>
    <cellStyle name="Normal 5 8 10 2" xfId="32488"/>
    <cellStyle name="Normal 5 8 11" xfId="16360"/>
    <cellStyle name="Normal 5 8 11 2" xfId="32489"/>
    <cellStyle name="Normal 5 8 12" xfId="16361"/>
    <cellStyle name="Normal 5 8 12 2" xfId="32490"/>
    <cellStyle name="Normal 5 8 13" xfId="16362"/>
    <cellStyle name="Normal 5 8 13 2" xfId="32491"/>
    <cellStyle name="Normal 5 8 14" xfId="16363"/>
    <cellStyle name="Normal 5 8 14 2" xfId="32492"/>
    <cellStyle name="Normal 5 8 15" xfId="16364"/>
    <cellStyle name="Normal 5 8 15 2" xfId="32493"/>
    <cellStyle name="Normal 5 8 16" xfId="16365"/>
    <cellStyle name="Normal 5 8 16 2" xfId="32494"/>
    <cellStyle name="Normal 5 8 17" xfId="16366"/>
    <cellStyle name="Normal 5 8 17 2" xfId="32495"/>
    <cellStyle name="Normal 5 8 18" xfId="6528"/>
    <cellStyle name="Normal 5 8 18 2" xfId="22690"/>
    <cellStyle name="Normal 5 8 2" xfId="3045"/>
    <cellStyle name="Normal 5 8 2 2" xfId="6931"/>
    <cellStyle name="Normal 5 8 2 2 2" xfId="23093"/>
    <cellStyle name="Normal 5 8 3" xfId="1011"/>
    <cellStyle name="Normal 5 8 3 2" xfId="4930"/>
    <cellStyle name="Normal 5 8 3 2 2" xfId="21092"/>
    <cellStyle name="Normal 5 8 4" xfId="1015"/>
    <cellStyle name="Normal 5 8 4 2" xfId="4934"/>
    <cellStyle name="Normal 5 8 4 2 2" xfId="21096"/>
    <cellStyle name="Normal 5 8 5" xfId="1018"/>
    <cellStyle name="Normal 5 8 5 2" xfId="4938"/>
    <cellStyle name="Normal 5 8 5 2 2" xfId="21100"/>
    <cellStyle name="Normal 5 8 6" xfId="940"/>
    <cellStyle name="Normal 5 8 6 2" xfId="4863"/>
    <cellStyle name="Normal 5 8 6 2 2" xfId="21025"/>
    <cellStyle name="Normal 5 8 7" xfId="965"/>
    <cellStyle name="Normal 5 8 7 2" xfId="4888"/>
    <cellStyle name="Normal 5 8 7 2 2" xfId="21050"/>
    <cellStyle name="Normal 5 8 8" xfId="292"/>
    <cellStyle name="Normal 5 8 8 2" xfId="4242"/>
    <cellStyle name="Normal 5 8 8 2 2" xfId="20405"/>
    <cellStyle name="Normal 5 8 9" xfId="16367"/>
    <cellStyle name="Normal 5 8 9 2" xfId="32496"/>
    <cellStyle name="Normal 5 9" xfId="3577"/>
    <cellStyle name="Normal 5 9 10" xfId="16368"/>
    <cellStyle name="Normal 5 9 10 2" xfId="32497"/>
    <cellStyle name="Normal 5 9 11" xfId="16369"/>
    <cellStyle name="Normal 5 9 11 2" xfId="32498"/>
    <cellStyle name="Normal 5 9 12" xfId="16370"/>
    <cellStyle name="Normal 5 9 12 2" xfId="32499"/>
    <cellStyle name="Normal 5 9 13" xfId="16371"/>
    <cellStyle name="Normal 5 9 13 2" xfId="32500"/>
    <cellStyle name="Normal 5 9 14" xfId="16372"/>
    <cellStyle name="Normal 5 9 14 2" xfId="32501"/>
    <cellStyle name="Normal 5 9 15" xfId="16373"/>
    <cellStyle name="Normal 5 9 15 2" xfId="32502"/>
    <cellStyle name="Normal 5 9 16" xfId="16374"/>
    <cellStyle name="Normal 5 9 16 2" xfId="32503"/>
    <cellStyle name="Normal 5 9 17" xfId="16375"/>
    <cellStyle name="Normal 5 9 17 2" xfId="32504"/>
    <cellStyle name="Normal 5 9 18" xfId="7456"/>
    <cellStyle name="Normal 5 9 18 2" xfId="23618"/>
    <cellStyle name="Normal 5 9 2" xfId="3054"/>
    <cellStyle name="Normal 5 9 2 2" xfId="6940"/>
    <cellStyle name="Normal 5 9 2 2 2" xfId="23102"/>
    <cellStyle name="Normal 5 9 3" xfId="3578"/>
    <cellStyle name="Normal 5 9 3 2" xfId="7457"/>
    <cellStyle name="Normal 5 9 3 2 2" xfId="23619"/>
    <cellStyle name="Normal 5 9 4" xfId="3579"/>
    <cellStyle name="Normal 5 9 4 2" xfId="7458"/>
    <cellStyle name="Normal 5 9 4 2 2" xfId="23620"/>
    <cellStyle name="Normal 5 9 5" xfId="3580"/>
    <cellStyle name="Normal 5 9 5 2" xfId="7459"/>
    <cellStyle name="Normal 5 9 5 2 2" xfId="23621"/>
    <cellStyle name="Normal 5 9 6" xfId="3581"/>
    <cellStyle name="Normal 5 9 6 2" xfId="7460"/>
    <cellStyle name="Normal 5 9 6 2 2" xfId="23622"/>
    <cellStyle name="Normal 5 9 7" xfId="3582"/>
    <cellStyle name="Normal 5 9 7 2" xfId="7461"/>
    <cellStyle name="Normal 5 9 7 2 2" xfId="23623"/>
    <cellStyle name="Normal 5 9 8" xfId="3583"/>
    <cellStyle name="Normal 5 9 8 2" xfId="7462"/>
    <cellStyle name="Normal 5 9 8 2 2" xfId="23624"/>
    <cellStyle name="Normal 5 9 9" xfId="16376"/>
    <cellStyle name="Normal 5 9 9 2" xfId="32505"/>
    <cellStyle name="Normal 5_126  NAGANOOL TO GADDAMPALLY  - 82.50  LAKHS" xfId="16377"/>
    <cellStyle name="Normal 50" xfId="3466"/>
    <cellStyle name="Normal 50 2" xfId="16378"/>
    <cellStyle name="Normal 50 2 2" xfId="32506"/>
    <cellStyle name="Normal 50 3" xfId="7347"/>
    <cellStyle name="Normal 50 3 2" xfId="23509"/>
    <cellStyle name="Normal 51" xfId="3468"/>
    <cellStyle name="Normal 51 2" xfId="16379"/>
    <cellStyle name="Normal 51 2 2" xfId="32507"/>
    <cellStyle name="Normal 51 3" xfId="7349"/>
    <cellStyle name="Normal 51 3 2" xfId="23511"/>
    <cellStyle name="Normal 52" xfId="3471"/>
    <cellStyle name="Normal 52 2" xfId="7351"/>
    <cellStyle name="Normal 52 2 2" xfId="23513"/>
    <cellStyle name="Normal 53" xfId="3473"/>
    <cellStyle name="Normal 53 2" xfId="7353"/>
    <cellStyle name="Normal 53 2 2" xfId="23515"/>
    <cellStyle name="Normal 53 3" xfId="19978"/>
    <cellStyle name="Normal 54" xfId="798"/>
    <cellStyle name="Normal 54 10" xfId="16380"/>
    <cellStyle name="Normal 54 10 2" xfId="32508"/>
    <cellStyle name="Normal 54 11" xfId="16381"/>
    <cellStyle name="Normal 54 11 2" xfId="32509"/>
    <cellStyle name="Normal 54 12" xfId="16382"/>
    <cellStyle name="Normal 54 12 2" xfId="32510"/>
    <cellStyle name="Normal 54 13" xfId="16383"/>
    <cellStyle name="Normal 54 13 2" xfId="32511"/>
    <cellStyle name="Normal 54 14" xfId="16384"/>
    <cellStyle name="Normal 54 14 2" xfId="32512"/>
    <cellStyle name="Normal 54 15" xfId="4726"/>
    <cellStyle name="Normal 54 15 2" xfId="20888"/>
    <cellStyle name="Normal 54 16" xfId="19188"/>
    <cellStyle name="Normal 54 2" xfId="2726"/>
    <cellStyle name="Normal 54 2 10" xfId="16385"/>
    <cellStyle name="Normal 54 2 10 2" xfId="32513"/>
    <cellStyle name="Normal 54 2 11" xfId="16386"/>
    <cellStyle name="Normal 54 2 11 2" xfId="32514"/>
    <cellStyle name="Normal 54 2 12" xfId="16387"/>
    <cellStyle name="Normal 54 2 12 2" xfId="32515"/>
    <cellStyle name="Normal 54 2 13" xfId="6619"/>
    <cellStyle name="Normal 54 2 13 2" xfId="22781"/>
    <cellStyle name="Normal 54 2 14" xfId="19702"/>
    <cellStyle name="Normal 54 2 2" xfId="190"/>
    <cellStyle name="Normal 54 2 2 10" xfId="16388"/>
    <cellStyle name="Normal 54 2 2 10 2" xfId="32516"/>
    <cellStyle name="Normal 54 2 2 11" xfId="4119"/>
    <cellStyle name="Normal 54 2 2 11 2" xfId="20282"/>
    <cellStyle name="Normal 54 2 2 12" xfId="19019"/>
    <cellStyle name="Normal 54 2 2 2" xfId="16389"/>
    <cellStyle name="Normal 54 2 2 2 2" xfId="32517"/>
    <cellStyle name="Normal 54 2 2 3" xfId="16390"/>
    <cellStyle name="Normal 54 2 2 3 2" xfId="32518"/>
    <cellStyle name="Normal 54 2 2 4" xfId="16391"/>
    <cellStyle name="Normal 54 2 2 4 2" xfId="32519"/>
    <cellStyle name="Normal 54 2 2 5" xfId="16392"/>
    <cellStyle name="Normal 54 2 2 5 2" xfId="32520"/>
    <cellStyle name="Normal 54 2 2 6" xfId="16393"/>
    <cellStyle name="Normal 54 2 2 6 2" xfId="32521"/>
    <cellStyle name="Normal 54 2 2 7" xfId="16394"/>
    <cellStyle name="Normal 54 2 2 7 2" xfId="32522"/>
    <cellStyle name="Normal 54 2 2 8" xfId="16395"/>
    <cellStyle name="Normal 54 2 2 8 2" xfId="32523"/>
    <cellStyle name="Normal 54 2 2 9" xfId="16396"/>
    <cellStyle name="Normal 54 2 2 9 2" xfId="32524"/>
    <cellStyle name="Normal 54 2 3" xfId="3585"/>
    <cellStyle name="Normal 54 2 3 10" xfId="16397"/>
    <cellStyle name="Normal 54 2 3 10 2" xfId="32525"/>
    <cellStyle name="Normal 54 2 3 11" xfId="7464"/>
    <cellStyle name="Normal 54 2 3 11 2" xfId="23626"/>
    <cellStyle name="Normal 54 2 3 12" xfId="20052"/>
    <cellStyle name="Normal 54 2 3 2" xfId="16398"/>
    <cellStyle name="Normal 54 2 3 2 2" xfId="32526"/>
    <cellStyle name="Normal 54 2 3 3" xfId="16399"/>
    <cellStyle name="Normal 54 2 3 3 2" xfId="32527"/>
    <cellStyle name="Normal 54 2 3 4" xfId="16400"/>
    <cellStyle name="Normal 54 2 3 4 2" xfId="32528"/>
    <cellStyle name="Normal 54 2 3 5" xfId="16401"/>
    <cellStyle name="Normal 54 2 3 5 2" xfId="32529"/>
    <cellStyle name="Normal 54 2 3 6" xfId="16402"/>
    <cellStyle name="Normal 54 2 3 6 2" xfId="32530"/>
    <cellStyle name="Normal 54 2 3 7" xfId="16403"/>
    <cellStyle name="Normal 54 2 3 7 2" xfId="32531"/>
    <cellStyle name="Normal 54 2 3 8" xfId="16404"/>
    <cellStyle name="Normal 54 2 3 8 2" xfId="32532"/>
    <cellStyle name="Normal 54 2 3 9" xfId="16405"/>
    <cellStyle name="Normal 54 2 3 9 2" xfId="32533"/>
    <cellStyle name="Normal 54 2 4" xfId="16406"/>
    <cellStyle name="Normal 54 2 4 2" xfId="32534"/>
    <cellStyle name="Normal 54 2 5" xfId="16407"/>
    <cellStyle name="Normal 54 2 5 2" xfId="32535"/>
    <cellStyle name="Normal 54 2 6" xfId="16408"/>
    <cellStyle name="Normal 54 2 6 2" xfId="32536"/>
    <cellStyle name="Normal 54 2 7" xfId="16409"/>
    <cellStyle name="Normal 54 2 7 2" xfId="32537"/>
    <cellStyle name="Normal 54 2 8" xfId="16410"/>
    <cellStyle name="Normal 54 2 8 2" xfId="32538"/>
    <cellStyle name="Normal 54 2 9" xfId="16411"/>
    <cellStyle name="Normal 54 2 9 2" xfId="32539"/>
    <cellStyle name="Normal 54 3" xfId="2728"/>
    <cellStyle name="Normal 54 3 10" xfId="16412"/>
    <cellStyle name="Normal 54 3 10 2" xfId="32540"/>
    <cellStyle name="Normal 54 3 11" xfId="16413"/>
    <cellStyle name="Normal 54 3 11 2" xfId="32541"/>
    <cellStyle name="Normal 54 3 12" xfId="16414"/>
    <cellStyle name="Normal 54 3 12 2" xfId="32542"/>
    <cellStyle name="Normal 54 3 13" xfId="6621"/>
    <cellStyle name="Normal 54 3 13 2" xfId="22783"/>
    <cellStyle name="Normal 54 3 14" xfId="19703"/>
    <cellStyle name="Normal 54 3 2" xfId="3586"/>
    <cellStyle name="Normal 54 3 2 10" xfId="16415"/>
    <cellStyle name="Normal 54 3 2 10 2" xfId="32543"/>
    <cellStyle name="Normal 54 3 2 11" xfId="7465"/>
    <cellStyle name="Normal 54 3 2 11 2" xfId="23627"/>
    <cellStyle name="Normal 54 3 2 12" xfId="20053"/>
    <cellStyle name="Normal 54 3 2 2" xfId="16416"/>
    <cellStyle name="Normal 54 3 2 2 2" xfId="32544"/>
    <cellStyle name="Normal 54 3 2 3" xfId="16417"/>
    <cellStyle name="Normal 54 3 2 3 2" xfId="32545"/>
    <cellStyle name="Normal 54 3 2 4" xfId="16418"/>
    <cellStyle name="Normal 54 3 2 4 2" xfId="32546"/>
    <cellStyle name="Normal 54 3 2 5" xfId="16419"/>
    <cellStyle name="Normal 54 3 2 5 2" xfId="32547"/>
    <cellStyle name="Normal 54 3 2 6" xfId="16420"/>
    <cellStyle name="Normal 54 3 2 6 2" xfId="32548"/>
    <cellStyle name="Normal 54 3 2 7" xfId="16421"/>
    <cellStyle name="Normal 54 3 2 7 2" xfId="32549"/>
    <cellStyle name="Normal 54 3 2 8" xfId="16422"/>
    <cellStyle name="Normal 54 3 2 8 2" xfId="32550"/>
    <cellStyle name="Normal 54 3 2 9" xfId="16423"/>
    <cellStyle name="Normal 54 3 2 9 2" xfId="32551"/>
    <cellStyle name="Normal 54 3 3" xfId="3587"/>
    <cellStyle name="Normal 54 3 3 10" xfId="16424"/>
    <cellStyle name="Normal 54 3 3 10 2" xfId="32552"/>
    <cellStyle name="Normal 54 3 3 11" xfId="7466"/>
    <cellStyle name="Normal 54 3 3 11 2" xfId="23628"/>
    <cellStyle name="Normal 54 3 3 12" xfId="20054"/>
    <cellStyle name="Normal 54 3 3 2" xfId="16425"/>
    <cellStyle name="Normal 54 3 3 2 2" xfId="32553"/>
    <cellStyle name="Normal 54 3 3 3" xfId="16426"/>
    <cellStyle name="Normal 54 3 3 3 2" xfId="32554"/>
    <cellStyle name="Normal 54 3 3 4" xfId="16427"/>
    <cellStyle name="Normal 54 3 3 4 2" xfId="32555"/>
    <cellStyle name="Normal 54 3 3 5" xfId="16428"/>
    <cellStyle name="Normal 54 3 3 5 2" xfId="32556"/>
    <cellStyle name="Normal 54 3 3 6" xfId="16429"/>
    <cellStyle name="Normal 54 3 3 6 2" xfId="32557"/>
    <cellStyle name="Normal 54 3 3 7" xfId="16430"/>
    <cellStyle name="Normal 54 3 3 7 2" xfId="32558"/>
    <cellStyle name="Normal 54 3 3 8" xfId="16431"/>
    <cellStyle name="Normal 54 3 3 8 2" xfId="32559"/>
    <cellStyle name="Normal 54 3 3 9" xfId="16432"/>
    <cellStyle name="Normal 54 3 3 9 2" xfId="32560"/>
    <cellStyle name="Normal 54 3 4" xfId="16433"/>
    <cellStyle name="Normal 54 3 4 2" xfId="32561"/>
    <cellStyle name="Normal 54 3 5" xfId="16434"/>
    <cellStyle name="Normal 54 3 5 2" xfId="32562"/>
    <cellStyle name="Normal 54 3 6" xfId="16435"/>
    <cellStyle name="Normal 54 3 6 2" xfId="32563"/>
    <cellStyle name="Normal 54 3 7" xfId="16436"/>
    <cellStyle name="Normal 54 3 7 2" xfId="32564"/>
    <cellStyle name="Normal 54 3 8" xfId="16437"/>
    <cellStyle name="Normal 54 3 8 2" xfId="32565"/>
    <cellStyle name="Normal 54 3 9" xfId="16438"/>
    <cellStyle name="Normal 54 3 9 2" xfId="32566"/>
    <cellStyle name="Normal 54 4" xfId="2730"/>
    <cellStyle name="Normal 54 4 10" xfId="16439"/>
    <cellStyle name="Normal 54 4 10 2" xfId="32567"/>
    <cellStyle name="Normal 54 4 11" xfId="6623"/>
    <cellStyle name="Normal 54 4 11 2" xfId="22785"/>
    <cellStyle name="Normal 54 4 12" xfId="19704"/>
    <cellStyle name="Normal 54 4 2" xfId="16440"/>
    <cellStyle name="Normal 54 4 2 2" xfId="32568"/>
    <cellStyle name="Normal 54 4 3" xfId="16441"/>
    <cellStyle name="Normal 54 4 3 2" xfId="32569"/>
    <cellStyle name="Normal 54 4 4" xfId="16442"/>
    <cellStyle name="Normal 54 4 4 2" xfId="32570"/>
    <cellStyle name="Normal 54 4 5" xfId="16443"/>
    <cellStyle name="Normal 54 4 5 2" xfId="32571"/>
    <cellStyle name="Normal 54 4 6" xfId="16444"/>
    <cellStyle name="Normal 54 4 6 2" xfId="32572"/>
    <cellStyle name="Normal 54 4 7" xfId="16445"/>
    <cellStyle name="Normal 54 4 7 2" xfId="32573"/>
    <cellStyle name="Normal 54 4 8" xfId="16446"/>
    <cellStyle name="Normal 54 4 8 2" xfId="32574"/>
    <cellStyle name="Normal 54 4 9" xfId="16447"/>
    <cellStyle name="Normal 54 4 9 2" xfId="32575"/>
    <cellStyle name="Normal 54 5" xfId="1919"/>
    <cellStyle name="Normal 54 5 10" xfId="16448"/>
    <cellStyle name="Normal 54 5 10 2" xfId="32576"/>
    <cellStyle name="Normal 54 5 11" xfId="5826"/>
    <cellStyle name="Normal 54 5 11 2" xfId="21988"/>
    <cellStyle name="Normal 54 5 12" xfId="19599"/>
    <cellStyle name="Normal 54 5 2" xfId="16449"/>
    <cellStyle name="Normal 54 5 2 2" xfId="32577"/>
    <cellStyle name="Normal 54 5 3" xfId="16450"/>
    <cellStyle name="Normal 54 5 3 2" xfId="32578"/>
    <cellStyle name="Normal 54 5 4" xfId="16451"/>
    <cellStyle name="Normal 54 5 4 2" xfId="32579"/>
    <cellStyle name="Normal 54 5 5" xfId="16452"/>
    <cellStyle name="Normal 54 5 5 2" xfId="32580"/>
    <cellStyle name="Normal 54 5 6" xfId="16453"/>
    <cellStyle name="Normal 54 5 6 2" xfId="32581"/>
    <cellStyle name="Normal 54 5 7" xfId="16454"/>
    <cellStyle name="Normal 54 5 7 2" xfId="32582"/>
    <cellStyle name="Normal 54 5 8" xfId="16455"/>
    <cellStyle name="Normal 54 5 8 2" xfId="32583"/>
    <cellStyle name="Normal 54 5 9" xfId="16456"/>
    <cellStyle name="Normal 54 5 9 2" xfId="32584"/>
    <cellStyle name="Normal 54 6" xfId="16457"/>
    <cellStyle name="Normal 54 6 2" xfId="32585"/>
    <cellStyle name="Normal 54 7" xfId="16458"/>
    <cellStyle name="Normal 54 7 2" xfId="32586"/>
    <cellStyle name="Normal 54 8" xfId="16459"/>
    <cellStyle name="Normal 54 8 2" xfId="32587"/>
    <cellStyle name="Normal 54 9" xfId="16460"/>
    <cellStyle name="Normal 54 9 2" xfId="32588"/>
    <cellStyle name="Normal 55" xfId="16461"/>
    <cellStyle name="Normal 55 2" xfId="16462"/>
    <cellStyle name="Normal 55 2 2" xfId="16463"/>
    <cellStyle name="Normal 55 2 2 2" xfId="32591"/>
    <cellStyle name="Normal 55 2 3" xfId="32590"/>
    <cellStyle name="Normal 55 3" xfId="32589"/>
    <cellStyle name="Normal 56" xfId="16464"/>
    <cellStyle name="Normal 56 2" xfId="32592"/>
    <cellStyle name="Normal 57" xfId="101"/>
    <cellStyle name="Normal 57 10" xfId="16465"/>
    <cellStyle name="Normal 57 10 2" xfId="32593"/>
    <cellStyle name="Normal 57 11" xfId="16466"/>
    <cellStyle name="Normal 57 11 2" xfId="32594"/>
    <cellStyle name="Normal 57 12" xfId="16467"/>
    <cellStyle name="Normal 57 12 2" xfId="32595"/>
    <cellStyle name="Normal 57 13" xfId="16468"/>
    <cellStyle name="Normal 57 13 2" xfId="32596"/>
    <cellStyle name="Normal 57 14" xfId="16469"/>
    <cellStyle name="Normal 57 14 2" xfId="32597"/>
    <cellStyle name="Normal 57 15" xfId="16470"/>
    <cellStyle name="Normal 57 15 2" xfId="32598"/>
    <cellStyle name="Normal 57 16" xfId="16471"/>
    <cellStyle name="Normal 57 16 2" xfId="32599"/>
    <cellStyle name="Normal 57 17" xfId="16472"/>
    <cellStyle name="Normal 57 17 2" xfId="32600"/>
    <cellStyle name="Normal 57 18" xfId="4046"/>
    <cellStyle name="Normal 57 18 2" xfId="20209"/>
    <cellStyle name="Normal 57 2" xfId="1736"/>
    <cellStyle name="Normal 57 2 2" xfId="5648"/>
    <cellStyle name="Normal 57 2 2 2" xfId="21810"/>
    <cellStyle name="Normal 57 3" xfId="1738"/>
    <cellStyle name="Normal 57 3 2" xfId="5650"/>
    <cellStyle name="Normal 57 3 2 2" xfId="21812"/>
    <cellStyle name="Normal 57 4" xfId="3588"/>
    <cellStyle name="Normal 57 4 2" xfId="7467"/>
    <cellStyle name="Normal 57 4 2 2" xfId="23629"/>
    <cellStyle name="Normal 57 5" xfId="3589"/>
    <cellStyle name="Normal 57 5 2" xfId="7468"/>
    <cellStyle name="Normal 57 5 2 2" xfId="23630"/>
    <cellStyle name="Normal 57 6" xfId="144"/>
    <cellStyle name="Normal 57 6 2" xfId="4083"/>
    <cellStyle name="Normal 57 6 2 2" xfId="20246"/>
    <cellStyle name="Normal 57 7" xfId="167"/>
    <cellStyle name="Normal 57 7 2" xfId="4094"/>
    <cellStyle name="Normal 57 7 2 2" xfId="20257"/>
    <cellStyle name="Normal 57 8" xfId="180"/>
    <cellStyle name="Normal 57 8 2" xfId="4109"/>
    <cellStyle name="Normal 57 8 2 2" xfId="20272"/>
    <cellStyle name="Normal 57 9" xfId="16473"/>
    <cellStyle name="Normal 57 9 2" xfId="32601"/>
    <cellStyle name="Normal 58" xfId="35"/>
    <cellStyle name="Normal 58 2" xfId="3993"/>
    <cellStyle name="Normal 58 2 2" xfId="20156"/>
    <cellStyle name="Normal 59" xfId="16474"/>
    <cellStyle name="Normal 59 2" xfId="32602"/>
    <cellStyle name="Normal 6" xfId="772"/>
    <cellStyle name="Normal 6 10" xfId="16475"/>
    <cellStyle name="Normal 6 10 2" xfId="16476"/>
    <cellStyle name="Normal 6 10 2 2" xfId="16477"/>
    <cellStyle name="Normal 6 10 2 2 2" xfId="16478"/>
    <cellStyle name="Normal 6 10 2 2 2 2" xfId="32606"/>
    <cellStyle name="Normal 6 10 2 2 3" xfId="32605"/>
    <cellStyle name="Normal 6 10 2 3" xfId="16479"/>
    <cellStyle name="Normal 6 10 2 3 2" xfId="32607"/>
    <cellStyle name="Normal 6 10 2 4" xfId="32604"/>
    <cellStyle name="Normal 6 10 3" xfId="16480"/>
    <cellStyle name="Normal 6 10 3 2" xfId="16481"/>
    <cellStyle name="Normal 6 10 3 2 2" xfId="32609"/>
    <cellStyle name="Normal 6 10 3 3" xfId="32608"/>
    <cellStyle name="Normal 6 10 4" xfId="16482"/>
    <cellStyle name="Normal 6 10 4 2" xfId="16483"/>
    <cellStyle name="Normal 6 10 4 2 2" xfId="32611"/>
    <cellStyle name="Normal 6 10 4 3" xfId="32610"/>
    <cellStyle name="Normal 6 10 5" xfId="16484"/>
    <cellStyle name="Normal 6 10 5 2" xfId="32612"/>
    <cellStyle name="Normal 6 10 6" xfId="32603"/>
    <cellStyle name="Normal 6 11" xfId="16485"/>
    <cellStyle name="Normal 6 11 2" xfId="16486"/>
    <cellStyle name="Normal 6 11 2 2" xfId="16487"/>
    <cellStyle name="Normal 6 11 2 2 2" xfId="32615"/>
    <cellStyle name="Normal 6 11 2 3" xfId="32614"/>
    <cellStyle name="Normal 6 11 3" xfId="16488"/>
    <cellStyle name="Normal 6 11 3 2" xfId="32616"/>
    <cellStyle name="Normal 6 11 4" xfId="32613"/>
    <cellStyle name="Normal 6 12" xfId="16489"/>
    <cellStyle name="Normal 6 12 2" xfId="16490"/>
    <cellStyle name="Normal 6 12 2 2" xfId="32618"/>
    <cellStyle name="Normal 6 12 3" xfId="32617"/>
    <cellStyle name="Normal 6 13" xfId="16491"/>
    <cellStyle name="Normal 6 13 2" xfId="16492"/>
    <cellStyle name="Normal 6 13 2 2" xfId="32620"/>
    <cellStyle name="Normal 6 13 3" xfId="32619"/>
    <cellStyle name="Normal 6 14" xfId="16493"/>
    <cellStyle name="Normal 6 14 2" xfId="32621"/>
    <cellStyle name="Normal 6 15" xfId="4700"/>
    <cellStyle name="Normal 6 15 2" xfId="20862"/>
    <cellStyle name="Normal 6 2" xfId="759"/>
    <cellStyle name="Normal 6 2 2" xfId="3590"/>
    <cellStyle name="Normal 6 2 2 10" xfId="16494"/>
    <cellStyle name="Normal 6 2 2 10 2" xfId="32622"/>
    <cellStyle name="Normal 6 2 2 11" xfId="16495"/>
    <cellStyle name="Normal 6 2 2 11 2" xfId="32623"/>
    <cellStyle name="Normal 6 2 2 12" xfId="16496"/>
    <cellStyle name="Normal 6 2 2 12 2" xfId="32624"/>
    <cellStyle name="Normal 6 2 2 13" xfId="7469"/>
    <cellStyle name="Normal 6 2 2 13 2" xfId="23631"/>
    <cellStyle name="Normal 6 2 2 14" xfId="20055"/>
    <cellStyle name="Normal 6 2 2 2" xfId="1221"/>
    <cellStyle name="Normal 6 2 2 2 10" xfId="16497"/>
    <cellStyle name="Normal 6 2 2 2 10 2" xfId="32625"/>
    <cellStyle name="Normal 6 2 2 2 11" xfId="5141"/>
    <cellStyle name="Normal 6 2 2 2 11 2" xfId="21303"/>
    <cellStyle name="Normal 6 2 2 2 12" xfId="19368"/>
    <cellStyle name="Normal 6 2 2 2 2" xfId="16498"/>
    <cellStyle name="Normal 6 2 2 2 2 2" xfId="32626"/>
    <cellStyle name="Normal 6 2 2 2 3" xfId="16499"/>
    <cellStyle name="Normal 6 2 2 2 3 2" xfId="32627"/>
    <cellStyle name="Normal 6 2 2 2 4" xfId="16500"/>
    <cellStyle name="Normal 6 2 2 2 4 2" xfId="32628"/>
    <cellStyle name="Normal 6 2 2 2 5" xfId="16501"/>
    <cellStyle name="Normal 6 2 2 2 5 2" xfId="32629"/>
    <cellStyle name="Normal 6 2 2 2 6" xfId="16502"/>
    <cellStyle name="Normal 6 2 2 2 6 2" xfId="32630"/>
    <cellStyle name="Normal 6 2 2 2 7" xfId="16503"/>
    <cellStyle name="Normal 6 2 2 2 7 2" xfId="32631"/>
    <cellStyle name="Normal 6 2 2 2 8" xfId="16504"/>
    <cellStyle name="Normal 6 2 2 2 8 2" xfId="32632"/>
    <cellStyle name="Normal 6 2 2 2 9" xfId="16505"/>
    <cellStyle name="Normal 6 2 2 2 9 2" xfId="32633"/>
    <cellStyle name="Normal 6 2 2 3" xfId="946"/>
    <cellStyle name="Normal 6 2 2 3 10" xfId="16506"/>
    <cellStyle name="Normal 6 2 2 3 10 2" xfId="32634"/>
    <cellStyle name="Normal 6 2 2 3 11" xfId="4872"/>
    <cellStyle name="Normal 6 2 2 3 11 2" xfId="21034"/>
    <cellStyle name="Normal 6 2 2 3 12" xfId="19244"/>
    <cellStyle name="Normal 6 2 2 3 2" xfId="16507"/>
    <cellStyle name="Normal 6 2 2 3 2 2" xfId="32635"/>
    <cellStyle name="Normal 6 2 2 3 3" xfId="16508"/>
    <cellStyle name="Normal 6 2 2 3 3 2" xfId="32636"/>
    <cellStyle name="Normal 6 2 2 3 4" xfId="16509"/>
    <cellStyle name="Normal 6 2 2 3 4 2" xfId="32637"/>
    <cellStyle name="Normal 6 2 2 3 5" xfId="16510"/>
    <cellStyle name="Normal 6 2 2 3 5 2" xfId="32638"/>
    <cellStyle name="Normal 6 2 2 3 6" xfId="16511"/>
    <cellStyle name="Normal 6 2 2 3 6 2" xfId="32639"/>
    <cellStyle name="Normal 6 2 2 3 7" xfId="16512"/>
    <cellStyle name="Normal 6 2 2 3 7 2" xfId="32640"/>
    <cellStyle name="Normal 6 2 2 3 8" xfId="16513"/>
    <cellStyle name="Normal 6 2 2 3 8 2" xfId="32641"/>
    <cellStyle name="Normal 6 2 2 3 9" xfId="16514"/>
    <cellStyle name="Normal 6 2 2 3 9 2" xfId="32642"/>
    <cellStyle name="Normal 6 2 2 4" xfId="16515"/>
    <cellStyle name="Normal 6 2 2 4 2" xfId="32643"/>
    <cellStyle name="Normal 6 2 2 5" xfId="16516"/>
    <cellStyle name="Normal 6 2 2 5 2" xfId="32644"/>
    <cellStyle name="Normal 6 2 2 6" xfId="16517"/>
    <cellStyle name="Normal 6 2 2 6 2" xfId="32645"/>
    <cellStyle name="Normal 6 2 2 7" xfId="16518"/>
    <cellStyle name="Normal 6 2 2 7 2" xfId="32646"/>
    <cellStyle name="Normal 6 2 2 8" xfId="16519"/>
    <cellStyle name="Normal 6 2 2 8 2" xfId="32647"/>
    <cellStyle name="Normal 6 2 2 9" xfId="16520"/>
    <cellStyle name="Normal 6 2 2 9 2" xfId="32648"/>
    <cellStyle name="Normal 6 2 3" xfId="1436"/>
    <cellStyle name="Normal 6 2 3 10" xfId="16521"/>
    <cellStyle name="Normal 6 2 3 10 2" xfId="32649"/>
    <cellStyle name="Normal 6 2 3 11" xfId="16522"/>
    <cellStyle name="Normal 6 2 3 11 2" xfId="32650"/>
    <cellStyle name="Normal 6 2 3 12" xfId="16523"/>
    <cellStyle name="Normal 6 2 3 12 2" xfId="32651"/>
    <cellStyle name="Normal 6 2 3 13" xfId="5354"/>
    <cellStyle name="Normal 6 2 3 13 2" xfId="21516"/>
    <cellStyle name="Normal 6 2 3 14" xfId="19481"/>
    <cellStyle name="Normal 6 2 3 2" xfId="733"/>
    <cellStyle name="Normal 6 2 3 2 10" xfId="16524"/>
    <cellStyle name="Normal 6 2 3 2 10 2" xfId="32652"/>
    <cellStyle name="Normal 6 2 3 2 11" xfId="4662"/>
    <cellStyle name="Normal 6 2 3 2 11 2" xfId="20824"/>
    <cellStyle name="Normal 6 2 3 2 12" xfId="19170"/>
    <cellStyle name="Normal 6 2 3 2 2" xfId="16525"/>
    <cellStyle name="Normal 6 2 3 2 2 2" xfId="32653"/>
    <cellStyle name="Normal 6 2 3 2 3" xfId="16526"/>
    <cellStyle name="Normal 6 2 3 2 3 2" xfId="32654"/>
    <cellStyle name="Normal 6 2 3 2 4" xfId="16527"/>
    <cellStyle name="Normal 6 2 3 2 4 2" xfId="32655"/>
    <cellStyle name="Normal 6 2 3 2 5" xfId="16528"/>
    <cellStyle name="Normal 6 2 3 2 5 2" xfId="32656"/>
    <cellStyle name="Normal 6 2 3 2 6" xfId="16529"/>
    <cellStyle name="Normal 6 2 3 2 6 2" xfId="32657"/>
    <cellStyle name="Normal 6 2 3 2 7" xfId="16530"/>
    <cellStyle name="Normal 6 2 3 2 7 2" xfId="32658"/>
    <cellStyle name="Normal 6 2 3 2 8" xfId="16531"/>
    <cellStyle name="Normal 6 2 3 2 8 2" xfId="32659"/>
    <cellStyle name="Normal 6 2 3 2 9" xfId="16532"/>
    <cellStyle name="Normal 6 2 3 2 9 2" xfId="32660"/>
    <cellStyle name="Normal 6 2 3 3" xfId="742"/>
    <cellStyle name="Normal 6 2 3 3 10" xfId="16533"/>
    <cellStyle name="Normal 6 2 3 3 10 2" xfId="32661"/>
    <cellStyle name="Normal 6 2 3 3 11" xfId="4672"/>
    <cellStyle name="Normal 6 2 3 3 11 2" xfId="20834"/>
    <cellStyle name="Normal 6 2 3 3 12" xfId="19174"/>
    <cellStyle name="Normal 6 2 3 3 2" xfId="16534"/>
    <cellStyle name="Normal 6 2 3 3 2 2" xfId="32662"/>
    <cellStyle name="Normal 6 2 3 3 3" xfId="16535"/>
    <cellStyle name="Normal 6 2 3 3 3 2" xfId="32663"/>
    <cellStyle name="Normal 6 2 3 3 4" xfId="16536"/>
    <cellStyle name="Normal 6 2 3 3 4 2" xfId="32664"/>
    <cellStyle name="Normal 6 2 3 3 5" xfId="16537"/>
    <cellStyle name="Normal 6 2 3 3 5 2" xfId="32665"/>
    <cellStyle name="Normal 6 2 3 3 6" xfId="16538"/>
    <cellStyle name="Normal 6 2 3 3 6 2" xfId="32666"/>
    <cellStyle name="Normal 6 2 3 3 7" xfId="16539"/>
    <cellStyle name="Normal 6 2 3 3 7 2" xfId="32667"/>
    <cellStyle name="Normal 6 2 3 3 8" xfId="16540"/>
    <cellStyle name="Normal 6 2 3 3 8 2" xfId="32668"/>
    <cellStyle name="Normal 6 2 3 3 9" xfId="16541"/>
    <cellStyle name="Normal 6 2 3 3 9 2" xfId="32669"/>
    <cellStyle name="Normal 6 2 3 4" xfId="16542"/>
    <cellStyle name="Normal 6 2 3 4 2" xfId="32670"/>
    <cellStyle name="Normal 6 2 3 5" xfId="16543"/>
    <cellStyle name="Normal 6 2 3 5 2" xfId="32671"/>
    <cellStyle name="Normal 6 2 3 6" xfId="16544"/>
    <cellStyle name="Normal 6 2 3 6 2" xfId="32672"/>
    <cellStyle name="Normal 6 2 3 7" xfId="16545"/>
    <cellStyle name="Normal 6 2 3 7 2" xfId="32673"/>
    <cellStyle name="Normal 6 2 3 8" xfId="16546"/>
    <cellStyle name="Normal 6 2 3 8 2" xfId="32674"/>
    <cellStyle name="Normal 6 2 3 9" xfId="16547"/>
    <cellStyle name="Normal 6 2 3 9 2" xfId="32675"/>
    <cellStyle name="Normal 6 2 4" xfId="4687"/>
    <cellStyle name="Normal 6 2 4 2" xfId="20849"/>
    <cellStyle name="Normal 6 3" xfId="1557"/>
    <cellStyle name="Normal 6 3 2" xfId="5475"/>
    <cellStyle name="Normal 6 3 2 2" xfId="21637"/>
    <cellStyle name="Normal 6 4" xfId="1560"/>
    <cellStyle name="Normal 6 4 2" xfId="5478"/>
    <cellStyle name="Normal 6 4 2 2" xfId="21640"/>
    <cellStyle name="Normal 6 5" xfId="16548"/>
    <cellStyle name="Normal 6 5 2" xfId="32676"/>
    <cellStyle name="Normal 6 6" xfId="16549"/>
    <cellStyle name="Normal 6 6 2" xfId="16550"/>
    <cellStyle name="Normal 6 6 2 2" xfId="16551"/>
    <cellStyle name="Normal 6 6 2 2 2" xfId="16552"/>
    <cellStyle name="Normal 6 6 2 2 2 2" xfId="16553"/>
    <cellStyle name="Normal 6 6 2 2 2 2 2" xfId="32681"/>
    <cellStyle name="Normal 6 6 2 2 2 3" xfId="32680"/>
    <cellStyle name="Normal 6 6 2 2 3" xfId="16554"/>
    <cellStyle name="Normal 6 6 2 2 3 2" xfId="32682"/>
    <cellStyle name="Normal 6 6 2 2 4" xfId="32679"/>
    <cellStyle name="Normal 6 6 2 3" xfId="16555"/>
    <cellStyle name="Normal 6 6 2 3 2" xfId="16556"/>
    <cellStyle name="Normal 6 6 2 3 2 2" xfId="32684"/>
    <cellStyle name="Normal 6 6 2 3 3" xfId="32683"/>
    <cellStyle name="Normal 6 6 2 4" xfId="16557"/>
    <cellStyle name="Normal 6 6 2 4 2" xfId="16558"/>
    <cellStyle name="Normal 6 6 2 4 2 2" xfId="32686"/>
    <cellStyle name="Normal 6 6 2 4 3" xfId="32685"/>
    <cellStyle name="Normal 6 6 2 5" xfId="16559"/>
    <cellStyle name="Normal 6 6 2 5 2" xfId="32687"/>
    <cellStyle name="Normal 6 6 2 6" xfId="32678"/>
    <cellStyle name="Normal 6 6 3" xfId="16560"/>
    <cellStyle name="Normal 6 6 3 2" xfId="16561"/>
    <cellStyle name="Normal 6 6 3 2 2" xfId="16562"/>
    <cellStyle name="Normal 6 6 3 2 2 2" xfId="16563"/>
    <cellStyle name="Normal 6 6 3 2 2 2 2" xfId="32691"/>
    <cellStyle name="Normal 6 6 3 2 2 3" xfId="32690"/>
    <cellStyle name="Normal 6 6 3 2 3" xfId="16564"/>
    <cellStyle name="Normal 6 6 3 2 3 2" xfId="32692"/>
    <cellStyle name="Normal 6 6 3 2 4" xfId="32689"/>
    <cellStyle name="Normal 6 6 3 3" xfId="16565"/>
    <cellStyle name="Normal 6 6 3 3 2" xfId="16566"/>
    <cellStyle name="Normal 6 6 3 3 2 2" xfId="32694"/>
    <cellStyle name="Normal 6 6 3 3 3" xfId="32693"/>
    <cellStyle name="Normal 6 6 3 4" xfId="16567"/>
    <cellStyle name="Normal 6 6 3 4 2" xfId="16568"/>
    <cellStyle name="Normal 6 6 3 4 2 2" xfId="32696"/>
    <cellStyle name="Normal 6 6 3 4 3" xfId="32695"/>
    <cellStyle name="Normal 6 6 3 5" xfId="16569"/>
    <cellStyle name="Normal 6 6 3 5 2" xfId="32697"/>
    <cellStyle name="Normal 6 6 3 6" xfId="32688"/>
    <cellStyle name="Normal 6 6 4" xfId="16570"/>
    <cellStyle name="Normal 6 6 4 2" xfId="16571"/>
    <cellStyle name="Normal 6 6 4 2 2" xfId="16572"/>
    <cellStyle name="Normal 6 6 4 2 2 2" xfId="32700"/>
    <cellStyle name="Normal 6 6 4 2 3" xfId="32699"/>
    <cellStyle name="Normal 6 6 4 3" xfId="16573"/>
    <cellStyle name="Normal 6 6 4 3 2" xfId="32701"/>
    <cellStyle name="Normal 6 6 4 4" xfId="32698"/>
    <cellStyle name="Normal 6 6 5" xfId="16574"/>
    <cellStyle name="Normal 6 6 5 2" xfId="16575"/>
    <cellStyle name="Normal 6 6 5 2 2" xfId="32703"/>
    <cellStyle name="Normal 6 6 5 3" xfId="32702"/>
    <cellStyle name="Normal 6 6 6" xfId="16576"/>
    <cellStyle name="Normal 6 6 6 2" xfId="16577"/>
    <cellStyle name="Normal 6 6 6 2 2" xfId="32705"/>
    <cellStyle name="Normal 6 6 6 3" xfId="32704"/>
    <cellStyle name="Normal 6 6 7" xfId="16578"/>
    <cellStyle name="Normal 6 6 7 2" xfId="32706"/>
    <cellStyle name="Normal 6 6 8" xfId="32677"/>
    <cellStyle name="Normal 6 7" xfId="16579"/>
    <cellStyle name="Normal 6 7 2" xfId="16580"/>
    <cellStyle name="Normal 6 7 2 2" xfId="16581"/>
    <cellStyle name="Normal 6 7 2 2 2" xfId="16582"/>
    <cellStyle name="Normal 6 7 2 2 2 2" xfId="32710"/>
    <cellStyle name="Normal 6 7 2 2 3" xfId="32709"/>
    <cellStyle name="Normal 6 7 2 3" xfId="16583"/>
    <cellStyle name="Normal 6 7 2 3 2" xfId="32711"/>
    <cellStyle name="Normal 6 7 2 4" xfId="32708"/>
    <cellStyle name="Normal 6 7 3" xfId="16584"/>
    <cellStyle name="Normal 6 7 3 2" xfId="16585"/>
    <cellStyle name="Normal 6 7 3 2 2" xfId="32713"/>
    <cellStyle name="Normal 6 7 3 3" xfId="32712"/>
    <cellStyle name="Normal 6 7 4" xfId="16586"/>
    <cellStyle name="Normal 6 7 4 2" xfId="16587"/>
    <cellStyle name="Normal 6 7 4 2 2" xfId="32715"/>
    <cellStyle name="Normal 6 7 4 3" xfId="32714"/>
    <cellStyle name="Normal 6 7 5" xfId="16588"/>
    <cellStyle name="Normal 6 7 5 2" xfId="32716"/>
    <cellStyle name="Normal 6 7 6" xfId="32707"/>
    <cellStyle name="Normal 6 8" xfId="16589"/>
    <cellStyle name="Normal 6 8 2" xfId="16590"/>
    <cellStyle name="Normal 6 8 2 2" xfId="16591"/>
    <cellStyle name="Normal 6 8 2 2 2" xfId="16592"/>
    <cellStyle name="Normal 6 8 2 2 2 2" xfId="32720"/>
    <cellStyle name="Normal 6 8 2 2 3" xfId="32719"/>
    <cellStyle name="Normal 6 8 2 3" xfId="16593"/>
    <cellStyle name="Normal 6 8 2 3 2" xfId="32721"/>
    <cellStyle name="Normal 6 8 2 4" xfId="32718"/>
    <cellStyle name="Normal 6 8 3" xfId="16594"/>
    <cellStyle name="Normal 6 8 3 2" xfId="16595"/>
    <cellStyle name="Normal 6 8 3 2 2" xfId="32723"/>
    <cellStyle name="Normal 6 8 3 3" xfId="32722"/>
    <cellStyle name="Normal 6 8 4" xfId="16596"/>
    <cellStyle name="Normal 6 8 4 2" xfId="16597"/>
    <cellStyle name="Normal 6 8 4 2 2" xfId="32725"/>
    <cellStyle name="Normal 6 8 4 3" xfId="32724"/>
    <cellStyle name="Normal 6 8 5" xfId="16598"/>
    <cellStyle name="Normal 6 8 5 2" xfId="32726"/>
    <cellStyle name="Normal 6 8 6" xfId="32717"/>
    <cellStyle name="Normal 6 9" xfId="16599"/>
    <cellStyle name="Normal 6 9 2" xfId="16600"/>
    <cellStyle name="Normal 6 9 2 2" xfId="16601"/>
    <cellStyle name="Normal 6 9 2 2 2" xfId="16602"/>
    <cellStyle name="Normal 6 9 2 2 2 2" xfId="32730"/>
    <cellStyle name="Normal 6 9 2 2 3" xfId="32729"/>
    <cellStyle name="Normal 6 9 2 3" xfId="16603"/>
    <cellStyle name="Normal 6 9 2 3 2" xfId="32731"/>
    <cellStyle name="Normal 6 9 2 4" xfId="32728"/>
    <cellStyle name="Normal 6 9 3" xfId="16604"/>
    <cellStyle name="Normal 6 9 3 2" xfId="16605"/>
    <cellStyle name="Normal 6 9 3 2 2" xfId="32733"/>
    <cellStyle name="Normal 6 9 3 3" xfId="32732"/>
    <cellStyle name="Normal 6 9 4" xfId="16606"/>
    <cellStyle name="Normal 6 9 4 2" xfId="16607"/>
    <cellStyle name="Normal 6 9 4 2 2" xfId="32735"/>
    <cellStyle name="Normal 6 9 4 3" xfId="32734"/>
    <cellStyle name="Normal 6 9 5" xfId="16608"/>
    <cellStyle name="Normal 6 9 5 2" xfId="32736"/>
    <cellStyle name="Normal 6 9 6" xfId="32727"/>
    <cellStyle name="Normal 6_2bhk_19122016" xfId="16609"/>
    <cellStyle name="Normal 60" xfId="16610"/>
    <cellStyle name="Normal 60 2" xfId="32737"/>
    <cellStyle name="Normal 61" xfId="16611"/>
    <cellStyle name="Normal 61 2" xfId="32738"/>
    <cellStyle name="Normal 62" xfId="16612"/>
    <cellStyle name="Normal 62 2" xfId="32739"/>
    <cellStyle name="Normal 63" xfId="16613"/>
    <cellStyle name="Normal 63 2" xfId="32740"/>
    <cellStyle name="Normal 64" xfId="16614"/>
    <cellStyle name="Normal 64 2" xfId="32741"/>
    <cellStyle name="Normal 65" xfId="16615"/>
    <cellStyle name="Normal 65 2" xfId="32742"/>
    <cellStyle name="Normal 66" xfId="16616"/>
    <cellStyle name="Normal 66 2" xfId="32743"/>
    <cellStyle name="Normal 67" xfId="16617"/>
    <cellStyle name="Normal 68" xfId="16618"/>
    <cellStyle name="Normal 68 2" xfId="16619"/>
    <cellStyle name="Normal 68 2 2" xfId="32745"/>
    <cellStyle name="Normal 68 3" xfId="16620"/>
    <cellStyle name="Normal 68 3 2" xfId="16621"/>
    <cellStyle name="Normal 68 3 2 2" xfId="32747"/>
    <cellStyle name="Normal 68 3 3" xfId="32746"/>
    <cellStyle name="Normal 68 4" xfId="16622"/>
    <cellStyle name="Normal 68 4 2" xfId="32748"/>
    <cellStyle name="Normal 68 5" xfId="16623"/>
    <cellStyle name="Normal 68 5 2" xfId="16624"/>
    <cellStyle name="Normal 68 5 2 2" xfId="32750"/>
    <cellStyle name="Normal 68 5 3" xfId="32749"/>
    <cellStyle name="Normal 68 6" xfId="16625"/>
    <cellStyle name="Normal 68 6 2" xfId="16626"/>
    <cellStyle name="Normal 68 6 2 2" xfId="32752"/>
    <cellStyle name="Normal 68 6 3" xfId="32751"/>
    <cellStyle name="Normal 68 7" xfId="32744"/>
    <cellStyle name="Normal 69" xfId="16627"/>
    <cellStyle name="Normal 69 2" xfId="16628"/>
    <cellStyle name="Normal 69 2 2" xfId="32754"/>
    <cellStyle name="Normal 69 3" xfId="32753"/>
    <cellStyle name="Normal 7" xfId="2416"/>
    <cellStyle name="Normal 7 10" xfId="3591"/>
    <cellStyle name="Normal 7 10 10" xfId="16629"/>
    <cellStyle name="Normal 7 10 10 2" xfId="32755"/>
    <cellStyle name="Normal 7 10 11" xfId="16630"/>
    <cellStyle name="Normal 7 10 11 2" xfId="32756"/>
    <cellStyle name="Normal 7 10 12" xfId="16631"/>
    <cellStyle name="Normal 7 10 12 2" xfId="32757"/>
    <cellStyle name="Normal 7 10 13" xfId="16632"/>
    <cellStyle name="Normal 7 10 13 2" xfId="32758"/>
    <cellStyle name="Normal 7 10 14" xfId="16633"/>
    <cellStyle name="Normal 7 10 14 2" xfId="32759"/>
    <cellStyle name="Normal 7 10 15" xfId="16634"/>
    <cellStyle name="Normal 7 10 15 2" xfId="32760"/>
    <cellStyle name="Normal 7 10 16" xfId="16635"/>
    <cellStyle name="Normal 7 10 16 2" xfId="32761"/>
    <cellStyle name="Normal 7 10 17" xfId="16636"/>
    <cellStyle name="Normal 7 10 17 2" xfId="32762"/>
    <cellStyle name="Normal 7 10 18" xfId="7470"/>
    <cellStyle name="Normal 7 10 18 2" xfId="23632"/>
    <cellStyle name="Normal 7 10 2" xfId="3593"/>
    <cellStyle name="Normal 7 10 2 2" xfId="7471"/>
    <cellStyle name="Normal 7 10 2 2 2" xfId="23633"/>
    <cellStyle name="Normal 7 10 3" xfId="3594"/>
    <cellStyle name="Normal 7 10 3 2" xfId="7473"/>
    <cellStyle name="Normal 7 10 3 2 2" xfId="23635"/>
    <cellStyle name="Normal 7 10 4" xfId="3595"/>
    <cellStyle name="Normal 7 10 4 2" xfId="7474"/>
    <cellStyle name="Normal 7 10 4 2 2" xfId="23636"/>
    <cellStyle name="Normal 7 10 5" xfId="3596"/>
    <cellStyle name="Normal 7 10 5 2" xfId="7475"/>
    <cellStyle name="Normal 7 10 5 2 2" xfId="23637"/>
    <cellStyle name="Normal 7 10 6" xfId="3597"/>
    <cellStyle name="Normal 7 10 6 2" xfId="7476"/>
    <cellStyle name="Normal 7 10 6 2 2" xfId="23638"/>
    <cellStyle name="Normal 7 10 7" xfId="3598"/>
    <cellStyle name="Normal 7 10 7 2" xfId="7477"/>
    <cellStyle name="Normal 7 10 7 2 2" xfId="23639"/>
    <cellStyle name="Normal 7 10 8" xfId="3599"/>
    <cellStyle name="Normal 7 10 8 2" xfId="7478"/>
    <cellStyle name="Normal 7 10 8 2 2" xfId="23640"/>
    <cellStyle name="Normal 7 10 9" xfId="16637"/>
    <cellStyle name="Normal 7 10 9 2" xfId="32763"/>
    <cellStyle name="Normal 7 11" xfId="3600"/>
    <cellStyle name="Normal 7 11 10" xfId="16638"/>
    <cellStyle name="Normal 7 11 10 2" xfId="32764"/>
    <cellStyle name="Normal 7 11 11" xfId="16639"/>
    <cellStyle name="Normal 7 11 11 2" xfId="32765"/>
    <cellStyle name="Normal 7 11 12" xfId="16640"/>
    <cellStyle name="Normal 7 11 12 2" xfId="32766"/>
    <cellStyle name="Normal 7 11 13" xfId="16641"/>
    <cellStyle name="Normal 7 11 13 2" xfId="32767"/>
    <cellStyle name="Normal 7 11 14" xfId="16642"/>
    <cellStyle name="Normal 7 11 14 2" xfId="32768"/>
    <cellStyle name="Normal 7 11 15" xfId="16643"/>
    <cellStyle name="Normal 7 11 15 2" xfId="32769"/>
    <cellStyle name="Normal 7 11 16" xfId="16644"/>
    <cellStyle name="Normal 7 11 16 2" xfId="32770"/>
    <cellStyle name="Normal 7 11 17" xfId="16645"/>
    <cellStyle name="Normal 7 11 17 2" xfId="32771"/>
    <cellStyle name="Normal 7 11 18" xfId="7479"/>
    <cellStyle name="Normal 7 11 18 2" xfId="23641"/>
    <cellStyle name="Normal 7 11 2" xfId="3601"/>
    <cellStyle name="Normal 7 11 2 2" xfId="7480"/>
    <cellStyle name="Normal 7 11 2 2 2" xfId="23642"/>
    <cellStyle name="Normal 7 11 3" xfId="3602"/>
    <cellStyle name="Normal 7 11 3 2" xfId="7481"/>
    <cellStyle name="Normal 7 11 3 2 2" xfId="23643"/>
    <cellStyle name="Normal 7 11 4" xfId="3603"/>
    <cellStyle name="Normal 7 11 4 2" xfId="7482"/>
    <cellStyle name="Normal 7 11 4 2 2" xfId="23644"/>
    <cellStyle name="Normal 7 11 5" xfId="3604"/>
    <cellStyle name="Normal 7 11 5 2" xfId="7483"/>
    <cellStyle name="Normal 7 11 5 2 2" xfId="23645"/>
    <cellStyle name="Normal 7 11 6" xfId="3605"/>
    <cellStyle name="Normal 7 11 6 2" xfId="7484"/>
    <cellStyle name="Normal 7 11 6 2 2" xfId="23646"/>
    <cellStyle name="Normal 7 11 7" xfId="3606"/>
    <cellStyle name="Normal 7 11 7 2" xfId="7485"/>
    <cellStyle name="Normal 7 11 7 2 2" xfId="23647"/>
    <cellStyle name="Normal 7 11 8" xfId="3607"/>
    <cellStyle name="Normal 7 11 8 2" xfId="7486"/>
    <cellStyle name="Normal 7 11 8 2 2" xfId="23648"/>
    <cellStyle name="Normal 7 11 9" xfId="16646"/>
    <cellStyle name="Normal 7 11 9 2" xfId="32772"/>
    <cellStyle name="Normal 7 12" xfId="3608"/>
    <cellStyle name="Normal 7 12 10" xfId="16647"/>
    <cellStyle name="Normal 7 12 10 2" xfId="32773"/>
    <cellStyle name="Normal 7 12 11" xfId="16648"/>
    <cellStyle name="Normal 7 12 11 2" xfId="32774"/>
    <cellStyle name="Normal 7 12 12" xfId="16649"/>
    <cellStyle name="Normal 7 12 12 2" xfId="32775"/>
    <cellStyle name="Normal 7 12 13" xfId="16650"/>
    <cellStyle name="Normal 7 12 13 2" xfId="32776"/>
    <cellStyle name="Normal 7 12 14" xfId="16651"/>
    <cellStyle name="Normal 7 12 14 2" xfId="32777"/>
    <cellStyle name="Normal 7 12 15" xfId="16652"/>
    <cellStyle name="Normal 7 12 15 2" xfId="32778"/>
    <cellStyle name="Normal 7 12 16" xfId="16653"/>
    <cellStyle name="Normal 7 12 16 2" xfId="32779"/>
    <cellStyle name="Normal 7 12 17" xfId="16654"/>
    <cellStyle name="Normal 7 12 17 2" xfId="32780"/>
    <cellStyle name="Normal 7 12 18" xfId="7487"/>
    <cellStyle name="Normal 7 12 18 2" xfId="23649"/>
    <cellStyle name="Normal 7 12 2" xfId="3609"/>
    <cellStyle name="Normal 7 12 2 2" xfId="7488"/>
    <cellStyle name="Normal 7 12 2 2 2" xfId="23650"/>
    <cellStyle name="Normal 7 12 3" xfId="3610"/>
    <cellStyle name="Normal 7 12 3 2" xfId="7489"/>
    <cellStyle name="Normal 7 12 3 2 2" xfId="23651"/>
    <cellStyle name="Normal 7 12 4" xfId="3611"/>
    <cellStyle name="Normal 7 12 4 2" xfId="7490"/>
    <cellStyle name="Normal 7 12 4 2 2" xfId="23652"/>
    <cellStyle name="Normal 7 12 5" xfId="3612"/>
    <cellStyle name="Normal 7 12 5 2" xfId="7491"/>
    <cellStyle name="Normal 7 12 5 2 2" xfId="23653"/>
    <cellStyle name="Normal 7 12 6" xfId="3614"/>
    <cellStyle name="Normal 7 12 6 2" xfId="7492"/>
    <cellStyle name="Normal 7 12 6 2 2" xfId="23654"/>
    <cellStyle name="Normal 7 12 7" xfId="3616"/>
    <cellStyle name="Normal 7 12 7 2" xfId="7494"/>
    <cellStyle name="Normal 7 12 7 2 2" xfId="23656"/>
    <cellStyle name="Normal 7 12 8" xfId="3617"/>
    <cellStyle name="Normal 7 12 8 2" xfId="7496"/>
    <cellStyle name="Normal 7 12 8 2 2" xfId="23658"/>
    <cellStyle name="Normal 7 12 9" xfId="16655"/>
    <cellStyle name="Normal 7 12 9 2" xfId="32781"/>
    <cellStyle name="Normal 7 13" xfId="3618"/>
    <cellStyle name="Normal 7 13 2" xfId="7497"/>
    <cellStyle name="Normal 7 13 2 2" xfId="23659"/>
    <cellStyle name="Normal 7 14" xfId="3305"/>
    <cellStyle name="Normal 7 14 2" xfId="7188"/>
    <cellStyle name="Normal 7 14 2 2" xfId="23350"/>
    <cellStyle name="Normal 7 15" xfId="3308"/>
    <cellStyle name="Normal 7 15 2" xfId="7190"/>
    <cellStyle name="Normal 7 15 2 2" xfId="23352"/>
    <cellStyle name="Normal 7 16" xfId="3311"/>
    <cellStyle name="Normal 7 16 2" xfId="7193"/>
    <cellStyle name="Normal 7 16 2 2" xfId="23355"/>
    <cellStyle name="Normal 7 17" xfId="3314"/>
    <cellStyle name="Normal 7 17 2" xfId="7196"/>
    <cellStyle name="Normal 7 17 2 2" xfId="23358"/>
    <cellStyle name="Normal 7 18" xfId="3317"/>
    <cellStyle name="Normal 7 18 2" xfId="7199"/>
    <cellStyle name="Normal 7 18 2 2" xfId="23361"/>
    <cellStyle name="Normal 7 19" xfId="3320"/>
    <cellStyle name="Normal 7 19 2" xfId="7202"/>
    <cellStyle name="Normal 7 19 2 2" xfId="23364"/>
    <cellStyle name="Normal 7 2" xfId="24"/>
    <cellStyle name="Normal 7 2 2" xfId="3984"/>
    <cellStyle name="Normal 7 2 2 2" xfId="20147"/>
    <cellStyle name="Normal 7 20" xfId="16656"/>
    <cellStyle name="Normal 7 20 2" xfId="32782"/>
    <cellStyle name="Normal 7 21" xfId="16657"/>
    <cellStyle name="Normal 7 21 2" xfId="32783"/>
    <cellStyle name="Normal 7 22" xfId="16658"/>
    <cellStyle name="Normal 7 22 2" xfId="32784"/>
    <cellStyle name="Normal 7 23" xfId="16659"/>
    <cellStyle name="Normal 7 23 2" xfId="32785"/>
    <cellStyle name="Normal 7 24" xfId="16660"/>
    <cellStyle name="Normal 7 24 2" xfId="32786"/>
    <cellStyle name="Normal 7 25" xfId="16661"/>
    <cellStyle name="Normal 7 25 2" xfId="32787"/>
    <cellStyle name="Normal 7 26" xfId="16662"/>
    <cellStyle name="Normal 7 26 2" xfId="32788"/>
    <cellStyle name="Normal 7 27" xfId="16663"/>
    <cellStyle name="Normal 7 27 2" xfId="32789"/>
    <cellStyle name="Normal 7 28" xfId="16664"/>
    <cellStyle name="Normal 7 28 2" xfId="32790"/>
    <cellStyle name="Normal 7 29" xfId="6311"/>
    <cellStyle name="Normal 7 29 2" xfId="22473"/>
    <cellStyle name="Normal 7 3" xfId="3619"/>
    <cellStyle name="Normal 7 3 2" xfId="16665"/>
    <cellStyle name="Normal 7 3 2 2" xfId="32791"/>
    <cellStyle name="Normal 7 3 3" xfId="7498"/>
    <cellStyle name="Normal 7 3 3 2" xfId="23660"/>
    <cellStyle name="Normal 7 4" xfId="3620"/>
    <cellStyle name="Normal 7 4 10" xfId="16666"/>
    <cellStyle name="Normal 7 4 10 2" xfId="32792"/>
    <cellStyle name="Normal 7 4 11" xfId="16667"/>
    <cellStyle name="Normal 7 4 11 2" xfId="32793"/>
    <cellStyle name="Normal 7 4 12" xfId="16668"/>
    <cellStyle name="Normal 7 4 12 2" xfId="32794"/>
    <cellStyle name="Normal 7 4 13" xfId="16669"/>
    <cellStyle name="Normal 7 4 13 2" xfId="32795"/>
    <cellStyle name="Normal 7 4 14" xfId="16670"/>
    <cellStyle name="Normal 7 4 14 2" xfId="32796"/>
    <cellStyle name="Normal 7 4 15" xfId="16671"/>
    <cellStyle name="Normal 7 4 15 2" xfId="32797"/>
    <cellStyle name="Normal 7 4 16" xfId="16672"/>
    <cellStyle name="Normal 7 4 16 2" xfId="32798"/>
    <cellStyle name="Normal 7 4 17" xfId="16673"/>
    <cellStyle name="Normal 7 4 17 2" xfId="32799"/>
    <cellStyle name="Normal 7 4 18" xfId="7499"/>
    <cellStyle name="Normal 7 4 18 2" xfId="23661"/>
    <cellStyle name="Normal 7 4 2" xfId="3621"/>
    <cellStyle name="Normal 7 4 2 2" xfId="7500"/>
    <cellStyle name="Normal 7 4 2 2 2" xfId="23662"/>
    <cellStyle name="Normal 7 4 3" xfId="1109"/>
    <cellStyle name="Normal 7 4 3 2" xfId="5029"/>
    <cellStyle name="Normal 7 4 3 2 2" xfId="21191"/>
    <cellStyle name="Normal 7 4 4" xfId="1115"/>
    <cellStyle name="Normal 7 4 4 2" xfId="5035"/>
    <cellStyle name="Normal 7 4 4 2 2" xfId="21197"/>
    <cellStyle name="Normal 7 4 5" xfId="3622"/>
    <cellStyle name="Normal 7 4 5 2" xfId="7501"/>
    <cellStyle name="Normal 7 4 5 2 2" xfId="23663"/>
    <cellStyle name="Normal 7 4 6" xfId="3624"/>
    <cellStyle name="Normal 7 4 6 2" xfId="7502"/>
    <cellStyle name="Normal 7 4 6 2 2" xfId="23664"/>
    <cellStyle name="Normal 7 4 7" xfId="3626"/>
    <cellStyle name="Normal 7 4 7 2" xfId="7504"/>
    <cellStyle name="Normal 7 4 7 2 2" xfId="23666"/>
    <cellStyle name="Normal 7 4 8" xfId="3627"/>
    <cellStyle name="Normal 7 4 8 2" xfId="7506"/>
    <cellStyle name="Normal 7 4 8 2 2" xfId="23668"/>
    <cellStyle name="Normal 7 4 9" xfId="16674"/>
    <cellStyle name="Normal 7 4 9 2" xfId="32800"/>
    <cellStyle name="Normal 7 5" xfId="3628"/>
    <cellStyle name="Normal 7 5 10" xfId="16675"/>
    <cellStyle name="Normal 7 5 10 2" xfId="32801"/>
    <cellStyle name="Normal 7 5 11" xfId="16676"/>
    <cellStyle name="Normal 7 5 11 2" xfId="32802"/>
    <cellStyle name="Normal 7 5 12" xfId="16677"/>
    <cellStyle name="Normal 7 5 12 2" xfId="32803"/>
    <cellStyle name="Normal 7 5 13" xfId="16678"/>
    <cellStyle name="Normal 7 5 13 2" xfId="32804"/>
    <cellStyle name="Normal 7 5 14" xfId="16679"/>
    <cellStyle name="Normal 7 5 14 2" xfId="32805"/>
    <cellStyle name="Normal 7 5 15" xfId="16680"/>
    <cellStyle name="Normal 7 5 15 2" xfId="32806"/>
    <cellStyle name="Normal 7 5 16" xfId="16681"/>
    <cellStyle name="Normal 7 5 16 2" xfId="32807"/>
    <cellStyle name="Normal 7 5 17" xfId="16682"/>
    <cellStyle name="Normal 7 5 17 2" xfId="32808"/>
    <cellStyle name="Normal 7 5 18" xfId="7507"/>
    <cellStyle name="Normal 7 5 18 2" xfId="23669"/>
    <cellStyle name="Normal 7 5 2" xfId="3629"/>
    <cellStyle name="Normal 7 5 2 2" xfId="7508"/>
    <cellStyle name="Normal 7 5 2 2 2" xfId="23670"/>
    <cellStyle name="Normal 7 5 3" xfId="274"/>
    <cellStyle name="Normal 7 5 3 2" xfId="4225"/>
    <cellStyle name="Normal 7 5 3 2 2" xfId="20388"/>
    <cellStyle name="Normal 7 5 4" xfId="1136"/>
    <cellStyle name="Normal 7 5 4 2" xfId="5057"/>
    <cellStyle name="Normal 7 5 4 2 2" xfId="21219"/>
    <cellStyle name="Normal 7 5 5" xfId="2852"/>
    <cellStyle name="Normal 7 5 5 2" xfId="6743"/>
    <cellStyle name="Normal 7 5 5 2 2" xfId="22905"/>
    <cellStyle name="Normal 7 5 6" xfId="3630"/>
    <cellStyle name="Normal 7 5 6 2" xfId="7509"/>
    <cellStyle name="Normal 7 5 6 2 2" xfId="23671"/>
    <cellStyle name="Normal 7 5 7" xfId="3631"/>
    <cellStyle name="Normal 7 5 7 2" xfId="7510"/>
    <cellStyle name="Normal 7 5 7 2 2" xfId="23672"/>
    <cellStyle name="Normal 7 5 8" xfId="3632"/>
    <cellStyle name="Normal 7 5 8 2" xfId="7511"/>
    <cellStyle name="Normal 7 5 8 2 2" xfId="23673"/>
    <cellStyle name="Normal 7 5 9" xfId="16683"/>
    <cellStyle name="Normal 7 5 9 2" xfId="32809"/>
    <cellStyle name="Normal 7 6" xfId="3633"/>
    <cellStyle name="Normal 7 6 10" xfId="16684"/>
    <cellStyle name="Normal 7 6 10 2" xfId="32810"/>
    <cellStyle name="Normal 7 6 11" xfId="16685"/>
    <cellStyle name="Normal 7 6 11 2" xfId="32811"/>
    <cellStyle name="Normal 7 6 12" xfId="16686"/>
    <cellStyle name="Normal 7 6 12 2" xfId="32812"/>
    <cellStyle name="Normal 7 6 13" xfId="16687"/>
    <cellStyle name="Normal 7 6 13 2" xfId="32813"/>
    <cellStyle name="Normal 7 6 14" xfId="16688"/>
    <cellStyle name="Normal 7 6 14 2" xfId="32814"/>
    <cellStyle name="Normal 7 6 15" xfId="16689"/>
    <cellStyle name="Normal 7 6 15 2" xfId="32815"/>
    <cellStyle name="Normal 7 6 16" xfId="16690"/>
    <cellStyle name="Normal 7 6 16 2" xfId="32816"/>
    <cellStyle name="Normal 7 6 17" xfId="16691"/>
    <cellStyle name="Normal 7 6 17 2" xfId="32817"/>
    <cellStyle name="Normal 7 6 18" xfId="7512"/>
    <cellStyle name="Normal 7 6 18 2" xfId="23674"/>
    <cellStyle name="Normal 7 6 2" xfId="3634"/>
    <cellStyle name="Normal 7 6 2 2" xfId="7513"/>
    <cellStyle name="Normal 7 6 2 2 2" xfId="23675"/>
    <cellStyle name="Normal 7 6 3" xfId="3635"/>
    <cellStyle name="Normal 7 6 3 2" xfId="7514"/>
    <cellStyle name="Normal 7 6 3 2 2" xfId="23676"/>
    <cellStyle name="Normal 7 6 4" xfId="3636"/>
    <cellStyle name="Normal 7 6 4 2" xfId="7515"/>
    <cellStyle name="Normal 7 6 4 2 2" xfId="23677"/>
    <cellStyle name="Normal 7 6 5" xfId="3637"/>
    <cellStyle name="Normal 7 6 5 2" xfId="7516"/>
    <cellStyle name="Normal 7 6 5 2 2" xfId="23678"/>
    <cellStyle name="Normal 7 6 6" xfId="3638"/>
    <cellStyle name="Normal 7 6 6 2" xfId="7517"/>
    <cellStyle name="Normal 7 6 6 2 2" xfId="23679"/>
    <cellStyle name="Normal 7 6 7" xfId="3639"/>
    <cellStyle name="Normal 7 6 7 2" xfId="7518"/>
    <cellStyle name="Normal 7 6 7 2 2" xfId="23680"/>
    <cellStyle name="Normal 7 6 8" xfId="3640"/>
    <cellStyle name="Normal 7 6 8 2" xfId="7519"/>
    <cellStyle name="Normal 7 6 8 2 2" xfId="23681"/>
    <cellStyle name="Normal 7 6 9" xfId="16692"/>
    <cellStyle name="Normal 7 6 9 2" xfId="32818"/>
    <cellStyle name="Normal 7 7" xfId="3584"/>
    <cellStyle name="Normal 7 7 10" xfId="16693"/>
    <cellStyle name="Normal 7 7 10 2" xfId="32819"/>
    <cellStyle name="Normal 7 7 11" xfId="16694"/>
    <cellStyle name="Normal 7 7 11 2" xfId="32820"/>
    <cellStyle name="Normal 7 7 12" xfId="16695"/>
    <cellStyle name="Normal 7 7 12 2" xfId="32821"/>
    <cellStyle name="Normal 7 7 13" xfId="16696"/>
    <cellStyle name="Normal 7 7 13 2" xfId="32822"/>
    <cellStyle name="Normal 7 7 14" xfId="16697"/>
    <cellStyle name="Normal 7 7 14 2" xfId="32823"/>
    <cellStyle name="Normal 7 7 15" xfId="16698"/>
    <cellStyle name="Normal 7 7 15 2" xfId="32824"/>
    <cellStyle name="Normal 7 7 16" xfId="16699"/>
    <cellStyle name="Normal 7 7 16 2" xfId="32825"/>
    <cellStyle name="Normal 7 7 17" xfId="16700"/>
    <cellStyle name="Normal 7 7 17 2" xfId="32826"/>
    <cellStyle name="Normal 7 7 18" xfId="7463"/>
    <cellStyle name="Normal 7 7 18 2" xfId="23625"/>
    <cellStyle name="Normal 7 7 2" xfId="3641"/>
    <cellStyle name="Normal 7 7 2 2" xfId="7520"/>
    <cellStyle name="Normal 7 7 2 2 2" xfId="23682"/>
    <cellStyle name="Normal 7 7 3" xfId="3642"/>
    <cellStyle name="Normal 7 7 3 2" xfId="7521"/>
    <cellStyle name="Normal 7 7 3 2 2" xfId="23683"/>
    <cellStyle name="Normal 7 7 4" xfId="3643"/>
    <cellStyle name="Normal 7 7 4 2" xfId="7522"/>
    <cellStyle name="Normal 7 7 4 2 2" xfId="23684"/>
    <cellStyle name="Normal 7 7 5" xfId="3644"/>
    <cellStyle name="Normal 7 7 5 2" xfId="7523"/>
    <cellStyle name="Normal 7 7 5 2 2" xfId="23685"/>
    <cellStyle name="Normal 7 7 6" xfId="3645"/>
    <cellStyle name="Normal 7 7 6 2" xfId="7524"/>
    <cellStyle name="Normal 7 7 6 2 2" xfId="23686"/>
    <cellStyle name="Normal 7 7 7" xfId="3646"/>
    <cellStyle name="Normal 7 7 7 2" xfId="7525"/>
    <cellStyle name="Normal 7 7 7 2 2" xfId="23687"/>
    <cellStyle name="Normal 7 7 8" xfId="3647"/>
    <cellStyle name="Normal 7 7 8 2" xfId="7526"/>
    <cellStyle name="Normal 7 7 8 2 2" xfId="23688"/>
    <cellStyle name="Normal 7 7 9" xfId="16701"/>
    <cellStyle name="Normal 7 7 9 2" xfId="32827"/>
    <cellStyle name="Normal 7 8" xfId="3648"/>
    <cellStyle name="Normal 7 8 10" xfId="16702"/>
    <cellStyle name="Normal 7 8 10 2" xfId="32828"/>
    <cellStyle name="Normal 7 8 11" xfId="16703"/>
    <cellStyle name="Normal 7 8 11 2" xfId="32829"/>
    <cellStyle name="Normal 7 8 12" xfId="16704"/>
    <cellStyle name="Normal 7 8 12 2" xfId="32830"/>
    <cellStyle name="Normal 7 8 13" xfId="16705"/>
    <cellStyle name="Normal 7 8 13 2" xfId="32831"/>
    <cellStyle name="Normal 7 8 14" xfId="16706"/>
    <cellStyle name="Normal 7 8 14 2" xfId="32832"/>
    <cellStyle name="Normal 7 8 15" xfId="16707"/>
    <cellStyle name="Normal 7 8 15 2" xfId="32833"/>
    <cellStyle name="Normal 7 8 16" xfId="16708"/>
    <cellStyle name="Normal 7 8 16 2" xfId="32834"/>
    <cellStyle name="Normal 7 8 17" xfId="16709"/>
    <cellStyle name="Normal 7 8 17 2" xfId="32835"/>
    <cellStyle name="Normal 7 8 18" xfId="7527"/>
    <cellStyle name="Normal 7 8 18 2" xfId="23689"/>
    <cellStyle name="Normal 7 8 2" xfId="3649"/>
    <cellStyle name="Normal 7 8 2 2" xfId="7528"/>
    <cellStyle name="Normal 7 8 2 2 2" xfId="23690"/>
    <cellStyle name="Normal 7 8 3" xfId="3650"/>
    <cellStyle name="Normal 7 8 3 2" xfId="7529"/>
    <cellStyle name="Normal 7 8 3 2 2" xfId="23691"/>
    <cellStyle name="Normal 7 8 4" xfId="3651"/>
    <cellStyle name="Normal 7 8 4 2" xfId="7530"/>
    <cellStyle name="Normal 7 8 4 2 2" xfId="23692"/>
    <cellStyle name="Normal 7 8 5" xfId="3652"/>
    <cellStyle name="Normal 7 8 5 2" xfId="7531"/>
    <cellStyle name="Normal 7 8 5 2 2" xfId="23693"/>
    <cellStyle name="Normal 7 8 6" xfId="3653"/>
    <cellStyle name="Normal 7 8 6 2" xfId="7532"/>
    <cellStyle name="Normal 7 8 6 2 2" xfId="23694"/>
    <cellStyle name="Normal 7 8 7" xfId="3654"/>
    <cellStyle name="Normal 7 8 7 2" xfId="7533"/>
    <cellStyle name="Normal 7 8 7 2 2" xfId="23695"/>
    <cellStyle name="Normal 7 8 8" xfId="3655"/>
    <cellStyle name="Normal 7 8 8 2" xfId="7534"/>
    <cellStyle name="Normal 7 8 8 2 2" xfId="23696"/>
    <cellStyle name="Normal 7 8 9" xfId="16710"/>
    <cellStyle name="Normal 7 8 9 2" xfId="32836"/>
    <cellStyle name="Normal 7 9" xfId="3656"/>
    <cellStyle name="Normal 7 9 10" xfId="16711"/>
    <cellStyle name="Normal 7 9 10 2" xfId="32837"/>
    <cellStyle name="Normal 7 9 11" xfId="16712"/>
    <cellStyle name="Normal 7 9 11 2" xfId="32838"/>
    <cellStyle name="Normal 7 9 12" xfId="16713"/>
    <cellStyle name="Normal 7 9 12 2" xfId="32839"/>
    <cellStyle name="Normal 7 9 13" xfId="16714"/>
    <cellStyle name="Normal 7 9 13 2" xfId="32840"/>
    <cellStyle name="Normal 7 9 14" xfId="16715"/>
    <cellStyle name="Normal 7 9 14 2" xfId="32841"/>
    <cellStyle name="Normal 7 9 15" xfId="16716"/>
    <cellStyle name="Normal 7 9 15 2" xfId="32842"/>
    <cellStyle name="Normal 7 9 16" xfId="16717"/>
    <cellStyle name="Normal 7 9 16 2" xfId="32843"/>
    <cellStyle name="Normal 7 9 17" xfId="16718"/>
    <cellStyle name="Normal 7 9 17 2" xfId="32844"/>
    <cellStyle name="Normal 7 9 18" xfId="7535"/>
    <cellStyle name="Normal 7 9 18 2" xfId="23697"/>
    <cellStyle name="Normal 7 9 2" xfId="3658"/>
    <cellStyle name="Normal 7 9 2 2" xfId="7536"/>
    <cellStyle name="Normal 7 9 2 2 2" xfId="23698"/>
    <cellStyle name="Normal 7 9 3" xfId="3659"/>
    <cellStyle name="Normal 7 9 3 2" xfId="7537"/>
    <cellStyle name="Normal 7 9 3 2 2" xfId="23699"/>
    <cellStyle name="Normal 7 9 4" xfId="3660"/>
    <cellStyle name="Normal 7 9 4 2" xfId="7538"/>
    <cellStyle name="Normal 7 9 4 2 2" xfId="23700"/>
    <cellStyle name="Normal 7 9 5" xfId="3661"/>
    <cellStyle name="Normal 7 9 5 2" xfId="7539"/>
    <cellStyle name="Normal 7 9 5 2 2" xfId="23701"/>
    <cellStyle name="Normal 7 9 6" xfId="3662"/>
    <cellStyle name="Normal 7 9 6 2" xfId="7540"/>
    <cellStyle name="Normal 7 9 6 2 2" xfId="23702"/>
    <cellStyle name="Normal 7 9 7" xfId="2778"/>
    <cellStyle name="Normal 7 9 7 2" xfId="6671"/>
    <cellStyle name="Normal 7 9 7 2 2" xfId="22833"/>
    <cellStyle name="Normal 7 9 8" xfId="2780"/>
    <cellStyle name="Normal 7 9 8 2" xfId="6673"/>
    <cellStyle name="Normal 7 9 8 2 2" xfId="22835"/>
    <cellStyle name="Normal 7 9 9" xfId="16719"/>
    <cellStyle name="Normal 7 9 9 2" xfId="32845"/>
    <cellStyle name="Normal 7_126  NAGANOOL TO GADDAMPALLY  - 82.50  LAKHS" xfId="16720"/>
    <cellStyle name="Normal 70" xfId="16721"/>
    <cellStyle name="Normal 70 2" xfId="16722"/>
    <cellStyle name="Normal 70 2 2" xfId="16723"/>
    <cellStyle name="Normal 70 2 2 2" xfId="32848"/>
    <cellStyle name="Normal 70 2 3" xfId="32847"/>
    <cellStyle name="Normal 70 3" xfId="16724"/>
    <cellStyle name="Normal 70 3 2" xfId="16725"/>
    <cellStyle name="Normal 70 3 2 2" xfId="32850"/>
    <cellStyle name="Normal 70 3 3" xfId="16726"/>
    <cellStyle name="Normal 70 3 3 2" xfId="32851"/>
    <cellStyle name="Normal 70 3 4" xfId="32849"/>
    <cellStyle name="Normal 70 4" xfId="32846"/>
    <cellStyle name="Normal 71" xfId="16727"/>
    <cellStyle name="Normal 72" xfId="16728"/>
    <cellStyle name="Normal 72 2" xfId="32852"/>
    <cellStyle name="Normal 73" xfId="16729"/>
    <cellStyle name="Normal 73 2" xfId="32853"/>
    <cellStyle name="Normal 74" xfId="16730"/>
    <cellStyle name="Normal 74 2" xfId="16731"/>
    <cellStyle name="Normal 74 2 2" xfId="32855"/>
    <cellStyle name="Normal 74 3" xfId="32854"/>
    <cellStyle name="Normal 75" xfId="16732"/>
    <cellStyle name="Normal 75 2" xfId="32856"/>
    <cellStyle name="Normal 76" xfId="16733"/>
    <cellStyle name="Normal 76 2" xfId="32857"/>
    <cellStyle name="Normal 77" xfId="16734"/>
    <cellStyle name="Normal 77 2" xfId="32858"/>
    <cellStyle name="Normal 78" xfId="16735"/>
    <cellStyle name="Normal 78 2" xfId="32859"/>
    <cellStyle name="Normal 79" xfId="16736"/>
    <cellStyle name="Normal 79 2" xfId="32860"/>
    <cellStyle name="Normal 8" xfId="2418"/>
    <cellStyle name="Normal 8 10" xfId="1913"/>
    <cellStyle name="Normal 8 10 2" xfId="5820"/>
    <cellStyle name="Normal 8 10 2 2" xfId="21982"/>
    <cellStyle name="Normal 8 11" xfId="1915"/>
    <cellStyle name="Normal 8 11 2" xfId="5822"/>
    <cellStyle name="Normal 8 11 2 2" xfId="21984"/>
    <cellStyle name="Normal 8 12" xfId="16737"/>
    <cellStyle name="Normal 8 12 2" xfId="32861"/>
    <cellStyle name="Normal 8 13" xfId="16738"/>
    <cellStyle name="Normal 8 13 2" xfId="32862"/>
    <cellStyle name="Normal 8 14" xfId="6313"/>
    <cellStyle name="Normal 8 14 2" xfId="22475"/>
    <cellStyle name="Normal 8 2" xfId="3663"/>
    <cellStyle name="Normal 8 2 2" xfId="3664"/>
    <cellStyle name="Normal 8 2 2 2" xfId="7542"/>
    <cellStyle name="Normal 8 2 2 2 2" xfId="23704"/>
    <cellStyle name="Normal 8 2 3" xfId="7541"/>
    <cellStyle name="Normal 8 2 3 2" xfId="23703"/>
    <cellStyle name="Normal 8 3" xfId="3666"/>
    <cellStyle name="Normal 8 3 2" xfId="7543"/>
    <cellStyle name="Normal 8 3 2 2" xfId="23705"/>
    <cellStyle name="Normal 8 4" xfId="3668"/>
    <cellStyle name="Normal 8 4 2" xfId="16739"/>
    <cellStyle name="Normal 8 4 2 2" xfId="32863"/>
    <cellStyle name="Normal 8 4 3" xfId="7545"/>
    <cellStyle name="Normal 8 4 3 2" xfId="23707"/>
    <cellStyle name="Normal 8 5" xfId="296"/>
    <cellStyle name="Normal 8 5 2" xfId="16740"/>
    <cellStyle name="Normal 8 5 2 2" xfId="32864"/>
    <cellStyle name="Normal 8 5 3" xfId="4238"/>
    <cellStyle name="Normal 8 5 3 2" xfId="20401"/>
    <cellStyle name="Normal 8 6" xfId="127"/>
    <cellStyle name="Normal 8 6 2" xfId="16741"/>
    <cellStyle name="Normal 8 6 2 2" xfId="32865"/>
    <cellStyle name="Normal 8 6 3" xfId="4078"/>
    <cellStyle name="Normal 8 6 3 2" xfId="20241"/>
    <cellStyle name="Normal 8 7" xfId="3670"/>
    <cellStyle name="Normal 8 7 2" xfId="7547"/>
    <cellStyle name="Normal 8 7 2 2" xfId="23709"/>
    <cellStyle name="Normal 8 8" xfId="3672"/>
    <cellStyle name="Normal 8 8 2" xfId="7549"/>
    <cellStyle name="Normal 8 8 2 2" xfId="23711"/>
    <cellStyle name="Normal 8 9" xfId="988"/>
    <cellStyle name="Normal 8 9 2" xfId="4909"/>
    <cellStyle name="Normal 8 9 2 2" xfId="21071"/>
    <cellStyle name="Normal 8_2015-16 MASTER CC ROAD &amp; DRAIN" xfId="16742"/>
    <cellStyle name="Normal 80" xfId="16743"/>
    <cellStyle name="Normal 80 2" xfId="32866"/>
    <cellStyle name="Normal 81" xfId="16744"/>
    <cellStyle name="Normal 81 2" xfId="18963"/>
    <cellStyle name="Normal 82" xfId="18958"/>
    <cellStyle name="Normal 82 2" xfId="35075"/>
    <cellStyle name="Normal 83" xfId="18960"/>
    <cellStyle name="Normal 83 2" xfId="35077"/>
    <cellStyle name="Normal 84" xfId="35078"/>
    <cellStyle name="Normal 85" xfId="35083"/>
    <cellStyle name="Normal 88" xfId="16745"/>
    <cellStyle name="Normal 88 2" xfId="32867"/>
    <cellStyle name="Normal 9" xfId="2420"/>
    <cellStyle name="Normal 9 10" xfId="211"/>
    <cellStyle name="Normal 9 10 10" xfId="16746"/>
    <cellStyle name="Normal 9 10 10 2" xfId="32868"/>
    <cellStyle name="Normal 9 10 11" xfId="16747"/>
    <cellStyle name="Normal 9 10 11 2" xfId="32869"/>
    <cellStyle name="Normal 9 10 12" xfId="16748"/>
    <cellStyle name="Normal 9 10 12 2" xfId="32870"/>
    <cellStyle name="Normal 9 10 13" xfId="16749"/>
    <cellStyle name="Normal 9 10 13 2" xfId="32871"/>
    <cellStyle name="Normal 9 10 14" xfId="16750"/>
    <cellStyle name="Normal 9 10 14 2" xfId="32872"/>
    <cellStyle name="Normal 9 10 15" xfId="16751"/>
    <cellStyle name="Normal 9 10 15 2" xfId="32873"/>
    <cellStyle name="Normal 9 10 16" xfId="16752"/>
    <cellStyle name="Normal 9 10 16 2" xfId="32874"/>
    <cellStyle name="Normal 9 10 17" xfId="16753"/>
    <cellStyle name="Normal 9 10 17 2" xfId="32875"/>
    <cellStyle name="Normal 9 10 18" xfId="4133"/>
    <cellStyle name="Normal 9 10 18 2" xfId="20296"/>
    <cellStyle name="Normal 9 10 2" xfId="586"/>
    <cellStyle name="Normal 9 10 2 2" xfId="4514"/>
    <cellStyle name="Normal 9 10 2 2 2" xfId="20677"/>
    <cellStyle name="Normal 9 10 3" xfId="725"/>
    <cellStyle name="Normal 9 10 3 2" xfId="4650"/>
    <cellStyle name="Normal 9 10 3 2 2" xfId="20812"/>
    <cellStyle name="Normal 9 10 4" xfId="2988"/>
    <cellStyle name="Normal 9 10 4 2" xfId="6875"/>
    <cellStyle name="Normal 9 10 4 2 2" xfId="23037"/>
    <cellStyle name="Normal 9 10 5" xfId="3004"/>
    <cellStyle name="Normal 9 10 5 2" xfId="6891"/>
    <cellStyle name="Normal 9 10 5 2 2" xfId="23053"/>
    <cellStyle name="Normal 9 10 6" xfId="3013"/>
    <cellStyle name="Normal 9 10 6 2" xfId="6900"/>
    <cellStyle name="Normal 9 10 6 2 2" xfId="23062"/>
    <cellStyle name="Normal 9 10 7" xfId="3022"/>
    <cellStyle name="Normal 9 10 7 2" xfId="6910"/>
    <cellStyle name="Normal 9 10 7 2 2" xfId="23072"/>
    <cellStyle name="Normal 9 10 8" xfId="3033"/>
    <cellStyle name="Normal 9 10 8 2" xfId="6920"/>
    <cellStyle name="Normal 9 10 8 2 2" xfId="23082"/>
    <cellStyle name="Normal 9 10 9" xfId="16754"/>
    <cellStyle name="Normal 9 10 9 2" xfId="32876"/>
    <cellStyle name="Normal 9 11" xfId="219"/>
    <cellStyle name="Normal 9 11 2" xfId="4141"/>
    <cellStyle name="Normal 9 11 2 2" xfId="20304"/>
    <cellStyle name="Normal 9 12" xfId="3673"/>
    <cellStyle name="Normal 9 12 2" xfId="7551"/>
    <cellStyle name="Normal 9 12 2 2" xfId="23713"/>
    <cellStyle name="Normal 9 13" xfId="3082"/>
    <cellStyle name="Normal 9 13 2" xfId="6967"/>
    <cellStyle name="Normal 9 13 2 2" xfId="23129"/>
    <cellStyle name="Normal 9 14" xfId="3084"/>
    <cellStyle name="Normal 9 14 2" xfId="6969"/>
    <cellStyle name="Normal 9 14 2 2" xfId="23131"/>
    <cellStyle name="Normal 9 15" xfId="3674"/>
    <cellStyle name="Normal 9 15 2" xfId="7552"/>
    <cellStyle name="Normal 9 15 2 2" xfId="23714"/>
    <cellStyle name="Normal 9 16" xfId="3675"/>
    <cellStyle name="Normal 9 16 2" xfId="7553"/>
    <cellStyle name="Normal 9 16 2 2" xfId="23715"/>
    <cellStyle name="Normal 9 17" xfId="1143"/>
    <cellStyle name="Normal 9 17 2" xfId="5064"/>
    <cellStyle name="Normal 9 17 2 2" xfId="21226"/>
    <cellStyle name="Normal 9 18" xfId="16755"/>
    <cellStyle name="Normal 9 18 2" xfId="32877"/>
    <cellStyle name="Normal 9 19" xfId="16756"/>
    <cellStyle name="Normal 9 19 2" xfId="32878"/>
    <cellStyle name="Normal 9 2" xfId="3676"/>
    <cellStyle name="Normal 9 2 10" xfId="16757"/>
    <cellStyle name="Normal 9 2 10 2" xfId="16758"/>
    <cellStyle name="Normal 9 2 10 2 2" xfId="32880"/>
    <cellStyle name="Normal 9 2 10 3" xfId="32879"/>
    <cellStyle name="Normal 9 2 11" xfId="16759"/>
    <cellStyle name="Normal 9 2 11 2" xfId="16760"/>
    <cellStyle name="Normal 9 2 11 2 2" xfId="32882"/>
    <cellStyle name="Normal 9 2 11 3" xfId="32881"/>
    <cellStyle name="Normal 9 2 12" xfId="16761"/>
    <cellStyle name="Normal 9 2 12 2" xfId="32883"/>
    <cellStyle name="Normal 9 2 13" xfId="16762"/>
    <cellStyle name="Normal 9 2 13 2" xfId="32884"/>
    <cellStyle name="Normal 9 2 14" xfId="7554"/>
    <cellStyle name="Normal 9 2 14 2" xfId="23716"/>
    <cellStyle name="Normal 9 2 2" xfId="16763"/>
    <cellStyle name="Normal 9 2 2 10" xfId="32885"/>
    <cellStyle name="Normal 9 2 2 2" xfId="16764"/>
    <cellStyle name="Normal 9 2 2 2 2" xfId="16765"/>
    <cellStyle name="Normal 9 2 2 2 2 2" xfId="16766"/>
    <cellStyle name="Normal 9 2 2 2 2 2 2" xfId="16767"/>
    <cellStyle name="Normal 9 2 2 2 2 2 2 2" xfId="32889"/>
    <cellStyle name="Normal 9 2 2 2 2 2 3" xfId="32888"/>
    <cellStyle name="Normal 9 2 2 2 2 3" xfId="16768"/>
    <cellStyle name="Normal 9 2 2 2 2 3 2" xfId="32890"/>
    <cellStyle name="Normal 9 2 2 2 2 4" xfId="32887"/>
    <cellStyle name="Normal 9 2 2 2 3" xfId="16769"/>
    <cellStyle name="Normal 9 2 2 2 3 2" xfId="16770"/>
    <cellStyle name="Normal 9 2 2 2 3 2 2" xfId="32892"/>
    <cellStyle name="Normal 9 2 2 2 3 3" xfId="32891"/>
    <cellStyle name="Normal 9 2 2 2 4" xfId="16771"/>
    <cellStyle name="Normal 9 2 2 2 4 2" xfId="16772"/>
    <cellStyle name="Normal 9 2 2 2 4 2 2" xfId="32894"/>
    <cellStyle name="Normal 9 2 2 2 4 3" xfId="32893"/>
    <cellStyle name="Normal 9 2 2 2 5" xfId="16773"/>
    <cellStyle name="Normal 9 2 2 2 5 2" xfId="32895"/>
    <cellStyle name="Normal 9 2 2 2 6" xfId="32886"/>
    <cellStyle name="Normal 9 2 2 3" xfId="16774"/>
    <cellStyle name="Normal 9 2 2 3 2" xfId="16775"/>
    <cellStyle name="Normal 9 2 2 3 2 2" xfId="16776"/>
    <cellStyle name="Normal 9 2 2 3 2 2 2" xfId="16777"/>
    <cellStyle name="Normal 9 2 2 3 2 2 2 2" xfId="32899"/>
    <cellStyle name="Normal 9 2 2 3 2 2 3" xfId="32898"/>
    <cellStyle name="Normal 9 2 2 3 2 3" xfId="16778"/>
    <cellStyle name="Normal 9 2 2 3 2 3 2" xfId="32900"/>
    <cellStyle name="Normal 9 2 2 3 2 4" xfId="32897"/>
    <cellStyle name="Normal 9 2 2 3 3" xfId="16779"/>
    <cellStyle name="Normal 9 2 2 3 3 2" xfId="16780"/>
    <cellStyle name="Normal 9 2 2 3 3 2 2" xfId="32902"/>
    <cellStyle name="Normal 9 2 2 3 3 3" xfId="32901"/>
    <cellStyle name="Normal 9 2 2 3 4" xfId="16781"/>
    <cellStyle name="Normal 9 2 2 3 4 2" xfId="16782"/>
    <cellStyle name="Normal 9 2 2 3 4 2 2" xfId="32904"/>
    <cellStyle name="Normal 9 2 2 3 4 3" xfId="32903"/>
    <cellStyle name="Normal 9 2 2 3 5" xfId="16783"/>
    <cellStyle name="Normal 9 2 2 3 5 2" xfId="32905"/>
    <cellStyle name="Normal 9 2 2 3 6" xfId="32896"/>
    <cellStyle name="Normal 9 2 2 4" xfId="16784"/>
    <cellStyle name="Normal 9 2 2 4 2" xfId="16785"/>
    <cellStyle name="Normal 9 2 2 4 2 2" xfId="16786"/>
    <cellStyle name="Normal 9 2 2 4 2 2 2" xfId="16787"/>
    <cellStyle name="Normal 9 2 2 4 2 2 2 2" xfId="32909"/>
    <cellStyle name="Normal 9 2 2 4 2 2 3" xfId="32908"/>
    <cellStyle name="Normal 9 2 2 4 2 3" xfId="16788"/>
    <cellStyle name="Normal 9 2 2 4 2 3 2" xfId="32910"/>
    <cellStyle name="Normal 9 2 2 4 2 4" xfId="32907"/>
    <cellStyle name="Normal 9 2 2 4 3" xfId="16789"/>
    <cellStyle name="Normal 9 2 2 4 3 2" xfId="16790"/>
    <cellStyle name="Normal 9 2 2 4 3 2 2" xfId="32912"/>
    <cellStyle name="Normal 9 2 2 4 3 3" xfId="32911"/>
    <cellStyle name="Normal 9 2 2 4 4" xfId="16791"/>
    <cellStyle name="Normal 9 2 2 4 4 2" xfId="16792"/>
    <cellStyle name="Normal 9 2 2 4 4 2 2" xfId="32914"/>
    <cellStyle name="Normal 9 2 2 4 4 3" xfId="32913"/>
    <cellStyle name="Normal 9 2 2 4 5" xfId="16793"/>
    <cellStyle name="Normal 9 2 2 4 5 2" xfId="32915"/>
    <cellStyle name="Normal 9 2 2 4 6" xfId="32906"/>
    <cellStyle name="Normal 9 2 2 5" xfId="16794"/>
    <cellStyle name="Normal 9 2 2 5 2" xfId="16795"/>
    <cellStyle name="Normal 9 2 2 5 2 2" xfId="16796"/>
    <cellStyle name="Normal 9 2 2 5 2 2 2" xfId="16797"/>
    <cellStyle name="Normal 9 2 2 5 2 2 2 2" xfId="32919"/>
    <cellStyle name="Normal 9 2 2 5 2 2 3" xfId="32918"/>
    <cellStyle name="Normal 9 2 2 5 2 3" xfId="16798"/>
    <cellStyle name="Normal 9 2 2 5 2 3 2" xfId="32920"/>
    <cellStyle name="Normal 9 2 2 5 2 4" xfId="32917"/>
    <cellStyle name="Normal 9 2 2 5 3" xfId="16799"/>
    <cellStyle name="Normal 9 2 2 5 3 2" xfId="16800"/>
    <cellStyle name="Normal 9 2 2 5 3 2 2" xfId="32922"/>
    <cellStyle name="Normal 9 2 2 5 3 3" xfId="32921"/>
    <cellStyle name="Normal 9 2 2 5 4" xfId="16801"/>
    <cellStyle name="Normal 9 2 2 5 4 2" xfId="16802"/>
    <cellStyle name="Normal 9 2 2 5 4 2 2" xfId="32924"/>
    <cellStyle name="Normal 9 2 2 5 4 3" xfId="32923"/>
    <cellStyle name="Normal 9 2 2 5 5" xfId="16803"/>
    <cellStyle name="Normal 9 2 2 5 5 2" xfId="32925"/>
    <cellStyle name="Normal 9 2 2 5 6" xfId="32916"/>
    <cellStyle name="Normal 9 2 2 6" xfId="16804"/>
    <cellStyle name="Normal 9 2 2 6 2" xfId="16805"/>
    <cellStyle name="Normal 9 2 2 6 2 2" xfId="16806"/>
    <cellStyle name="Normal 9 2 2 6 2 2 2" xfId="32928"/>
    <cellStyle name="Normal 9 2 2 6 2 3" xfId="32927"/>
    <cellStyle name="Normal 9 2 2 6 3" xfId="16807"/>
    <cellStyle name="Normal 9 2 2 6 3 2" xfId="32929"/>
    <cellStyle name="Normal 9 2 2 6 4" xfId="32926"/>
    <cellStyle name="Normal 9 2 2 7" xfId="16808"/>
    <cellStyle name="Normal 9 2 2 7 2" xfId="16809"/>
    <cellStyle name="Normal 9 2 2 7 2 2" xfId="32931"/>
    <cellStyle name="Normal 9 2 2 7 3" xfId="32930"/>
    <cellStyle name="Normal 9 2 2 8" xfId="16810"/>
    <cellStyle name="Normal 9 2 2 8 2" xfId="16811"/>
    <cellStyle name="Normal 9 2 2 8 2 2" xfId="32933"/>
    <cellStyle name="Normal 9 2 2 8 3" xfId="32932"/>
    <cellStyle name="Normal 9 2 2 9" xfId="16812"/>
    <cellStyle name="Normal 9 2 2 9 2" xfId="32934"/>
    <cellStyle name="Normal 9 2 3" xfId="16813"/>
    <cellStyle name="Normal 9 2 3 10" xfId="32935"/>
    <cellStyle name="Normal 9 2 3 2" xfId="16814"/>
    <cellStyle name="Normal 9 2 3 2 2" xfId="16815"/>
    <cellStyle name="Normal 9 2 3 2 2 2" xfId="16816"/>
    <cellStyle name="Normal 9 2 3 2 2 2 2" xfId="16817"/>
    <cellStyle name="Normal 9 2 3 2 2 2 2 2" xfId="32939"/>
    <cellStyle name="Normal 9 2 3 2 2 2 3" xfId="32938"/>
    <cellStyle name="Normal 9 2 3 2 2 3" xfId="16818"/>
    <cellStyle name="Normal 9 2 3 2 2 3 2" xfId="32940"/>
    <cellStyle name="Normal 9 2 3 2 2 4" xfId="32937"/>
    <cellStyle name="Normal 9 2 3 2 3" xfId="16819"/>
    <cellStyle name="Normal 9 2 3 2 3 2" xfId="16820"/>
    <cellStyle name="Normal 9 2 3 2 3 2 2" xfId="32942"/>
    <cellStyle name="Normal 9 2 3 2 3 3" xfId="32941"/>
    <cellStyle name="Normal 9 2 3 2 4" xfId="16821"/>
    <cellStyle name="Normal 9 2 3 2 4 2" xfId="16822"/>
    <cellStyle name="Normal 9 2 3 2 4 2 2" xfId="32944"/>
    <cellStyle name="Normal 9 2 3 2 4 3" xfId="32943"/>
    <cellStyle name="Normal 9 2 3 2 5" xfId="16823"/>
    <cellStyle name="Normal 9 2 3 2 5 2" xfId="32945"/>
    <cellStyle name="Normal 9 2 3 2 6" xfId="32936"/>
    <cellStyle name="Normal 9 2 3 3" xfId="16824"/>
    <cellStyle name="Normal 9 2 3 3 2" xfId="16825"/>
    <cellStyle name="Normal 9 2 3 3 2 2" xfId="16826"/>
    <cellStyle name="Normal 9 2 3 3 2 2 2" xfId="16827"/>
    <cellStyle name="Normal 9 2 3 3 2 2 2 2" xfId="32949"/>
    <cellStyle name="Normal 9 2 3 3 2 2 3" xfId="32948"/>
    <cellStyle name="Normal 9 2 3 3 2 3" xfId="16828"/>
    <cellStyle name="Normal 9 2 3 3 2 3 2" xfId="32950"/>
    <cellStyle name="Normal 9 2 3 3 2 4" xfId="32947"/>
    <cellStyle name="Normal 9 2 3 3 3" xfId="16829"/>
    <cellStyle name="Normal 9 2 3 3 3 2" xfId="16830"/>
    <cellStyle name="Normal 9 2 3 3 3 2 2" xfId="32952"/>
    <cellStyle name="Normal 9 2 3 3 3 3" xfId="32951"/>
    <cellStyle name="Normal 9 2 3 3 4" xfId="16831"/>
    <cellStyle name="Normal 9 2 3 3 4 2" xfId="16832"/>
    <cellStyle name="Normal 9 2 3 3 4 2 2" xfId="32954"/>
    <cellStyle name="Normal 9 2 3 3 4 3" xfId="32953"/>
    <cellStyle name="Normal 9 2 3 3 5" xfId="16833"/>
    <cellStyle name="Normal 9 2 3 3 5 2" xfId="32955"/>
    <cellStyle name="Normal 9 2 3 3 6" xfId="32946"/>
    <cellStyle name="Normal 9 2 3 4" xfId="16834"/>
    <cellStyle name="Normal 9 2 3 4 2" xfId="16835"/>
    <cellStyle name="Normal 9 2 3 4 2 2" xfId="16836"/>
    <cellStyle name="Normal 9 2 3 4 2 2 2" xfId="16837"/>
    <cellStyle name="Normal 9 2 3 4 2 2 2 2" xfId="32959"/>
    <cellStyle name="Normal 9 2 3 4 2 2 3" xfId="32958"/>
    <cellStyle name="Normal 9 2 3 4 2 3" xfId="16838"/>
    <cellStyle name="Normal 9 2 3 4 2 3 2" xfId="32960"/>
    <cellStyle name="Normal 9 2 3 4 2 4" xfId="32957"/>
    <cellStyle name="Normal 9 2 3 4 3" xfId="16839"/>
    <cellStyle name="Normal 9 2 3 4 3 2" xfId="16840"/>
    <cellStyle name="Normal 9 2 3 4 3 2 2" xfId="32962"/>
    <cellStyle name="Normal 9 2 3 4 3 3" xfId="32961"/>
    <cellStyle name="Normal 9 2 3 4 4" xfId="16841"/>
    <cellStyle name="Normal 9 2 3 4 4 2" xfId="16842"/>
    <cellStyle name="Normal 9 2 3 4 4 2 2" xfId="32964"/>
    <cellStyle name="Normal 9 2 3 4 4 3" xfId="32963"/>
    <cellStyle name="Normal 9 2 3 4 5" xfId="16843"/>
    <cellStyle name="Normal 9 2 3 4 5 2" xfId="32965"/>
    <cellStyle name="Normal 9 2 3 4 6" xfId="32956"/>
    <cellStyle name="Normal 9 2 3 5" xfId="16844"/>
    <cellStyle name="Normal 9 2 3 5 2" xfId="16845"/>
    <cellStyle name="Normal 9 2 3 5 2 2" xfId="16846"/>
    <cellStyle name="Normal 9 2 3 5 2 2 2" xfId="16847"/>
    <cellStyle name="Normal 9 2 3 5 2 2 2 2" xfId="32969"/>
    <cellStyle name="Normal 9 2 3 5 2 2 3" xfId="32968"/>
    <cellStyle name="Normal 9 2 3 5 2 3" xfId="16848"/>
    <cellStyle name="Normal 9 2 3 5 2 3 2" xfId="32970"/>
    <cellStyle name="Normal 9 2 3 5 2 4" xfId="32967"/>
    <cellStyle name="Normal 9 2 3 5 3" xfId="16849"/>
    <cellStyle name="Normal 9 2 3 5 3 2" xfId="16850"/>
    <cellStyle name="Normal 9 2 3 5 3 2 2" xfId="32972"/>
    <cellStyle name="Normal 9 2 3 5 3 3" xfId="32971"/>
    <cellStyle name="Normal 9 2 3 5 4" xfId="16851"/>
    <cellStyle name="Normal 9 2 3 5 4 2" xfId="16852"/>
    <cellStyle name="Normal 9 2 3 5 4 2 2" xfId="32974"/>
    <cellStyle name="Normal 9 2 3 5 4 3" xfId="32973"/>
    <cellStyle name="Normal 9 2 3 5 5" xfId="16853"/>
    <cellStyle name="Normal 9 2 3 5 5 2" xfId="32975"/>
    <cellStyle name="Normal 9 2 3 5 6" xfId="32966"/>
    <cellStyle name="Normal 9 2 3 6" xfId="16854"/>
    <cellStyle name="Normal 9 2 3 6 2" xfId="16855"/>
    <cellStyle name="Normal 9 2 3 6 2 2" xfId="16856"/>
    <cellStyle name="Normal 9 2 3 6 2 2 2" xfId="32978"/>
    <cellStyle name="Normal 9 2 3 6 2 3" xfId="32977"/>
    <cellStyle name="Normal 9 2 3 6 3" xfId="16857"/>
    <cellStyle name="Normal 9 2 3 6 3 2" xfId="32979"/>
    <cellStyle name="Normal 9 2 3 6 4" xfId="32976"/>
    <cellStyle name="Normal 9 2 3 7" xfId="16858"/>
    <cellStyle name="Normal 9 2 3 7 2" xfId="16859"/>
    <cellStyle name="Normal 9 2 3 7 2 2" xfId="32981"/>
    <cellStyle name="Normal 9 2 3 7 3" xfId="32980"/>
    <cellStyle name="Normal 9 2 3 8" xfId="16860"/>
    <cellStyle name="Normal 9 2 3 8 2" xfId="16861"/>
    <cellStyle name="Normal 9 2 3 8 2 2" xfId="32983"/>
    <cellStyle name="Normal 9 2 3 8 3" xfId="32982"/>
    <cellStyle name="Normal 9 2 3 9" xfId="16862"/>
    <cellStyle name="Normal 9 2 3 9 2" xfId="32984"/>
    <cellStyle name="Normal 9 2 4" xfId="16863"/>
    <cellStyle name="Normal 9 2 4 2" xfId="16864"/>
    <cellStyle name="Normal 9 2 4 2 2" xfId="16865"/>
    <cellStyle name="Normal 9 2 4 2 2 2" xfId="16866"/>
    <cellStyle name="Normal 9 2 4 2 2 2 2" xfId="16867"/>
    <cellStyle name="Normal 9 2 4 2 2 2 2 2" xfId="32989"/>
    <cellStyle name="Normal 9 2 4 2 2 2 3" xfId="32988"/>
    <cellStyle name="Normal 9 2 4 2 2 3" xfId="16868"/>
    <cellStyle name="Normal 9 2 4 2 2 3 2" xfId="32990"/>
    <cellStyle name="Normal 9 2 4 2 2 4" xfId="32987"/>
    <cellStyle name="Normal 9 2 4 2 3" xfId="16869"/>
    <cellStyle name="Normal 9 2 4 2 3 2" xfId="16870"/>
    <cellStyle name="Normal 9 2 4 2 3 2 2" xfId="32992"/>
    <cellStyle name="Normal 9 2 4 2 3 3" xfId="32991"/>
    <cellStyle name="Normal 9 2 4 2 4" xfId="16871"/>
    <cellStyle name="Normal 9 2 4 2 4 2" xfId="16872"/>
    <cellStyle name="Normal 9 2 4 2 4 2 2" xfId="32994"/>
    <cellStyle name="Normal 9 2 4 2 4 3" xfId="32993"/>
    <cellStyle name="Normal 9 2 4 2 5" xfId="16873"/>
    <cellStyle name="Normal 9 2 4 2 5 2" xfId="32995"/>
    <cellStyle name="Normal 9 2 4 2 6" xfId="32986"/>
    <cellStyle name="Normal 9 2 4 3" xfId="16874"/>
    <cellStyle name="Normal 9 2 4 3 2" xfId="16875"/>
    <cellStyle name="Normal 9 2 4 3 2 2" xfId="16876"/>
    <cellStyle name="Normal 9 2 4 3 2 2 2" xfId="16877"/>
    <cellStyle name="Normal 9 2 4 3 2 2 2 2" xfId="32999"/>
    <cellStyle name="Normal 9 2 4 3 2 2 3" xfId="32998"/>
    <cellStyle name="Normal 9 2 4 3 2 3" xfId="16878"/>
    <cellStyle name="Normal 9 2 4 3 2 3 2" xfId="33000"/>
    <cellStyle name="Normal 9 2 4 3 2 4" xfId="32997"/>
    <cellStyle name="Normal 9 2 4 3 3" xfId="16879"/>
    <cellStyle name="Normal 9 2 4 3 3 2" xfId="16880"/>
    <cellStyle name="Normal 9 2 4 3 3 2 2" xfId="33002"/>
    <cellStyle name="Normal 9 2 4 3 3 3" xfId="33001"/>
    <cellStyle name="Normal 9 2 4 3 4" xfId="16881"/>
    <cellStyle name="Normal 9 2 4 3 4 2" xfId="16882"/>
    <cellStyle name="Normal 9 2 4 3 4 2 2" xfId="33004"/>
    <cellStyle name="Normal 9 2 4 3 4 3" xfId="33003"/>
    <cellStyle name="Normal 9 2 4 3 5" xfId="16883"/>
    <cellStyle name="Normal 9 2 4 3 5 2" xfId="33005"/>
    <cellStyle name="Normal 9 2 4 3 6" xfId="32996"/>
    <cellStyle name="Normal 9 2 4 4" xfId="16884"/>
    <cellStyle name="Normal 9 2 4 4 2" xfId="16885"/>
    <cellStyle name="Normal 9 2 4 4 2 2" xfId="16886"/>
    <cellStyle name="Normal 9 2 4 4 2 2 2" xfId="33008"/>
    <cellStyle name="Normal 9 2 4 4 2 3" xfId="33007"/>
    <cellStyle name="Normal 9 2 4 4 3" xfId="16887"/>
    <cellStyle name="Normal 9 2 4 4 3 2" xfId="33009"/>
    <cellStyle name="Normal 9 2 4 4 4" xfId="33006"/>
    <cellStyle name="Normal 9 2 4 5" xfId="16888"/>
    <cellStyle name="Normal 9 2 4 5 2" xfId="16889"/>
    <cellStyle name="Normal 9 2 4 5 2 2" xfId="33011"/>
    <cellStyle name="Normal 9 2 4 5 3" xfId="33010"/>
    <cellStyle name="Normal 9 2 4 6" xfId="16890"/>
    <cellStyle name="Normal 9 2 4 6 2" xfId="16891"/>
    <cellStyle name="Normal 9 2 4 6 2 2" xfId="33013"/>
    <cellStyle name="Normal 9 2 4 6 3" xfId="33012"/>
    <cellStyle name="Normal 9 2 4 7" xfId="16892"/>
    <cellStyle name="Normal 9 2 4 7 2" xfId="33014"/>
    <cellStyle name="Normal 9 2 4 8" xfId="32985"/>
    <cellStyle name="Normal 9 2 5" xfId="16893"/>
    <cellStyle name="Normal 9 2 5 2" xfId="16894"/>
    <cellStyle name="Normal 9 2 5 2 2" xfId="16895"/>
    <cellStyle name="Normal 9 2 5 2 2 2" xfId="16896"/>
    <cellStyle name="Normal 9 2 5 2 2 2 2" xfId="33018"/>
    <cellStyle name="Normal 9 2 5 2 2 3" xfId="33017"/>
    <cellStyle name="Normal 9 2 5 2 3" xfId="16897"/>
    <cellStyle name="Normal 9 2 5 2 3 2" xfId="33019"/>
    <cellStyle name="Normal 9 2 5 2 4" xfId="33016"/>
    <cellStyle name="Normal 9 2 5 3" xfId="16898"/>
    <cellStyle name="Normal 9 2 5 3 2" xfId="16899"/>
    <cellStyle name="Normal 9 2 5 3 2 2" xfId="33021"/>
    <cellStyle name="Normal 9 2 5 3 3" xfId="33020"/>
    <cellStyle name="Normal 9 2 5 4" xfId="16900"/>
    <cellStyle name="Normal 9 2 5 4 2" xfId="16901"/>
    <cellStyle name="Normal 9 2 5 4 2 2" xfId="33023"/>
    <cellStyle name="Normal 9 2 5 4 3" xfId="33022"/>
    <cellStyle name="Normal 9 2 5 5" xfId="16902"/>
    <cellStyle name="Normal 9 2 5 5 2" xfId="33024"/>
    <cellStyle name="Normal 9 2 5 6" xfId="33015"/>
    <cellStyle name="Normal 9 2 6" xfId="16903"/>
    <cellStyle name="Normal 9 2 6 2" xfId="16904"/>
    <cellStyle name="Normal 9 2 6 2 2" xfId="16905"/>
    <cellStyle name="Normal 9 2 6 2 2 2" xfId="16906"/>
    <cellStyle name="Normal 9 2 6 2 2 2 2" xfId="33028"/>
    <cellStyle name="Normal 9 2 6 2 2 3" xfId="33027"/>
    <cellStyle name="Normal 9 2 6 2 3" xfId="16907"/>
    <cellStyle name="Normal 9 2 6 2 3 2" xfId="33029"/>
    <cellStyle name="Normal 9 2 6 2 4" xfId="33026"/>
    <cellStyle name="Normal 9 2 6 3" xfId="16908"/>
    <cellStyle name="Normal 9 2 6 3 2" xfId="16909"/>
    <cellStyle name="Normal 9 2 6 3 2 2" xfId="33031"/>
    <cellStyle name="Normal 9 2 6 3 3" xfId="33030"/>
    <cellStyle name="Normal 9 2 6 4" xfId="16910"/>
    <cellStyle name="Normal 9 2 6 4 2" xfId="16911"/>
    <cellStyle name="Normal 9 2 6 4 2 2" xfId="33033"/>
    <cellStyle name="Normal 9 2 6 4 3" xfId="33032"/>
    <cellStyle name="Normal 9 2 6 5" xfId="16912"/>
    <cellStyle name="Normal 9 2 6 5 2" xfId="33034"/>
    <cellStyle name="Normal 9 2 6 6" xfId="33025"/>
    <cellStyle name="Normal 9 2 7" xfId="16913"/>
    <cellStyle name="Normal 9 2 7 2" xfId="16914"/>
    <cellStyle name="Normal 9 2 7 2 2" xfId="16915"/>
    <cellStyle name="Normal 9 2 7 2 2 2" xfId="16916"/>
    <cellStyle name="Normal 9 2 7 2 2 2 2" xfId="33038"/>
    <cellStyle name="Normal 9 2 7 2 2 3" xfId="33037"/>
    <cellStyle name="Normal 9 2 7 2 3" xfId="16917"/>
    <cellStyle name="Normal 9 2 7 2 3 2" xfId="33039"/>
    <cellStyle name="Normal 9 2 7 2 4" xfId="33036"/>
    <cellStyle name="Normal 9 2 7 3" xfId="16918"/>
    <cellStyle name="Normal 9 2 7 3 2" xfId="16919"/>
    <cellStyle name="Normal 9 2 7 3 2 2" xfId="33041"/>
    <cellStyle name="Normal 9 2 7 3 3" xfId="33040"/>
    <cellStyle name="Normal 9 2 7 4" xfId="16920"/>
    <cellStyle name="Normal 9 2 7 4 2" xfId="16921"/>
    <cellStyle name="Normal 9 2 7 4 2 2" xfId="33043"/>
    <cellStyle name="Normal 9 2 7 4 3" xfId="33042"/>
    <cellStyle name="Normal 9 2 7 5" xfId="16922"/>
    <cellStyle name="Normal 9 2 7 5 2" xfId="33044"/>
    <cellStyle name="Normal 9 2 7 6" xfId="33035"/>
    <cellStyle name="Normal 9 2 8" xfId="16923"/>
    <cellStyle name="Normal 9 2 8 2" xfId="16924"/>
    <cellStyle name="Normal 9 2 8 2 2" xfId="16925"/>
    <cellStyle name="Normal 9 2 8 2 2 2" xfId="16926"/>
    <cellStyle name="Normal 9 2 8 2 2 2 2" xfId="33048"/>
    <cellStyle name="Normal 9 2 8 2 2 3" xfId="33047"/>
    <cellStyle name="Normal 9 2 8 2 3" xfId="16927"/>
    <cellStyle name="Normal 9 2 8 2 3 2" xfId="33049"/>
    <cellStyle name="Normal 9 2 8 2 4" xfId="33046"/>
    <cellStyle name="Normal 9 2 8 3" xfId="16928"/>
    <cellStyle name="Normal 9 2 8 3 2" xfId="16929"/>
    <cellStyle name="Normal 9 2 8 3 2 2" xfId="33051"/>
    <cellStyle name="Normal 9 2 8 3 3" xfId="33050"/>
    <cellStyle name="Normal 9 2 8 4" xfId="16930"/>
    <cellStyle name="Normal 9 2 8 4 2" xfId="16931"/>
    <cellStyle name="Normal 9 2 8 4 2 2" xfId="33053"/>
    <cellStyle name="Normal 9 2 8 4 3" xfId="33052"/>
    <cellStyle name="Normal 9 2 8 5" xfId="16932"/>
    <cellStyle name="Normal 9 2 8 5 2" xfId="33054"/>
    <cellStyle name="Normal 9 2 8 6" xfId="33045"/>
    <cellStyle name="Normal 9 2 9" xfId="16933"/>
    <cellStyle name="Normal 9 2 9 2" xfId="16934"/>
    <cellStyle name="Normal 9 2 9 2 2" xfId="16935"/>
    <cellStyle name="Normal 9 2 9 2 2 2" xfId="33057"/>
    <cellStyle name="Normal 9 2 9 2 3" xfId="33056"/>
    <cellStyle name="Normal 9 2 9 3" xfId="16936"/>
    <cellStyle name="Normal 9 2 9 3 2" xfId="33058"/>
    <cellStyle name="Normal 9 2 9 4" xfId="33055"/>
    <cellStyle name="Normal 9 20" xfId="16937"/>
    <cellStyle name="Normal 9 20 2" xfId="33059"/>
    <cellStyle name="Normal 9 21" xfId="16938"/>
    <cellStyle name="Normal 9 21 2" xfId="33060"/>
    <cellStyle name="Normal 9 22" xfId="16939"/>
    <cellStyle name="Normal 9 22 2" xfId="33061"/>
    <cellStyle name="Normal 9 23" xfId="16940"/>
    <cellStyle name="Normal 9 23 2" xfId="33062"/>
    <cellStyle name="Normal 9 24" xfId="16941"/>
    <cellStyle name="Normal 9 24 2" xfId="33063"/>
    <cellStyle name="Normal 9 25" xfId="16942"/>
    <cellStyle name="Normal 9 25 2" xfId="33064"/>
    <cellStyle name="Normal 9 26" xfId="16943"/>
    <cellStyle name="Normal 9 26 2" xfId="33065"/>
    <cellStyle name="Normal 9 27" xfId="6315"/>
    <cellStyle name="Normal 9 27 2" xfId="22477"/>
    <cellStyle name="Normal 9 3" xfId="3677"/>
    <cellStyle name="Normal 9 3 10" xfId="16944"/>
    <cellStyle name="Normal 9 3 10 2" xfId="16945"/>
    <cellStyle name="Normal 9 3 10 2 2" xfId="16946"/>
    <cellStyle name="Normal 9 3 10 2 2 2" xfId="33068"/>
    <cellStyle name="Normal 9 3 10 2 3" xfId="33067"/>
    <cellStyle name="Normal 9 3 10 3" xfId="16947"/>
    <cellStyle name="Normal 9 3 10 3 2" xfId="33069"/>
    <cellStyle name="Normal 9 3 10 4" xfId="33066"/>
    <cellStyle name="Normal 9 3 11" xfId="16948"/>
    <cellStyle name="Normal 9 3 11 2" xfId="16949"/>
    <cellStyle name="Normal 9 3 11 2 2" xfId="33071"/>
    <cellStyle name="Normal 9 3 11 3" xfId="33070"/>
    <cellStyle name="Normal 9 3 12" xfId="16950"/>
    <cellStyle name="Normal 9 3 12 2" xfId="16951"/>
    <cellStyle name="Normal 9 3 12 2 2" xfId="33073"/>
    <cellStyle name="Normal 9 3 12 3" xfId="33072"/>
    <cellStyle name="Normal 9 3 13" xfId="16952"/>
    <cellStyle name="Normal 9 3 13 2" xfId="33074"/>
    <cellStyle name="Normal 9 3 14" xfId="16953"/>
    <cellStyle name="Normal 9 3 14 2" xfId="33075"/>
    <cellStyle name="Normal 9 3 15" xfId="16954"/>
    <cellStyle name="Normal 9 3 15 2" xfId="33076"/>
    <cellStyle name="Normal 9 3 16" xfId="16955"/>
    <cellStyle name="Normal 9 3 16 2" xfId="33077"/>
    <cellStyle name="Normal 9 3 17" xfId="16956"/>
    <cellStyle name="Normal 9 3 17 2" xfId="33078"/>
    <cellStyle name="Normal 9 3 18" xfId="7555"/>
    <cellStyle name="Normal 9 3 18 2" xfId="23717"/>
    <cellStyle name="Normal 9 3 2" xfId="3678"/>
    <cellStyle name="Normal 9 3 2 10" xfId="16957"/>
    <cellStyle name="Normal 9 3 2 10 2" xfId="16958"/>
    <cellStyle name="Normal 9 3 2 10 2 2" xfId="33080"/>
    <cellStyle name="Normal 9 3 2 10 3" xfId="33079"/>
    <cellStyle name="Normal 9 3 2 11" xfId="16959"/>
    <cellStyle name="Normal 9 3 2 11 2" xfId="16960"/>
    <cellStyle name="Normal 9 3 2 11 2 2" xfId="33082"/>
    <cellStyle name="Normal 9 3 2 11 3" xfId="33081"/>
    <cellStyle name="Normal 9 3 2 12" xfId="16961"/>
    <cellStyle name="Normal 9 3 2 12 2" xfId="33083"/>
    <cellStyle name="Normal 9 3 2 13" xfId="16962"/>
    <cellStyle name="Normal 9 3 2 13 2" xfId="33084"/>
    <cellStyle name="Normal 9 3 2 14" xfId="7556"/>
    <cellStyle name="Normal 9 3 2 14 2" xfId="23718"/>
    <cellStyle name="Normal 9 3 2 2" xfId="16963"/>
    <cellStyle name="Normal 9 3 2 2 10" xfId="33085"/>
    <cellStyle name="Normal 9 3 2 2 2" xfId="16964"/>
    <cellStyle name="Normal 9 3 2 2 2 2" xfId="16965"/>
    <cellStyle name="Normal 9 3 2 2 2 2 2" xfId="16966"/>
    <cellStyle name="Normal 9 3 2 2 2 2 2 2" xfId="16967"/>
    <cellStyle name="Normal 9 3 2 2 2 2 2 2 2" xfId="33089"/>
    <cellStyle name="Normal 9 3 2 2 2 2 2 3" xfId="33088"/>
    <cellStyle name="Normal 9 3 2 2 2 2 3" xfId="16968"/>
    <cellStyle name="Normal 9 3 2 2 2 2 3 2" xfId="33090"/>
    <cellStyle name="Normal 9 3 2 2 2 2 4" xfId="33087"/>
    <cellStyle name="Normal 9 3 2 2 2 3" xfId="16969"/>
    <cellStyle name="Normal 9 3 2 2 2 3 2" xfId="16970"/>
    <cellStyle name="Normal 9 3 2 2 2 3 2 2" xfId="33092"/>
    <cellStyle name="Normal 9 3 2 2 2 3 3" xfId="33091"/>
    <cellStyle name="Normal 9 3 2 2 2 4" xfId="16971"/>
    <cellStyle name="Normal 9 3 2 2 2 4 2" xfId="16972"/>
    <cellStyle name="Normal 9 3 2 2 2 4 2 2" xfId="33094"/>
    <cellStyle name="Normal 9 3 2 2 2 4 3" xfId="33093"/>
    <cellStyle name="Normal 9 3 2 2 2 5" xfId="16973"/>
    <cellStyle name="Normal 9 3 2 2 2 5 2" xfId="33095"/>
    <cellStyle name="Normal 9 3 2 2 2 6" xfId="33086"/>
    <cellStyle name="Normal 9 3 2 2 3" xfId="16974"/>
    <cellStyle name="Normal 9 3 2 2 3 2" xfId="16975"/>
    <cellStyle name="Normal 9 3 2 2 3 2 2" xfId="16976"/>
    <cellStyle name="Normal 9 3 2 2 3 2 2 2" xfId="16977"/>
    <cellStyle name="Normal 9 3 2 2 3 2 2 2 2" xfId="33099"/>
    <cellStyle name="Normal 9 3 2 2 3 2 2 3" xfId="33098"/>
    <cellStyle name="Normal 9 3 2 2 3 2 3" xfId="16978"/>
    <cellStyle name="Normal 9 3 2 2 3 2 3 2" xfId="33100"/>
    <cellStyle name="Normal 9 3 2 2 3 2 4" xfId="33097"/>
    <cellStyle name="Normal 9 3 2 2 3 3" xfId="16979"/>
    <cellStyle name="Normal 9 3 2 2 3 3 2" xfId="16980"/>
    <cellStyle name="Normal 9 3 2 2 3 3 2 2" xfId="33102"/>
    <cellStyle name="Normal 9 3 2 2 3 3 3" xfId="33101"/>
    <cellStyle name="Normal 9 3 2 2 3 4" xfId="16981"/>
    <cellStyle name="Normal 9 3 2 2 3 4 2" xfId="16982"/>
    <cellStyle name="Normal 9 3 2 2 3 4 2 2" xfId="33104"/>
    <cellStyle name="Normal 9 3 2 2 3 4 3" xfId="33103"/>
    <cellStyle name="Normal 9 3 2 2 3 5" xfId="16983"/>
    <cellStyle name="Normal 9 3 2 2 3 5 2" xfId="33105"/>
    <cellStyle name="Normal 9 3 2 2 3 6" xfId="33096"/>
    <cellStyle name="Normal 9 3 2 2 4" xfId="16984"/>
    <cellStyle name="Normal 9 3 2 2 4 2" xfId="16985"/>
    <cellStyle name="Normal 9 3 2 2 4 2 2" xfId="16986"/>
    <cellStyle name="Normal 9 3 2 2 4 2 2 2" xfId="16987"/>
    <cellStyle name="Normal 9 3 2 2 4 2 2 2 2" xfId="33109"/>
    <cellStyle name="Normal 9 3 2 2 4 2 2 3" xfId="33108"/>
    <cellStyle name="Normal 9 3 2 2 4 2 3" xfId="16988"/>
    <cellStyle name="Normal 9 3 2 2 4 2 3 2" xfId="33110"/>
    <cellStyle name="Normal 9 3 2 2 4 2 4" xfId="33107"/>
    <cellStyle name="Normal 9 3 2 2 4 3" xfId="16989"/>
    <cellStyle name="Normal 9 3 2 2 4 3 2" xfId="16990"/>
    <cellStyle name="Normal 9 3 2 2 4 3 2 2" xfId="33112"/>
    <cellStyle name="Normal 9 3 2 2 4 3 3" xfId="33111"/>
    <cellStyle name="Normal 9 3 2 2 4 4" xfId="16991"/>
    <cellStyle name="Normal 9 3 2 2 4 4 2" xfId="16992"/>
    <cellStyle name="Normal 9 3 2 2 4 4 2 2" xfId="33114"/>
    <cellStyle name="Normal 9 3 2 2 4 4 3" xfId="33113"/>
    <cellStyle name="Normal 9 3 2 2 4 5" xfId="16993"/>
    <cellStyle name="Normal 9 3 2 2 4 5 2" xfId="33115"/>
    <cellStyle name="Normal 9 3 2 2 4 6" xfId="33106"/>
    <cellStyle name="Normal 9 3 2 2 5" xfId="16994"/>
    <cellStyle name="Normal 9 3 2 2 5 2" xfId="16995"/>
    <cellStyle name="Normal 9 3 2 2 5 2 2" xfId="16996"/>
    <cellStyle name="Normal 9 3 2 2 5 2 2 2" xfId="16997"/>
    <cellStyle name="Normal 9 3 2 2 5 2 2 2 2" xfId="33119"/>
    <cellStyle name="Normal 9 3 2 2 5 2 2 3" xfId="33118"/>
    <cellStyle name="Normal 9 3 2 2 5 2 3" xfId="16998"/>
    <cellStyle name="Normal 9 3 2 2 5 2 3 2" xfId="33120"/>
    <cellStyle name="Normal 9 3 2 2 5 2 4" xfId="33117"/>
    <cellStyle name="Normal 9 3 2 2 5 3" xfId="16999"/>
    <cellStyle name="Normal 9 3 2 2 5 3 2" xfId="17000"/>
    <cellStyle name="Normal 9 3 2 2 5 3 2 2" xfId="33122"/>
    <cellStyle name="Normal 9 3 2 2 5 3 3" xfId="33121"/>
    <cellStyle name="Normal 9 3 2 2 5 4" xfId="17001"/>
    <cellStyle name="Normal 9 3 2 2 5 4 2" xfId="17002"/>
    <cellStyle name="Normal 9 3 2 2 5 4 2 2" xfId="33124"/>
    <cellStyle name="Normal 9 3 2 2 5 4 3" xfId="33123"/>
    <cellStyle name="Normal 9 3 2 2 5 5" xfId="17003"/>
    <cellStyle name="Normal 9 3 2 2 5 5 2" xfId="33125"/>
    <cellStyle name="Normal 9 3 2 2 5 6" xfId="33116"/>
    <cellStyle name="Normal 9 3 2 2 6" xfId="17004"/>
    <cellStyle name="Normal 9 3 2 2 6 2" xfId="17005"/>
    <cellStyle name="Normal 9 3 2 2 6 2 2" xfId="17006"/>
    <cellStyle name="Normal 9 3 2 2 6 2 2 2" xfId="33128"/>
    <cellStyle name="Normal 9 3 2 2 6 2 3" xfId="33127"/>
    <cellStyle name="Normal 9 3 2 2 6 3" xfId="17007"/>
    <cellStyle name="Normal 9 3 2 2 6 3 2" xfId="33129"/>
    <cellStyle name="Normal 9 3 2 2 6 4" xfId="33126"/>
    <cellStyle name="Normal 9 3 2 2 7" xfId="17008"/>
    <cellStyle name="Normal 9 3 2 2 7 2" xfId="17009"/>
    <cellStyle name="Normal 9 3 2 2 7 2 2" xfId="33131"/>
    <cellStyle name="Normal 9 3 2 2 7 3" xfId="33130"/>
    <cellStyle name="Normal 9 3 2 2 8" xfId="17010"/>
    <cellStyle name="Normal 9 3 2 2 8 2" xfId="17011"/>
    <cellStyle name="Normal 9 3 2 2 8 2 2" xfId="33133"/>
    <cellStyle name="Normal 9 3 2 2 8 3" xfId="33132"/>
    <cellStyle name="Normal 9 3 2 2 9" xfId="17012"/>
    <cellStyle name="Normal 9 3 2 2 9 2" xfId="33134"/>
    <cellStyle name="Normal 9 3 2 3" xfId="17013"/>
    <cellStyle name="Normal 9 3 2 3 10" xfId="33135"/>
    <cellStyle name="Normal 9 3 2 3 2" xfId="17014"/>
    <cellStyle name="Normal 9 3 2 3 2 2" xfId="17015"/>
    <cellStyle name="Normal 9 3 2 3 2 2 2" xfId="17016"/>
    <cellStyle name="Normal 9 3 2 3 2 2 2 2" xfId="17017"/>
    <cellStyle name="Normal 9 3 2 3 2 2 2 2 2" xfId="33139"/>
    <cellStyle name="Normal 9 3 2 3 2 2 2 3" xfId="33138"/>
    <cellStyle name="Normal 9 3 2 3 2 2 3" xfId="17018"/>
    <cellStyle name="Normal 9 3 2 3 2 2 3 2" xfId="33140"/>
    <cellStyle name="Normal 9 3 2 3 2 2 4" xfId="33137"/>
    <cellStyle name="Normal 9 3 2 3 2 3" xfId="17019"/>
    <cellStyle name="Normal 9 3 2 3 2 3 2" xfId="17020"/>
    <cellStyle name="Normal 9 3 2 3 2 3 2 2" xfId="33142"/>
    <cellStyle name="Normal 9 3 2 3 2 3 3" xfId="33141"/>
    <cellStyle name="Normal 9 3 2 3 2 4" xfId="17021"/>
    <cellStyle name="Normal 9 3 2 3 2 4 2" xfId="17022"/>
    <cellStyle name="Normal 9 3 2 3 2 4 2 2" xfId="33144"/>
    <cellStyle name="Normal 9 3 2 3 2 4 3" xfId="33143"/>
    <cellStyle name="Normal 9 3 2 3 2 5" xfId="17023"/>
    <cellStyle name="Normal 9 3 2 3 2 5 2" xfId="33145"/>
    <cellStyle name="Normal 9 3 2 3 2 6" xfId="33136"/>
    <cellStyle name="Normal 9 3 2 3 3" xfId="17024"/>
    <cellStyle name="Normal 9 3 2 3 3 2" xfId="17025"/>
    <cellStyle name="Normal 9 3 2 3 3 2 2" xfId="17026"/>
    <cellStyle name="Normal 9 3 2 3 3 2 2 2" xfId="17027"/>
    <cellStyle name="Normal 9 3 2 3 3 2 2 2 2" xfId="33149"/>
    <cellStyle name="Normal 9 3 2 3 3 2 2 3" xfId="33148"/>
    <cellStyle name="Normal 9 3 2 3 3 2 3" xfId="17028"/>
    <cellStyle name="Normal 9 3 2 3 3 2 3 2" xfId="33150"/>
    <cellStyle name="Normal 9 3 2 3 3 2 4" xfId="33147"/>
    <cellStyle name="Normal 9 3 2 3 3 3" xfId="17029"/>
    <cellStyle name="Normal 9 3 2 3 3 3 2" xfId="17030"/>
    <cellStyle name="Normal 9 3 2 3 3 3 2 2" xfId="33152"/>
    <cellStyle name="Normal 9 3 2 3 3 3 3" xfId="33151"/>
    <cellStyle name="Normal 9 3 2 3 3 4" xfId="17031"/>
    <cellStyle name="Normal 9 3 2 3 3 4 2" xfId="17032"/>
    <cellStyle name="Normal 9 3 2 3 3 4 2 2" xfId="33154"/>
    <cellStyle name="Normal 9 3 2 3 3 4 3" xfId="33153"/>
    <cellStyle name="Normal 9 3 2 3 3 5" xfId="17033"/>
    <cellStyle name="Normal 9 3 2 3 3 5 2" xfId="33155"/>
    <cellStyle name="Normal 9 3 2 3 3 6" xfId="33146"/>
    <cellStyle name="Normal 9 3 2 3 4" xfId="17034"/>
    <cellStyle name="Normal 9 3 2 3 4 2" xfId="17035"/>
    <cellStyle name="Normal 9 3 2 3 4 2 2" xfId="17036"/>
    <cellStyle name="Normal 9 3 2 3 4 2 2 2" xfId="17037"/>
    <cellStyle name="Normal 9 3 2 3 4 2 2 2 2" xfId="33159"/>
    <cellStyle name="Normal 9 3 2 3 4 2 2 3" xfId="33158"/>
    <cellStyle name="Normal 9 3 2 3 4 2 3" xfId="17038"/>
    <cellStyle name="Normal 9 3 2 3 4 2 3 2" xfId="33160"/>
    <cellStyle name="Normal 9 3 2 3 4 2 4" xfId="33157"/>
    <cellStyle name="Normal 9 3 2 3 4 3" xfId="17039"/>
    <cellStyle name="Normal 9 3 2 3 4 3 2" xfId="17040"/>
    <cellStyle name="Normal 9 3 2 3 4 3 2 2" xfId="33162"/>
    <cellStyle name="Normal 9 3 2 3 4 3 3" xfId="33161"/>
    <cellStyle name="Normal 9 3 2 3 4 4" xfId="17041"/>
    <cellStyle name="Normal 9 3 2 3 4 4 2" xfId="17042"/>
    <cellStyle name="Normal 9 3 2 3 4 4 2 2" xfId="33164"/>
    <cellStyle name="Normal 9 3 2 3 4 4 3" xfId="33163"/>
    <cellStyle name="Normal 9 3 2 3 4 5" xfId="17043"/>
    <cellStyle name="Normal 9 3 2 3 4 5 2" xfId="33165"/>
    <cellStyle name="Normal 9 3 2 3 4 6" xfId="33156"/>
    <cellStyle name="Normal 9 3 2 3 5" xfId="17044"/>
    <cellStyle name="Normal 9 3 2 3 5 2" xfId="17045"/>
    <cellStyle name="Normal 9 3 2 3 5 2 2" xfId="17046"/>
    <cellStyle name="Normal 9 3 2 3 5 2 2 2" xfId="17047"/>
    <cellStyle name="Normal 9 3 2 3 5 2 2 2 2" xfId="33169"/>
    <cellStyle name="Normal 9 3 2 3 5 2 2 3" xfId="33168"/>
    <cellStyle name="Normal 9 3 2 3 5 2 3" xfId="17048"/>
    <cellStyle name="Normal 9 3 2 3 5 2 3 2" xfId="33170"/>
    <cellStyle name="Normal 9 3 2 3 5 2 4" xfId="33167"/>
    <cellStyle name="Normal 9 3 2 3 5 3" xfId="17049"/>
    <cellStyle name="Normal 9 3 2 3 5 3 2" xfId="17050"/>
    <cellStyle name="Normal 9 3 2 3 5 3 2 2" xfId="33172"/>
    <cellStyle name="Normal 9 3 2 3 5 3 3" xfId="33171"/>
    <cellStyle name="Normal 9 3 2 3 5 4" xfId="17051"/>
    <cellStyle name="Normal 9 3 2 3 5 4 2" xfId="17052"/>
    <cellStyle name="Normal 9 3 2 3 5 4 2 2" xfId="33174"/>
    <cellStyle name="Normal 9 3 2 3 5 4 3" xfId="33173"/>
    <cellStyle name="Normal 9 3 2 3 5 5" xfId="17053"/>
    <cellStyle name="Normal 9 3 2 3 5 5 2" xfId="33175"/>
    <cellStyle name="Normal 9 3 2 3 5 6" xfId="33166"/>
    <cellStyle name="Normal 9 3 2 3 6" xfId="17054"/>
    <cellStyle name="Normal 9 3 2 3 6 2" xfId="17055"/>
    <cellStyle name="Normal 9 3 2 3 6 2 2" xfId="17056"/>
    <cellStyle name="Normal 9 3 2 3 6 2 2 2" xfId="33178"/>
    <cellStyle name="Normal 9 3 2 3 6 2 3" xfId="33177"/>
    <cellStyle name="Normal 9 3 2 3 6 3" xfId="17057"/>
    <cellStyle name="Normal 9 3 2 3 6 3 2" xfId="33179"/>
    <cellStyle name="Normal 9 3 2 3 6 4" xfId="33176"/>
    <cellStyle name="Normal 9 3 2 3 7" xfId="17058"/>
    <cellStyle name="Normal 9 3 2 3 7 2" xfId="17059"/>
    <cellStyle name="Normal 9 3 2 3 7 2 2" xfId="33181"/>
    <cellStyle name="Normal 9 3 2 3 7 3" xfId="33180"/>
    <cellStyle name="Normal 9 3 2 3 8" xfId="17060"/>
    <cellStyle name="Normal 9 3 2 3 8 2" xfId="17061"/>
    <cellStyle name="Normal 9 3 2 3 8 2 2" xfId="33183"/>
    <cellStyle name="Normal 9 3 2 3 8 3" xfId="33182"/>
    <cellStyle name="Normal 9 3 2 3 9" xfId="17062"/>
    <cellStyle name="Normal 9 3 2 3 9 2" xfId="33184"/>
    <cellStyle name="Normal 9 3 2 4" xfId="17063"/>
    <cellStyle name="Normal 9 3 2 4 2" xfId="17064"/>
    <cellStyle name="Normal 9 3 2 4 2 2" xfId="17065"/>
    <cellStyle name="Normal 9 3 2 4 2 2 2" xfId="17066"/>
    <cellStyle name="Normal 9 3 2 4 2 2 2 2" xfId="17067"/>
    <cellStyle name="Normal 9 3 2 4 2 2 2 2 2" xfId="33189"/>
    <cellStyle name="Normal 9 3 2 4 2 2 2 3" xfId="33188"/>
    <cellStyle name="Normal 9 3 2 4 2 2 3" xfId="17068"/>
    <cellStyle name="Normal 9 3 2 4 2 2 3 2" xfId="33190"/>
    <cellStyle name="Normal 9 3 2 4 2 2 4" xfId="33187"/>
    <cellStyle name="Normal 9 3 2 4 2 3" xfId="17069"/>
    <cellStyle name="Normal 9 3 2 4 2 3 2" xfId="17070"/>
    <cellStyle name="Normal 9 3 2 4 2 3 2 2" xfId="33192"/>
    <cellStyle name="Normal 9 3 2 4 2 3 3" xfId="33191"/>
    <cellStyle name="Normal 9 3 2 4 2 4" xfId="17071"/>
    <cellStyle name="Normal 9 3 2 4 2 4 2" xfId="17072"/>
    <cellStyle name="Normal 9 3 2 4 2 4 2 2" xfId="33194"/>
    <cellStyle name="Normal 9 3 2 4 2 4 3" xfId="33193"/>
    <cellStyle name="Normal 9 3 2 4 2 5" xfId="17073"/>
    <cellStyle name="Normal 9 3 2 4 2 5 2" xfId="33195"/>
    <cellStyle name="Normal 9 3 2 4 2 6" xfId="33186"/>
    <cellStyle name="Normal 9 3 2 4 3" xfId="17074"/>
    <cellStyle name="Normal 9 3 2 4 3 2" xfId="17075"/>
    <cellStyle name="Normal 9 3 2 4 3 2 2" xfId="17076"/>
    <cellStyle name="Normal 9 3 2 4 3 2 2 2" xfId="17077"/>
    <cellStyle name="Normal 9 3 2 4 3 2 2 2 2" xfId="33199"/>
    <cellStyle name="Normal 9 3 2 4 3 2 2 3" xfId="33198"/>
    <cellStyle name="Normal 9 3 2 4 3 2 3" xfId="17078"/>
    <cellStyle name="Normal 9 3 2 4 3 2 3 2" xfId="33200"/>
    <cellStyle name="Normal 9 3 2 4 3 2 4" xfId="33197"/>
    <cellStyle name="Normal 9 3 2 4 3 3" xfId="17079"/>
    <cellStyle name="Normal 9 3 2 4 3 3 2" xfId="17080"/>
    <cellStyle name="Normal 9 3 2 4 3 3 2 2" xfId="33202"/>
    <cellStyle name="Normal 9 3 2 4 3 3 3" xfId="33201"/>
    <cellStyle name="Normal 9 3 2 4 3 4" xfId="17081"/>
    <cellStyle name="Normal 9 3 2 4 3 4 2" xfId="17082"/>
    <cellStyle name="Normal 9 3 2 4 3 4 2 2" xfId="33204"/>
    <cellStyle name="Normal 9 3 2 4 3 4 3" xfId="33203"/>
    <cellStyle name="Normal 9 3 2 4 3 5" xfId="17083"/>
    <cellStyle name="Normal 9 3 2 4 3 5 2" xfId="33205"/>
    <cellStyle name="Normal 9 3 2 4 3 6" xfId="33196"/>
    <cellStyle name="Normal 9 3 2 4 4" xfId="17084"/>
    <cellStyle name="Normal 9 3 2 4 4 2" xfId="17085"/>
    <cellStyle name="Normal 9 3 2 4 4 2 2" xfId="17086"/>
    <cellStyle name="Normal 9 3 2 4 4 2 2 2" xfId="33208"/>
    <cellStyle name="Normal 9 3 2 4 4 2 3" xfId="33207"/>
    <cellStyle name="Normal 9 3 2 4 4 3" xfId="17087"/>
    <cellStyle name="Normal 9 3 2 4 4 3 2" xfId="33209"/>
    <cellStyle name="Normal 9 3 2 4 4 4" xfId="33206"/>
    <cellStyle name="Normal 9 3 2 4 5" xfId="17088"/>
    <cellStyle name="Normal 9 3 2 4 5 2" xfId="17089"/>
    <cellStyle name="Normal 9 3 2 4 5 2 2" xfId="33211"/>
    <cellStyle name="Normal 9 3 2 4 5 3" xfId="33210"/>
    <cellStyle name="Normal 9 3 2 4 6" xfId="17090"/>
    <cellStyle name="Normal 9 3 2 4 6 2" xfId="17091"/>
    <cellStyle name="Normal 9 3 2 4 6 2 2" xfId="33213"/>
    <cellStyle name="Normal 9 3 2 4 6 3" xfId="33212"/>
    <cellStyle name="Normal 9 3 2 4 7" xfId="17092"/>
    <cellStyle name="Normal 9 3 2 4 7 2" xfId="33214"/>
    <cellStyle name="Normal 9 3 2 4 8" xfId="33185"/>
    <cellStyle name="Normal 9 3 2 5" xfId="17093"/>
    <cellStyle name="Normal 9 3 2 5 2" xfId="17094"/>
    <cellStyle name="Normal 9 3 2 5 2 2" xfId="17095"/>
    <cellStyle name="Normal 9 3 2 5 2 2 2" xfId="17096"/>
    <cellStyle name="Normal 9 3 2 5 2 2 2 2" xfId="33218"/>
    <cellStyle name="Normal 9 3 2 5 2 2 3" xfId="33217"/>
    <cellStyle name="Normal 9 3 2 5 2 3" xfId="17097"/>
    <cellStyle name="Normal 9 3 2 5 2 3 2" xfId="33219"/>
    <cellStyle name="Normal 9 3 2 5 2 4" xfId="33216"/>
    <cellStyle name="Normal 9 3 2 5 3" xfId="17098"/>
    <cellStyle name="Normal 9 3 2 5 3 2" xfId="17099"/>
    <cellStyle name="Normal 9 3 2 5 3 2 2" xfId="33221"/>
    <cellStyle name="Normal 9 3 2 5 3 3" xfId="33220"/>
    <cellStyle name="Normal 9 3 2 5 4" xfId="17100"/>
    <cellStyle name="Normal 9 3 2 5 4 2" xfId="17101"/>
    <cellStyle name="Normal 9 3 2 5 4 2 2" xfId="33223"/>
    <cellStyle name="Normal 9 3 2 5 4 3" xfId="33222"/>
    <cellStyle name="Normal 9 3 2 5 5" xfId="17102"/>
    <cellStyle name="Normal 9 3 2 5 5 2" xfId="33224"/>
    <cellStyle name="Normal 9 3 2 5 6" xfId="33215"/>
    <cellStyle name="Normal 9 3 2 6" xfId="17103"/>
    <cellStyle name="Normal 9 3 2 6 2" xfId="17104"/>
    <cellStyle name="Normal 9 3 2 6 2 2" xfId="17105"/>
    <cellStyle name="Normal 9 3 2 6 2 2 2" xfId="17106"/>
    <cellStyle name="Normal 9 3 2 6 2 2 2 2" xfId="33228"/>
    <cellStyle name="Normal 9 3 2 6 2 2 3" xfId="33227"/>
    <cellStyle name="Normal 9 3 2 6 2 3" xfId="17107"/>
    <cellStyle name="Normal 9 3 2 6 2 3 2" xfId="33229"/>
    <cellStyle name="Normal 9 3 2 6 2 4" xfId="33226"/>
    <cellStyle name="Normal 9 3 2 6 3" xfId="17108"/>
    <cellStyle name="Normal 9 3 2 6 3 2" xfId="17109"/>
    <cellStyle name="Normal 9 3 2 6 3 2 2" xfId="33231"/>
    <cellStyle name="Normal 9 3 2 6 3 3" xfId="33230"/>
    <cellStyle name="Normal 9 3 2 6 4" xfId="17110"/>
    <cellStyle name="Normal 9 3 2 6 4 2" xfId="17111"/>
    <cellStyle name="Normal 9 3 2 6 4 2 2" xfId="33233"/>
    <cellStyle name="Normal 9 3 2 6 4 3" xfId="33232"/>
    <cellStyle name="Normal 9 3 2 6 5" xfId="17112"/>
    <cellStyle name="Normal 9 3 2 6 5 2" xfId="33234"/>
    <cellStyle name="Normal 9 3 2 6 6" xfId="33225"/>
    <cellStyle name="Normal 9 3 2 7" xfId="17113"/>
    <cellStyle name="Normal 9 3 2 7 2" xfId="17114"/>
    <cellStyle name="Normal 9 3 2 7 2 2" xfId="17115"/>
    <cellStyle name="Normal 9 3 2 7 2 2 2" xfId="17116"/>
    <cellStyle name="Normal 9 3 2 7 2 2 2 2" xfId="33238"/>
    <cellStyle name="Normal 9 3 2 7 2 2 3" xfId="33237"/>
    <cellStyle name="Normal 9 3 2 7 2 3" xfId="17117"/>
    <cellStyle name="Normal 9 3 2 7 2 3 2" xfId="33239"/>
    <cellStyle name="Normal 9 3 2 7 2 4" xfId="33236"/>
    <cellStyle name="Normal 9 3 2 7 3" xfId="17118"/>
    <cellStyle name="Normal 9 3 2 7 3 2" xfId="17119"/>
    <cellStyle name="Normal 9 3 2 7 3 2 2" xfId="33241"/>
    <cellStyle name="Normal 9 3 2 7 3 3" xfId="33240"/>
    <cellStyle name="Normal 9 3 2 7 4" xfId="17120"/>
    <cellStyle name="Normal 9 3 2 7 4 2" xfId="17121"/>
    <cellStyle name="Normal 9 3 2 7 4 2 2" xfId="33243"/>
    <cellStyle name="Normal 9 3 2 7 4 3" xfId="33242"/>
    <cellStyle name="Normal 9 3 2 7 5" xfId="17122"/>
    <cellStyle name="Normal 9 3 2 7 5 2" xfId="33244"/>
    <cellStyle name="Normal 9 3 2 7 6" xfId="33235"/>
    <cellStyle name="Normal 9 3 2 8" xfId="17123"/>
    <cellStyle name="Normal 9 3 2 8 2" xfId="17124"/>
    <cellStyle name="Normal 9 3 2 8 2 2" xfId="17125"/>
    <cellStyle name="Normal 9 3 2 8 2 2 2" xfId="17126"/>
    <cellStyle name="Normal 9 3 2 8 2 2 2 2" xfId="33248"/>
    <cellStyle name="Normal 9 3 2 8 2 2 3" xfId="33247"/>
    <cellStyle name="Normal 9 3 2 8 2 3" xfId="17127"/>
    <cellStyle name="Normal 9 3 2 8 2 3 2" xfId="33249"/>
    <cellStyle name="Normal 9 3 2 8 2 4" xfId="33246"/>
    <cellStyle name="Normal 9 3 2 8 3" xfId="17128"/>
    <cellStyle name="Normal 9 3 2 8 3 2" xfId="17129"/>
    <cellStyle name="Normal 9 3 2 8 3 2 2" xfId="33251"/>
    <cellStyle name="Normal 9 3 2 8 3 3" xfId="33250"/>
    <cellStyle name="Normal 9 3 2 8 4" xfId="17130"/>
    <cellStyle name="Normal 9 3 2 8 4 2" xfId="17131"/>
    <cellStyle name="Normal 9 3 2 8 4 2 2" xfId="33253"/>
    <cellStyle name="Normal 9 3 2 8 4 3" xfId="33252"/>
    <cellStyle name="Normal 9 3 2 8 5" xfId="17132"/>
    <cellStyle name="Normal 9 3 2 8 5 2" xfId="33254"/>
    <cellStyle name="Normal 9 3 2 8 6" xfId="33245"/>
    <cellStyle name="Normal 9 3 2 9" xfId="17133"/>
    <cellStyle name="Normal 9 3 2 9 2" xfId="17134"/>
    <cellStyle name="Normal 9 3 2 9 2 2" xfId="17135"/>
    <cellStyle name="Normal 9 3 2 9 2 2 2" xfId="33257"/>
    <cellStyle name="Normal 9 3 2 9 2 3" xfId="33256"/>
    <cellStyle name="Normal 9 3 2 9 3" xfId="17136"/>
    <cellStyle name="Normal 9 3 2 9 3 2" xfId="33258"/>
    <cellStyle name="Normal 9 3 2 9 4" xfId="33255"/>
    <cellStyle name="Normal 9 3 3" xfId="3679"/>
    <cellStyle name="Normal 9 3 3 10" xfId="7557"/>
    <cellStyle name="Normal 9 3 3 10 2" xfId="23719"/>
    <cellStyle name="Normal 9 3 3 2" xfId="17137"/>
    <cellStyle name="Normal 9 3 3 2 2" xfId="17138"/>
    <cellStyle name="Normal 9 3 3 2 2 2" xfId="17139"/>
    <cellStyle name="Normal 9 3 3 2 2 2 2" xfId="17140"/>
    <cellStyle name="Normal 9 3 3 2 2 2 2 2" xfId="33262"/>
    <cellStyle name="Normal 9 3 3 2 2 2 3" xfId="33261"/>
    <cellStyle name="Normal 9 3 3 2 2 3" xfId="17141"/>
    <cellStyle name="Normal 9 3 3 2 2 3 2" xfId="33263"/>
    <cellStyle name="Normal 9 3 3 2 2 4" xfId="33260"/>
    <cellStyle name="Normal 9 3 3 2 3" xfId="17142"/>
    <cellStyle name="Normal 9 3 3 2 3 2" xfId="17143"/>
    <cellStyle name="Normal 9 3 3 2 3 2 2" xfId="33265"/>
    <cellStyle name="Normal 9 3 3 2 3 3" xfId="33264"/>
    <cellStyle name="Normal 9 3 3 2 4" xfId="17144"/>
    <cellStyle name="Normal 9 3 3 2 4 2" xfId="17145"/>
    <cellStyle name="Normal 9 3 3 2 4 2 2" xfId="33267"/>
    <cellStyle name="Normal 9 3 3 2 4 3" xfId="33266"/>
    <cellStyle name="Normal 9 3 3 2 5" xfId="17146"/>
    <cellStyle name="Normal 9 3 3 2 5 2" xfId="33268"/>
    <cellStyle name="Normal 9 3 3 2 6" xfId="33259"/>
    <cellStyle name="Normal 9 3 3 3" xfId="17147"/>
    <cellStyle name="Normal 9 3 3 3 2" xfId="17148"/>
    <cellStyle name="Normal 9 3 3 3 2 2" xfId="17149"/>
    <cellStyle name="Normal 9 3 3 3 2 2 2" xfId="17150"/>
    <cellStyle name="Normal 9 3 3 3 2 2 2 2" xfId="33272"/>
    <cellStyle name="Normal 9 3 3 3 2 2 3" xfId="33271"/>
    <cellStyle name="Normal 9 3 3 3 2 3" xfId="17151"/>
    <cellStyle name="Normal 9 3 3 3 2 3 2" xfId="33273"/>
    <cellStyle name="Normal 9 3 3 3 2 4" xfId="33270"/>
    <cellStyle name="Normal 9 3 3 3 3" xfId="17152"/>
    <cellStyle name="Normal 9 3 3 3 3 2" xfId="17153"/>
    <cellStyle name="Normal 9 3 3 3 3 2 2" xfId="33275"/>
    <cellStyle name="Normal 9 3 3 3 3 3" xfId="33274"/>
    <cellStyle name="Normal 9 3 3 3 4" xfId="17154"/>
    <cellStyle name="Normal 9 3 3 3 4 2" xfId="17155"/>
    <cellStyle name="Normal 9 3 3 3 4 2 2" xfId="33277"/>
    <cellStyle name="Normal 9 3 3 3 4 3" xfId="33276"/>
    <cellStyle name="Normal 9 3 3 3 5" xfId="17156"/>
    <cellStyle name="Normal 9 3 3 3 5 2" xfId="33278"/>
    <cellStyle name="Normal 9 3 3 3 6" xfId="33269"/>
    <cellStyle name="Normal 9 3 3 4" xfId="17157"/>
    <cellStyle name="Normal 9 3 3 4 2" xfId="17158"/>
    <cellStyle name="Normal 9 3 3 4 2 2" xfId="17159"/>
    <cellStyle name="Normal 9 3 3 4 2 2 2" xfId="17160"/>
    <cellStyle name="Normal 9 3 3 4 2 2 2 2" xfId="33282"/>
    <cellStyle name="Normal 9 3 3 4 2 2 3" xfId="33281"/>
    <cellStyle name="Normal 9 3 3 4 2 3" xfId="17161"/>
    <cellStyle name="Normal 9 3 3 4 2 3 2" xfId="33283"/>
    <cellStyle name="Normal 9 3 3 4 2 4" xfId="33280"/>
    <cellStyle name="Normal 9 3 3 4 3" xfId="17162"/>
    <cellStyle name="Normal 9 3 3 4 3 2" xfId="17163"/>
    <cellStyle name="Normal 9 3 3 4 3 2 2" xfId="33285"/>
    <cellStyle name="Normal 9 3 3 4 3 3" xfId="33284"/>
    <cellStyle name="Normal 9 3 3 4 4" xfId="17164"/>
    <cellStyle name="Normal 9 3 3 4 4 2" xfId="17165"/>
    <cellStyle name="Normal 9 3 3 4 4 2 2" xfId="33287"/>
    <cellStyle name="Normal 9 3 3 4 4 3" xfId="33286"/>
    <cellStyle name="Normal 9 3 3 4 5" xfId="17166"/>
    <cellStyle name="Normal 9 3 3 4 5 2" xfId="33288"/>
    <cellStyle name="Normal 9 3 3 4 6" xfId="33279"/>
    <cellStyle name="Normal 9 3 3 5" xfId="17167"/>
    <cellStyle name="Normal 9 3 3 5 2" xfId="17168"/>
    <cellStyle name="Normal 9 3 3 5 2 2" xfId="17169"/>
    <cellStyle name="Normal 9 3 3 5 2 2 2" xfId="17170"/>
    <cellStyle name="Normal 9 3 3 5 2 2 2 2" xfId="33292"/>
    <cellStyle name="Normal 9 3 3 5 2 2 3" xfId="33291"/>
    <cellStyle name="Normal 9 3 3 5 2 3" xfId="17171"/>
    <cellStyle name="Normal 9 3 3 5 2 3 2" xfId="33293"/>
    <cellStyle name="Normal 9 3 3 5 2 4" xfId="33290"/>
    <cellStyle name="Normal 9 3 3 5 3" xfId="17172"/>
    <cellStyle name="Normal 9 3 3 5 3 2" xfId="17173"/>
    <cellStyle name="Normal 9 3 3 5 3 2 2" xfId="33295"/>
    <cellStyle name="Normal 9 3 3 5 3 3" xfId="33294"/>
    <cellStyle name="Normal 9 3 3 5 4" xfId="17174"/>
    <cellStyle name="Normal 9 3 3 5 4 2" xfId="17175"/>
    <cellStyle name="Normal 9 3 3 5 4 2 2" xfId="33297"/>
    <cellStyle name="Normal 9 3 3 5 4 3" xfId="33296"/>
    <cellStyle name="Normal 9 3 3 5 5" xfId="17176"/>
    <cellStyle name="Normal 9 3 3 5 5 2" xfId="33298"/>
    <cellStyle name="Normal 9 3 3 5 6" xfId="33289"/>
    <cellStyle name="Normal 9 3 3 6" xfId="17177"/>
    <cellStyle name="Normal 9 3 3 6 2" xfId="17178"/>
    <cellStyle name="Normal 9 3 3 6 2 2" xfId="17179"/>
    <cellStyle name="Normal 9 3 3 6 2 2 2" xfId="33301"/>
    <cellStyle name="Normal 9 3 3 6 2 3" xfId="33300"/>
    <cellStyle name="Normal 9 3 3 6 3" xfId="17180"/>
    <cellStyle name="Normal 9 3 3 6 3 2" xfId="33302"/>
    <cellStyle name="Normal 9 3 3 6 4" xfId="33299"/>
    <cellStyle name="Normal 9 3 3 7" xfId="17181"/>
    <cellStyle name="Normal 9 3 3 7 2" xfId="17182"/>
    <cellStyle name="Normal 9 3 3 7 2 2" xfId="33304"/>
    <cellStyle name="Normal 9 3 3 7 3" xfId="33303"/>
    <cellStyle name="Normal 9 3 3 8" xfId="17183"/>
    <cellStyle name="Normal 9 3 3 8 2" xfId="17184"/>
    <cellStyle name="Normal 9 3 3 8 2 2" xfId="33306"/>
    <cellStyle name="Normal 9 3 3 8 3" xfId="33305"/>
    <cellStyle name="Normal 9 3 3 9" xfId="17185"/>
    <cellStyle name="Normal 9 3 3 9 2" xfId="33307"/>
    <cellStyle name="Normal 9 3 4" xfId="3680"/>
    <cellStyle name="Normal 9 3 4 10" xfId="7558"/>
    <cellStyle name="Normal 9 3 4 10 2" xfId="23720"/>
    <cellStyle name="Normal 9 3 4 2" xfId="17186"/>
    <cellStyle name="Normal 9 3 4 2 2" xfId="17187"/>
    <cellStyle name="Normal 9 3 4 2 2 2" xfId="17188"/>
    <cellStyle name="Normal 9 3 4 2 2 2 2" xfId="17189"/>
    <cellStyle name="Normal 9 3 4 2 2 2 2 2" xfId="33311"/>
    <cellStyle name="Normal 9 3 4 2 2 2 3" xfId="33310"/>
    <cellStyle name="Normal 9 3 4 2 2 3" xfId="17190"/>
    <cellStyle name="Normal 9 3 4 2 2 3 2" xfId="33312"/>
    <cellStyle name="Normal 9 3 4 2 2 4" xfId="33309"/>
    <cellStyle name="Normal 9 3 4 2 3" xfId="17191"/>
    <cellStyle name="Normal 9 3 4 2 3 2" xfId="17192"/>
    <cellStyle name="Normal 9 3 4 2 3 2 2" xfId="33314"/>
    <cellStyle name="Normal 9 3 4 2 3 3" xfId="33313"/>
    <cellStyle name="Normal 9 3 4 2 4" xfId="17193"/>
    <cellStyle name="Normal 9 3 4 2 4 2" xfId="17194"/>
    <cellStyle name="Normal 9 3 4 2 4 2 2" xfId="33316"/>
    <cellStyle name="Normal 9 3 4 2 4 3" xfId="33315"/>
    <cellStyle name="Normal 9 3 4 2 5" xfId="17195"/>
    <cellStyle name="Normal 9 3 4 2 5 2" xfId="33317"/>
    <cellStyle name="Normal 9 3 4 2 6" xfId="33308"/>
    <cellStyle name="Normal 9 3 4 3" xfId="17196"/>
    <cellStyle name="Normal 9 3 4 3 2" xfId="17197"/>
    <cellStyle name="Normal 9 3 4 3 2 2" xfId="17198"/>
    <cellStyle name="Normal 9 3 4 3 2 2 2" xfId="17199"/>
    <cellStyle name="Normal 9 3 4 3 2 2 2 2" xfId="33321"/>
    <cellStyle name="Normal 9 3 4 3 2 2 3" xfId="33320"/>
    <cellStyle name="Normal 9 3 4 3 2 3" xfId="17200"/>
    <cellStyle name="Normal 9 3 4 3 2 3 2" xfId="33322"/>
    <cellStyle name="Normal 9 3 4 3 2 4" xfId="33319"/>
    <cellStyle name="Normal 9 3 4 3 3" xfId="17201"/>
    <cellStyle name="Normal 9 3 4 3 3 2" xfId="17202"/>
    <cellStyle name="Normal 9 3 4 3 3 2 2" xfId="33324"/>
    <cellStyle name="Normal 9 3 4 3 3 3" xfId="33323"/>
    <cellStyle name="Normal 9 3 4 3 4" xfId="17203"/>
    <cellStyle name="Normal 9 3 4 3 4 2" xfId="17204"/>
    <cellStyle name="Normal 9 3 4 3 4 2 2" xfId="33326"/>
    <cellStyle name="Normal 9 3 4 3 4 3" xfId="33325"/>
    <cellStyle name="Normal 9 3 4 3 5" xfId="17205"/>
    <cellStyle name="Normal 9 3 4 3 5 2" xfId="33327"/>
    <cellStyle name="Normal 9 3 4 3 6" xfId="33318"/>
    <cellStyle name="Normal 9 3 4 4" xfId="17206"/>
    <cellStyle name="Normal 9 3 4 4 2" xfId="17207"/>
    <cellStyle name="Normal 9 3 4 4 2 2" xfId="17208"/>
    <cellStyle name="Normal 9 3 4 4 2 2 2" xfId="17209"/>
    <cellStyle name="Normal 9 3 4 4 2 2 2 2" xfId="33331"/>
    <cellStyle name="Normal 9 3 4 4 2 2 3" xfId="33330"/>
    <cellStyle name="Normal 9 3 4 4 2 3" xfId="17210"/>
    <cellStyle name="Normal 9 3 4 4 2 3 2" xfId="33332"/>
    <cellStyle name="Normal 9 3 4 4 2 4" xfId="33329"/>
    <cellStyle name="Normal 9 3 4 4 3" xfId="17211"/>
    <cellStyle name="Normal 9 3 4 4 3 2" xfId="17212"/>
    <cellStyle name="Normal 9 3 4 4 3 2 2" xfId="33334"/>
    <cellStyle name="Normal 9 3 4 4 3 3" xfId="33333"/>
    <cellStyle name="Normal 9 3 4 4 4" xfId="17213"/>
    <cellStyle name="Normal 9 3 4 4 4 2" xfId="17214"/>
    <cellStyle name="Normal 9 3 4 4 4 2 2" xfId="33336"/>
    <cellStyle name="Normal 9 3 4 4 4 3" xfId="33335"/>
    <cellStyle name="Normal 9 3 4 4 5" xfId="17215"/>
    <cellStyle name="Normal 9 3 4 4 5 2" xfId="33337"/>
    <cellStyle name="Normal 9 3 4 4 6" xfId="33328"/>
    <cellStyle name="Normal 9 3 4 5" xfId="17216"/>
    <cellStyle name="Normal 9 3 4 5 2" xfId="17217"/>
    <cellStyle name="Normal 9 3 4 5 2 2" xfId="17218"/>
    <cellStyle name="Normal 9 3 4 5 2 2 2" xfId="17219"/>
    <cellStyle name="Normal 9 3 4 5 2 2 2 2" xfId="33341"/>
    <cellStyle name="Normal 9 3 4 5 2 2 3" xfId="33340"/>
    <cellStyle name="Normal 9 3 4 5 2 3" xfId="17220"/>
    <cellStyle name="Normal 9 3 4 5 2 3 2" xfId="33342"/>
    <cellStyle name="Normal 9 3 4 5 2 4" xfId="33339"/>
    <cellStyle name="Normal 9 3 4 5 3" xfId="17221"/>
    <cellStyle name="Normal 9 3 4 5 3 2" xfId="17222"/>
    <cellStyle name="Normal 9 3 4 5 3 2 2" xfId="33344"/>
    <cellStyle name="Normal 9 3 4 5 3 3" xfId="33343"/>
    <cellStyle name="Normal 9 3 4 5 4" xfId="17223"/>
    <cellStyle name="Normal 9 3 4 5 4 2" xfId="17224"/>
    <cellStyle name="Normal 9 3 4 5 4 2 2" xfId="33346"/>
    <cellStyle name="Normal 9 3 4 5 4 3" xfId="33345"/>
    <cellStyle name="Normal 9 3 4 5 5" xfId="17225"/>
    <cellStyle name="Normal 9 3 4 5 5 2" xfId="33347"/>
    <cellStyle name="Normal 9 3 4 5 6" xfId="33338"/>
    <cellStyle name="Normal 9 3 4 6" xfId="17226"/>
    <cellStyle name="Normal 9 3 4 6 2" xfId="17227"/>
    <cellStyle name="Normal 9 3 4 6 2 2" xfId="17228"/>
    <cellStyle name="Normal 9 3 4 6 2 2 2" xfId="33350"/>
    <cellStyle name="Normal 9 3 4 6 2 3" xfId="33349"/>
    <cellStyle name="Normal 9 3 4 6 3" xfId="17229"/>
    <cellStyle name="Normal 9 3 4 6 3 2" xfId="33351"/>
    <cellStyle name="Normal 9 3 4 6 4" xfId="33348"/>
    <cellStyle name="Normal 9 3 4 7" xfId="17230"/>
    <cellStyle name="Normal 9 3 4 7 2" xfId="17231"/>
    <cellStyle name="Normal 9 3 4 7 2 2" xfId="33353"/>
    <cellStyle name="Normal 9 3 4 7 3" xfId="33352"/>
    <cellStyle name="Normal 9 3 4 8" xfId="17232"/>
    <cellStyle name="Normal 9 3 4 8 2" xfId="17233"/>
    <cellStyle name="Normal 9 3 4 8 2 2" xfId="33355"/>
    <cellStyle name="Normal 9 3 4 8 3" xfId="33354"/>
    <cellStyle name="Normal 9 3 4 9" xfId="17234"/>
    <cellStyle name="Normal 9 3 4 9 2" xfId="33356"/>
    <cellStyle name="Normal 9 3 5" xfId="3681"/>
    <cellStyle name="Normal 9 3 5 2" xfId="17235"/>
    <cellStyle name="Normal 9 3 5 2 2" xfId="17236"/>
    <cellStyle name="Normal 9 3 5 2 2 2" xfId="17237"/>
    <cellStyle name="Normal 9 3 5 2 2 2 2" xfId="17238"/>
    <cellStyle name="Normal 9 3 5 2 2 2 2 2" xfId="33360"/>
    <cellStyle name="Normal 9 3 5 2 2 2 3" xfId="33359"/>
    <cellStyle name="Normal 9 3 5 2 2 3" xfId="17239"/>
    <cellStyle name="Normal 9 3 5 2 2 3 2" xfId="33361"/>
    <cellStyle name="Normal 9 3 5 2 2 4" xfId="33358"/>
    <cellStyle name="Normal 9 3 5 2 3" xfId="17240"/>
    <cellStyle name="Normal 9 3 5 2 3 2" xfId="17241"/>
    <cellStyle name="Normal 9 3 5 2 3 2 2" xfId="33363"/>
    <cellStyle name="Normal 9 3 5 2 3 3" xfId="33362"/>
    <cellStyle name="Normal 9 3 5 2 4" xfId="17242"/>
    <cellStyle name="Normal 9 3 5 2 4 2" xfId="17243"/>
    <cellStyle name="Normal 9 3 5 2 4 2 2" xfId="33365"/>
    <cellStyle name="Normal 9 3 5 2 4 3" xfId="33364"/>
    <cellStyle name="Normal 9 3 5 2 5" xfId="17244"/>
    <cellStyle name="Normal 9 3 5 2 5 2" xfId="33366"/>
    <cellStyle name="Normal 9 3 5 2 6" xfId="33357"/>
    <cellStyle name="Normal 9 3 5 3" xfId="17245"/>
    <cellStyle name="Normal 9 3 5 3 2" xfId="17246"/>
    <cellStyle name="Normal 9 3 5 3 2 2" xfId="17247"/>
    <cellStyle name="Normal 9 3 5 3 2 2 2" xfId="17248"/>
    <cellStyle name="Normal 9 3 5 3 2 2 2 2" xfId="33370"/>
    <cellStyle name="Normal 9 3 5 3 2 2 3" xfId="33369"/>
    <cellStyle name="Normal 9 3 5 3 2 3" xfId="17249"/>
    <cellStyle name="Normal 9 3 5 3 2 3 2" xfId="33371"/>
    <cellStyle name="Normal 9 3 5 3 2 4" xfId="33368"/>
    <cellStyle name="Normal 9 3 5 3 3" xfId="17250"/>
    <cellStyle name="Normal 9 3 5 3 3 2" xfId="17251"/>
    <cellStyle name="Normal 9 3 5 3 3 2 2" xfId="33373"/>
    <cellStyle name="Normal 9 3 5 3 3 3" xfId="33372"/>
    <cellStyle name="Normal 9 3 5 3 4" xfId="17252"/>
    <cellStyle name="Normal 9 3 5 3 4 2" xfId="17253"/>
    <cellStyle name="Normal 9 3 5 3 4 2 2" xfId="33375"/>
    <cellStyle name="Normal 9 3 5 3 4 3" xfId="33374"/>
    <cellStyle name="Normal 9 3 5 3 5" xfId="17254"/>
    <cellStyle name="Normal 9 3 5 3 5 2" xfId="33376"/>
    <cellStyle name="Normal 9 3 5 3 6" xfId="33367"/>
    <cellStyle name="Normal 9 3 5 4" xfId="17255"/>
    <cellStyle name="Normal 9 3 5 4 2" xfId="17256"/>
    <cellStyle name="Normal 9 3 5 4 2 2" xfId="17257"/>
    <cellStyle name="Normal 9 3 5 4 2 2 2" xfId="33379"/>
    <cellStyle name="Normal 9 3 5 4 2 3" xfId="33378"/>
    <cellStyle name="Normal 9 3 5 4 3" xfId="17258"/>
    <cellStyle name="Normal 9 3 5 4 3 2" xfId="33380"/>
    <cellStyle name="Normal 9 3 5 4 4" xfId="33377"/>
    <cellStyle name="Normal 9 3 5 5" xfId="17259"/>
    <cellStyle name="Normal 9 3 5 5 2" xfId="17260"/>
    <cellStyle name="Normal 9 3 5 5 2 2" xfId="33382"/>
    <cellStyle name="Normal 9 3 5 5 3" xfId="33381"/>
    <cellStyle name="Normal 9 3 5 6" xfId="17261"/>
    <cellStyle name="Normal 9 3 5 6 2" xfId="17262"/>
    <cellStyle name="Normal 9 3 5 6 2 2" xfId="33384"/>
    <cellStyle name="Normal 9 3 5 6 3" xfId="33383"/>
    <cellStyle name="Normal 9 3 5 7" xfId="17263"/>
    <cellStyle name="Normal 9 3 5 7 2" xfId="33385"/>
    <cellStyle name="Normal 9 3 5 8" xfId="7559"/>
    <cellStyle name="Normal 9 3 5 8 2" xfId="23721"/>
    <cellStyle name="Normal 9 3 6" xfId="3682"/>
    <cellStyle name="Normal 9 3 6 2" xfId="17264"/>
    <cellStyle name="Normal 9 3 6 2 2" xfId="17265"/>
    <cellStyle name="Normal 9 3 6 2 2 2" xfId="17266"/>
    <cellStyle name="Normal 9 3 6 2 2 2 2" xfId="33388"/>
    <cellStyle name="Normal 9 3 6 2 2 3" xfId="33387"/>
    <cellStyle name="Normal 9 3 6 2 3" xfId="17267"/>
    <cellStyle name="Normal 9 3 6 2 3 2" xfId="33389"/>
    <cellStyle name="Normal 9 3 6 2 4" xfId="33386"/>
    <cellStyle name="Normal 9 3 6 3" xfId="17268"/>
    <cellStyle name="Normal 9 3 6 3 2" xfId="17269"/>
    <cellStyle name="Normal 9 3 6 3 2 2" xfId="33391"/>
    <cellStyle name="Normal 9 3 6 3 3" xfId="33390"/>
    <cellStyle name="Normal 9 3 6 4" xfId="17270"/>
    <cellStyle name="Normal 9 3 6 4 2" xfId="17271"/>
    <cellStyle name="Normal 9 3 6 4 2 2" xfId="33393"/>
    <cellStyle name="Normal 9 3 6 4 3" xfId="33392"/>
    <cellStyle name="Normal 9 3 6 5" xfId="17272"/>
    <cellStyle name="Normal 9 3 6 5 2" xfId="33394"/>
    <cellStyle name="Normal 9 3 6 6" xfId="7560"/>
    <cellStyle name="Normal 9 3 6 6 2" xfId="23722"/>
    <cellStyle name="Normal 9 3 7" xfId="3683"/>
    <cellStyle name="Normal 9 3 7 2" xfId="17273"/>
    <cellStyle name="Normal 9 3 7 2 2" xfId="17274"/>
    <cellStyle name="Normal 9 3 7 2 2 2" xfId="17275"/>
    <cellStyle name="Normal 9 3 7 2 2 2 2" xfId="33397"/>
    <cellStyle name="Normal 9 3 7 2 2 3" xfId="33396"/>
    <cellStyle name="Normal 9 3 7 2 3" xfId="17276"/>
    <cellStyle name="Normal 9 3 7 2 3 2" xfId="33398"/>
    <cellStyle name="Normal 9 3 7 2 4" xfId="33395"/>
    <cellStyle name="Normal 9 3 7 3" xfId="17277"/>
    <cellStyle name="Normal 9 3 7 3 2" xfId="17278"/>
    <cellStyle name="Normal 9 3 7 3 2 2" xfId="33400"/>
    <cellStyle name="Normal 9 3 7 3 3" xfId="33399"/>
    <cellStyle name="Normal 9 3 7 4" xfId="17279"/>
    <cellStyle name="Normal 9 3 7 4 2" xfId="17280"/>
    <cellStyle name="Normal 9 3 7 4 2 2" xfId="33402"/>
    <cellStyle name="Normal 9 3 7 4 3" xfId="33401"/>
    <cellStyle name="Normal 9 3 7 5" xfId="17281"/>
    <cellStyle name="Normal 9 3 7 5 2" xfId="33403"/>
    <cellStyle name="Normal 9 3 7 6" xfId="7561"/>
    <cellStyle name="Normal 9 3 7 6 2" xfId="23723"/>
    <cellStyle name="Normal 9 3 8" xfId="3684"/>
    <cellStyle name="Normal 9 3 8 2" xfId="17282"/>
    <cellStyle name="Normal 9 3 8 2 2" xfId="17283"/>
    <cellStyle name="Normal 9 3 8 2 2 2" xfId="17284"/>
    <cellStyle name="Normal 9 3 8 2 2 2 2" xfId="33406"/>
    <cellStyle name="Normal 9 3 8 2 2 3" xfId="33405"/>
    <cellStyle name="Normal 9 3 8 2 3" xfId="17285"/>
    <cellStyle name="Normal 9 3 8 2 3 2" xfId="33407"/>
    <cellStyle name="Normal 9 3 8 2 4" xfId="33404"/>
    <cellStyle name="Normal 9 3 8 3" xfId="17286"/>
    <cellStyle name="Normal 9 3 8 3 2" xfId="17287"/>
    <cellStyle name="Normal 9 3 8 3 2 2" xfId="33409"/>
    <cellStyle name="Normal 9 3 8 3 3" xfId="33408"/>
    <cellStyle name="Normal 9 3 8 4" xfId="17288"/>
    <cellStyle name="Normal 9 3 8 4 2" xfId="17289"/>
    <cellStyle name="Normal 9 3 8 4 2 2" xfId="33411"/>
    <cellStyle name="Normal 9 3 8 4 3" xfId="33410"/>
    <cellStyle name="Normal 9 3 8 5" xfId="17290"/>
    <cellStyle name="Normal 9 3 8 5 2" xfId="33412"/>
    <cellStyle name="Normal 9 3 8 6" xfId="7562"/>
    <cellStyle name="Normal 9 3 8 6 2" xfId="23724"/>
    <cellStyle name="Normal 9 3 9" xfId="17291"/>
    <cellStyle name="Normal 9 3 9 2" xfId="17292"/>
    <cellStyle name="Normal 9 3 9 2 2" xfId="17293"/>
    <cellStyle name="Normal 9 3 9 2 2 2" xfId="17294"/>
    <cellStyle name="Normal 9 3 9 2 2 2 2" xfId="33416"/>
    <cellStyle name="Normal 9 3 9 2 2 3" xfId="33415"/>
    <cellStyle name="Normal 9 3 9 2 3" xfId="17295"/>
    <cellStyle name="Normal 9 3 9 2 3 2" xfId="33417"/>
    <cellStyle name="Normal 9 3 9 2 4" xfId="33414"/>
    <cellStyle name="Normal 9 3 9 3" xfId="17296"/>
    <cellStyle name="Normal 9 3 9 3 2" xfId="17297"/>
    <cellStyle name="Normal 9 3 9 3 2 2" xfId="33419"/>
    <cellStyle name="Normal 9 3 9 3 3" xfId="33418"/>
    <cellStyle name="Normal 9 3 9 4" xfId="17298"/>
    <cellStyle name="Normal 9 3 9 4 2" xfId="17299"/>
    <cellStyle name="Normal 9 3 9 4 2 2" xfId="33421"/>
    <cellStyle name="Normal 9 3 9 4 3" xfId="33420"/>
    <cellStyle name="Normal 9 3 9 5" xfId="17300"/>
    <cellStyle name="Normal 9 3 9 5 2" xfId="33422"/>
    <cellStyle name="Normal 9 3 9 6" xfId="33413"/>
    <cellStyle name="Normal 9 3_Achampally-Gattubuthkur-Ganga-CRR" xfId="27"/>
    <cellStyle name="Normal 9 4" xfId="3685"/>
    <cellStyle name="Normal 9 4 10" xfId="17301"/>
    <cellStyle name="Normal 9 4 10 2" xfId="33423"/>
    <cellStyle name="Normal 9 4 11" xfId="17302"/>
    <cellStyle name="Normal 9 4 11 2" xfId="33424"/>
    <cellStyle name="Normal 9 4 12" xfId="17303"/>
    <cellStyle name="Normal 9 4 12 2" xfId="33425"/>
    <cellStyle name="Normal 9 4 13" xfId="17304"/>
    <cellStyle name="Normal 9 4 13 2" xfId="33426"/>
    <cellStyle name="Normal 9 4 14" xfId="17305"/>
    <cellStyle name="Normal 9 4 14 2" xfId="33427"/>
    <cellStyle name="Normal 9 4 15" xfId="17306"/>
    <cellStyle name="Normal 9 4 15 2" xfId="33428"/>
    <cellStyle name="Normal 9 4 16" xfId="17307"/>
    <cellStyle name="Normal 9 4 16 2" xfId="33429"/>
    <cellStyle name="Normal 9 4 17" xfId="17308"/>
    <cellStyle name="Normal 9 4 17 2" xfId="33430"/>
    <cellStyle name="Normal 9 4 18" xfId="7563"/>
    <cellStyle name="Normal 9 4 18 2" xfId="23725"/>
    <cellStyle name="Normal 9 4 2" xfId="3687"/>
    <cellStyle name="Normal 9 4 2 2" xfId="7564"/>
    <cellStyle name="Normal 9 4 2 2 2" xfId="23726"/>
    <cellStyle name="Normal 9 4 3" xfId="3689"/>
    <cellStyle name="Normal 9 4 3 2" xfId="7566"/>
    <cellStyle name="Normal 9 4 3 2 2" xfId="23728"/>
    <cellStyle name="Normal 9 4 4" xfId="3691"/>
    <cellStyle name="Normal 9 4 4 2" xfId="7568"/>
    <cellStyle name="Normal 9 4 4 2 2" xfId="23730"/>
    <cellStyle name="Normal 9 4 5" xfId="3693"/>
    <cellStyle name="Normal 9 4 5 2" xfId="7570"/>
    <cellStyle name="Normal 9 4 5 2 2" xfId="23732"/>
    <cellStyle name="Normal 9 4 6" xfId="3695"/>
    <cellStyle name="Normal 9 4 6 2" xfId="7572"/>
    <cellStyle name="Normal 9 4 6 2 2" xfId="23734"/>
    <cellStyle name="Normal 9 4 7" xfId="3696"/>
    <cellStyle name="Normal 9 4 7 2" xfId="7574"/>
    <cellStyle name="Normal 9 4 7 2 2" xfId="23736"/>
    <cellStyle name="Normal 9 4 8" xfId="3697"/>
    <cellStyle name="Normal 9 4 8 2" xfId="7575"/>
    <cellStyle name="Normal 9 4 8 2 2" xfId="23737"/>
    <cellStyle name="Normal 9 4 9" xfId="17309"/>
    <cellStyle name="Normal 9 4 9 2" xfId="33431"/>
    <cellStyle name="Normal 9 5" xfId="3698"/>
    <cellStyle name="Normal 9 5 10" xfId="17310"/>
    <cellStyle name="Normal 9 5 10 2" xfId="33432"/>
    <cellStyle name="Normal 9 5 11" xfId="17311"/>
    <cellStyle name="Normal 9 5 11 2" xfId="33433"/>
    <cellStyle name="Normal 9 5 12" xfId="17312"/>
    <cellStyle name="Normal 9 5 12 2" xfId="33434"/>
    <cellStyle name="Normal 9 5 13" xfId="17313"/>
    <cellStyle name="Normal 9 5 13 2" xfId="33435"/>
    <cellStyle name="Normal 9 5 14" xfId="17314"/>
    <cellStyle name="Normal 9 5 14 2" xfId="33436"/>
    <cellStyle name="Normal 9 5 15" xfId="17315"/>
    <cellStyle name="Normal 9 5 15 2" xfId="33437"/>
    <cellStyle name="Normal 9 5 16" xfId="17316"/>
    <cellStyle name="Normal 9 5 16 2" xfId="33438"/>
    <cellStyle name="Normal 9 5 17" xfId="17317"/>
    <cellStyle name="Normal 9 5 17 2" xfId="33439"/>
    <cellStyle name="Normal 9 5 18" xfId="7576"/>
    <cellStyle name="Normal 9 5 18 2" xfId="23738"/>
    <cellStyle name="Normal 9 5 2" xfId="3699"/>
    <cellStyle name="Normal 9 5 2 2" xfId="7577"/>
    <cellStyle name="Normal 9 5 2 2 2" xfId="23739"/>
    <cellStyle name="Normal 9 5 3" xfId="3700"/>
    <cellStyle name="Normal 9 5 3 2" xfId="7578"/>
    <cellStyle name="Normal 9 5 3 2 2" xfId="23740"/>
    <cellStyle name="Normal 9 5 4" xfId="3701"/>
    <cellStyle name="Normal 9 5 4 2" xfId="7579"/>
    <cellStyle name="Normal 9 5 4 2 2" xfId="23741"/>
    <cellStyle name="Normal 9 5 5" xfId="3702"/>
    <cellStyle name="Normal 9 5 5 2" xfId="7580"/>
    <cellStyle name="Normal 9 5 5 2 2" xfId="23742"/>
    <cellStyle name="Normal 9 5 6" xfId="3703"/>
    <cellStyle name="Normal 9 5 6 2" xfId="7581"/>
    <cellStyle name="Normal 9 5 6 2 2" xfId="23743"/>
    <cellStyle name="Normal 9 5 7" xfId="3704"/>
    <cellStyle name="Normal 9 5 7 2" xfId="7582"/>
    <cellStyle name="Normal 9 5 7 2 2" xfId="23744"/>
    <cellStyle name="Normal 9 5 8" xfId="3705"/>
    <cellStyle name="Normal 9 5 8 2" xfId="7583"/>
    <cellStyle name="Normal 9 5 8 2 2" xfId="23745"/>
    <cellStyle name="Normal 9 5 9" xfId="17318"/>
    <cellStyle name="Normal 9 5 9 2" xfId="33440"/>
    <cellStyle name="Normal 9 6" xfId="3706"/>
    <cellStyle name="Normal 9 6 10" xfId="17319"/>
    <cellStyle name="Normal 9 6 10 2" xfId="33441"/>
    <cellStyle name="Normal 9 6 11" xfId="17320"/>
    <cellStyle name="Normal 9 6 11 2" xfId="33442"/>
    <cellStyle name="Normal 9 6 12" xfId="17321"/>
    <cellStyle name="Normal 9 6 12 2" xfId="33443"/>
    <cellStyle name="Normal 9 6 13" xfId="17322"/>
    <cellStyle name="Normal 9 6 13 2" xfId="33444"/>
    <cellStyle name="Normal 9 6 14" xfId="17323"/>
    <cellStyle name="Normal 9 6 14 2" xfId="33445"/>
    <cellStyle name="Normal 9 6 15" xfId="17324"/>
    <cellStyle name="Normal 9 6 15 2" xfId="33446"/>
    <cellStyle name="Normal 9 6 16" xfId="17325"/>
    <cellStyle name="Normal 9 6 16 2" xfId="33447"/>
    <cellStyle name="Normal 9 6 17" xfId="17326"/>
    <cellStyle name="Normal 9 6 17 2" xfId="33448"/>
    <cellStyle name="Normal 9 6 18" xfId="7584"/>
    <cellStyle name="Normal 9 6 18 2" xfId="23746"/>
    <cellStyle name="Normal 9 6 2" xfId="3707"/>
    <cellStyle name="Normal 9 6 2 2" xfId="7585"/>
    <cellStyle name="Normal 9 6 2 2 2" xfId="23747"/>
    <cellStyle name="Normal 9 6 3" xfId="3708"/>
    <cellStyle name="Normal 9 6 3 2" xfId="7586"/>
    <cellStyle name="Normal 9 6 3 2 2" xfId="23748"/>
    <cellStyle name="Normal 9 6 4" xfId="3709"/>
    <cellStyle name="Normal 9 6 4 2" xfId="7587"/>
    <cellStyle name="Normal 9 6 4 2 2" xfId="23749"/>
    <cellStyle name="Normal 9 6 5" xfId="3710"/>
    <cellStyle name="Normal 9 6 5 2" xfId="7588"/>
    <cellStyle name="Normal 9 6 5 2 2" xfId="23750"/>
    <cellStyle name="Normal 9 6 6" xfId="3711"/>
    <cellStyle name="Normal 9 6 6 2" xfId="7589"/>
    <cellStyle name="Normal 9 6 6 2 2" xfId="23751"/>
    <cellStyle name="Normal 9 6 7" xfId="3712"/>
    <cellStyle name="Normal 9 6 7 2" xfId="7590"/>
    <cellStyle name="Normal 9 6 7 2 2" xfId="23752"/>
    <cellStyle name="Normal 9 6 8" xfId="3713"/>
    <cellStyle name="Normal 9 6 8 2" xfId="7591"/>
    <cellStyle name="Normal 9 6 8 2 2" xfId="23753"/>
    <cellStyle name="Normal 9 6 9" xfId="17327"/>
    <cellStyle name="Normal 9 6 9 2" xfId="33449"/>
    <cellStyle name="Normal 9 7" xfId="3714"/>
    <cellStyle name="Normal 9 7 10" xfId="17328"/>
    <cellStyle name="Normal 9 7 10 2" xfId="33450"/>
    <cellStyle name="Normal 9 7 11" xfId="17329"/>
    <cellStyle name="Normal 9 7 11 2" xfId="33451"/>
    <cellStyle name="Normal 9 7 12" xfId="17330"/>
    <cellStyle name="Normal 9 7 12 2" xfId="33452"/>
    <cellStyle name="Normal 9 7 13" xfId="17331"/>
    <cellStyle name="Normal 9 7 13 2" xfId="33453"/>
    <cellStyle name="Normal 9 7 14" xfId="17332"/>
    <cellStyle name="Normal 9 7 14 2" xfId="33454"/>
    <cellStyle name="Normal 9 7 15" xfId="17333"/>
    <cellStyle name="Normal 9 7 15 2" xfId="33455"/>
    <cellStyle name="Normal 9 7 16" xfId="17334"/>
    <cellStyle name="Normal 9 7 16 2" xfId="33456"/>
    <cellStyle name="Normal 9 7 17" xfId="17335"/>
    <cellStyle name="Normal 9 7 17 2" xfId="33457"/>
    <cellStyle name="Normal 9 7 18" xfId="7592"/>
    <cellStyle name="Normal 9 7 18 2" xfId="23754"/>
    <cellStyle name="Normal 9 7 2" xfId="3715"/>
    <cellStyle name="Normal 9 7 2 2" xfId="7593"/>
    <cellStyle name="Normal 9 7 2 2 2" xfId="23755"/>
    <cellStyle name="Normal 9 7 3" xfId="3716"/>
    <cellStyle name="Normal 9 7 3 2" xfId="7594"/>
    <cellStyle name="Normal 9 7 3 2 2" xfId="23756"/>
    <cellStyle name="Normal 9 7 4" xfId="3717"/>
    <cellStyle name="Normal 9 7 4 2" xfId="7595"/>
    <cellStyle name="Normal 9 7 4 2 2" xfId="23757"/>
    <cellStyle name="Normal 9 7 5" xfId="3718"/>
    <cellStyle name="Normal 9 7 5 2" xfId="7596"/>
    <cellStyle name="Normal 9 7 5 2 2" xfId="23758"/>
    <cellStyle name="Normal 9 7 6" xfId="3719"/>
    <cellStyle name="Normal 9 7 6 2" xfId="7597"/>
    <cellStyle name="Normal 9 7 6 2 2" xfId="23759"/>
    <cellStyle name="Normal 9 7 7" xfId="3720"/>
    <cellStyle name="Normal 9 7 7 2" xfId="7598"/>
    <cellStyle name="Normal 9 7 7 2 2" xfId="23760"/>
    <cellStyle name="Normal 9 7 8" xfId="3721"/>
    <cellStyle name="Normal 9 7 8 2" xfId="7599"/>
    <cellStyle name="Normal 9 7 8 2 2" xfId="23761"/>
    <cellStyle name="Normal 9 7 9" xfId="17336"/>
    <cellStyle name="Normal 9 7 9 2" xfId="33458"/>
    <cellStyle name="Normal 9 8" xfId="3723"/>
    <cellStyle name="Normal 9 8 10" xfId="17337"/>
    <cellStyle name="Normal 9 8 10 2" xfId="33459"/>
    <cellStyle name="Normal 9 8 11" xfId="17338"/>
    <cellStyle name="Normal 9 8 11 2" xfId="33460"/>
    <cellStyle name="Normal 9 8 12" xfId="17339"/>
    <cellStyle name="Normal 9 8 12 2" xfId="33461"/>
    <cellStyle name="Normal 9 8 13" xfId="17340"/>
    <cellStyle name="Normal 9 8 13 2" xfId="33462"/>
    <cellStyle name="Normal 9 8 14" xfId="17341"/>
    <cellStyle name="Normal 9 8 14 2" xfId="33463"/>
    <cellStyle name="Normal 9 8 15" xfId="17342"/>
    <cellStyle name="Normal 9 8 15 2" xfId="33464"/>
    <cellStyle name="Normal 9 8 16" xfId="17343"/>
    <cellStyle name="Normal 9 8 16 2" xfId="33465"/>
    <cellStyle name="Normal 9 8 17" xfId="17344"/>
    <cellStyle name="Normal 9 8 17 2" xfId="33466"/>
    <cellStyle name="Normal 9 8 18" xfId="7600"/>
    <cellStyle name="Normal 9 8 18 2" xfId="23762"/>
    <cellStyle name="Normal 9 8 2" xfId="3724"/>
    <cellStyle name="Normal 9 8 2 2" xfId="7602"/>
    <cellStyle name="Normal 9 8 2 2 2" xfId="23764"/>
    <cellStyle name="Normal 9 8 3" xfId="3725"/>
    <cellStyle name="Normal 9 8 3 2" xfId="7603"/>
    <cellStyle name="Normal 9 8 3 2 2" xfId="23765"/>
    <cellStyle name="Normal 9 8 4" xfId="3726"/>
    <cellStyle name="Normal 9 8 4 2" xfId="7604"/>
    <cellStyle name="Normal 9 8 4 2 2" xfId="23766"/>
    <cellStyle name="Normal 9 8 5" xfId="3727"/>
    <cellStyle name="Normal 9 8 5 2" xfId="7605"/>
    <cellStyle name="Normal 9 8 5 2 2" xfId="23767"/>
    <cellStyle name="Normal 9 8 6" xfId="3728"/>
    <cellStyle name="Normal 9 8 6 2" xfId="7606"/>
    <cellStyle name="Normal 9 8 6 2 2" xfId="23768"/>
    <cellStyle name="Normal 9 8 7" xfId="3729"/>
    <cellStyle name="Normal 9 8 7 2" xfId="7607"/>
    <cellStyle name="Normal 9 8 7 2 2" xfId="23769"/>
    <cellStyle name="Normal 9 8 8" xfId="3730"/>
    <cellStyle name="Normal 9 8 8 2" xfId="7608"/>
    <cellStyle name="Normal 9 8 8 2 2" xfId="23770"/>
    <cellStyle name="Normal 9 8 9" xfId="17345"/>
    <cellStyle name="Normal 9 8 9 2" xfId="33467"/>
    <cellStyle name="Normal 9 9" xfId="3732"/>
    <cellStyle name="Normal 9 9 10" xfId="17346"/>
    <cellStyle name="Normal 9 9 10 2" xfId="33468"/>
    <cellStyle name="Normal 9 9 11" xfId="17347"/>
    <cellStyle name="Normal 9 9 11 2" xfId="33469"/>
    <cellStyle name="Normal 9 9 12" xfId="17348"/>
    <cellStyle name="Normal 9 9 12 2" xfId="33470"/>
    <cellStyle name="Normal 9 9 13" xfId="17349"/>
    <cellStyle name="Normal 9 9 13 2" xfId="33471"/>
    <cellStyle name="Normal 9 9 14" xfId="17350"/>
    <cellStyle name="Normal 9 9 14 2" xfId="33472"/>
    <cellStyle name="Normal 9 9 15" xfId="17351"/>
    <cellStyle name="Normal 9 9 15 2" xfId="33473"/>
    <cellStyle name="Normal 9 9 16" xfId="17352"/>
    <cellStyle name="Normal 9 9 16 2" xfId="33474"/>
    <cellStyle name="Normal 9 9 17" xfId="17353"/>
    <cellStyle name="Normal 9 9 17 2" xfId="33475"/>
    <cellStyle name="Normal 9 9 18" xfId="7609"/>
    <cellStyle name="Normal 9 9 18 2" xfId="23771"/>
    <cellStyle name="Normal 9 9 2" xfId="3734"/>
    <cellStyle name="Normal 9 9 2 2" xfId="7611"/>
    <cellStyle name="Normal 9 9 2 2 2" xfId="23773"/>
    <cellStyle name="Normal 9 9 3" xfId="3736"/>
    <cellStyle name="Normal 9 9 3 2" xfId="7613"/>
    <cellStyle name="Normal 9 9 3 2 2" xfId="23775"/>
    <cellStyle name="Normal 9 9 4" xfId="3739"/>
    <cellStyle name="Normal 9 9 4 2" xfId="7615"/>
    <cellStyle name="Normal 9 9 4 2 2" xfId="23777"/>
    <cellStyle name="Normal 9 9 5" xfId="3742"/>
    <cellStyle name="Normal 9 9 5 2" xfId="7618"/>
    <cellStyle name="Normal 9 9 5 2 2" xfId="23780"/>
    <cellStyle name="Normal 9 9 6" xfId="3744"/>
    <cellStyle name="Normal 9 9 6 2" xfId="7621"/>
    <cellStyle name="Normal 9 9 6 2 2" xfId="23783"/>
    <cellStyle name="Normal 9 9 7" xfId="2810"/>
    <cellStyle name="Normal 9 9 7 2" xfId="6702"/>
    <cellStyle name="Normal 9 9 7 2 2" xfId="22864"/>
    <cellStyle name="Normal 9 9 8" xfId="2813"/>
    <cellStyle name="Normal 9 9 8 2" xfId="6705"/>
    <cellStyle name="Normal 9 9 8 2 2" xfId="22867"/>
    <cellStyle name="Normal 9 9 9" xfId="17354"/>
    <cellStyle name="Normal 9 9 9 2" xfId="33476"/>
    <cellStyle name="Normal 9_126  NAGANOOL TO GADDAMPALLY  - 82.50  LAKHS" xfId="17355"/>
    <cellStyle name="Normal 90" xfId="3964"/>
    <cellStyle name="Normal 90 2" xfId="17356"/>
    <cellStyle name="Normal 90 2 2" xfId="33477"/>
    <cellStyle name="Normal 90 3" xfId="7825"/>
    <cellStyle name="Normal 90 3 2" xfId="23987"/>
    <cellStyle name="Normal_Data" xfId="518"/>
    <cellStyle name="Normal_Estimate Anaarpally 0.0 to 0.4" xfId="35079"/>
    <cellStyle name="Normal_Gudipalli (Chennur-RIDF-13)" xfId="3745"/>
    <cellStyle name="Normal_HLB  at Musapet -Nizalapur-WELL" xfId="35080"/>
    <cellStyle name="Normal_Kallepally-Gunturpalli (Bejjenki)6m-2v" xfId="288"/>
    <cellStyle name="Normal_lead_Kondepi" xfId="3747"/>
    <cellStyle name="Normal_lead_Kondepi 2" xfId="3748"/>
    <cellStyle name="Normal_Model Estimate-2012-13_ABUTMENT-Multi-Flywing-pvt - 3steps" xfId="35084"/>
    <cellStyle name="Normal_model note for PH-X works 2" xfId="598"/>
    <cellStyle name="Normal_model note for PH-X works 2 2" xfId="4534"/>
    <cellStyle name="Normal_MTC" xfId="2062"/>
    <cellStyle name="Normal_Nenneal to Kushnepalli (Chennur)" xfId="3749"/>
    <cellStyle name="Normal_NP3 pipe variation" xfId="3470"/>
    <cellStyle name="Normal_phaseVI_CC__Kullupadu-Tajangi to Locheli" xfId="879"/>
    <cellStyle name="Normal_PMGSY Model Est 06.09.10" xfId="1618"/>
    <cellStyle name="Normal_PMGSY_CGG_DATA_MODEL_2010_11" xfId="975"/>
    <cellStyle name="Normal_PMGSY_CGG_DATA_MODEL_2010_11 2" xfId="18961"/>
    <cellStyle name="Normal_PMGSY_CGG_DATA_MODEL_2010_11-temp" xfId="2578"/>
    <cellStyle name="Normal_PMGSY_CGG_DATA_MODEL_2010_11-temp 2" xfId="18964"/>
    <cellStyle name="Normal_PMGSY_CGG_DATA_MODEL_2010_11-temp-2" xfId="2833"/>
    <cellStyle name="Normal_PMGSY_CGG_DATA_MODEL_2010_11-temp-2 2" xfId="3751"/>
    <cellStyle name="Normal_PMGSY_CGG_DATA_MODEL_2010_11-temp-2 3" xfId="3753"/>
    <cellStyle name="Normal_PMGSY_CGG_DATA_MODEL_2010_11-temp-2 3 2" xfId="3755"/>
    <cellStyle name="Normal_Reach-II(10.850 to 21.850)" xfId="3756"/>
    <cellStyle name="Normal_RIDF XVI PH -II Shedule of Papakkapalli" xfId="1925"/>
    <cellStyle name="Normal_Road Furniture Data(9-12)" xfId="3757"/>
    <cellStyle name="Normal_Sch-DS_Road_to_Thammadapalli_-PKSM" xfId="3758"/>
    <cellStyle name="Normal_Sch-Mentepally to Nachahalli via Raghavendranagar" xfId="41"/>
    <cellStyle name="Normal_Sheet1" xfId="1454"/>
    <cellStyle name="Normal_Srikakulam &amp; Vizianagaram-26.11.05" xfId="3759"/>
    <cellStyle name="Normal_Waghapur" xfId="3760"/>
    <cellStyle name="Normal_Waghapur 2" xfId="1617"/>
    <cellStyle name="Normal_xx" xfId="2357"/>
    <cellStyle name="Normal_xx 6" xfId="2349"/>
    <cellStyle name="Note 10" xfId="17357"/>
    <cellStyle name="Note 10 2" xfId="33478"/>
    <cellStyle name="Note 11" xfId="17358"/>
    <cellStyle name="Note 11 2" xfId="33479"/>
    <cellStyle name="Note 12" xfId="17359"/>
    <cellStyle name="Note 12 2" xfId="33480"/>
    <cellStyle name="Note 13" xfId="17360"/>
    <cellStyle name="Note 13 2" xfId="33481"/>
    <cellStyle name="Note 14" xfId="17361"/>
    <cellStyle name="Note 14 2" xfId="33482"/>
    <cellStyle name="Note 15" xfId="17362"/>
    <cellStyle name="Note 15 2" xfId="33483"/>
    <cellStyle name="Note 16" xfId="17363"/>
    <cellStyle name="Note 16 2" xfId="33484"/>
    <cellStyle name="Note 17" xfId="17364"/>
    <cellStyle name="Note 17 2" xfId="33485"/>
    <cellStyle name="Note 18" xfId="17365"/>
    <cellStyle name="Note 18 2" xfId="33486"/>
    <cellStyle name="Note 2" xfId="3761"/>
    <cellStyle name="Note 2 10" xfId="1124"/>
    <cellStyle name="Note 2 10 10" xfId="17366"/>
    <cellStyle name="Note 2 10 10 2" xfId="33487"/>
    <cellStyle name="Note 2 10 11" xfId="17367"/>
    <cellStyle name="Note 2 10 11 2" xfId="33488"/>
    <cellStyle name="Note 2 10 12" xfId="17368"/>
    <cellStyle name="Note 2 10 12 2" xfId="33489"/>
    <cellStyle name="Note 2 10 13" xfId="17369"/>
    <cellStyle name="Note 2 10 13 2" xfId="33490"/>
    <cellStyle name="Note 2 10 14" xfId="17370"/>
    <cellStyle name="Note 2 10 14 2" xfId="33491"/>
    <cellStyle name="Note 2 10 15" xfId="17371"/>
    <cellStyle name="Note 2 10 15 2" xfId="33492"/>
    <cellStyle name="Note 2 10 16" xfId="17372"/>
    <cellStyle name="Note 2 10 16 2" xfId="33493"/>
    <cellStyle name="Note 2 10 17" xfId="17373"/>
    <cellStyle name="Note 2 10 17 2" xfId="33494"/>
    <cellStyle name="Note 2 10 18" xfId="5046"/>
    <cellStyle name="Note 2 10 18 2" xfId="21208"/>
    <cellStyle name="Note 2 10 19" xfId="19319"/>
    <cellStyle name="Note 2 10 2" xfId="3763"/>
    <cellStyle name="Note 2 10 2 2" xfId="7627"/>
    <cellStyle name="Note 2 10 2 2 2" xfId="23789"/>
    <cellStyle name="Note 2 10 2 3" xfId="20068"/>
    <cellStyle name="Note 2 10 3" xfId="3765"/>
    <cellStyle name="Note 2 10 3 2" xfId="7629"/>
    <cellStyle name="Note 2 10 3 2 2" xfId="23791"/>
    <cellStyle name="Note 2 10 3 3" xfId="20069"/>
    <cellStyle name="Note 2 10 4" xfId="3767"/>
    <cellStyle name="Note 2 10 4 2" xfId="7631"/>
    <cellStyle name="Note 2 10 4 2 2" xfId="23793"/>
    <cellStyle name="Note 2 10 4 3" xfId="20070"/>
    <cellStyle name="Note 2 10 5" xfId="3092"/>
    <cellStyle name="Note 2 10 5 2" xfId="6977"/>
    <cellStyle name="Note 2 10 5 2 2" xfId="23139"/>
    <cellStyle name="Note 2 10 5 3" xfId="19890"/>
    <cellStyle name="Note 2 10 6" xfId="3094"/>
    <cellStyle name="Note 2 10 6 2" xfId="6979"/>
    <cellStyle name="Note 2 10 6 2 2" xfId="23141"/>
    <cellStyle name="Note 2 10 6 3" xfId="19892"/>
    <cellStyle name="Note 2 10 7" xfId="3097"/>
    <cellStyle name="Note 2 10 7 2" xfId="6982"/>
    <cellStyle name="Note 2 10 7 2 2" xfId="23144"/>
    <cellStyle name="Note 2 10 7 3" xfId="19895"/>
    <cellStyle name="Note 2 10 8" xfId="3102"/>
    <cellStyle name="Note 2 10 8 2" xfId="6987"/>
    <cellStyle name="Note 2 10 8 2 2" xfId="23149"/>
    <cellStyle name="Note 2 10 8 3" xfId="19899"/>
    <cellStyle name="Note 2 10 9" xfId="17374"/>
    <cellStyle name="Note 2 10 9 2" xfId="33495"/>
    <cellStyle name="Note 2 11" xfId="1128"/>
    <cellStyle name="Note 2 11 2" xfId="5050"/>
    <cellStyle name="Note 2 11 2 2" xfId="21212"/>
    <cellStyle name="Note 2 11 3" xfId="19321"/>
    <cellStyle name="Note 2 12" xfId="2257"/>
    <cellStyle name="Note 2 12 2" xfId="6158"/>
    <cellStyle name="Note 2 12 2 2" xfId="22320"/>
    <cellStyle name="Note 2 12 3" xfId="19626"/>
    <cellStyle name="Note 2 13" xfId="2260"/>
    <cellStyle name="Note 2 13 2" xfId="6161"/>
    <cellStyle name="Note 2 13 2 2" xfId="22323"/>
    <cellStyle name="Note 2 13 3" xfId="19627"/>
    <cellStyle name="Note 2 14" xfId="2265"/>
    <cellStyle name="Note 2 14 2" xfId="6166"/>
    <cellStyle name="Note 2 14 2 2" xfId="22328"/>
    <cellStyle name="Note 2 14 3" xfId="19628"/>
    <cellStyle name="Note 2 15" xfId="2433"/>
    <cellStyle name="Note 2 15 2" xfId="6328"/>
    <cellStyle name="Note 2 15 2 2" xfId="22490"/>
    <cellStyle name="Note 2 15 3" xfId="19655"/>
    <cellStyle name="Note 2 16" xfId="2436"/>
    <cellStyle name="Note 2 16 2" xfId="6331"/>
    <cellStyle name="Note 2 16 2 2" xfId="22493"/>
    <cellStyle name="Note 2 16 3" xfId="19656"/>
    <cellStyle name="Note 2 17" xfId="3768"/>
    <cellStyle name="Note 2 17 2" xfId="7633"/>
    <cellStyle name="Note 2 17 2 2" xfId="23795"/>
    <cellStyle name="Note 2 17 3" xfId="20071"/>
    <cellStyle name="Note 2 18" xfId="17375"/>
    <cellStyle name="Note 2 18 2" xfId="33496"/>
    <cellStyle name="Note 2 19" xfId="17376"/>
    <cellStyle name="Note 2 19 2" xfId="33497"/>
    <cellStyle name="Note 2 2" xfId="3769"/>
    <cellStyle name="Note 2 2 10" xfId="17377"/>
    <cellStyle name="Note 2 2 10 2" xfId="33498"/>
    <cellStyle name="Note 2 2 11" xfId="17378"/>
    <cellStyle name="Note 2 2 11 2" xfId="33499"/>
    <cellStyle name="Note 2 2 12" xfId="17379"/>
    <cellStyle name="Note 2 2 12 2" xfId="33500"/>
    <cellStyle name="Note 2 2 13" xfId="17380"/>
    <cellStyle name="Note 2 2 13 2" xfId="33501"/>
    <cellStyle name="Note 2 2 14" xfId="17381"/>
    <cellStyle name="Note 2 2 14 2" xfId="33502"/>
    <cellStyle name="Note 2 2 15" xfId="17382"/>
    <cellStyle name="Note 2 2 15 2" xfId="33503"/>
    <cellStyle name="Note 2 2 16" xfId="17383"/>
    <cellStyle name="Note 2 2 16 2" xfId="33504"/>
    <cellStyle name="Note 2 2 17" xfId="17384"/>
    <cellStyle name="Note 2 2 17 2" xfId="33505"/>
    <cellStyle name="Note 2 2 18" xfId="7634"/>
    <cellStyle name="Note 2 2 18 2" xfId="23796"/>
    <cellStyle name="Note 2 2 19" xfId="20072"/>
    <cellStyle name="Note 2 2 2" xfId="3770"/>
    <cellStyle name="Note 2 2 2 2" xfId="7635"/>
    <cellStyle name="Note 2 2 2 2 2" xfId="23797"/>
    <cellStyle name="Note 2 2 2 3" xfId="20073"/>
    <cellStyle name="Note 2 2 3" xfId="3772"/>
    <cellStyle name="Note 2 2 3 2" xfId="7636"/>
    <cellStyle name="Note 2 2 3 2 2" xfId="23798"/>
    <cellStyle name="Note 2 2 3 3" xfId="20075"/>
    <cellStyle name="Note 2 2 4" xfId="3773"/>
    <cellStyle name="Note 2 2 4 2" xfId="7637"/>
    <cellStyle name="Note 2 2 4 2 2" xfId="23799"/>
    <cellStyle name="Note 2 2 4 3" xfId="20076"/>
    <cellStyle name="Note 2 2 5" xfId="3774"/>
    <cellStyle name="Note 2 2 5 2" xfId="7638"/>
    <cellStyle name="Note 2 2 5 2 2" xfId="23800"/>
    <cellStyle name="Note 2 2 5 3" xfId="20077"/>
    <cellStyle name="Note 2 2 6" xfId="3775"/>
    <cellStyle name="Note 2 2 6 2" xfId="7639"/>
    <cellStyle name="Note 2 2 6 2 2" xfId="23801"/>
    <cellStyle name="Note 2 2 6 3" xfId="20078"/>
    <cellStyle name="Note 2 2 7" xfId="3776"/>
    <cellStyle name="Note 2 2 7 2" xfId="7640"/>
    <cellStyle name="Note 2 2 7 2 2" xfId="23802"/>
    <cellStyle name="Note 2 2 7 3" xfId="20079"/>
    <cellStyle name="Note 2 2 8" xfId="3777"/>
    <cellStyle name="Note 2 2 8 2" xfId="7641"/>
    <cellStyle name="Note 2 2 8 2 2" xfId="23803"/>
    <cellStyle name="Note 2 2 8 3" xfId="20080"/>
    <cellStyle name="Note 2 2 9" xfId="17385"/>
    <cellStyle name="Note 2 2 9 2" xfId="33506"/>
    <cellStyle name="Note 2 20" xfId="17386"/>
    <cellStyle name="Note 2 20 2" xfId="33507"/>
    <cellStyle name="Note 2 21" xfId="17387"/>
    <cellStyle name="Note 2 21 2" xfId="33508"/>
    <cellStyle name="Note 2 22" xfId="17388"/>
    <cellStyle name="Note 2 22 2" xfId="33509"/>
    <cellStyle name="Note 2 23" xfId="17389"/>
    <cellStyle name="Note 2 23 2" xfId="33510"/>
    <cellStyle name="Note 2 24" xfId="17390"/>
    <cellStyle name="Note 2 24 2" xfId="33511"/>
    <cellStyle name="Note 2 25" xfId="17391"/>
    <cellStyle name="Note 2 25 2" xfId="33512"/>
    <cellStyle name="Note 2 26" xfId="17392"/>
    <cellStyle name="Note 2 26 2" xfId="33513"/>
    <cellStyle name="Note 2 27" xfId="7626"/>
    <cellStyle name="Note 2 27 2" xfId="23788"/>
    <cellStyle name="Note 2 28" xfId="20067"/>
    <cellStyle name="Note 2 3" xfId="3778"/>
    <cellStyle name="Note 2 3 10" xfId="17393"/>
    <cellStyle name="Note 2 3 10 2" xfId="33514"/>
    <cellStyle name="Note 2 3 11" xfId="17394"/>
    <cellStyle name="Note 2 3 11 2" xfId="33515"/>
    <cellStyle name="Note 2 3 12" xfId="17395"/>
    <cellStyle name="Note 2 3 12 2" xfId="33516"/>
    <cellStyle name="Note 2 3 13" xfId="17396"/>
    <cellStyle name="Note 2 3 13 2" xfId="33517"/>
    <cellStyle name="Note 2 3 14" xfId="17397"/>
    <cellStyle name="Note 2 3 14 2" xfId="33518"/>
    <cellStyle name="Note 2 3 15" xfId="17398"/>
    <cellStyle name="Note 2 3 15 2" xfId="33519"/>
    <cellStyle name="Note 2 3 16" xfId="17399"/>
    <cellStyle name="Note 2 3 16 2" xfId="33520"/>
    <cellStyle name="Note 2 3 17" xfId="17400"/>
    <cellStyle name="Note 2 3 17 2" xfId="33521"/>
    <cellStyle name="Note 2 3 18" xfId="7642"/>
    <cellStyle name="Note 2 3 18 2" xfId="23804"/>
    <cellStyle name="Note 2 3 19" xfId="20081"/>
    <cellStyle name="Note 2 3 2" xfId="1941"/>
    <cellStyle name="Note 2 3 2 2" xfId="5848"/>
    <cellStyle name="Note 2 3 2 2 2" xfId="22010"/>
    <cellStyle name="Note 2 3 2 3" xfId="19602"/>
    <cellStyle name="Note 2 3 3" xfId="394"/>
    <cellStyle name="Note 2 3 3 2" xfId="4334"/>
    <cellStyle name="Note 2 3 3 2 2" xfId="20497"/>
    <cellStyle name="Note 2 3 3 3" xfId="19075"/>
    <cellStyle name="Note 2 3 4" xfId="405"/>
    <cellStyle name="Note 2 3 4 2" xfId="4344"/>
    <cellStyle name="Note 2 3 4 2 2" xfId="20507"/>
    <cellStyle name="Note 2 3 4 3" xfId="19079"/>
    <cellStyle name="Note 2 3 5" xfId="3187"/>
    <cellStyle name="Note 2 3 5 2" xfId="7072"/>
    <cellStyle name="Note 2 3 5 2 2" xfId="23234"/>
    <cellStyle name="Note 2 3 5 3" xfId="19952"/>
    <cellStyle name="Note 2 3 6" xfId="3779"/>
    <cellStyle name="Note 2 3 6 2" xfId="7643"/>
    <cellStyle name="Note 2 3 6 2 2" xfId="23805"/>
    <cellStyle name="Note 2 3 6 3" xfId="20082"/>
    <cellStyle name="Note 2 3 7" xfId="3780"/>
    <cellStyle name="Note 2 3 7 2" xfId="7644"/>
    <cellStyle name="Note 2 3 7 2 2" xfId="23806"/>
    <cellStyle name="Note 2 3 7 3" xfId="20083"/>
    <cellStyle name="Note 2 3 8" xfId="3781"/>
    <cellStyle name="Note 2 3 8 2" xfId="7645"/>
    <cellStyle name="Note 2 3 8 2 2" xfId="23807"/>
    <cellStyle name="Note 2 3 8 3" xfId="20084"/>
    <cellStyle name="Note 2 3 9" xfId="17401"/>
    <cellStyle name="Note 2 3 9 2" xfId="33522"/>
    <cellStyle name="Note 2 4" xfId="3782"/>
    <cellStyle name="Note 2 4 10" xfId="17402"/>
    <cellStyle name="Note 2 4 10 2" xfId="33523"/>
    <cellStyle name="Note 2 4 11" xfId="17403"/>
    <cellStyle name="Note 2 4 11 2" xfId="33524"/>
    <cellStyle name="Note 2 4 12" xfId="17404"/>
    <cellStyle name="Note 2 4 12 2" xfId="33525"/>
    <cellStyle name="Note 2 4 13" xfId="17405"/>
    <cellStyle name="Note 2 4 13 2" xfId="33526"/>
    <cellStyle name="Note 2 4 14" xfId="17406"/>
    <cellStyle name="Note 2 4 14 2" xfId="33527"/>
    <cellStyle name="Note 2 4 15" xfId="17407"/>
    <cellStyle name="Note 2 4 15 2" xfId="33528"/>
    <cellStyle name="Note 2 4 16" xfId="17408"/>
    <cellStyle name="Note 2 4 16 2" xfId="33529"/>
    <cellStyle name="Note 2 4 17" xfId="17409"/>
    <cellStyle name="Note 2 4 17 2" xfId="33530"/>
    <cellStyle name="Note 2 4 18" xfId="7646"/>
    <cellStyle name="Note 2 4 18 2" xfId="23808"/>
    <cellStyle name="Note 2 4 19" xfId="20085"/>
    <cellStyle name="Note 2 4 2" xfId="3196"/>
    <cellStyle name="Note 2 4 2 2" xfId="7080"/>
    <cellStyle name="Note 2 4 2 2 2" xfId="23242"/>
    <cellStyle name="Note 2 4 2 3" xfId="19956"/>
    <cellStyle name="Note 2 4 3" xfId="3199"/>
    <cellStyle name="Note 2 4 3 2" xfId="7083"/>
    <cellStyle name="Note 2 4 3 2 2" xfId="23245"/>
    <cellStyle name="Note 2 4 3 3" xfId="19958"/>
    <cellStyle name="Note 2 4 4" xfId="3201"/>
    <cellStyle name="Note 2 4 4 2" xfId="7086"/>
    <cellStyle name="Note 2 4 4 2 2" xfId="23248"/>
    <cellStyle name="Note 2 4 4 3" xfId="19959"/>
    <cellStyle name="Note 2 4 5" xfId="181"/>
    <cellStyle name="Note 2 4 5 2" xfId="4107"/>
    <cellStyle name="Note 2 4 5 2 2" xfId="20270"/>
    <cellStyle name="Note 2 4 5 3" xfId="19014"/>
    <cellStyle name="Note 2 4 6" xfId="3783"/>
    <cellStyle name="Note 2 4 6 2" xfId="7647"/>
    <cellStyle name="Note 2 4 6 2 2" xfId="23809"/>
    <cellStyle name="Note 2 4 6 3" xfId="20086"/>
    <cellStyle name="Note 2 4 7" xfId="3784"/>
    <cellStyle name="Note 2 4 7 2" xfId="7648"/>
    <cellStyle name="Note 2 4 7 2 2" xfId="23810"/>
    <cellStyle name="Note 2 4 7 3" xfId="20087"/>
    <cellStyle name="Note 2 4 8" xfId="3785"/>
    <cellStyle name="Note 2 4 8 2" xfId="7649"/>
    <cellStyle name="Note 2 4 8 2 2" xfId="23811"/>
    <cellStyle name="Note 2 4 8 3" xfId="20088"/>
    <cellStyle name="Note 2 4 9" xfId="17410"/>
    <cellStyle name="Note 2 4 9 2" xfId="33531"/>
    <cellStyle name="Note 2 5" xfId="3786"/>
    <cellStyle name="Note 2 5 10" xfId="17411"/>
    <cellStyle name="Note 2 5 10 2" xfId="33532"/>
    <cellStyle name="Note 2 5 11" xfId="17412"/>
    <cellStyle name="Note 2 5 11 2" xfId="33533"/>
    <cellStyle name="Note 2 5 12" xfId="17413"/>
    <cellStyle name="Note 2 5 12 2" xfId="33534"/>
    <cellStyle name="Note 2 5 13" xfId="17414"/>
    <cellStyle name="Note 2 5 13 2" xfId="33535"/>
    <cellStyle name="Note 2 5 14" xfId="17415"/>
    <cellStyle name="Note 2 5 14 2" xfId="33536"/>
    <cellStyle name="Note 2 5 15" xfId="17416"/>
    <cellStyle name="Note 2 5 15 2" xfId="33537"/>
    <cellStyle name="Note 2 5 16" xfId="17417"/>
    <cellStyle name="Note 2 5 16 2" xfId="33538"/>
    <cellStyle name="Note 2 5 17" xfId="17418"/>
    <cellStyle name="Note 2 5 17 2" xfId="33539"/>
    <cellStyle name="Note 2 5 18" xfId="7650"/>
    <cellStyle name="Note 2 5 18 2" xfId="23812"/>
    <cellStyle name="Note 2 5 19" xfId="20089"/>
    <cellStyle name="Note 2 5 2" xfId="3203"/>
    <cellStyle name="Note 2 5 2 2" xfId="7088"/>
    <cellStyle name="Note 2 5 2 2 2" xfId="23250"/>
    <cellStyle name="Note 2 5 2 3" xfId="19960"/>
    <cellStyle name="Note 2 5 3" xfId="1815"/>
    <cellStyle name="Note 2 5 3 2" xfId="5725"/>
    <cellStyle name="Note 2 5 3 2 2" xfId="21887"/>
    <cellStyle name="Note 2 5 3 3" xfId="19578"/>
    <cellStyle name="Note 2 5 4" xfId="1818"/>
    <cellStyle name="Note 2 5 4 2" xfId="5728"/>
    <cellStyle name="Note 2 5 4 2 2" xfId="21890"/>
    <cellStyle name="Note 2 5 4 3" xfId="19579"/>
    <cellStyle name="Note 2 5 5" xfId="1821"/>
    <cellStyle name="Note 2 5 5 2" xfId="5731"/>
    <cellStyle name="Note 2 5 5 2 2" xfId="21893"/>
    <cellStyle name="Note 2 5 5 3" xfId="19580"/>
    <cellStyle name="Note 2 5 6" xfId="1825"/>
    <cellStyle name="Note 2 5 6 2" xfId="5734"/>
    <cellStyle name="Note 2 5 6 2 2" xfId="21896"/>
    <cellStyle name="Note 2 5 6 3" xfId="19581"/>
    <cellStyle name="Note 2 5 7" xfId="795"/>
    <cellStyle name="Note 2 5 7 2" xfId="4723"/>
    <cellStyle name="Note 2 5 7 2 2" xfId="20885"/>
    <cellStyle name="Note 2 5 7 3" xfId="19187"/>
    <cellStyle name="Note 2 5 8" xfId="581"/>
    <cellStyle name="Note 2 5 8 2" xfId="4518"/>
    <cellStyle name="Note 2 5 8 2 2" xfId="20681"/>
    <cellStyle name="Note 2 5 8 3" xfId="19118"/>
    <cellStyle name="Note 2 5 9" xfId="17419"/>
    <cellStyle name="Note 2 5 9 2" xfId="33540"/>
    <cellStyle name="Note 2 6" xfId="865"/>
    <cellStyle name="Note 2 6 10" xfId="17420"/>
    <cellStyle name="Note 2 6 10 2" xfId="33541"/>
    <cellStyle name="Note 2 6 11" xfId="17421"/>
    <cellStyle name="Note 2 6 11 2" xfId="33542"/>
    <cellStyle name="Note 2 6 12" xfId="17422"/>
    <cellStyle name="Note 2 6 12 2" xfId="33543"/>
    <cellStyle name="Note 2 6 13" xfId="17423"/>
    <cellStyle name="Note 2 6 13 2" xfId="33544"/>
    <cellStyle name="Note 2 6 14" xfId="17424"/>
    <cellStyle name="Note 2 6 14 2" xfId="33545"/>
    <cellStyle name="Note 2 6 15" xfId="17425"/>
    <cellStyle name="Note 2 6 15 2" xfId="33546"/>
    <cellStyle name="Note 2 6 16" xfId="17426"/>
    <cellStyle name="Note 2 6 16 2" xfId="33547"/>
    <cellStyle name="Note 2 6 17" xfId="17427"/>
    <cellStyle name="Note 2 6 17 2" xfId="33548"/>
    <cellStyle name="Note 2 6 18" xfId="4792"/>
    <cellStyle name="Note 2 6 18 2" xfId="20954"/>
    <cellStyle name="Note 2 6 19" xfId="19213"/>
    <cellStyle name="Note 2 6 2" xfId="2877"/>
    <cellStyle name="Note 2 6 2 2" xfId="6767"/>
    <cellStyle name="Note 2 6 2 2 2" xfId="22929"/>
    <cellStyle name="Note 2 6 2 3" xfId="19819"/>
    <cellStyle name="Note 2 6 3" xfId="1762"/>
    <cellStyle name="Note 2 6 3 2" xfId="5671"/>
    <cellStyle name="Note 2 6 3 2 2" xfId="21833"/>
    <cellStyle name="Note 2 6 3 3" xfId="19571"/>
    <cellStyle name="Note 2 6 4" xfId="1828"/>
    <cellStyle name="Note 2 6 4 2" xfId="5737"/>
    <cellStyle name="Note 2 6 4 2 2" xfId="21899"/>
    <cellStyle name="Note 2 6 4 3" xfId="19582"/>
    <cellStyle name="Note 2 6 5" xfId="1831"/>
    <cellStyle name="Note 2 6 5 2" xfId="5740"/>
    <cellStyle name="Note 2 6 5 2 2" xfId="21902"/>
    <cellStyle name="Note 2 6 5 3" xfId="19583"/>
    <cellStyle name="Note 2 6 6" xfId="1834"/>
    <cellStyle name="Note 2 6 6 2" xfId="5743"/>
    <cellStyle name="Note 2 6 6 2 2" xfId="21905"/>
    <cellStyle name="Note 2 6 6 3" xfId="19584"/>
    <cellStyle name="Note 2 6 7" xfId="1836"/>
    <cellStyle name="Note 2 6 7 2" xfId="5745"/>
    <cellStyle name="Note 2 6 7 2 2" xfId="21907"/>
    <cellStyle name="Note 2 6 7 3" xfId="19585"/>
    <cellStyle name="Note 2 6 8" xfId="507"/>
    <cellStyle name="Note 2 6 8 2" xfId="4447"/>
    <cellStyle name="Note 2 6 8 2 2" xfId="20610"/>
    <cellStyle name="Note 2 6 8 3" xfId="19100"/>
    <cellStyle name="Note 2 6 9" xfId="17428"/>
    <cellStyle name="Note 2 6 9 2" xfId="33549"/>
    <cellStyle name="Note 2 7" xfId="3787"/>
    <cellStyle name="Note 2 7 10" xfId="17429"/>
    <cellStyle name="Note 2 7 10 2" xfId="33550"/>
    <cellStyle name="Note 2 7 11" xfId="17430"/>
    <cellStyle name="Note 2 7 11 2" xfId="33551"/>
    <cellStyle name="Note 2 7 12" xfId="17431"/>
    <cellStyle name="Note 2 7 12 2" xfId="33552"/>
    <cellStyle name="Note 2 7 13" xfId="17432"/>
    <cellStyle name="Note 2 7 13 2" xfId="33553"/>
    <cellStyle name="Note 2 7 14" xfId="17433"/>
    <cellStyle name="Note 2 7 14 2" xfId="33554"/>
    <cellStyle name="Note 2 7 15" xfId="17434"/>
    <cellStyle name="Note 2 7 15 2" xfId="33555"/>
    <cellStyle name="Note 2 7 16" xfId="17435"/>
    <cellStyle name="Note 2 7 16 2" xfId="33556"/>
    <cellStyle name="Note 2 7 17" xfId="17436"/>
    <cellStyle name="Note 2 7 17 2" xfId="33557"/>
    <cellStyle name="Note 2 7 18" xfId="7651"/>
    <cellStyle name="Note 2 7 18 2" xfId="23813"/>
    <cellStyle name="Note 2 7 19" xfId="20090"/>
    <cellStyle name="Note 2 7 2" xfId="3215"/>
    <cellStyle name="Note 2 7 2 2" xfId="7100"/>
    <cellStyle name="Note 2 7 2 2 2" xfId="23262"/>
    <cellStyle name="Note 2 7 2 3" xfId="19961"/>
    <cellStyle name="Note 2 7 3" xfId="737"/>
    <cellStyle name="Note 2 7 3 2" xfId="4666"/>
    <cellStyle name="Note 2 7 3 2 2" xfId="20828"/>
    <cellStyle name="Note 2 7 3 3" xfId="19172"/>
    <cellStyle name="Note 2 7 4" xfId="747"/>
    <cellStyle name="Note 2 7 4 2" xfId="4676"/>
    <cellStyle name="Note 2 7 4 2 2" xfId="20838"/>
    <cellStyle name="Note 2 7 4 3" xfId="19177"/>
    <cellStyle name="Note 2 7 5" xfId="1838"/>
    <cellStyle name="Note 2 7 5 2" xfId="5747"/>
    <cellStyle name="Note 2 7 5 2 2" xfId="21909"/>
    <cellStyle name="Note 2 7 5 3" xfId="19586"/>
    <cellStyle name="Note 2 7 6" xfId="1842"/>
    <cellStyle name="Note 2 7 6 2" xfId="5751"/>
    <cellStyle name="Note 2 7 6 2 2" xfId="21913"/>
    <cellStyle name="Note 2 7 6 3" xfId="19587"/>
    <cellStyle name="Note 2 7 7" xfId="1845"/>
    <cellStyle name="Note 2 7 7 2" xfId="5754"/>
    <cellStyle name="Note 2 7 7 2 2" xfId="21916"/>
    <cellStyle name="Note 2 7 7 3" xfId="19588"/>
    <cellStyle name="Note 2 7 8" xfId="607"/>
    <cellStyle name="Note 2 7 8 2" xfId="4539"/>
    <cellStyle name="Note 2 7 8 2 2" xfId="20701"/>
    <cellStyle name="Note 2 7 8 3" xfId="19126"/>
    <cellStyle name="Note 2 7 9" xfId="17437"/>
    <cellStyle name="Note 2 7 9 2" xfId="33558"/>
    <cellStyle name="Note 2 8" xfId="3788"/>
    <cellStyle name="Note 2 8 10" xfId="17438"/>
    <cellStyle name="Note 2 8 10 2" xfId="33559"/>
    <cellStyle name="Note 2 8 11" xfId="17439"/>
    <cellStyle name="Note 2 8 11 2" xfId="33560"/>
    <cellStyle name="Note 2 8 12" xfId="17440"/>
    <cellStyle name="Note 2 8 12 2" xfId="33561"/>
    <cellStyle name="Note 2 8 13" xfId="17441"/>
    <cellStyle name="Note 2 8 13 2" xfId="33562"/>
    <cellStyle name="Note 2 8 14" xfId="17442"/>
    <cellStyle name="Note 2 8 14 2" xfId="33563"/>
    <cellStyle name="Note 2 8 15" xfId="17443"/>
    <cellStyle name="Note 2 8 15 2" xfId="33564"/>
    <cellStyle name="Note 2 8 16" xfId="17444"/>
    <cellStyle name="Note 2 8 16 2" xfId="33565"/>
    <cellStyle name="Note 2 8 17" xfId="17445"/>
    <cellStyle name="Note 2 8 17 2" xfId="33566"/>
    <cellStyle name="Note 2 8 18" xfId="7652"/>
    <cellStyle name="Note 2 8 18 2" xfId="23814"/>
    <cellStyle name="Note 2 8 19" xfId="20091"/>
    <cellStyle name="Note 2 8 2" xfId="3223"/>
    <cellStyle name="Note 2 8 2 2" xfId="7108"/>
    <cellStyle name="Note 2 8 2 2 2" xfId="23270"/>
    <cellStyle name="Note 2 8 2 3" xfId="19963"/>
    <cellStyle name="Note 2 8 3" xfId="1850"/>
    <cellStyle name="Note 2 8 3 2" xfId="5759"/>
    <cellStyle name="Note 2 8 3 2 2" xfId="21921"/>
    <cellStyle name="Note 2 8 3 3" xfId="19589"/>
    <cellStyle name="Note 2 8 4" xfId="304"/>
    <cellStyle name="Note 2 8 4 2" xfId="4248"/>
    <cellStyle name="Note 2 8 4 2 2" xfId="20411"/>
    <cellStyle name="Note 2 8 4 3" xfId="19059"/>
    <cellStyle name="Note 2 8 5" xfId="312"/>
    <cellStyle name="Note 2 8 5 2" xfId="4254"/>
    <cellStyle name="Note 2 8 5 2 2" xfId="20417"/>
    <cellStyle name="Note 2 8 5 3" xfId="19062"/>
    <cellStyle name="Note 2 8 6" xfId="1853"/>
    <cellStyle name="Note 2 8 6 2" xfId="5762"/>
    <cellStyle name="Note 2 8 6 2 2" xfId="21924"/>
    <cellStyle name="Note 2 8 6 3" xfId="19590"/>
    <cellStyle name="Note 2 8 7" xfId="1855"/>
    <cellStyle name="Note 2 8 7 2" xfId="5764"/>
    <cellStyle name="Note 2 8 7 2 2" xfId="21926"/>
    <cellStyle name="Note 2 8 7 3" xfId="19591"/>
    <cellStyle name="Note 2 8 8" xfId="1857"/>
    <cellStyle name="Note 2 8 8 2" xfId="5766"/>
    <cellStyle name="Note 2 8 8 2 2" xfId="21928"/>
    <cellStyle name="Note 2 8 8 3" xfId="19592"/>
    <cellStyle name="Note 2 8 9" xfId="17446"/>
    <cellStyle name="Note 2 8 9 2" xfId="33567"/>
    <cellStyle name="Note 2 9" xfId="2662"/>
    <cellStyle name="Note 2 9 10" xfId="17447"/>
    <cellStyle name="Note 2 9 10 2" xfId="33568"/>
    <cellStyle name="Note 2 9 11" xfId="17448"/>
    <cellStyle name="Note 2 9 11 2" xfId="33569"/>
    <cellStyle name="Note 2 9 12" xfId="17449"/>
    <cellStyle name="Note 2 9 12 2" xfId="33570"/>
    <cellStyle name="Note 2 9 13" xfId="17450"/>
    <cellStyle name="Note 2 9 13 2" xfId="33571"/>
    <cellStyle name="Note 2 9 14" xfId="17451"/>
    <cellStyle name="Note 2 9 14 2" xfId="33572"/>
    <cellStyle name="Note 2 9 15" xfId="17452"/>
    <cellStyle name="Note 2 9 15 2" xfId="33573"/>
    <cellStyle name="Note 2 9 16" xfId="17453"/>
    <cellStyle name="Note 2 9 16 2" xfId="33574"/>
    <cellStyle name="Note 2 9 17" xfId="17454"/>
    <cellStyle name="Note 2 9 17 2" xfId="33575"/>
    <cellStyle name="Note 2 9 18" xfId="6555"/>
    <cellStyle name="Note 2 9 18 2" xfId="22717"/>
    <cellStyle name="Note 2 9 19" xfId="19695"/>
    <cellStyle name="Note 2 9 2" xfId="3226"/>
    <cellStyle name="Note 2 9 2 2" xfId="7111"/>
    <cellStyle name="Note 2 9 2 2 2" xfId="23273"/>
    <cellStyle name="Note 2 9 2 3" xfId="19964"/>
    <cellStyle name="Note 2 9 3" xfId="1860"/>
    <cellStyle name="Note 2 9 3 2" xfId="5769"/>
    <cellStyle name="Note 2 9 3 2 2" xfId="21931"/>
    <cellStyle name="Note 2 9 3 3" xfId="19593"/>
    <cellStyle name="Note 2 9 4" xfId="1863"/>
    <cellStyle name="Note 2 9 4 2" xfId="5772"/>
    <cellStyle name="Note 2 9 4 2 2" xfId="21934"/>
    <cellStyle name="Note 2 9 4 3" xfId="19594"/>
    <cellStyle name="Note 2 9 5" xfId="1866"/>
    <cellStyle name="Note 2 9 5 2" xfId="5775"/>
    <cellStyle name="Note 2 9 5 2 2" xfId="21937"/>
    <cellStyle name="Note 2 9 5 3" xfId="19595"/>
    <cellStyle name="Note 2 9 6" xfId="1869"/>
    <cellStyle name="Note 2 9 6 2" xfId="5778"/>
    <cellStyle name="Note 2 9 6 2 2" xfId="21940"/>
    <cellStyle name="Note 2 9 6 3" xfId="19596"/>
    <cellStyle name="Note 2 9 7" xfId="1873"/>
    <cellStyle name="Note 2 9 7 2" xfId="5781"/>
    <cellStyle name="Note 2 9 7 2 2" xfId="21943"/>
    <cellStyle name="Note 2 9 7 3" xfId="19598"/>
    <cellStyle name="Note 2 9 8" xfId="625"/>
    <cellStyle name="Note 2 9 8 2" xfId="4559"/>
    <cellStyle name="Note 2 9 8 2 2" xfId="20721"/>
    <cellStyle name="Note 2 9 8 3" xfId="19134"/>
    <cellStyle name="Note 2 9 9" xfId="17455"/>
    <cellStyle name="Note 2 9 9 2" xfId="33576"/>
    <cellStyle name="Note 2_Bandalingampally (Ypet-wd)" xfId="3346"/>
    <cellStyle name="Note 3" xfId="3789"/>
    <cellStyle name="Note 3 2" xfId="7653"/>
    <cellStyle name="Note 3 2 2" xfId="23815"/>
    <cellStyle name="Note 3 3" xfId="20092"/>
    <cellStyle name="Note 4" xfId="2832"/>
    <cellStyle name="Note 4 2" xfId="6725"/>
    <cellStyle name="Note 4 2 2" xfId="22887"/>
    <cellStyle name="Note 4 3" xfId="19785"/>
    <cellStyle name="Note 5" xfId="2835"/>
    <cellStyle name="Note 5 2" xfId="6728"/>
    <cellStyle name="Note 5 2 2" xfId="22890"/>
    <cellStyle name="Note 5 3" xfId="19787"/>
    <cellStyle name="Note 6" xfId="3191"/>
    <cellStyle name="Note 6 2" xfId="7076"/>
    <cellStyle name="Note 6 2 2" xfId="23238"/>
    <cellStyle name="Note 6 3" xfId="19953"/>
    <cellStyle name="Note 7" xfId="3193"/>
    <cellStyle name="Note 7 2" xfId="17456"/>
    <cellStyle name="Note 7 2 2" xfId="33577"/>
    <cellStyle name="Note 7 3" xfId="7078"/>
    <cellStyle name="Note 7 3 2" xfId="23240"/>
    <cellStyle name="Note 7 4" xfId="19954"/>
    <cellStyle name="Note 8" xfId="3195"/>
    <cellStyle name="Note 8 2" xfId="7081"/>
    <cellStyle name="Note 8 2 2" xfId="23243"/>
    <cellStyle name="Note 8 3" xfId="19955"/>
    <cellStyle name="Note 9" xfId="3198"/>
    <cellStyle name="Note 9 2" xfId="7084"/>
    <cellStyle name="Note 9 2 2" xfId="23246"/>
    <cellStyle name="Note 9 3" xfId="19957"/>
    <cellStyle name="Output 2" xfId="1440"/>
    <cellStyle name="Output 2 2" xfId="2903"/>
    <cellStyle name="Output 2 2 2" xfId="6791"/>
    <cellStyle name="Output 2 2 2 2" xfId="22953"/>
    <cellStyle name="Output 2 2 3" xfId="19839"/>
    <cellStyle name="Output 2 3" xfId="2905"/>
    <cellStyle name="Output 2 3 2" xfId="6793"/>
    <cellStyle name="Output 2 3 2 2" xfId="22955"/>
    <cellStyle name="Output 2 3 3" xfId="19840"/>
    <cellStyle name="Output 2 4" xfId="5358"/>
    <cellStyle name="Output 2 4 2" xfId="21520"/>
    <cellStyle name="Output 2 5" xfId="19485"/>
    <cellStyle name="Output 3" xfId="1292"/>
    <cellStyle name="Output 3 2" xfId="5212"/>
    <cellStyle name="Output 3 2 2" xfId="21374"/>
    <cellStyle name="Output 3 3" xfId="19402"/>
    <cellStyle name="Output 4" xfId="17457"/>
    <cellStyle name="Output 4 2" xfId="33578"/>
    <cellStyle name="Output 5" xfId="17458"/>
    <cellStyle name="Output 5 2" xfId="33579"/>
    <cellStyle name="Percent" xfId="20" builtinId="5"/>
    <cellStyle name="Percent [2]" xfId="3790"/>
    <cellStyle name="Percent [2] 10" xfId="17459"/>
    <cellStyle name="Percent [2] 10 2" xfId="33580"/>
    <cellStyle name="Percent [2] 11" xfId="17460"/>
    <cellStyle name="Percent [2] 11 2" xfId="33581"/>
    <cellStyle name="Percent [2] 12" xfId="17461"/>
    <cellStyle name="Percent [2] 12 2" xfId="33582"/>
    <cellStyle name="Percent [2] 13" xfId="17462"/>
    <cellStyle name="Percent [2] 13 2" xfId="33583"/>
    <cellStyle name="Percent [2] 14" xfId="17463"/>
    <cellStyle name="Percent [2] 14 2" xfId="33584"/>
    <cellStyle name="Percent [2] 15" xfId="17464"/>
    <cellStyle name="Percent [2] 15 2" xfId="33585"/>
    <cellStyle name="Percent [2] 16" xfId="17465"/>
    <cellStyle name="Percent [2] 16 2" xfId="33586"/>
    <cellStyle name="Percent [2] 17" xfId="17466"/>
    <cellStyle name="Percent [2] 17 2" xfId="33587"/>
    <cellStyle name="Percent [2] 18" xfId="7654"/>
    <cellStyle name="Percent [2] 18 2" xfId="23816"/>
    <cellStyle name="Percent [2] 2" xfId="1705"/>
    <cellStyle name="Percent [2] 2 2" xfId="5618"/>
    <cellStyle name="Percent [2] 2 2 2" xfId="21780"/>
    <cellStyle name="Percent [2] 3" xfId="1707"/>
    <cellStyle name="Percent [2] 3 2" xfId="5620"/>
    <cellStyle name="Percent [2] 3 2 2" xfId="21782"/>
    <cellStyle name="Percent [2] 4" xfId="1711"/>
    <cellStyle name="Percent [2] 4 2" xfId="17467"/>
    <cellStyle name="Percent [2] 4 2 2" xfId="33588"/>
    <cellStyle name="Percent [2] 4 3" xfId="5624"/>
    <cellStyle name="Percent [2] 4 3 2" xfId="21786"/>
    <cellStyle name="Percent [2] 5" xfId="3791"/>
    <cellStyle name="Percent [2] 5 2" xfId="7655"/>
    <cellStyle name="Percent [2] 5 2 2" xfId="23817"/>
    <cellStyle name="Percent [2] 6" xfId="3792"/>
    <cellStyle name="Percent [2] 6 2" xfId="7656"/>
    <cellStyle name="Percent [2] 6 2 2" xfId="23818"/>
    <cellStyle name="Percent [2] 7" xfId="3793"/>
    <cellStyle name="Percent [2] 7 2" xfId="7657"/>
    <cellStyle name="Percent [2] 7 2 2" xfId="23819"/>
    <cellStyle name="Percent [2] 8" xfId="3794"/>
    <cellStyle name="Percent [2] 8 2" xfId="7658"/>
    <cellStyle name="Percent [2] 8 2 2" xfId="23820"/>
    <cellStyle name="Percent [2] 9" xfId="17468"/>
    <cellStyle name="Percent [2] 9 2" xfId="33589"/>
    <cellStyle name="Percent 10" xfId="17469"/>
    <cellStyle name="Percent 10 2" xfId="2620"/>
    <cellStyle name="Percent 10 2 10" xfId="17470"/>
    <cellStyle name="Percent 10 2 10 2" xfId="33591"/>
    <cellStyle name="Percent 10 2 11" xfId="17471"/>
    <cellStyle name="Percent 10 2 11 2" xfId="33592"/>
    <cellStyle name="Percent 10 2 12" xfId="17472"/>
    <cellStyle name="Percent 10 2 12 2" xfId="33593"/>
    <cellStyle name="Percent 10 2 13" xfId="17473"/>
    <cellStyle name="Percent 10 2 13 2" xfId="33594"/>
    <cellStyle name="Percent 10 2 14" xfId="17474"/>
    <cellStyle name="Percent 10 2 14 2" xfId="33595"/>
    <cellStyle name="Percent 10 2 15" xfId="17475"/>
    <cellStyle name="Percent 10 2 15 2" xfId="33596"/>
    <cellStyle name="Percent 10 2 16" xfId="17476"/>
    <cellStyle name="Percent 10 2 16 2" xfId="33597"/>
    <cellStyle name="Percent 10 2 17" xfId="17477"/>
    <cellStyle name="Percent 10 2 17 2" xfId="33598"/>
    <cellStyle name="Percent 10 2 18" xfId="6515"/>
    <cellStyle name="Percent 10 2 18 2" xfId="22677"/>
    <cellStyle name="Percent 10 2 2" xfId="3171"/>
    <cellStyle name="Percent 10 2 2 2" xfId="7056"/>
    <cellStyle name="Percent 10 2 2 2 2" xfId="23218"/>
    <cellStyle name="Percent 10 2 3" xfId="3232"/>
    <cellStyle name="Percent 10 2 3 2" xfId="7117"/>
    <cellStyle name="Percent 10 2 3 2 2" xfId="23279"/>
    <cellStyle name="Percent 10 2 4" xfId="3249"/>
    <cellStyle name="Percent 10 2 4 2" xfId="7134"/>
    <cellStyle name="Percent 10 2 4 2 2" xfId="23296"/>
    <cellStyle name="Percent 10 2 5" xfId="3268"/>
    <cellStyle name="Percent 10 2 5 2" xfId="7152"/>
    <cellStyle name="Percent 10 2 5 2 2" xfId="23314"/>
    <cellStyle name="Percent 10 2 6" xfId="3285"/>
    <cellStyle name="Percent 10 2 6 2" xfId="7169"/>
    <cellStyle name="Percent 10 2 6 2 2" xfId="23331"/>
    <cellStyle name="Percent 10 2 7" xfId="3303"/>
    <cellStyle name="Percent 10 2 7 2" xfId="7186"/>
    <cellStyle name="Percent 10 2 7 2 2" xfId="23348"/>
    <cellStyle name="Percent 10 2 8" xfId="3324"/>
    <cellStyle name="Percent 10 2 8 2" xfId="7207"/>
    <cellStyle name="Percent 10 2 8 2 2" xfId="23369"/>
    <cellStyle name="Percent 10 2 9" xfId="17478"/>
    <cellStyle name="Percent 10 2 9 2" xfId="33599"/>
    <cellStyle name="Percent 10 3" xfId="33590"/>
    <cellStyle name="Percent 11" xfId="17479"/>
    <cellStyle name="Percent 11 2" xfId="17480"/>
    <cellStyle name="Percent 11 2 2" xfId="33601"/>
    <cellStyle name="Percent 11 3" xfId="33600"/>
    <cellStyle name="Percent 12" xfId="17481"/>
    <cellStyle name="Percent 12 2" xfId="17482"/>
    <cellStyle name="Percent 12 2 2" xfId="33603"/>
    <cellStyle name="Percent 12 3" xfId="33602"/>
    <cellStyle name="Percent 13" xfId="17483"/>
    <cellStyle name="Percent 13 2" xfId="17484"/>
    <cellStyle name="Percent 13 2 2" xfId="33605"/>
    <cellStyle name="Percent 13 3" xfId="33604"/>
    <cellStyle name="Percent 14" xfId="3795"/>
    <cellStyle name="Percent 14 10" xfId="17485"/>
    <cellStyle name="Percent 14 10 2" xfId="33606"/>
    <cellStyle name="Percent 14 11" xfId="17486"/>
    <cellStyle name="Percent 14 11 2" xfId="33607"/>
    <cellStyle name="Percent 14 12" xfId="17487"/>
    <cellStyle name="Percent 14 12 2" xfId="33608"/>
    <cellStyle name="Percent 14 13" xfId="17488"/>
    <cellStyle name="Percent 14 13 2" xfId="33609"/>
    <cellStyle name="Percent 14 14" xfId="17489"/>
    <cellStyle name="Percent 14 14 2" xfId="33610"/>
    <cellStyle name="Percent 14 15" xfId="17490"/>
    <cellStyle name="Percent 14 15 2" xfId="33611"/>
    <cellStyle name="Percent 14 16" xfId="17491"/>
    <cellStyle name="Percent 14 16 2" xfId="33612"/>
    <cellStyle name="Percent 14 17" xfId="17492"/>
    <cellStyle name="Percent 14 17 2" xfId="33613"/>
    <cellStyle name="Percent 14 18" xfId="7659"/>
    <cellStyle name="Percent 14 18 2" xfId="23821"/>
    <cellStyle name="Percent 14 2" xfId="3665"/>
    <cellStyle name="Percent 14 2 2" xfId="7544"/>
    <cellStyle name="Percent 14 2 2 2" xfId="23706"/>
    <cellStyle name="Percent 14 3" xfId="3667"/>
    <cellStyle name="Percent 14 3 2" xfId="7546"/>
    <cellStyle name="Percent 14 3 2 2" xfId="23708"/>
    <cellStyle name="Percent 14 4" xfId="295"/>
    <cellStyle name="Percent 14 4 2" xfId="4237"/>
    <cellStyle name="Percent 14 4 2 2" xfId="20400"/>
    <cellStyle name="Percent 14 5" xfId="126"/>
    <cellStyle name="Percent 14 5 2" xfId="4077"/>
    <cellStyle name="Percent 14 5 2 2" xfId="20240"/>
    <cellStyle name="Percent 14 6" xfId="3669"/>
    <cellStyle name="Percent 14 6 2" xfId="7548"/>
    <cellStyle name="Percent 14 6 2 2" xfId="23710"/>
    <cellStyle name="Percent 14 7" xfId="3671"/>
    <cellStyle name="Percent 14 7 2" xfId="7550"/>
    <cellStyle name="Percent 14 7 2 2" xfId="23712"/>
    <cellStyle name="Percent 14 8" xfId="987"/>
    <cellStyle name="Percent 14 8 2" xfId="4908"/>
    <cellStyle name="Percent 14 8 2 2" xfId="21070"/>
    <cellStyle name="Percent 14 9" xfId="17493"/>
    <cellStyle name="Percent 14 9 2" xfId="33614"/>
    <cellStyle name="Percent 15" xfId="3796"/>
    <cellStyle name="Percent 15 2" xfId="7660"/>
    <cellStyle name="Percent 15 2 2" xfId="23822"/>
    <cellStyle name="Percent 16" xfId="17494"/>
    <cellStyle name="Percent 16 2" xfId="17495"/>
    <cellStyle name="Percent 16 2 2" xfId="33616"/>
    <cellStyle name="Percent 16 3" xfId="33615"/>
    <cellStyle name="Percent 17" xfId="17496"/>
    <cellStyle name="Percent 17 2" xfId="17497"/>
    <cellStyle name="Percent 17 2 2" xfId="33618"/>
    <cellStyle name="Percent 17 3" xfId="33617"/>
    <cellStyle name="Percent 18" xfId="17498"/>
    <cellStyle name="Percent 18 2" xfId="17499"/>
    <cellStyle name="Percent 18 2 2" xfId="33620"/>
    <cellStyle name="Percent 18 3" xfId="33619"/>
    <cellStyle name="Percent 19" xfId="17500"/>
    <cellStyle name="Percent 19 2" xfId="17501"/>
    <cellStyle name="Percent 19 2 2" xfId="33622"/>
    <cellStyle name="Percent 19 3" xfId="33621"/>
    <cellStyle name="Percent 2" xfId="2926"/>
    <cellStyle name="Percent 2 10" xfId="3797"/>
    <cellStyle name="Percent 2 10 2" xfId="7661"/>
    <cellStyle name="Percent 2 10 2 2" xfId="23823"/>
    <cellStyle name="Percent 2 11" xfId="3798"/>
    <cellStyle name="Percent 2 11 2" xfId="7662"/>
    <cellStyle name="Percent 2 11 2 2" xfId="23824"/>
    <cellStyle name="Percent 2 12" xfId="17502"/>
    <cellStyle name="Percent 2 12 2" xfId="33623"/>
    <cellStyle name="Percent 2 13" xfId="17503"/>
    <cellStyle name="Percent 2 13 2" xfId="33624"/>
    <cellStyle name="Percent 2 14" xfId="17504"/>
    <cellStyle name="Percent 2 14 2" xfId="33625"/>
    <cellStyle name="Percent 2 15" xfId="17505"/>
    <cellStyle name="Percent 2 15 2" xfId="33626"/>
    <cellStyle name="Percent 2 16" xfId="17506"/>
    <cellStyle name="Percent 2 16 2" xfId="33627"/>
    <cellStyle name="Percent 2 17" xfId="17507"/>
    <cellStyle name="Percent 2 17 2" xfId="33628"/>
    <cellStyle name="Percent 2 18" xfId="17508"/>
    <cellStyle name="Percent 2 18 2" xfId="33629"/>
    <cellStyle name="Percent 2 19" xfId="17509"/>
    <cellStyle name="Percent 2 19 2" xfId="33630"/>
    <cellStyle name="Percent 2 2" xfId="2928"/>
    <cellStyle name="Percent 2 2 2" xfId="3551"/>
    <cellStyle name="Percent 2 2 2 2" xfId="7431"/>
    <cellStyle name="Percent 2 2 2 2 2" xfId="23593"/>
    <cellStyle name="Percent 2 2 3" xfId="3553"/>
    <cellStyle name="Percent 2 2 3 2" xfId="7433"/>
    <cellStyle name="Percent 2 2 3 2 2" xfId="23595"/>
    <cellStyle name="Percent 2 2 4" xfId="17510"/>
    <cellStyle name="Percent 2 2 4 2" xfId="33631"/>
    <cellStyle name="Percent 2 2 5" xfId="6815"/>
    <cellStyle name="Percent 2 2 5 2" xfId="22977"/>
    <cellStyle name="Percent 2 20" xfId="17511"/>
    <cellStyle name="Percent 2 20 2" xfId="33632"/>
    <cellStyle name="Percent 2 21" xfId="6813"/>
    <cellStyle name="Percent 2 21 2" xfId="22975"/>
    <cellStyle name="Percent 2 3" xfId="2930"/>
    <cellStyle name="Percent 2 3 2" xfId="3562"/>
    <cellStyle name="Percent 2 3 2 2" xfId="18959"/>
    <cellStyle name="Percent 2 3 2 2 2" xfId="35076"/>
    <cellStyle name="Percent 2 3 2 3" xfId="7442"/>
    <cellStyle name="Percent 2 3 2 3 2" xfId="23604"/>
    <cellStyle name="Percent 2 3 3" xfId="3565"/>
    <cellStyle name="Percent 2 3 3 2" xfId="7445"/>
    <cellStyle name="Percent 2 3 3 2 2" xfId="23607"/>
    <cellStyle name="Percent 2 3 4" xfId="17512"/>
    <cellStyle name="Percent 2 3 4 2" xfId="33633"/>
    <cellStyle name="Percent 2 3 5" xfId="6817"/>
    <cellStyle name="Percent 2 3 5 2" xfId="22979"/>
    <cellStyle name="Percent 2 4" xfId="3799"/>
    <cellStyle name="Percent 2 4 2" xfId="7663"/>
    <cellStyle name="Percent 2 4 2 2" xfId="23825"/>
    <cellStyle name="Percent 2 5" xfId="3800"/>
    <cellStyle name="Percent 2 5 2" xfId="7664"/>
    <cellStyle name="Percent 2 5 2 2" xfId="23826"/>
    <cellStyle name="Percent 2 6" xfId="3801"/>
    <cellStyle name="Percent 2 6 2" xfId="7665"/>
    <cellStyle name="Percent 2 6 2 2" xfId="23827"/>
    <cellStyle name="Percent 2 7" xfId="3802"/>
    <cellStyle name="Percent 2 7 2" xfId="7666"/>
    <cellStyle name="Percent 2 7 2 2" xfId="23828"/>
    <cellStyle name="Percent 2 8" xfId="3803"/>
    <cellStyle name="Percent 2 8 2" xfId="7667"/>
    <cellStyle name="Percent 2 8 2 2" xfId="23829"/>
    <cellStyle name="Percent 2 9" xfId="3804"/>
    <cellStyle name="Percent 2 9 2" xfId="7668"/>
    <cellStyle name="Percent 2 9 2 2" xfId="23830"/>
    <cellStyle name="Percent 20" xfId="17513"/>
    <cellStyle name="Percent 20 2" xfId="17514"/>
    <cellStyle name="Percent 20 2 2" xfId="33635"/>
    <cellStyle name="Percent 20 3" xfId="33634"/>
    <cellStyle name="Percent 21" xfId="17515"/>
    <cellStyle name="Percent 21 2" xfId="33636"/>
    <cellStyle name="Percent 22" xfId="17516"/>
    <cellStyle name="Percent 22 2" xfId="33637"/>
    <cellStyle name="Percent 23" xfId="17517"/>
    <cellStyle name="Percent 23 2" xfId="33638"/>
    <cellStyle name="Percent 24" xfId="17518"/>
    <cellStyle name="Percent 24 2" xfId="33639"/>
    <cellStyle name="Percent 25" xfId="17519"/>
    <cellStyle name="Percent 25 2" xfId="33640"/>
    <cellStyle name="Percent 26" xfId="17520"/>
    <cellStyle name="Percent 26 2" xfId="33641"/>
    <cellStyle name="Percent 27" xfId="17521"/>
    <cellStyle name="Percent 27 2" xfId="33642"/>
    <cellStyle name="Percent 28" xfId="3979"/>
    <cellStyle name="Percent 28 2" xfId="20142"/>
    <cellStyle name="Percent 3" xfId="2932"/>
    <cellStyle name="Percent 3 10" xfId="3805"/>
    <cellStyle name="Percent 3 10 10" xfId="17522"/>
    <cellStyle name="Percent 3 10 10 2" xfId="33643"/>
    <cellStyle name="Percent 3 10 11" xfId="17523"/>
    <cellStyle name="Percent 3 10 11 2" xfId="33644"/>
    <cellStyle name="Percent 3 10 12" xfId="17524"/>
    <cellStyle name="Percent 3 10 12 2" xfId="33645"/>
    <cellStyle name="Percent 3 10 13" xfId="17525"/>
    <cellStyle name="Percent 3 10 13 2" xfId="33646"/>
    <cellStyle name="Percent 3 10 14" xfId="17526"/>
    <cellStyle name="Percent 3 10 14 2" xfId="33647"/>
    <cellStyle name="Percent 3 10 15" xfId="17527"/>
    <cellStyle name="Percent 3 10 15 2" xfId="33648"/>
    <cellStyle name="Percent 3 10 16" xfId="17528"/>
    <cellStyle name="Percent 3 10 16 2" xfId="33649"/>
    <cellStyle name="Percent 3 10 17" xfId="17529"/>
    <cellStyle name="Percent 3 10 17 2" xfId="33650"/>
    <cellStyle name="Percent 3 10 18" xfId="7669"/>
    <cellStyle name="Percent 3 10 18 2" xfId="23831"/>
    <cellStyle name="Percent 3 10 2" xfId="3806"/>
    <cellStyle name="Percent 3 10 2 2" xfId="7670"/>
    <cellStyle name="Percent 3 10 2 2 2" xfId="23832"/>
    <cellStyle name="Percent 3 10 3" xfId="3807"/>
    <cellStyle name="Percent 3 10 3 2" xfId="7671"/>
    <cellStyle name="Percent 3 10 3 2 2" xfId="23833"/>
    <cellStyle name="Percent 3 10 4" xfId="3808"/>
    <cellStyle name="Percent 3 10 4 2" xfId="7672"/>
    <cellStyle name="Percent 3 10 4 2 2" xfId="23834"/>
    <cellStyle name="Percent 3 10 5" xfId="3809"/>
    <cellStyle name="Percent 3 10 5 2" xfId="7673"/>
    <cellStyle name="Percent 3 10 5 2 2" xfId="23835"/>
    <cellStyle name="Percent 3 10 6" xfId="3810"/>
    <cellStyle name="Percent 3 10 6 2" xfId="7674"/>
    <cellStyle name="Percent 3 10 6 2 2" xfId="23836"/>
    <cellStyle name="Percent 3 10 7" xfId="3811"/>
    <cellStyle name="Percent 3 10 7 2" xfId="7675"/>
    <cellStyle name="Percent 3 10 7 2 2" xfId="23837"/>
    <cellStyle name="Percent 3 10 8" xfId="3812"/>
    <cellStyle name="Percent 3 10 8 2" xfId="7676"/>
    <cellStyle name="Percent 3 10 8 2 2" xfId="23838"/>
    <cellStyle name="Percent 3 10 9" xfId="17530"/>
    <cellStyle name="Percent 3 10 9 2" xfId="33651"/>
    <cellStyle name="Percent 3 11" xfId="3813"/>
    <cellStyle name="Percent 3 11 2" xfId="7677"/>
    <cellStyle name="Percent 3 11 2 2" xfId="23839"/>
    <cellStyle name="Percent 3 12" xfId="3814"/>
    <cellStyle name="Percent 3 12 2" xfId="7678"/>
    <cellStyle name="Percent 3 12 2 2" xfId="23840"/>
    <cellStyle name="Percent 3 13" xfId="3686"/>
    <cellStyle name="Percent 3 13 2" xfId="7565"/>
    <cellStyle name="Percent 3 13 2 2" xfId="23727"/>
    <cellStyle name="Percent 3 14" xfId="3688"/>
    <cellStyle name="Percent 3 14 2" xfId="7567"/>
    <cellStyle name="Percent 3 14 2 2" xfId="23729"/>
    <cellStyle name="Percent 3 15" xfId="3690"/>
    <cellStyle name="Percent 3 15 2" xfId="7569"/>
    <cellStyle name="Percent 3 15 2 2" xfId="23731"/>
    <cellStyle name="Percent 3 16" xfId="3692"/>
    <cellStyle name="Percent 3 16 2" xfId="7571"/>
    <cellStyle name="Percent 3 16 2 2" xfId="23733"/>
    <cellStyle name="Percent 3 17" xfId="3694"/>
    <cellStyle name="Percent 3 17 2" xfId="7573"/>
    <cellStyle name="Percent 3 17 2 2" xfId="23735"/>
    <cellStyle name="Percent 3 18" xfId="17531"/>
    <cellStyle name="Percent 3 18 2" xfId="33652"/>
    <cellStyle name="Percent 3 19" xfId="17532"/>
    <cellStyle name="Percent 3 19 2" xfId="33653"/>
    <cellStyle name="Percent 3 2" xfId="3492"/>
    <cellStyle name="Percent 3 2 10" xfId="17533"/>
    <cellStyle name="Percent 3 2 10 2" xfId="33654"/>
    <cellStyle name="Percent 3 2 11" xfId="17534"/>
    <cellStyle name="Percent 3 2 11 2" xfId="33655"/>
    <cellStyle name="Percent 3 2 12" xfId="17535"/>
    <cellStyle name="Percent 3 2 12 2" xfId="33656"/>
    <cellStyle name="Percent 3 2 13" xfId="17536"/>
    <cellStyle name="Percent 3 2 13 2" xfId="33657"/>
    <cellStyle name="Percent 3 2 14" xfId="17537"/>
    <cellStyle name="Percent 3 2 14 2" xfId="33658"/>
    <cellStyle name="Percent 3 2 15" xfId="17538"/>
    <cellStyle name="Percent 3 2 15 2" xfId="33659"/>
    <cellStyle name="Percent 3 2 16" xfId="17539"/>
    <cellStyle name="Percent 3 2 16 2" xfId="33660"/>
    <cellStyle name="Percent 3 2 17" xfId="17540"/>
    <cellStyle name="Percent 3 2 17 2" xfId="33661"/>
    <cellStyle name="Percent 3 2 18" xfId="7372"/>
    <cellStyle name="Percent 3 2 18 2" xfId="23534"/>
    <cellStyle name="Percent 3 2 2" xfId="3494"/>
    <cellStyle name="Percent 3 2 2 2" xfId="7374"/>
    <cellStyle name="Percent 3 2 2 2 2" xfId="23536"/>
    <cellStyle name="Percent 3 2 3" xfId="3496"/>
    <cellStyle name="Percent 3 2 3 2" xfId="7376"/>
    <cellStyle name="Percent 3 2 3 2 2" xfId="23538"/>
    <cellStyle name="Percent 3 2 4" xfId="3815"/>
    <cellStyle name="Percent 3 2 4 2" xfId="7679"/>
    <cellStyle name="Percent 3 2 4 2 2" xfId="23841"/>
    <cellStyle name="Percent 3 2 5" xfId="3816"/>
    <cellStyle name="Percent 3 2 5 2" xfId="7680"/>
    <cellStyle name="Percent 3 2 5 2 2" xfId="23842"/>
    <cellStyle name="Percent 3 2 6" xfId="3817"/>
    <cellStyle name="Percent 3 2 6 2" xfId="7681"/>
    <cellStyle name="Percent 3 2 6 2 2" xfId="23843"/>
    <cellStyle name="Percent 3 2 7" xfId="585"/>
    <cellStyle name="Percent 3 2 7 2" xfId="4515"/>
    <cellStyle name="Percent 3 2 7 2 2" xfId="20678"/>
    <cellStyle name="Percent 3 2 8" xfId="724"/>
    <cellStyle name="Percent 3 2 8 2" xfId="4651"/>
    <cellStyle name="Percent 3 2 8 2 2" xfId="20813"/>
    <cellStyle name="Percent 3 2 9" xfId="17541"/>
    <cellStyle name="Percent 3 2 9 2" xfId="33662"/>
    <cellStyle name="Percent 3 20" xfId="17542"/>
    <cellStyle name="Percent 3 20 2" xfId="33663"/>
    <cellStyle name="Percent 3 21" xfId="17543"/>
    <cellStyle name="Percent 3 21 2" xfId="33664"/>
    <cellStyle name="Percent 3 22" xfId="17544"/>
    <cellStyle name="Percent 3 22 2" xfId="33665"/>
    <cellStyle name="Percent 3 23" xfId="17545"/>
    <cellStyle name="Percent 3 23 2" xfId="33666"/>
    <cellStyle name="Percent 3 24" xfId="17546"/>
    <cellStyle name="Percent 3 24 2" xfId="33667"/>
    <cellStyle name="Percent 3 25" xfId="17547"/>
    <cellStyle name="Percent 3 25 2" xfId="33668"/>
    <cellStyle name="Percent 3 26" xfId="17548"/>
    <cellStyle name="Percent 3 26 2" xfId="33669"/>
    <cellStyle name="Percent 3 27" xfId="6819"/>
    <cellStyle name="Percent 3 27 2" xfId="22981"/>
    <cellStyle name="Percent 3 3" xfId="3498"/>
    <cellStyle name="Percent 3 3 10" xfId="17549"/>
    <cellStyle name="Percent 3 3 10 2" xfId="33670"/>
    <cellStyle name="Percent 3 3 11" xfId="17550"/>
    <cellStyle name="Percent 3 3 11 2" xfId="33671"/>
    <cellStyle name="Percent 3 3 12" xfId="17551"/>
    <cellStyle name="Percent 3 3 12 2" xfId="33672"/>
    <cellStyle name="Percent 3 3 13" xfId="17552"/>
    <cellStyle name="Percent 3 3 13 2" xfId="33673"/>
    <cellStyle name="Percent 3 3 14" xfId="17553"/>
    <cellStyle name="Percent 3 3 14 2" xfId="33674"/>
    <cellStyle name="Percent 3 3 15" xfId="17554"/>
    <cellStyle name="Percent 3 3 15 2" xfId="33675"/>
    <cellStyle name="Percent 3 3 16" xfId="17555"/>
    <cellStyle name="Percent 3 3 16 2" xfId="33676"/>
    <cellStyle name="Percent 3 3 17" xfId="17556"/>
    <cellStyle name="Percent 3 3 17 2" xfId="33677"/>
    <cellStyle name="Percent 3 3 18" xfId="7378"/>
    <cellStyle name="Percent 3 3 18 2" xfId="23540"/>
    <cellStyle name="Percent 3 3 2" xfId="3500"/>
    <cellStyle name="Percent 3 3 2 2" xfId="7380"/>
    <cellStyle name="Percent 3 3 2 2 2" xfId="23542"/>
    <cellStyle name="Percent 3 3 3" xfId="3502"/>
    <cellStyle name="Percent 3 3 3 2" xfId="7382"/>
    <cellStyle name="Percent 3 3 3 2 2" xfId="23544"/>
    <cellStyle name="Percent 3 3 4" xfId="3818"/>
    <cellStyle name="Percent 3 3 4 2" xfId="7682"/>
    <cellStyle name="Percent 3 3 4 2 2" xfId="23844"/>
    <cellStyle name="Percent 3 3 5" xfId="3819"/>
    <cellStyle name="Percent 3 3 5 2" xfId="7683"/>
    <cellStyle name="Percent 3 3 5 2 2" xfId="23845"/>
    <cellStyle name="Percent 3 3 6" xfId="3820"/>
    <cellStyle name="Percent 3 3 6 2" xfId="7684"/>
    <cellStyle name="Percent 3 3 6 2 2" xfId="23846"/>
    <cellStyle name="Percent 3 3 7" xfId="510"/>
    <cellStyle name="Percent 3 3 7 2" xfId="4444"/>
    <cellStyle name="Percent 3 3 7 2 2" xfId="20607"/>
    <cellStyle name="Percent 3 3 8" xfId="699"/>
    <cellStyle name="Percent 3 3 8 2" xfId="4626"/>
    <cellStyle name="Percent 3 3 8 2 2" xfId="20788"/>
    <cellStyle name="Percent 3 3 9" xfId="17557"/>
    <cellStyle name="Percent 3 3 9 2" xfId="33678"/>
    <cellStyle name="Percent 3 4" xfId="3504"/>
    <cellStyle name="Percent 3 4 10" xfId="17558"/>
    <cellStyle name="Percent 3 4 10 2" xfId="33679"/>
    <cellStyle name="Percent 3 4 11" xfId="17559"/>
    <cellStyle name="Percent 3 4 11 2" xfId="33680"/>
    <cellStyle name="Percent 3 4 12" xfId="17560"/>
    <cellStyle name="Percent 3 4 12 2" xfId="33681"/>
    <cellStyle name="Percent 3 4 13" xfId="17561"/>
    <cellStyle name="Percent 3 4 13 2" xfId="33682"/>
    <cellStyle name="Percent 3 4 14" xfId="17562"/>
    <cellStyle name="Percent 3 4 14 2" xfId="33683"/>
    <cellStyle name="Percent 3 4 15" xfId="17563"/>
    <cellStyle name="Percent 3 4 15 2" xfId="33684"/>
    <cellStyle name="Percent 3 4 16" xfId="17564"/>
    <cellStyle name="Percent 3 4 16 2" xfId="33685"/>
    <cellStyle name="Percent 3 4 17" xfId="17565"/>
    <cellStyle name="Percent 3 4 17 2" xfId="33686"/>
    <cellStyle name="Percent 3 4 18" xfId="7384"/>
    <cellStyle name="Percent 3 4 18 2" xfId="23546"/>
    <cellStyle name="Percent 3 4 2" xfId="3821"/>
    <cellStyle name="Percent 3 4 2 2" xfId="7685"/>
    <cellStyle name="Percent 3 4 2 2 2" xfId="23847"/>
    <cellStyle name="Percent 3 4 3" xfId="3822"/>
    <cellStyle name="Percent 3 4 3 2" xfId="7686"/>
    <cellStyle name="Percent 3 4 3 2 2" xfId="23848"/>
    <cellStyle name="Percent 3 4 4" xfId="3823"/>
    <cellStyle name="Percent 3 4 4 2" xfId="7687"/>
    <cellStyle name="Percent 3 4 4 2 2" xfId="23849"/>
    <cellStyle name="Percent 3 4 5" xfId="3824"/>
    <cellStyle name="Percent 3 4 5 2" xfId="7688"/>
    <cellStyle name="Percent 3 4 5 2 2" xfId="23850"/>
    <cellStyle name="Percent 3 4 6" xfId="2743"/>
    <cellStyle name="Percent 3 4 6 2" xfId="6636"/>
    <cellStyle name="Percent 3 4 6 2 2" xfId="22798"/>
    <cellStyle name="Percent 3 4 7" xfId="2747"/>
    <cellStyle name="Percent 3 4 7 2" xfId="6640"/>
    <cellStyle name="Percent 3 4 7 2 2" xfId="22802"/>
    <cellStyle name="Percent 3 4 8" xfId="2750"/>
    <cellStyle name="Percent 3 4 8 2" xfId="6643"/>
    <cellStyle name="Percent 3 4 8 2 2" xfId="22805"/>
    <cellStyle name="Percent 3 4 9" xfId="17566"/>
    <cellStyle name="Percent 3 4 9 2" xfId="33687"/>
    <cellStyle name="Percent 3 5" xfId="3506"/>
    <cellStyle name="Percent 3 5 10" xfId="17567"/>
    <cellStyle name="Percent 3 5 10 2" xfId="33688"/>
    <cellStyle name="Percent 3 5 11" xfId="17568"/>
    <cellStyle name="Percent 3 5 11 2" xfId="33689"/>
    <cellStyle name="Percent 3 5 12" xfId="17569"/>
    <cellStyle name="Percent 3 5 12 2" xfId="33690"/>
    <cellStyle name="Percent 3 5 13" xfId="17570"/>
    <cellStyle name="Percent 3 5 13 2" xfId="33691"/>
    <cellStyle name="Percent 3 5 14" xfId="17571"/>
    <cellStyle name="Percent 3 5 14 2" xfId="33692"/>
    <cellStyle name="Percent 3 5 15" xfId="17572"/>
    <cellStyle name="Percent 3 5 15 2" xfId="33693"/>
    <cellStyle name="Percent 3 5 16" xfId="17573"/>
    <cellStyle name="Percent 3 5 16 2" xfId="33694"/>
    <cellStyle name="Percent 3 5 17" xfId="17574"/>
    <cellStyle name="Percent 3 5 17 2" xfId="33695"/>
    <cellStyle name="Percent 3 5 18" xfId="7386"/>
    <cellStyle name="Percent 3 5 18 2" xfId="23548"/>
    <cellStyle name="Percent 3 5 2" xfId="3825"/>
    <cellStyle name="Percent 3 5 2 2" xfId="7689"/>
    <cellStyle name="Percent 3 5 2 2 2" xfId="23851"/>
    <cellStyle name="Percent 3 5 3" xfId="3826"/>
    <cellStyle name="Percent 3 5 3 2" xfId="7690"/>
    <cellStyle name="Percent 3 5 3 2 2" xfId="23852"/>
    <cellStyle name="Percent 3 5 4" xfId="3827"/>
    <cellStyle name="Percent 3 5 4 2" xfId="7691"/>
    <cellStyle name="Percent 3 5 4 2 2" xfId="23853"/>
    <cellStyle name="Percent 3 5 5" xfId="3828"/>
    <cellStyle name="Percent 3 5 5 2" xfId="7692"/>
    <cellStyle name="Percent 3 5 5 2 2" xfId="23854"/>
    <cellStyle name="Percent 3 5 6" xfId="3762"/>
    <cellStyle name="Percent 3 5 6 2" xfId="7628"/>
    <cellStyle name="Percent 3 5 6 2 2" xfId="23790"/>
    <cellStyle name="Percent 3 5 7" xfId="3764"/>
    <cellStyle name="Percent 3 5 7 2" xfId="7630"/>
    <cellStyle name="Percent 3 5 7 2 2" xfId="23792"/>
    <cellStyle name="Percent 3 5 8" xfId="3766"/>
    <cellStyle name="Percent 3 5 8 2" xfId="7632"/>
    <cellStyle name="Percent 3 5 8 2 2" xfId="23794"/>
    <cellStyle name="Percent 3 5 9" xfId="17575"/>
    <cellStyle name="Percent 3 5 9 2" xfId="33696"/>
    <cellStyle name="Percent 3 6" xfId="1755"/>
    <cellStyle name="Percent 3 6 10" xfId="17576"/>
    <cellStyle name="Percent 3 6 10 2" xfId="33697"/>
    <cellStyle name="Percent 3 6 11" xfId="17577"/>
    <cellStyle name="Percent 3 6 11 2" xfId="33698"/>
    <cellStyle name="Percent 3 6 12" xfId="17578"/>
    <cellStyle name="Percent 3 6 12 2" xfId="33699"/>
    <cellStyle name="Percent 3 6 13" xfId="17579"/>
    <cellStyle name="Percent 3 6 13 2" xfId="33700"/>
    <cellStyle name="Percent 3 6 14" xfId="17580"/>
    <cellStyle name="Percent 3 6 14 2" xfId="33701"/>
    <cellStyle name="Percent 3 6 15" xfId="17581"/>
    <cellStyle name="Percent 3 6 15 2" xfId="33702"/>
    <cellStyle name="Percent 3 6 16" xfId="17582"/>
    <cellStyle name="Percent 3 6 16 2" xfId="33703"/>
    <cellStyle name="Percent 3 6 17" xfId="17583"/>
    <cellStyle name="Percent 3 6 17 2" xfId="33704"/>
    <cellStyle name="Percent 3 6 18" xfId="5666"/>
    <cellStyle name="Percent 3 6 18 2" xfId="21828"/>
    <cellStyle name="Percent 3 6 2" xfId="3829"/>
    <cellStyle name="Percent 3 6 2 2" xfId="7693"/>
    <cellStyle name="Percent 3 6 2 2 2" xfId="23855"/>
    <cellStyle name="Percent 3 6 3" xfId="3830"/>
    <cellStyle name="Percent 3 6 3 2" xfId="7694"/>
    <cellStyle name="Percent 3 6 3 2 2" xfId="23856"/>
    <cellStyle name="Percent 3 6 4" xfId="3831"/>
    <cellStyle name="Percent 3 6 4 2" xfId="7695"/>
    <cellStyle name="Percent 3 6 4 2 2" xfId="23857"/>
    <cellStyle name="Percent 3 6 5" xfId="3832"/>
    <cellStyle name="Percent 3 6 5 2" xfId="7696"/>
    <cellStyle name="Percent 3 6 5 2 2" xfId="23858"/>
    <cellStyle name="Percent 3 6 6" xfId="3833"/>
    <cellStyle name="Percent 3 6 6 2" xfId="7697"/>
    <cellStyle name="Percent 3 6 6 2 2" xfId="23859"/>
    <cellStyle name="Percent 3 6 7" xfId="3834"/>
    <cellStyle name="Percent 3 6 7 2" xfId="7698"/>
    <cellStyle name="Percent 3 6 7 2 2" xfId="23860"/>
    <cellStyle name="Percent 3 6 8" xfId="3835"/>
    <cellStyle name="Percent 3 6 8 2" xfId="7699"/>
    <cellStyle name="Percent 3 6 8 2 2" xfId="23861"/>
    <cellStyle name="Percent 3 6 9" xfId="17584"/>
    <cellStyle name="Percent 3 6 9 2" xfId="33705"/>
    <cellStyle name="Percent 3 7" xfId="1758"/>
    <cellStyle name="Percent 3 7 10" xfId="17585"/>
    <cellStyle name="Percent 3 7 10 2" xfId="33706"/>
    <cellStyle name="Percent 3 7 11" xfId="17586"/>
    <cellStyle name="Percent 3 7 11 2" xfId="33707"/>
    <cellStyle name="Percent 3 7 12" xfId="17587"/>
    <cellStyle name="Percent 3 7 12 2" xfId="33708"/>
    <cellStyle name="Percent 3 7 13" xfId="17588"/>
    <cellStyle name="Percent 3 7 13 2" xfId="33709"/>
    <cellStyle name="Percent 3 7 14" xfId="17589"/>
    <cellStyle name="Percent 3 7 14 2" xfId="33710"/>
    <cellStyle name="Percent 3 7 15" xfId="17590"/>
    <cellStyle name="Percent 3 7 15 2" xfId="33711"/>
    <cellStyle name="Percent 3 7 16" xfId="17591"/>
    <cellStyle name="Percent 3 7 16 2" xfId="33712"/>
    <cellStyle name="Percent 3 7 17" xfId="17592"/>
    <cellStyle name="Percent 3 7 17 2" xfId="33713"/>
    <cellStyle name="Percent 3 7 18" xfId="5669"/>
    <cellStyle name="Percent 3 7 18 2" xfId="21831"/>
    <cellStyle name="Percent 3 7 2" xfId="3836"/>
    <cellStyle name="Percent 3 7 2 2" xfId="7700"/>
    <cellStyle name="Percent 3 7 2 2 2" xfId="23862"/>
    <cellStyle name="Percent 3 7 3" xfId="3837"/>
    <cellStyle name="Percent 3 7 3 2" xfId="7701"/>
    <cellStyle name="Percent 3 7 3 2 2" xfId="23863"/>
    <cellStyle name="Percent 3 7 4" xfId="3838"/>
    <cellStyle name="Percent 3 7 4 2" xfId="7702"/>
    <cellStyle name="Percent 3 7 4 2 2" xfId="23864"/>
    <cellStyle name="Percent 3 7 5" xfId="2099"/>
    <cellStyle name="Percent 3 7 5 2" xfId="6001"/>
    <cellStyle name="Percent 3 7 5 2 2" xfId="22163"/>
    <cellStyle name="Percent 3 7 6" xfId="2104"/>
    <cellStyle name="Percent 3 7 6 2" xfId="6006"/>
    <cellStyle name="Percent 3 7 6 2 2" xfId="22168"/>
    <cellStyle name="Percent 3 7 7" xfId="1608"/>
    <cellStyle name="Percent 3 7 7 2" xfId="5521"/>
    <cellStyle name="Percent 3 7 7 2 2" xfId="21683"/>
    <cellStyle name="Percent 3 7 8" xfId="1615"/>
    <cellStyle name="Percent 3 7 8 2" xfId="5528"/>
    <cellStyle name="Percent 3 7 8 2 2" xfId="21690"/>
    <cellStyle name="Percent 3 7 9" xfId="17593"/>
    <cellStyle name="Percent 3 7 9 2" xfId="33714"/>
    <cellStyle name="Percent 3 8" xfId="3750"/>
    <cellStyle name="Percent 3 8 10" xfId="17594"/>
    <cellStyle name="Percent 3 8 10 2" xfId="33715"/>
    <cellStyle name="Percent 3 8 11" xfId="17595"/>
    <cellStyle name="Percent 3 8 11 2" xfId="33716"/>
    <cellStyle name="Percent 3 8 12" xfId="17596"/>
    <cellStyle name="Percent 3 8 12 2" xfId="33717"/>
    <cellStyle name="Percent 3 8 13" xfId="17597"/>
    <cellStyle name="Percent 3 8 13 2" xfId="33718"/>
    <cellStyle name="Percent 3 8 14" xfId="17598"/>
    <cellStyle name="Percent 3 8 14 2" xfId="33719"/>
    <cellStyle name="Percent 3 8 15" xfId="17599"/>
    <cellStyle name="Percent 3 8 15 2" xfId="33720"/>
    <cellStyle name="Percent 3 8 16" xfId="17600"/>
    <cellStyle name="Percent 3 8 16 2" xfId="33721"/>
    <cellStyle name="Percent 3 8 17" xfId="17601"/>
    <cellStyle name="Percent 3 8 17 2" xfId="33722"/>
    <cellStyle name="Percent 3 8 18" xfId="7624"/>
    <cellStyle name="Percent 3 8 18 2" xfId="23786"/>
    <cellStyle name="Percent 3 8 2" xfId="3839"/>
    <cellStyle name="Percent 3 8 2 2" xfId="7703"/>
    <cellStyle name="Percent 3 8 2 2 2" xfId="23865"/>
    <cellStyle name="Percent 3 8 3" xfId="3840"/>
    <cellStyle name="Percent 3 8 3 2" xfId="7704"/>
    <cellStyle name="Percent 3 8 3 2 2" xfId="23866"/>
    <cellStyle name="Percent 3 8 4" xfId="3841"/>
    <cellStyle name="Percent 3 8 4 2" xfId="7705"/>
    <cellStyle name="Percent 3 8 4 2 2" xfId="23867"/>
    <cellStyle name="Percent 3 8 5" xfId="3842"/>
    <cellStyle name="Percent 3 8 5 2" xfId="7706"/>
    <cellStyle name="Percent 3 8 5 2 2" xfId="23868"/>
    <cellStyle name="Percent 3 8 6" xfId="3843"/>
    <cellStyle name="Percent 3 8 6 2" xfId="7707"/>
    <cellStyle name="Percent 3 8 6 2 2" xfId="23869"/>
    <cellStyle name="Percent 3 8 7" xfId="3844"/>
    <cellStyle name="Percent 3 8 7 2" xfId="7708"/>
    <cellStyle name="Percent 3 8 7 2 2" xfId="23870"/>
    <cellStyle name="Percent 3 8 8" xfId="1626"/>
    <cellStyle name="Percent 3 8 8 2" xfId="5544"/>
    <cellStyle name="Percent 3 8 8 2 2" xfId="21706"/>
    <cellStyle name="Percent 3 8 9" xfId="17602"/>
    <cellStyle name="Percent 3 8 9 2" xfId="33723"/>
    <cellStyle name="Percent 3 9" xfId="3752"/>
    <cellStyle name="Percent 3 9 10" xfId="17603"/>
    <cellStyle name="Percent 3 9 10 2" xfId="33724"/>
    <cellStyle name="Percent 3 9 11" xfId="17604"/>
    <cellStyle name="Percent 3 9 11 2" xfId="33725"/>
    <cellStyle name="Percent 3 9 12" xfId="17605"/>
    <cellStyle name="Percent 3 9 12 2" xfId="33726"/>
    <cellStyle name="Percent 3 9 13" xfId="17606"/>
    <cellStyle name="Percent 3 9 13 2" xfId="33727"/>
    <cellStyle name="Percent 3 9 14" xfId="17607"/>
    <cellStyle name="Percent 3 9 14 2" xfId="33728"/>
    <cellStyle name="Percent 3 9 15" xfId="17608"/>
    <cellStyle name="Percent 3 9 15 2" xfId="33729"/>
    <cellStyle name="Percent 3 9 16" xfId="17609"/>
    <cellStyle name="Percent 3 9 16 2" xfId="33730"/>
    <cellStyle name="Percent 3 9 17" xfId="17610"/>
    <cellStyle name="Percent 3 9 17 2" xfId="33731"/>
    <cellStyle name="Percent 3 9 18" xfId="7625"/>
    <cellStyle name="Percent 3 9 18 2" xfId="23787"/>
    <cellStyle name="Percent 3 9 2" xfId="3754"/>
    <cellStyle name="Percent 3 9 2 2" xfId="7709"/>
    <cellStyle name="Percent 3 9 2 2 2" xfId="23871"/>
    <cellStyle name="Percent 3 9 3" xfId="3845"/>
    <cellStyle name="Percent 3 9 3 2" xfId="7710"/>
    <cellStyle name="Percent 3 9 3 2 2" xfId="23872"/>
    <cellStyle name="Percent 3 9 4" xfId="3846"/>
    <cellStyle name="Percent 3 9 4 2" xfId="7711"/>
    <cellStyle name="Percent 3 9 4 2 2" xfId="23873"/>
    <cellStyle name="Percent 3 9 5" xfId="3847"/>
    <cellStyle name="Percent 3 9 5 2" xfId="7712"/>
    <cellStyle name="Percent 3 9 5 2 2" xfId="23874"/>
    <cellStyle name="Percent 3 9 6" xfId="3848"/>
    <cellStyle name="Percent 3 9 6 2" xfId="7713"/>
    <cellStyle name="Percent 3 9 6 2 2" xfId="23875"/>
    <cellStyle name="Percent 3 9 7" xfId="3849"/>
    <cellStyle name="Percent 3 9 7 2" xfId="7714"/>
    <cellStyle name="Percent 3 9 7 2 2" xfId="23876"/>
    <cellStyle name="Percent 3 9 8" xfId="3850"/>
    <cellStyle name="Percent 3 9 8 2" xfId="7715"/>
    <cellStyle name="Percent 3 9 8 2 2" xfId="23877"/>
    <cellStyle name="Percent 3 9 9" xfId="17611"/>
    <cellStyle name="Percent 3 9 9 2" xfId="33732"/>
    <cellStyle name="Percent 4" xfId="2934"/>
    <cellStyle name="Percent 4 10" xfId="3851"/>
    <cellStyle name="Percent 4 10 2" xfId="7716"/>
    <cellStyle name="Percent 4 10 2 2" xfId="23878"/>
    <cellStyle name="Percent 4 11" xfId="3852"/>
    <cellStyle name="Percent 4 11 2" xfId="7717"/>
    <cellStyle name="Percent 4 11 2 2" xfId="23879"/>
    <cellStyle name="Percent 4 12" xfId="3853"/>
    <cellStyle name="Percent 4 12 10" xfId="17612"/>
    <cellStyle name="Percent 4 12 10 2" xfId="33733"/>
    <cellStyle name="Percent 4 12 11" xfId="17613"/>
    <cellStyle name="Percent 4 12 11 2" xfId="33734"/>
    <cellStyle name="Percent 4 12 12" xfId="17614"/>
    <cellStyle name="Percent 4 12 12 2" xfId="33735"/>
    <cellStyle name="Percent 4 12 13" xfId="7718"/>
    <cellStyle name="Percent 4 12 13 2" xfId="23880"/>
    <cellStyle name="Percent 4 12 14" xfId="20093"/>
    <cellStyle name="Percent 4 12 2" xfId="730"/>
    <cellStyle name="Percent 4 12 2 10" xfId="17615"/>
    <cellStyle name="Percent 4 12 2 10 2" xfId="33736"/>
    <cellStyle name="Percent 4 12 2 11" xfId="4659"/>
    <cellStyle name="Percent 4 12 2 11 2" xfId="20821"/>
    <cellStyle name="Percent 4 12 2 12" xfId="19168"/>
    <cellStyle name="Percent 4 12 2 2" xfId="17616"/>
    <cellStyle name="Percent 4 12 2 2 2" xfId="33737"/>
    <cellStyle name="Percent 4 12 2 3" xfId="17617"/>
    <cellStyle name="Percent 4 12 2 3 2" xfId="33738"/>
    <cellStyle name="Percent 4 12 2 4" xfId="17618"/>
    <cellStyle name="Percent 4 12 2 4 2" xfId="33739"/>
    <cellStyle name="Percent 4 12 2 5" xfId="17619"/>
    <cellStyle name="Percent 4 12 2 5 2" xfId="33740"/>
    <cellStyle name="Percent 4 12 2 6" xfId="17620"/>
    <cellStyle name="Percent 4 12 2 6 2" xfId="33741"/>
    <cellStyle name="Percent 4 12 2 7" xfId="17621"/>
    <cellStyle name="Percent 4 12 2 7 2" xfId="33742"/>
    <cellStyle name="Percent 4 12 2 8" xfId="17622"/>
    <cellStyle name="Percent 4 12 2 8 2" xfId="33743"/>
    <cellStyle name="Percent 4 12 2 9" xfId="17623"/>
    <cellStyle name="Percent 4 12 2 9 2" xfId="33744"/>
    <cellStyle name="Percent 4 12 3" xfId="740"/>
    <cellStyle name="Percent 4 12 3 10" xfId="17624"/>
    <cellStyle name="Percent 4 12 3 10 2" xfId="33745"/>
    <cellStyle name="Percent 4 12 3 11" xfId="4668"/>
    <cellStyle name="Percent 4 12 3 11 2" xfId="20830"/>
    <cellStyle name="Percent 4 12 3 12" xfId="19173"/>
    <cellStyle name="Percent 4 12 3 2" xfId="17625"/>
    <cellStyle name="Percent 4 12 3 2 2" xfId="33746"/>
    <cellStyle name="Percent 4 12 3 3" xfId="17626"/>
    <cellStyle name="Percent 4 12 3 3 2" xfId="33747"/>
    <cellStyle name="Percent 4 12 3 4" xfId="17627"/>
    <cellStyle name="Percent 4 12 3 4 2" xfId="33748"/>
    <cellStyle name="Percent 4 12 3 5" xfId="17628"/>
    <cellStyle name="Percent 4 12 3 5 2" xfId="33749"/>
    <cellStyle name="Percent 4 12 3 6" xfId="17629"/>
    <cellStyle name="Percent 4 12 3 6 2" xfId="33750"/>
    <cellStyle name="Percent 4 12 3 7" xfId="17630"/>
    <cellStyle name="Percent 4 12 3 7 2" xfId="33751"/>
    <cellStyle name="Percent 4 12 3 8" xfId="17631"/>
    <cellStyle name="Percent 4 12 3 8 2" xfId="33752"/>
    <cellStyle name="Percent 4 12 3 9" xfId="17632"/>
    <cellStyle name="Percent 4 12 3 9 2" xfId="33753"/>
    <cellStyle name="Percent 4 12 4" xfId="17633"/>
    <cellStyle name="Percent 4 12 4 2" xfId="33754"/>
    <cellStyle name="Percent 4 12 5" xfId="17634"/>
    <cellStyle name="Percent 4 12 5 2" xfId="33755"/>
    <cellStyle name="Percent 4 12 6" xfId="17635"/>
    <cellStyle name="Percent 4 12 6 2" xfId="33756"/>
    <cellStyle name="Percent 4 12 7" xfId="17636"/>
    <cellStyle name="Percent 4 12 7 2" xfId="33757"/>
    <cellStyle name="Percent 4 12 8" xfId="17637"/>
    <cellStyle name="Percent 4 12 8 2" xfId="33758"/>
    <cellStyle name="Percent 4 12 9" xfId="17638"/>
    <cellStyle name="Percent 4 12 9 2" xfId="33759"/>
    <cellStyle name="Percent 4 13" xfId="3733"/>
    <cellStyle name="Percent 4 13 10" xfId="17639"/>
    <cellStyle name="Percent 4 13 10 2" xfId="33760"/>
    <cellStyle name="Percent 4 13 11" xfId="17640"/>
    <cellStyle name="Percent 4 13 11 2" xfId="33761"/>
    <cellStyle name="Percent 4 13 12" xfId="17641"/>
    <cellStyle name="Percent 4 13 12 2" xfId="33762"/>
    <cellStyle name="Percent 4 13 13" xfId="7612"/>
    <cellStyle name="Percent 4 13 13 2" xfId="23774"/>
    <cellStyle name="Percent 4 13 14" xfId="20060"/>
    <cellStyle name="Percent 4 13 2" xfId="3854"/>
    <cellStyle name="Percent 4 13 2 10" xfId="17642"/>
    <cellStyle name="Percent 4 13 2 10 2" xfId="33763"/>
    <cellStyle name="Percent 4 13 2 11" xfId="7719"/>
    <cellStyle name="Percent 4 13 2 11 2" xfId="23881"/>
    <cellStyle name="Percent 4 13 2 12" xfId="20094"/>
    <cellStyle name="Percent 4 13 2 2" xfId="17643"/>
    <cellStyle name="Percent 4 13 2 2 2" xfId="33764"/>
    <cellStyle name="Percent 4 13 2 3" xfId="17644"/>
    <cellStyle name="Percent 4 13 2 3 2" xfId="33765"/>
    <cellStyle name="Percent 4 13 2 4" xfId="17645"/>
    <cellStyle name="Percent 4 13 2 4 2" xfId="33766"/>
    <cellStyle name="Percent 4 13 2 5" xfId="17646"/>
    <cellStyle name="Percent 4 13 2 5 2" xfId="33767"/>
    <cellStyle name="Percent 4 13 2 6" xfId="17647"/>
    <cellStyle name="Percent 4 13 2 6 2" xfId="33768"/>
    <cellStyle name="Percent 4 13 2 7" xfId="17648"/>
    <cellStyle name="Percent 4 13 2 7 2" xfId="33769"/>
    <cellStyle name="Percent 4 13 2 8" xfId="17649"/>
    <cellStyle name="Percent 4 13 2 8 2" xfId="33770"/>
    <cellStyle name="Percent 4 13 2 9" xfId="17650"/>
    <cellStyle name="Percent 4 13 2 9 2" xfId="33771"/>
    <cellStyle name="Percent 4 13 3" xfId="3855"/>
    <cellStyle name="Percent 4 13 3 10" xfId="17651"/>
    <cellStyle name="Percent 4 13 3 10 2" xfId="33772"/>
    <cellStyle name="Percent 4 13 3 11" xfId="7720"/>
    <cellStyle name="Percent 4 13 3 11 2" xfId="23882"/>
    <cellStyle name="Percent 4 13 3 12" xfId="20095"/>
    <cellStyle name="Percent 4 13 3 2" xfId="17652"/>
    <cellStyle name="Percent 4 13 3 2 2" xfId="33773"/>
    <cellStyle name="Percent 4 13 3 3" xfId="17653"/>
    <cellStyle name="Percent 4 13 3 3 2" xfId="33774"/>
    <cellStyle name="Percent 4 13 3 4" xfId="17654"/>
    <cellStyle name="Percent 4 13 3 4 2" xfId="33775"/>
    <cellStyle name="Percent 4 13 3 5" xfId="17655"/>
    <cellStyle name="Percent 4 13 3 5 2" xfId="33776"/>
    <cellStyle name="Percent 4 13 3 6" xfId="17656"/>
    <cellStyle name="Percent 4 13 3 6 2" xfId="33777"/>
    <cellStyle name="Percent 4 13 3 7" xfId="17657"/>
    <cellStyle name="Percent 4 13 3 7 2" xfId="33778"/>
    <cellStyle name="Percent 4 13 3 8" xfId="17658"/>
    <cellStyle name="Percent 4 13 3 8 2" xfId="33779"/>
    <cellStyle name="Percent 4 13 3 9" xfId="17659"/>
    <cellStyle name="Percent 4 13 3 9 2" xfId="33780"/>
    <cellStyle name="Percent 4 13 4" xfId="17660"/>
    <cellStyle name="Percent 4 13 4 2" xfId="33781"/>
    <cellStyle name="Percent 4 13 5" xfId="17661"/>
    <cellStyle name="Percent 4 13 5 2" xfId="33782"/>
    <cellStyle name="Percent 4 13 6" xfId="17662"/>
    <cellStyle name="Percent 4 13 6 2" xfId="33783"/>
    <cellStyle name="Percent 4 13 7" xfId="17663"/>
    <cellStyle name="Percent 4 13 7 2" xfId="33784"/>
    <cellStyle name="Percent 4 13 8" xfId="17664"/>
    <cellStyle name="Percent 4 13 8 2" xfId="33785"/>
    <cellStyle name="Percent 4 13 9" xfId="17665"/>
    <cellStyle name="Percent 4 13 9 2" xfId="33786"/>
    <cellStyle name="Percent 4 14" xfId="3735"/>
    <cellStyle name="Percent 4 14 10" xfId="17666"/>
    <cellStyle name="Percent 4 14 10 2" xfId="33787"/>
    <cellStyle name="Percent 4 14 11" xfId="17667"/>
    <cellStyle name="Percent 4 14 11 2" xfId="33788"/>
    <cellStyle name="Percent 4 14 12" xfId="17668"/>
    <cellStyle name="Percent 4 14 12 2" xfId="33789"/>
    <cellStyle name="Percent 4 14 13" xfId="7614"/>
    <cellStyle name="Percent 4 14 13 2" xfId="23776"/>
    <cellStyle name="Percent 4 14 14" xfId="20061"/>
    <cellStyle name="Percent 4 14 2" xfId="3856"/>
    <cellStyle name="Percent 4 14 2 10" xfId="17669"/>
    <cellStyle name="Percent 4 14 2 10 2" xfId="33790"/>
    <cellStyle name="Percent 4 14 2 11" xfId="7721"/>
    <cellStyle name="Percent 4 14 2 11 2" xfId="23883"/>
    <cellStyle name="Percent 4 14 2 12" xfId="20096"/>
    <cellStyle name="Percent 4 14 2 2" xfId="17670"/>
    <cellStyle name="Percent 4 14 2 2 2" xfId="33791"/>
    <cellStyle name="Percent 4 14 2 3" xfId="17671"/>
    <cellStyle name="Percent 4 14 2 3 2" xfId="33792"/>
    <cellStyle name="Percent 4 14 2 4" xfId="17672"/>
    <cellStyle name="Percent 4 14 2 4 2" xfId="33793"/>
    <cellStyle name="Percent 4 14 2 5" xfId="17673"/>
    <cellStyle name="Percent 4 14 2 5 2" xfId="33794"/>
    <cellStyle name="Percent 4 14 2 6" xfId="17674"/>
    <cellStyle name="Percent 4 14 2 6 2" xfId="33795"/>
    <cellStyle name="Percent 4 14 2 7" xfId="17675"/>
    <cellStyle name="Percent 4 14 2 7 2" xfId="33796"/>
    <cellStyle name="Percent 4 14 2 8" xfId="17676"/>
    <cellStyle name="Percent 4 14 2 8 2" xfId="33797"/>
    <cellStyle name="Percent 4 14 2 9" xfId="17677"/>
    <cellStyle name="Percent 4 14 2 9 2" xfId="33798"/>
    <cellStyle name="Percent 4 14 3" xfId="3857"/>
    <cellStyle name="Percent 4 14 3 10" xfId="17678"/>
    <cellStyle name="Percent 4 14 3 10 2" xfId="33799"/>
    <cellStyle name="Percent 4 14 3 11" xfId="7722"/>
    <cellStyle name="Percent 4 14 3 11 2" xfId="23884"/>
    <cellStyle name="Percent 4 14 3 12" xfId="20097"/>
    <cellStyle name="Percent 4 14 3 2" xfId="17679"/>
    <cellStyle name="Percent 4 14 3 2 2" xfId="33800"/>
    <cellStyle name="Percent 4 14 3 3" xfId="17680"/>
    <cellStyle name="Percent 4 14 3 3 2" xfId="33801"/>
    <cellStyle name="Percent 4 14 3 4" xfId="17681"/>
    <cellStyle name="Percent 4 14 3 4 2" xfId="33802"/>
    <cellStyle name="Percent 4 14 3 5" xfId="17682"/>
    <cellStyle name="Percent 4 14 3 5 2" xfId="33803"/>
    <cellStyle name="Percent 4 14 3 6" xfId="17683"/>
    <cellStyle name="Percent 4 14 3 6 2" xfId="33804"/>
    <cellStyle name="Percent 4 14 3 7" xfId="17684"/>
    <cellStyle name="Percent 4 14 3 7 2" xfId="33805"/>
    <cellStyle name="Percent 4 14 3 8" xfId="17685"/>
    <cellStyle name="Percent 4 14 3 8 2" xfId="33806"/>
    <cellStyle name="Percent 4 14 3 9" xfId="17686"/>
    <cellStyle name="Percent 4 14 3 9 2" xfId="33807"/>
    <cellStyle name="Percent 4 14 4" xfId="17687"/>
    <cellStyle name="Percent 4 14 4 2" xfId="33808"/>
    <cellStyle name="Percent 4 14 5" xfId="17688"/>
    <cellStyle name="Percent 4 14 5 2" xfId="33809"/>
    <cellStyle name="Percent 4 14 6" xfId="17689"/>
    <cellStyle name="Percent 4 14 6 2" xfId="33810"/>
    <cellStyle name="Percent 4 14 7" xfId="17690"/>
    <cellStyle name="Percent 4 14 7 2" xfId="33811"/>
    <cellStyle name="Percent 4 14 8" xfId="17691"/>
    <cellStyle name="Percent 4 14 8 2" xfId="33812"/>
    <cellStyle name="Percent 4 14 9" xfId="17692"/>
    <cellStyle name="Percent 4 14 9 2" xfId="33813"/>
    <cellStyle name="Percent 4 15" xfId="3738"/>
    <cellStyle name="Percent 4 15 10" xfId="17693"/>
    <cellStyle name="Percent 4 15 10 2" xfId="33814"/>
    <cellStyle name="Percent 4 15 11" xfId="17694"/>
    <cellStyle name="Percent 4 15 11 2" xfId="33815"/>
    <cellStyle name="Percent 4 15 12" xfId="17695"/>
    <cellStyle name="Percent 4 15 12 2" xfId="33816"/>
    <cellStyle name="Percent 4 15 13" xfId="7616"/>
    <cellStyle name="Percent 4 15 13 2" xfId="23778"/>
    <cellStyle name="Percent 4 15 14" xfId="20063"/>
    <cellStyle name="Percent 4 15 2" xfId="3218"/>
    <cellStyle name="Percent 4 15 2 10" xfId="17696"/>
    <cellStyle name="Percent 4 15 2 10 2" xfId="33817"/>
    <cellStyle name="Percent 4 15 2 11" xfId="7102"/>
    <cellStyle name="Percent 4 15 2 11 2" xfId="23264"/>
    <cellStyle name="Percent 4 15 2 12" xfId="19962"/>
    <cellStyle name="Percent 4 15 2 2" xfId="17697"/>
    <cellStyle name="Percent 4 15 2 2 2" xfId="33818"/>
    <cellStyle name="Percent 4 15 2 3" xfId="17698"/>
    <cellStyle name="Percent 4 15 2 3 2" xfId="33819"/>
    <cellStyle name="Percent 4 15 2 4" xfId="17699"/>
    <cellStyle name="Percent 4 15 2 4 2" xfId="33820"/>
    <cellStyle name="Percent 4 15 2 5" xfId="17700"/>
    <cellStyle name="Percent 4 15 2 5 2" xfId="33821"/>
    <cellStyle name="Percent 4 15 2 6" xfId="17701"/>
    <cellStyle name="Percent 4 15 2 6 2" xfId="33822"/>
    <cellStyle name="Percent 4 15 2 7" xfId="17702"/>
    <cellStyle name="Percent 4 15 2 7 2" xfId="33823"/>
    <cellStyle name="Percent 4 15 2 8" xfId="17703"/>
    <cellStyle name="Percent 4 15 2 8 2" xfId="33824"/>
    <cellStyle name="Percent 4 15 2 9" xfId="17704"/>
    <cellStyle name="Percent 4 15 2 9 2" xfId="33825"/>
    <cellStyle name="Percent 4 15 3" xfId="40"/>
    <cellStyle name="Percent 4 15 3 10" xfId="17705"/>
    <cellStyle name="Percent 4 15 3 10 2" xfId="33826"/>
    <cellStyle name="Percent 4 15 3 11" xfId="3996"/>
    <cellStyle name="Percent 4 15 3 11 2" xfId="20159"/>
    <cellStyle name="Percent 4 15 3 12" xfId="18973"/>
    <cellStyle name="Percent 4 15 3 2" xfId="17706"/>
    <cellStyle name="Percent 4 15 3 2 2" xfId="33827"/>
    <cellStyle name="Percent 4 15 3 3" xfId="17707"/>
    <cellStyle name="Percent 4 15 3 3 2" xfId="33828"/>
    <cellStyle name="Percent 4 15 3 4" xfId="17708"/>
    <cellStyle name="Percent 4 15 3 4 2" xfId="33829"/>
    <cellStyle name="Percent 4 15 3 5" xfId="17709"/>
    <cellStyle name="Percent 4 15 3 5 2" xfId="33830"/>
    <cellStyle name="Percent 4 15 3 6" xfId="17710"/>
    <cellStyle name="Percent 4 15 3 6 2" xfId="33831"/>
    <cellStyle name="Percent 4 15 3 7" xfId="17711"/>
    <cellStyle name="Percent 4 15 3 7 2" xfId="33832"/>
    <cellStyle name="Percent 4 15 3 8" xfId="17712"/>
    <cellStyle name="Percent 4 15 3 8 2" xfId="33833"/>
    <cellStyle name="Percent 4 15 3 9" xfId="17713"/>
    <cellStyle name="Percent 4 15 3 9 2" xfId="33834"/>
    <cellStyle name="Percent 4 15 4" xfId="17714"/>
    <cellStyle name="Percent 4 15 4 2" xfId="33835"/>
    <cellStyle name="Percent 4 15 5" xfId="17715"/>
    <cellStyle name="Percent 4 15 5 2" xfId="33836"/>
    <cellStyle name="Percent 4 15 6" xfId="17716"/>
    <cellStyle name="Percent 4 15 6 2" xfId="33837"/>
    <cellStyle name="Percent 4 15 7" xfId="17717"/>
    <cellStyle name="Percent 4 15 7 2" xfId="33838"/>
    <cellStyle name="Percent 4 15 8" xfId="17718"/>
    <cellStyle name="Percent 4 15 8 2" xfId="33839"/>
    <cellStyle name="Percent 4 15 9" xfId="17719"/>
    <cellStyle name="Percent 4 15 9 2" xfId="33840"/>
    <cellStyle name="Percent 4 16" xfId="3741"/>
    <cellStyle name="Percent 4 16 10" xfId="17720"/>
    <cellStyle name="Percent 4 16 10 2" xfId="33841"/>
    <cellStyle name="Percent 4 16 11" xfId="17721"/>
    <cellStyle name="Percent 4 16 11 2" xfId="33842"/>
    <cellStyle name="Percent 4 16 12" xfId="17722"/>
    <cellStyle name="Percent 4 16 12 2" xfId="33843"/>
    <cellStyle name="Percent 4 16 13" xfId="7619"/>
    <cellStyle name="Percent 4 16 13 2" xfId="23781"/>
    <cellStyle name="Percent 4 16 14" xfId="20065"/>
    <cellStyle name="Percent 4 16 2" xfId="3244"/>
    <cellStyle name="Percent 4 16 2 10" xfId="17723"/>
    <cellStyle name="Percent 4 16 2 10 2" xfId="33844"/>
    <cellStyle name="Percent 4 16 2 11" xfId="7128"/>
    <cellStyle name="Percent 4 16 2 11 2" xfId="23290"/>
    <cellStyle name="Percent 4 16 2 12" xfId="19965"/>
    <cellStyle name="Percent 4 16 2 2" xfId="17724"/>
    <cellStyle name="Percent 4 16 2 2 2" xfId="33845"/>
    <cellStyle name="Percent 4 16 2 3" xfId="17725"/>
    <cellStyle name="Percent 4 16 2 3 2" xfId="33846"/>
    <cellStyle name="Percent 4 16 2 4" xfId="17726"/>
    <cellStyle name="Percent 4 16 2 4 2" xfId="33847"/>
    <cellStyle name="Percent 4 16 2 5" xfId="17727"/>
    <cellStyle name="Percent 4 16 2 5 2" xfId="33848"/>
    <cellStyle name="Percent 4 16 2 6" xfId="17728"/>
    <cellStyle name="Percent 4 16 2 6 2" xfId="33849"/>
    <cellStyle name="Percent 4 16 2 7" xfId="17729"/>
    <cellStyle name="Percent 4 16 2 7 2" xfId="33850"/>
    <cellStyle name="Percent 4 16 2 8" xfId="17730"/>
    <cellStyle name="Percent 4 16 2 8 2" xfId="33851"/>
    <cellStyle name="Percent 4 16 2 9" xfId="17731"/>
    <cellStyle name="Percent 4 16 2 9 2" xfId="33852"/>
    <cellStyle name="Percent 4 16 3" xfId="3247"/>
    <cellStyle name="Percent 4 16 3 10" xfId="17732"/>
    <cellStyle name="Percent 4 16 3 10 2" xfId="33853"/>
    <cellStyle name="Percent 4 16 3 11" xfId="7131"/>
    <cellStyle name="Percent 4 16 3 11 2" xfId="23293"/>
    <cellStyle name="Percent 4 16 3 12" xfId="19966"/>
    <cellStyle name="Percent 4 16 3 2" xfId="17733"/>
    <cellStyle name="Percent 4 16 3 2 2" xfId="33854"/>
    <cellStyle name="Percent 4 16 3 3" xfId="17734"/>
    <cellStyle name="Percent 4 16 3 3 2" xfId="33855"/>
    <cellStyle name="Percent 4 16 3 4" xfId="17735"/>
    <cellStyle name="Percent 4 16 3 4 2" xfId="33856"/>
    <cellStyle name="Percent 4 16 3 5" xfId="17736"/>
    <cellStyle name="Percent 4 16 3 5 2" xfId="33857"/>
    <cellStyle name="Percent 4 16 3 6" xfId="17737"/>
    <cellStyle name="Percent 4 16 3 6 2" xfId="33858"/>
    <cellStyle name="Percent 4 16 3 7" xfId="17738"/>
    <cellStyle name="Percent 4 16 3 7 2" xfId="33859"/>
    <cellStyle name="Percent 4 16 3 8" xfId="17739"/>
    <cellStyle name="Percent 4 16 3 8 2" xfId="33860"/>
    <cellStyle name="Percent 4 16 3 9" xfId="17740"/>
    <cellStyle name="Percent 4 16 3 9 2" xfId="33861"/>
    <cellStyle name="Percent 4 16 4" xfId="17741"/>
    <cellStyle name="Percent 4 16 4 2" xfId="33862"/>
    <cellStyle name="Percent 4 16 5" xfId="17742"/>
    <cellStyle name="Percent 4 16 5 2" xfId="33863"/>
    <cellStyle name="Percent 4 16 6" xfId="17743"/>
    <cellStyle name="Percent 4 16 6 2" xfId="33864"/>
    <cellStyle name="Percent 4 16 7" xfId="17744"/>
    <cellStyle name="Percent 4 16 7 2" xfId="33865"/>
    <cellStyle name="Percent 4 16 8" xfId="17745"/>
    <cellStyle name="Percent 4 16 8 2" xfId="33866"/>
    <cellStyle name="Percent 4 16 9" xfId="17746"/>
    <cellStyle name="Percent 4 16 9 2" xfId="33867"/>
    <cellStyle name="Percent 4 17" xfId="3743"/>
    <cellStyle name="Percent 4 17 10" xfId="17747"/>
    <cellStyle name="Percent 4 17 10 2" xfId="33868"/>
    <cellStyle name="Percent 4 17 11" xfId="17748"/>
    <cellStyle name="Percent 4 17 11 2" xfId="33869"/>
    <cellStyle name="Percent 4 17 12" xfId="17749"/>
    <cellStyle name="Percent 4 17 12 2" xfId="33870"/>
    <cellStyle name="Percent 4 17 13" xfId="7622"/>
    <cellStyle name="Percent 4 17 13 2" xfId="23784"/>
    <cellStyle name="Percent 4 17 14" xfId="20066"/>
    <cellStyle name="Percent 4 17 2" xfId="3263"/>
    <cellStyle name="Percent 4 17 2 10" xfId="17750"/>
    <cellStyle name="Percent 4 17 2 10 2" xfId="33871"/>
    <cellStyle name="Percent 4 17 2 11" xfId="7145"/>
    <cellStyle name="Percent 4 17 2 11 2" xfId="23307"/>
    <cellStyle name="Percent 4 17 2 12" xfId="19967"/>
    <cellStyle name="Percent 4 17 2 2" xfId="17751"/>
    <cellStyle name="Percent 4 17 2 2 2" xfId="33872"/>
    <cellStyle name="Percent 4 17 2 3" xfId="17752"/>
    <cellStyle name="Percent 4 17 2 3 2" xfId="33873"/>
    <cellStyle name="Percent 4 17 2 4" xfId="17753"/>
    <cellStyle name="Percent 4 17 2 4 2" xfId="33874"/>
    <cellStyle name="Percent 4 17 2 5" xfId="17754"/>
    <cellStyle name="Percent 4 17 2 5 2" xfId="33875"/>
    <cellStyle name="Percent 4 17 2 6" xfId="17755"/>
    <cellStyle name="Percent 4 17 2 6 2" xfId="33876"/>
    <cellStyle name="Percent 4 17 2 7" xfId="17756"/>
    <cellStyle name="Percent 4 17 2 7 2" xfId="33877"/>
    <cellStyle name="Percent 4 17 2 8" xfId="17757"/>
    <cellStyle name="Percent 4 17 2 8 2" xfId="33878"/>
    <cellStyle name="Percent 4 17 2 9" xfId="17758"/>
    <cellStyle name="Percent 4 17 2 9 2" xfId="33879"/>
    <cellStyle name="Percent 4 17 3" xfId="3266"/>
    <cellStyle name="Percent 4 17 3 10" xfId="17759"/>
    <cellStyle name="Percent 4 17 3 10 2" xfId="33880"/>
    <cellStyle name="Percent 4 17 3 11" xfId="7148"/>
    <cellStyle name="Percent 4 17 3 11 2" xfId="23310"/>
    <cellStyle name="Percent 4 17 3 12" xfId="19968"/>
    <cellStyle name="Percent 4 17 3 2" xfId="17760"/>
    <cellStyle name="Percent 4 17 3 2 2" xfId="33881"/>
    <cellStyle name="Percent 4 17 3 3" xfId="17761"/>
    <cellStyle name="Percent 4 17 3 3 2" xfId="33882"/>
    <cellStyle name="Percent 4 17 3 4" xfId="17762"/>
    <cellStyle name="Percent 4 17 3 4 2" xfId="33883"/>
    <cellStyle name="Percent 4 17 3 5" xfId="17763"/>
    <cellStyle name="Percent 4 17 3 5 2" xfId="33884"/>
    <cellStyle name="Percent 4 17 3 6" xfId="17764"/>
    <cellStyle name="Percent 4 17 3 6 2" xfId="33885"/>
    <cellStyle name="Percent 4 17 3 7" xfId="17765"/>
    <cellStyle name="Percent 4 17 3 7 2" xfId="33886"/>
    <cellStyle name="Percent 4 17 3 8" xfId="17766"/>
    <cellStyle name="Percent 4 17 3 8 2" xfId="33887"/>
    <cellStyle name="Percent 4 17 3 9" xfId="17767"/>
    <cellStyle name="Percent 4 17 3 9 2" xfId="33888"/>
    <cellStyle name="Percent 4 17 4" xfId="17768"/>
    <cellStyle name="Percent 4 17 4 2" xfId="33889"/>
    <cellStyle name="Percent 4 17 5" xfId="17769"/>
    <cellStyle name="Percent 4 17 5 2" xfId="33890"/>
    <cellStyle name="Percent 4 17 6" xfId="17770"/>
    <cellStyle name="Percent 4 17 6 2" xfId="33891"/>
    <cellStyle name="Percent 4 17 7" xfId="17771"/>
    <cellStyle name="Percent 4 17 7 2" xfId="33892"/>
    <cellStyle name="Percent 4 17 8" xfId="17772"/>
    <cellStyle name="Percent 4 17 8 2" xfId="33893"/>
    <cellStyle name="Percent 4 17 9" xfId="17773"/>
    <cellStyle name="Percent 4 17 9 2" xfId="33894"/>
    <cellStyle name="Percent 4 18" xfId="2809"/>
    <cellStyle name="Percent 4 18 2" xfId="17774"/>
    <cellStyle name="Percent 4 18 2 2" xfId="33895"/>
    <cellStyle name="Percent 4 18 3" xfId="6703"/>
    <cellStyle name="Percent 4 18 3 2" xfId="22865"/>
    <cellStyle name="Percent 4 19" xfId="2812"/>
    <cellStyle name="Percent 4 19 10" xfId="17775"/>
    <cellStyle name="Percent 4 19 10 2" xfId="33896"/>
    <cellStyle name="Percent 4 19 11" xfId="17776"/>
    <cellStyle name="Percent 4 19 11 2" xfId="33897"/>
    <cellStyle name="Percent 4 19 12" xfId="17777"/>
    <cellStyle name="Percent 4 19 12 2" xfId="33898"/>
    <cellStyle name="Percent 4 19 13" xfId="6706"/>
    <cellStyle name="Percent 4 19 13 2" xfId="22868"/>
    <cellStyle name="Percent 4 19 14" xfId="19766"/>
    <cellStyle name="Percent 4 19 2" xfId="3298"/>
    <cellStyle name="Percent 4 19 2 10" xfId="17778"/>
    <cellStyle name="Percent 4 19 2 10 2" xfId="33899"/>
    <cellStyle name="Percent 4 19 2 11" xfId="7180"/>
    <cellStyle name="Percent 4 19 2 11 2" xfId="23342"/>
    <cellStyle name="Percent 4 19 2 12" xfId="19972"/>
    <cellStyle name="Percent 4 19 2 2" xfId="17779"/>
    <cellStyle name="Percent 4 19 2 2 2" xfId="33900"/>
    <cellStyle name="Percent 4 19 2 3" xfId="17780"/>
    <cellStyle name="Percent 4 19 2 3 2" xfId="33901"/>
    <cellStyle name="Percent 4 19 2 4" xfId="17781"/>
    <cellStyle name="Percent 4 19 2 4 2" xfId="33902"/>
    <cellStyle name="Percent 4 19 2 5" xfId="17782"/>
    <cellStyle name="Percent 4 19 2 5 2" xfId="33903"/>
    <cellStyle name="Percent 4 19 2 6" xfId="17783"/>
    <cellStyle name="Percent 4 19 2 6 2" xfId="33904"/>
    <cellStyle name="Percent 4 19 2 7" xfId="17784"/>
    <cellStyle name="Percent 4 19 2 7 2" xfId="33905"/>
    <cellStyle name="Percent 4 19 2 8" xfId="17785"/>
    <cellStyle name="Percent 4 19 2 8 2" xfId="33906"/>
    <cellStyle name="Percent 4 19 2 9" xfId="17786"/>
    <cellStyle name="Percent 4 19 2 9 2" xfId="33907"/>
    <cellStyle name="Percent 4 19 3" xfId="3301"/>
    <cellStyle name="Percent 4 19 3 10" xfId="17787"/>
    <cellStyle name="Percent 4 19 3 10 2" xfId="33908"/>
    <cellStyle name="Percent 4 19 3 11" xfId="7183"/>
    <cellStyle name="Percent 4 19 3 11 2" xfId="23345"/>
    <cellStyle name="Percent 4 19 3 12" xfId="19973"/>
    <cellStyle name="Percent 4 19 3 2" xfId="17788"/>
    <cellStyle name="Percent 4 19 3 2 2" xfId="33909"/>
    <cellStyle name="Percent 4 19 3 3" xfId="17789"/>
    <cellStyle name="Percent 4 19 3 3 2" xfId="33910"/>
    <cellStyle name="Percent 4 19 3 4" xfId="17790"/>
    <cellStyle name="Percent 4 19 3 4 2" xfId="33911"/>
    <cellStyle name="Percent 4 19 3 5" xfId="17791"/>
    <cellStyle name="Percent 4 19 3 5 2" xfId="33912"/>
    <cellStyle name="Percent 4 19 3 6" xfId="17792"/>
    <cellStyle name="Percent 4 19 3 6 2" xfId="33913"/>
    <cellStyle name="Percent 4 19 3 7" xfId="17793"/>
    <cellStyle name="Percent 4 19 3 7 2" xfId="33914"/>
    <cellStyle name="Percent 4 19 3 8" xfId="17794"/>
    <cellStyle name="Percent 4 19 3 8 2" xfId="33915"/>
    <cellStyle name="Percent 4 19 3 9" xfId="17795"/>
    <cellStyle name="Percent 4 19 3 9 2" xfId="33916"/>
    <cellStyle name="Percent 4 19 4" xfId="17796"/>
    <cellStyle name="Percent 4 19 4 2" xfId="33917"/>
    <cellStyle name="Percent 4 19 5" xfId="17797"/>
    <cellStyle name="Percent 4 19 5 2" xfId="33918"/>
    <cellStyle name="Percent 4 19 6" xfId="17798"/>
    <cellStyle name="Percent 4 19 6 2" xfId="33919"/>
    <cellStyle name="Percent 4 19 7" xfId="17799"/>
    <cellStyle name="Percent 4 19 7 2" xfId="33920"/>
    <cellStyle name="Percent 4 19 8" xfId="17800"/>
    <cellStyle name="Percent 4 19 8 2" xfId="33921"/>
    <cellStyle name="Percent 4 19 9" xfId="17801"/>
    <cellStyle name="Percent 4 19 9 2" xfId="33922"/>
    <cellStyle name="Percent 4 2" xfId="3858"/>
    <cellStyle name="Percent 4 2 10" xfId="666"/>
    <cellStyle name="Percent 4 2 10 2" xfId="4593"/>
    <cellStyle name="Percent 4 2 10 2 2" xfId="20755"/>
    <cellStyle name="Percent 4 2 11" xfId="2191"/>
    <cellStyle name="Percent 4 2 11 2" xfId="6092"/>
    <cellStyle name="Percent 4 2 11 2 2" xfId="22254"/>
    <cellStyle name="Percent 4 2 12" xfId="17802"/>
    <cellStyle name="Percent 4 2 12 2" xfId="33923"/>
    <cellStyle name="Percent 4 2 13" xfId="17803"/>
    <cellStyle name="Percent 4 2 13 2" xfId="33924"/>
    <cellStyle name="Percent 4 2 14" xfId="17804"/>
    <cellStyle name="Percent 4 2 14 2" xfId="33925"/>
    <cellStyle name="Percent 4 2 15" xfId="17805"/>
    <cellStyle name="Percent 4 2 15 2" xfId="33926"/>
    <cellStyle name="Percent 4 2 16" xfId="17806"/>
    <cellStyle name="Percent 4 2 16 2" xfId="33927"/>
    <cellStyle name="Percent 4 2 17" xfId="17807"/>
    <cellStyle name="Percent 4 2 17 2" xfId="33928"/>
    <cellStyle name="Percent 4 2 18" xfId="17808"/>
    <cellStyle name="Percent 4 2 18 2" xfId="33929"/>
    <cellStyle name="Percent 4 2 19" xfId="17809"/>
    <cellStyle name="Percent 4 2 19 2" xfId="33930"/>
    <cellStyle name="Percent 4 2 2" xfId="3859"/>
    <cellStyle name="Percent 4 2 2 10" xfId="17810"/>
    <cellStyle name="Percent 4 2 2 10 2" xfId="33931"/>
    <cellStyle name="Percent 4 2 2 11" xfId="17811"/>
    <cellStyle name="Percent 4 2 2 11 2" xfId="33932"/>
    <cellStyle name="Percent 4 2 2 12" xfId="17812"/>
    <cellStyle name="Percent 4 2 2 12 2" xfId="33933"/>
    <cellStyle name="Percent 4 2 2 13" xfId="17813"/>
    <cellStyle name="Percent 4 2 2 13 2" xfId="33934"/>
    <cellStyle name="Percent 4 2 2 14" xfId="17814"/>
    <cellStyle name="Percent 4 2 2 14 2" xfId="33935"/>
    <cellStyle name="Percent 4 2 2 15" xfId="17815"/>
    <cellStyle name="Percent 4 2 2 15 2" xfId="33936"/>
    <cellStyle name="Percent 4 2 2 16" xfId="17816"/>
    <cellStyle name="Percent 4 2 2 16 2" xfId="33937"/>
    <cellStyle name="Percent 4 2 2 17" xfId="17817"/>
    <cellStyle name="Percent 4 2 2 17 2" xfId="33938"/>
    <cellStyle name="Percent 4 2 2 18" xfId="7724"/>
    <cellStyle name="Percent 4 2 2 18 2" xfId="23886"/>
    <cellStyle name="Percent 4 2 2 19" xfId="20098"/>
    <cellStyle name="Percent 4 2 2 2" xfId="3860"/>
    <cellStyle name="Percent 4 2 2 2 10" xfId="17818"/>
    <cellStyle name="Percent 4 2 2 2 10 2" xfId="33939"/>
    <cellStyle name="Percent 4 2 2 2 11" xfId="17819"/>
    <cellStyle name="Percent 4 2 2 2 11 2" xfId="33940"/>
    <cellStyle name="Percent 4 2 2 2 12" xfId="17820"/>
    <cellStyle name="Percent 4 2 2 2 12 2" xfId="33941"/>
    <cellStyle name="Percent 4 2 2 2 13" xfId="7725"/>
    <cellStyle name="Percent 4 2 2 2 13 2" xfId="23887"/>
    <cellStyle name="Percent 4 2 2 2 14" xfId="20099"/>
    <cellStyle name="Percent 4 2 2 2 2" xfId="1924"/>
    <cellStyle name="Percent 4 2 2 2 2 10" xfId="17821"/>
    <cellStyle name="Percent 4 2 2 2 2 10 2" xfId="33942"/>
    <cellStyle name="Percent 4 2 2 2 2 11" xfId="5831"/>
    <cellStyle name="Percent 4 2 2 2 2 11 2" xfId="21993"/>
    <cellStyle name="Percent 4 2 2 2 2 12" xfId="19600"/>
    <cellStyle name="Percent 4 2 2 2 2 2" xfId="17822"/>
    <cellStyle name="Percent 4 2 2 2 2 2 2" xfId="17823"/>
    <cellStyle name="Percent 4 2 2 2 2 2 2 2" xfId="17824"/>
    <cellStyle name="Percent 4 2 2 2 2 2 2 2 2" xfId="33945"/>
    <cellStyle name="Percent 4 2 2 2 2 2 2 3" xfId="33944"/>
    <cellStyle name="Percent 4 2 2 2 2 2 3" xfId="17825"/>
    <cellStyle name="Percent 4 2 2 2 2 2 3 2" xfId="33946"/>
    <cellStyle name="Percent 4 2 2 2 2 2 4" xfId="33943"/>
    <cellStyle name="Percent 4 2 2 2 2 3" xfId="17826"/>
    <cellStyle name="Percent 4 2 2 2 2 3 2" xfId="17827"/>
    <cellStyle name="Percent 4 2 2 2 2 3 2 2" xfId="33948"/>
    <cellStyle name="Percent 4 2 2 2 2 3 3" xfId="33947"/>
    <cellStyle name="Percent 4 2 2 2 2 4" xfId="17828"/>
    <cellStyle name="Percent 4 2 2 2 2 4 2" xfId="17829"/>
    <cellStyle name="Percent 4 2 2 2 2 4 2 2" xfId="33950"/>
    <cellStyle name="Percent 4 2 2 2 2 4 3" xfId="33949"/>
    <cellStyle name="Percent 4 2 2 2 2 5" xfId="17830"/>
    <cellStyle name="Percent 4 2 2 2 2 5 2" xfId="33951"/>
    <cellStyle name="Percent 4 2 2 2 2 6" xfId="17831"/>
    <cellStyle name="Percent 4 2 2 2 2 6 2" xfId="33952"/>
    <cellStyle name="Percent 4 2 2 2 2 7" xfId="17832"/>
    <cellStyle name="Percent 4 2 2 2 2 7 2" xfId="33953"/>
    <cellStyle name="Percent 4 2 2 2 2 8" xfId="17833"/>
    <cellStyle name="Percent 4 2 2 2 2 8 2" xfId="33954"/>
    <cellStyle name="Percent 4 2 2 2 2 9" xfId="17834"/>
    <cellStyle name="Percent 4 2 2 2 2 9 2" xfId="33955"/>
    <cellStyle name="Percent 4 2 2 2 3" xfId="1928"/>
    <cellStyle name="Percent 4 2 2 2 3 10" xfId="17835"/>
    <cellStyle name="Percent 4 2 2 2 3 10 2" xfId="33956"/>
    <cellStyle name="Percent 4 2 2 2 3 11" xfId="5834"/>
    <cellStyle name="Percent 4 2 2 2 3 11 2" xfId="21996"/>
    <cellStyle name="Percent 4 2 2 2 3 12" xfId="19601"/>
    <cellStyle name="Percent 4 2 2 2 3 2" xfId="17836"/>
    <cellStyle name="Percent 4 2 2 2 3 2 2" xfId="17837"/>
    <cellStyle name="Percent 4 2 2 2 3 2 2 2" xfId="17838"/>
    <cellStyle name="Percent 4 2 2 2 3 2 2 2 2" xfId="33959"/>
    <cellStyle name="Percent 4 2 2 2 3 2 2 3" xfId="33958"/>
    <cellStyle name="Percent 4 2 2 2 3 2 3" xfId="17839"/>
    <cellStyle name="Percent 4 2 2 2 3 2 3 2" xfId="33960"/>
    <cellStyle name="Percent 4 2 2 2 3 2 4" xfId="33957"/>
    <cellStyle name="Percent 4 2 2 2 3 3" xfId="17840"/>
    <cellStyle name="Percent 4 2 2 2 3 3 2" xfId="17841"/>
    <cellStyle name="Percent 4 2 2 2 3 3 2 2" xfId="33962"/>
    <cellStyle name="Percent 4 2 2 2 3 3 3" xfId="33961"/>
    <cellStyle name="Percent 4 2 2 2 3 4" xfId="17842"/>
    <cellStyle name="Percent 4 2 2 2 3 4 2" xfId="17843"/>
    <cellStyle name="Percent 4 2 2 2 3 4 2 2" xfId="33964"/>
    <cellStyle name="Percent 4 2 2 2 3 4 3" xfId="33963"/>
    <cellStyle name="Percent 4 2 2 2 3 5" xfId="17844"/>
    <cellStyle name="Percent 4 2 2 2 3 5 2" xfId="33965"/>
    <cellStyle name="Percent 4 2 2 2 3 6" xfId="17845"/>
    <cellStyle name="Percent 4 2 2 2 3 6 2" xfId="33966"/>
    <cellStyle name="Percent 4 2 2 2 3 7" xfId="17846"/>
    <cellStyle name="Percent 4 2 2 2 3 7 2" xfId="33967"/>
    <cellStyle name="Percent 4 2 2 2 3 8" xfId="17847"/>
    <cellStyle name="Percent 4 2 2 2 3 8 2" xfId="33968"/>
    <cellStyle name="Percent 4 2 2 2 3 9" xfId="17848"/>
    <cellStyle name="Percent 4 2 2 2 3 9 2" xfId="33969"/>
    <cellStyle name="Percent 4 2 2 2 4" xfId="17849"/>
    <cellStyle name="Percent 4 2 2 2 4 2" xfId="17850"/>
    <cellStyle name="Percent 4 2 2 2 4 2 2" xfId="17851"/>
    <cellStyle name="Percent 4 2 2 2 4 2 2 2" xfId="33972"/>
    <cellStyle name="Percent 4 2 2 2 4 2 3" xfId="33971"/>
    <cellStyle name="Percent 4 2 2 2 4 3" xfId="17852"/>
    <cellStyle name="Percent 4 2 2 2 4 3 2" xfId="33973"/>
    <cellStyle name="Percent 4 2 2 2 4 4" xfId="33970"/>
    <cellStyle name="Percent 4 2 2 2 5" xfId="17853"/>
    <cellStyle name="Percent 4 2 2 2 5 2" xfId="17854"/>
    <cellStyle name="Percent 4 2 2 2 5 2 2" xfId="33975"/>
    <cellStyle name="Percent 4 2 2 2 5 3" xfId="33974"/>
    <cellStyle name="Percent 4 2 2 2 6" xfId="17855"/>
    <cellStyle name="Percent 4 2 2 2 6 2" xfId="17856"/>
    <cellStyle name="Percent 4 2 2 2 6 2 2" xfId="33977"/>
    <cellStyle name="Percent 4 2 2 2 6 3" xfId="33976"/>
    <cellStyle name="Percent 4 2 2 2 7" xfId="17857"/>
    <cellStyle name="Percent 4 2 2 2 7 2" xfId="33978"/>
    <cellStyle name="Percent 4 2 2 2 8" xfId="17858"/>
    <cellStyle name="Percent 4 2 2 2 8 2" xfId="33979"/>
    <cellStyle name="Percent 4 2 2 2 9" xfId="17859"/>
    <cellStyle name="Percent 4 2 2 2 9 2" xfId="33980"/>
    <cellStyle name="Percent 4 2 2 3" xfId="385"/>
    <cellStyle name="Percent 4 2 2 3 10" xfId="17860"/>
    <cellStyle name="Percent 4 2 2 3 10 2" xfId="33981"/>
    <cellStyle name="Percent 4 2 2 3 11" xfId="17861"/>
    <cellStyle name="Percent 4 2 2 3 11 2" xfId="33982"/>
    <cellStyle name="Percent 4 2 2 3 12" xfId="17862"/>
    <cellStyle name="Percent 4 2 2 3 12 2" xfId="33983"/>
    <cellStyle name="Percent 4 2 2 3 13" xfId="4326"/>
    <cellStyle name="Percent 4 2 2 3 13 2" xfId="20489"/>
    <cellStyle name="Percent 4 2 2 3 14" xfId="19071"/>
    <cellStyle name="Percent 4 2 2 3 2" xfId="397"/>
    <cellStyle name="Percent 4 2 2 3 2 10" xfId="17863"/>
    <cellStyle name="Percent 4 2 2 3 2 10 2" xfId="33984"/>
    <cellStyle name="Percent 4 2 2 3 2 11" xfId="4331"/>
    <cellStyle name="Percent 4 2 2 3 2 11 2" xfId="20494"/>
    <cellStyle name="Percent 4 2 2 3 2 12" xfId="19076"/>
    <cellStyle name="Percent 4 2 2 3 2 2" xfId="17864"/>
    <cellStyle name="Percent 4 2 2 3 2 2 2" xfId="17865"/>
    <cellStyle name="Percent 4 2 2 3 2 2 2 2" xfId="33986"/>
    <cellStyle name="Percent 4 2 2 3 2 2 3" xfId="33985"/>
    <cellStyle name="Percent 4 2 2 3 2 3" xfId="17866"/>
    <cellStyle name="Percent 4 2 2 3 2 3 2" xfId="33987"/>
    <cellStyle name="Percent 4 2 2 3 2 4" xfId="17867"/>
    <cellStyle name="Percent 4 2 2 3 2 4 2" xfId="33988"/>
    <cellStyle name="Percent 4 2 2 3 2 5" xfId="17868"/>
    <cellStyle name="Percent 4 2 2 3 2 5 2" xfId="33989"/>
    <cellStyle name="Percent 4 2 2 3 2 6" xfId="17869"/>
    <cellStyle name="Percent 4 2 2 3 2 6 2" xfId="33990"/>
    <cellStyle name="Percent 4 2 2 3 2 7" xfId="17870"/>
    <cellStyle name="Percent 4 2 2 3 2 7 2" xfId="33991"/>
    <cellStyle name="Percent 4 2 2 3 2 8" xfId="17871"/>
    <cellStyle name="Percent 4 2 2 3 2 8 2" xfId="33992"/>
    <cellStyle name="Percent 4 2 2 3 2 9" xfId="17872"/>
    <cellStyle name="Percent 4 2 2 3 2 9 2" xfId="33993"/>
    <cellStyle name="Percent 4 2 2 3 3" xfId="408"/>
    <cellStyle name="Percent 4 2 2 3 3 10" xfId="17873"/>
    <cellStyle name="Percent 4 2 2 3 3 10 2" xfId="33994"/>
    <cellStyle name="Percent 4 2 2 3 3 11" xfId="4341"/>
    <cellStyle name="Percent 4 2 2 3 3 11 2" xfId="20504"/>
    <cellStyle name="Percent 4 2 2 3 3 12" xfId="19080"/>
    <cellStyle name="Percent 4 2 2 3 3 2" xfId="17874"/>
    <cellStyle name="Percent 4 2 2 3 3 2 2" xfId="33995"/>
    <cellStyle name="Percent 4 2 2 3 3 3" xfId="17875"/>
    <cellStyle name="Percent 4 2 2 3 3 3 2" xfId="33996"/>
    <cellStyle name="Percent 4 2 2 3 3 4" xfId="17876"/>
    <cellStyle name="Percent 4 2 2 3 3 4 2" xfId="33997"/>
    <cellStyle name="Percent 4 2 2 3 3 5" xfId="17877"/>
    <cellStyle name="Percent 4 2 2 3 3 5 2" xfId="33998"/>
    <cellStyle name="Percent 4 2 2 3 3 6" xfId="17878"/>
    <cellStyle name="Percent 4 2 2 3 3 6 2" xfId="33999"/>
    <cellStyle name="Percent 4 2 2 3 3 7" xfId="17879"/>
    <cellStyle name="Percent 4 2 2 3 3 7 2" xfId="34000"/>
    <cellStyle name="Percent 4 2 2 3 3 8" xfId="17880"/>
    <cellStyle name="Percent 4 2 2 3 3 8 2" xfId="34001"/>
    <cellStyle name="Percent 4 2 2 3 3 9" xfId="17881"/>
    <cellStyle name="Percent 4 2 2 3 3 9 2" xfId="34002"/>
    <cellStyle name="Percent 4 2 2 3 4" xfId="17882"/>
    <cellStyle name="Percent 4 2 2 3 4 2" xfId="17883"/>
    <cellStyle name="Percent 4 2 2 3 4 2 2" xfId="34004"/>
    <cellStyle name="Percent 4 2 2 3 4 3" xfId="34003"/>
    <cellStyle name="Percent 4 2 2 3 5" xfId="17884"/>
    <cellStyle name="Percent 4 2 2 3 5 2" xfId="34005"/>
    <cellStyle name="Percent 4 2 2 3 6" xfId="17885"/>
    <cellStyle name="Percent 4 2 2 3 6 2" xfId="34006"/>
    <cellStyle name="Percent 4 2 2 3 7" xfId="17886"/>
    <cellStyle name="Percent 4 2 2 3 7 2" xfId="34007"/>
    <cellStyle name="Percent 4 2 2 3 8" xfId="17887"/>
    <cellStyle name="Percent 4 2 2 3 8 2" xfId="34008"/>
    <cellStyle name="Percent 4 2 2 3 9" xfId="17888"/>
    <cellStyle name="Percent 4 2 2 3 9 2" xfId="34009"/>
    <cellStyle name="Percent 4 2 2 4" xfId="417"/>
    <cellStyle name="Percent 4 2 2 4 10" xfId="17889"/>
    <cellStyle name="Percent 4 2 2 4 10 2" xfId="34010"/>
    <cellStyle name="Percent 4 2 2 4 11" xfId="17890"/>
    <cellStyle name="Percent 4 2 2 4 11 2" xfId="34011"/>
    <cellStyle name="Percent 4 2 2 4 12" xfId="17891"/>
    <cellStyle name="Percent 4 2 2 4 12 2" xfId="34012"/>
    <cellStyle name="Percent 4 2 2 4 13" xfId="4357"/>
    <cellStyle name="Percent 4 2 2 4 13 2" xfId="20520"/>
    <cellStyle name="Percent 4 2 2 4 14" xfId="19083"/>
    <cellStyle name="Percent 4 2 2 4 2" xfId="143"/>
    <cellStyle name="Percent 4 2 2 4 2 10" xfId="17892"/>
    <cellStyle name="Percent 4 2 2 4 2 10 2" xfId="34013"/>
    <cellStyle name="Percent 4 2 2 4 2 11" xfId="4082"/>
    <cellStyle name="Percent 4 2 2 4 2 11 2" xfId="20245"/>
    <cellStyle name="Percent 4 2 2 4 2 12" xfId="19002"/>
    <cellStyle name="Percent 4 2 2 4 2 2" xfId="17893"/>
    <cellStyle name="Percent 4 2 2 4 2 2 2" xfId="17894"/>
    <cellStyle name="Percent 4 2 2 4 2 2 2 2" xfId="34015"/>
    <cellStyle name="Percent 4 2 2 4 2 2 3" xfId="34014"/>
    <cellStyle name="Percent 4 2 2 4 2 3" xfId="17895"/>
    <cellStyle name="Percent 4 2 2 4 2 3 2" xfId="34016"/>
    <cellStyle name="Percent 4 2 2 4 2 4" xfId="17896"/>
    <cellStyle name="Percent 4 2 2 4 2 4 2" xfId="34017"/>
    <cellStyle name="Percent 4 2 2 4 2 5" xfId="17897"/>
    <cellStyle name="Percent 4 2 2 4 2 5 2" xfId="34018"/>
    <cellStyle name="Percent 4 2 2 4 2 6" xfId="17898"/>
    <cellStyle name="Percent 4 2 2 4 2 6 2" xfId="34019"/>
    <cellStyle name="Percent 4 2 2 4 2 7" xfId="17899"/>
    <cellStyle name="Percent 4 2 2 4 2 7 2" xfId="34020"/>
    <cellStyle name="Percent 4 2 2 4 2 8" xfId="17900"/>
    <cellStyle name="Percent 4 2 2 4 2 8 2" xfId="34021"/>
    <cellStyle name="Percent 4 2 2 4 2 9" xfId="17901"/>
    <cellStyle name="Percent 4 2 2 4 2 9 2" xfId="34022"/>
    <cellStyle name="Percent 4 2 2 4 3" xfId="166"/>
    <cellStyle name="Percent 4 2 2 4 3 10" xfId="17902"/>
    <cellStyle name="Percent 4 2 2 4 3 10 2" xfId="34023"/>
    <cellStyle name="Percent 4 2 2 4 3 11" xfId="4093"/>
    <cellStyle name="Percent 4 2 2 4 3 11 2" xfId="20256"/>
    <cellStyle name="Percent 4 2 2 4 3 12" xfId="19008"/>
    <cellStyle name="Percent 4 2 2 4 3 2" xfId="17903"/>
    <cellStyle name="Percent 4 2 2 4 3 2 2" xfId="34024"/>
    <cellStyle name="Percent 4 2 2 4 3 3" xfId="17904"/>
    <cellStyle name="Percent 4 2 2 4 3 3 2" xfId="34025"/>
    <cellStyle name="Percent 4 2 2 4 3 4" xfId="17905"/>
    <cellStyle name="Percent 4 2 2 4 3 4 2" xfId="34026"/>
    <cellStyle name="Percent 4 2 2 4 3 5" xfId="17906"/>
    <cellStyle name="Percent 4 2 2 4 3 5 2" xfId="34027"/>
    <cellStyle name="Percent 4 2 2 4 3 6" xfId="17907"/>
    <cellStyle name="Percent 4 2 2 4 3 6 2" xfId="34028"/>
    <cellStyle name="Percent 4 2 2 4 3 7" xfId="17908"/>
    <cellStyle name="Percent 4 2 2 4 3 7 2" xfId="34029"/>
    <cellStyle name="Percent 4 2 2 4 3 8" xfId="17909"/>
    <cellStyle name="Percent 4 2 2 4 3 8 2" xfId="34030"/>
    <cellStyle name="Percent 4 2 2 4 3 9" xfId="17910"/>
    <cellStyle name="Percent 4 2 2 4 3 9 2" xfId="34031"/>
    <cellStyle name="Percent 4 2 2 4 4" xfId="17911"/>
    <cellStyle name="Percent 4 2 2 4 4 2" xfId="17912"/>
    <cellStyle name="Percent 4 2 2 4 4 2 2" xfId="34033"/>
    <cellStyle name="Percent 4 2 2 4 4 3" xfId="34032"/>
    <cellStyle name="Percent 4 2 2 4 5" xfId="17913"/>
    <cellStyle name="Percent 4 2 2 4 5 2" xfId="34034"/>
    <cellStyle name="Percent 4 2 2 4 6" xfId="17914"/>
    <cellStyle name="Percent 4 2 2 4 6 2" xfId="34035"/>
    <cellStyle name="Percent 4 2 2 4 7" xfId="17915"/>
    <cellStyle name="Percent 4 2 2 4 7 2" xfId="34036"/>
    <cellStyle name="Percent 4 2 2 4 8" xfId="17916"/>
    <cellStyle name="Percent 4 2 2 4 8 2" xfId="34037"/>
    <cellStyle name="Percent 4 2 2 4 9" xfId="17917"/>
    <cellStyle name="Percent 4 2 2 4 9 2" xfId="34038"/>
    <cellStyle name="Percent 4 2 2 5" xfId="3861"/>
    <cellStyle name="Percent 4 2 2 5 10" xfId="17918"/>
    <cellStyle name="Percent 4 2 2 5 10 2" xfId="34039"/>
    <cellStyle name="Percent 4 2 2 5 11" xfId="17919"/>
    <cellStyle name="Percent 4 2 2 5 11 2" xfId="34040"/>
    <cellStyle name="Percent 4 2 2 5 12" xfId="17920"/>
    <cellStyle name="Percent 4 2 2 5 12 2" xfId="34041"/>
    <cellStyle name="Percent 4 2 2 5 13" xfId="7726"/>
    <cellStyle name="Percent 4 2 2 5 13 2" xfId="23888"/>
    <cellStyle name="Percent 4 2 2 5 14" xfId="20100"/>
    <cellStyle name="Percent 4 2 2 5 2" xfId="3862"/>
    <cellStyle name="Percent 4 2 2 5 2 10" xfId="17921"/>
    <cellStyle name="Percent 4 2 2 5 2 10 2" xfId="34042"/>
    <cellStyle name="Percent 4 2 2 5 2 11" xfId="7727"/>
    <cellStyle name="Percent 4 2 2 5 2 11 2" xfId="23889"/>
    <cellStyle name="Percent 4 2 2 5 2 12" xfId="20101"/>
    <cellStyle name="Percent 4 2 2 5 2 2" xfId="17922"/>
    <cellStyle name="Percent 4 2 2 5 2 2 2" xfId="17923"/>
    <cellStyle name="Percent 4 2 2 5 2 2 2 2" xfId="34044"/>
    <cellStyle name="Percent 4 2 2 5 2 2 3" xfId="34043"/>
    <cellStyle name="Percent 4 2 2 5 2 3" xfId="17924"/>
    <cellStyle name="Percent 4 2 2 5 2 3 2" xfId="34045"/>
    <cellStyle name="Percent 4 2 2 5 2 4" xfId="17925"/>
    <cellStyle name="Percent 4 2 2 5 2 4 2" xfId="34046"/>
    <cellStyle name="Percent 4 2 2 5 2 5" xfId="17926"/>
    <cellStyle name="Percent 4 2 2 5 2 5 2" xfId="34047"/>
    <cellStyle name="Percent 4 2 2 5 2 6" xfId="17927"/>
    <cellStyle name="Percent 4 2 2 5 2 6 2" xfId="34048"/>
    <cellStyle name="Percent 4 2 2 5 2 7" xfId="17928"/>
    <cellStyle name="Percent 4 2 2 5 2 7 2" xfId="34049"/>
    <cellStyle name="Percent 4 2 2 5 2 8" xfId="17929"/>
    <cellStyle name="Percent 4 2 2 5 2 8 2" xfId="34050"/>
    <cellStyle name="Percent 4 2 2 5 2 9" xfId="17930"/>
    <cellStyle name="Percent 4 2 2 5 2 9 2" xfId="34051"/>
    <cellStyle name="Percent 4 2 2 5 3" xfId="3863"/>
    <cellStyle name="Percent 4 2 2 5 3 10" xfId="17931"/>
    <cellStyle name="Percent 4 2 2 5 3 10 2" xfId="34052"/>
    <cellStyle name="Percent 4 2 2 5 3 11" xfId="7728"/>
    <cellStyle name="Percent 4 2 2 5 3 11 2" xfId="23890"/>
    <cellStyle name="Percent 4 2 2 5 3 12" xfId="20102"/>
    <cellStyle name="Percent 4 2 2 5 3 2" xfId="17932"/>
    <cellStyle name="Percent 4 2 2 5 3 2 2" xfId="34053"/>
    <cellStyle name="Percent 4 2 2 5 3 3" xfId="17933"/>
    <cellStyle name="Percent 4 2 2 5 3 3 2" xfId="34054"/>
    <cellStyle name="Percent 4 2 2 5 3 4" xfId="17934"/>
    <cellStyle name="Percent 4 2 2 5 3 4 2" xfId="34055"/>
    <cellStyle name="Percent 4 2 2 5 3 5" xfId="17935"/>
    <cellStyle name="Percent 4 2 2 5 3 5 2" xfId="34056"/>
    <cellStyle name="Percent 4 2 2 5 3 6" xfId="17936"/>
    <cellStyle name="Percent 4 2 2 5 3 6 2" xfId="34057"/>
    <cellStyle name="Percent 4 2 2 5 3 7" xfId="17937"/>
    <cellStyle name="Percent 4 2 2 5 3 7 2" xfId="34058"/>
    <cellStyle name="Percent 4 2 2 5 3 8" xfId="17938"/>
    <cellStyle name="Percent 4 2 2 5 3 8 2" xfId="34059"/>
    <cellStyle name="Percent 4 2 2 5 3 9" xfId="17939"/>
    <cellStyle name="Percent 4 2 2 5 3 9 2" xfId="34060"/>
    <cellStyle name="Percent 4 2 2 5 4" xfId="17940"/>
    <cellStyle name="Percent 4 2 2 5 4 2" xfId="17941"/>
    <cellStyle name="Percent 4 2 2 5 4 2 2" xfId="34062"/>
    <cellStyle name="Percent 4 2 2 5 4 3" xfId="34061"/>
    <cellStyle name="Percent 4 2 2 5 5" xfId="17942"/>
    <cellStyle name="Percent 4 2 2 5 5 2" xfId="34063"/>
    <cellStyle name="Percent 4 2 2 5 6" xfId="17943"/>
    <cellStyle name="Percent 4 2 2 5 6 2" xfId="34064"/>
    <cellStyle name="Percent 4 2 2 5 7" xfId="17944"/>
    <cellStyle name="Percent 4 2 2 5 7 2" xfId="34065"/>
    <cellStyle name="Percent 4 2 2 5 8" xfId="17945"/>
    <cellStyle name="Percent 4 2 2 5 8 2" xfId="34066"/>
    <cellStyle name="Percent 4 2 2 5 9" xfId="17946"/>
    <cellStyle name="Percent 4 2 2 5 9 2" xfId="34067"/>
    <cellStyle name="Percent 4 2 2 6" xfId="3864"/>
    <cellStyle name="Percent 4 2 2 6 10" xfId="17947"/>
    <cellStyle name="Percent 4 2 2 6 10 2" xfId="34068"/>
    <cellStyle name="Percent 4 2 2 6 11" xfId="17948"/>
    <cellStyle name="Percent 4 2 2 6 11 2" xfId="34069"/>
    <cellStyle name="Percent 4 2 2 6 12" xfId="17949"/>
    <cellStyle name="Percent 4 2 2 6 12 2" xfId="34070"/>
    <cellStyle name="Percent 4 2 2 6 13" xfId="7729"/>
    <cellStyle name="Percent 4 2 2 6 13 2" xfId="23891"/>
    <cellStyle name="Percent 4 2 2 6 14" xfId="20103"/>
    <cellStyle name="Percent 4 2 2 6 2" xfId="1760"/>
    <cellStyle name="Percent 4 2 2 6 2 10" xfId="17950"/>
    <cellStyle name="Percent 4 2 2 6 2 10 2" xfId="34071"/>
    <cellStyle name="Percent 4 2 2 6 2 11" xfId="5674"/>
    <cellStyle name="Percent 4 2 2 6 2 11 2" xfId="21836"/>
    <cellStyle name="Percent 4 2 2 6 2 12" xfId="19570"/>
    <cellStyle name="Percent 4 2 2 6 2 2" xfId="17951"/>
    <cellStyle name="Percent 4 2 2 6 2 2 2" xfId="17952"/>
    <cellStyle name="Percent 4 2 2 6 2 2 2 2" xfId="34073"/>
    <cellStyle name="Percent 4 2 2 6 2 2 3" xfId="34072"/>
    <cellStyle name="Percent 4 2 2 6 2 3" xfId="17953"/>
    <cellStyle name="Percent 4 2 2 6 2 3 2" xfId="34074"/>
    <cellStyle name="Percent 4 2 2 6 2 4" xfId="17954"/>
    <cellStyle name="Percent 4 2 2 6 2 4 2" xfId="34075"/>
    <cellStyle name="Percent 4 2 2 6 2 5" xfId="17955"/>
    <cellStyle name="Percent 4 2 2 6 2 5 2" xfId="34076"/>
    <cellStyle name="Percent 4 2 2 6 2 6" xfId="17956"/>
    <cellStyle name="Percent 4 2 2 6 2 6 2" xfId="34077"/>
    <cellStyle name="Percent 4 2 2 6 2 7" xfId="17957"/>
    <cellStyle name="Percent 4 2 2 6 2 7 2" xfId="34078"/>
    <cellStyle name="Percent 4 2 2 6 2 8" xfId="17958"/>
    <cellStyle name="Percent 4 2 2 6 2 8 2" xfId="34079"/>
    <cellStyle name="Percent 4 2 2 6 2 9" xfId="17959"/>
    <cellStyle name="Percent 4 2 2 6 2 9 2" xfId="34080"/>
    <cellStyle name="Percent 4 2 2 6 3" xfId="3865"/>
    <cellStyle name="Percent 4 2 2 6 3 10" xfId="17960"/>
    <cellStyle name="Percent 4 2 2 6 3 10 2" xfId="34081"/>
    <cellStyle name="Percent 4 2 2 6 3 11" xfId="7730"/>
    <cellStyle name="Percent 4 2 2 6 3 11 2" xfId="23892"/>
    <cellStyle name="Percent 4 2 2 6 3 12" xfId="20104"/>
    <cellStyle name="Percent 4 2 2 6 3 2" xfId="17961"/>
    <cellStyle name="Percent 4 2 2 6 3 2 2" xfId="34082"/>
    <cellStyle name="Percent 4 2 2 6 3 3" xfId="17962"/>
    <cellStyle name="Percent 4 2 2 6 3 3 2" xfId="34083"/>
    <cellStyle name="Percent 4 2 2 6 3 4" xfId="17963"/>
    <cellStyle name="Percent 4 2 2 6 3 4 2" xfId="34084"/>
    <cellStyle name="Percent 4 2 2 6 3 5" xfId="17964"/>
    <cellStyle name="Percent 4 2 2 6 3 5 2" xfId="34085"/>
    <cellStyle name="Percent 4 2 2 6 3 6" xfId="17965"/>
    <cellStyle name="Percent 4 2 2 6 3 6 2" xfId="34086"/>
    <cellStyle name="Percent 4 2 2 6 3 7" xfId="17966"/>
    <cellStyle name="Percent 4 2 2 6 3 7 2" xfId="34087"/>
    <cellStyle name="Percent 4 2 2 6 3 8" xfId="17967"/>
    <cellStyle name="Percent 4 2 2 6 3 8 2" xfId="34088"/>
    <cellStyle name="Percent 4 2 2 6 3 9" xfId="17968"/>
    <cellStyle name="Percent 4 2 2 6 3 9 2" xfId="34089"/>
    <cellStyle name="Percent 4 2 2 6 4" xfId="17969"/>
    <cellStyle name="Percent 4 2 2 6 4 2" xfId="17970"/>
    <cellStyle name="Percent 4 2 2 6 4 2 2" xfId="34091"/>
    <cellStyle name="Percent 4 2 2 6 4 3" xfId="34090"/>
    <cellStyle name="Percent 4 2 2 6 5" xfId="17971"/>
    <cellStyle name="Percent 4 2 2 6 5 2" xfId="34092"/>
    <cellStyle name="Percent 4 2 2 6 6" xfId="17972"/>
    <cellStyle name="Percent 4 2 2 6 6 2" xfId="34093"/>
    <cellStyle name="Percent 4 2 2 6 7" xfId="17973"/>
    <cellStyle name="Percent 4 2 2 6 7 2" xfId="34094"/>
    <cellStyle name="Percent 4 2 2 6 8" xfId="17974"/>
    <cellStyle name="Percent 4 2 2 6 8 2" xfId="34095"/>
    <cellStyle name="Percent 4 2 2 6 9" xfId="17975"/>
    <cellStyle name="Percent 4 2 2 6 9 2" xfId="34096"/>
    <cellStyle name="Percent 4 2 2 7" xfId="727"/>
    <cellStyle name="Percent 4 2 2 7 10" xfId="17976"/>
    <cellStyle name="Percent 4 2 2 7 10 2" xfId="34097"/>
    <cellStyle name="Percent 4 2 2 7 11" xfId="4655"/>
    <cellStyle name="Percent 4 2 2 7 11 2" xfId="20817"/>
    <cellStyle name="Percent 4 2 2 7 12" xfId="19167"/>
    <cellStyle name="Percent 4 2 2 7 2" xfId="17977"/>
    <cellStyle name="Percent 4 2 2 7 2 2" xfId="17978"/>
    <cellStyle name="Percent 4 2 2 7 2 2 2" xfId="34099"/>
    <cellStyle name="Percent 4 2 2 7 2 3" xfId="34098"/>
    <cellStyle name="Percent 4 2 2 7 3" xfId="17979"/>
    <cellStyle name="Percent 4 2 2 7 3 2" xfId="34100"/>
    <cellStyle name="Percent 4 2 2 7 4" xfId="17980"/>
    <cellStyle name="Percent 4 2 2 7 4 2" xfId="34101"/>
    <cellStyle name="Percent 4 2 2 7 5" xfId="17981"/>
    <cellStyle name="Percent 4 2 2 7 5 2" xfId="34102"/>
    <cellStyle name="Percent 4 2 2 7 6" xfId="17982"/>
    <cellStyle name="Percent 4 2 2 7 6 2" xfId="34103"/>
    <cellStyle name="Percent 4 2 2 7 7" xfId="17983"/>
    <cellStyle name="Percent 4 2 2 7 7 2" xfId="34104"/>
    <cellStyle name="Percent 4 2 2 7 8" xfId="17984"/>
    <cellStyle name="Percent 4 2 2 7 8 2" xfId="34105"/>
    <cellStyle name="Percent 4 2 2 7 9" xfId="17985"/>
    <cellStyle name="Percent 4 2 2 7 9 2" xfId="34106"/>
    <cellStyle name="Percent 4 2 2 8" xfId="3866"/>
    <cellStyle name="Percent 4 2 2 8 10" xfId="17986"/>
    <cellStyle name="Percent 4 2 2 8 10 2" xfId="34107"/>
    <cellStyle name="Percent 4 2 2 8 11" xfId="7731"/>
    <cellStyle name="Percent 4 2 2 8 11 2" xfId="23893"/>
    <cellStyle name="Percent 4 2 2 8 12" xfId="20105"/>
    <cellStyle name="Percent 4 2 2 8 2" xfId="17987"/>
    <cellStyle name="Percent 4 2 2 8 2 2" xfId="34108"/>
    <cellStyle name="Percent 4 2 2 8 3" xfId="17988"/>
    <cellStyle name="Percent 4 2 2 8 3 2" xfId="34109"/>
    <cellStyle name="Percent 4 2 2 8 4" xfId="17989"/>
    <cellStyle name="Percent 4 2 2 8 4 2" xfId="34110"/>
    <cellStyle name="Percent 4 2 2 8 5" xfId="17990"/>
    <cellStyle name="Percent 4 2 2 8 5 2" xfId="34111"/>
    <cellStyle name="Percent 4 2 2 8 6" xfId="17991"/>
    <cellStyle name="Percent 4 2 2 8 6 2" xfId="34112"/>
    <cellStyle name="Percent 4 2 2 8 7" xfId="17992"/>
    <cellStyle name="Percent 4 2 2 8 7 2" xfId="34113"/>
    <cellStyle name="Percent 4 2 2 8 8" xfId="17993"/>
    <cellStyle name="Percent 4 2 2 8 8 2" xfId="34114"/>
    <cellStyle name="Percent 4 2 2 8 9" xfId="17994"/>
    <cellStyle name="Percent 4 2 2 8 9 2" xfId="34115"/>
    <cellStyle name="Percent 4 2 2 9" xfId="17995"/>
    <cellStyle name="Percent 4 2 2 9 2" xfId="17996"/>
    <cellStyle name="Percent 4 2 2 9 2 2" xfId="34117"/>
    <cellStyle name="Percent 4 2 2 9 3" xfId="34116"/>
    <cellStyle name="Percent 4 2 20" xfId="17997"/>
    <cellStyle name="Percent 4 2 20 2" xfId="34118"/>
    <cellStyle name="Percent 4 2 21" xfId="7723"/>
    <cellStyle name="Percent 4 2 21 2" xfId="23885"/>
    <cellStyle name="Percent 4 2 3" xfId="3868"/>
    <cellStyle name="Percent 4 2 3 10" xfId="17998"/>
    <cellStyle name="Percent 4 2 3 10 2" xfId="34119"/>
    <cellStyle name="Percent 4 2 3 11" xfId="17999"/>
    <cellStyle name="Percent 4 2 3 11 2" xfId="34120"/>
    <cellStyle name="Percent 4 2 3 12" xfId="18000"/>
    <cellStyle name="Percent 4 2 3 12 2" xfId="34121"/>
    <cellStyle name="Percent 4 2 3 13" xfId="18001"/>
    <cellStyle name="Percent 4 2 3 13 2" xfId="34122"/>
    <cellStyle name="Percent 4 2 3 14" xfId="18002"/>
    <cellStyle name="Percent 4 2 3 14 2" xfId="34123"/>
    <cellStyle name="Percent 4 2 3 15" xfId="18003"/>
    <cellStyle name="Percent 4 2 3 15 2" xfId="34124"/>
    <cellStyle name="Percent 4 2 3 16" xfId="18004"/>
    <cellStyle name="Percent 4 2 3 16 2" xfId="34125"/>
    <cellStyle name="Percent 4 2 3 17" xfId="18005"/>
    <cellStyle name="Percent 4 2 3 17 2" xfId="34126"/>
    <cellStyle name="Percent 4 2 3 18" xfId="7732"/>
    <cellStyle name="Percent 4 2 3 18 2" xfId="23894"/>
    <cellStyle name="Percent 4 2 3 19" xfId="20106"/>
    <cellStyle name="Percent 4 2 3 2" xfId="3870"/>
    <cellStyle name="Percent 4 2 3 2 10" xfId="18006"/>
    <cellStyle name="Percent 4 2 3 2 10 2" xfId="34127"/>
    <cellStyle name="Percent 4 2 3 2 11" xfId="18007"/>
    <cellStyle name="Percent 4 2 3 2 11 2" xfId="34128"/>
    <cellStyle name="Percent 4 2 3 2 12" xfId="18008"/>
    <cellStyle name="Percent 4 2 3 2 12 2" xfId="34129"/>
    <cellStyle name="Percent 4 2 3 2 13" xfId="7733"/>
    <cellStyle name="Percent 4 2 3 2 13 2" xfId="23895"/>
    <cellStyle name="Percent 4 2 3 2 14" xfId="20107"/>
    <cellStyle name="Percent 4 2 3 2 2" xfId="2044"/>
    <cellStyle name="Percent 4 2 3 2 2 10" xfId="18009"/>
    <cellStyle name="Percent 4 2 3 2 2 10 2" xfId="34130"/>
    <cellStyle name="Percent 4 2 3 2 2 11" xfId="5949"/>
    <cellStyle name="Percent 4 2 3 2 2 11 2" xfId="22111"/>
    <cellStyle name="Percent 4 2 3 2 2 12" xfId="19610"/>
    <cellStyle name="Percent 4 2 3 2 2 2" xfId="18010"/>
    <cellStyle name="Percent 4 2 3 2 2 2 2" xfId="34131"/>
    <cellStyle name="Percent 4 2 3 2 2 3" xfId="18011"/>
    <cellStyle name="Percent 4 2 3 2 2 3 2" xfId="34132"/>
    <cellStyle name="Percent 4 2 3 2 2 4" xfId="18012"/>
    <cellStyle name="Percent 4 2 3 2 2 4 2" xfId="34133"/>
    <cellStyle name="Percent 4 2 3 2 2 5" xfId="18013"/>
    <cellStyle name="Percent 4 2 3 2 2 5 2" xfId="34134"/>
    <cellStyle name="Percent 4 2 3 2 2 6" xfId="18014"/>
    <cellStyle name="Percent 4 2 3 2 2 6 2" xfId="34135"/>
    <cellStyle name="Percent 4 2 3 2 2 7" xfId="18015"/>
    <cellStyle name="Percent 4 2 3 2 2 7 2" xfId="34136"/>
    <cellStyle name="Percent 4 2 3 2 2 8" xfId="18016"/>
    <cellStyle name="Percent 4 2 3 2 2 8 2" xfId="34137"/>
    <cellStyle name="Percent 4 2 3 2 2 9" xfId="18017"/>
    <cellStyle name="Percent 4 2 3 2 2 9 2" xfId="34138"/>
    <cellStyle name="Percent 4 2 3 2 3" xfId="2046"/>
    <cellStyle name="Percent 4 2 3 2 3 10" xfId="18018"/>
    <cellStyle name="Percent 4 2 3 2 3 10 2" xfId="34139"/>
    <cellStyle name="Percent 4 2 3 2 3 11" xfId="5953"/>
    <cellStyle name="Percent 4 2 3 2 3 11 2" xfId="22115"/>
    <cellStyle name="Percent 4 2 3 2 3 12" xfId="19611"/>
    <cellStyle name="Percent 4 2 3 2 3 2" xfId="18019"/>
    <cellStyle name="Percent 4 2 3 2 3 2 2" xfId="34140"/>
    <cellStyle name="Percent 4 2 3 2 3 3" xfId="18020"/>
    <cellStyle name="Percent 4 2 3 2 3 3 2" xfId="34141"/>
    <cellStyle name="Percent 4 2 3 2 3 4" xfId="18021"/>
    <cellStyle name="Percent 4 2 3 2 3 4 2" xfId="34142"/>
    <cellStyle name="Percent 4 2 3 2 3 5" xfId="18022"/>
    <cellStyle name="Percent 4 2 3 2 3 5 2" xfId="34143"/>
    <cellStyle name="Percent 4 2 3 2 3 6" xfId="18023"/>
    <cellStyle name="Percent 4 2 3 2 3 6 2" xfId="34144"/>
    <cellStyle name="Percent 4 2 3 2 3 7" xfId="18024"/>
    <cellStyle name="Percent 4 2 3 2 3 7 2" xfId="34145"/>
    <cellStyle name="Percent 4 2 3 2 3 8" xfId="18025"/>
    <cellStyle name="Percent 4 2 3 2 3 8 2" xfId="34146"/>
    <cellStyle name="Percent 4 2 3 2 3 9" xfId="18026"/>
    <cellStyle name="Percent 4 2 3 2 3 9 2" xfId="34147"/>
    <cellStyle name="Percent 4 2 3 2 4" xfId="18027"/>
    <cellStyle name="Percent 4 2 3 2 4 2" xfId="34148"/>
    <cellStyle name="Percent 4 2 3 2 5" xfId="18028"/>
    <cellStyle name="Percent 4 2 3 2 5 2" xfId="34149"/>
    <cellStyle name="Percent 4 2 3 2 6" xfId="18029"/>
    <cellStyle name="Percent 4 2 3 2 6 2" xfId="34150"/>
    <cellStyle name="Percent 4 2 3 2 7" xfId="18030"/>
    <cellStyle name="Percent 4 2 3 2 7 2" xfId="34151"/>
    <cellStyle name="Percent 4 2 3 2 8" xfId="18031"/>
    <cellStyle name="Percent 4 2 3 2 8 2" xfId="34152"/>
    <cellStyle name="Percent 4 2 3 2 9" xfId="18032"/>
    <cellStyle name="Percent 4 2 3 2 9 2" xfId="34153"/>
    <cellStyle name="Percent 4 2 3 3" xfId="3872"/>
    <cellStyle name="Percent 4 2 3 3 10" xfId="18033"/>
    <cellStyle name="Percent 4 2 3 3 10 2" xfId="34154"/>
    <cellStyle name="Percent 4 2 3 3 11" xfId="18034"/>
    <cellStyle name="Percent 4 2 3 3 11 2" xfId="34155"/>
    <cellStyle name="Percent 4 2 3 3 12" xfId="18035"/>
    <cellStyle name="Percent 4 2 3 3 12 2" xfId="34156"/>
    <cellStyle name="Percent 4 2 3 3 13" xfId="7734"/>
    <cellStyle name="Percent 4 2 3 3 13 2" xfId="23896"/>
    <cellStyle name="Percent 4 2 3 3 14" xfId="20108"/>
    <cellStyle name="Percent 4 2 3 3 2" xfId="2066"/>
    <cellStyle name="Percent 4 2 3 3 2 10" xfId="18036"/>
    <cellStyle name="Percent 4 2 3 3 2 10 2" xfId="34157"/>
    <cellStyle name="Percent 4 2 3 3 2 11" xfId="5970"/>
    <cellStyle name="Percent 4 2 3 3 2 11 2" xfId="22132"/>
    <cellStyle name="Percent 4 2 3 3 2 12" xfId="19612"/>
    <cellStyle name="Percent 4 2 3 3 2 2" xfId="18037"/>
    <cellStyle name="Percent 4 2 3 3 2 2 2" xfId="34158"/>
    <cellStyle name="Percent 4 2 3 3 2 3" xfId="18038"/>
    <cellStyle name="Percent 4 2 3 3 2 3 2" xfId="34159"/>
    <cellStyle name="Percent 4 2 3 3 2 4" xfId="18039"/>
    <cellStyle name="Percent 4 2 3 3 2 4 2" xfId="34160"/>
    <cellStyle name="Percent 4 2 3 3 2 5" xfId="18040"/>
    <cellStyle name="Percent 4 2 3 3 2 5 2" xfId="34161"/>
    <cellStyle name="Percent 4 2 3 3 2 6" xfId="18041"/>
    <cellStyle name="Percent 4 2 3 3 2 6 2" xfId="34162"/>
    <cellStyle name="Percent 4 2 3 3 2 7" xfId="18042"/>
    <cellStyle name="Percent 4 2 3 3 2 7 2" xfId="34163"/>
    <cellStyle name="Percent 4 2 3 3 2 8" xfId="18043"/>
    <cellStyle name="Percent 4 2 3 3 2 8 2" xfId="34164"/>
    <cellStyle name="Percent 4 2 3 3 2 9" xfId="18044"/>
    <cellStyle name="Percent 4 2 3 3 2 9 2" xfId="34165"/>
    <cellStyle name="Percent 4 2 3 3 3" xfId="2068"/>
    <cellStyle name="Percent 4 2 3 3 3 10" xfId="18045"/>
    <cellStyle name="Percent 4 2 3 3 3 10 2" xfId="34166"/>
    <cellStyle name="Percent 4 2 3 3 3 11" xfId="5974"/>
    <cellStyle name="Percent 4 2 3 3 3 11 2" xfId="22136"/>
    <cellStyle name="Percent 4 2 3 3 3 12" xfId="19613"/>
    <cellStyle name="Percent 4 2 3 3 3 2" xfId="18046"/>
    <cellStyle name="Percent 4 2 3 3 3 2 2" xfId="34167"/>
    <cellStyle name="Percent 4 2 3 3 3 3" xfId="18047"/>
    <cellStyle name="Percent 4 2 3 3 3 3 2" xfId="34168"/>
    <cellStyle name="Percent 4 2 3 3 3 4" xfId="18048"/>
    <cellStyle name="Percent 4 2 3 3 3 4 2" xfId="34169"/>
    <cellStyle name="Percent 4 2 3 3 3 5" xfId="18049"/>
    <cellStyle name="Percent 4 2 3 3 3 5 2" xfId="34170"/>
    <cellStyle name="Percent 4 2 3 3 3 6" xfId="18050"/>
    <cellStyle name="Percent 4 2 3 3 3 6 2" xfId="34171"/>
    <cellStyle name="Percent 4 2 3 3 3 7" xfId="18051"/>
    <cellStyle name="Percent 4 2 3 3 3 7 2" xfId="34172"/>
    <cellStyle name="Percent 4 2 3 3 3 8" xfId="18052"/>
    <cellStyle name="Percent 4 2 3 3 3 8 2" xfId="34173"/>
    <cellStyle name="Percent 4 2 3 3 3 9" xfId="18053"/>
    <cellStyle name="Percent 4 2 3 3 3 9 2" xfId="34174"/>
    <cellStyle name="Percent 4 2 3 3 4" xfId="18054"/>
    <cellStyle name="Percent 4 2 3 3 4 2" xfId="34175"/>
    <cellStyle name="Percent 4 2 3 3 5" xfId="18055"/>
    <cellStyle name="Percent 4 2 3 3 5 2" xfId="34176"/>
    <cellStyle name="Percent 4 2 3 3 6" xfId="18056"/>
    <cellStyle name="Percent 4 2 3 3 6 2" xfId="34177"/>
    <cellStyle name="Percent 4 2 3 3 7" xfId="18057"/>
    <cellStyle name="Percent 4 2 3 3 7 2" xfId="34178"/>
    <cellStyle name="Percent 4 2 3 3 8" xfId="18058"/>
    <cellStyle name="Percent 4 2 3 3 8 2" xfId="34179"/>
    <cellStyle name="Percent 4 2 3 3 9" xfId="18059"/>
    <cellStyle name="Percent 4 2 3 3 9 2" xfId="34180"/>
    <cellStyle name="Percent 4 2 3 4" xfId="3873"/>
    <cellStyle name="Percent 4 2 3 4 10" xfId="18060"/>
    <cellStyle name="Percent 4 2 3 4 10 2" xfId="34181"/>
    <cellStyle name="Percent 4 2 3 4 11" xfId="18061"/>
    <cellStyle name="Percent 4 2 3 4 11 2" xfId="34182"/>
    <cellStyle name="Percent 4 2 3 4 12" xfId="18062"/>
    <cellStyle name="Percent 4 2 3 4 12 2" xfId="34183"/>
    <cellStyle name="Percent 4 2 3 4 13" xfId="7735"/>
    <cellStyle name="Percent 4 2 3 4 13 2" xfId="23897"/>
    <cellStyle name="Percent 4 2 3 4 14" xfId="20109"/>
    <cellStyle name="Percent 4 2 3 4 2" xfId="3874"/>
    <cellStyle name="Percent 4 2 3 4 2 10" xfId="18063"/>
    <cellStyle name="Percent 4 2 3 4 2 10 2" xfId="34184"/>
    <cellStyle name="Percent 4 2 3 4 2 11" xfId="7736"/>
    <cellStyle name="Percent 4 2 3 4 2 11 2" xfId="23898"/>
    <cellStyle name="Percent 4 2 3 4 2 12" xfId="20110"/>
    <cellStyle name="Percent 4 2 3 4 2 2" xfId="18064"/>
    <cellStyle name="Percent 4 2 3 4 2 2 2" xfId="34185"/>
    <cellStyle name="Percent 4 2 3 4 2 3" xfId="18065"/>
    <cellStyle name="Percent 4 2 3 4 2 3 2" xfId="34186"/>
    <cellStyle name="Percent 4 2 3 4 2 4" xfId="18066"/>
    <cellStyle name="Percent 4 2 3 4 2 4 2" xfId="34187"/>
    <cellStyle name="Percent 4 2 3 4 2 5" xfId="18067"/>
    <cellStyle name="Percent 4 2 3 4 2 5 2" xfId="34188"/>
    <cellStyle name="Percent 4 2 3 4 2 6" xfId="18068"/>
    <cellStyle name="Percent 4 2 3 4 2 6 2" xfId="34189"/>
    <cellStyle name="Percent 4 2 3 4 2 7" xfId="18069"/>
    <cellStyle name="Percent 4 2 3 4 2 7 2" xfId="34190"/>
    <cellStyle name="Percent 4 2 3 4 2 8" xfId="18070"/>
    <cellStyle name="Percent 4 2 3 4 2 8 2" xfId="34191"/>
    <cellStyle name="Percent 4 2 3 4 2 9" xfId="18071"/>
    <cellStyle name="Percent 4 2 3 4 2 9 2" xfId="34192"/>
    <cellStyle name="Percent 4 2 3 4 3" xfId="3421"/>
    <cellStyle name="Percent 4 2 3 4 3 10" xfId="18072"/>
    <cellStyle name="Percent 4 2 3 4 3 10 2" xfId="34193"/>
    <cellStyle name="Percent 4 2 3 4 3 11" xfId="7303"/>
    <cellStyle name="Percent 4 2 3 4 3 11 2" xfId="23465"/>
    <cellStyle name="Percent 4 2 3 4 3 12" xfId="19974"/>
    <cellStyle name="Percent 4 2 3 4 3 2" xfId="18073"/>
    <cellStyle name="Percent 4 2 3 4 3 2 2" xfId="34194"/>
    <cellStyle name="Percent 4 2 3 4 3 3" xfId="18074"/>
    <cellStyle name="Percent 4 2 3 4 3 3 2" xfId="34195"/>
    <cellStyle name="Percent 4 2 3 4 3 4" xfId="18075"/>
    <cellStyle name="Percent 4 2 3 4 3 4 2" xfId="34196"/>
    <cellStyle name="Percent 4 2 3 4 3 5" xfId="18076"/>
    <cellStyle name="Percent 4 2 3 4 3 5 2" xfId="34197"/>
    <cellStyle name="Percent 4 2 3 4 3 6" xfId="18077"/>
    <cellStyle name="Percent 4 2 3 4 3 6 2" xfId="34198"/>
    <cellStyle name="Percent 4 2 3 4 3 7" xfId="18078"/>
    <cellStyle name="Percent 4 2 3 4 3 7 2" xfId="34199"/>
    <cellStyle name="Percent 4 2 3 4 3 8" xfId="18079"/>
    <cellStyle name="Percent 4 2 3 4 3 8 2" xfId="34200"/>
    <cellStyle name="Percent 4 2 3 4 3 9" xfId="18080"/>
    <cellStyle name="Percent 4 2 3 4 3 9 2" xfId="34201"/>
    <cellStyle name="Percent 4 2 3 4 4" xfId="18081"/>
    <cellStyle name="Percent 4 2 3 4 4 2" xfId="34202"/>
    <cellStyle name="Percent 4 2 3 4 5" xfId="18082"/>
    <cellStyle name="Percent 4 2 3 4 5 2" xfId="34203"/>
    <cellStyle name="Percent 4 2 3 4 6" xfId="18083"/>
    <cellStyle name="Percent 4 2 3 4 6 2" xfId="34204"/>
    <cellStyle name="Percent 4 2 3 4 7" xfId="18084"/>
    <cellStyle name="Percent 4 2 3 4 7 2" xfId="34205"/>
    <cellStyle name="Percent 4 2 3 4 8" xfId="18085"/>
    <cellStyle name="Percent 4 2 3 4 8 2" xfId="34206"/>
    <cellStyle name="Percent 4 2 3 4 9" xfId="18086"/>
    <cellStyle name="Percent 4 2 3 4 9 2" xfId="34207"/>
    <cellStyle name="Percent 4 2 3 5" xfId="3875"/>
    <cellStyle name="Percent 4 2 3 5 10" xfId="18087"/>
    <cellStyle name="Percent 4 2 3 5 10 2" xfId="34208"/>
    <cellStyle name="Percent 4 2 3 5 11" xfId="18088"/>
    <cellStyle name="Percent 4 2 3 5 11 2" xfId="34209"/>
    <cellStyle name="Percent 4 2 3 5 12" xfId="18089"/>
    <cellStyle name="Percent 4 2 3 5 12 2" xfId="34210"/>
    <cellStyle name="Percent 4 2 3 5 13" xfId="7737"/>
    <cellStyle name="Percent 4 2 3 5 13 2" xfId="23899"/>
    <cellStyle name="Percent 4 2 3 5 14" xfId="20111"/>
    <cellStyle name="Percent 4 2 3 5 2" xfId="419"/>
    <cellStyle name="Percent 4 2 3 5 2 10" xfId="18090"/>
    <cellStyle name="Percent 4 2 3 5 2 10 2" xfId="34211"/>
    <cellStyle name="Percent 4 2 3 5 2 11" xfId="4363"/>
    <cellStyle name="Percent 4 2 3 5 2 11 2" xfId="20526"/>
    <cellStyle name="Percent 4 2 3 5 2 12" xfId="19084"/>
    <cellStyle name="Percent 4 2 3 5 2 2" xfId="18091"/>
    <cellStyle name="Percent 4 2 3 5 2 2 2" xfId="34212"/>
    <cellStyle name="Percent 4 2 3 5 2 3" xfId="18092"/>
    <cellStyle name="Percent 4 2 3 5 2 3 2" xfId="34213"/>
    <cellStyle name="Percent 4 2 3 5 2 4" xfId="18093"/>
    <cellStyle name="Percent 4 2 3 5 2 4 2" xfId="34214"/>
    <cellStyle name="Percent 4 2 3 5 2 5" xfId="18094"/>
    <cellStyle name="Percent 4 2 3 5 2 5 2" xfId="34215"/>
    <cellStyle name="Percent 4 2 3 5 2 6" xfId="18095"/>
    <cellStyle name="Percent 4 2 3 5 2 6 2" xfId="34216"/>
    <cellStyle name="Percent 4 2 3 5 2 7" xfId="18096"/>
    <cellStyle name="Percent 4 2 3 5 2 7 2" xfId="34217"/>
    <cellStyle name="Percent 4 2 3 5 2 8" xfId="18097"/>
    <cellStyle name="Percent 4 2 3 5 2 8 2" xfId="34218"/>
    <cellStyle name="Percent 4 2 3 5 2 9" xfId="18098"/>
    <cellStyle name="Percent 4 2 3 5 2 9 2" xfId="34219"/>
    <cellStyle name="Percent 4 2 3 5 3" xfId="428"/>
    <cellStyle name="Percent 4 2 3 5 3 10" xfId="18099"/>
    <cellStyle name="Percent 4 2 3 5 3 10 2" xfId="34220"/>
    <cellStyle name="Percent 4 2 3 5 3 11" xfId="4371"/>
    <cellStyle name="Percent 4 2 3 5 3 11 2" xfId="20534"/>
    <cellStyle name="Percent 4 2 3 5 3 12" xfId="19088"/>
    <cellStyle name="Percent 4 2 3 5 3 2" xfId="18100"/>
    <cellStyle name="Percent 4 2 3 5 3 2 2" xfId="34221"/>
    <cellStyle name="Percent 4 2 3 5 3 3" xfId="18101"/>
    <cellStyle name="Percent 4 2 3 5 3 3 2" xfId="34222"/>
    <cellStyle name="Percent 4 2 3 5 3 4" xfId="18102"/>
    <cellStyle name="Percent 4 2 3 5 3 4 2" xfId="34223"/>
    <cellStyle name="Percent 4 2 3 5 3 5" xfId="18103"/>
    <cellStyle name="Percent 4 2 3 5 3 5 2" xfId="34224"/>
    <cellStyle name="Percent 4 2 3 5 3 6" xfId="18104"/>
    <cellStyle name="Percent 4 2 3 5 3 6 2" xfId="34225"/>
    <cellStyle name="Percent 4 2 3 5 3 7" xfId="18105"/>
    <cellStyle name="Percent 4 2 3 5 3 7 2" xfId="34226"/>
    <cellStyle name="Percent 4 2 3 5 3 8" xfId="18106"/>
    <cellStyle name="Percent 4 2 3 5 3 8 2" xfId="34227"/>
    <cellStyle name="Percent 4 2 3 5 3 9" xfId="18107"/>
    <cellStyle name="Percent 4 2 3 5 3 9 2" xfId="34228"/>
    <cellStyle name="Percent 4 2 3 5 4" xfId="18108"/>
    <cellStyle name="Percent 4 2 3 5 4 2" xfId="34229"/>
    <cellStyle name="Percent 4 2 3 5 5" xfId="18109"/>
    <cellStyle name="Percent 4 2 3 5 5 2" xfId="34230"/>
    <cellStyle name="Percent 4 2 3 5 6" xfId="18110"/>
    <cellStyle name="Percent 4 2 3 5 6 2" xfId="34231"/>
    <cellStyle name="Percent 4 2 3 5 7" xfId="18111"/>
    <cellStyle name="Percent 4 2 3 5 7 2" xfId="34232"/>
    <cellStyle name="Percent 4 2 3 5 8" xfId="18112"/>
    <cellStyle name="Percent 4 2 3 5 8 2" xfId="34233"/>
    <cellStyle name="Percent 4 2 3 5 9" xfId="18113"/>
    <cellStyle name="Percent 4 2 3 5 9 2" xfId="34234"/>
    <cellStyle name="Percent 4 2 3 6" xfId="3876"/>
    <cellStyle name="Percent 4 2 3 6 10" xfId="18114"/>
    <cellStyle name="Percent 4 2 3 6 10 2" xfId="34235"/>
    <cellStyle name="Percent 4 2 3 6 11" xfId="18115"/>
    <cellStyle name="Percent 4 2 3 6 11 2" xfId="34236"/>
    <cellStyle name="Percent 4 2 3 6 12" xfId="18116"/>
    <cellStyle name="Percent 4 2 3 6 12 2" xfId="34237"/>
    <cellStyle name="Percent 4 2 3 6 13" xfId="7738"/>
    <cellStyle name="Percent 4 2 3 6 13 2" xfId="23900"/>
    <cellStyle name="Percent 4 2 3 6 14" xfId="20112"/>
    <cellStyle name="Percent 4 2 3 6 2" xfId="3877"/>
    <cellStyle name="Percent 4 2 3 6 2 10" xfId="18117"/>
    <cellStyle name="Percent 4 2 3 6 2 10 2" xfId="34238"/>
    <cellStyle name="Percent 4 2 3 6 2 11" xfId="7739"/>
    <cellStyle name="Percent 4 2 3 6 2 11 2" xfId="23901"/>
    <cellStyle name="Percent 4 2 3 6 2 12" xfId="20113"/>
    <cellStyle name="Percent 4 2 3 6 2 2" xfId="18118"/>
    <cellStyle name="Percent 4 2 3 6 2 2 2" xfId="34239"/>
    <cellStyle name="Percent 4 2 3 6 2 3" xfId="18119"/>
    <cellStyle name="Percent 4 2 3 6 2 3 2" xfId="34240"/>
    <cellStyle name="Percent 4 2 3 6 2 4" xfId="18120"/>
    <cellStyle name="Percent 4 2 3 6 2 4 2" xfId="34241"/>
    <cellStyle name="Percent 4 2 3 6 2 5" xfId="18121"/>
    <cellStyle name="Percent 4 2 3 6 2 5 2" xfId="34242"/>
    <cellStyle name="Percent 4 2 3 6 2 6" xfId="18122"/>
    <cellStyle name="Percent 4 2 3 6 2 6 2" xfId="34243"/>
    <cellStyle name="Percent 4 2 3 6 2 7" xfId="18123"/>
    <cellStyle name="Percent 4 2 3 6 2 7 2" xfId="34244"/>
    <cellStyle name="Percent 4 2 3 6 2 8" xfId="18124"/>
    <cellStyle name="Percent 4 2 3 6 2 8 2" xfId="34245"/>
    <cellStyle name="Percent 4 2 3 6 2 9" xfId="18125"/>
    <cellStyle name="Percent 4 2 3 6 2 9 2" xfId="34246"/>
    <cellStyle name="Percent 4 2 3 6 3" xfId="441"/>
    <cellStyle name="Percent 4 2 3 6 3 10" xfId="18126"/>
    <cellStyle name="Percent 4 2 3 6 3 10 2" xfId="34247"/>
    <cellStyle name="Percent 4 2 3 6 3 11" xfId="4383"/>
    <cellStyle name="Percent 4 2 3 6 3 11 2" xfId="20546"/>
    <cellStyle name="Percent 4 2 3 6 3 12" xfId="19090"/>
    <cellStyle name="Percent 4 2 3 6 3 2" xfId="18127"/>
    <cellStyle name="Percent 4 2 3 6 3 2 2" xfId="34248"/>
    <cellStyle name="Percent 4 2 3 6 3 3" xfId="18128"/>
    <cellStyle name="Percent 4 2 3 6 3 3 2" xfId="34249"/>
    <cellStyle name="Percent 4 2 3 6 3 4" xfId="18129"/>
    <cellStyle name="Percent 4 2 3 6 3 4 2" xfId="34250"/>
    <cellStyle name="Percent 4 2 3 6 3 5" xfId="18130"/>
    <cellStyle name="Percent 4 2 3 6 3 5 2" xfId="34251"/>
    <cellStyle name="Percent 4 2 3 6 3 6" xfId="18131"/>
    <cellStyle name="Percent 4 2 3 6 3 6 2" xfId="34252"/>
    <cellStyle name="Percent 4 2 3 6 3 7" xfId="18132"/>
    <cellStyle name="Percent 4 2 3 6 3 7 2" xfId="34253"/>
    <cellStyle name="Percent 4 2 3 6 3 8" xfId="18133"/>
    <cellStyle name="Percent 4 2 3 6 3 8 2" xfId="34254"/>
    <cellStyle name="Percent 4 2 3 6 3 9" xfId="18134"/>
    <cellStyle name="Percent 4 2 3 6 3 9 2" xfId="34255"/>
    <cellStyle name="Percent 4 2 3 6 4" xfId="18135"/>
    <cellStyle name="Percent 4 2 3 6 4 2" xfId="34256"/>
    <cellStyle name="Percent 4 2 3 6 5" xfId="18136"/>
    <cellStyle name="Percent 4 2 3 6 5 2" xfId="34257"/>
    <cellStyle name="Percent 4 2 3 6 6" xfId="18137"/>
    <cellStyle name="Percent 4 2 3 6 6 2" xfId="34258"/>
    <cellStyle name="Percent 4 2 3 6 7" xfId="18138"/>
    <cellStyle name="Percent 4 2 3 6 7 2" xfId="34259"/>
    <cellStyle name="Percent 4 2 3 6 8" xfId="18139"/>
    <cellStyle name="Percent 4 2 3 6 8 2" xfId="34260"/>
    <cellStyle name="Percent 4 2 3 6 9" xfId="18140"/>
    <cellStyle name="Percent 4 2 3 6 9 2" xfId="34261"/>
    <cellStyle name="Percent 4 2 3 7" xfId="3878"/>
    <cellStyle name="Percent 4 2 3 7 10" xfId="18141"/>
    <cellStyle name="Percent 4 2 3 7 10 2" xfId="34262"/>
    <cellStyle name="Percent 4 2 3 7 11" xfId="7740"/>
    <cellStyle name="Percent 4 2 3 7 11 2" xfId="23902"/>
    <cellStyle name="Percent 4 2 3 7 12" xfId="20114"/>
    <cellStyle name="Percent 4 2 3 7 2" xfId="18142"/>
    <cellStyle name="Percent 4 2 3 7 2 2" xfId="34263"/>
    <cellStyle name="Percent 4 2 3 7 3" xfId="18143"/>
    <cellStyle name="Percent 4 2 3 7 3 2" xfId="34264"/>
    <cellStyle name="Percent 4 2 3 7 4" xfId="18144"/>
    <cellStyle name="Percent 4 2 3 7 4 2" xfId="34265"/>
    <cellStyle name="Percent 4 2 3 7 5" xfId="18145"/>
    <cellStyle name="Percent 4 2 3 7 5 2" xfId="34266"/>
    <cellStyle name="Percent 4 2 3 7 6" xfId="18146"/>
    <cellStyle name="Percent 4 2 3 7 6 2" xfId="34267"/>
    <cellStyle name="Percent 4 2 3 7 7" xfId="18147"/>
    <cellStyle name="Percent 4 2 3 7 7 2" xfId="34268"/>
    <cellStyle name="Percent 4 2 3 7 8" xfId="18148"/>
    <cellStyle name="Percent 4 2 3 7 8 2" xfId="34269"/>
    <cellStyle name="Percent 4 2 3 7 9" xfId="18149"/>
    <cellStyle name="Percent 4 2 3 7 9 2" xfId="34270"/>
    <cellStyle name="Percent 4 2 3 8" xfId="33"/>
    <cellStyle name="Percent 4 2 3 8 10" xfId="18150"/>
    <cellStyle name="Percent 4 2 3 8 10 2" xfId="34271"/>
    <cellStyle name="Percent 4 2 3 8 11" xfId="3988"/>
    <cellStyle name="Percent 4 2 3 8 11 2" xfId="20151"/>
    <cellStyle name="Percent 4 2 3 8 12" xfId="18972"/>
    <cellStyle name="Percent 4 2 3 8 2" xfId="18151"/>
    <cellStyle name="Percent 4 2 3 8 2 2" xfId="34272"/>
    <cellStyle name="Percent 4 2 3 8 3" xfId="18152"/>
    <cellStyle name="Percent 4 2 3 8 3 2" xfId="34273"/>
    <cellStyle name="Percent 4 2 3 8 4" xfId="18153"/>
    <cellStyle name="Percent 4 2 3 8 4 2" xfId="34274"/>
    <cellStyle name="Percent 4 2 3 8 5" xfId="18154"/>
    <cellStyle name="Percent 4 2 3 8 5 2" xfId="34275"/>
    <cellStyle name="Percent 4 2 3 8 6" xfId="18155"/>
    <cellStyle name="Percent 4 2 3 8 6 2" xfId="34276"/>
    <cellStyle name="Percent 4 2 3 8 7" xfId="18156"/>
    <cellStyle name="Percent 4 2 3 8 7 2" xfId="34277"/>
    <cellStyle name="Percent 4 2 3 8 8" xfId="18157"/>
    <cellStyle name="Percent 4 2 3 8 8 2" xfId="34278"/>
    <cellStyle name="Percent 4 2 3 8 9" xfId="18158"/>
    <cellStyle name="Percent 4 2 3 8 9 2" xfId="34279"/>
    <cellStyle name="Percent 4 2 3 9" xfId="18159"/>
    <cellStyle name="Percent 4 2 3 9 2" xfId="34280"/>
    <cellStyle name="Percent 4 2 4" xfId="3879"/>
    <cellStyle name="Percent 4 2 4 2" xfId="7741"/>
    <cellStyle name="Percent 4 2 4 2 2" xfId="23903"/>
    <cellStyle name="Percent 4 2 5" xfId="2077"/>
    <cellStyle name="Percent 4 2 5 2" xfId="5980"/>
    <cellStyle name="Percent 4 2 5 2 2" xfId="22142"/>
    <cellStyle name="Percent 4 2 6" xfId="3880"/>
    <cellStyle name="Percent 4 2 6 2" xfId="7742"/>
    <cellStyle name="Percent 4 2 6 2 2" xfId="23904"/>
    <cellStyle name="Percent 4 2 7" xfId="3063"/>
    <cellStyle name="Percent 4 2 7 2" xfId="6948"/>
    <cellStyle name="Percent 4 2 7 2 2" xfId="23110"/>
    <cellStyle name="Percent 4 2 8" xfId="3881"/>
    <cellStyle name="Percent 4 2 8 2" xfId="7743"/>
    <cellStyle name="Percent 4 2 8 2 2" xfId="23905"/>
    <cellStyle name="Percent 4 2 9" xfId="3185"/>
    <cellStyle name="Percent 4 2 9 10" xfId="18160"/>
    <cellStyle name="Percent 4 2 9 10 2" xfId="34281"/>
    <cellStyle name="Percent 4 2 9 11" xfId="18161"/>
    <cellStyle name="Percent 4 2 9 11 2" xfId="34282"/>
    <cellStyle name="Percent 4 2 9 12" xfId="18162"/>
    <cellStyle name="Percent 4 2 9 12 2" xfId="34283"/>
    <cellStyle name="Percent 4 2 9 13" xfId="7070"/>
    <cellStyle name="Percent 4 2 9 13 2" xfId="23232"/>
    <cellStyle name="Percent 4 2 9 14" xfId="19951"/>
    <cellStyle name="Percent 4 2 9 2" xfId="2247"/>
    <cellStyle name="Percent 4 2 9 2 10" xfId="18163"/>
    <cellStyle name="Percent 4 2 9 2 10 2" xfId="34284"/>
    <cellStyle name="Percent 4 2 9 2 11" xfId="6150"/>
    <cellStyle name="Percent 4 2 9 2 11 2" xfId="22312"/>
    <cellStyle name="Percent 4 2 9 2 12" xfId="19623"/>
    <cellStyle name="Percent 4 2 9 2 2" xfId="18164"/>
    <cellStyle name="Percent 4 2 9 2 2 2" xfId="34285"/>
    <cellStyle name="Percent 4 2 9 2 3" xfId="18165"/>
    <cellStyle name="Percent 4 2 9 2 3 2" xfId="34286"/>
    <cellStyle name="Percent 4 2 9 2 4" xfId="18166"/>
    <cellStyle name="Percent 4 2 9 2 4 2" xfId="34287"/>
    <cellStyle name="Percent 4 2 9 2 5" xfId="18167"/>
    <cellStyle name="Percent 4 2 9 2 5 2" xfId="34288"/>
    <cellStyle name="Percent 4 2 9 2 6" xfId="18168"/>
    <cellStyle name="Percent 4 2 9 2 6 2" xfId="34289"/>
    <cellStyle name="Percent 4 2 9 2 7" xfId="18169"/>
    <cellStyle name="Percent 4 2 9 2 7 2" xfId="34290"/>
    <cellStyle name="Percent 4 2 9 2 8" xfId="18170"/>
    <cellStyle name="Percent 4 2 9 2 8 2" xfId="34291"/>
    <cellStyle name="Percent 4 2 9 2 9" xfId="18171"/>
    <cellStyle name="Percent 4 2 9 2 9 2" xfId="34292"/>
    <cellStyle name="Percent 4 2 9 3" xfId="2251"/>
    <cellStyle name="Percent 4 2 9 3 10" xfId="18172"/>
    <cellStyle name="Percent 4 2 9 3 10 2" xfId="34293"/>
    <cellStyle name="Percent 4 2 9 3 11" xfId="6153"/>
    <cellStyle name="Percent 4 2 9 3 11 2" xfId="22315"/>
    <cellStyle name="Percent 4 2 9 3 12" xfId="19625"/>
    <cellStyle name="Percent 4 2 9 3 2" xfId="18173"/>
    <cellStyle name="Percent 4 2 9 3 2 2" xfId="34294"/>
    <cellStyle name="Percent 4 2 9 3 3" xfId="18174"/>
    <cellStyle name="Percent 4 2 9 3 3 2" xfId="34295"/>
    <cellStyle name="Percent 4 2 9 3 4" xfId="18175"/>
    <cellStyle name="Percent 4 2 9 3 4 2" xfId="34296"/>
    <cellStyle name="Percent 4 2 9 3 5" xfId="18176"/>
    <cellStyle name="Percent 4 2 9 3 5 2" xfId="34297"/>
    <cellStyle name="Percent 4 2 9 3 6" xfId="18177"/>
    <cellStyle name="Percent 4 2 9 3 6 2" xfId="34298"/>
    <cellStyle name="Percent 4 2 9 3 7" xfId="18178"/>
    <cellStyle name="Percent 4 2 9 3 7 2" xfId="34299"/>
    <cellStyle name="Percent 4 2 9 3 8" xfId="18179"/>
    <cellStyle name="Percent 4 2 9 3 8 2" xfId="34300"/>
    <cellStyle name="Percent 4 2 9 3 9" xfId="18180"/>
    <cellStyle name="Percent 4 2 9 3 9 2" xfId="34301"/>
    <cellStyle name="Percent 4 2 9 4" xfId="18181"/>
    <cellStyle name="Percent 4 2 9 4 2" xfId="34302"/>
    <cellStyle name="Percent 4 2 9 5" xfId="18182"/>
    <cellStyle name="Percent 4 2 9 5 2" xfId="34303"/>
    <cellStyle name="Percent 4 2 9 6" xfId="18183"/>
    <cellStyle name="Percent 4 2 9 6 2" xfId="34304"/>
    <cellStyle name="Percent 4 2 9 7" xfId="18184"/>
    <cellStyle name="Percent 4 2 9 7 2" xfId="34305"/>
    <cellStyle name="Percent 4 2 9 8" xfId="18185"/>
    <cellStyle name="Percent 4 2 9 8 2" xfId="34306"/>
    <cellStyle name="Percent 4 2 9 9" xfId="18186"/>
    <cellStyle name="Percent 4 2 9 9 2" xfId="34307"/>
    <cellStyle name="Percent 4 20" xfId="3737"/>
    <cellStyle name="Percent 4 20 10" xfId="18187"/>
    <cellStyle name="Percent 4 20 10 2" xfId="34308"/>
    <cellStyle name="Percent 4 20 11" xfId="7617"/>
    <cellStyle name="Percent 4 20 11 2" xfId="23779"/>
    <cellStyle name="Percent 4 20 12" xfId="20062"/>
    <cellStyle name="Percent 4 20 2" xfId="18188"/>
    <cellStyle name="Percent 4 20 2 2" xfId="34309"/>
    <cellStyle name="Percent 4 20 3" xfId="18189"/>
    <cellStyle name="Percent 4 20 3 2" xfId="34310"/>
    <cellStyle name="Percent 4 20 4" xfId="18190"/>
    <cellStyle name="Percent 4 20 4 2" xfId="34311"/>
    <cellStyle name="Percent 4 20 5" xfId="18191"/>
    <cellStyle name="Percent 4 20 5 2" xfId="34312"/>
    <cellStyle name="Percent 4 20 6" xfId="18192"/>
    <cellStyle name="Percent 4 20 6 2" xfId="34313"/>
    <cellStyle name="Percent 4 20 7" xfId="18193"/>
    <cellStyle name="Percent 4 20 7 2" xfId="34314"/>
    <cellStyle name="Percent 4 20 8" xfId="18194"/>
    <cellStyle name="Percent 4 20 8 2" xfId="34315"/>
    <cellStyle name="Percent 4 20 9" xfId="18195"/>
    <cellStyle name="Percent 4 20 9 2" xfId="34316"/>
    <cellStyle name="Percent 4 21" xfId="3740"/>
    <cellStyle name="Percent 4 21 10" xfId="18196"/>
    <cellStyle name="Percent 4 21 10 2" xfId="34317"/>
    <cellStyle name="Percent 4 21 11" xfId="7620"/>
    <cellStyle name="Percent 4 21 11 2" xfId="23782"/>
    <cellStyle name="Percent 4 21 12" xfId="20064"/>
    <cellStyle name="Percent 4 21 2" xfId="18197"/>
    <cellStyle name="Percent 4 21 2 2" xfId="34318"/>
    <cellStyle name="Percent 4 21 3" xfId="18198"/>
    <cellStyle name="Percent 4 21 3 2" xfId="34319"/>
    <cellStyle name="Percent 4 21 4" xfId="18199"/>
    <cellStyle name="Percent 4 21 4 2" xfId="34320"/>
    <cellStyle name="Percent 4 21 5" xfId="18200"/>
    <cellStyle name="Percent 4 21 5 2" xfId="34321"/>
    <cellStyle name="Percent 4 21 6" xfId="18201"/>
    <cellStyle name="Percent 4 21 6 2" xfId="34322"/>
    <cellStyle name="Percent 4 21 7" xfId="18202"/>
    <cellStyle name="Percent 4 21 7 2" xfId="34323"/>
    <cellStyle name="Percent 4 21 8" xfId="18203"/>
    <cellStyle name="Percent 4 21 8 2" xfId="34324"/>
    <cellStyle name="Percent 4 21 9" xfId="18204"/>
    <cellStyle name="Percent 4 21 9 2" xfId="34325"/>
    <cellStyle name="Percent 4 22" xfId="18205"/>
    <cellStyle name="Percent 4 22 2" xfId="34326"/>
    <cellStyle name="Percent 4 23" xfId="18206"/>
    <cellStyle name="Percent 4 23 2" xfId="34327"/>
    <cellStyle name="Percent 4 24" xfId="18207"/>
    <cellStyle name="Percent 4 24 2" xfId="34328"/>
    <cellStyle name="Percent 4 25" xfId="18208"/>
    <cellStyle name="Percent 4 25 2" xfId="34329"/>
    <cellStyle name="Percent 4 26" xfId="18209"/>
    <cellStyle name="Percent 4 26 2" xfId="34330"/>
    <cellStyle name="Percent 4 27" xfId="18210"/>
    <cellStyle name="Percent 4 27 2" xfId="34331"/>
    <cellStyle name="Percent 4 28" xfId="18211"/>
    <cellStyle name="Percent 4 28 2" xfId="34332"/>
    <cellStyle name="Percent 4 29" xfId="18212"/>
    <cellStyle name="Percent 4 29 2" xfId="34333"/>
    <cellStyle name="Percent 4 3" xfId="3882"/>
    <cellStyle name="Percent 4 3 10" xfId="18213"/>
    <cellStyle name="Percent 4 3 10 2" xfId="34334"/>
    <cellStyle name="Percent 4 3 11" xfId="18214"/>
    <cellStyle name="Percent 4 3 11 2" xfId="34335"/>
    <cellStyle name="Percent 4 3 12" xfId="18215"/>
    <cellStyle name="Percent 4 3 12 2" xfId="34336"/>
    <cellStyle name="Percent 4 3 13" xfId="18216"/>
    <cellStyle name="Percent 4 3 13 2" xfId="34337"/>
    <cellStyle name="Percent 4 3 14" xfId="18217"/>
    <cellStyle name="Percent 4 3 14 2" xfId="34338"/>
    <cellStyle name="Percent 4 3 15" xfId="18218"/>
    <cellStyle name="Percent 4 3 15 2" xfId="34339"/>
    <cellStyle name="Percent 4 3 16" xfId="18219"/>
    <cellStyle name="Percent 4 3 16 2" xfId="34340"/>
    <cellStyle name="Percent 4 3 17" xfId="18220"/>
    <cellStyle name="Percent 4 3 17 2" xfId="34341"/>
    <cellStyle name="Percent 4 3 18" xfId="7744"/>
    <cellStyle name="Percent 4 3 18 2" xfId="23906"/>
    <cellStyle name="Percent 4 3 19" xfId="20115"/>
    <cellStyle name="Percent 4 3 2" xfId="3883"/>
    <cellStyle name="Percent 4 3 2 10" xfId="18221"/>
    <cellStyle name="Percent 4 3 2 10 2" xfId="34342"/>
    <cellStyle name="Percent 4 3 2 11" xfId="18222"/>
    <cellStyle name="Percent 4 3 2 11 2" xfId="34343"/>
    <cellStyle name="Percent 4 3 2 12" xfId="18223"/>
    <cellStyle name="Percent 4 3 2 12 2" xfId="34344"/>
    <cellStyle name="Percent 4 3 2 13" xfId="7745"/>
    <cellStyle name="Percent 4 3 2 13 2" xfId="23907"/>
    <cellStyle name="Percent 4 3 2 14" xfId="20116"/>
    <cellStyle name="Percent 4 3 2 2" xfId="3884"/>
    <cellStyle name="Percent 4 3 2 2 10" xfId="18224"/>
    <cellStyle name="Percent 4 3 2 2 10 2" xfId="34345"/>
    <cellStyle name="Percent 4 3 2 2 11" xfId="7746"/>
    <cellStyle name="Percent 4 3 2 2 11 2" xfId="23908"/>
    <cellStyle name="Percent 4 3 2 2 12" xfId="20117"/>
    <cellStyle name="Percent 4 3 2 2 2" xfId="18225"/>
    <cellStyle name="Percent 4 3 2 2 2 2" xfId="18226"/>
    <cellStyle name="Percent 4 3 2 2 2 2 2" xfId="18227"/>
    <cellStyle name="Percent 4 3 2 2 2 2 2 2" xfId="34348"/>
    <cellStyle name="Percent 4 3 2 2 2 2 3" xfId="34347"/>
    <cellStyle name="Percent 4 3 2 2 2 3" xfId="18228"/>
    <cellStyle name="Percent 4 3 2 2 2 3 2" xfId="34349"/>
    <cellStyle name="Percent 4 3 2 2 2 4" xfId="34346"/>
    <cellStyle name="Percent 4 3 2 2 3" xfId="18229"/>
    <cellStyle name="Percent 4 3 2 2 3 2" xfId="18230"/>
    <cellStyle name="Percent 4 3 2 2 3 2 2" xfId="34351"/>
    <cellStyle name="Percent 4 3 2 2 3 3" xfId="34350"/>
    <cellStyle name="Percent 4 3 2 2 4" xfId="18231"/>
    <cellStyle name="Percent 4 3 2 2 4 2" xfId="18232"/>
    <cellStyle name="Percent 4 3 2 2 4 2 2" xfId="34353"/>
    <cellStyle name="Percent 4 3 2 2 4 3" xfId="34352"/>
    <cellStyle name="Percent 4 3 2 2 5" xfId="18233"/>
    <cellStyle name="Percent 4 3 2 2 5 2" xfId="34354"/>
    <cellStyle name="Percent 4 3 2 2 6" xfId="18234"/>
    <cellStyle name="Percent 4 3 2 2 6 2" xfId="34355"/>
    <cellStyle name="Percent 4 3 2 2 7" xfId="18235"/>
    <cellStyle name="Percent 4 3 2 2 7 2" xfId="34356"/>
    <cellStyle name="Percent 4 3 2 2 8" xfId="18236"/>
    <cellStyle name="Percent 4 3 2 2 8 2" xfId="34357"/>
    <cellStyle name="Percent 4 3 2 2 9" xfId="18237"/>
    <cellStyle name="Percent 4 3 2 2 9 2" xfId="34358"/>
    <cellStyle name="Percent 4 3 2 3" xfId="3544"/>
    <cellStyle name="Percent 4 3 2 3 10" xfId="18238"/>
    <cellStyle name="Percent 4 3 2 3 10 2" xfId="34359"/>
    <cellStyle name="Percent 4 3 2 3 11" xfId="7424"/>
    <cellStyle name="Percent 4 3 2 3 11 2" xfId="23586"/>
    <cellStyle name="Percent 4 3 2 3 12" xfId="20023"/>
    <cellStyle name="Percent 4 3 2 3 2" xfId="18239"/>
    <cellStyle name="Percent 4 3 2 3 2 2" xfId="18240"/>
    <cellStyle name="Percent 4 3 2 3 2 2 2" xfId="18241"/>
    <cellStyle name="Percent 4 3 2 3 2 2 2 2" xfId="34362"/>
    <cellStyle name="Percent 4 3 2 3 2 2 3" xfId="34361"/>
    <cellStyle name="Percent 4 3 2 3 2 3" xfId="18242"/>
    <cellStyle name="Percent 4 3 2 3 2 3 2" xfId="34363"/>
    <cellStyle name="Percent 4 3 2 3 2 4" xfId="34360"/>
    <cellStyle name="Percent 4 3 2 3 3" xfId="18243"/>
    <cellStyle name="Percent 4 3 2 3 3 2" xfId="18244"/>
    <cellStyle name="Percent 4 3 2 3 3 2 2" xfId="34365"/>
    <cellStyle name="Percent 4 3 2 3 3 3" xfId="34364"/>
    <cellStyle name="Percent 4 3 2 3 4" xfId="18245"/>
    <cellStyle name="Percent 4 3 2 3 4 2" xfId="18246"/>
    <cellStyle name="Percent 4 3 2 3 4 2 2" xfId="34367"/>
    <cellStyle name="Percent 4 3 2 3 4 3" xfId="34366"/>
    <cellStyle name="Percent 4 3 2 3 5" xfId="18247"/>
    <cellStyle name="Percent 4 3 2 3 5 2" xfId="34368"/>
    <cellStyle name="Percent 4 3 2 3 6" xfId="18248"/>
    <cellStyle name="Percent 4 3 2 3 6 2" xfId="34369"/>
    <cellStyle name="Percent 4 3 2 3 7" xfId="18249"/>
    <cellStyle name="Percent 4 3 2 3 7 2" xfId="34370"/>
    <cellStyle name="Percent 4 3 2 3 8" xfId="18250"/>
    <cellStyle name="Percent 4 3 2 3 8 2" xfId="34371"/>
    <cellStyle name="Percent 4 3 2 3 9" xfId="18251"/>
    <cellStyle name="Percent 4 3 2 3 9 2" xfId="34372"/>
    <cellStyle name="Percent 4 3 2 4" xfId="18252"/>
    <cellStyle name="Percent 4 3 2 4 2" xfId="18253"/>
    <cellStyle name="Percent 4 3 2 4 2 2" xfId="18254"/>
    <cellStyle name="Percent 4 3 2 4 2 2 2" xfId="34375"/>
    <cellStyle name="Percent 4 3 2 4 2 3" xfId="34374"/>
    <cellStyle name="Percent 4 3 2 4 3" xfId="18255"/>
    <cellStyle name="Percent 4 3 2 4 3 2" xfId="34376"/>
    <cellStyle name="Percent 4 3 2 4 4" xfId="34373"/>
    <cellStyle name="Percent 4 3 2 5" xfId="18256"/>
    <cellStyle name="Percent 4 3 2 5 2" xfId="18257"/>
    <cellStyle name="Percent 4 3 2 5 2 2" xfId="34378"/>
    <cellStyle name="Percent 4 3 2 5 3" xfId="34377"/>
    <cellStyle name="Percent 4 3 2 6" xfId="18258"/>
    <cellStyle name="Percent 4 3 2 6 2" xfId="18259"/>
    <cellStyle name="Percent 4 3 2 6 2 2" xfId="34380"/>
    <cellStyle name="Percent 4 3 2 6 3" xfId="34379"/>
    <cellStyle name="Percent 4 3 2 7" xfId="18260"/>
    <cellStyle name="Percent 4 3 2 7 2" xfId="34381"/>
    <cellStyle name="Percent 4 3 2 8" xfId="18261"/>
    <cellStyle name="Percent 4 3 2 8 2" xfId="34382"/>
    <cellStyle name="Percent 4 3 2 9" xfId="18262"/>
    <cellStyle name="Percent 4 3 2 9 2" xfId="34383"/>
    <cellStyle name="Percent 4 3 3" xfId="3885"/>
    <cellStyle name="Percent 4 3 3 10" xfId="18263"/>
    <cellStyle name="Percent 4 3 3 10 2" xfId="34384"/>
    <cellStyle name="Percent 4 3 3 11" xfId="18264"/>
    <cellStyle name="Percent 4 3 3 11 2" xfId="34385"/>
    <cellStyle name="Percent 4 3 3 12" xfId="18265"/>
    <cellStyle name="Percent 4 3 3 12 2" xfId="34386"/>
    <cellStyle name="Percent 4 3 3 13" xfId="7747"/>
    <cellStyle name="Percent 4 3 3 13 2" xfId="23909"/>
    <cellStyle name="Percent 4 3 3 14" xfId="20118"/>
    <cellStyle name="Percent 4 3 3 2" xfId="3886"/>
    <cellStyle name="Percent 4 3 3 2 10" xfId="18266"/>
    <cellStyle name="Percent 4 3 3 2 10 2" xfId="34387"/>
    <cellStyle name="Percent 4 3 3 2 11" xfId="7748"/>
    <cellStyle name="Percent 4 3 3 2 11 2" xfId="23910"/>
    <cellStyle name="Percent 4 3 3 2 12" xfId="20119"/>
    <cellStyle name="Percent 4 3 3 2 2" xfId="18267"/>
    <cellStyle name="Percent 4 3 3 2 2 2" xfId="18268"/>
    <cellStyle name="Percent 4 3 3 2 2 2 2" xfId="34389"/>
    <cellStyle name="Percent 4 3 3 2 2 3" xfId="34388"/>
    <cellStyle name="Percent 4 3 3 2 3" xfId="18269"/>
    <cellStyle name="Percent 4 3 3 2 3 2" xfId="34390"/>
    <cellStyle name="Percent 4 3 3 2 4" xfId="18270"/>
    <cellStyle name="Percent 4 3 3 2 4 2" xfId="34391"/>
    <cellStyle name="Percent 4 3 3 2 5" xfId="18271"/>
    <cellStyle name="Percent 4 3 3 2 5 2" xfId="34392"/>
    <cellStyle name="Percent 4 3 3 2 6" xfId="18272"/>
    <cellStyle name="Percent 4 3 3 2 6 2" xfId="34393"/>
    <cellStyle name="Percent 4 3 3 2 7" xfId="18273"/>
    <cellStyle name="Percent 4 3 3 2 7 2" xfId="34394"/>
    <cellStyle name="Percent 4 3 3 2 8" xfId="18274"/>
    <cellStyle name="Percent 4 3 3 2 8 2" xfId="34395"/>
    <cellStyle name="Percent 4 3 3 2 9" xfId="18275"/>
    <cellStyle name="Percent 4 3 3 2 9 2" xfId="34396"/>
    <cellStyle name="Percent 4 3 3 3" xfId="3558"/>
    <cellStyle name="Percent 4 3 3 3 10" xfId="18276"/>
    <cellStyle name="Percent 4 3 3 3 10 2" xfId="34397"/>
    <cellStyle name="Percent 4 3 3 3 11" xfId="7438"/>
    <cellStyle name="Percent 4 3 3 3 11 2" xfId="23600"/>
    <cellStyle name="Percent 4 3 3 3 12" xfId="20035"/>
    <cellStyle name="Percent 4 3 3 3 2" xfId="18277"/>
    <cellStyle name="Percent 4 3 3 3 2 2" xfId="34398"/>
    <cellStyle name="Percent 4 3 3 3 3" xfId="18278"/>
    <cellStyle name="Percent 4 3 3 3 3 2" xfId="34399"/>
    <cellStyle name="Percent 4 3 3 3 4" xfId="18279"/>
    <cellStyle name="Percent 4 3 3 3 4 2" xfId="34400"/>
    <cellStyle name="Percent 4 3 3 3 5" xfId="18280"/>
    <cellStyle name="Percent 4 3 3 3 5 2" xfId="34401"/>
    <cellStyle name="Percent 4 3 3 3 6" xfId="18281"/>
    <cellStyle name="Percent 4 3 3 3 6 2" xfId="34402"/>
    <cellStyle name="Percent 4 3 3 3 7" xfId="18282"/>
    <cellStyle name="Percent 4 3 3 3 7 2" xfId="34403"/>
    <cellStyle name="Percent 4 3 3 3 8" xfId="18283"/>
    <cellStyle name="Percent 4 3 3 3 8 2" xfId="34404"/>
    <cellStyle name="Percent 4 3 3 3 9" xfId="18284"/>
    <cellStyle name="Percent 4 3 3 3 9 2" xfId="34405"/>
    <cellStyle name="Percent 4 3 3 4" xfId="18285"/>
    <cellStyle name="Percent 4 3 3 4 2" xfId="18286"/>
    <cellStyle name="Percent 4 3 3 4 2 2" xfId="34407"/>
    <cellStyle name="Percent 4 3 3 4 3" xfId="34406"/>
    <cellStyle name="Percent 4 3 3 5" xfId="18287"/>
    <cellStyle name="Percent 4 3 3 5 2" xfId="34408"/>
    <cellStyle name="Percent 4 3 3 6" xfId="18288"/>
    <cellStyle name="Percent 4 3 3 6 2" xfId="34409"/>
    <cellStyle name="Percent 4 3 3 7" xfId="18289"/>
    <cellStyle name="Percent 4 3 3 7 2" xfId="34410"/>
    <cellStyle name="Percent 4 3 3 8" xfId="18290"/>
    <cellStyle name="Percent 4 3 3 8 2" xfId="34411"/>
    <cellStyle name="Percent 4 3 3 9" xfId="18291"/>
    <cellStyle name="Percent 4 3 3 9 2" xfId="34412"/>
    <cellStyle name="Percent 4 3 4" xfId="3887"/>
    <cellStyle name="Percent 4 3 4 10" xfId="18292"/>
    <cellStyle name="Percent 4 3 4 10 2" xfId="34413"/>
    <cellStyle name="Percent 4 3 4 11" xfId="18293"/>
    <cellStyle name="Percent 4 3 4 11 2" xfId="34414"/>
    <cellStyle name="Percent 4 3 4 12" xfId="18294"/>
    <cellStyle name="Percent 4 3 4 12 2" xfId="34415"/>
    <cellStyle name="Percent 4 3 4 13" xfId="7749"/>
    <cellStyle name="Percent 4 3 4 13 2" xfId="23911"/>
    <cellStyle name="Percent 4 3 4 14" xfId="20120"/>
    <cellStyle name="Percent 4 3 4 2" xfId="2444"/>
    <cellStyle name="Percent 4 3 4 2 10" xfId="18295"/>
    <cellStyle name="Percent 4 3 4 2 10 2" xfId="34416"/>
    <cellStyle name="Percent 4 3 4 2 11" xfId="6339"/>
    <cellStyle name="Percent 4 3 4 2 11 2" xfId="22501"/>
    <cellStyle name="Percent 4 3 4 2 12" xfId="19659"/>
    <cellStyle name="Percent 4 3 4 2 2" xfId="18296"/>
    <cellStyle name="Percent 4 3 4 2 2 2" xfId="18297"/>
    <cellStyle name="Percent 4 3 4 2 2 2 2" xfId="34418"/>
    <cellStyle name="Percent 4 3 4 2 2 3" xfId="34417"/>
    <cellStyle name="Percent 4 3 4 2 3" xfId="18298"/>
    <cellStyle name="Percent 4 3 4 2 3 2" xfId="34419"/>
    <cellStyle name="Percent 4 3 4 2 4" xfId="18299"/>
    <cellStyle name="Percent 4 3 4 2 4 2" xfId="34420"/>
    <cellStyle name="Percent 4 3 4 2 5" xfId="18300"/>
    <cellStyle name="Percent 4 3 4 2 5 2" xfId="34421"/>
    <cellStyle name="Percent 4 3 4 2 6" xfId="18301"/>
    <cellStyle name="Percent 4 3 4 2 6 2" xfId="34422"/>
    <cellStyle name="Percent 4 3 4 2 7" xfId="18302"/>
    <cellStyle name="Percent 4 3 4 2 7 2" xfId="34423"/>
    <cellStyle name="Percent 4 3 4 2 8" xfId="18303"/>
    <cellStyle name="Percent 4 3 4 2 8 2" xfId="34424"/>
    <cellStyle name="Percent 4 3 4 2 9" xfId="18304"/>
    <cellStyle name="Percent 4 3 4 2 9 2" xfId="34425"/>
    <cellStyle name="Percent 4 3 4 3" xfId="2446"/>
    <cellStyle name="Percent 4 3 4 3 10" xfId="18305"/>
    <cellStyle name="Percent 4 3 4 3 10 2" xfId="34426"/>
    <cellStyle name="Percent 4 3 4 3 11" xfId="6342"/>
    <cellStyle name="Percent 4 3 4 3 11 2" xfId="22504"/>
    <cellStyle name="Percent 4 3 4 3 12" xfId="19660"/>
    <cellStyle name="Percent 4 3 4 3 2" xfId="18306"/>
    <cellStyle name="Percent 4 3 4 3 2 2" xfId="34427"/>
    <cellStyle name="Percent 4 3 4 3 3" xfId="18307"/>
    <cellStyle name="Percent 4 3 4 3 3 2" xfId="34428"/>
    <cellStyle name="Percent 4 3 4 3 4" xfId="18308"/>
    <cellStyle name="Percent 4 3 4 3 4 2" xfId="34429"/>
    <cellStyle name="Percent 4 3 4 3 5" xfId="18309"/>
    <cellStyle name="Percent 4 3 4 3 5 2" xfId="34430"/>
    <cellStyle name="Percent 4 3 4 3 6" xfId="18310"/>
    <cellStyle name="Percent 4 3 4 3 6 2" xfId="34431"/>
    <cellStyle name="Percent 4 3 4 3 7" xfId="18311"/>
    <cellStyle name="Percent 4 3 4 3 7 2" xfId="34432"/>
    <cellStyle name="Percent 4 3 4 3 8" xfId="18312"/>
    <cellStyle name="Percent 4 3 4 3 8 2" xfId="34433"/>
    <cellStyle name="Percent 4 3 4 3 9" xfId="18313"/>
    <cellStyle name="Percent 4 3 4 3 9 2" xfId="34434"/>
    <cellStyle name="Percent 4 3 4 4" xfId="18314"/>
    <cellStyle name="Percent 4 3 4 4 2" xfId="18315"/>
    <cellStyle name="Percent 4 3 4 4 2 2" xfId="34436"/>
    <cellStyle name="Percent 4 3 4 4 3" xfId="34435"/>
    <cellStyle name="Percent 4 3 4 5" xfId="18316"/>
    <cellStyle name="Percent 4 3 4 5 2" xfId="34437"/>
    <cellStyle name="Percent 4 3 4 6" xfId="18317"/>
    <cellStyle name="Percent 4 3 4 6 2" xfId="34438"/>
    <cellStyle name="Percent 4 3 4 7" xfId="18318"/>
    <cellStyle name="Percent 4 3 4 7 2" xfId="34439"/>
    <cellStyle name="Percent 4 3 4 8" xfId="18319"/>
    <cellStyle name="Percent 4 3 4 8 2" xfId="34440"/>
    <cellStyle name="Percent 4 3 4 9" xfId="18320"/>
    <cellStyle name="Percent 4 3 4 9 2" xfId="34441"/>
    <cellStyle name="Percent 4 3 5" xfId="3888"/>
    <cellStyle name="Percent 4 3 5 10" xfId="18321"/>
    <cellStyle name="Percent 4 3 5 10 2" xfId="34442"/>
    <cellStyle name="Percent 4 3 5 11" xfId="18322"/>
    <cellStyle name="Percent 4 3 5 11 2" xfId="34443"/>
    <cellStyle name="Percent 4 3 5 12" xfId="18323"/>
    <cellStyle name="Percent 4 3 5 12 2" xfId="34444"/>
    <cellStyle name="Percent 4 3 5 13" xfId="7750"/>
    <cellStyle name="Percent 4 3 5 13 2" xfId="23912"/>
    <cellStyle name="Percent 4 3 5 14" xfId="20121"/>
    <cellStyle name="Percent 4 3 5 2" xfId="3889"/>
    <cellStyle name="Percent 4 3 5 2 10" xfId="18324"/>
    <cellStyle name="Percent 4 3 5 2 10 2" xfId="34445"/>
    <cellStyle name="Percent 4 3 5 2 11" xfId="7751"/>
    <cellStyle name="Percent 4 3 5 2 11 2" xfId="23913"/>
    <cellStyle name="Percent 4 3 5 2 12" xfId="20122"/>
    <cellStyle name="Percent 4 3 5 2 2" xfId="18325"/>
    <cellStyle name="Percent 4 3 5 2 2 2" xfId="18326"/>
    <cellStyle name="Percent 4 3 5 2 2 2 2" xfId="34447"/>
    <cellStyle name="Percent 4 3 5 2 2 3" xfId="34446"/>
    <cellStyle name="Percent 4 3 5 2 3" xfId="18327"/>
    <cellStyle name="Percent 4 3 5 2 3 2" xfId="34448"/>
    <cellStyle name="Percent 4 3 5 2 4" xfId="18328"/>
    <cellStyle name="Percent 4 3 5 2 4 2" xfId="34449"/>
    <cellStyle name="Percent 4 3 5 2 5" xfId="18329"/>
    <cellStyle name="Percent 4 3 5 2 5 2" xfId="34450"/>
    <cellStyle name="Percent 4 3 5 2 6" xfId="18330"/>
    <cellStyle name="Percent 4 3 5 2 6 2" xfId="34451"/>
    <cellStyle name="Percent 4 3 5 2 7" xfId="18331"/>
    <cellStyle name="Percent 4 3 5 2 7 2" xfId="34452"/>
    <cellStyle name="Percent 4 3 5 2 8" xfId="18332"/>
    <cellStyle name="Percent 4 3 5 2 8 2" xfId="34453"/>
    <cellStyle name="Percent 4 3 5 2 9" xfId="18333"/>
    <cellStyle name="Percent 4 3 5 2 9 2" xfId="34454"/>
    <cellStyle name="Percent 4 3 5 3" xfId="3890"/>
    <cellStyle name="Percent 4 3 5 3 10" xfId="18334"/>
    <cellStyle name="Percent 4 3 5 3 10 2" xfId="34455"/>
    <cellStyle name="Percent 4 3 5 3 11" xfId="7752"/>
    <cellStyle name="Percent 4 3 5 3 11 2" xfId="23914"/>
    <cellStyle name="Percent 4 3 5 3 12" xfId="20123"/>
    <cellStyle name="Percent 4 3 5 3 2" xfId="18335"/>
    <cellStyle name="Percent 4 3 5 3 2 2" xfId="34456"/>
    <cellStyle name="Percent 4 3 5 3 3" xfId="18336"/>
    <cellStyle name="Percent 4 3 5 3 3 2" xfId="34457"/>
    <cellStyle name="Percent 4 3 5 3 4" xfId="18337"/>
    <cellStyle name="Percent 4 3 5 3 4 2" xfId="34458"/>
    <cellStyle name="Percent 4 3 5 3 5" xfId="18338"/>
    <cellStyle name="Percent 4 3 5 3 5 2" xfId="34459"/>
    <cellStyle name="Percent 4 3 5 3 6" xfId="18339"/>
    <cellStyle name="Percent 4 3 5 3 6 2" xfId="34460"/>
    <cellStyle name="Percent 4 3 5 3 7" xfId="18340"/>
    <cellStyle name="Percent 4 3 5 3 7 2" xfId="34461"/>
    <cellStyle name="Percent 4 3 5 3 8" xfId="18341"/>
    <cellStyle name="Percent 4 3 5 3 8 2" xfId="34462"/>
    <cellStyle name="Percent 4 3 5 3 9" xfId="18342"/>
    <cellStyle name="Percent 4 3 5 3 9 2" xfId="34463"/>
    <cellStyle name="Percent 4 3 5 4" xfId="18343"/>
    <cellStyle name="Percent 4 3 5 4 2" xfId="18344"/>
    <cellStyle name="Percent 4 3 5 4 2 2" xfId="34465"/>
    <cellStyle name="Percent 4 3 5 4 3" xfId="34464"/>
    <cellStyle name="Percent 4 3 5 5" xfId="18345"/>
    <cellStyle name="Percent 4 3 5 5 2" xfId="34466"/>
    <cellStyle name="Percent 4 3 5 6" xfId="18346"/>
    <cellStyle name="Percent 4 3 5 6 2" xfId="34467"/>
    <cellStyle name="Percent 4 3 5 7" xfId="18347"/>
    <cellStyle name="Percent 4 3 5 7 2" xfId="34468"/>
    <cellStyle name="Percent 4 3 5 8" xfId="18348"/>
    <cellStyle name="Percent 4 3 5 8 2" xfId="34469"/>
    <cellStyle name="Percent 4 3 5 9" xfId="18349"/>
    <cellStyle name="Percent 4 3 5 9 2" xfId="34470"/>
    <cellStyle name="Percent 4 3 6" xfId="3891"/>
    <cellStyle name="Percent 4 3 6 10" xfId="18350"/>
    <cellStyle name="Percent 4 3 6 10 2" xfId="34471"/>
    <cellStyle name="Percent 4 3 6 11" xfId="18351"/>
    <cellStyle name="Percent 4 3 6 11 2" xfId="34472"/>
    <cellStyle name="Percent 4 3 6 12" xfId="18352"/>
    <cellStyle name="Percent 4 3 6 12 2" xfId="34473"/>
    <cellStyle name="Percent 4 3 6 13" xfId="7753"/>
    <cellStyle name="Percent 4 3 6 13 2" xfId="23915"/>
    <cellStyle name="Percent 4 3 6 14" xfId="20124"/>
    <cellStyle name="Percent 4 3 6 2" xfId="1740"/>
    <cellStyle name="Percent 4 3 6 2 10" xfId="18353"/>
    <cellStyle name="Percent 4 3 6 2 10 2" xfId="34474"/>
    <cellStyle name="Percent 4 3 6 2 11" xfId="5652"/>
    <cellStyle name="Percent 4 3 6 2 11 2" xfId="21814"/>
    <cellStyle name="Percent 4 3 6 2 12" xfId="19568"/>
    <cellStyle name="Percent 4 3 6 2 2" xfId="18354"/>
    <cellStyle name="Percent 4 3 6 2 2 2" xfId="18355"/>
    <cellStyle name="Percent 4 3 6 2 2 2 2" xfId="34476"/>
    <cellStyle name="Percent 4 3 6 2 2 3" xfId="34475"/>
    <cellStyle name="Percent 4 3 6 2 3" xfId="18356"/>
    <cellStyle name="Percent 4 3 6 2 3 2" xfId="34477"/>
    <cellStyle name="Percent 4 3 6 2 4" xfId="18357"/>
    <cellStyle name="Percent 4 3 6 2 4 2" xfId="34478"/>
    <cellStyle name="Percent 4 3 6 2 5" xfId="18358"/>
    <cellStyle name="Percent 4 3 6 2 5 2" xfId="34479"/>
    <cellStyle name="Percent 4 3 6 2 6" xfId="18359"/>
    <cellStyle name="Percent 4 3 6 2 6 2" xfId="34480"/>
    <cellStyle name="Percent 4 3 6 2 7" xfId="18360"/>
    <cellStyle name="Percent 4 3 6 2 7 2" xfId="34481"/>
    <cellStyle name="Percent 4 3 6 2 8" xfId="18361"/>
    <cellStyle name="Percent 4 3 6 2 8 2" xfId="34482"/>
    <cellStyle name="Percent 4 3 6 2 9" xfId="18362"/>
    <cellStyle name="Percent 4 3 6 2 9 2" xfId="34483"/>
    <cellStyle name="Percent 4 3 6 3" xfId="3892"/>
    <cellStyle name="Percent 4 3 6 3 10" xfId="18363"/>
    <cellStyle name="Percent 4 3 6 3 10 2" xfId="34484"/>
    <cellStyle name="Percent 4 3 6 3 11" xfId="7754"/>
    <cellStyle name="Percent 4 3 6 3 11 2" xfId="23916"/>
    <cellStyle name="Percent 4 3 6 3 12" xfId="20125"/>
    <cellStyle name="Percent 4 3 6 3 2" xfId="18364"/>
    <cellStyle name="Percent 4 3 6 3 2 2" xfId="34485"/>
    <cellStyle name="Percent 4 3 6 3 3" xfId="18365"/>
    <cellStyle name="Percent 4 3 6 3 3 2" xfId="34486"/>
    <cellStyle name="Percent 4 3 6 3 4" xfId="18366"/>
    <cellStyle name="Percent 4 3 6 3 4 2" xfId="34487"/>
    <cellStyle name="Percent 4 3 6 3 5" xfId="18367"/>
    <cellStyle name="Percent 4 3 6 3 5 2" xfId="34488"/>
    <cellStyle name="Percent 4 3 6 3 6" xfId="18368"/>
    <cellStyle name="Percent 4 3 6 3 6 2" xfId="34489"/>
    <cellStyle name="Percent 4 3 6 3 7" xfId="18369"/>
    <cellStyle name="Percent 4 3 6 3 7 2" xfId="34490"/>
    <cellStyle name="Percent 4 3 6 3 8" xfId="18370"/>
    <cellStyle name="Percent 4 3 6 3 8 2" xfId="34491"/>
    <cellStyle name="Percent 4 3 6 3 9" xfId="18371"/>
    <cellStyle name="Percent 4 3 6 3 9 2" xfId="34492"/>
    <cellStyle name="Percent 4 3 6 4" xfId="18372"/>
    <cellStyle name="Percent 4 3 6 4 2" xfId="18373"/>
    <cellStyle name="Percent 4 3 6 4 2 2" xfId="34494"/>
    <cellStyle name="Percent 4 3 6 4 3" xfId="34493"/>
    <cellStyle name="Percent 4 3 6 5" xfId="18374"/>
    <cellStyle name="Percent 4 3 6 5 2" xfId="34495"/>
    <cellStyle name="Percent 4 3 6 6" xfId="18375"/>
    <cellStyle name="Percent 4 3 6 6 2" xfId="34496"/>
    <cellStyle name="Percent 4 3 6 7" xfId="18376"/>
    <cellStyle name="Percent 4 3 6 7 2" xfId="34497"/>
    <cellStyle name="Percent 4 3 6 8" xfId="18377"/>
    <cellStyle name="Percent 4 3 6 8 2" xfId="34498"/>
    <cellStyle name="Percent 4 3 6 9" xfId="18378"/>
    <cellStyle name="Percent 4 3 6 9 2" xfId="34499"/>
    <cellStyle name="Percent 4 3 7" xfId="590"/>
    <cellStyle name="Percent 4 3 7 10" xfId="18379"/>
    <cellStyle name="Percent 4 3 7 10 2" xfId="34500"/>
    <cellStyle name="Percent 4 3 7 11" xfId="4524"/>
    <cellStyle name="Percent 4 3 7 11 2" xfId="20687"/>
    <cellStyle name="Percent 4 3 7 12" xfId="19119"/>
    <cellStyle name="Percent 4 3 7 2" xfId="18380"/>
    <cellStyle name="Percent 4 3 7 2 2" xfId="18381"/>
    <cellStyle name="Percent 4 3 7 2 2 2" xfId="34502"/>
    <cellStyle name="Percent 4 3 7 2 3" xfId="34501"/>
    <cellStyle name="Percent 4 3 7 3" xfId="18382"/>
    <cellStyle name="Percent 4 3 7 3 2" xfId="34503"/>
    <cellStyle name="Percent 4 3 7 4" xfId="18383"/>
    <cellStyle name="Percent 4 3 7 4 2" xfId="34504"/>
    <cellStyle name="Percent 4 3 7 5" xfId="18384"/>
    <cellStyle name="Percent 4 3 7 5 2" xfId="34505"/>
    <cellStyle name="Percent 4 3 7 6" xfId="18385"/>
    <cellStyle name="Percent 4 3 7 6 2" xfId="34506"/>
    <cellStyle name="Percent 4 3 7 7" xfId="18386"/>
    <cellStyle name="Percent 4 3 7 7 2" xfId="34507"/>
    <cellStyle name="Percent 4 3 7 8" xfId="18387"/>
    <cellStyle name="Percent 4 3 7 8 2" xfId="34508"/>
    <cellStyle name="Percent 4 3 7 9" xfId="18388"/>
    <cellStyle name="Percent 4 3 7 9 2" xfId="34509"/>
    <cellStyle name="Percent 4 3 8" xfId="595"/>
    <cellStyle name="Percent 4 3 8 10" xfId="18389"/>
    <cellStyle name="Percent 4 3 8 10 2" xfId="34510"/>
    <cellStyle name="Percent 4 3 8 11" xfId="4529"/>
    <cellStyle name="Percent 4 3 8 11 2" xfId="20692"/>
    <cellStyle name="Percent 4 3 8 12" xfId="19120"/>
    <cellStyle name="Percent 4 3 8 2" xfId="18390"/>
    <cellStyle name="Percent 4 3 8 2 2" xfId="34511"/>
    <cellStyle name="Percent 4 3 8 3" xfId="18391"/>
    <cellStyle name="Percent 4 3 8 3 2" xfId="34512"/>
    <cellStyle name="Percent 4 3 8 4" xfId="18392"/>
    <cellStyle name="Percent 4 3 8 4 2" xfId="34513"/>
    <cellStyle name="Percent 4 3 8 5" xfId="18393"/>
    <cellStyle name="Percent 4 3 8 5 2" xfId="34514"/>
    <cellStyle name="Percent 4 3 8 6" xfId="18394"/>
    <cellStyle name="Percent 4 3 8 6 2" xfId="34515"/>
    <cellStyle name="Percent 4 3 8 7" xfId="18395"/>
    <cellStyle name="Percent 4 3 8 7 2" xfId="34516"/>
    <cellStyle name="Percent 4 3 8 8" xfId="18396"/>
    <cellStyle name="Percent 4 3 8 8 2" xfId="34517"/>
    <cellStyle name="Percent 4 3 8 9" xfId="18397"/>
    <cellStyle name="Percent 4 3 8 9 2" xfId="34518"/>
    <cellStyle name="Percent 4 3 9" xfId="18398"/>
    <cellStyle name="Percent 4 3 9 2" xfId="18399"/>
    <cellStyle name="Percent 4 3 9 2 2" xfId="34520"/>
    <cellStyle name="Percent 4 3 9 3" xfId="34519"/>
    <cellStyle name="Percent 4 30" xfId="18400"/>
    <cellStyle name="Percent 4 30 2" xfId="34521"/>
    <cellStyle name="Percent 4 31" xfId="6821"/>
    <cellStyle name="Percent 4 31 2" xfId="22983"/>
    <cellStyle name="Percent 4 32" xfId="19850"/>
    <cellStyle name="Percent 4 4" xfId="3893"/>
    <cellStyle name="Percent 4 4 10" xfId="18401"/>
    <cellStyle name="Percent 4 4 10 2" xfId="34522"/>
    <cellStyle name="Percent 4 4 11" xfId="7755"/>
    <cellStyle name="Percent 4 4 11 2" xfId="23917"/>
    <cellStyle name="Percent 4 4 2" xfId="18402"/>
    <cellStyle name="Percent 4 4 2 2" xfId="18403"/>
    <cellStyle name="Percent 4 4 2 2 2" xfId="18404"/>
    <cellStyle name="Percent 4 4 2 2 2 2" xfId="18405"/>
    <cellStyle name="Percent 4 4 2 2 2 2 2" xfId="18406"/>
    <cellStyle name="Percent 4 4 2 2 2 2 2 2" xfId="34527"/>
    <cellStyle name="Percent 4 4 2 2 2 2 3" xfId="34526"/>
    <cellStyle name="Percent 4 4 2 2 2 3" xfId="18407"/>
    <cellStyle name="Percent 4 4 2 2 2 3 2" xfId="34528"/>
    <cellStyle name="Percent 4 4 2 2 2 4" xfId="34525"/>
    <cellStyle name="Percent 4 4 2 2 3" xfId="18408"/>
    <cellStyle name="Percent 4 4 2 2 3 2" xfId="18409"/>
    <cellStyle name="Percent 4 4 2 2 3 2 2" xfId="34530"/>
    <cellStyle name="Percent 4 4 2 2 3 3" xfId="34529"/>
    <cellStyle name="Percent 4 4 2 2 4" xfId="18410"/>
    <cellStyle name="Percent 4 4 2 2 4 2" xfId="18411"/>
    <cellStyle name="Percent 4 4 2 2 4 2 2" xfId="34532"/>
    <cellStyle name="Percent 4 4 2 2 4 3" xfId="34531"/>
    <cellStyle name="Percent 4 4 2 2 5" xfId="18412"/>
    <cellStyle name="Percent 4 4 2 2 5 2" xfId="34533"/>
    <cellStyle name="Percent 4 4 2 2 6" xfId="34524"/>
    <cellStyle name="Percent 4 4 2 3" xfId="18413"/>
    <cellStyle name="Percent 4 4 2 3 2" xfId="18414"/>
    <cellStyle name="Percent 4 4 2 3 2 2" xfId="18415"/>
    <cellStyle name="Percent 4 4 2 3 2 2 2" xfId="18416"/>
    <cellStyle name="Percent 4 4 2 3 2 2 2 2" xfId="34537"/>
    <cellStyle name="Percent 4 4 2 3 2 2 3" xfId="34536"/>
    <cellStyle name="Percent 4 4 2 3 2 3" xfId="18417"/>
    <cellStyle name="Percent 4 4 2 3 2 3 2" xfId="34538"/>
    <cellStyle name="Percent 4 4 2 3 2 4" xfId="34535"/>
    <cellStyle name="Percent 4 4 2 3 3" xfId="18418"/>
    <cellStyle name="Percent 4 4 2 3 3 2" xfId="18419"/>
    <cellStyle name="Percent 4 4 2 3 3 2 2" xfId="34540"/>
    <cellStyle name="Percent 4 4 2 3 3 3" xfId="34539"/>
    <cellStyle name="Percent 4 4 2 3 4" xfId="18420"/>
    <cellStyle name="Percent 4 4 2 3 4 2" xfId="18421"/>
    <cellStyle name="Percent 4 4 2 3 4 2 2" xfId="34542"/>
    <cellStyle name="Percent 4 4 2 3 4 3" xfId="34541"/>
    <cellStyle name="Percent 4 4 2 3 5" xfId="18422"/>
    <cellStyle name="Percent 4 4 2 3 5 2" xfId="34543"/>
    <cellStyle name="Percent 4 4 2 3 6" xfId="34534"/>
    <cellStyle name="Percent 4 4 2 4" xfId="18423"/>
    <cellStyle name="Percent 4 4 2 4 2" xfId="18424"/>
    <cellStyle name="Percent 4 4 2 4 2 2" xfId="18425"/>
    <cellStyle name="Percent 4 4 2 4 2 2 2" xfId="34546"/>
    <cellStyle name="Percent 4 4 2 4 2 3" xfId="34545"/>
    <cellStyle name="Percent 4 4 2 4 3" xfId="18426"/>
    <cellStyle name="Percent 4 4 2 4 3 2" xfId="34547"/>
    <cellStyle name="Percent 4 4 2 4 4" xfId="34544"/>
    <cellStyle name="Percent 4 4 2 5" xfId="18427"/>
    <cellStyle name="Percent 4 4 2 5 2" xfId="18428"/>
    <cellStyle name="Percent 4 4 2 5 2 2" xfId="34549"/>
    <cellStyle name="Percent 4 4 2 5 3" xfId="34548"/>
    <cellStyle name="Percent 4 4 2 6" xfId="18429"/>
    <cellStyle name="Percent 4 4 2 6 2" xfId="18430"/>
    <cellStyle name="Percent 4 4 2 6 2 2" xfId="34551"/>
    <cellStyle name="Percent 4 4 2 6 3" xfId="34550"/>
    <cellStyle name="Percent 4 4 2 7" xfId="18431"/>
    <cellStyle name="Percent 4 4 2 7 2" xfId="34552"/>
    <cellStyle name="Percent 4 4 2 8" xfId="34523"/>
    <cellStyle name="Percent 4 4 3" xfId="18432"/>
    <cellStyle name="Percent 4 4 3 2" xfId="18433"/>
    <cellStyle name="Percent 4 4 3 2 2" xfId="18434"/>
    <cellStyle name="Percent 4 4 3 2 2 2" xfId="18435"/>
    <cellStyle name="Percent 4 4 3 2 2 2 2" xfId="34556"/>
    <cellStyle name="Percent 4 4 3 2 2 3" xfId="34555"/>
    <cellStyle name="Percent 4 4 3 2 3" xfId="18436"/>
    <cellStyle name="Percent 4 4 3 2 3 2" xfId="34557"/>
    <cellStyle name="Percent 4 4 3 2 4" xfId="34554"/>
    <cellStyle name="Percent 4 4 3 3" xfId="18437"/>
    <cellStyle name="Percent 4 4 3 3 2" xfId="18438"/>
    <cellStyle name="Percent 4 4 3 3 2 2" xfId="34559"/>
    <cellStyle name="Percent 4 4 3 3 3" xfId="34558"/>
    <cellStyle name="Percent 4 4 3 4" xfId="18439"/>
    <cellStyle name="Percent 4 4 3 4 2" xfId="18440"/>
    <cellStyle name="Percent 4 4 3 4 2 2" xfId="34561"/>
    <cellStyle name="Percent 4 4 3 4 3" xfId="34560"/>
    <cellStyle name="Percent 4 4 3 5" xfId="18441"/>
    <cellStyle name="Percent 4 4 3 5 2" xfId="34562"/>
    <cellStyle name="Percent 4 4 3 6" xfId="34553"/>
    <cellStyle name="Percent 4 4 4" xfId="18442"/>
    <cellStyle name="Percent 4 4 4 2" xfId="18443"/>
    <cellStyle name="Percent 4 4 4 2 2" xfId="18444"/>
    <cellStyle name="Percent 4 4 4 2 2 2" xfId="18445"/>
    <cellStyle name="Percent 4 4 4 2 2 2 2" xfId="34566"/>
    <cellStyle name="Percent 4 4 4 2 2 3" xfId="34565"/>
    <cellStyle name="Percent 4 4 4 2 3" xfId="18446"/>
    <cellStyle name="Percent 4 4 4 2 3 2" xfId="34567"/>
    <cellStyle name="Percent 4 4 4 2 4" xfId="34564"/>
    <cellStyle name="Percent 4 4 4 3" xfId="18447"/>
    <cellStyle name="Percent 4 4 4 3 2" xfId="18448"/>
    <cellStyle name="Percent 4 4 4 3 2 2" xfId="34569"/>
    <cellStyle name="Percent 4 4 4 3 3" xfId="34568"/>
    <cellStyle name="Percent 4 4 4 4" xfId="18449"/>
    <cellStyle name="Percent 4 4 4 4 2" xfId="18450"/>
    <cellStyle name="Percent 4 4 4 4 2 2" xfId="34571"/>
    <cellStyle name="Percent 4 4 4 4 3" xfId="34570"/>
    <cellStyle name="Percent 4 4 4 5" xfId="18451"/>
    <cellStyle name="Percent 4 4 4 5 2" xfId="34572"/>
    <cellStyle name="Percent 4 4 4 6" xfId="34563"/>
    <cellStyle name="Percent 4 4 5" xfId="18452"/>
    <cellStyle name="Percent 4 4 5 2" xfId="18453"/>
    <cellStyle name="Percent 4 4 5 2 2" xfId="18454"/>
    <cellStyle name="Percent 4 4 5 2 2 2" xfId="18455"/>
    <cellStyle name="Percent 4 4 5 2 2 2 2" xfId="34576"/>
    <cellStyle name="Percent 4 4 5 2 2 3" xfId="34575"/>
    <cellStyle name="Percent 4 4 5 2 3" xfId="18456"/>
    <cellStyle name="Percent 4 4 5 2 3 2" xfId="34577"/>
    <cellStyle name="Percent 4 4 5 2 4" xfId="34574"/>
    <cellStyle name="Percent 4 4 5 3" xfId="18457"/>
    <cellStyle name="Percent 4 4 5 3 2" xfId="18458"/>
    <cellStyle name="Percent 4 4 5 3 2 2" xfId="34579"/>
    <cellStyle name="Percent 4 4 5 3 3" xfId="34578"/>
    <cellStyle name="Percent 4 4 5 4" xfId="18459"/>
    <cellStyle name="Percent 4 4 5 4 2" xfId="18460"/>
    <cellStyle name="Percent 4 4 5 4 2 2" xfId="34581"/>
    <cellStyle name="Percent 4 4 5 4 3" xfId="34580"/>
    <cellStyle name="Percent 4 4 5 5" xfId="18461"/>
    <cellStyle name="Percent 4 4 5 5 2" xfId="34582"/>
    <cellStyle name="Percent 4 4 5 6" xfId="34573"/>
    <cellStyle name="Percent 4 4 6" xfId="18462"/>
    <cellStyle name="Percent 4 4 6 2" xfId="18463"/>
    <cellStyle name="Percent 4 4 6 2 2" xfId="18464"/>
    <cellStyle name="Percent 4 4 6 2 2 2" xfId="18465"/>
    <cellStyle name="Percent 4 4 6 2 2 2 2" xfId="34586"/>
    <cellStyle name="Percent 4 4 6 2 2 3" xfId="34585"/>
    <cellStyle name="Percent 4 4 6 2 3" xfId="18466"/>
    <cellStyle name="Percent 4 4 6 2 3 2" xfId="34587"/>
    <cellStyle name="Percent 4 4 6 2 4" xfId="34584"/>
    <cellStyle name="Percent 4 4 6 3" xfId="18467"/>
    <cellStyle name="Percent 4 4 6 3 2" xfId="18468"/>
    <cellStyle name="Percent 4 4 6 3 2 2" xfId="34589"/>
    <cellStyle name="Percent 4 4 6 3 3" xfId="34588"/>
    <cellStyle name="Percent 4 4 6 4" xfId="18469"/>
    <cellStyle name="Percent 4 4 6 4 2" xfId="18470"/>
    <cellStyle name="Percent 4 4 6 4 2 2" xfId="34591"/>
    <cellStyle name="Percent 4 4 6 4 3" xfId="34590"/>
    <cellStyle name="Percent 4 4 6 5" xfId="18471"/>
    <cellStyle name="Percent 4 4 6 5 2" xfId="34592"/>
    <cellStyle name="Percent 4 4 6 6" xfId="34583"/>
    <cellStyle name="Percent 4 4 7" xfId="18472"/>
    <cellStyle name="Percent 4 4 7 2" xfId="18473"/>
    <cellStyle name="Percent 4 4 7 2 2" xfId="18474"/>
    <cellStyle name="Percent 4 4 7 2 2 2" xfId="34595"/>
    <cellStyle name="Percent 4 4 7 2 3" xfId="34594"/>
    <cellStyle name="Percent 4 4 7 3" xfId="18475"/>
    <cellStyle name="Percent 4 4 7 3 2" xfId="34596"/>
    <cellStyle name="Percent 4 4 7 4" xfId="34593"/>
    <cellStyle name="Percent 4 4 8" xfId="18476"/>
    <cellStyle name="Percent 4 4 8 2" xfId="18477"/>
    <cellStyle name="Percent 4 4 8 2 2" xfId="34598"/>
    <cellStyle name="Percent 4 4 8 3" xfId="34597"/>
    <cellStyle name="Percent 4 4 9" xfId="18478"/>
    <cellStyle name="Percent 4 4 9 2" xfId="18479"/>
    <cellStyle name="Percent 4 4 9 2 2" xfId="34600"/>
    <cellStyle name="Percent 4 4 9 3" xfId="34599"/>
    <cellStyle name="Percent 4 5" xfId="3894"/>
    <cellStyle name="Percent 4 5 10" xfId="18480"/>
    <cellStyle name="Percent 4 5 10 2" xfId="34601"/>
    <cellStyle name="Percent 4 5 11" xfId="7756"/>
    <cellStyle name="Percent 4 5 11 2" xfId="23918"/>
    <cellStyle name="Percent 4 5 2" xfId="3166"/>
    <cellStyle name="Percent 4 5 2 2" xfId="18481"/>
    <cellStyle name="Percent 4 5 2 2 2" xfId="18482"/>
    <cellStyle name="Percent 4 5 2 2 2 2" xfId="18483"/>
    <cellStyle name="Percent 4 5 2 2 2 2 2" xfId="18484"/>
    <cellStyle name="Percent 4 5 2 2 2 2 2 2" xfId="34605"/>
    <cellStyle name="Percent 4 5 2 2 2 2 3" xfId="34604"/>
    <cellStyle name="Percent 4 5 2 2 2 3" xfId="18485"/>
    <cellStyle name="Percent 4 5 2 2 2 3 2" xfId="34606"/>
    <cellStyle name="Percent 4 5 2 2 2 4" xfId="34603"/>
    <cellStyle name="Percent 4 5 2 2 3" xfId="18486"/>
    <cellStyle name="Percent 4 5 2 2 3 2" xfId="18487"/>
    <cellStyle name="Percent 4 5 2 2 3 2 2" xfId="34608"/>
    <cellStyle name="Percent 4 5 2 2 3 3" xfId="34607"/>
    <cellStyle name="Percent 4 5 2 2 4" xfId="18488"/>
    <cellStyle name="Percent 4 5 2 2 4 2" xfId="18489"/>
    <cellStyle name="Percent 4 5 2 2 4 2 2" xfId="34610"/>
    <cellStyle name="Percent 4 5 2 2 4 3" xfId="34609"/>
    <cellStyle name="Percent 4 5 2 2 5" xfId="18490"/>
    <cellStyle name="Percent 4 5 2 2 5 2" xfId="34611"/>
    <cellStyle name="Percent 4 5 2 2 6" xfId="34602"/>
    <cellStyle name="Percent 4 5 2 3" xfId="18491"/>
    <cellStyle name="Percent 4 5 2 3 2" xfId="18492"/>
    <cellStyle name="Percent 4 5 2 3 2 2" xfId="18493"/>
    <cellStyle name="Percent 4 5 2 3 2 2 2" xfId="18494"/>
    <cellStyle name="Percent 4 5 2 3 2 2 2 2" xfId="34615"/>
    <cellStyle name="Percent 4 5 2 3 2 2 3" xfId="34614"/>
    <cellStyle name="Percent 4 5 2 3 2 3" xfId="18495"/>
    <cellStyle name="Percent 4 5 2 3 2 3 2" xfId="34616"/>
    <cellStyle name="Percent 4 5 2 3 2 4" xfId="34613"/>
    <cellStyle name="Percent 4 5 2 3 3" xfId="18496"/>
    <cellStyle name="Percent 4 5 2 3 3 2" xfId="18497"/>
    <cellStyle name="Percent 4 5 2 3 3 2 2" xfId="34618"/>
    <cellStyle name="Percent 4 5 2 3 3 3" xfId="34617"/>
    <cellStyle name="Percent 4 5 2 3 4" xfId="18498"/>
    <cellStyle name="Percent 4 5 2 3 4 2" xfId="18499"/>
    <cellStyle name="Percent 4 5 2 3 4 2 2" xfId="34620"/>
    <cellStyle name="Percent 4 5 2 3 4 3" xfId="34619"/>
    <cellStyle name="Percent 4 5 2 3 5" xfId="18500"/>
    <cellStyle name="Percent 4 5 2 3 5 2" xfId="34621"/>
    <cellStyle name="Percent 4 5 2 3 6" xfId="34612"/>
    <cellStyle name="Percent 4 5 2 4" xfId="18501"/>
    <cellStyle name="Percent 4 5 2 4 2" xfId="18502"/>
    <cellStyle name="Percent 4 5 2 4 2 2" xfId="18503"/>
    <cellStyle name="Percent 4 5 2 4 2 2 2" xfId="34624"/>
    <cellStyle name="Percent 4 5 2 4 2 3" xfId="34623"/>
    <cellStyle name="Percent 4 5 2 4 3" xfId="18504"/>
    <cellStyle name="Percent 4 5 2 4 3 2" xfId="34625"/>
    <cellStyle name="Percent 4 5 2 4 4" xfId="34622"/>
    <cellStyle name="Percent 4 5 2 5" xfId="18505"/>
    <cellStyle name="Percent 4 5 2 5 2" xfId="18506"/>
    <cellStyle name="Percent 4 5 2 5 2 2" xfId="34627"/>
    <cellStyle name="Percent 4 5 2 5 3" xfId="34626"/>
    <cellStyle name="Percent 4 5 2 6" xfId="18507"/>
    <cellStyle name="Percent 4 5 2 6 2" xfId="18508"/>
    <cellStyle name="Percent 4 5 2 6 2 2" xfId="34629"/>
    <cellStyle name="Percent 4 5 2 6 3" xfId="34628"/>
    <cellStyle name="Percent 4 5 2 7" xfId="18509"/>
    <cellStyle name="Percent 4 5 2 7 2" xfId="34630"/>
    <cellStyle name="Percent 4 5 2 8" xfId="7051"/>
    <cellStyle name="Percent 4 5 2 8 2" xfId="23213"/>
    <cellStyle name="Percent 4 5 2 9" xfId="19950"/>
    <cellStyle name="Percent 4 5 3" xfId="414"/>
    <cellStyle name="Percent 4 5 3 2" xfId="18510"/>
    <cellStyle name="Percent 4 5 3 2 2" xfId="18511"/>
    <cellStyle name="Percent 4 5 3 2 2 2" xfId="18512"/>
    <cellStyle name="Percent 4 5 3 2 2 2 2" xfId="34633"/>
    <cellStyle name="Percent 4 5 3 2 2 3" xfId="34632"/>
    <cellStyle name="Percent 4 5 3 2 3" xfId="18513"/>
    <cellStyle name="Percent 4 5 3 2 3 2" xfId="34634"/>
    <cellStyle name="Percent 4 5 3 2 4" xfId="34631"/>
    <cellStyle name="Percent 4 5 3 3" xfId="18514"/>
    <cellStyle name="Percent 4 5 3 3 2" xfId="18515"/>
    <cellStyle name="Percent 4 5 3 3 2 2" xfId="34636"/>
    <cellStyle name="Percent 4 5 3 3 3" xfId="34635"/>
    <cellStyle name="Percent 4 5 3 4" xfId="18516"/>
    <cellStyle name="Percent 4 5 3 4 2" xfId="18517"/>
    <cellStyle name="Percent 4 5 3 4 2 2" xfId="34638"/>
    <cellStyle name="Percent 4 5 3 4 3" xfId="34637"/>
    <cellStyle name="Percent 4 5 3 5" xfId="18518"/>
    <cellStyle name="Percent 4 5 3 5 2" xfId="34639"/>
    <cellStyle name="Percent 4 5 3 6" xfId="4355"/>
    <cellStyle name="Percent 4 5 3 6 2" xfId="20518"/>
    <cellStyle name="Percent 4 5 3 7" xfId="19082"/>
    <cellStyle name="Percent 4 5 4" xfId="18519"/>
    <cellStyle name="Percent 4 5 4 2" xfId="18520"/>
    <cellStyle name="Percent 4 5 4 2 2" xfId="18521"/>
    <cellStyle name="Percent 4 5 4 2 2 2" xfId="18522"/>
    <cellStyle name="Percent 4 5 4 2 2 2 2" xfId="34643"/>
    <cellStyle name="Percent 4 5 4 2 2 3" xfId="34642"/>
    <cellStyle name="Percent 4 5 4 2 3" xfId="18523"/>
    <cellStyle name="Percent 4 5 4 2 3 2" xfId="34644"/>
    <cellStyle name="Percent 4 5 4 2 4" xfId="34641"/>
    <cellStyle name="Percent 4 5 4 3" xfId="18524"/>
    <cellStyle name="Percent 4 5 4 3 2" xfId="18525"/>
    <cellStyle name="Percent 4 5 4 3 2 2" xfId="34646"/>
    <cellStyle name="Percent 4 5 4 3 3" xfId="34645"/>
    <cellStyle name="Percent 4 5 4 4" xfId="18526"/>
    <cellStyle name="Percent 4 5 4 4 2" xfId="18527"/>
    <cellStyle name="Percent 4 5 4 4 2 2" xfId="34648"/>
    <cellStyle name="Percent 4 5 4 4 3" xfId="34647"/>
    <cellStyle name="Percent 4 5 4 5" xfId="18528"/>
    <cellStyle name="Percent 4 5 4 5 2" xfId="34649"/>
    <cellStyle name="Percent 4 5 4 6" xfId="34640"/>
    <cellStyle name="Percent 4 5 5" xfId="18529"/>
    <cellStyle name="Percent 4 5 5 2" xfId="18530"/>
    <cellStyle name="Percent 4 5 5 2 2" xfId="18531"/>
    <cellStyle name="Percent 4 5 5 2 2 2" xfId="18532"/>
    <cellStyle name="Percent 4 5 5 2 2 2 2" xfId="34653"/>
    <cellStyle name="Percent 4 5 5 2 2 3" xfId="34652"/>
    <cellStyle name="Percent 4 5 5 2 3" xfId="18533"/>
    <cellStyle name="Percent 4 5 5 2 3 2" xfId="34654"/>
    <cellStyle name="Percent 4 5 5 2 4" xfId="34651"/>
    <cellStyle name="Percent 4 5 5 3" xfId="18534"/>
    <cellStyle name="Percent 4 5 5 3 2" xfId="18535"/>
    <cellStyle name="Percent 4 5 5 3 2 2" xfId="34656"/>
    <cellStyle name="Percent 4 5 5 3 3" xfId="34655"/>
    <cellStyle name="Percent 4 5 5 4" xfId="18536"/>
    <cellStyle name="Percent 4 5 5 4 2" xfId="18537"/>
    <cellStyle name="Percent 4 5 5 4 2 2" xfId="34658"/>
    <cellStyle name="Percent 4 5 5 4 3" xfId="34657"/>
    <cellStyle name="Percent 4 5 5 5" xfId="18538"/>
    <cellStyle name="Percent 4 5 5 5 2" xfId="34659"/>
    <cellStyle name="Percent 4 5 5 6" xfId="34650"/>
    <cellStyle name="Percent 4 5 6" xfId="18539"/>
    <cellStyle name="Percent 4 5 6 2" xfId="18540"/>
    <cellStyle name="Percent 4 5 6 2 2" xfId="18541"/>
    <cellStyle name="Percent 4 5 6 2 2 2" xfId="18542"/>
    <cellStyle name="Percent 4 5 6 2 2 2 2" xfId="34663"/>
    <cellStyle name="Percent 4 5 6 2 2 3" xfId="34662"/>
    <cellStyle name="Percent 4 5 6 2 3" xfId="18543"/>
    <cellStyle name="Percent 4 5 6 2 3 2" xfId="34664"/>
    <cellStyle name="Percent 4 5 6 2 4" xfId="34661"/>
    <cellStyle name="Percent 4 5 6 3" xfId="18544"/>
    <cellStyle name="Percent 4 5 6 3 2" xfId="18545"/>
    <cellStyle name="Percent 4 5 6 3 2 2" xfId="34666"/>
    <cellStyle name="Percent 4 5 6 3 3" xfId="34665"/>
    <cellStyle name="Percent 4 5 6 4" xfId="18546"/>
    <cellStyle name="Percent 4 5 6 4 2" xfId="18547"/>
    <cellStyle name="Percent 4 5 6 4 2 2" xfId="34668"/>
    <cellStyle name="Percent 4 5 6 4 3" xfId="34667"/>
    <cellStyle name="Percent 4 5 6 5" xfId="18548"/>
    <cellStyle name="Percent 4 5 6 5 2" xfId="34669"/>
    <cellStyle name="Percent 4 5 6 6" xfId="34660"/>
    <cellStyle name="Percent 4 5 7" xfId="18549"/>
    <cellStyle name="Percent 4 5 7 2" xfId="18550"/>
    <cellStyle name="Percent 4 5 7 2 2" xfId="18551"/>
    <cellStyle name="Percent 4 5 7 2 2 2" xfId="34672"/>
    <cellStyle name="Percent 4 5 7 2 3" xfId="34671"/>
    <cellStyle name="Percent 4 5 7 3" xfId="18552"/>
    <cellStyle name="Percent 4 5 7 3 2" xfId="34673"/>
    <cellStyle name="Percent 4 5 7 4" xfId="34670"/>
    <cellStyle name="Percent 4 5 8" xfId="18553"/>
    <cellStyle name="Percent 4 5 8 2" xfId="18554"/>
    <cellStyle name="Percent 4 5 8 2 2" xfId="34675"/>
    <cellStyle name="Percent 4 5 8 3" xfId="34674"/>
    <cellStyle name="Percent 4 5 9" xfId="18555"/>
    <cellStyle name="Percent 4 5 9 2" xfId="18556"/>
    <cellStyle name="Percent 4 5 9 2 2" xfId="34677"/>
    <cellStyle name="Percent 4 5 9 3" xfId="34676"/>
    <cellStyle name="Percent 4 6" xfId="3895"/>
    <cellStyle name="Percent 4 6 10" xfId="18557"/>
    <cellStyle name="Percent 4 6 10 2" xfId="34678"/>
    <cellStyle name="Percent 4 6 11" xfId="7757"/>
    <cellStyle name="Percent 4 6 11 2" xfId="23919"/>
    <cellStyle name="Percent 4 6 2" xfId="18558"/>
    <cellStyle name="Percent 4 6 2 2" xfId="18559"/>
    <cellStyle name="Percent 4 6 2 2 2" xfId="18560"/>
    <cellStyle name="Percent 4 6 2 2 2 2" xfId="18561"/>
    <cellStyle name="Percent 4 6 2 2 2 2 2" xfId="18562"/>
    <cellStyle name="Percent 4 6 2 2 2 2 2 2" xfId="34683"/>
    <cellStyle name="Percent 4 6 2 2 2 2 3" xfId="34682"/>
    <cellStyle name="Percent 4 6 2 2 2 3" xfId="18563"/>
    <cellStyle name="Percent 4 6 2 2 2 3 2" xfId="34684"/>
    <cellStyle name="Percent 4 6 2 2 2 4" xfId="34681"/>
    <cellStyle name="Percent 4 6 2 2 3" xfId="18564"/>
    <cellStyle name="Percent 4 6 2 2 3 2" xfId="18565"/>
    <cellStyle name="Percent 4 6 2 2 3 2 2" xfId="34686"/>
    <cellStyle name="Percent 4 6 2 2 3 3" xfId="34685"/>
    <cellStyle name="Percent 4 6 2 2 4" xfId="18566"/>
    <cellStyle name="Percent 4 6 2 2 4 2" xfId="18567"/>
    <cellStyle name="Percent 4 6 2 2 4 2 2" xfId="34688"/>
    <cellStyle name="Percent 4 6 2 2 4 3" xfId="34687"/>
    <cellStyle name="Percent 4 6 2 2 5" xfId="18568"/>
    <cellStyle name="Percent 4 6 2 2 5 2" xfId="34689"/>
    <cellStyle name="Percent 4 6 2 2 6" xfId="34680"/>
    <cellStyle name="Percent 4 6 2 3" xfId="18569"/>
    <cellStyle name="Percent 4 6 2 3 2" xfId="18570"/>
    <cellStyle name="Percent 4 6 2 3 2 2" xfId="18571"/>
    <cellStyle name="Percent 4 6 2 3 2 2 2" xfId="18572"/>
    <cellStyle name="Percent 4 6 2 3 2 2 2 2" xfId="34693"/>
    <cellStyle name="Percent 4 6 2 3 2 2 3" xfId="34692"/>
    <cellStyle name="Percent 4 6 2 3 2 3" xfId="18573"/>
    <cellStyle name="Percent 4 6 2 3 2 3 2" xfId="34694"/>
    <cellStyle name="Percent 4 6 2 3 2 4" xfId="34691"/>
    <cellStyle name="Percent 4 6 2 3 3" xfId="18574"/>
    <cellStyle name="Percent 4 6 2 3 3 2" xfId="18575"/>
    <cellStyle name="Percent 4 6 2 3 3 2 2" xfId="34696"/>
    <cellStyle name="Percent 4 6 2 3 3 3" xfId="34695"/>
    <cellStyle name="Percent 4 6 2 3 4" xfId="18576"/>
    <cellStyle name="Percent 4 6 2 3 4 2" xfId="18577"/>
    <cellStyle name="Percent 4 6 2 3 4 2 2" xfId="34698"/>
    <cellStyle name="Percent 4 6 2 3 4 3" xfId="34697"/>
    <cellStyle name="Percent 4 6 2 3 5" xfId="18578"/>
    <cellStyle name="Percent 4 6 2 3 5 2" xfId="34699"/>
    <cellStyle name="Percent 4 6 2 3 6" xfId="34690"/>
    <cellStyle name="Percent 4 6 2 4" xfId="18579"/>
    <cellStyle name="Percent 4 6 2 4 2" xfId="18580"/>
    <cellStyle name="Percent 4 6 2 4 2 2" xfId="18581"/>
    <cellStyle name="Percent 4 6 2 4 2 2 2" xfId="34702"/>
    <cellStyle name="Percent 4 6 2 4 2 3" xfId="34701"/>
    <cellStyle name="Percent 4 6 2 4 3" xfId="18582"/>
    <cellStyle name="Percent 4 6 2 4 3 2" xfId="34703"/>
    <cellStyle name="Percent 4 6 2 4 4" xfId="34700"/>
    <cellStyle name="Percent 4 6 2 5" xfId="18583"/>
    <cellStyle name="Percent 4 6 2 5 2" xfId="18584"/>
    <cellStyle name="Percent 4 6 2 5 2 2" xfId="34705"/>
    <cellStyle name="Percent 4 6 2 5 3" xfId="34704"/>
    <cellStyle name="Percent 4 6 2 6" xfId="18585"/>
    <cellStyle name="Percent 4 6 2 6 2" xfId="18586"/>
    <cellStyle name="Percent 4 6 2 6 2 2" xfId="34707"/>
    <cellStyle name="Percent 4 6 2 6 3" xfId="34706"/>
    <cellStyle name="Percent 4 6 2 7" xfId="18587"/>
    <cellStyle name="Percent 4 6 2 7 2" xfId="34708"/>
    <cellStyle name="Percent 4 6 2 8" xfId="34679"/>
    <cellStyle name="Percent 4 6 3" xfId="18588"/>
    <cellStyle name="Percent 4 6 3 2" xfId="18589"/>
    <cellStyle name="Percent 4 6 3 2 2" xfId="18590"/>
    <cellStyle name="Percent 4 6 3 2 2 2" xfId="18591"/>
    <cellStyle name="Percent 4 6 3 2 2 2 2" xfId="34712"/>
    <cellStyle name="Percent 4 6 3 2 2 3" xfId="34711"/>
    <cellStyle name="Percent 4 6 3 2 3" xfId="18592"/>
    <cellStyle name="Percent 4 6 3 2 3 2" xfId="34713"/>
    <cellStyle name="Percent 4 6 3 2 4" xfId="34710"/>
    <cellStyle name="Percent 4 6 3 3" xfId="18593"/>
    <cellStyle name="Percent 4 6 3 3 2" xfId="18594"/>
    <cellStyle name="Percent 4 6 3 3 2 2" xfId="34715"/>
    <cellStyle name="Percent 4 6 3 3 3" xfId="34714"/>
    <cellStyle name="Percent 4 6 3 4" xfId="18595"/>
    <cellStyle name="Percent 4 6 3 4 2" xfId="18596"/>
    <cellStyle name="Percent 4 6 3 4 2 2" xfId="34717"/>
    <cellStyle name="Percent 4 6 3 4 3" xfId="34716"/>
    <cellStyle name="Percent 4 6 3 5" xfId="18597"/>
    <cellStyle name="Percent 4 6 3 5 2" xfId="34718"/>
    <cellStyle name="Percent 4 6 3 6" xfId="34709"/>
    <cellStyle name="Percent 4 6 4" xfId="18598"/>
    <cellStyle name="Percent 4 6 4 2" xfId="18599"/>
    <cellStyle name="Percent 4 6 4 2 2" xfId="18600"/>
    <cellStyle name="Percent 4 6 4 2 2 2" xfId="18601"/>
    <cellStyle name="Percent 4 6 4 2 2 2 2" xfId="34722"/>
    <cellStyle name="Percent 4 6 4 2 2 3" xfId="34721"/>
    <cellStyle name="Percent 4 6 4 2 3" xfId="18602"/>
    <cellStyle name="Percent 4 6 4 2 3 2" xfId="34723"/>
    <cellStyle name="Percent 4 6 4 2 4" xfId="34720"/>
    <cellStyle name="Percent 4 6 4 3" xfId="18603"/>
    <cellStyle name="Percent 4 6 4 3 2" xfId="18604"/>
    <cellStyle name="Percent 4 6 4 3 2 2" xfId="34725"/>
    <cellStyle name="Percent 4 6 4 3 3" xfId="34724"/>
    <cellStyle name="Percent 4 6 4 4" xfId="18605"/>
    <cellStyle name="Percent 4 6 4 4 2" xfId="18606"/>
    <cellStyle name="Percent 4 6 4 4 2 2" xfId="34727"/>
    <cellStyle name="Percent 4 6 4 4 3" xfId="34726"/>
    <cellStyle name="Percent 4 6 4 5" xfId="18607"/>
    <cellStyle name="Percent 4 6 4 5 2" xfId="34728"/>
    <cellStyle name="Percent 4 6 4 6" xfId="34719"/>
    <cellStyle name="Percent 4 6 5" xfId="18608"/>
    <cellStyle name="Percent 4 6 5 2" xfId="18609"/>
    <cellStyle name="Percent 4 6 5 2 2" xfId="18610"/>
    <cellStyle name="Percent 4 6 5 2 2 2" xfId="18611"/>
    <cellStyle name="Percent 4 6 5 2 2 2 2" xfId="34732"/>
    <cellStyle name="Percent 4 6 5 2 2 3" xfId="34731"/>
    <cellStyle name="Percent 4 6 5 2 3" xfId="18612"/>
    <cellStyle name="Percent 4 6 5 2 3 2" xfId="34733"/>
    <cellStyle name="Percent 4 6 5 2 4" xfId="34730"/>
    <cellStyle name="Percent 4 6 5 3" xfId="18613"/>
    <cellStyle name="Percent 4 6 5 3 2" xfId="18614"/>
    <cellStyle name="Percent 4 6 5 3 2 2" xfId="34735"/>
    <cellStyle name="Percent 4 6 5 3 3" xfId="34734"/>
    <cellStyle name="Percent 4 6 5 4" xfId="18615"/>
    <cellStyle name="Percent 4 6 5 4 2" xfId="18616"/>
    <cellStyle name="Percent 4 6 5 4 2 2" xfId="34737"/>
    <cellStyle name="Percent 4 6 5 4 3" xfId="34736"/>
    <cellStyle name="Percent 4 6 5 5" xfId="18617"/>
    <cellStyle name="Percent 4 6 5 5 2" xfId="34738"/>
    <cellStyle name="Percent 4 6 5 6" xfId="34729"/>
    <cellStyle name="Percent 4 6 6" xfId="18618"/>
    <cellStyle name="Percent 4 6 6 2" xfId="18619"/>
    <cellStyle name="Percent 4 6 6 2 2" xfId="18620"/>
    <cellStyle name="Percent 4 6 6 2 2 2" xfId="18621"/>
    <cellStyle name="Percent 4 6 6 2 2 2 2" xfId="34742"/>
    <cellStyle name="Percent 4 6 6 2 2 3" xfId="34741"/>
    <cellStyle name="Percent 4 6 6 2 3" xfId="18622"/>
    <cellStyle name="Percent 4 6 6 2 3 2" xfId="34743"/>
    <cellStyle name="Percent 4 6 6 2 4" xfId="34740"/>
    <cellStyle name="Percent 4 6 6 3" xfId="18623"/>
    <cellStyle name="Percent 4 6 6 3 2" xfId="18624"/>
    <cellStyle name="Percent 4 6 6 3 2 2" xfId="34745"/>
    <cellStyle name="Percent 4 6 6 3 3" xfId="34744"/>
    <cellStyle name="Percent 4 6 6 4" xfId="18625"/>
    <cellStyle name="Percent 4 6 6 4 2" xfId="18626"/>
    <cellStyle name="Percent 4 6 6 4 2 2" xfId="34747"/>
    <cellStyle name="Percent 4 6 6 4 3" xfId="34746"/>
    <cellStyle name="Percent 4 6 6 5" xfId="18627"/>
    <cellStyle name="Percent 4 6 6 5 2" xfId="34748"/>
    <cellStyle name="Percent 4 6 6 6" xfId="34739"/>
    <cellStyle name="Percent 4 6 7" xfId="18628"/>
    <cellStyle name="Percent 4 6 7 2" xfId="18629"/>
    <cellStyle name="Percent 4 6 7 2 2" xfId="18630"/>
    <cellStyle name="Percent 4 6 7 2 2 2" xfId="34751"/>
    <cellStyle name="Percent 4 6 7 2 3" xfId="34750"/>
    <cellStyle name="Percent 4 6 7 3" xfId="18631"/>
    <cellStyle name="Percent 4 6 7 3 2" xfId="34752"/>
    <cellStyle name="Percent 4 6 7 4" xfId="34749"/>
    <cellStyle name="Percent 4 6 8" xfId="18632"/>
    <cellStyle name="Percent 4 6 8 2" xfId="18633"/>
    <cellStyle name="Percent 4 6 8 2 2" xfId="34754"/>
    <cellStyle name="Percent 4 6 8 3" xfId="34753"/>
    <cellStyle name="Percent 4 6 9" xfId="18634"/>
    <cellStyle name="Percent 4 6 9 2" xfId="18635"/>
    <cellStyle name="Percent 4 6 9 2 2" xfId="34756"/>
    <cellStyle name="Percent 4 6 9 3" xfId="34755"/>
    <cellStyle name="Percent 4 7" xfId="222"/>
    <cellStyle name="Percent 4 7 10" xfId="18636"/>
    <cellStyle name="Percent 4 7 10 2" xfId="34757"/>
    <cellStyle name="Percent 4 7 11" xfId="4150"/>
    <cellStyle name="Percent 4 7 11 2" xfId="20313"/>
    <cellStyle name="Percent 4 7 2" xfId="18637"/>
    <cellStyle name="Percent 4 7 2 2" xfId="18638"/>
    <cellStyle name="Percent 4 7 2 2 2" xfId="18639"/>
    <cellStyle name="Percent 4 7 2 2 2 2" xfId="18640"/>
    <cellStyle name="Percent 4 7 2 2 2 2 2" xfId="18641"/>
    <cellStyle name="Percent 4 7 2 2 2 2 2 2" xfId="34762"/>
    <cellStyle name="Percent 4 7 2 2 2 2 3" xfId="34761"/>
    <cellStyle name="Percent 4 7 2 2 2 3" xfId="18642"/>
    <cellStyle name="Percent 4 7 2 2 2 3 2" xfId="34763"/>
    <cellStyle name="Percent 4 7 2 2 2 4" xfId="34760"/>
    <cellStyle name="Percent 4 7 2 2 3" xfId="18643"/>
    <cellStyle name="Percent 4 7 2 2 3 2" xfId="18644"/>
    <cellStyle name="Percent 4 7 2 2 3 2 2" xfId="34765"/>
    <cellStyle name="Percent 4 7 2 2 3 3" xfId="34764"/>
    <cellStyle name="Percent 4 7 2 2 4" xfId="18645"/>
    <cellStyle name="Percent 4 7 2 2 4 2" xfId="18646"/>
    <cellStyle name="Percent 4 7 2 2 4 2 2" xfId="34767"/>
    <cellStyle name="Percent 4 7 2 2 4 3" xfId="34766"/>
    <cellStyle name="Percent 4 7 2 2 5" xfId="18647"/>
    <cellStyle name="Percent 4 7 2 2 5 2" xfId="34768"/>
    <cellStyle name="Percent 4 7 2 2 6" xfId="34759"/>
    <cellStyle name="Percent 4 7 2 3" xfId="18648"/>
    <cellStyle name="Percent 4 7 2 3 2" xfId="18649"/>
    <cellStyle name="Percent 4 7 2 3 2 2" xfId="18650"/>
    <cellStyle name="Percent 4 7 2 3 2 2 2" xfId="18651"/>
    <cellStyle name="Percent 4 7 2 3 2 2 2 2" xfId="34772"/>
    <cellStyle name="Percent 4 7 2 3 2 2 3" xfId="34771"/>
    <cellStyle name="Percent 4 7 2 3 2 3" xfId="18652"/>
    <cellStyle name="Percent 4 7 2 3 2 3 2" xfId="34773"/>
    <cellStyle name="Percent 4 7 2 3 2 4" xfId="34770"/>
    <cellStyle name="Percent 4 7 2 3 3" xfId="18653"/>
    <cellStyle name="Percent 4 7 2 3 3 2" xfId="18654"/>
    <cellStyle name="Percent 4 7 2 3 3 2 2" xfId="34775"/>
    <cellStyle name="Percent 4 7 2 3 3 3" xfId="34774"/>
    <cellStyle name="Percent 4 7 2 3 4" xfId="18655"/>
    <cellStyle name="Percent 4 7 2 3 4 2" xfId="18656"/>
    <cellStyle name="Percent 4 7 2 3 4 2 2" xfId="34777"/>
    <cellStyle name="Percent 4 7 2 3 4 3" xfId="34776"/>
    <cellStyle name="Percent 4 7 2 3 5" xfId="18657"/>
    <cellStyle name="Percent 4 7 2 3 5 2" xfId="34778"/>
    <cellStyle name="Percent 4 7 2 3 6" xfId="34769"/>
    <cellStyle name="Percent 4 7 2 4" xfId="18658"/>
    <cellStyle name="Percent 4 7 2 4 2" xfId="18659"/>
    <cellStyle name="Percent 4 7 2 4 2 2" xfId="18660"/>
    <cellStyle name="Percent 4 7 2 4 2 2 2" xfId="34781"/>
    <cellStyle name="Percent 4 7 2 4 2 3" xfId="34780"/>
    <cellStyle name="Percent 4 7 2 4 3" xfId="18661"/>
    <cellStyle name="Percent 4 7 2 4 3 2" xfId="34782"/>
    <cellStyle name="Percent 4 7 2 4 4" xfId="34779"/>
    <cellStyle name="Percent 4 7 2 5" xfId="18662"/>
    <cellStyle name="Percent 4 7 2 5 2" xfId="18663"/>
    <cellStyle name="Percent 4 7 2 5 2 2" xfId="34784"/>
    <cellStyle name="Percent 4 7 2 5 3" xfId="34783"/>
    <cellStyle name="Percent 4 7 2 6" xfId="18664"/>
    <cellStyle name="Percent 4 7 2 6 2" xfId="18665"/>
    <cellStyle name="Percent 4 7 2 6 2 2" xfId="34786"/>
    <cellStyle name="Percent 4 7 2 6 3" xfId="34785"/>
    <cellStyle name="Percent 4 7 2 7" xfId="18666"/>
    <cellStyle name="Percent 4 7 2 7 2" xfId="34787"/>
    <cellStyle name="Percent 4 7 2 8" xfId="34758"/>
    <cellStyle name="Percent 4 7 3" xfId="18667"/>
    <cellStyle name="Percent 4 7 3 2" xfId="18668"/>
    <cellStyle name="Percent 4 7 3 2 2" xfId="18669"/>
    <cellStyle name="Percent 4 7 3 2 2 2" xfId="18670"/>
    <cellStyle name="Percent 4 7 3 2 2 2 2" xfId="34791"/>
    <cellStyle name="Percent 4 7 3 2 2 3" xfId="34790"/>
    <cellStyle name="Percent 4 7 3 2 3" xfId="18671"/>
    <cellStyle name="Percent 4 7 3 2 3 2" xfId="34792"/>
    <cellStyle name="Percent 4 7 3 2 4" xfId="34789"/>
    <cellStyle name="Percent 4 7 3 3" xfId="18672"/>
    <cellStyle name="Percent 4 7 3 3 2" xfId="18673"/>
    <cellStyle name="Percent 4 7 3 3 2 2" xfId="34794"/>
    <cellStyle name="Percent 4 7 3 3 3" xfId="34793"/>
    <cellStyle name="Percent 4 7 3 4" xfId="18674"/>
    <cellStyle name="Percent 4 7 3 4 2" xfId="18675"/>
    <cellStyle name="Percent 4 7 3 4 2 2" xfId="34796"/>
    <cellStyle name="Percent 4 7 3 4 3" xfId="34795"/>
    <cellStyle name="Percent 4 7 3 5" xfId="18676"/>
    <cellStyle name="Percent 4 7 3 5 2" xfId="34797"/>
    <cellStyle name="Percent 4 7 3 6" xfId="34788"/>
    <cellStyle name="Percent 4 7 4" xfId="18677"/>
    <cellStyle name="Percent 4 7 4 2" xfId="18678"/>
    <cellStyle name="Percent 4 7 4 2 2" xfId="18679"/>
    <cellStyle name="Percent 4 7 4 2 2 2" xfId="18680"/>
    <cellStyle name="Percent 4 7 4 2 2 2 2" xfId="34801"/>
    <cellStyle name="Percent 4 7 4 2 2 3" xfId="34800"/>
    <cellStyle name="Percent 4 7 4 2 3" xfId="18681"/>
    <cellStyle name="Percent 4 7 4 2 3 2" xfId="34802"/>
    <cellStyle name="Percent 4 7 4 2 4" xfId="34799"/>
    <cellStyle name="Percent 4 7 4 3" xfId="18682"/>
    <cellStyle name="Percent 4 7 4 3 2" xfId="18683"/>
    <cellStyle name="Percent 4 7 4 3 2 2" xfId="34804"/>
    <cellStyle name="Percent 4 7 4 3 3" xfId="34803"/>
    <cellStyle name="Percent 4 7 4 4" xfId="18684"/>
    <cellStyle name="Percent 4 7 4 4 2" xfId="18685"/>
    <cellStyle name="Percent 4 7 4 4 2 2" xfId="34806"/>
    <cellStyle name="Percent 4 7 4 4 3" xfId="34805"/>
    <cellStyle name="Percent 4 7 4 5" xfId="18686"/>
    <cellStyle name="Percent 4 7 4 5 2" xfId="34807"/>
    <cellStyle name="Percent 4 7 4 6" xfId="34798"/>
    <cellStyle name="Percent 4 7 5" xfId="18687"/>
    <cellStyle name="Percent 4 7 5 2" xfId="18688"/>
    <cellStyle name="Percent 4 7 5 2 2" xfId="18689"/>
    <cellStyle name="Percent 4 7 5 2 2 2" xfId="18690"/>
    <cellStyle name="Percent 4 7 5 2 2 2 2" xfId="34811"/>
    <cellStyle name="Percent 4 7 5 2 2 3" xfId="34810"/>
    <cellStyle name="Percent 4 7 5 2 3" xfId="18691"/>
    <cellStyle name="Percent 4 7 5 2 3 2" xfId="34812"/>
    <cellStyle name="Percent 4 7 5 2 4" xfId="34809"/>
    <cellStyle name="Percent 4 7 5 3" xfId="18692"/>
    <cellStyle name="Percent 4 7 5 3 2" xfId="18693"/>
    <cellStyle name="Percent 4 7 5 3 2 2" xfId="34814"/>
    <cellStyle name="Percent 4 7 5 3 3" xfId="34813"/>
    <cellStyle name="Percent 4 7 5 4" xfId="18694"/>
    <cellStyle name="Percent 4 7 5 4 2" xfId="18695"/>
    <cellStyle name="Percent 4 7 5 4 2 2" xfId="34816"/>
    <cellStyle name="Percent 4 7 5 4 3" xfId="34815"/>
    <cellStyle name="Percent 4 7 5 5" xfId="18696"/>
    <cellStyle name="Percent 4 7 5 5 2" xfId="34817"/>
    <cellStyle name="Percent 4 7 5 6" xfId="34808"/>
    <cellStyle name="Percent 4 7 6" xfId="18697"/>
    <cellStyle name="Percent 4 7 6 2" xfId="18698"/>
    <cellStyle name="Percent 4 7 6 2 2" xfId="18699"/>
    <cellStyle name="Percent 4 7 6 2 2 2" xfId="18700"/>
    <cellStyle name="Percent 4 7 6 2 2 2 2" xfId="34821"/>
    <cellStyle name="Percent 4 7 6 2 2 3" xfId="34820"/>
    <cellStyle name="Percent 4 7 6 2 3" xfId="18701"/>
    <cellStyle name="Percent 4 7 6 2 3 2" xfId="34822"/>
    <cellStyle name="Percent 4 7 6 2 4" xfId="34819"/>
    <cellStyle name="Percent 4 7 6 3" xfId="18702"/>
    <cellStyle name="Percent 4 7 6 3 2" xfId="18703"/>
    <cellStyle name="Percent 4 7 6 3 2 2" xfId="34824"/>
    <cellStyle name="Percent 4 7 6 3 3" xfId="34823"/>
    <cellStyle name="Percent 4 7 6 4" xfId="18704"/>
    <cellStyle name="Percent 4 7 6 4 2" xfId="18705"/>
    <cellStyle name="Percent 4 7 6 4 2 2" xfId="34826"/>
    <cellStyle name="Percent 4 7 6 4 3" xfId="34825"/>
    <cellStyle name="Percent 4 7 6 5" xfId="18706"/>
    <cellStyle name="Percent 4 7 6 5 2" xfId="34827"/>
    <cellStyle name="Percent 4 7 6 6" xfId="34818"/>
    <cellStyle name="Percent 4 7 7" xfId="18707"/>
    <cellStyle name="Percent 4 7 7 2" xfId="18708"/>
    <cellStyle name="Percent 4 7 7 2 2" xfId="18709"/>
    <cellStyle name="Percent 4 7 7 2 2 2" xfId="34830"/>
    <cellStyle name="Percent 4 7 7 2 3" xfId="34829"/>
    <cellStyle name="Percent 4 7 7 3" xfId="18710"/>
    <cellStyle name="Percent 4 7 7 3 2" xfId="34831"/>
    <cellStyle name="Percent 4 7 7 4" xfId="34828"/>
    <cellStyle name="Percent 4 7 8" xfId="18711"/>
    <cellStyle name="Percent 4 7 8 2" xfId="18712"/>
    <cellStyle name="Percent 4 7 8 2 2" xfId="34833"/>
    <cellStyle name="Percent 4 7 8 3" xfId="34832"/>
    <cellStyle name="Percent 4 7 9" xfId="18713"/>
    <cellStyle name="Percent 4 7 9 2" xfId="18714"/>
    <cellStyle name="Percent 4 7 9 2 2" xfId="34835"/>
    <cellStyle name="Percent 4 7 9 3" xfId="34834"/>
    <cellStyle name="Percent 4 8" xfId="573"/>
    <cellStyle name="Percent 4 8 10" xfId="18715"/>
    <cellStyle name="Percent 4 8 10 2" xfId="34836"/>
    <cellStyle name="Percent 4 8 11" xfId="4506"/>
    <cellStyle name="Percent 4 8 11 2" xfId="20669"/>
    <cellStyle name="Percent 4 8 2" xfId="18716"/>
    <cellStyle name="Percent 4 8 2 2" xfId="18717"/>
    <cellStyle name="Percent 4 8 2 2 2" xfId="18718"/>
    <cellStyle name="Percent 4 8 2 2 2 2" xfId="18719"/>
    <cellStyle name="Percent 4 8 2 2 2 2 2" xfId="18720"/>
    <cellStyle name="Percent 4 8 2 2 2 2 2 2" xfId="34841"/>
    <cellStyle name="Percent 4 8 2 2 2 2 3" xfId="34840"/>
    <cellStyle name="Percent 4 8 2 2 2 3" xfId="18721"/>
    <cellStyle name="Percent 4 8 2 2 2 3 2" xfId="34842"/>
    <cellStyle name="Percent 4 8 2 2 2 4" xfId="34839"/>
    <cellStyle name="Percent 4 8 2 2 3" xfId="18722"/>
    <cellStyle name="Percent 4 8 2 2 3 2" xfId="18723"/>
    <cellStyle name="Percent 4 8 2 2 3 2 2" xfId="34844"/>
    <cellStyle name="Percent 4 8 2 2 3 3" xfId="34843"/>
    <cellStyle name="Percent 4 8 2 2 4" xfId="18724"/>
    <cellStyle name="Percent 4 8 2 2 4 2" xfId="18725"/>
    <cellStyle name="Percent 4 8 2 2 4 2 2" xfId="34846"/>
    <cellStyle name="Percent 4 8 2 2 4 3" xfId="34845"/>
    <cellStyle name="Percent 4 8 2 2 5" xfId="18726"/>
    <cellStyle name="Percent 4 8 2 2 5 2" xfId="34847"/>
    <cellStyle name="Percent 4 8 2 2 6" xfId="34838"/>
    <cellStyle name="Percent 4 8 2 3" xfId="18727"/>
    <cellStyle name="Percent 4 8 2 3 2" xfId="18728"/>
    <cellStyle name="Percent 4 8 2 3 2 2" xfId="18729"/>
    <cellStyle name="Percent 4 8 2 3 2 2 2" xfId="18730"/>
    <cellStyle name="Percent 4 8 2 3 2 2 2 2" xfId="34851"/>
    <cellStyle name="Percent 4 8 2 3 2 2 3" xfId="34850"/>
    <cellStyle name="Percent 4 8 2 3 2 3" xfId="18731"/>
    <cellStyle name="Percent 4 8 2 3 2 3 2" xfId="34852"/>
    <cellStyle name="Percent 4 8 2 3 2 4" xfId="34849"/>
    <cellStyle name="Percent 4 8 2 3 3" xfId="18732"/>
    <cellStyle name="Percent 4 8 2 3 3 2" xfId="18733"/>
    <cellStyle name="Percent 4 8 2 3 3 2 2" xfId="34854"/>
    <cellStyle name="Percent 4 8 2 3 3 3" xfId="34853"/>
    <cellStyle name="Percent 4 8 2 3 4" xfId="18734"/>
    <cellStyle name="Percent 4 8 2 3 4 2" xfId="18735"/>
    <cellStyle name="Percent 4 8 2 3 4 2 2" xfId="34856"/>
    <cellStyle name="Percent 4 8 2 3 4 3" xfId="34855"/>
    <cellStyle name="Percent 4 8 2 3 5" xfId="18736"/>
    <cellStyle name="Percent 4 8 2 3 5 2" xfId="34857"/>
    <cellStyle name="Percent 4 8 2 3 6" xfId="34848"/>
    <cellStyle name="Percent 4 8 2 4" xfId="18737"/>
    <cellStyle name="Percent 4 8 2 4 2" xfId="18738"/>
    <cellStyle name="Percent 4 8 2 4 2 2" xfId="18739"/>
    <cellStyle name="Percent 4 8 2 4 2 2 2" xfId="34860"/>
    <cellStyle name="Percent 4 8 2 4 2 3" xfId="34859"/>
    <cellStyle name="Percent 4 8 2 4 3" xfId="18740"/>
    <cellStyle name="Percent 4 8 2 4 3 2" xfId="34861"/>
    <cellStyle name="Percent 4 8 2 4 4" xfId="34858"/>
    <cellStyle name="Percent 4 8 2 5" xfId="18741"/>
    <cellStyle name="Percent 4 8 2 5 2" xfId="18742"/>
    <cellStyle name="Percent 4 8 2 5 2 2" xfId="34863"/>
    <cellStyle name="Percent 4 8 2 5 3" xfId="34862"/>
    <cellStyle name="Percent 4 8 2 6" xfId="18743"/>
    <cellStyle name="Percent 4 8 2 6 2" xfId="18744"/>
    <cellStyle name="Percent 4 8 2 6 2 2" xfId="34865"/>
    <cellStyle name="Percent 4 8 2 6 3" xfId="34864"/>
    <cellStyle name="Percent 4 8 2 7" xfId="18745"/>
    <cellStyle name="Percent 4 8 2 7 2" xfId="34866"/>
    <cellStyle name="Percent 4 8 2 8" xfId="34837"/>
    <cellStyle name="Percent 4 8 3" xfId="18746"/>
    <cellStyle name="Percent 4 8 3 2" xfId="18747"/>
    <cellStyle name="Percent 4 8 3 2 2" xfId="18748"/>
    <cellStyle name="Percent 4 8 3 2 2 2" xfId="18749"/>
    <cellStyle name="Percent 4 8 3 2 2 2 2" xfId="34870"/>
    <cellStyle name="Percent 4 8 3 2 2 3" xfId="34869"/>
    <cellStyle name="Percent 4 8 3 2 3" xfId="18750"/>
    <cellStyle name="Percent 4 8 3 2 3 2" xfId="34871"/>
    <cellStyle name="Percent 4 8 3 2 4" xfId="34868"/>
    <cellStyle name="Percent 4 8 3 3" xfId="18751"/>
    <cellStyle name="Percent 4 8 3 3 2" xfId="18752"/>
    <cellStyle name="Percent 4 8 3 3 2 2" xfId="34873"/>
    <cellStyle name="Percent 4 8 3 3 3" xfId="34872"/>
    <cellStyle name="Percent 4 8 3 4" xfId="18753"/>
    <cellStyle name="Percent 4 8 3 4 2" xfId="18754"/>
    <cellStyle name="Percent 4 8 3 4 2 2" xfId="34875"/>
    <cellStyle name="Percent 4 8 3 4 3" xfId="34874"/>
    <cellStyle name="Percent 4 8 3 5" xfId="18755"/>
    <cellStyle name="Percent 4 8 3 5 2" xfId="34876"/>
    <cellStyle name="Percent 4 8 3 6" xfId="34867"/>
    <cellStyle name="Percent 4 8 4" xfId="18756"/>
    <cellStyle name="Percent 4 8 4 2" xfId="18757"/>
    <cellStyle name="Percent 4 8 4 2 2" xfId="18758"/>
    <cellStyle name="Percent 4 8 4 2 2 2" xfId="18759"/>
    <cellStyle name="Percent 4 8 4 2 2 2 2" xfId="34880"/>
    <cellStyle name="Percent 4 8 4 2 2 3" xfId="34879"/>
    <cellStyle name="Percent 4 8 4 2 3" xfId="18760"/>
    <cellStyle name="Percent 4 8 4 2 3 2" xfId="34881"/>
    <cellStyle name="Percent 4 8 4 2 4" xfId="34878"/>
    <cellStyle name="Percent 4 8 4 3" xfId="18761"/>
    <cellStyle name="Percent 4 8 4 3 2" xfId="18762"/>
    <cellStyle name="Percent 4 8 4 3 2 2" xfId="34883"/>
    <cellStyle name="Percent 4 8 4 3 3" xfId="34882"/>
    <cellStyle name="Percent 4 8 4 4" xfId="18763"/>
    <cellStyle name="Percent 4 8 4 4 2" xfId="18764"/>
    <cellStyle name="Percent 4 8 4 4 2 2" xfId="34885"/>
    <cellStyle name="Percent 4 8 4 4 3" xfId="34884"/>
    <cellStyle name="Percent 4 8 4 5" xfId="18765"/>
    <cellStyle name="Percent 4 8 4 5 2" xfId="34886"/>
    <cellStyle name="Percent 4 8 4 6" xfId="34877"/>
    <cellStyle name="Percent 4 8 5" xfId="18766"/>
    <cellStyle name="Percent 4 8 5 2" xfId="18767"/>
    <cellStyle name="Percent 4 8 5 2 2" xfId="18768"/>
    <cellStyle name="Percent 4 8 5 2 2 2" xfId="18769"/>
    <cellStyle name="Percent 4 8 5 2 2 2 2" xfId="34890"/>
    <cellStyle name="Percent 4 8 5 2 2 3" xfId="34889"/>
    <cellStyle name="Percent 4 8 5 2 3" xfId="18770"/>
    <cellStyle name="Percent 4 8 5 2 3 2" xfId="34891"/>
    <cellStyle name="Percent 4 8 5 2 4" xfId="34888"/>
    <cellStyle name="Percent 4 8 5 3" xfId="18771"/>
    <cellStyle name="Percent 4 8 5 3 2" xfId="18772"/>
    <cellStyle name="Percent 4 8 5 3 2 2" xfId="34893"/>
    <cellStyle name="Percent 4 8 5 3 3" xfId="34892"/>
    <cellStyle name="Percent 4 8 5 4" xfId="18773"/>
    <cellStyle name="Percent 4 8 5 4 2" xfId="18774"/>
    <cellStyle name="Percent 4 8 5 4 2 2" xfId="34895"/>
    <cellStyle name="Percent 4 8 5 4 3" xfId="34894"/>
    <cellStyle name="Percent 4 8 5 5" xfId="18775"/>
    <cellStyle name="Percent 4 8 5 5 2" xfId="34896"/>
    <cellStyle name="Percent 4 8 5 6" xfId="34887"/>
    <cellStyle name="Percent 4 8 6" xfId="18776"/>
    <cellStyle name="Percent 4 8 6 2" xfId="18777"/>
    <cellStyle name="Percent 4 8 6 2 2" xfId="18778"/>
    <cellStyle name="Percent 4 8 6 2 2 2" xfId="18779"/>
    <cellStyle name="Percent 4 8 6 2 2 2 2" xfId="34900"/>
    <cellStyle name="Percent 4 8 6 2 2 3" xfId="34899"/>
    <cellStyle name="Percent 4 8 6 2 3" xfId="18780"/>
    <cellStyle name="Percent 4 8 6 2 3 2" xfId="34901"/>
    <cellStyle name="Percent 4 8 6 2 4" xfId="34898"/>
    <cellStyle name="Percent 4 8 6 3" xfId="18781"/>
    <cellStyle name="Percent 4 8 6 3 2" xfId="18782"/>
    <cellStyle name="Percent 4 8 6 3 2 2" xfId="34903"/>
    <cellStyle name="Percent 4 8 6 3 3" xfId="34902"/>
    <cellStyle name="Percent 4 8 6 4" xfId="18783"/>
    <cellStyle name="Percent 4 8 6 4 2" xfId="18784"/>
    <cellStyle name="Percent 4 8 6 4 2 2" xfId="34905"/>
    <cellStyle name="Percent 4 8 6 4 3" xfId="34904"/>
    <cellStyle name="Percent 4 8 6 5" xfId="18785"/>
    <cellStyle name="Percent 4 8 6 5 2" xfId="34906"/>
    <cellStyle name="Percent 4 8 6 6" xfId="34897"/>
    <cellStyle name="Percent 4 8 7" xfId="18786"/>
    <cellStyle name="Percent 4 8 7 2" xfId="18787"/>
    <cellStyle name="Percent 4 8 7 2 2" xfId="18788"/>
    <cellStyle name="Percent 4 8 7 2 2 2" xfId="34909"/>
    <cellStyle name="Percent 4 8 7 2 3" xfId="34908"/>
    <cellStyle name="Percent 4 8 7 3" xfId="18789"/>
    <cellStyle name="Percent 4 8 7 3 2" xfId="34910"/>
    <cellStyle name="Percent 4 8 7 4" xfId="34907"/>
    <cellStyle name="Percent 4 8 8" xfId="18790"/>
    <cellStyle name="Percent 4 8 8 2" xfId="18791"/>
    <cellStyle name="Percent 4 8 8 2 2" xfId="34912"/>
    <cellStyle name="Percent 4 8 8 3" xfId="34911"/>
    <cellStyle name="Percent 4 8 9" xfId="18792"/>
    <cellStyle name="Percent 4 8 9 2" xfId="18793"/>
    <cellStyle name="Percent 4 8 9 2 2" xfId="34914"/>
    <cellStyle name="Percent 4 8 9 3" xfId="34913"/>
    <cellStyle name="Percent 4 9" xfId="3896"/>
    <cellStyle name="Percent 4 9 2" xfId="7758"/>
    <cellStyle name="Percent 4 9 2 2" xfId="23920"/>
    <cellStyle name="Percent 4_Design" xfId="2327"/>
    <cellStyle name="Percent 5" xfId="3897"/>
    <cellStyle name="Percent 5 10" xfId="18794"/>
    <cellStyle name="Percent 5 10 2" xfId="34915"/>
    <cellStyle name="Percent 5 11" xfId="18795"/>
    <cellStyle name="Percent 5 11 2" xfId="34916"/>
    <cellStyle name="Percent 5 12" xfId="18796"/>
    <cellStyle name="Percent 5 12 2" xfId="34917"/>
    <cellStyle name="Percent 5 13" xfId="18797"/>
    <cellStyle name="Percent 5 13 2" xfId="34918"/>
    <cellStyle name="Percent 5 14" xfId="18798"/>
    <cellStyle name="Percent 5 14 2" xfId="34919"/>
    <cellStyle name="Percent 5 15" xfId="18799"/>
    <cellStyle name="Percent 5 15 2" xfId="34920"/>
    <cellStyle name="Percent 5 16" xfId="18800"/>
    <cellStyle name="Percent 5 16 2" xfId="34921"/>
    <cellStyle name="Percent 5 17" xfId="18801"/>
    <cellStyle name="Percent 5 17 2" xfId="34922"/>
    <cellStyle name="Percent 5 18" xfId="7759"/>
    <cellStyle name="Percent 5 18 2" xfId="23921"/>
    <cellStyle name="Percent 5 2" xfId="3898"/>
    <cellStyle name="Percent 5 2 2" xfId="18802"/>
    <cellStyle name="Percent 5 2 2 2" xfId="34923"/>
    <cellStyle name="Percent 5 2 3" xfId="7760"/>
    <cellStyle name="Percent 5 2 3 2" xfId="23922"/>
    <cellStyle name="Percent 5 3" xfId="3899"/>
    <cellStyle name="Percent 5 3 2" xfId="7761"/>
    <cellStyle name="Percent 5 3 2 2" xfId="23923"/>
    <cellStyle name="Percent 5 4" xfId="3900"/>
    <cellStyle name="Percent 5 4 2" xfId="7762"/>
    <cellStyle name="Percent 5 4 2 2" xfId="23924"/>
    <cellStyle name="Percent 5 5" xfId="3902"/>
    <cellStyle name="Percent 5 5 2" xfId="7763"/>
    <cellStyle name="Percent 5 5 2 2" xfId="23925"/>
    <cellStyle name="Percent 5 6" xfId="3904"/>
    <cellStyle name="Percent 5 6 2" xfId="7765"/>
    <cellStyle name="Percent 5 6 2 2" xfId="23927"/>
    <cellStyle name="Percent 5 7" xfId="3906"/>
    <cellStyle name="Percent 5 7 2" xfId="7767"/>
    <cellStyle name="Percent 5 7 2 2" xfId="23929"/>
    <cellStyle name="Percent 5 8" xfId="3908"/>
    <cellStyle name="Percent 5 8 2" xfId="7769"/>
    <cellStyle name="Percent 5 8 2 2" xfId="23931"/>
    <cellStyle name="Percent 5 9" xfId="18803"/>
    <cellStyle name="Percent 5 9 2" xfId="34924"/>
    <cellStyle name="Percent 6" xfId="3909"/>
    <cellStyle name="Percent 6 10" xfId="18804"/>
    <cellStyle name="Percent 6 10 2" xfId="34925"/>
    <cellStyle name="Percent 6 11" xfId="18805"/>
    <cellStyle name="Percent 6 11 2" xfId="34926"/>
    <cellStyle name="Percent 6 12" xfId="18806"/>
    <cellStyle name="Percent 6 12 2" xfId="34927"/>
    <cellStyle name="Percent 6 13" xfId="18807"/>
    <cellStyle name="Percent 6 13 2" xfId="34928"/>
    <cellStyle name="Percent 6 14" xfId="18808"/>
    <cellStyle name="Percent 6 14 2" xfId="34929"/>
    <cellStyle name="Percent 6 15" xfId="18809"/>
    <cellStyle name="Percent 6 15 2" xfId="34930"/>
    <cellStyle name="Percent 6 16" xfId="18810"/>
    <cellStyle name="Percent 6 16 2" xfId="34931"/>
    <cellStyle name="Percent 6 17" xfId="18811"/>
    <cellStyle name="Percent 6 17 2" xfId="34932"/>
    <cellStyle name="Percent 6 18" xfId="18812"/>
    <cellStyle name="Percent 6 18 2" xfId="34933"/>
    <cellStyle name="Percent 6 19" xfId="7771"/>
    <cellStyle name="Percent 6 19 2" xfId="23933"/>
    <cellStyle name="Percent 6 2" xfId="3910"/>
    <cellStyle name="Percent 6 2 10" xfId="18813"/>
    <cellStyle name="Percent 6 2 10 2" xfId="34934"/>
    <cellStyle name="Percent 6 2 11" xfId="18814"/>
    <cellStyle name="Percent 6 2 11 2" xfId="34935"/>
    <cellStyle name="Percent 6 2 12" xfId="18815"/>
    <cellStyle name="Percent 6 2 12 2" xfId="34936"/>
    <cellStyle name="Percent 6 2 13" xfId="18816"/>
    <cellStyle name="Percent 6 2 13 2" xfId="34937"/>
    <cellStyle name="Percent 6 2 14" xfId="18817"/>
    <cellStyle name="Percent 6 2 14 2" xfId="34938"/>
    <cellStyle name="Percent 6 2 15" xfId="18818"/>
    <cellStyle name="Percent 6 2 15 2" xfId="34939"/>
    <cellStyle name="Percent 6 2 16" xfId="18819"/>
    <cellStyle name="Percent 6 2 16 2" xfId="34940"/>
    <cellStyle name="Percent 6 2 17" xfId="18820"/>
    <cellStyle name="Percent 6 2 17 2" xfId="34941"/>
    <cellStyle name="Percent 6 2 18" xfId="7772"/>
    <cellStyle name="Percent 6 2 18 2" xfId="23934"/>
    <cellStyle name="Percent 6 2 2" xfId="3901"/>
    <cellStyle name="Percent 6 2 2 2" xfId="7764"/>
    <cellStyle name="Percent 6 2 2 2 2" xfId="23926"/>
    <cellStyle name="Percent 6 2 3" xfId="3903"/>
    <cellStyle name="Percent 6 2 3 2" xfId="7766"/>
    <cellStyle name="Percent 6 2 3 2 2" xfId="23928"/>
    <cellStyle name="Percent 6 2 4" xfId="3905"/>
    <cellStyle name="Percent 6 2 4 2" xfId="7768"/>
    <cellStyle name="Percent 6 2 4 2 2" xfId="23930"/>
    <cellStyle name="Percent 6 2 5" xfId="3907"/>
    <cellStyle name="Percent 6 2 5 2" xfId="7770"/>
    <cellStyle name="Percent 6 2 5 2 2" xfId="23932"/>
    <cellStyle name="Percent 6 2 6" xfId="3911"/>
    <cellStyle name="Percent 6 2 6 2" xfId="7773"/>
    <cellStyle name="Percent 6 2 6 2 2" xfId="23935"/>
    <cellStyle name="Percent 6 2 7" xfId="3912"/>
    <cellStyle name="Percent 6 2 7 2" xfId="7774"/>
    <cellStyle name="Percent 6 2 7 2 2" xfId="23936"/>
    <cellStyle name="Percent 6 2 8" xfId="3913"/>
    <cellStyle name="Percent 6 2 8 2" xfId="7775"/>
    <cellStyle name="Percent 6 2 8 2 2" xfId="23937"/>
    <cellStyle name="Percent 6 2 9" xfId="18821"/>
    <cellStyle name="Percent 6 2 9 2" xfId="34942"/>
    <cellStyle name="Percent 6 3" xfId="3914"/>
    <cellStyle name="Percent 6 3 2" xfId="7776"/>
    <cellStyle name="Percent 6 3 2 2" xfId="23938"/>
    <cellStyle name="Percent 6 4" xfId="3915"/>
    <cellStyle name="Percent 6 4 2" xfId="7777"/>
    <cellStyle name="Percent 6 4 2 2" xfId="23939"/>
    <cellStyle name="Percent 6 5" xfId="3916"/>
    <cellStyle name="Percent 6 5 2" xfId="7778"/>
    <cellStyle name="Percent 6 5 2 2" xfId="23940"/>
    <cellStyle name="Percent 6 6" xfId="3917"/>
    <cellStyle name="Percent 6 6 2" xfId="7779"/>
    <cellStyle name="Percent 6 6 2 2" xfId="23941"/>
    <cellStyle name="Percent 6 7" xfId="3918"/>
    <cellStyle name="Percent 6 7 2" xfId="7780"/>
    <cellStyle name="Percent 6 7 2 2" xfId="23942"/>
    <cellStyle name="Percent 6 8" xfId="3919"/>
    <cellStyle name="Percent 6 8 2" xfId="7781"/>
    <cellStyle name="Percent 6 8 2 2" xfId="23943"/>
    <cellStyle name="Percent 6 9" xfId="3920"/>
    <cellStyle name="Percent 6 9 2" xfId="7782"/>
    <cellStyle name="Percent 6 9 2 2" xfId="23944"/>
    <cellStyle name="Percent 7" xfId="3921"/>
    <cellStyle name="Percent 7 2" xfId="3922"/>
    <cellStyle name="Percent 7 2 2" xfId="18822"/>
    <cellStyle name="Percent 7 2 2 2" xfId="34943"/>
    <cellStyle name="Percent 7 2 3" xfId="7784"/>
    <cellStyle name="Percent 7 2 3 2" xfId="23946"/>
    <cellStyle name="Percent 7 3" xfId="18823"/>
    <cellStyle name="Percent 7 3 2" xfId="34944"/>
    <cellStyle name="Percent 7 4" xfId="7783"/>
    <cellStyle name="Percent 7 4 2" xfId="23945"/>
    <cellStyle name="Percent 8" xfId="18824"/>
    <cellStyle name="Percent 8 2" xfId="3592"/>
    <cellStyle name="Percent 8 2 10" xfId="18825"/>
    <cellStyle name="Percent 8 2 10 2" xfId="34946"/>
    <cellStyle name="Percent 8 2 11" xfId="18826"/>
    <cellStyle name="Percent 8 2 11 2" xfId="34947"/>
    <cellStyle name="Percent 8 2 12" xfId="18827"/>
    <cellStyle name="Percent 8 2 12 2" xfId="34948"/>
    <cellStyle name="Percent 8 2 13" xfId="18828"/>
    <cellStyle name="Percent 8 2 13 2" xfId="34949"/>
    <cellStyle name="Percent 8 2 14" xfId="18829"/>
    <cellStyle name="Percent 8 2 14 2" xfId="34950"/>
    <cellStyle name="Percent 8 2 15" xfId="18830"/>
    <cellStyle name="Percent 8 2 15 2" xfId="34951"/>
    <cellStyle name="Percent 8 2 16" xfId="18831"/>
    <cellStyle name="Percent 8 2 16 2" xfId="34952"/>
    <cellStyle name="Percent 8 2 17" xfId="18832"/>
    <cellStyle name="Percent 8 2 17 2" xfId="34953"/>
    <cellStyle name="Percent 8 2 18" xfId="7472"/>
    <cellStyle name="Percent 8 2 18 2" xfId="23634"/>
    <cellStyle name="Percent 8 2 2" xfId="1841"/>
    <cellStyle name="Percent 8 2 2 2" xfId="5750"/>
    <cellStyle name="Percent 8 2 2 2 2" xfId="21912"/>
    <cellStyle name="Percent 8 2 3" xfId="1844"/>
    <cellStyle name="Percent 8 2 3 2" xfId="5753"/>
    <cellStyle name="Percent 8 2 3 2 2" xfId="21915"/>
    <cellStyle name="Percent 8 2 4" xfId="606"/>
    <cellStyle name="Percent 8 2 4 2" xfId="4540"/>
    <cellStyle name="Percent 8 2 4 2 2" xfId="20702"/>
    <cellStyle name="Percent 8 2 5" xfId="1847"/>
    <cellStyle name="Percent 8 2 5 2" xfId="5756"/>
    <cellStyle name="Percent 8 2 5 2 2" xfId="21918"/>
    <cellStyle name="Percent 8 2 6" xfId="3923"/>
    <cellStyle name="Percent 8 2 6 2" xfId="7785"/>
    <cellStyle name="Percent 8 2 6 2 2" xfId="23947"/>
    <cellStyle name="Percent 8 2 7" xfId="3924"/>
    <cellStyle name="Percent 8 2 7 2" xfId="7786"/>
    <cellStyle name="Percent 8 2 7 2 2" xfId="23948"/>
    <cellStyle name="Percent 8 2 8" xfId="3925"/>
    <cellStyle name="Percent 8 2 8 2" xfId="7787"/>
    <cellStyle name="Percent 8 2 8 2 2" xfId="23949"/>
    <cellStyle name="Percent 8 2 9" xfId="18833"/>
    <cellStyle name="Percent 8 2 9 2" xfId="34954"/>
    <cellStyle name="Percent 8 3" xfId="34945"/>
    <cellStyle name="Percent 9" xfId="18834"/>
    <cellStyle name="Percent 9 2" xfId="18835"/>
    <cellStyle name="Percent 9 2 2" xfId="34956"/>
    <cellStyle name="Percent 9 3" xfId="34955"/>
    <cellStyle name="RevList" xfId="2167"/>
    <cellStyle name="RevList 2" xfId="3926"/>
    <cellStyle name="RevList 3" xfId="3927"/>
    <cellStyle name="Sheet Title" xfId="2982"/>
    <cellStyle name="Sheet Title 2" xfId="3047"/>
    <cellStyle name="Sheet Title 2 2" xfId="6933"/>
    <cellStyle name="Sheet Title 2 2 2" xfId="23095"/>
    <cellStyle name="Sheet Title 3" xfId="2277"/>
    <cellStyle name="Sheet Title 3 2" xfId="6179"/>
    <cellStyle name="Sheet Title 3 2 2" xfId="22341"/>
    <cellStyle name="Sheet Title 4" xfId="6869"/>
    <cellStyle name="Sheet Title 4 2" xfId="23031"/>
    <cellStyle name="style" xfId="2909"/>
    <cellStyle name="Style 1" xfId="1642"/>
    <cellStyle name="Style 1 2" xfId="3255"/>
    <cellStyle name="Style 1 3" xfId="3258"/>
    <cellStyle name="Style 1_Hostel building est silparupa" xfId="18836"/>
    <cellStyle name="style 2" xfId="1645"/>
    <cellStyle name="style 2 2" xfId="3275"/>
    <cellStyle name="style 2 2 2" xfId="7157"/>
    <cellStyle name="style 2 2 2 2" xfId="23319"/>
    <cellStyle name="style 2 2 3" xfId="19970"/>
    <cellStyle name="style 2 3" xfId="5559"/>
    <cellStyle name="style 2 3 2" xfId="21721"/>
    <cellStyle name="style 2 4" xfId="19560"/>
    <cellStyle name="style 3" xfId="1648"/>
    <cellStyle name="style 3 2" xfId="5562"/>
    <cellStyle name="style 3 2 2" xfId="21724"/>
    <cellStyle name="style 3 3" xfId="19561"/>
    <cellStyle name="style 4" xfId="3928"/>
    <cellStyle name="style 4 2" xfId="7788"/>
    <cellStyle name="style 4 2 2" xfId="23950"/>
    <cellStyle name="style 4 3" xfId="20126"/>
    <cellStyle name="style 5" xfId="3929"/>
    <cellStyle name="style 5 2" xfId="7789"/>
    <cellStyle name="style 5 2 2" xfId="23951"/>
    <cellStyle name="style 5 3" xfId="20127"/>
    <cellStyle name="style 6" xfId="6797"/>
    <cellStyle name="style 6 2" xfId="22959"/>
    <cellStyle name="style 7" xfId="19841"/>
    <cellStyle name="style_1_Pattapupalem_road estt-NCRMP" xfId="3028"/>
    <cellStyle name="style1" xfId="3930"/>
    <cellStyle name="style1 2" xfId="2210"/>
    <cellStyle name="style1 2 2" xfId="2338"/>
    <cellStyle name="style1 2 2 2" xfId="6236"/>
    <cellStyle name="style1 2 2 2 2" xfId="22398"/>
    <cellStyle name="style1 2 3" xfId="6111"/>
    <cellStyle name="style1 2 3 2" xfId="22273"/>
    <cellStyle name="style1 3" xfId="2212"/>
    <cellStyle name="style1 3 2" xfId="6113"/>
    <cellStyle name="style1 3 2 2" xfId="22275"/>
    <cellStyle name="style1 4" xfId="2214"/>
    <cellStyle name="style1 4 2" xfId="6115"/>
    <cellStyle name="style1 4 2 2" xfId="22277"/>
    <cellStyle name="style1 5" xfId="2216"/>
    <cellStyle name="style1 5 2" xfId="6117"/>
    <cellStyle name="style1 5 2 2" xfId="22279"/>
    <cellStyle name="style1 6" xfId="7790"/>
    <cellStyle name="style1 6 2" xfId="23952"/>
    <cellStyle name="style1_Kallepally-Gunturpalli (Bejjenki)6m-2v" xfId="3657"/>
    <cellStyle name="style2" xfId="1784"/>
    <cellStyle name="style2 2" xfId="1198"/>
    <cellStyle name="style2 2 2" xfId="771"/>
    <cellStyle name="style2 2 2 2" xfId="4701"/>
    <cellStyle name="style2 2 2 2 2" xfId="20863"/>
    <cellStyle name="style2 2 3" xfId="5118"/>
    <cellStyle name="style2 2 3 2" xfId="21280"/>
    <cellStyle name="style2 3" xfId="2222"/>
    <cellStyle name="style2 3 2" xfId="6123"/>
    <cellStyle name="style2 3 2 2" xfId="22285"/>
    <cellStyle name="style2 4" xfId="2224"/>
    <cellStyle name="style2 4 2" xfId="6125"/>
    <cellStyle name="style2 4 2 2" xfId="22287"/>
    <cellStyle name="style2 5" xfId="2226"/>
    <cellStyle name="style2 5 2" xfId="6127"/>
    <cellStyle name="style2 5 2 2" xfId="22289"/>
    <cellStyle name="style2 6" xfId="5692"/>
    <cellStyle name="style2 6 2" xfId="21854"/>
    <cellStyle name="style2_Kallepally-Gunturpalli (Bejjenki)6m-2v" xfId="352"/>
    <cellStyle name="Sub Head" xfId="2304"/>
    <cellStyle name="Sub Head 2" xfId="3722"/>
    <cellStyle name="Sub Head 2 2" xfId="7601"/>
    <cellStyle name="Sub Head 2 2 2" xfId="23763"/>
    <cellStyle name="Sub Head 2 3" xfId="20058"/>
    <cellStyle name="Sub Head 3" xfId="3731"/>
    <cellStyle name="Sub Head 3 2" xfId="7610"/>
    <cellStyle name="Sub Head 3 2 2" xfId="23772"/>
    <cellStyle name="Sub Head 3 3" xfId="20059"/>
    <cellStyle name="Sub Head 4" xfId="6204"/>
    <cellStyle name="Sub Head 4 2" xfId="22366"/>
    <cellStyle name="Sub Head 5" xfId="19629"/>
    <cellStyle name="Subtotal" xfId="3867"/>
    <cellStyle name="Subtotal 2" xfId="3869"/>
    <cellStyle name="Subtotal 3" xfId="3871"/>
    <cellStyle name="text" xfId="3931"/>
    <cellStyle name="text 2" xfId="7791"/>
    <cellStyle name="text 2 2" xfId="23953"/>
    <cellStyle name="þ_x001d_ð &amp;ý&amp;†ýG_x0008_ X_x000a__x0007__x0001__x0001_" xfId="129"/>
    <cellStyle name="þ_x001d_ð &amp;ý&amp;†ýG_x0008_ X_x000a__x0007__x0001__x0001_ 10" xfId="18837"/>
    <cellStyle name="þ_x001d_ð &amp;ý&amp;†ýG_x0008_ X_x000a__x0007__x0001__x0001_ 10 2" xfId="34957"/>
    <cellStyle name="þ_x001d_ð &amp;ý&amp;†ýG_x0008_ X_x000a__x0007__x0001__x0001_ 11" xfId="18838"/>
    <cellStyle name="þ_x001d_ð &amp;ý&amp;†ýG_x0008_ X_x000a__x0007__x0001__x0001_ 11 2" xfId="34958"/>
    <cellStyle name="þ_x001d_ð &amp;ý&amp;†ýG_x0008_ X_x000a__x0007__x0001__x0001_ 12" xfId="18839"/>
    <cellStyle name="þ_x001d_ð &amp;ý&amp;†ýG_x0008_ X_x000a__x0007__x0001__x0001_ 12 2" xfId="34959"/>
    <cellStyle name="þ_x001d_ð &amp;ý&amp;†ýG_x0008_ X_x000a__x0007__x0001__x0001_ 13" xfId="18840"/>
    <cellStyle name="þ_x001d_ð &amp;ý&amp;†ýG_x0008_ X_x000a__x0007__x0001__x0001_ 13 2" xfId="34960"/>
    <cellStyle name="þ_x001d_ð &amp;ý&amp;†ýG_x0008_ X_x000a__x0007__x0001__x0001_ 14" xfId="18841"/>
    <cellStyle name="þ_x001d_ð &amp;ý&amp;†ýG_x0008_ X_x000a__x0007__x0001__x0001_ 14 2" xfId="34961"/>
    <cellStyle name="þ_x001d_ð &amp;ý&amp;†ýG_x0008_ X_x000a__x0007__x0001__x0001_ 15" xfId="18842"/>
    <cellStyle name="þ_x001d_ð &amp;ý&amp;†ýG_x0008_ X_x000a__x0007__x0001__x0001_ 15 2" xfId="34962"/>
    <cellStyle name="þ_x001d_ð &amp;ý&amp;†ýG_x0008_ X_x000a__x0007__x0001__x0001_ 16" xfId="18843"/>
    <cellStyle name="þ_x001d_ð &amp;ý&amp;†ýG_x0008_ X_x000a__x0007__x0001__x0001_ 16 2" xfId="34963"/>
    <cellStyle name="þ_x001d_ð &amp;ý&amp;†ýG_x0008_ X_x000a__x0007__x0001__x0001_ 17" xfId="18844"/>
    <cellStyle name="þ_x001d_ð &amp;ý&amp;†ýG_x0008_ X_x000a__x0007__x0001__x0001_ 17 2" xfId="34964"/>
    <cellStyle name="þ_x001d_ð &amp;ý&amp;†ýG_x0008_ X_x000a__x0007__x0001__x0001_ 18" xfId="4074"/>
    <cellStyle name="þ_x001d_ð &amp;ý&amp;†ýG_x0008_ X_x000a__x0007__x0001__x0001_ 18 2" xfId="20237"/>
    <cellStyle name="þ_x001d_ð &amp;ý&amp;†ýG_x0008_ X_x000a__x0007__x0001__x0001_ 2" xfId="3932"/>
    <cellStyle name="þ_x001d_ð &amp;ý&amp;†ýG_x0008_ X_x000a__x0007__x0001__x0001_ 2 2" xfId="7792"/>
    <cellStyle name="þ_x001d_ð &amp;ý&amp;†ýG_x0008_ X_x000a__x0007__x0001__x0001_ 2 2 2" xfId="23954"/>
    <cellStyle name="þ_x001d_ð &amp;ý&amp;†ýG_x0008_ X_x000a__x0007__x0001__x0001_ 3" xfId="3535"/>
    <cellStyle name="þ_x001d_ð &amp;ý&amp;†ýG_x0008_ X_x000a__x0007__x0001__x0001_ 3 2" xfId="7415"/>
    <cellStyle name="þ_x001d_ð &amp;ý&amp;†ýG_x0008_ X_x000a__x0007__x0001__x0001_ 3 2 2" xfId="23577"/>
    <cellStyle name="þ_x001d_ð &amp;ý&amp;†ýG_x0008_ X_x000a__x0007__x0001__x0001_ 4" xfId="3537"/>
    <cellStyle name="þ_x001d_ð &amp;ý&amp;†ýG_x0008_ X_x000a__x0007__x0001__x0001_ 4 2" xfId="7417"/>
    <cellStyle name="þ_x001d_ð &amp;ý&amp;†ýG_x0008_ X_x000a__x0007__x0001__x0001_ 4 2 2" xfId="23579"/>
    <cellStyle name="þ_x001d_ð &amp;ý&amp;†ýG_x0008_ X_x000a__x0007__x0001__x0001_ 5" xfId="3933"/>
    <cellStyle name="þ_x001d_ð &amp;ý&amp;†ýG_x0008_ X_x000a__x0007__x0001__x0001_ 5 2" xfId="7793"/>
    <cellStyle name="þ_x001d_ð &amp;ý&amp;†ýG_x0008_ X_x000a__x0007__x0001__x0001_ 5 2 2" xfId="23955"/>
    <cellStyle name="þ_x001d_ð &amp;ý&amp;†ýG_x0008_ X_x000a__x0007__x0001__x0001_ 6" xfId="615"/>
    <cellStyle name="þ_x001d_ð &amp;ý&amp;†ýG_x0008_ X_x000a__x0007__x0001__x0001_ 6 2" xfId="4552"/>
    <cellStyle name="þ_x001d_ð &amp;ý&amp;†ýG_x0008_ X_x000a__x0007__x0001__x0001_ 6 2 2" xfId="20714"/>
    <cellStyle name="þ_x001d_ð &amp;ý&amp;†ýG_x0008_ X_x000a__x0007__x0001__x0001_ 7" xfId="917"/>
    <cellStyle name="þ_x001d_ð &amp;ý&amp;†ýG_x0008_ X_x000a__x0007__x0001__x0001_ 7 2" xfId="4841"/>
    <cellStyle name="þ_x001d_ð &amp;ý&amp;†ýG_x0008_ X_x000a__x0007__x0001__x0001_ 7 2 2" xfId="21003"/>
    <cellStyle name="þ_x001d_ð &amp;ý&amp;†ýG_x0008_ X_x000a__x0007__x0001__x0001_ 8" xfId="3934"/>
    <cellStyle name="þ_x001d_ð &amp;ý&amp;†ýG_x0008_ X_x000a__x0007__x0001__x0001_ 8 2" xfId="7794"/>
    <cellStyle name="þ_x001d_ð &amp;ý&amp;†ýG_x0008_ X_x000a__x0007__x0001__x0001_ 8 2 2" xfId="23956"/>
    <cellStyle name="þ_x001d_ð &amp;ý&amp;†ýG_x0008_ X_x000a__x0007__x0001__x0001_ 9" xfId="18845"/>
    <cellStyle name="þ_x001d_ð &amp;ý&amp;†ýG_x0008_ X_x000a__x0007__x0001__x0001_ 9 2" xfId="34965"/>
    <cellStyle name="þ_x001d_ð &amp;ý&amp;†ýG_x0008__x0009_X_x000a__x0007__x0001__x0001_" xfId="35081"/>
    <cellStyle name="þ_x001d_ð&quot;_x000c_Býò_x000c_5ýU_x0001_e_x0005_¹,_x0007__x0001__x0001_" xfId="3935"/>
    <cellStyle name="þ_x001d_ð&quot;_x000c_Býò_x000c_5ýU_x0001_e_x0005_¹,_x0007__x0001__x0001_ 10" xfId="18846"/>
    <cellStyle name="þ_x001d_ð&quot;_x000c_Býò_x000c_5ýU_x0001_e_x0005_¹,_x0007__x0001__x0001_ 10 2" xfId="34966"/>
    <cellStyle name="þ_x001d_ð&quot;_x000c_Býò_x000c_5ýU_x0001_e_x0005_¹,_x0007__x0001__x0001_ 11" xfId="18847"/>
    <cellStyle name="þ_x001d_ð&quot;_x000c_Býò_x000c_5ýU_x0001_e_x0005_¹,_x0007__x0001__x0001_ 11 2" xfId="34967"/>
    <cellStyle name="þ_x001d_ð&quot;_x000c_Býò_x000c_5ýU_x0001_e_x0005_¹,_x0007__x0001__x0001_ 12" xfId="18848"/>
    <cellStyle name="þ_x001d_ð&quot;_x000c_Býò_x000c_5ýU_x0001_e_x0005_¹,_x0007__x0001__x0001_ 12 2" xfId="34968"/>
    <cellStyle name="þ_x001d_ð&quot;_x000c_Býò_x000c_5ýU_x0001_e_x0005_¹,_x0007__x0001__x0001_ 13" xfId="18849"/>
    <cellStyle name="þ_x001d_ð&quot;_x000c_Býò_x000c_5ýU_x0001_e_x0005_¹,_x0007__x0001__x0001_ 13 2" xfId="34969"/>
    <cellStyle name="þ_x001d_ð&quot;_x000c_Býò_x000c_5ýU_x0001_e_x0005_¹,_x0007__x0001__x0001_ 14" xfId="18850"/>
    <cellStyle name="þ_x001d_ð&quot;_x000c_Býò_x000c_5ýU_x0001_e_x0005_¹,_x0007__x0001__x0001_ 14 2" xfId="34970"/>
    <cellStyle name="þ_x001d_ð&quot;_x000c_Býò_x000c_5ýU_x0001_e_x0005_¹,_x0007__x0001__x0001_ 15" xfId="18851"/>
    <cellStyle name="þ_x001d_ð&quot;_x000c_Býò_x000c_5ýU_x0001_e_x0005_¹,_x0007__x0001__x0001_ 15 2" xfId="34971"/>
    <cellStyle name="þ_x001d_ð&quot;_x000c_Býò_x000c_5ýU_x0001_e_x0005_¹,_x0007__x0001__x0001_ 16" xfId="18852"/>
    <cellStyle name="þ_x001d_ð&quot;_x000c_Býò_x000c_5ýU_x0001_e_x0005_¹,_x0007__x0001__x0001_ 16 2" xfId="34972"/>
    <cellStyle name="þ_x001d_ð&quot;_x000c_Býò_x000c_5ýU_x0001_e_x0005_¹,_x0007__x0001__x0001_ 17" xfId="18853"/>
    <cellStyle name="þ_x001d_ð&quot;_x000c_Býò_x000c_5ýU_x0001_e_x0005_¹,_x0007__x0001__x0001_ 17 2" xfId="34973"/>
    <cellStyle name="þ_x001d_ð&quot;_x000c_Býò_x000c_5ýU_x0001_e_x0005_¹,_x0007__x0001__x0001_ 18" xfId="7795"/>
    <cellStyle name="þ_x001d_ð&quot;_x000c_Býò_x000c_5ýU_x0001_e_x0005_¹,_x0007__x0001__x0001_ 18 2" xfId="23957"/>
    <cellStyle name="þ_x001d_ð&quot;_x000c_Býò_x000c_5ýU_x0001_e_x0005_¹,_x0007__x0001__x0001_ 2" xfId="3936"/>
    <cellStyle name="þ_x001d_ð&quot;_x000c_Býò_x000c_5ýU_x0001_e_x0005_¹,_x0007__x0001__x0001_ 2 2" xfId="7796"/>
    <cellStyle name="þ_x001d_ð&quot;_x000c_Býò_x000c_5ýU_x0001_e_x0005_¹,_x0007__x0001__x0001_ 2 2 2" xfId="23958"/>
    <cellStyle name="þ_x001d_ð&quot;_x000c_Býò_x000c_5ýU_x0001_e_x0005_¹,_x0007__x0001__x0001_ 3" xfId="3937"/>
    <cellStyle name="þ_x001d_ð&quot;_x000c_Býò_x000c_5ýU_x0001_e_x0005_¹,_x0007__x0001__x0001_ 3 2" xfId="7797"/>
    <cellStyle name="þ_x001d_ð&quot;_x000c_Býò_x000c_5ýU_x0001_e_x0005_¹,_x0007__x0001__x0001_ 3 2 2" xfId="23959"/>
    <cellStyle name="þ_x001d_ð&quot;_x000c_Býò_x000c_5ýU_x0001_e_x0005_¹,_x0007__x0001__x0001_ 4" xfId="3938"/>
    <cellStyle name="þ_x001d_ð&quot;_x000c_Býò_x000c_5ýU_x0001_e_x0005_¹,_x0007__x0001__x0001_ 4 2" xfId="7798"/>
    <cellStyle name="þ_x001d_ð&quot;_x000c_Býò_x000c_5ýU_x0001_e_x0005_¹,_x0007__x0001__x0001_ 4 2 2" xfId="23960"/>
    <cellStyle name="þ_x001d_ð&quot;_x000c_Býò_x000c_5ýU_x0001_e_x0005_¹,_x0007__x0001__x0001_ 5" xfId="3939"/>
    <cellStyle name="þ_x001d_ð&quot;_x000c_Býò_x000c_5ýU_x0001_e_x0005_¹,_x0007__x0001__x0001_ 5 2" xfId="7799"/>
    <cellStyle name="þ_x001d_ð&quot;_x000c_Býò_x000c_5ýU_x0001_e_x0005_¹,_x0007__x0001__x0001_ 5 2 2" xfId="23961"/>
    <cellStyle name="þ_x001d_ð&quot;_x000c_Býò_x000c_5ýU_x0001_e_x0005_¹,_x0007__x0001__x0001_ 6" xfId="3940"/>
    <cellStyle name="þ_x001d_ð&quot;_x000c_Býò_x000c_5ýU_x0001_e_x0005_¹,_x0007__x0001__x0001_ 6 2" xfId="7800"/>
    <cellStyle name="þ_x001d_ð&quot;_x000c_Býò_x000c_5ýU_x0001_e_x0005_¹,_x0007__x0001__x0001_ 6 2 2" xfId="23962"/>
    <cellStyle name="þ_x001d_ð&quot;_x000c_Býò_x000c_5ýU_x0001_e_x0005_¹,_x0007__x0001__x0001_ 7" xfId="3941"/>
    <cellStyle name="þ_x001d_ð&quot;_x000c_Býò_x000c_5ýU_x0001_e_x0005_¹,_x0007__x0001__x0001_ 7 2" xfId="7801"/>
    <cellStyle name="þ_x001d_ð&quot;_x000c_Býò_x000c_5ýU_x0001_e_x0005_¹,_x0007__x0001__x0001_ 7 2 2" xfId="23963"/>
    <cellStyle name="þ_x001d_ð&quot;_x000c_Býò_x000c_5ýU_x0001_e_x0005_¹,_x0007__x0001__x0001_ 8" xfId="3942"/>
    <cellStyle name="þ_x001d_ð&quot;_x000c_Býò_x000c_5ýU_x0001_e_x0005_¹,_x0007__x0001__x0001_ 8 2" xfId="7802"/>
    <cellStyle name="þ_x001d_ð&quot;_x000c_Býò_x000c_5ýU_x0001_e_x0005_¹,_x0007__x0001__x0001_ 8 2 2" xfId="23964"/>
    <cellStyle name="þ_x001d_ð&quot;_x000c_Býò_x000c_5ýU_x0001_e_x0005_¹,_x0007__x0001__x0001_ 9" xfId="18854"/>
    <cellStyle name="þ_x001d_ð&quot;_x000c_Býò_x000c_5ýU_x0001_e_x0005_¹,_x0007__x0001__x0001_ 9 2" xfId="34974"/>
    <cellStyle name="þ_x001d_ð&quot;_x000c_Býò_x000c_5ýU_x0001_e_x0005_¹,_x0007__x0001__x0001__2015-16 MASTER CC ROAD &amp; DRAIN" xfId="18855"/>
    <cellStyle name="Times New Roman" xfId="369"/>
    <cellStyle name="Times New Roman 2" xfId="1962"/>
    <cellStyle name="Times New Roman 2 2" xfId="5867"/>
    <cellStyle name="Times New Roman 2 2 2" xfId="22029"/>
    <cellStyle name="Times New Roman 3" xfId="1965"/>
    <cellStyle name="Times New Roman 3 2" xfId="5870"/>
    <cellStyle name="Times New Roman 3 2 2" xfId="22032"/>
    <cellStyle name="Times New Roman 4" xfId="4308"/>
    <cellStyle name="Times New Roman 4 2" xfId="20471"/>
    <cellStyle name="Title 2" xfId="2385"/>
    <cellStyle name="Title 2 2" xfId="3943"/>
    <cellStyle name="Title 2 2 2" xfId="7803"/>
    <cellStyle name="Title 2 2 2 2" xfId="23965"/>
    <cellStyle name="Title 2 3" xfId="3746"/>
    <cellStyle name="Title 2 3 2" xfId="7623"/>
    <cellStyle name="Title 2 3 2 2" xfId="23785"/>
    <cellStyle name="Title 2 4" xfId="6280"/>
    <cellStyle name="Title 2 4 2" xfId="22442"/>
    <cellStyle name="Title 3" xfId="2387"/>
    <cellStyle name="Title 3 2" xfId="6282"/>
    <cellStyle name="Title 3 2 2" xfId="22444"/>
    <cellStyle name="Title 4" xfId="18856"/>
    <cellStyle name="Title 5" xfId="18857"/>
    <cellStyle name="Total 2" xfId="3623"/>
    <cellStyle name="Total 2 2" xfId="1872"/>
    <cellStyle name="Total 2 2 2" xfId="5780"/>
    <cellStyle name="Total 2 2 2 2" xfId="21942"/>
    <cellStyle name="Total 2 2 3" xfId="19597"/>
    <cellStyle name="Total 2 3" xfId="624"/>
    <cellStyle name="Total 2 3 2" xfId="4560"/>
    <cellStyle name="Total 2 3 2 2" xfId="20722"/>
    <cellStyle name="Total 2 3 3" xfId="19133"/>
    <cellStyle name="Total 2 4" xfId="7503"/>
    <cellStyle name="Total 2 4 2" xfId="23665"/>
    <cellStyle name="Total 2 5" xfId="20056"/>
    <cellStyle name="Total 3" xfId="3625"/>
    <cellStyle name="Total 3 2" xfId="7505"/>
    <cellStyle name="Total 3 2 2" xfId="23667"/>
    <cellStyle name="Total 3 3" xfId="20057"/>
    <cellStyle name="Total 4" xfId="18858"/>
    <cellStyle name="Total 4 2" xfId="34975"/>
    <cellStyle name="Total 5" xfId="18859"/>
    <cellStyle name="Total 5 2" xfId="34976"/>
    <cellStyle name="TRS" xfId="18860"/>
    <cellStyle name="TRS 2" xfId="34977"/>
    <cellStyle name="v" xfId="18861"/>
    <cellStyle name="v 2" xfId="34978"/>
    <cellStyle name="v_25-8-2010  ABS &amp; Det" xfId="18862"/>
    <cellStyle name="v_25-8-2010  ABS &amp; Det 2" xfId="34979"/>
    <cellStyle name="v_Deverkadra 13.00" xfId="18863"/>
    <cellStyle name="v_Deverkadra 13.00 2" xfId="34980"/>
    <cellStyle name="v_Hajilapur 1.00 ( Bore well )" xfId="18864"/>
    <cellStyle name="v_Hajilapur 1.00 ( Bore well ) 2" xfId="34981"/>
    <cellStyle name="v_Working Estimate 10.00" xfId="18865"/>
    <cellStyle name="v_Working Estimate 10.00 2" xfId="34982"/>
    <cellStyle name="Value" xfId="1034"/>
    <cellStyle name="Value 10" xfId="3944"/>
    <cellStyle name="Value 10 10" xfId="18866"/>
    <cellStyle name="Value 10 10 2" xfId="34983"/>
    <cellStyle name="Value 10 11" xfId="18867"/>
    <cellStyle name="Value 10 11 2" xfId="34984"/>
    <cellStyle name="Value 10 12" xfId="18868"/>
    <cellStyle name="Value 10 12 2" xfId="34985"/>
    <cellStyle name="Value 10 13" xfId="18869"/>
    <cellStyle name="Value 10 13 2" xfId="34986"/>
    <cellStyle name="Value 10 14" xfId="18870"/>
    <cellStyle name="Value 10 14 2" xfId="34987"/>
    <cellStyle name="Value 10 15" xfId="18871"/>
    <cellStyle name="Value 10 15 2" xfId="34988"/>
    <cellStyle name="Value 10 16" xfId="18872"/>
    <cellStyle name="Value 10 16 2" xfId="34989"/>
    <cellStyle name="Value 10 17" xfId="18873"/>
    <cellStyle name="Value 10 17 2" xfId="34990"/>
    <cellStyle name="Value 10 18" xfId="7804"/>
    <cellStyle name="Value 10 18 2" xfId="23966"/>
    <cellStyle name="Value 10 2" xfId="3160"/>
    <cellStyle name="Value 10 2 2" xfId="7045"/>
    <cellStyle name="Value 10 2 2 2" xfId="23207"/>
    <cellStyle name="Value 10 3" xfId="3162"/>
    <cellStyle name="Value 10 3 2" xfId="7047"/>
    <cellStyle name="Value 10 3 2 2" xfId="23209"/>
    <cellStyle name="Value 10 4" xfId="3945"/>
    <cellStyle name="Value 10 4 2" xfId="7805"/>
    <cellStyle name="Value 10 4 2 2" xfId="23967"/>
    <cellStyle name="Value 10 5" xfId="3946"/>
    <cellStyle name="Value 10 5 2" xfId="7806"/>
    <cellStyle name="Value 10 5 2 2" xfId="23968"/>
    <cellStyle name="Value 10 6" xfId="3947"/>
    <cellStyle name="Value 10 6 2" xfId="7807"/>
    <cellStyle name="Value 10 6 2 2" xfId="23969"/>
    <cellStyle name="Value 10 7" xfId="3948"/>
    <cellStyle name="Value 10 7 2" xfId="7808"/>
    <cellStyle name="Value 10 7 2 2" xfId="23970"/>
    <cellStyle name="Value 10 8" xfId="3949"/>
    <cellStyle name="Value 10 8 2" xfId="7809"/>
    <cellStyle name="Value 10 8 2 2" xfId="23971"/>
    <cellStyle name="Value 10 9" xfId="18874"/>
    <cellStyle name="Value 10 9 2" xfId="34991"/>
    <cellStyle name="Value 11" xfId="3950"/>
    <cellStyle name="Value 11 2" xfId="7810"/>
    <cellStyle name="Value 11 2 2" xfId="23972"/>
    <cellStyle name="Value 12" xfId="3951"/>
    <cellStyle name="Value 12 2" xfId="7811"/>
    <cellStyle name="Value 12 2 2" xfId="23973"/>
    <cellStyle name="Value 13" xfId="3952"/>
    <cellStyle name="Value 13 2" xfId="7812"/>
    <cellStyle name="Value 13 2 2" xfId="23974"/>
    <cellStyle name="Value 14" xfId="3953"/>
    <cellStyle name="Value 14 2" xfId="7813"/>
    <cellStyle name="Value 14 2 2" xfId="23975"/>
    <cellStyle name="Value 15" xfId="3954"/>
    <cellStyle name="Value 15 2" xfId="7814"/>
    <cellStyle name="Value 15 2 2" xfId="23976"/>
    <cellStyle name="Value 16" xfId="3955"/>
    <cellStyle name="Value 16 2" xfId="7815"/>
    <cellStyle name="Value 16 2 2" xfId="23977"/>
    <cellStyle name="Value 17" xfId="3956"/>
    <cellStyle name="Value 17 2" xfId="7816"/>
    <cellStyle name="Value 17 2 2" xfId="23978"/>
    <cellStyle name="Value 18" xfId="18875"/>
    <cellStyle name="Value 18 2" xfId="34992"/>
    <cellStyle name="Value 19" xfId="18876"/>
    <cellStyle name="Value 19 2" xfId="34993"/>
    <cellStyle name="Value 2" xfId="2093"/>
    <cellStyle name="Value 2 10" xfId="18877"/>
    <cellStyle name="Value 2 10 2" xfId="34994"/>
    <cellStyle name="Value 2 11" xfId="18878"/>
    <cellStyle name="Value 2 11 2" xfId="34995"/>
    <cellStyle name="Value 2 12" xfId="18879"/>
    <cellStyle name="Value 2 12 2" xfId="34996"/>
    <cellStyle name="Value 2 13" xfId="18880"/>
    <cellStyle name="Value 2 13 2" xfId="34997"/>
    <cellStyle name="Value 2 14" xfId="18881"/>
    <cellStyle name="Value 2 14 2" xfId="34998"/>
    <cellStyle name="Value 2 15" xfId="18882"/>
    <cellStyle name="Value 2 15 2" xfId="34999"/>
    <cellStyle name="Value 2 16" xfId="18883"/>
    <cellStyle name="Value 2 16 2" xfId="35000"/>
    <cellStyle name="Value 2 17" xfId="18884"/>
    <cellStyle name="Value 2 17 2" xfId="35001"/>
    <cellStyle name="Value 2 18" xfId="5996"/>
    <cellStyle name="Value 2 18 2" xfId="22158"/>
    <cellStyle name="Value 2 2" xfId="3189"/>
    <cellStyle name="Value 2 2 2" xfId="7074"/>
    <cellStyle name="Value 2 2 2 2" xfId="23236"/>
    <cellStyle name="Value 2 3" xfId="37"/>
    <cellStyle name="Value 2 3 2" xfId="3991"/>
    <cellStyle name="Value 2 3 2 2" xfId="20154"/>
    <cellStyle name="Value 2 4" xfId="3205"/>
    <cellStyle name="Value 2 4 2" xfId="7090"/>
    <cellStyle name="Value 2 4 2 2" xfId="23252"/>
    <cellStyle name="Value 2 5" xfId="3210"/>
    <cellStyle name="Value 2 5 2" xfId="7095"/>
    <cellStyle name="Value 2 5 2 2" xfId="23257"/>
    <cellStyle name="Value 2 6" xfId="3217"/>
    <cellStyle name="Value 2 6 2" xfId="7103"/>
    <cellStyle name="Value 2 6 2 2" xfId="23265"/>
    <cellStyle name="Value 2 7" xfId="39"/>
    <cellStyle name="Value 2 7 2" xfId="3995"/>
    <cellStyle name="Value 2 7 2 2" xfId="20158"/>
    <cellStyle name="Value 2 8" xfId="3228"/>
    <cellStyle name="Value 2 8 2" xfId="7113"/>
    <cellStyle name="Value 2 8 2 2" xfId="23275"/>
    <cellStyle name="Value 2 9" xfId="18885"/>
    <cellStyle name="Value 2 9 2" xfId="35002"/>
    <cellStyle name="Value 20" xfId="18886"/>
    <cellStyle name="Value 20 2" xfId="35003"/>
    <cellStyle name="Value 21" xfId="18887"/>
    <cellStyle name="Value 21 2" xfId="35004"/>
    <cellStyle name="Value 22" xfId="18888"/>
    <cellStyle name="Value 22 2" xfId="35005"/>
    <cellStyle name="Value 23" xfId="18889"/>
    <cellStyle name="Value 23 2" xfId="35006"/>
    <cellStyle name="Value 24" xfId="18890"/>
    <cellStyle name="Value 24 2" xfId="35007"/>
    <cellStyle name="Value 25" xfId="18891"/>
    <cellStyle name="Value 25 2" xfId="35008"/>
    <cellStyle name="Value 26" xfId="18892"/>
    <cellStyle name="Value 26 2" xfId="35009"/>
    <cellStyle name="Value 27" xfId="4955"/>
    <cellStyle name="Value 27 2" xfId="21117"/>
    <cellStyle name="Value 3" xfId="2096"/>
    <cellStyle name="Value 3 10" xfId="18893"/>
    <cellStyle name="Value 3 10 2" xfId="35010"/>
    <cellStyle name="Value 3 11" xfId="18894"/>
    <cellStyle name="Value 3 11 2" xfId="35011"/>
    <cellStyle name="Value 3 12" xfId="18895"/>
    <cellStyle name="Value 3 12 2" xfId="35012"/>
    <cellStyle name="Value 3 13" xfId="18896"/>
    <cellStyle name="Value 3 13 2" xfId="35013"/>
    <cellStyle name="Value 3 14" xfId="18897"/>
    <cellStyle name="Value 3 14 2" xfId="35014"/>
    <cellStyle name="Value 3 15" xfId="18898"/>
    <cellStyle name="Value 3 15 2" xfId="35015"/>
    <cellStyle name="Value 3 16" xfId="18899"/>
    <cellStyle name="Value 3 16 2" xfId="35016"/>
    <cellStyle name="Value 3 17" xfId="18900"/>
    <cellStyle name="Value 3 17 2" xfId="35017"/>
    <cellStyle name="Value 3 18" xfId="5999"/>
    <cellStyle name="Value 3 18 2" xfId="22161"/>
    <cellStyle name="Value 3 2" xfId="3235"/>
    <cellStyle name="Value 3 2 2" xfId="7120"/>
    <cellStyle name="Value 3 2 2 2" xfId="23282"/>
    <cellStyle name="Value 3 3" xfId="3237"/>
    <cellStyle name="Value 3 3 2" xfId="7122"/>
    <cellStyle name="Value 3 3 2 2" xfId="23284"/>
    <cellStyle name="Value 3 4" xfId="3239"/>
    <cellStyle name="Value 3 4 2" xfId="7124"/>
    <cellStyle name="Value 3 4 2 2" xfId="23286"/>
    <cellStyle name="Value 3 5" xfId="3241"/>
    <cellStyle name="Value 3 5 2" xfId="7126"/>
    <cellStyle name="Value 3 5 2 2" xfId="23288"/>
    <cellStyle name="Value 3 6" xfId="3243"/>
    <cellStyle name="Value 3 6 2" xfId="7129"/>
    <cellStyle name="Value 3 6 2 2" xfId="23291"/>
    <cellStyle name="Value 3 7" xfId="3246"/>
    <cellStyle name="Value 3 7 2" xfId="7132"/>
    <cellStyle name="Value 3 7 2 2" xfId="23294"/>
    <cellStyle name="Value 3 8" xfId="3957"/>
    <cellStyle name="Value 3 8 2" xfId="7817"/>
    <cellStyle name="Value 3 8 2 2" xfId="23979"/>
    <cellStyle name="Value 3 9" xfId="18901"/>
    <cellStyle name="Value 3 9 2" xfId="35018"/>
    <cellStyle name="Value 4" xfId="2101"/>
    <cellStyle name="Value 4 10" xfId="18902"/>
    <cellStyle name="Value 4 10 2" xfId="35019"/>
    <cellStyle name="Value 4 11" xfId="18903"/>
    <cellStyle name="Value 4 11 2" xfId="35020"/>
    <cellStyle name="Value 4 12" xfId="18904"/>
    <cellStyle name="Value 4 12 2" xfId="35021"/>
    <cellStyle name="Value 4 13" xfId="18905"/>
    <cellStyle name="Value 4 13 2" xfId="35022"/>
    <cellStyle name="Value 4 14" xfId="18906"/>
    <cellStyle name="Value 4 14 2" xfId="35023"/>
    <cellStyle name="Value 4 15" xfId="18907"/>
    <cellStyle name="Value 4 15 2" xfId="35024"/>
    <cellStyle name="Value 4 16" xfId="18908"/>
    <cellStyle name="Value 4 16 2" xfId="35025"/>
    <cellStyle name="Value 4 17" xfId="18909"/>
    <cellStyle name="Value 4 17 2" xfId="35026"/>
    <cellStyle name="Value 4 18" xfId="6004"/>
    <cellStyle name="Value 4 18 2" xfId="22166"/>
    <cellStyle name="Value 4 2" xfId="3252"/>
    <cellStyle name="Value 4 2 2" xfId="7137"/>
    <cellStyle name="Value 4 2 2 2" xfId="23299"/>
    <cellStyle name="Value 4 3" xfId="3254"/>
    <cellStyle name="Value 4 3 2" xfId="7139"/>
    <cellStyle name="Value 4 3 2 2" xfId="23301"/>
    <cellStyle name="Value 4 4" xfId="3257"/>
    <cellStyle name="Value 4 4 2" xfId="7141"/>
    <cellStyle name="Value 4 4 2 2" xfId="23303"/>
    <cellStyle name="Value 4 5" xfId="3260"/>
    <cellStyle name="Value 4 5 2" xfId="7143"/>
    <cellStyle name="Value 4 5 2 2" xfId="23305"/>
    <cellStyle name="Value 4 6" xfId="3262"/>
    <cellStyle name="Value 4 6 2" xfId="7146"/>
    <cellStyle name="Value 4 6 2 2" xfId="23308"/>
    <cellStyle name="Value 4 7" xfId="3265"/>
    <cellStyle name="Value 4 7 2" xfId="7149"/>
    <cellStyle name="Value 4 7 2 2" xfId="23311"/>
    <cellStyle name="Value 4 8" xfId="3958"/>
    <cellStyle name="Value 4 8 2" xfId="7818"/>
    <cellStyle name="Value 4 8 2 2" xfId="23980"/>
    <cellStyle name="Value 4 9" xfId="18910"/>
    <cellStyle name="Value 4 9 2" xfId="35027"/>
    <cellStyle name="Value 5" xfId="1604"/>
    <cellStyle name="Value 5 10" xfId="18911"/>
    <cellStyle name="Value 5 10 2" xfId="35028"/>
    <cellStyle name="Value 5 11" xfId="18912"/>
    <cellStyle name="Value 5 11 2" xfId="35029"/>
    <cellStyle name="Value 5 12" xfId="18913"/>
    <cellStyle name="Value 5 12 2" xfId="35030"/>
    <cellStyle name="Value 5 13" xfId="18914"/>
    <cellStyle name="Value 5 13 2" xfId="35031"/>
    <cellStyle name="Value 5 14" xfId="18915"/>
    <cellStyle name="Value 5 14 2" xfId="35032"/>
    <cellStyle name="Value 5 15" xfId="18916"/>
    <cellStyle name="Value 5 15 2" xfId="35033"/>
    <cellStyle name="Value 5 16" xfId="18917"/>
    <cellStyle name="Value 5 16 2" xfId="35034"/>
    <cellStyle name="Value 5 17" xfId="18918"/>
    <cellStyle name="Value 5 17 2" xfId="35035"/>
    <cellStyle name="Value 5 18" xfId="5523"/>
    <cellStyle name="Value 5 18 2" xfId="21685"/>
    <cellStyle name="Value 5 2" xfId="3272"/>
    <cellStyle name="Value 5 2 2" xfId="7155"/>
    <cellStyle name="Value 5 2 2 2" xfId="23317"/>
    <cellStyle name="Value 5 3" xfId="3274"/>
    <cellStyle name="Value 5 3 2" xfId="7158"/>
    <cellStyle name="Value 5 3 2 2" xfId="23320"/>
    <cellStyle name="Value 5 4" xfId="3277"/>
    <cellStyle name="Value 5 4 2" xfId="7160"/>
    <cellStyle name="Value 5 4 2 2" xfId="23322"/>
    <cellStyle name="Value 5 5" xfId="3279"/>
    <cellStyle name="Value 5 5 2" xfId="7162"/>
    <cellStyle name="Value 5 5 2 2" xfId="23324"/>
    <cellStyle name="Value 5 6" xfId="3281"/>
    <cellStyle name="Value 5 6 2" xfId="7164"/>
    <cellStyle name="Value 5 6 2 2" xfId="23326"/>
    <cellStyle name="Value 5 7" xfId="3283"/>
    <cellStyle name="Value 5 7 2" xfId="7166"/>
    <cellStyle name="Value 5 7 2 2" xfId="23328"/>
    <cellStyle name="Value 5 8" xfId="3959"/>
    <cellStyle name="Value 5 8 2" xfId="7819"/>
    <cellStyle name="Value 5 8 2 2" xfId="23981"/>
    <cellStyle name="Value 5 9" xfId="18919"/>
    <cellStyle name="Value 5 9 2" xfId="35036"/>
    <cellStyle name="Value 6" xfId="1611"/>
    <cellStyle name="Value 6 10" xfId="18920"/>
    <cellStyle name="Value 6 10 2" xfId="35037"/>
    <cellStyle name="Value 6 11" xfId="18921"/>
    <cellStyle name="Value 6 11 2" xfId="35038"/>
    <cellStyle name="Value 6 12" xfId="18922"/>
    <cellStyle name="Value 6 12 2" xfId="35039"/>
    <cellStyle name="Value 6 13" xfId="18923"/>
    <cellStyle name="Value 6 13 2" xfId="35040"/>
    <cellStyle name="Value 6 14" xfId="18924"/>
    <cellStyle name="Value 6 14 2" xfId="35041"/>
    <cellStyle name="Value 6 15" xfId="18925"/>
    <cellStyle name="Value 6 15 2" xfId="35042"/>
    <cellStyle name="Value 6 16" xfId="18926"/>
    <cellStyle name="Value 6 16 2" xfId="35043"/>
    <cellStyle name="Value 6 17" xfId="18927"/>
    <cellStyle name="Value 6 17 2" xfId="35044"/>
    <cellStyle name="Value 6 18" xfId="5530"/>
    <cellStyle name="Value 6 18 2" xfId="21692"/>
    <cellStyle name="Value 6 2" xfId="3289"/>
    <cellStyle name="Value 6 2 2" xfId="7172"/>
    <cellStyle name="Value 6 2 2 2" xfId="23334"/>
    <cellStyle name="Value 6 3" xfId="3291"/>
    <cellStyle name="Value 6 3 2" xfId="7174"/>
    <cellStyle name="Value 6 3 2 2" xfId="23336"/>
    <cellStyle name="Value 6 4" xfId="3293"/>
    <cellStyle name="Value 6 4 2" xfId="7176"/>
    <cellStyle name="Value 6 4 2 2" xfId="23338"/>
    <cellStyle name="Value 6 5" xfId="3295"/>
    <cellStyle name="Value 6 5 2" xfId="7178"/>
    <cellStyle name="Value 6 5 2 2" xfId="23340"/>
    <cellStyle name="Value 6 6" xfId="3297"/>
    <cellStyle name="Value 6 6 2" xfId="7181"/>
    <cellStyle name="Value 6 6 2 2" xfId="23343"/>
    <cellStyle name="Value 6 7" xfId="3300"/>
    <cellStyle name="Value 6 7 2" xfId="7184"/>
    <cellStyle name="Value 6 7 2 2" xfId="23346"/>
    <cellStyle name="Value 6 8" xfId="3960"/>
    <cellStyle name="Value 6 8 2" xfId="7820"/>
    <cellStyle name="Value 6 8 2 2" xfId="23982"/>
    <cellStyle name="Value 6 9" xfId="18928"/>
    <cellStyle name="Value 6 9 2" xfId="35045"/>
    <cellStyle name="Value 7" xfId="2106"/>
    <cellStyle name="Value 7 10" xfId="18929"/>
    <cellStyle name="Value 7 10 2" xfId="35046"/>
    <cellStyle name="Value 7 11" xfId="18930"/>
    <cellStyle name="Value 7 11 2" xfId="35047"/>
    <cellStyle name="Value 7 12" xfId="18931"/>
    <cellStyle name="Value 7 12 2" xfId="35048"/>
    <cellStyle name="Value 7 13" xfId="18932"/>
    <cellStyle name="Value 7 13 2" xfId="35049"/>
    <cellStyle name="Value 7 14" xfId="18933"/>
    <cellStyle name="Value 7 14 2" xfId="35050"/>
    <cellStyle name="Value 7 15" xfId="18934"/>
    <cellStyle name="Value 7 15 2" xfId="35051"/>
    <cellStyle name="Value 7 16" xfId="18935"/>
    <cellStyle name="Value 7 16 2" xfId="35052"/>
    <cellStyle name="Value 7 17" xfId="18936"/>
    <cellStyle name="Value 7 17 2" xfId="35053"/>
    <cellStyle name="Value 7 18" xfId="6009"/>
    <cellStyle name="Value 7 18 2" xfId="22171"/>
    <cellStyle name="Value 7 2" xfId="3307"/>
    <cellStyle name="Value 7 2 2" xfId="7191"/>
    <cellStyle name="Value 7 2 2 2" xfId="23353"/>
    <cellStyle name="Value 7 3" xfId="3310"/>
    <cellStyle name="Value 7 3 2" xfId="7194"/>
    <cellStyle name="Value 7 3 2 2" xfId="23356"/>
    <cellStyle name="Value 7 4" xfId="3313"/>
    <cellStyle name="Value 7 4 2" xfId="7197"/>
    <cellStyle name="Value 7 4 2 2" xfId="23359"/>
    <cellStyle name="Value 7 5" xfId="3316"/>
    <cellStyle name="Value 7 5 2" xfId="7200"/>
    <cellStyle name="Value 7 5 2 2" xfId="23362"/>
    <cellStyle name="Value 7 6" xfId="3319"/>
    <cellStyle name="Value 7 6 2" xfId="7203"/>
    <cellStyle name="Value 7 6 2 2" xfId="23365"/>
    <cellStyle name="Value 7 7" xfId="3322"/>
    <cellStyle name="Value 7 7 2" xfId="7205"/>
    <cellStyle name="Value 7 7 2 2" xfId="23367"/>
    <cellStyle name="Value 7 8" xfId="3961"/>
    <cellStyle name="Value 7 8 2" xfId="7821"/>
    <cellStyle name="Value 7 8 2 2" xfId="23983"/>
    <cellStyle name="Value 7 9" xfId="18937"/>
    <cellStyle name="Value 7 9 2" xfId="35054"/>
    <cellStyle name="Value 8" xfId="2512"/>
    <cellStyle name="Value 8 10" xfId="18938"/>
    <cellStyle name="Value 8 10 2" xfId="35055"/>
    <cellStyle name="Value 8 11" xfId="18939"/>
    <cellStyle name="Value 8 11 2" xfId="35056"/>
    <cellStyle name="Value 8 12" xfId="18940"/>
    <cellStyle name="Value 8 12 2" xfId="35057"/>
    <cellStyle name="Value 8 13" xfId="18941"/>
    <cellStyle name="Value 8 13 2" xfId="35058"/>
    <cellStyle name="Value 8 14" xfId="18942"/>
    <cellStyle name="Value 8 14 2" xfId="35059"/>
    <cellStyle name="Value 8 15" xfId="18943"/>
    <cellStyle name="Value 8 15 2" xfId="35060"/>
    <cellStyle name="Value 8 16" xfId="18944"/>
    <cellStyle name="Value 8 16 2" xfId="35061"/>
    <cellStyle name="Value 8 17" xfId="18945"/>
    <cellStyle name="Value 8 17 2" xfId="35062"/>
    <cellStyle name="Value 8 18" xfId="6408"/>
    <cellStyle name="Value 8 18 2" xfId="22570"/>
    <cellStyle name="Value 8 2" xfId="3327"/>
    <cellStyle name="Value 8 2 2" xfId="7210"/>
    <cellStyle name="Value 8 2 2 2" xfId="23372"/>
    <cellStyle name="Value 8 3" xfId="3329"/>
    <cellStyle name="Value 8 3 2" xfId="7212"/>
    <cellStyle name="Value 8 3 2 2" xfId="23374"/>
    <cellStyle name="Value 8 4" xfId="3331"/>
    <cellStyle name="Value 8 4 2" xfId="7214"/>
    <cellStyle name="Value 8 4 2 2" xfId="23376"/>
    <cellStyle name="Value 8 5" xfId="3333"/>
    <cellStyle name="Value 8 5 2" xfId="7216"/>
    <cellStyle name="Value 8 5 2 2" xfId="23378"/>
    <cellStyle name="Value 8 6" xfId="3335"/>
    <cellStyle name="Value 8 6 2" xfId="7218"/>
    <cellStyle name="Value 8 6 2 2" xfId="23380"/>
    <cellStyle name="Value 8 7" xfId="3337"/>
    <cellStyle name="Value 8 7 2" xfId="7220"/>
    <cellStyle name="Value 8 7 2 2" xfId="23382"/>
    <cellStyle name="Value 8 8" xfId="757"/>
    <cellStyle name="Value 8 8 2" xfId="4682"/>
    <cellStyle name="Value 8 8 2 2" xfId="20844"/>
    <cellStyle name="Value 8 9" xfId="18946"/>
    <cellStyle name="Value 8 9 2" xfId="35063"/>
    <cellStyle name="Value 9" xfId="3112"/>
    <cellStyle name="Value 9 10" xfId="18947"/>
    <cellStyle name="Value 9 10 2" xfId="35064"/>
    <cellStyle name="Value 9 11" xfId="18948"/>
    <cellStyle name="Value 9 11 2" xfId="35065"/>
    <cellStyle name="Value 9 12" xfId="18949"/>
    <cellStyle name="Value 9 12 2" xfId="35066"/>
    <cellStyle name="Value 9 13" xfId="18950"/>
    <cellStyle name="Value 9 13 2" xfId="35067"/>
    <cellStyle name="Value 9 14" xfId="18951"/>
    <cellStyle name="Value 9 14 2" xfId="35068"/>
    <cellStyle name="Value 9 15" xfId="18952"/>
    <cellStyle name="Value 9 15 2" xfId="35069"/>
    <cellStyle name="Value 9 16" xfId="18953"/>
    <cellStyle name="Value 9 16 2" xfId="35070"/>
    <cellStyle name="Value 9 17" xfId="18954"/>
    <cellStyle name="Value 9 17 2" xfId="35071"/>
    <cellStyle name="Value 9 18" xfId="6997"/>
    <cellStyle name="Value 9 18 2" xfId="23159"/>
    <cellStyle name="Value 9 2" xfId="3341"/>
    <cellStyle name="Value 9 2 2" xfId="7224"/>
    <cellStyle name="Value 9 2 2 2" xfId="23386"/>
    <cellStyle name="Value 9 3" xfId="3343"/>
    <cellStyle name="Value 9 3 2" xfId="7226"/>
    <cellStyle name="Value 9 3 2 2" xfId="23388"/>
    <cellStyle name="Value 9 4" xfId="3345"/>
    <cellStyle name="Value 9 4 2" xfId="7228"/>
    <cellStyle name="Value 9 4 2 2" xfId="23390"/>
    <cellStyle name="Value 9 5" xfId="3348"/>
    <cellStyle name="Value 9 5 2" xfId="7230"/>
    <cellStyle name="Value 9 5 2 2" xfId="23392"/>
    <cellStyle name="Value 9 6" xfId="3350"/>
    <cellStyle name="Value 9 6 2" xfId="7232"/>
    <cellStyle name="Value 9 6 2 2" xfId="23394"/>
    <cellStyle name="Value 9 7" xfId="3352"/>
    <cellStyle name="Value 9 7 2" xfId="7234"/>
    <cellStyle name="Value 9 7 2 2" xfId="23396"/>
    <cellStyle name="Value 9 8" xfId="3962"/>
    <cellStyle name="Value 9 8 2" xfId="7822"/>
    <cellStyle name="Value 9 8 2 2" xfId="23984"/>
    <cellStyle name="Value 9 9" xfId="18955"/>
    <cellStyle name="Value 9 9 2" xfId="35072"/>
    <cellStyle name="Value_Achampally-Gattubuthkur-Ganga-CRR" xfId="473"/>
    <cellStyle name="Warning Text 2" xfId="3613"/>
    <cellStyle name="Warning Text 2 2" xfId="778"/>
    <cellStyle name="Warning Text 2 2 2" xfId="4704"/>
    <cellStyle name="Warning Text 2 2 2 2" xfId="20866"/>
    <cellStyle name="Warning Text 2 3" xfId="2941"/>
    <cellStyle name="Warning Text 2 3 2" xfId="6828"/>
    <cellStyle name="Warning Text 2 3 2 2" xfId="22990"/>
    <cellStyle name="Warning Text 2 4" xfId="7493"/>
    <cellStyle name="Warning Text 2 4 2" xfId="23655"/>
    <cellStyle name="Warning Text 3" xfId="3615"/>
    <cellStyle name="Warning Text 3 2" xfId="7495"/>
    <cellStyle name="Warning Text 3 2 2" xfId="23657"/>
    <cellStyle name="Warning Text 4" xfId="18956"/>
    <cellStyle name="Warning Text 4 2" xfId="35073"/>
    <cellStyle name="Warning Text 5" xfId="18957"/>
    <cellStyle name="Warning Text 5 2" xfId="35074"/>
    <cellStyle name="సాధారణ_Copy of Model estimate-Basnapally--07-05-06-Final" xfId="3963"/>
  </cellStyles>
  <dxfs count="42">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ill>
        <patternFill patternType="solid">
          <bgColor rgb="FFFFFF00"/>
        </patternFill>
      </fill>
    </dxf>
    <dxf>
      <font>
        <color theme="0"/>
      </font>
    </dxf>
    <dxf>
      <font>
        <color theme="0"/>
      </font>
    </dxf>
    <dxf>
      <font>
        <color rgb="FFFF0000"/>
      </font>
      <numFmt numFmtId="2" formatCode="0.00"/>
    </dxf>
    <dxf>
      <font>
        <color rgb="FF0000FF"/>
      </font>
    </dxf>
    <dxf>
      <font>
        <color rgb="FF0000FF"/>
      </font>
      <fill>
        <patternFill patternType="solid">
          <bgColor rgb="FFFF0000"/>
        </patternFill>
      </fill>
    </dxf>
    <dxf>
      <font>
        <color theme="0"/>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s>
  <tableStyles count="0" defaultTableStyle="TableStyleMedium9" defaultPivotStyle="PivotStyleLight16"/>
  <colors>
    <mruColors>
      <color rgb="FFCCECFF"/>
      <color rgb="FF66FFFF"/>
      <color rgb="FF0000FF"/>
      <color rgb="FFFF00FF"/>
      <color rgb="FFFF0066"/>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66.xml"/><Relationship Id="rId299" Type="http://schemas.openxmlformats.org/officeDocument/2006/relationships/externalLink" Target="externalLinks/externalLink248.xml"/><Relationship Id="rId303" Type="http://schemas.openxmlformats.org/officeDocument/2006/relationships/externalLink" Target="externalLinks/externalLink252.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externalLink" Target="externalLinks/externalLink12.xml"/><Relationship Id="rId84" Type="http://schemas.openxmlformats.org/officeDocument/2006/relationships/externalLink" Target="externalLinks/externalLink33.xml"/><Relationship Id="rId138" Type="http://schemas.openxmlformats.org/officeDocument/2006/relationships/externalLink" Target="externalLinks/externalLink87.xml"/><Relationship Id="rId159" Type="http://schemas.openxmlformats.org/officeDocument/2006/relationships/externalLink" Target="externalLinks/externalLink108.xml"/><Relationship Id="rId324" Type="http://schemas.openxmlformats.org/officeDocument/2006/relationships/styles" Target="styles.xml"/><Relationship Id="rId170" Type="http://schemas.openxmlformats.org/officeDocument/2006/relationships/externalLink" Target="externalLinks/externalLink119.xml"/><Relationship Id="rId191" Type="http://schemas.openxmlformats.org/officeDocument/2006/relationships/externalLink" Target="externalLinks/externalLink140.xml"/><Relationship Id="rId205" Type="http://schemas.openxmlformats.org/officeDocument/2006/relationships/externalLink" Target="externalLinks/externalLink154.xml"/><Relationship Id="rId226" Type="http://schemas.openxmlformats.org/officeDocument/2006/relationships/externalLink" Target="externalLinks/externalLink175.xml"/><Relationship Id="rId247" Type="http://schemas.openxmlformats.org/officeDocument/2006/relationships/externalLink" Target="externalLinks/externalLink196.xml"/><Relationship Id="rId107" Type="http://schemas.openxmlformats.org/officeDocument/2006/relationships/externalLink" Target="externalLinks/externalLink56.xml"/><Relationship Id="rId268" Type="http://schemas.openxmlformats.org/officeDocument/2006/relationships/externalLink" Target="externalLinks/externalLink217.xml"/><Relationship Id="rId289" Type="http://schemas.openxmlformats.org/officeDocument/2006/relationships/externalLink" Target="externalLinks/externalLink238.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externalLink" Target="externalLinks/externalLink2.xml"/><Relationship Id="rId74" Type="http://schemas.openxmlformats.org/officeDocument/2006/relationships/externalLink" Target="externalLinks/externalLink23.xml"/><Relationship Id="rId128" Type="http://schemas.openxmlformats.org/officeDocument/2006/relationships/externalLink" Target="externalLinks/externalLink77.xml"/><Relationship Id="rId149" Type="http://schemas.openxmlformats.org/officeDocument/2006/relationships/externalLink" Target="externalLinks/externalLink98.xml"/><Relationship Id="rId314" Type="http://schemas.openxmlformats.org/officeDocument/2006/relationships/externalLink" Target="externalLinks/externalLink263.xml"/><Relationship Id="rId5" Type="http://schemas.openxmlformats.org/officeDocument/2006/relationships/worksheet" Target="worksheets/sheet5.xml"/><Relationship Id="rId95" Type="http://schemas.openxmlformats.org/officeDocument/2006/relationships/externalLink" Target="externalLinks/externalLink44.xml"/><Relationship Id="rId160" Type="http://schemas.openxmlformats.org/officeDocument/2006/relationships/externalLink" Target="externalLinks/externalLink109.xml"/><Relationship Id="rId181" Type="http://schemas.openxmlformats.org/officeDocument/2006/relationships/externalLink" Target="externalLinks/externalLink130.xml"/><Relationship Id="rId216" Type="http://schemas.openxmlformats.org/officeDocument/2006/relationships/externalLink" Target="externalLinks/externalLink165.xml"/><Relationship Id="rId237" Type="http://schemas.openxmlformats.org/officeDocument/2006/relationships/externalLink" Target="externalLinks/externalLink186.xml"/><Relationship Id="rId258" Type="http://schemas.openxmlformats.org/officeDocument/2006/relationships/externalLink" Target="externalLinks/externalLink207.xml"/><Relationship Id="rId279" Type="http://schemas.openxmlformats.org/officeDocument/2006/relationships/externalLink" Target="externalLinks/externalLink22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externalLink" Target="externalLinks/externalLink13.xml"/><Relationship Id="rId118" Type="http://schemas.openxmlformats.org/officeDocument/2006/relationships/externalLink" Target="externalLinks/externalLink67.xml"/><Relationship Id="rId139" Type="http://schemas.openxmlformats.org/officeDocument/2006/relationships/externalLink" Target="externalLinks/externalLink88.xml"/><Relationship Id="rId290" Type="http://schemas.openxmlformats.org/officeDocument/2006/relationships/externalLink" Target="externalLinks/externalLink239.xml"/><Relationship Id="rId304" Type="http://schemas.openxmlformats.org/officeDocument/2006/relationships/externalLink" Target="externalLinks/externalLink253.xml"/><Relationship Id="rId325" Type="http://schemas.openxmlformats.org/officeDocument/2006/relationships/sharedStrings" Target="sharedStrings.xml"/><Relationship Id="rId85" Type="http://schemas.openxmlformats.org/officeDocument/2006/relationships/externalLink" Target="externalLinks/externalLink34.xml"/><Relationship Id="rId150" Type="http://schemas.openxmlformats.org/officeDocument/2006/relationships/externalLink" Target="externalLinks/externalLink99.xml"/><Relationship Id="rId171" Type="http://schemas.openxmlformats.org/officeDocument/2006/relationships/externalLink" Target="externalLinks/externalLink120.xml"/><Relationship Id="rId192" Type="http://schemas.openxmlformats.org/officeDocument/2006/relationships/externalLink" Target="externalLinks/externalLink141.xml"/><Relationship Id="rId206" Type="http://schemas.openxmlformats.org/officeDocument/2006/relationships/externalLink" Target="externalLinks/externalLink155.xml"/><Relationship Id="rId227" Type="http://schemas.openxmlformats.org/officeDocument/2006/relationships/externalLink" Target="externalLinks/externalLink176.xml"/><Relationship Id="rId248" Type="http://schemas.openxmlformats.org/officeDocument/2006/relationships/externalLink" Target="externalLinks/externalLink197.xml"/><Relationship Id="rId269" Type="http://schemas.openxmlformats.org/officeDocument/2006/relationships/externalLink" Target="externalLinks/externalLink218.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externalLink" Target="externalLinks/externalLink57.xml"/><Relationship Id="rId129" Type="http://schemas.openxmlformats.org/officeDocument/2006/relationships/externalLink" Target="externalLinks/externalLink78.xml"/><Relationship Id="rId280" Type="http://schemas.openxmlformats.org/officeDocument/2006/relationships/externalLink" Target="externalLinks/externalLink229.xml"/><Relationship Id="rId315" Type="http://schemas.openxmlformats.org/officeDocument/2006/relationships/externalLink" Target="externalLinks/externalLink264.xml"/><Relationship Id="rId54" Type="http://schemas.openxmlformats.org/officeDocument/2006/relationships/externalLink" Target="externalLinks/externalLink3.xml"/><Relationship Id="rId75" Type="http://schemas.openxmlformats.org/officeDocument/2006/relationships/externalLink" Target="externalLinks/externalLink24.xml"/><Relationship Id="rId96" Type="http://schemas.openxmlformats.org/officeDocument/2006/relationships/externalLink" Target="externalLinks/externalLink45.xml"/><Relationship Id="rId140" Type="http://schemas.openxmlformats.org/officeDocument/2006/relationships/externalLink" Target="externalLinks/externalLink89.xml"/><Relationship Id="rId161" Type="http://schemas.openxmlformats.org/officeDocument/2006/relationships/externalLink" Target="externalLinks/externalLink110.xml"/><Relationship Id="rId182" Type="http://schemas.openxmlformats.org/officeDocument/2006/relationships/externalLink" Target="externalLinks/externalLink131.xml"/><Relationship Id="rId217" Type="http://schemas.openxmlformats.org/officeDocument/2006/relationships/externalLink" Target="externalLinks/externalLink166.xml"/><Relationship Id="rId6" Type="http://schemas.openxmlformats.org/officeDocument/2006/relationships/worksheet" Target="worksheets/sheet6.xml"/><Relationship Id="rId238" Type="http://schemas.openxmlformats.org/officeDocument/2006/relationships/externalLink" Target="externalLinks/externalLink187.xml"/><Relationship Id="rId259" Type="http://schemas.openxmlformats.org/officeDocument/2006/relationships/externalLink" Target="externalLinks/externalLink208.xml"/><Relationship Id="rId23" Type="http://schemas.openxmlformats.org/officeDocument/2006/relationships/worksheet" Target="worksheets/sheet23.xml"/><Relationship Id="rId119" Type="http://schemas.openxmlformats.org/officeDocument/2006/relationships/externalLink" Target="externalLinks/externalLink68.xml"/><Relationship Id="rId270" Type="http://schemas.openxmlformats.org/officeDocument/2006/relationships/externalLink" Target="externalLinks/externalLink219.xml"/><Relationship Id="rId291" Type="http://schemas.openxmlformats.org/officeDocument/2006/relationships/externalLink" Target="externalLinks/externalLink240.xml"/><Relationship Id="rId305" Type="http://schemas.openxmlformats.org/officeDocument/2006/relationships/externalLink" Target="externalLinks/externalLink254.xml"/><Relationship Id="rId326" Type="http://schemas.openxmlformats.org/officeDocument/2006/relationships/calcChain" Target="calcChain.xml"/><Relationship Id="rId44" Type="http://schemas.openxmlformats.org/officeDocument/2006/relationships/worksheet" Target="worksheets/sheet44.xml"/><Relationship Id="rId65" Type="http://schemas.openxmlformats.org/officeDocument/2006/relationships/externalLink" Target="externalLinks/externalLink14.xml"/><Relationship Id="rId86" Type="http://schemas.openxmlformats.org/officeDocument/2006/relationships/externalLink" Target="externalLinks/externalLink35.xml"/><Relationship Id="rId130" Type="http://schemas.openxmlformats.org/officeDocument/2006/relationships/externalLink" Target="externalLinks/externalLink79.xml"/><Relationship Id="rId151" Type="http://schemas.openxmlformats.org/officeDocument/2006/relationships/externalLink" Target="externalLinks/externalLink100.xml"/><Relationship Id="rId172" Type="http://schemas.openxmlformats.org/officeDocument/2006/relationships/externalLink" Target="externalLinks/externalLink121.xml"/><Relationship Id="rId193" Type="http://schemas.openxmlformats.org/officeDocument/2006/relationships/externalLink" Target="externalLinks/externalLink142.xml"/><Relationship Id="rId207" Type="http://schemas.openxmlformats.org/officeDocument/2006/relationships/externalLink" Target="externalLinks/externalLink156.xml"/><Relationship Id="rId228" Type="http://schemas.openxmlformats.org/officeDocument/2006/relationships/externalLink" Target="externalLinks/externalLink177.xml"/><Relationship Id="rId249" Type="http://schemas.openxmlformats.org/officeDocument/2006/relationships/externalLink" Target="externalLinks/externalLink198.xml"/><Relationship Id="rId13" Type="http://schemas.openxmlformats.org/officeDocument/2006/relationships/worksheet" Target="worksheets/sheet13.xml"/><Relationship Id="rId109" Type="http://schemas.openxmlformats.org/officeDocument/2006/relationships/externalLink" Target="externalLinks/externalLink58.xml"/><Relationship Id="rId260" Type="http://schemas.openxmlformats.org/officeDocument/2006/relationships/externalLink" Target="externalLinks/externalLink209.xml"/><Relationship Id="rId281" Type="http://schemas.openxmlformats.org/officeDocument/2006/relationships/externalLink" Target="externalLinks/externalLink230.xml"/><Relationship Id="rId316" Type="http://schemas.openxmlformats.org/officeDocument/2006/relationships/externalLink" Target="externalLinks/externalLink265.xml"/><Relationship Id="rId34" Type="http://schemas.openxmlformats.org/officeDocument/2006/relationships/worksheet" Target="worksheets/sheet34.xml"/><Relationship Id="rId55" Type="http://schemas.openxmlformats.org/officeDocument/2006/relationships/externalLink" Target="externalLinks/externalLink4.xml"/><Relationship Id="rId76" Type="http://schemas.openxmlformats.org/officeDocument/2006/relationships/externalLink" Target="externalLinks/externalLink25.xml"/><Relationship Id="rId97" Type="http://schemas.openxmlformats.org/officeDocument/2006/relationships/externalLink" Target="externalLinks/externalLink46.xml"/><Relationship Id="rId120" Type="http://schemas.openxmlformats.org/officeDocument/2006/relationships/externalLink" Target="externalLinks/externalLink69.xml"/><Relationship Id="rId141" Type="http://schemas.openxmlformats.org/officeDocument/2006/relationships/externalLink" Target="externalLinks/externalLink90.xml"/><Relationship Id="rId7" Type="http://schemas.openxmlformats.org/officeDocument/2006/relationships/worksheet" Target="worksheets/sheet7.xml"/><Relationship Id="rId162" Type="http://schemas.openxmlformats.org/officeDocument/2006/relationships/externalLink" Target="externalLinks/externalLink111.xml"/><Relationship Id="rId183" Type="http://schemas.openxmlformats.org/officeDocument/2006/relationships/externalLink" Target="externalLinks/externalLink132.xml"/><Relationship Id="rId218" Type="http://schemas.openxmlformats.org/officeDocument/2006/relationships/externalLink" Target="externalLinks/externalLink167.xml"/><Relationship Id="rId239" Type="http://schemas.openxmlformats.org/officeDocument/2006/relationships/externalLink" Target="externalLinks/externalLink188.xml"/><Relationship Id="rId250" Type="http://schemas.openxmlformats.org/officeDocument/2006/relationships/externalLink" Target="externalLinks/externalLink199.xml"/><Relationship Id="rId271" Type="http://schemas.openxmlformats.org/officeDocument/2006/relationships/externalLink" Target="externalLinks/externalLink220.xml"/><Relationship Id="rId292" Type="http://schemas.openxmlformats.org/officeDocument/2006/relationships/externalLink" Target="externalLinks/externalLink241.xml"/><Relationship Id="rId306" Type="http://schemas.openxmlformats.org/officeDocument/2006/relationships/externalLink" Target="externalLinks/externalLink255.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externalLink" Target="externalLinks/externalLink15.xml"/><Relationship Id="rId87" Type="http://schemas.openxmlformats.org/officeDocument/2006/relationships/externalLink" Target="externalLinks/externalLink36.xml"/><Relationship Id="rId110" Type="http://schemas.openxmlformats.org/officeDocument/2006/relationships/externalLink" Target="externalLinks/externalLink59.xml"/><Relationship Id="rId131" Type="http://schemas.openxmlformats.org/officeDocument/2006/relationships/externalLink" Target="externalLinks/externalLink80.xml"/><Relationship Id="rId327" Type="http://schemas.openxmlformats.org/officeDocument/2006/relationships/customXml" Target="../customXml/item1.xml"/><Relationship Id="rId152" Type="http://schemas.openxmlformats.org/officeDocument/2006/relationships/externalLink" Target="externalLinks/externalLink101.xml"/><Relationship Id="rId173" Type="http://schemas.openxmlformats.org/officeDocument/2006/relationships/externalLink" Target="externalLinks/externalLink122.xml"/><Relationship Id="rId194" Type="http://schemas.openxmlformats.org/officeDocument/2006/relationships/externalLink" Target="externalLinks/externalLink143.xml"/><Relationship Id="rId208" Type="http://schemas.openxmlformats.org/officeDocument/2006/relationships/externalLink" Target="externalLinks/externalLink157.xml"/><Relationship Id="rId229" Type="http://schemas.openxmlformats.org/officeDocument/2006/relationships/externalLink" Target="externalLinks/externalLink178.xml"/><Relationship Id="rId240" Type="http://schemas.openxmlformats.org/officeDocument/2006/relationships/externalLink" Target="externalLinks/externalLink189.xml"/><Relationship Id="rId261" Type="http://schemas.openxmlformats.org/officeDocument/2006/relationships/externalLink" Target="externalLinks/externalLink210.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externalLink" Target="externalLinks/externalLink5.xml"/><Relationship Id="rId77" Type="http://schemas.openxmlformats.org/officeDocument/2006/relationships/externalLink" Target="externalLinks/externalLink26.xml"/><Relationship Id="rId100" Type="http://schemas.openxmlformats.org/officeDocument/2006/relationships/externalLink" Target="externalLinks/externalLink49.xml"/><Relationship Id="rId105" Type="http://schemas.openxmlformats.org/officeDocument/2006/relationships/externalLink" Target="externalLinks/externalLink54.xml"/><Relationship Id="rId126" Type="http://schemas.openxmlformats.org/officeDocument/2006/relationships/externalLink" Target="externalLinks/externalLink75.xml"/><Relationship Id="rId147" Type="http://schemas.openxmlformats.org/officeDocument/2006/relationships/externalLink" Target="externalLinks/externalLink96.xml"/><Relationship Id="rId168" Type="http://schemas.openxmlformats.org/officeDocument/2006/relationships/externalLink" Target="externalLinks/externalLink117.xml"/><Relationship Id="rId282" Type="http://schemas.openxmlformats.org/officeDocument/2006/relationships/externalLink" Target="externalLinks/externalLink231.xml"/><Relationship Id="rId312" Type="http://schemas.openxmlformats.org/officeDocument/2006/relationships/externalLink" Target="externalLinks/externalLink261.xml"/><Relationship Id="rId317" Type="http://schemas.openxmlformats.org/officeDocument/2006/relationships/externalLink" Target="externalLinks/externalLink266.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21.xml"/><Relationship Id="rId93" Type="http://schemas.openxmlformats.org/officeDocument/2006/relationships/externalLink" Target="externalLinks/externalLink42.xml"/><Relationship Id="rId98" Type="http://schemas.openxmlformats.org/officeDocument/2006/relationships/externalLink" Target="externalLinks/externalLink47.xml"/><Relationship Id="rId121" Type="http://schemas.openxmlformats.org/officeDocument/2006/relationships/externalLink" Target="externalLinks/externalLink70.xml"/><Relationship Id="rId142" Type="http://schemas.openxmlformats.org/officeDocument/2006/relationships/externalLink" Target="externalLinks/externalLink91.xml"/><Relationship Id="rId163" Type="http://schemas.openxmlformats.org/officeDocument/2006/relationships/externalLink" Target="externalLinks/externalLink112.xml"/><Relationship Id="rId184" Type="http://schemas.openxmlformats.org/officeDocument/2006/relationships/externalLink" Target="externalLinks/externalLink133.xml"/><Relationship Id="rId189" Type="http://schemas.openxmlformats.org/officeDocument/2006/relationships/externalLink" Target="externalLinks/externalLink138.xml"/><Relationship Id="rId219" Type="http://schemas.openxmlformats.org/officeDocument/2006/relationships/externalLink" Target="externalLinks/externalLink168.xml"/><Relationship Id="rId3" Type="http://schemas.openxmlformats.org/officeDocument/2006/relationships/worksheet" Target="worksheets/sheet3.xml"/><Relationship Id="rId214" Type="http://schemas.openxmlformats.org/officeDocument/2006/relationships/externalLink" Target="externalLinks/externalLink163.xml"/><Relationship Id="rId230" Type="http://schemas.openxmlformats.org/officeDocument/2006/relationships/externalLink" Target="externalLinks/externalLink179.xml"/><Relationship Id="rId235" Type="http://schemas.openxmlformats.org/officeDocument/2006/relationships/externalLink" Target="externalLinks/externalLink184.xml"/><Relationship Id="rId251" Type="http://schemas.openxmlformats.org/officeDocument/2006/relationships/externalLink" Target="externalLinks/externalLink200.xml"/><Relationship Id="rId256" Type="http://schemas.openxmlformats.org/officeDocument/2006/relationships/externalLink" Target="externalLinks/externalLink205.xml"/><Relationship Id="rId277" Type="http://schemas.openxmlformats.org/officeDocument/2006/relationships/externalLink" Target="externalLinks/externalLink226.xml"/><Relationship Id="rId298" Type="http://schemas.openxmlformats.org/officeDocument/2006/relationships/externalLink" Target="externalLinks/externalLink247.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externalLink" Target="externalLinks/externalLink16.xml"/><Relationship Id="rId116" Type="http://schemas.openxmlformats.org/officeDocument/2006/relationships/externalLink" Target="externalLinks/externalLink65.xml"/><Relationship Id="rId137" Type="http://schemas.openxmlformats.org/officeDocument/2006/relationships/externalLink" Target="externalLinks/externalLink86.xml"/><Relationship Id="rId158" Type="http://schemas.openxmlformats.org/officeDocument/2006/relationships/externalLink" Target="externalLinks/externalLink107.xml"/><Relationship Id="rId272" Type="http://schemas.openxmlformats.org/officeDocument/2006/relationships/externalLink" Target="externalLinks/externalLink221.xml"/><Relationship Id="rId293" Type="http://schemas.openxmlformats.org/officeDocument/2006/relationships/externalLink" Target="externalLinks/externalLink242.xml"/><Relationship Id="rId302" Type="http://schemas.openxmlformats.org/officeDocument/2006/relationships/externalLink" Target="externalLinks/externalLink251.xml"/><Relationship Id="rId307" Type="http://schemas.openxmlformats.org/officeDocument/2006/relationships/externalLink" Target="externalLinks/externalLink256.xml"/><Relationship Id="rId323"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externalLink" Target="externalLinks/externalLink11.xml"/><Relationship Id="rId83" Type="http://schemas.openxmlformats.org/officeDocument/2006/relationships/externalLink" Target="externalLinks/externalLink32.xml"/><Relationship Id="rId88" Type="http://schemas.openxmlformats.org/officeDocument/2006/relationships/externalLink" Target="externalLinks/externalLink37.xml"/><Relationship Id="rId111" Type="http://schemas.openxmlformats.org/officeDocument/2006/relationships/externalLink" Target="externalLinks/externalLink60.xml"/><Relationship Id="rId132" Type="http://schemas.openxmlformats.org/officeDocument/2006/relationships/externalLink" Target="externalLinks/externalLink81.xml"/><Relationship Id="rId153" Type="http://schemas.openxmlformats.org/officeDocument/2006/relationships/externalLink" Target="externalLinks/externalLink102.xml"/><Relationship Id="rId174" Type="http://schemas.openxmlformats.org/officeDocument/2006/relationships/externalLink" Target="externalLinks/externalLink123.xml"/><Relationship Id="rId179" Type="http://schemas.openxmlformats.org/officeDocument/2006/relationships/externalLink" Target="externalLinks/externalLink128.xml"/><Relationship Id="rId195" Type="http://schemas.openxmlformats.org/officeDocument/2006/relationships/externalLink" Target="externalLinks/externalLink144.xml"/><Relationship Id="rId209" Type="http://schemas.openxmlformats.org/officeDocument/2006/relationships/externalLink" Target="externalLinks/externalLink158.xml"/><Relationship Id="rId190" Type="http://schemas.openxmlformats.org/officeDocument/2006/relationships/externalLink" Target="externalLinks/externalLink139.xml"/><Relationship Id="rId204" Type="http://schemas.openxmlformats.org/officeDocument/2006/relationships/externalLink" Target="externalLinks/externalLink153.xml"/><Relationship Id="rId220" Type="http://schemas.openxmlformats.org/officeDocument/2006/relationships/externalLink" Target="externalLinks/externalLink169.xml"/><Relationship Id="rId225" Type="http://schemas.openxmlformats.org/officeDocument/2006/relationships/externalLink" Target="externalLinks/externalLink174.xml"/><Relationship Id="rId241" Type="http://schemas.openxmlformats.org/officeDocument/2006/relationships/externalLink" Target="externalLinks/externalLink190.xml"/><Relationship Id="rId246" Type="http://schemas.openxmlformats.org/officeDocument/2006/relationships/externalLink" Target="externalLinks/externalLink195.xml"/><Relationship Id="rId267" Type="http://schemas.openxmlformats.org/officeDocument/2006/relationships/externalLink" Target="externalLinks/externalLink216.xml"/><Relationship Id="rId288" Type="http://schemas.openxmlformats.org/officeDocument/2006/relationships/externalLink" Target="externalLinks/externalLink237.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externalLink" Target="externalLinks/externalLink6.xml"/><Relationship Id="rId106" Type="http://schemas.openxmlformats.org/officeDocument/2006/relationships/externalLink" Target="externalLinks/externalLink55.xml"/><Relationship Id="rId127" Type="http://schemas.openxmlformats.org/officeDocument/2006/relationships/externalLink" Target="externalLinks/externalLink76.xml"/><Relationship Id="rId262" Type="http://schemas.openxmlformats.org/officeDocument/2006/relationships/externalLink" Target="externalLinks/externalLink211.xml"/><Relationship Id="rId283" Type="http://schemas.openxmlformats.org/officeDocument/2006/relationships/externalLink" Target="externalLinks/externalLink232.xml"/><Relationship Id="rId313" Type="http://schemas.openxmlformats.org/officeDocument/2006/relationships/externalLink" Target="externalLinks/externalLink262.xml"/><Relationship Id="rId318" Type="http://schemas.openxmlformats.org/officeDocument/2006/relationships/externalLink" Target="externalLinks/externalLink26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externalLink" Target="externalLinks/externalLink1.xml"/><Relationship Id="rId73" Type="http://schemas.openxmlformats.org/officeDocument/2006/relationships/externalLink" Target="externalLinks/externalLink22.xml"/><Relationship Id="rId78" Type="http://schemas.openxmlformats.org/officeDocument/2006/relationships/externalLink" Target="externalLinks/externalLink27.xml"/><Relationship Id="rId94" Type="http://schemas.openxmlformats.org/officeDocument/2006/relationships/externalLink" Target="externalLinks/externalLink43.xml"/><Relationship Id="rId99" Type="http://schemas.openxmlformats.org/officeDocument/2006/relationships/externalLink" Target="externalLinks/externalLink48.xml"/><Relationship Id="rId101" Type="http://schemas.openxmlformats.org/officeDocument/2006/relationships/externalLink" Target="externalLinks/externalLink50.xml"/><Relationship Id="rId122" Type="http://schemas.openxmlformats.org/officeDocument/2006/relationships/externalLink" Target="externalLinks/externalLink71.xml"/><Relationship Id="rId143" Type="http://schemas.openxmlformats.org/officeDocument/2006/relationships/externalLink" Target="externalLinks/externalLink92.xml"/><Relationship Id="rId148" Type="http://schemas.openxmlformats.org/officeDocument/2006/relationships/externalLink" Target="externalLinks/externalLink97.xml"/><Relationship Id="rId164" Type="http://schemas.openxmlformats.org/officeDocument/2006/relationships/externalLink" Target="externalLinks/externalLink113.xml"/><Relationship Id="rId169" Type="http://schemas.openxmlformats.org/officeDocument/2006/relationships/externalLink" Target="externalLinks/externalLink118.xml"/><Relationship Id="rId185" Type="http://schemas.openxmlformats.org/officeDocument/2006/relationships/externalLink" Target="externalLinks/externalLink134.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29.xml"/><Relationship Id="rId210" Type="http://schemas.openxmlformats.org/officeDocument/2006/relationships/externalLink" Target="externalLinks/externalLink159.xml"/><Relationship Id="rId215" Type="http://schemas.openxmlformats.org/officeDocument/2006/relationships/externalLink" Target="externalLinks/externalLink164.xml"/><Relationship Id="rId236" Type="http://schemas.openxmlformats.org/officeDocument/2006/relationships/externalLink" Target="externalLinks/externalLink185.xml"/><Relationship Id="rId257" Type="http://schemas.openxmlformats.org/officeDocument/2006/relationships/externalLink" Target="externalLinks/externalLink206.xml"/><Relationship Id="rId278" Type="http://schemas.openxmlformats.org/officeDocument/2006/relationships/externalLink" Target="externalLinks/externalLink227.xml"/><Relationship Id="rId26" Type="http://schemas.openxmlformats.org/officeDocument/2006/relationships/worksheet" Target="worksheets/sheet26.xml"/><Relationship Id="rId231" Type="http://schemas.openxmlformats.org/officeDocument/2006/relationships/externalLink" Target="externalLinks/externalLink180.xml"/><Relationship Id="rId252" Type="http://schemas.openxmlformats.org/officeDocument/2006/relationships/externalLink" Target="externalLinks/externalLink201.xml"/><Relationship Id="rId273" Type="http://schemas.openxmlformats.org/officeDocument/2006/relationships/externalLink" Target="externalLinks/externalLink222.xml"/><Relationship Id="rId294" Type="http://schemas.openxmlformats.org/officeDocument/2006/relationships/externalLink" Target="externalLinks/externalLink243.xml"/><Relationship Id="rId308" Type="http://schemas.openxmlformats.org/officeDocument/2006/relationships/externalLink" Target="externalLinks/externalLink257.xml"/><Relationship Id="rId47" Type="http://schemas.openxmlformats.org/officeDocument/2006/relationships/worksheet" Target="worksheets/sheet47.xml"/><Relationship Id="rId68" Type="http://schemas.openxmlformats.org/officeDocument/2006/relationships/externalLink" Target="externalLinks/externalLink17.xml"/><Relationship Id="rId89" Type="http://schemas.openxmlformats.org/officeDocument/2006/relationships/externalLink" Target="externalLinks/externalLink38.xml"/><Relationship Id="rId112" Type="http://schemas.openxmlformats.org/officeDocument/2006/relationships/externalLink" Target="externalLinks/externalLink61.xml"/><Relationship Id="rId133" Type="http://schemas.openxmlformats.org/officeDocument/2006/relationships/externalLink" Target="externalLinks/externalLink82.xml"/><Relationship Id="rId154" Type="http://schemas.openxmlformats.org/officeDocument/2006/relationships/externalLink" Target="externalLinks/externalLink103.xml"/><Relationship Id="rId175" Type="http://schemas.openxmlformats.org/officeDocument/2006/relationships/externalLink" Target="externalLinks/externalLink124.xml"/><Relationship Id="rId196" Type="http://schemas.openxmlformats.org/officeDocument/2006/relationships/externalLink" Target="externalLinks/externalLink145.xml"/><Relationship Id="rId200" Type="http://schemas.openxmlformats.org/officeDocument/2006/relationships/externalLink" Target="externalLinks/externalLink149.xml"/><Relationship Id="rId16" Type="http://schemas.openxmlformats.org/officeDocument/2006/relationships/worksheet" Target="worksheets/sheet16.xml"/><Relationship Id="rId221" Type="http://schemas.openxmlformats.org/officeDocument/2006/relationships/externalLink" Target="externalLinks/externalLink170.xml"/><Relationship Id="rId242" Type="http://schemas.openxmlformats.org/officeDocument/2006/relationships/externalLink" Target="externalLinks/externalLink191.xml"/><Relationship Id="rId263" Type="http://schemas.openxmlformats.org/officeDocument/2006/relationships/externalLink" Target="externalLinks/externalLink212.xml"/><Relationship Id="rId284" Type="http://schemas.openxmlformats.org/officeDocument/2006/relationships/externalLink" Target="externalLinks/externalLink233.xml"/><Relationship Id="rId319" Type="http://schemas.openxmlformats.org/officeDocument/2006/relationships/externalLink" Target="externalLinks/externalLink268.xml"/><Relationship Id="rId37" Type="http://schemas.openxmlformats.org/officeDocument/2006/relationships/worksheet" Target="worksheets/sheet37.xml"/><Relationship Id="rId58" Type="http://schemas.openxmlformats.org/officeDocument/2006/relationships/externalLink" Target="externalLinks/externalLink7.xml"/><Relationship Id="rId79" Type="http://schemas.openxmlformats.org/officeDocument/2006/relationships/externalLink" Target="externalLinks/externalLink28.xml"/><Relationship Id="rId102" Type="http://schemas.openxmlformats.org/officeDocument/2006/relationships/externalLink" Target="externalLinks/externalLink51.xml"/><Relationship Id="rId123" Type="http://schemas.openxmlformats.org/officeDocument/2006/relationships/externalLink" Target="externalLinks/externalLink72.xml"/><Relationship Id="rId144" Type="http://schemas.openxmlformats.org/officeDocument/2006/relationships/externalLink" Target="externalLinks/externalLink93.xml"/><Relationship Id="rId90" Type="http://schemas.openxmlformats.org/officeDocument/2006/relationships/externalLink" Target="externalLinks/externalLink39.xml"/><Relationship Id="rId165" Type="http://schemas.openxmlformats.org/officeDocument/2006/relationships/externalLink" Target="externalLinks/externalLink114.xml"/><Relationship Id="rId186" Type="http://schemas.openxmlformats.org/officeDocument/2006/relationships/externalLink" Target="externalLinks/externalLink135.xml"/><Relationship Id="rId211" Type="http://schemas.openxmlformats.org/officeDocument/2006/relationships/externalLink" Target="externalLinks/externalLink160.xml"/><Relationship Id="rId232" Type="http://schemas.openxmlformats.org/officeDocument/2006/relationships/externalLink" Target="externalLinks/externalLink181.xml"/><Relationship Id="rId253" Type="http://schemas.openxmlformats.org/officeDocument/2006/relationships/externalLink" Target="externalLinks/externalLink202.xml"/><Relationship Id="rId274" Type="http://schemas.openxmlformats.org/officeDocument/2006/relationships/externalLink" Target="externalLinks/externalLink223.xml"/><Relationship Id="rId295" Type="http://schemas.openxmlformats.org/officeDocument/2006/relationships/externalLink" Target="externalLinks/externalLink244.xml"/><Relationship Id="rId309" Type="http://schemas.openxmlformats.org/officeDocument/2006/relationships/externalLink" Target="externalLinks/externalLink258.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externalLink" Target="externalLinks/externalLink18.xml"/><Relationship Id="rId113" Type="http://schemas.openxmlformats.org/officeDocument/2006/relationships/externalLink" Target="externalLinks/externalLink62.xml"/><Relationship Id="rId134" Type="http://schemas.openxmlformats.org/officeDocument/2006/relationships/externalLink" Target="externalLinks/externalLink83.xml"/><Relationship Id="rId320" Type="http://schemas.openxmlformats.org/officeDocument/2006/relationships/externalLink" Target="externalLinks/externalLink269.xml"/><Relationship Id="rId80" Type="http://schemas.openxmlformats.org/officeDocument/2006/relationships/externalLink" Target="externalLinks/externalLink29.xml"/><Relationship Id="rId155" Type="http://schemas.openxmlformats.org/officeDocument/2006/relationships/externalLink" Target="externalLinks/externalLink104.xml"/><Relationship Id="rId176" Type="http://schemas.openxmlformats.org/officeDocument/2006/relationships/externalLink" Target="externalLinks/externalLink125.xml"/><Relationship Id="rId197" Type="http://schemas.openxmlformats.org/officeDocument/2006/relationships/externalLink" Target="externalLinks/externalLink146.xml"/><Relationship Id="rId201" Type="http://schemas.openxmlformats.org/officeDocument/2006/relationships/externalLink" Target="externalLinks/externalLink150.xml"/><Relationship Id="rId222" Type="http://schemas.openxmlformats.org/officeDocument/2006/relationships/externalLink" Target="externalLinks/externalLink171.xml"/><Relationship Id="rId243" Type="http://schemas.openxmlformats.org/officeDocument/2006/relationships/externalLink" Target="externalLinks/externalLink192.xml"/><Relationship Id="rId264" Type="http://schemas.openxmlformats.org/officeDocument/2006/relationships/externalLink" Target="externalLinks/externalLink213.xml"/><Relationship Id="rId285" Type="http://schemas.openxmlformats.org/officeDocument/2006/relationships/externalLink" Target="externalLinks/externalLink23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externalLink" Target="externalLinks/externalLink8.xml"/><Relationship Id="rId103" Type="http://schemas.openxmlformats.org/officeDocument/2006/relationships/externalLink" Target="externalLinks/externalLink52.xml"/><Relationship Id="rId124" Type="http://schemas.openxmlformats.org/officeDocument/2006/relationships/externalLink" Target="externalLinks/externalLink73.xml"/><Relationship Id="rId310" Type="http://schemas.openxmlformats.org/officeDocument/2006/relationships/externalLink" Target="externalLinks/externalLink259.xml"/><Relationship Id="rId70" Type="http://schemas.openxmlformats.org/officeDocument/2006/relationships/externalLink" Target="externalLinks/externalLink19.xml"/><Relationship Id="rId91" Type="http://schemas.openxmlformats.org/officeDocument/2006/relationships/externalLink" Target="externalLinks/externalLink40.xml"/><Relationship Id="rId145" Type="http://schemas.openxmlformats.org/officeDocument/2006/relationships/externalLink" Target="externalLinks/externalLink94.xml"/><Relationship Id="rId166" Type="http://schemas.openxmlformats.org/officeDocument/2006/relationships/externalLink" Target="externalLinks/externalLink115.xml"/><Relationship Id="rId187" Type="http://schemas.openxmlformats.org/officeDocument/2006/relationships/externalLink" Target="externalLinks/externalLink136.xml"/><Relationship Id="rId1" Type="http://schemas.openxmlformats.org/officeDocument/2006/relationships/worksheet" Target="worksheets/sheet1.xml"/><Relationship Id="rId212" Type="http://schemas.openxmlformats.org/officeDocument/2006/relationships/externalLink" Target="externalLinks/externalLink161.xml"/><Relationship Id="rId233" Type="http://schemas.openxmlformats.org/officeDocument/2006/relationships/externalLink" Target="externalLinks/externalLink182.xml"/><Relationship Id="rId254" Type="http://schemas.openxmlformats.org/officeDocument/2006/relationships/externalLink" Target="externalLinks/externalLink20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externalLink" Target="externalLinks/externalLink63.xml"/><Relationship Id="rId275" Type="http://schemas.openxmlformats.org/officeDocument/2006/relationships/externalLink" Target="externalLinks/externalLink224.xml"/><Relationship Id="rId296" Type="http://schemas.openxmlformats.org/officeDocument/2006/relationships/externalLink" Target="externalLinks/externalLink245.xml"/><Relationship Id="rId300" Type="http://schemas.openxmlformats.org/officeDocument/2006/relationships/externalLink" Target="externalLinks/externalLink249.xml"/><Relationship Id="rId60" Type="http://schemas.openxmlformats.org/officeDocument/2006/relationships/externalLink" Target="externalLinks/externalLink9.xml"/><Relationship Id="rId81" Type="http://schemas.openxmlformats.org/officeDocument/2006/relationships/externalLink" Target="externalLinks/externalLink30.xml"/><Relationship Id="rId135" Type="http://schemas.openxmlformats.org/officeDocument/2006/relationships/externalLink" Target="externalLinks/externalLink84.xml"/><Relationship Id="rId156" Type="http://schemas.openxmlformats.org/officeDocument/2006/relationships/externalLink" Target="externalLinks/externalLink105.xml"/><Relationship Id="rId177" Type="http://schemas.openxmlformats.org/officeDocument/2006/relationships/externalLink" Target="externalLinks/externalLink126.xml"/><Relationship Id="rId198" Type="http://schemas.openxmlformats.org/officeDocument/2006/relationships/externalLink" Target="externalLinks/externalLink147.xml"/><Relationship Id="rId321" Type="http://schemas.openxmlformats.org/officeDocument/2006/relationships/externalLink" Target="externalLinks/externalLink270.xml"/><Relationship Id="rId202" Type="http://schemas.openxmlformats.org/officeDocument/2006/relationships/externalLink" Target="externalLinks/externalLink151.xml"/><Relationship Id="rId223" Type="http://schemas.openxmlformats.org/officeDocument/2006/relationships/externalLink" Target="externalLinks/externalLink172.xml"/><Relationship Id="rId244" Type="http://schemas.openxmlformats.org/officeDocument/2006/relationships/externalLink" Target="externalLinks/externalLink193.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externalLink" Target="externalLinks/externalLink214.xml"/><Relationship Id="rId286" Type="http://schemas.openxmlformats.org/officeDocument/2006/relationships/externalLink" Target="externalLinks/externalLink235.xml"/><Relationship Id="rId50" Type="http://schemas.openxmlformats.org/officeDocument/2006/relationships/worksheet" Target="worksheets/sheet50.xml"/><Relationship Id="rId104" Type="http://schemas.openxmlformats.org/officeDocument/2006/relationships/externalLink" Target="externalLinks/externalLink53.xml"/><Relationship Id="rId125" Type="http://schemas.openxmlformats.org/officeDocument/2006/relationships/externalLink" Target="externalLinks/externalLink74.xml"/><Relationship Id="rId146" Type="http://schemas.openxmlformats.org/officeDocument/2006/relationships/externalLink" Target="externalLinks/externalLink95.xml"/><Relationship Id="rId167" Type="http://schemas.openxmlformats.org/officeDocument/2006/relationships/externalLink" Target="externalLinks/externalLink116.xml"/><Relationship Id="rId188" Type="http://schemas.openxmlformats.org/officeDocument/2006/relationships/externalLink" Target="externalLinks/externalLink137.xml"/><Relationship Id="rId311" Type="http://schemas.openxmlformats.org/officeDocument/2006/relationships/externalLink" Target="externalLinks/externalLink260.xml"/><Relationship Id="rId71" Type="http://schemas.openxmlformats.org/officeDocument/2006/relationships/externalLink" Target="externalLinks/externalLink20.xml"/><Relationship Id="rId92" Type="http://schemas.openxmlformats.org/officeDocument/2006/relationships/externalLink" Target="externalLinks/externalLink41.xml"/><Relationship Id="rId213" Type="http://schemas.openxmlformats.org/officeDocument/2006/relationships/externalLink" Target="externalLinks/externalLink162.xml"/><Relationship Id="rId234" Type="http://schemas.openxmlformats.org/officeDocument/2006/relationships/externalLink" Target="externalLinks/externalLink183.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externalLink" Target="externalLinks/externalLink204.xml"/><Relationship Id="rId276" Type="http://schemas.openxmlformats.org/officeDocument/2006/relationships/externalLink" Target="externalLinks/externalLink225.xml"/><Relationship Id="rId297" Type="http://schemas.openxmlformats.org/officeDocument/2006/relationships/externalLink" Target="externalLinks/externalLink246.xml"/><Relationship Id="rId40" Type="http://schemas.openxmlformats.org/officeDocument/2006/relationships/worksheet" Target="worksheets/sheet40.xml"/><Relationship Id="rId115" Type="http://schemas.openxmlformats.org/officeDocument/2006/relationships/externalLink" Target="externalLinks/externalLink64.xml"/><Relationship Id="rId136" Type="http://schemas.openxmlformats.org/officeDocument/2006/relationships/externalLink" Target="externalLinks/externalLink85.xml"/><Relationship Id="rId157" Type="http://schemas.openxmlformats.org/officeDocument/2006/relationships/externalLink" Target="externalLinks/externalLink106.xml"/><Relationship Id="rId178" Type="http://schemas.openxmlformats.org/officeDocument/2006/relationships/externalLink" Target="externalLinks/externalLink127.xml"/><Relationship Id="rId301" Type="http://schemas.openxmlformats.org/officeDocument/2006/relationships/externalLink" Target="externalLinks/externalLink250.xml"/><Relationship Id="rId322" Type="http://schemas.openxmlformats.org/officeDocument/2006/relationships/externalLink" Target="externalLinks/externalLink271.xml"/><Relationship Id="rId61" Type="http://schemas.openxmlformats.org/officeDocument/2006/relationships/externalLink" Target="externalLinks/externalLink10.xml"/><Relationship Id="rId82" Type="http://schemas.openxmlformats.org/officeDocument/2006/relationships/externalLink" Target="externalLinks/externalLink31.xml"/><Relationship Id="rId199" Type="http://schemas.openxmlformats.org/officeDocument/2006/relationships/externalLink" Target="externalLinks/externalLink148.xml"/><Relationship Id="rId203" Type="http://schemas.openxmlformats.org/officeDocument/2006/relationships/externalLink" Target="externalLinks/externalLink152.xml"/><Relationship Id="rId19" Type="http://schemas.openxmlformats.org/officeDocument/2006/relationships/worksheet" Target="worksheets/sheet19.xml"/><Relationship Id="rId224" Type="http://schemas.openxmlformats.org/officeDocument/2006/relationships/externalLink" Target="externalLinks/externalLink173.xml"/><Relationship Id="rId245" Type="http://schemas.openxmlformats.org/officeDocument/2006/relationships/externalLink" Target="externalLinks/externalLink194.xml"/><Relationship Id="rId266" Type="http://schemas.openxmlformats.org/officeDocument/2006/relationships/externalLink" Target="externalLinks/externalLink215.xml"/><Relationship Id="rId287" Type="http://schemas.openxmlformats.org/officeDocument/2006/relationships/externalLink" Target="externalLinks/externalLink236.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14</xdr:col>
      <xdr:colOff>289242</xdr:colOff>
      <xdr:row>0</xdr:row>
      <xdr:rowOff>323532</xdr:rowOff>
    </xdr:from>
    <xdr:to>
      <xdr:col>16</xdr:col>
      <xdr:colOff>64452</xdr:colOff>
      <xdr:row>2</xdr:row>
      <xdr:rowOff>266382</xdr:rowOff>
    </xdr:to>
    <xdr:sp macro="" textlink="">
      <xdr:nvSpPr>
        <xdr:cNvPr id="2" name="PubHalfFrame">
          <a:extLst>
            <a:ext uri="{FF2B5EF4-FFF2-40B4-BE49-F238E27FC236}">
              <a16:creationId xmlns:a16="http://schemas.microsoft.com/office/drawing/2014/main" xmlns="" id="{00000000-0008-0000-0500-000002000000}"/>
            </a:ext>
          </a:extLst>
        </xdr:cNvPr>
        <xdr:cNvSpPr>
          <a:spLocks noEditPoints="1" noChangeArrowheads="1"/>
        </xdr:cNvSpPr>
      </xdr:nvSpPr>
      <xdr:spPr>
        <a:xfrm rot="5400000">
          <a:off x="5238750" y="325755"/>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3" name="PubHalfFrame">
          <a:extLst>
            <a:ext uri="{FF2B5EF4-FFF2-40B4-BE49-F238E27FC236}">
              <a16:creationId xmlns:a16="http://schemas.microsoft.com/office/drawing/2014/main" xmlns="" id="{00000000-0008-0000-0500-00000300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227647</xdr:colOff>
      <xdr:row>28</xdr:row>
      <xdr:rowOff>6667</xdr:rowOff>
    </xdr:from>
    <xdr:to>
      <xdr:col>16</xdr:col>
      <xdr:colOff>18097</xdr:colOff>
      <xdr:row>30</xdr:row>
      <xdr:rowOff>10477</xdr:rowOff>
    </xdr:to>
    <xdr:sp macro="" textlink="">
      <xdr:nvSpPr>
        <xdr:cNvPr id="4" name="PubHalfFrame">
          <a:extLst>
            <a:ext uri="{FF2B5EF4-FFF2-40B4-BE49-F238E27FC236}">
              <a16:creationId xmlns:a16="http://schemas.microsoft.com/office/drawing/2014/main" xmlns="" id="{00000000-0008-0000-0500-000004000000}"/>
            </a:ext>
          </a:extLst>
        </xdr:cNvPr>
        <xdr:cNvSpPr>
          <a:spLocks noEditPoints="1" noChangeArrowheads="1"/>
        </xdr:cNvSpPr>
      </xdr:nvSpPr>
      <xdr:spPr>
        <a:xfrm rot="5400000" flipH="1">
          <a:off x="5125720" y="7870825"/>
          <a:ext cx="7086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322897</xdr:colOff>
      <xdr:row>27</xdr:row>
      <xdr:rowOff>380047</xdr:rowOff>
    </xdr:from>
    <xdr:to>
      <xdr:col>2</xdr:col>
      <xdr:colOff>193992</xdr:colOff>
      <xdr:row>29</xdr:row>
      <xdr:rowOff>265747</xdr:rowOff>
    </xdr:to>
    <xdr:sp macro="" textlink="">
      <xdr:nvSpPr>
        <xdr:cNvPr id="5" name="PubHalfFrame">
          <a:extLst>
            <a:ext uri="{FF2B5EF4-FFF2-40B4-BE49-F238E27FC236}">
              <a16:creationId xmlns:a16="http://schemas.microsoft.com/office/drawing/2014/main" xmlns="" id="{00000000-0008-0000-0500-000005000000}"/>
            </a:ext>
          </a:extLst>
        </xdr:cNvPr>
        <xdr:cNvSpPr>
          <a:spLocks noEditPoints="1" noChangeArrowheads="1"/>
        </xdr:cNvSpPr>
      </xdr:nvSpPr>
      <xdr:spPr>
        <a:xfrm rot="-5400000">
          <a:off x="286385" y="7844790"/>
          <a:ext cx="64770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30</xdr:row>
      <xdr:rowOff>142875</xdr:rowOff>
    </xdr:to>
    <xdr:sp macro="" textlink="">
      <xdr:nvSpPr>
        <xdr:cNvPr id="6" name="AutoShape 5">
          <a:extLst>
            <a:ext uri="{FF2B5EF4-FFF2-40B4-BE49-F238E27FC236}">
              <a16:creationId xmlns:a16="http://schemas.microsoft.com/office/drawing/2014/main" xmlns="" id="{00000000-0008-0000-0500-000006000000}"/>
            </a:ext>
          </a:extLst>
        </xdr:cNvPr>
        <xdr:cNvSpPr>
          <a:spLocks noChangeArrowheads="1"/>
        </xdr:cNvSpPr>
      </xdr:nvSpPr>
      <xdr:spPr>
        <a:xfrm>
          <a:off x="200025" y="190500"/>
          <a:ext cx="5715000" cy="8467725"/>
        </a:xfrm>
        <a:prstGeom prst="roundRect">
          <a:avLst>
            <a:gd name="adj" fmla="val 0"/>
          </a:avLst>
        </a:prstGeom>
        <a:noFill/>
        <a:ln w="44450">
          <a:solidFill>
            <a:srgbClr val="FF0000"/>
          </a:solidFill>
          <a:round/>
        </a:ln>
      </xdr:spPr>
    </xdr:sp>
    <xdr:clientData/>
  </xdr:twoCellAnchor>
  <xdr:twoCellAnchor>
    <xdr:from>
      <xdr:col>0</xdr:col>
      <xdr:colOff>285750</xdr:colOff>
      <xdr:row>0</xdr:row>
      <xdr:rowOff>266700</xdr:rowOff>
    </xdr:from>
    <xdr:to>
      <xdr:col>16</xdr:col>
      <xdr:colOff>95250</xdr:colOff>
      <xdr:row>30</xdr:row>
      <xdr:rowOff>66675</xdr:rowOff>
    </xdr:to>
    <xdr:sp macro="" textlink="">
      <xdr:nvSpPr>
        <xdr:cNvPr id="7" name="AutoShape 6">
          <a:extLst>
            <a:ext uri="{FF2B5EF4-FFF2-40B4-BE49-F238E27FC236}">
              <a16:creationId xmlns:a16="http://schemas.microsoft.com/office/drawing/2014/main" xmlns="" id="{00000000-0008-0000-0500-000007000000}"/>
            </a:ext>
          </a:extLst>
        </xdr:cNvPr>
        <xdr:cNvSpPr>
          <a:spLocks noChangeArrowheads="1"/>
        </xdr:cNvSpPr>
      </xdr:nvSpPr>
      <xdr:spPr>
        <a:xfrm>
          <a:off x="285750" y="266700"/>
          <a:ext cx="5572125" cy="8315325"/>
        </a:xfrm>
        <a:prstGeom prst="roundRect">
          <a:avLst>
            <a:gd name="adj" fmla="val 0"/>
          </a:avLst>
        </a:prstGeom>
        <a:noFill/>
        <a:ln w="28575">
          <a:solidFill>
            <a:srgbClr val="0000FF"/>
          </a:solidFill>
          <a:rou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15</xdr:row>
      <xdr:rowOff>76200</xdr:rowOff>
    </xdr:from>
    <xdr:to>
      <xdr:col>1</xdr:col>
      <xdr:colOff>138675</xdr:colOff>
      <xdr:row>15</xdr:row>
      <xdr:rowOff>148200</xdr:rowOff>
    </xdr:to>
    <xdr:sp macro="" textlink="">
      <xdr:nvSpPr>
        <xdr:cNvPr id="2" name="Chevron 1">
          <a:extLst>
            <a:ext uri="{FF2B5EF4-FFF2-40B4-BE49-F238E27FC236}">
              <a16:creationId xmlns:a16="http://schemas.microsoft.com/office/drawing/2014/main" xmlns="" id="{00000000-0008-0000-0700-000002000000}"/>
            </a:ext>
          </a:extLst>
        </xdr:cNvPr>
        <xdr:cNvSpPr/>
      </xdr:nvSpPr>
      <xdr:spPr>
        <a:xfrm>
          <a:off x="371475" y="4258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57150</xdr:colOff>
      <xdr:row>16</xdr:row>
      <xdr:rowOff>57150</xdr:rowOff>
    </xdr:from>
    <xdr:to>
      <xdr:col>1</xdr:col>
      <xdr:colOff>129150</xdr:colOff>
      <xdr:row>16</xdr:row>
      <xdr:rowOff>129150</xdr:rowOff>
    </xdr:to>
    <xdr:sp macro="" textlink="">
      <xdr:nvSpPr>
        <xdr:cNvPr id="3" name="Chevron 2">
          <a:extLst>
            <a:ext uri="{FF2B5EF4-FFF2-40B4-BE49-F238E27FC236}">
              <a16:creationId xmlns:a16="http://schemas.microsoft.com/office/drawing/2014/main" xmlns="" id="{00000000-0008-0000-0700-000003000000}"/>
            </a:ext>
          </a:extLst>
        </xdr:cNvPr>
        <xdr:cNvSpPr/>
      </xdr:nvSpPr>
      <xdr:spPr>
        <a:xfrm>
          <a:off x="361950" y="4639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66675</xdr:colOff>
      <xdr:row>17</xdr:row>
      <xdr:rowOff>66675</xdr:rowOff>
    </xdr:from>
    <xdr:to>
      <xdr:col>1</xdr:col>
      <xdr:colOff>138675</xdr:colOff>
      <xdr:row>17</xdr:row>
      <xdr:rowOff>138675</xdr:rowOff>
    </xdr:to>
    <xdr:sp macro="" textlink="">
      <xdr:nvSpPr>
        <xdr:cNvPr id="4" name="Chevron 3">
          <a:extLst>
            <a:ext uri="{FF2B5EF4-FFF2-40B4-BE49-F238E27FC236}">
              <a16:creationId xmlns:a16="http://schemas.microsoft.com/office/drawing/2014/main" xmlns="" id="{00000000-0008-0000-0700-000004000000}"/>
            </a:ext>
          </a:extLst>
        </xdr:cNvPr>
        <xdr:cNvSpPr/>
      </xdr:nvSpPr>
      <xdr:spPr>
        <a:xfrm>
          <a:off x="371475" y="4992370"/>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76200</xdr:colOff>
      <xdr:row>18</xdr:row>
      <xdr:rowOff>57150</xdr:rowOff>
    </xdr:from>
    <xdr:to>
      <xdr:col>1</xdr:col>
      <xdr:colOff>148200</xdr:colOff>
      <xdr:row>18</xdr:row>
      <xdr:rowOff>129150</xdr:rowOff>
    </xdr:to>
    <xdr:sp macro="" textlink="">
      <xdr:nvSpPr>
        <xdr:cNvPr id="5" name="Chevron 4">
          <a:extLst>
            <a:ext uri="{FF2B5EF4-FFF2-40B4-BE49-F238E27FC236}">
              <a16:creationId xmlns:a16="http://schemas.microsoft.com/office/drawing/2014/main" xmlns="" id="{00000000-0008-0000-0700-000005000000}"/>
            </a:ext>
          </a:extLst>
        </xdr:cNvPr>
        <xdr:cNvSpPr/>
      </xdr:nvSpPr>
      <xdr:spPr>
        <a:xfrm>
          <a:off x="381000" y="539051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76200</xdr:colOff>
      <xdr:row>19</xdr:row>
      <xdr:rowOff>66675</xdr:rowOff>
    </xdr:from>
    <xdr:to>
      <xdr:col>1</xdr:col>
      <xdr:colOff>138675</xdr:colOff>
      <xdr:row>19</xdr:row>
      <xdr:rowOff>138675</xdr:rowOff>
    </xdr:to>
    <xdr:sp macro="" textlink="">
      <xdr:nvSpPr>
        <xdr:cNvPr id="6" name="Chevron 5">
          <a:extLst>
            <a:ext uri="{FF2B5EF4-FFF2-40B4-BE49-F238E27FC236}">
              <a16:creationId xmlns:a16="http://schemas.microsoft.com/office/drawing/2014/main" xmlns="" id="{00000000-0008-0000-0700-000006000000}"/>
            </a:ext>
          </a:extLst>
        </xdr:cNvPr>
        <xdr:cNvSpPr/>
      </xdr:nvSpPr>
      <xdr:spPr>
        <a:xfrm>
          <a:off x="381000" y="6798310"/>
          <a:ext cx="62230"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466725</xdr:colOff>
      <xdr:row>7</xdr:row>
      <xdr:rowOff>142875</xdr:rowOff>
    </xdr:from>
    <xdr:to>
      <xdr:col>10</xdr:col>
      <xdr:colOff>133350</xdr:colOff>
      <xdr:row>7</xdr:row>
      <xdr:rowOff>152400</xdr:rowOff>
    </xdr:to>
    <xdr:cxnSp macro="">
      <xdr:nvCxnSpPr>
        <xdr:cNvPr id="2" name="Straight Connector 1">
          <a:extLst>
            <a:ext uri="{FF2B5EF4-FFF2-40B4-BE49-F238E27FC236}">
              <a16:creationId xmlns:a16="http://schemas.microsoft.com/office/drawing/2014/main" xmlns="" id="{00000000-0008-0000-0900-000002000000}"/>
            </a:ext>
          </a:extLst>
        </xdr:cNvPr>
        <xdr:cNvCxnSpPr/>
      </xdr:nvCxnSpPr>
      <xdr:spPr>
        <a:xfrm>
          <a:off x="4800600" y="1609725"/>
          <a:ext cx="7429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409575</xdr:colOff>
      <xdr:row>28</xdr:row>
      <xdr:rowOff>9525</xdr:rowOff>
    </xdr:from>
    <xdr:to>
      <xdr:col>10</xdr:col>
      <xdr:colOff>152400</xdr:colOff>
      <xdr:row>28</xdr:row>
      <xdr:rowOff>19050</xdr:rowOff>
    </xdr:to>
    <xdr:cxnSp macro="">
      <xdr:nvCxnSpPr>
        <xdr:cNvPr id="3" name="Straight Connector 2">
          <a:extLst>
            <a:ext uri="{FF2B5EF4-FFF2-40B4-BE49-F238E27FC236}">
              <a16:creationId xmlns:a16="http://schemas.microsoft.com/office/drawing/2014/main" xmlns="" id="{00000000-0008-0000-0900-000003000000}"/>
            </a:ext>
          </a:extLst>
        </xdr:cNvPr>
        <xdr:cNvCxnSpPr/>
      </xdr:nvCxnSpPr>
      <xdr:spPr>
        <a:xfrm flipV="1">
          <a:off x="4743450" y="5836920"/>
          <a:ext cx="8191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247650</xdr:colOff>
      <xdr:row>8</xdr:row>
      <xdr:rowOff>123825</xdr:rowOff>
    </xdr:from>
    <xdr:to>
      <xdr:col>9</xdr:col>
      <xdr:colOff>247650</xdr:colOff>
      <xdr:row>10</xdr:row>
      <xdr:rowOff>114300</xdr:rowOff>
    </xdr:to>
    <xdr:cxnSp macro="">
      <xdr:nvCxnSpPr>
        <xdr:cNvPr id="4" name="Straight Arrow Connector 3">
          <a:extLst>
            <a:ext uri="{FF2B5EF4-FFF2-40B4-BE49-F238E27FC236}">
              <a16:creationId xmlns:a16="http://schemas.microsoft.com/office/drawing/2014/main" xmlns="" id="{00000000-0008-0000-0900-000004000000}"/>
            </a:ext>
          </a:extLst>
        </xdr:cNvPr>
        <xdr:cNvCxnSpPr/>
      </xdr:nvCxnSpPr>
      <xdr:spPr>
        <a:xfrm flipV="1">
          <a:off x="5191125" y="1752600"/>
          <a:ext cx="0" cy="314325"/>
        </a:xfrm>
        <a:prstGeom prst="straightConnector1">
          <a:avLst/>
        </a:prstGeom>
        <a:ln>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266700</xdr:colOff>
      <xdr:row>24</xdr:row>
      <xdr:rowOff>133350</xdr:rowOff>
    </xdr:from>
    <xdr:to>
      <xdr:col>9</xdr:col>
      <xdr:colOff>276225</xdr:colOff>
      <xdr:row>27</xdr:row>
      <xdr:rowOff>95250</xdr:rowOff>
    </xdr:to>
    <xdr:cxnSp macro="">
      <xdr:nvCxnSpPr>
        <xdr:cNvPr id="5" name="Straight Arrow Connector 4">
          <a:extLst>
            <a:ext uri="{FF2B5EF4-FFF2-40B4-BE49-F238E27FC236}">
              <a16:creationId xmlns:a16="http://schemas.microsoft.com/office/drawing/2014/main" xmlns="" id="{00000000-0008-0000-0900-000005000000}"/>
            </a:ext>
          </a:extLst>
        </xdr:cNvPr>
        <xdr:cNvCxnSpPr/>
      </xdr:nvCxnSpPr>
      <xdr:spPr>
        <a:xfrm>
          <a:off x="5210175" y="5313045"/>
          <a:ext cx="9525" cy="447675"/>
        </a:xfrm>
        <a:prstGeom prst="straightConnector1">
          <a:avLst/>
        </a:prstGeom>
        <a:ln>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247015</xdr:colOff>
      <xdr:row>16</xdr:row>
      <xdr:rowOff>104775</xdr:rowOff>
    </xdr:from>
    <xdr:to>
      <xdr:col>2</xdr:col>
      <xdr:colOff>323215</xdr:colOff>
      <xdr:row>17</xdr:row>
      <xdr:rowOff>19050</xdr:rowOff>
    </xdr:to>
    <xdr:sp macro="" textlink="">
      <xdr:nvSpPr>
        <xdr:cNvPr id="6" name="Up Arrow 5">
          <a:extLst>
            <a:ext uri="{FF2B5EF4-FFF2-40B4-BE49-F238E27FC236}">
              <a16:creationId xmlns:a16="http://schemas.microsoft.com/office/drawing/2014/main" xmlns="" id="{00000000-0008-0000-0900-000006000000}"/>
            </a:ext>
          </a:extLst>
        </xdr:cNvPr>
        <xdr:cNvSpPr/>
      </xdr:nvSpPr>
      <xdr:spPr>
        <a:xfrm>
          <a:off x="1285240" y="3028950"/>
          <a:ext cx="7620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352425</xdr:colOff>
      <xdr:row>19</xdr:row>
      <xdr:rowOff>152400</xdr:rowOff>
    </xdr:from>
    <xdr:to>
      <xdr:col>2</xdr:col>
      <xdr:colOff>448945</xdr:colOff>
      <xdr:row>19</xdr:row>
      <xdr:rowOff>228600</xdr:rowOff>
    </xdr:to>
    <xdr:sp macro="" textlink="">
      <xdr:nvSpPr>
        <xdr:cNvPr id="7" name="Up Arrow 6">
          <a:extLst>
            <a:ext uri="{FF2B5EF4-FFF2-40B4-BE49-F238E27FC236}">
              <a16:creationId xmlns:a16="http://schemas.microsoft.com/office/drawing/2014/main" xmlns="" id="{00000000-0008-0000-0900-000007000000}"/>
            </a:ext>
          </a:extLst>
        </xdr:cNvPr>
        <xdr:cNvSpPr/>
      </xdr:nvSpPr>
      <xdr:spPr>
        <a:xfrm>
          <a:off x="1390650" y="389572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104775</xdr:colOff>
      <xdr:row>16</xdr:row>
      <xdr:rowOff>0</xdr:rowOff>
    </xdr:from>
    <xdr:to>
      <xdr:col>2</xdr:col>
      <xdr:colOff>201295</xdr:colOff>
      <xdr:row>16</xdr:row>
      <xdr:rowOff>76200</xdr:rowOff>
    </xdr:to>
    <xdr:sp macro="" textlink="">
      <xdr:nvSpPr>
        <xdr:cNvPr id="8" name="Up Arrow 7">
          <a:extLst>
            <a:ext uri="{FF2B5EF4-FFF2-40B4-BE49-F238E27FC236}">
              <a16:creationId xmlns:a16="http://schemas.microsoft.com/office/drawing/2014/main" xmlns="" id="{00000000-0008-0000-0900-000008000000}"/>
            </a:ext>
          </a:extLst>
        </xdr:cNvPr>
        <xdr:cNvSpPr/>
      </xdr:nvSpPr>
      <xdr:spPr>
        <a:xfrm>
          <a:off x="1143000" y="29241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8</xdr:col>
      <xdr:colOff>304800</xdr:colOff>
      <xdr:row>16</xdr:row>
      <xdr:rowOff>114300</xdr:rowOff>
    </xdr:from>
    <xdr:to>
      <xdr:col>8</xdr:col>
      <xdr:colOff>401320</xdr:colOff>
      <xdr:row>17</xdr:row>
      <xdr:rowOff>28575</xdr:rowOff>
    </xdr:to>
    <xdr:sp macro="" textlink="">
      <xdr:nvSpPr>
        <xdr:cNvPr id="9" name="Up Arrow 8">
          <a:extLst>
            <a:ext uri="{FF2B5EF4-FFF2-40B4-BE49-F238E27FC236}">
              <a16:creationId xmlns:a16="http://schemas.microsoft.com/office/drawing/2014/main" xmlns="" id="{00000000-0008-0000-0900-000009000000}"/>
            </a:ext>
          </a:extLst>
        </xdr:cNvPr>
        <xdr:cNvSpPr/>
      </xdr:nvSpPr>
      <xdr:spPr>
        <a:xfrm>
          <a:off x="4638675" y="30384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152400</xdr:colOff>
      <xdr:row>17</xdr:row>
      <xdr:rowOff>66675</xdr:rowOff>
    </xdr:from>
    <xdr:to>
      <xdr:col>10</xdr:col>
      <xdr:colOff>248920</xdr:colOff>
      <xdr:row>17</xdr:row>
      <xdr:rowOff>142875</xdr:rowOff>
    </xdr:to>
    <xdr:sp macro="" textlink="">
      <xdr:nvSpPr>
        <xdr:cNvPr id="10" name="Up Arrow 9">
          <a:extLst>
            <a:ext uri="{FF2B5EF4-FFF2-40B4-BE49-F238E27FC236}">
              <a16:creationId xmlns:a16="http://schemas.microsoft.com/office/drawing/2014/main" xmlns="" id="{00000000-0008-0000-0900-00000A000000}"/>
            </a:ext>
          </a:extLst>
        </xdr:cNvPr>
        <xdr:cNvSpPr/>
      </xdr:nvSpPr>
      <xdr:spPr>
        <a:xfrm>
          <a:off x="5562600" y="31527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228600</xdr:colOff>
      <xdr:row>19</xdr:row>
      <xdr:rowOff>161925</xdr:rowOff>
    </xdr:from>
    <xdr:to>
      <xdr:col>10</xdr:col>
      <xdr:colOff>325120</xdr:colOff>
      <xdr:row>19</xdr:row>
      <xdr:rowOff>238125</xdr:rowOff>
    </xdr:to>
    <xdr:sp macro="" textlink="">
      <xdr:nvSpPr>
        <xdr:cNvPr id="11" name="Up Arrow 10">
          <a:extLst>
            <a:ext uri="{FF2B5EF4-FFF2-40B4-BE49-F238E27FC236}">
              <a16:creationId xmlns:a16="http://schemas.microsoft.com/office/drawing/2014/main" xmlns="" id="{00000000-0008-0000-0900-00000B000000}"/>
            </a:ext>
          </a:extLst>
        </xdr:cNvPr>
        <xdr:cNvSpPr/>
      </xdr:nvSpPr>
      <xdr:spPr>
        <a:xfrm>
          <a:off x="5638800" y="39052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123825</xdr:colOff>
      <xdr:row>19</xdr:row>
      <xdr:rowOff>352425</xdr:rowOff>
    </xdr:from>
    <xdr:to>
      <xdr:col>10</xdr:col>
      <xdr:colOff>220345</xdr:colOff>
      <xdr:row>19</xdr:row>
      <xdr:rowOff>428625</xdr:rowOff>
    </xdr:to>
    <xdr:sp macro="" textlink="">
      <xdr:nvSpPr>
        <xdr:cNvPr id="12" name="Up Arrow 11">
          <a:extLst>
            <a:ext uri="{FF2B5EF4-FFF2-40B4-BE49-F238E27FC236}">
              <a16:creationId xmlns:a16="http://schemas.microsoft.com/office/drawing/2014/main" xmlns="" id="{00000000-0008-0000-0900-00000C000000}"/>
            </a:ext>
          </a:extLst>
        </xdr:cNvPr>
        <xdr:cNvSpPr/>
      </xdr:nvSpPr>
      <xdr:spPr>
        <a:xfrm>
          <a:off x="5534025" y="40957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8</xdr:col>
      <xdr:colOff>361950</xdr:colOff>
      <xdr:row>19</xdr:row>
      <xdr:rowOff>123825</xdr:rowOff>
    </xdr:from>
    <xdr:to>
      <xdr:col>8</xdr:col>
      <xdr:colOff>458470</xdr:colOff>
      <xdr:row>19</xdr:row>
      <xdr:rowOff>200025</xdr:rowOff>
    </xdr:to>
    <xdr:sp macro="" textlink="">
      <xdr:nvSpPr>
        <xdr:cNvPr id="13" name="Up Arrow 12">
          <a:extLst>
            <a:ext uri="{FF2B5EF4-FFF2-40B4-BE49-F238E27FC236}">
              <a16:creationId xmlns:a16="http://schemas.microsoft.com/office/drawing/2014/main" xmlns="" id="{00000000-0008-0000-0900-00000D000000}"/>
            </a:ext>
          </a:extLst>
        </xdr:cNvPr>
        <xdr:cNvSpPr/>
      </xdr:nvSpPr>
      <xdr:spPr>
        <a:xfrm>
          <a:off x="4695825" y="38671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409575</xdr:colOff>
      <xdr:row>18</xdr:row>
      <xdr:rowOff>0</xdr:rowOff>
    </xdr:from>
    <xdr:to>
      <xdr:col>10</xdr:col>
      <xdr:colOff>506095</xdr:colOff>
      <xdr:row>18</xdr:row>
      <xdr:rowOff>76200</xdr:rowOff>
    </xdr:to>
    <xdr:sp macro="" textlink="">
      <xdr:nvSpPr>
        <xdr:cNvPr id="14" name="Up Arrow 13">
          <a:extLst>
            <a:ext uri="{FF2B5EF4-FFF2-40B4-BE49-F238E27FC236}">
              <a16:creationId xmlns:a16="http://schemas.microsoft.com/office/drawing/2014/main" xmlns="" id="{00000000-0008-0000-0900-00000E000000}"/>
            </a:ext>
          </a:extLst>
        </xdr:cNvPr>
        <xdr:cNvSpPr/>
      </xdr:nvSpPr>
      <xdr:spPr>
        <a:xfrm>
          <a:off x="5819775" y="324802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409575</xdr:colOff>
      <xdr:row>17</xdr:row>
      <xdr:rowOff>19050</xdr:rowOff>
    </xdr:from>
    <xdr:to>
      <xdr:col>10</xdr:col>
      <xdr:colOff>506095</xdr:colOff>
      <xdr:row>17</xdr:row>
      <xdr:rowOff>95250</xdr:rowOff>
    </xdr:to>
    <xdr:sp macro="" textlink="">
      <xdr:nvSpPr>
        <xdr:cNvPr id="15" name="Up Arrow 14">
          <a:extLst>
            <a:ext uri="{FF2B5EF4-FFF2-40B4-BE49-F238E27FC236}">
              <a16:creationId xmlns:a16="http://schemas.microsoft.com/office/drawing/2014/main" xmlns="" id="{00000000-0008-0000-0900-00000F000000}"/>
            </a:ext>
          </a:extLst>
        </xdr:cNvPr>
        <xdr:cNvSpPr/>
      </xdr:nvSpPr>
      <xdr:spPr>
        <a:xfrm>
          <a:off x="5819775" y="31051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171450</xdr:colOff>
      <xdr:row>19</xdr:row>
      <xdr:rowOff>57150</xdr:rowOff>
    </xdr:from>
    <xdr:to>
      <xdr:col>10</xdr:col>
      <xdr:colOff>267970</xdr:colOff>
      <xdr:row>19</xdr:row>
      <xdr:rowOff>133350</xdr:rowOff>
    </xdr:to>
    <xdr:sp macro="" textlink="">
      <xdr:nvSpPr>
        <xdr:cNvPr id="16" name="Up Arrow 15">
          <a:extLst>
            <a:ext uri="{FF2B5EF4-FFF2-40B4-BE49-F238E27FC236}">
              <a16:creationId xmlns:a16="http://schemas.microsoft.com/office/drawing/2014/main" xmlns="" id="{00000000-0008-0000-0900-000010000000}"/>
            </a:ext>
          </a:extLst>
        </xdr:cNvPr>
        <xdr:cNvSpPr/>
      </xdr:nvSpPr>
      <xdr:spPr>
        <a:xfrm>
          <a:off x="5581650" y="38004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190500</xdr:colOff>
      <xdr:row>19</xdr:row>
      <xdr:rowOff>190500</xdr:rowOff>
    </xdr:from>
    <xdr:to>
      <xdr:col>2</xdr:col>
      <xdr:colOff>266700</xdr:colOff>
      <xdr:row>19</xdr:row>
      <xdr:rowOff>266700</xdr:rowOff>
    </xdr:to>
    <xdr:sp macro="" textlink="">
      <xdr:nvSpPr>
        <xdr:cNvPr id="19" name="Up Arrow 18">
          <a:extLst>
            <a:ext uri="{FF2B5EF4-FFF2-40B4-BE49-F238E27FC236}">
              <a16:creationId xmlns:a16="http://schemas.microsoft.com/office/drawing/2014/main" xmlns="" id="{00000000-0008-0000-0900-000013000000}"/>
            </a:ext>
          </a:extLst>
        </xdr:cNvPr>
        <xdr:cNvSpPr/>
      </xdr:nvSpPr>
      <xdr:spPr>
        <a:xfrm>
          <a:off x="1228725" y="3933825"/>
          <a:ext cx="7620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0</xdr:colOff>
      <xdr:row>17</xdr:row>
      <xdr:rowOff>66675</xdr:rowOff>
    </xdr:from>
    <xdr:to>
      <xdr:col>2</xdr:col>
      <xdr:colOff>9525</xdr:colOff>
      <xdr:row>19</xdr:row>
      <xdr:rowOff>85725</xdr:rowOff>
    </xdr:to>
    <xdr:cxnSp macro="">
      <xdr:nvCxnSpPr>
        <xdr:cNvPr id="21" name="Straight Connector 20">
          <a:extLst>
            <a:ext uri="{FF2B5EF4-FFF2-40B4-BE49-F238E27FC236}">
              <a16:creationId xmlns:a16="http://schemas.microsoft.com/office/drawing/2014/main" xmlns="" id="{00000000-0008-0000-0900-000015000000}"/>
            </a:ext>
          </a:extLst>
        </xdr:cNvPr>
        <xdr:cNvCxnSpPr/>
      </xdr:nvCxnSpPr>
      <xdr:spPr>
        <a:xfrm flipH="1">
          <a:off x="1038225" y="3152775"/>
          <a:ext cx="9525" cy="6762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25</xdr:col>
      <xdr:colOff>0</xdr:colOff>
      <xdr:row>88</xdr:row>
      <xdr:rowOff>190500</xdr:rowOff>
    </xdr:from>
    <xdr:to>
      <xdr:col>25</xdr:col>
      <xdr:colOff>200025</xdr:colOff>
      <xdr:row>88</xdr:row>
      <xdr:rowOff>190500</xdr:rowOff>
    </xdr:to>
    <xdr:sp macro="" textlink="">
      <xdr:nvSpPr>
        <xdr:cNvPr id="23" name="Line 1">
          <a:extLst>
            <a:ext uri="{FF2B5EF4-FFF2-40B4-BE49-F238E27FC236}">
              <a16:creationId xmlns:a16="http://schemas.microsoft.com/office/drawing/2014/main" xmlns="" id="{00000000-0008-0000-0A00-000017000000}"/>
            </a:ext>
          </a:extLst>
        </xdr:cNvPr>
        <xdr:cNvSpPr>
          <a:spLocks noChangeShapeType="1"/>
        </xdr:cNvSpPr>
      </xdr:nvSpPr>
      <xdr:spPr>
        <a:xfrm flipH="1">
          <a:off x="6600825" y="14592935"/>
          <a:ext cx="200025" cy="0"/>
        </a:xfrm>
        <a:prstGeom prst="line">
          <a:avLst/>
        </a:prstGeom>
        <a:noFill/>
        <a:ln w="9525">
          <a:solidFill>
            <a:srgbClr val="000000"/>
          </a:solidFill>
          <a:round/>
          <a:tailEnd type="triangle" w="med" len="med"/>
        </a:ln>
      </xdr:spPr>
    </xdr:sp>
    <xdr:clientData/>
  </xdr:twoCellAnchor>
  <xdr:twoCellAnchor>
    <xdr:from>
      <xdr:col>25</xdr:col>
      <xdr:colOff>28575</xdr:colOff>
      <xdr:row>88</xdr:row>
      <xdr:rowOff>0</xdr:rowOff>
    </xdr:from>
    <xdr:to>
      <xdr:col>26</xdr:col>
      <xdr:colOff>47625</xdr:colOff>
      <xdr:row>88</xdr:row>
      <xdr:rowOff>0</xdr:rowOff>
    </xdr:to>
    <xdr:sp macro="" textlink="">
      <xdr:nvSpPr>
        <xdr:cNvPr id="24" name="Line 5">
          <a:extLst>
            <a:ext uri="{FF2B5EF4-FFF2-40B4-BE49-F238E27FC236}">
              <a16:creationId xmlns:a16="http://schemas.microsoft.com/office/drawing/2014/main" xmlns="" id="{00000000-0008-0000-0A00-000018000000}"/>
            </a:ext>
          </a:extLst>
        </xdr:cNvPr>
        <xdr:cNvSpPr>
          <a:spLocks noChangeShapeType="1"/>
        </xdr:cNvSpPr>
      </xdr:nvSpPr>
      <xdr:spPr>
        <a:xfrm flipH="1">
          <a:off x="6629400" y="14431010"/>
          <a:ext cx="247650" cy="0"/>
        </a:xfrm>
        <a:prstGeom prst="line">
          <a:avLst/>
        </a:prstGeom>
        <a:noFill/>
        <a:ln w="9525">
          <a:solidFill>
            <a:srgbClr val="000000"/>
          </a:solidFill>
          <a:round/>
          <a:tailEnd type="triangle" w="med" len="med"/>
        </a:ln>
      </xdr:spPr>
    </xdr:sp>
    <xdr:clientData/>
  </xdr:twoCellAnchor>
  <xdr:twoCellAnchor>
    <xdr:from>
      <xdr:col>12</xdr:col>
      <xdr:colOff>1028700</xdr:colOff>
      <xdr:row>86</xdr:row>
      <xdr:rowOff>523875</xdr:rowOff>
    </xdr:from>
    <xdr:to>
      <xdr:col>12</xdr:col>
      <xdr:colOff>1028700</xdr:colOff>
      <xdr:row>86</xdr:row>
      <xdr:rowOff>523875</xdr:rowOff>
    </xdr:to>
    <xdr:cxnSp macro="">
      <xdr:nvCxnSpPr>
        <xdr:cNvPr id="25" name="Straight Connector 35">
          <a:extLst>
            <a:ext uri="{FF2B5EF4-FFF2-40B4-BE49-F238E27FC236}">
              <a16:creationId xmlns:a16="http://schemas.microsoft.com/office/drawing/2014/main" xmlns="" id="{00000000-0008-0000-0A00-000019000000}"/>
            </a:ext>
          </a:extLst>
        </xdr:cNvPr>
        <xdr:cNvCxnSpPr>
          <a:cxnSpLocks noChangeShapeType="1"/>
        </xdr:cNvCxnSpPr>
      </xdr:nvCxnSpPr>
      <xdr:spPr>
        <a:xfrm>
          <a:off x="4200525" y="14269085"/>
          <a:ext cx="0" cy="0"/>
        </a:xfrm>
        <a:prstGeom prst="line">
          <a:avLst/>
        </a:prstGeom>
        <a:noFill/>
        <a:ln w="9525" algn="ctr">
          <a:solidFill>
            <a:srgbClr val="000000"/>
          </a:solidFill>
          <a:round/>
        </a:ln>
      </xdr:spPr>
    </xdr:cxn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99060</xdr:colOff>
      <xdr:row>1</xdr:row>
      <xdr:rowOff>0</xdr:rowOff>
    </xdr:from>
    <xdr:to>
      <xdr:col>15</xdr:col>
      <xdr:colOff>331597</xdr:colOff>
      <xdr:row>2</xdr:row>
      <xdr:rowOff>266700</xdr:rowOff>
    </xdr:to>
    <xdr:sp macro="" textlink="">
      <xdr:nvSpPr>
        <xdr:cNvPr id="47574" name="PubHalfFrame">
          <a:extLst>
            <a:ext uri="{FF2B5EF4-FFF2-40B4-BE49-F238E27FC236}">
              <a16:creationId xmlns:a16="http://schemas.microsoft.com/office/drawing/2014/main" xmlns="" id="{00000000-0008-0000-0F00-0000D6B90000}"/>
            </a:ext>
          </a:extLst>
        </xdr:cNvPr>
        <xdr:cNvSpPr>
          <a:spLocks noEditPoints="1" noChangeArrowheads="1"/>
        </xdr:cNvSpPr>
      </xdr:nvSpPr>
      <xdr:spPr>
        <a:xfrm rot="5400000">
          <a:off x="5029835" y="326390"/>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47575" name="PubHalfFrame">
          <a:extLst>
            <a:ext uri="{FF2B5EF4-FFF2-40B4-BE49-F238E27FC236}">
              <a16:creationId xmlns:a16="http://schemas.microsoft.com/office/drawing/2014/main" xmlns="" id="{00000000-0008-0000-0F00-0000D7B9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38100</xdr:colOff>
      <xdr:row>28</xdr:row>
      <xdr:rowOff>198120</xdr:rowOff>
    </xdr:from>
    <xdr:to>
      <xdr:col>15</xdr:col>
      <xdr:colOff>285832</xdr:colOff>
      <xdr:row>30</xdr:row>
      <xdr:rowOff>144780</xdr:rowOff>
    </xdr:to>
    <xdr:sp macro="" textlink="">
      <xdr:nvSpPr>
        <xdr:cNvPr id="47576" name="PubHalfFrame">
          <a:extLst>
            <a:ext uri="{FF2B5EF4-FFF2-40B4-BE49-F238E27FC236}">
              <a16:creationId xmlns:a16="http://schemas.microsoft.com/office/drawing/2014/main" xmlns="" id="{00000000-0008-0000-0F00-0000D8B90000}"/>
            </a:ext>
          </a:extLst>
        </xdr:cNvPr>
        <xdr:cNvSpPr>
          <a:spLocks noEditPoints="1" noChangeArrowheads="1"/>
        </xdr:cNvSpPr>
      </xdr:nvSpPr>
      <xdr:spPr>
        <a:xfrm rot="5400000" flipH="1">
          <a:off x="4974590" y="8395970"/>
          <a:ext cx="5943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29</xdr:row>
      <xdr:rowOff>0</xdr:rowOff>
    </xdr:from>
    <xdr:to>
      <xdr:col>2</xdr:col>
      <xdr:colOff>194404</xdr:colOff>
      <xdr:row>30</xdr:row>
      <xdr:rowOff>266700</xdr:rowOff>
    </xdr:to>
    <xdr:sp macro="" textlink="">
      <xdr:nvSpPr>
        <xdr:cNvPr id="47577" name="PubHalfFrame">
          <a:extLst>
            <a:ext uri="{FF2B5EF4-FFF2-40B4-BE49-F238E27FC236}">
              <a16:creationId xmlns:a16="http://schemas.microsoft.com/office/drawing/2014/main" xmlns="" id="{00000000-0008-0000-0F00-0000D9B90000}"/>
            </a:ext>
          </a:extLst>
        </xdr:cNvPr>
        <xdr:cNvSpPr>
          <a:spLocks noEditPoints="1" noChangeArrowheads="1"/>
        </xdr:cNvSpPr>
      </xdr:nvSpPr>
      <xdr:spPr>
        <a:xfrm rot="-5400000">
          <a:off x="316230" y="8531860"/>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31</xdr:row>
      <xdr:rowOff>142875</xdr:rowOff>
    </xdr:to>
    <xdr:sp macro="" textlink="">
      <xdr:nvSpPr>
        <xdr:cNvPr id="48408" name="AutoShape 5">
          <a:extLst>
            <a:ext uri="{FF2B5EF4-FFF2-40B4-BE49-F238E27FC236}">
              <a16:creationId xmlns:a16="http://schemas.microsoft.com/office/drawing/2014/main" xmlns="" id="{00000000-0008-0000-0F00-000018BD0000}"/>
            </a:ext>
          </a:extLst>
        </xdr:cNvPr>
        <xdr:cNvSpPr>
          <a:spLocks noChangeArrowheads="1"/>
        </xdr:cNvSpPr>
      </xdr:nvSpPr>
      <xdr:spPr>
        <a:xfrm>
          <a:off x="200025" y="190500"/>
          <a:ext cx="5591175" cy="9124950"/>
        </a:xfrm>
        <a:prstGeom prst="roundRect">
          <a:avLst>
            <a:gd name="adj" fmla="val 0"/>
          </a:avLst>
        </a:prstGeom>
        <a:noFill/>
        <a:ln w="44450">
          <a:solidFill>
            <a:srgbClr val="FF0000"/>
          </a:solidFill>
          <a:round/>
        </a:ln>
      </xdr:spPr>
    </xdr:sp>
    <xdr:clientData/>
  </xdr:twoCellAnchor>
  <xdr:twoCellAnchor>
    <xdr:from>
      <xdr:col>0</xdr:col>
      <xdr:colOff>342900</xdr:colOff>
      <xdr:row>0</xdr:row>
      <xdr:rowOff>266700</xdr:rowOff>
    </xdr:from>
    <xdr:to>
      <xdr:col>16</xdr:col>
      <xdr:colOff>152400</xdr:colOff>
      <xdr:row>31</xdr:row>
      <xdr:rowOff>66675</xdr:rowOff>
    </xdr:to>
    <xdr:sp macro="" textlink="">
      <xdr:nvSpPr>
        <xdr:cNvPr id="48409" name="AutoShape 6">
          <a:extLst>
            <a:ext uri="{FF2B5EF4-FFF2-40B4-BE49-F238E27FC236}">
              <a16:creationId xmlns:a16="http://schemas.microsoft.com/office/drawing/2014/main" xmlns="" id="{00000000-0008-0000-0F00-000019BD0000}"/>
            </a:ext>
          </a:extLst>
        </xdr:cNvPr>
        <xdr:cNvSpPr>
          <a:spLocks noChangeArrowheads="1"/>
        </xdr:cNvSpPr>
      </xdr:nvSpPr>
      <xdr:spPr>
        <a:xfrm>
          <a:off x="342900" y="266700"/>
          <a:ext cx="5448300" cy="8972550"/>
        </a:xfrm>
        <a:prstGeom prst="roundRect">
          <a:avLst>
            <a:gd name="adj" fmla="val 0"/>
          </a:avLst>
        </a:prstGeom>
        <a:noFill/>
        <a:ln w="28575">
          <a:solidFill>
            <a:srgbClr val="0000FF"/>
          </a:solidFill>
          <a:round/>
        </a:ln>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504825</xdr:colOff>
      <xdr:row>29</xdr:row>
      <xdr:rowOff>43525</xdr:rowOff>
    </xdr:to>
    <xdr:pic>
      <xdr:nvPicPr>
        <xdr:cNvPr id="17410" name="Picture 2">
          <a:extLst>
            <a:ext uri="{FF2B5EF4-FFF2-40B4-BE49-F238E27FC236}">
              <a16:creationId xmlns:a16="http://schemas.microsoft.com/office/drawing/2014/main" xmlns="" id="{00000000-0008-0000-1000-00000244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8305800" cy="4739005"/>
        </a:xfrm>
        <a:prstGeom prst="rect">
          <a:avLst/>
        </a:prstGeom>
        <a:noFill/>
        <a:ln w="1">
          <a:noFill/>
          <a:miter lim="800000"/>
          <a:headEnd/>
          <a:tailEnd type="none" w="med" len="med"/>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VEDHA/1.R&amp;B%20Road%20to%20Bhupathiraopet/WD%20&amp;%20CR%20Bhupathiraopeta/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VEDHA/1.R&amp;B%20Road%20to%20Bhupathiraopet/WD%20&amp;%20CR%20Bhupathiraopeta/Estimates/pmgsy/Deverakonda/87.Gazinaga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VEDHA/1.R&amp;B%20Road%20to%20Bhupathiraopet/WD%20&amp;%20CR%20Bhupathiraopeta/Estimates/pmgsy/Package1304/07.1.package13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VEDHA/1.R&amp;B%20Road%20to%20Bhupathiraopet/WD%20&amp;%20CR%20Bhupathiraopeta/Estimates/Buildings/Mpp_newplan/Miryalaguda/MPP_Rajape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VEDHA/1.R&amp;B%20Road%20to%20Bhupathiraopet/WD%20&amp;%20CR%20Bhupathiraopeta/Estimates/Buildings/MPP_Buildings/mpp%20estimate%20NADIGUDE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pmgsy-phaseII\Nalgonda\Graded-27.Dacharam.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pmgsy\Deverakonda\87.Gazinagar.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pmgsy\Package1304\07.1.package130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Buildings\Mpp_newplan\Miryalaguda\MPP_Rajape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Buildings\MPP_Buildings\mpp%20estimate%20NADIGUDEM.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Bridge%20Working/Estimates/pmgsy-phaseII/Nalgonda/Graded-27.Dachara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Bridge%20Working/Estimates/pmgsy/Deverakonda/87.Gazinagar.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Bridge%20Working/Estimates/pmgsy/Package1304/07.1.package130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Bridge%20Working/Estimates/Buildings/Mpp_newplan/Miryalaguda/MPP_Rajape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Bridge%20Working/Estimates/Buildings/MPP_Buildings/mpp%20estimate%20NADIGUDEM.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imates\pmgsy-phase4\Thungathurthy\Thirumalagiri-Thatipamula-sri%20ram%20tanda\CD%20works.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Bridge%20Working/Estimates/pmgsy-phase4/Thungathurthy/Thirumalagiri-Thatipamula-sri%20ram%20tanda/CD%20works.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Estimates\pmgsy-phaseII\Nalgonda\Graded-27.Dacharam.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K:\Estimates\pmgsy\Deverakonda\87.Gazinagar.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K:\Estimates\pmgsy\Package1304\07.1.package130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Estimates\Buildings\Mpp_newplan\Miryalaguda\MPP_Rajape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Estimates\Buildings\MPP_Buildings\mpp%20estimate%20NADIGUDEM.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Estimates\pmgsy-phase4\Thungathurthy\Thirumalagiri-Thatipamula-sri%20ram%20tanda\CD%20works.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Sub%20estimates%20&amp;Ins%20reports\KALUVOY\NREGS-2011-12\ZPP%20&amp;%20MPP%20Buildings\Podalakur-%20MPP%20Building\ACCOUNT%20BRANCH%20COMPAQ\KVR\roads\CS-Vchambers.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Estimates/pmgsy-phaseII/Nalgonda/Graded-27.Dachara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Estimates/pmgsy/Deverakonda/87.Gazinagar.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Estimates/pmgsy/Package1304/07.1.package130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Prccdu\d\P.R.%20Atmakur\Estimates\P.R%20Guest%20house\Ramesh%20PWSS\2007-08\CR-Vchamber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Estimates/Buildings/Mpp_newplan/Miryalaguda/MPP_Rajape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Estimates/Buildings/MPP_Buildings/mpp%20estimate%20NADIGUDEM.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Estimates\pmgsy-phase4\Thungathurthy\Thirumalagiri-Thatipamula-sri%20ram%20tanda\CD%20work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Estimates/pmgsy-phase4/Thungathurthy/Thirumalagiri-Thatipamula-sri%20ram%20tanda/CD%20works.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pmgsy-phaseII/Nalgonda/Graded-27.Dacharam.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pmgsy/Deverakonda/87.Gazinagar.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pmgsy/Package1304/07.1.package1303.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Buildings/Mpp_newplan/Miryalaguda/MPP_Rajapet.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Buildings/MPP_Buildings/mpp%20estimate%20NADIGUDEM.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Estimates/pmgsy-phase4/Thungathurthy/Thirumalagiri-Thatipamula-sri%20ram%20tanda/CD%20works.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e1\my%20documents\Estimates\pmgsy-phaseII\Nalgonda\Graded-27.Dacharam.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singh\db1\BIJNEPALLY\VATTE_PALEM_CD3_WORK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Se1\my%20documents\Estimates\pmgsy\Deverakonda\87.Gazinagar.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Se1\my%20documents\Estimates\pmgsy\Package1304\07.1.package13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Se1\my%20documents\Estimates\Buildings\Mpp_newplan\Miryalaguda\MPP_Rajapet.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Se1\my%20documents\Estimates\Buildings\MPP_Buildings\mpp%20estimate%20NADIGUDEM.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1\my%20documents\Estimates\pmgsy-phase4\Thungathurthy\Thirumalagiri-Thatipamula-sri%20ram%20tanda\CD%20work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Rwsproj9\projects4\NALGONDA_HUDCO_WORKEST\HUDCO_7_VOILSINGARAM_KRISHNA_PR\3_PIPELINES_VOILSINGRAM.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G:\singh\db1\BIJNEPALLY\VATTE_PALEM_CD3_WORK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Bridge%20Working/singh/db1/BIJNEPALLY/VATTE_PALEM_CD3_WORK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A:\My%20Documents\PMGSY%20Phase-I&amp;II\PMGSY\Estimates\Buildings\Mpp_newplan\Miryalaguda\MPP_Rajapet.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G:\Estimates\pmgsy-phaseII\Nalgonda\Graded-27.Dacharam.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G:\Estimates\pmgsy\Deverakonda\87.Gazinagar.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G:\Estimates\pmgsy\Package1304\07.1.package130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BAPAIAH\Desktop\RPB%20Proposals_9_04_07\PMGSY-2006-07\WINDOWS\Desktop\singh\db1\BIJNEPALLY\VATTEM_PALEM_BT_ROAD_15KM'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BAPAIAH/Desktop/RPB%20Proposals_9_04_07/PMGSY-2006-07/WINDOWS/Desktop/singh/db1/BIJNEPALLY/VATTEM_PALEM_BT_ROAD_15KM'S.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ZPP%20&amp;%20MPP%20Buildings/Podalakur-%20MPP%20Building/ACCOUNT%20BRANCH%20COMPAQ/KVR/roads/CS-Vchamber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G:\Estimates\Buildings\Mpp_newplan\Miryalaguda\MPP_Rajapet.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G:\Estimates\Buildings\MPP_Buildings\mpp%20estimate%20NADIGUDEM.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G:\Estimates\pmgsy-phase4\Thungathurthy\Thirumalagiri-Thatipamula-sri%20ram%20tanda\CD%20works.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G:\Users\PRED09\Downloads\KALUVOY\NREGS-2011-12\ZPP%20&amp;%20MPP%20Buildings\Podalakur-%20MPP%20Building\ACCOUNT%20BRANCH%20COMPAQ\KVR\roads\CS-Vchambers.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Rwsproj4\rwsproj4\NALGONDA_HUDCO_WORKEST\HUDCO_7_VOILSINGARAM_KRISHNA_PR\3_PIPELINES_VOILSINGRA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singh\db1\BIJNEPALLY\VATTEM_PALEM_BT_ROAD_15KM'S.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Waller\cd-reader%20e\My%20Documents\FINAL%20REPORT\Part%20B\TRUNK%20&amp;%20ALL%20ROAD%20DATA.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Bridge%20Working/Sub%20estimates%20&amp;Ins%20reports/PIU%20NELLORE/Estimates%20Models/15.RHB%20Salipeta%20to%20Cheruvu.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PR\SSR%2017-18\Gravel%20estimates\estimates\maintaince%20of%20road.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Bridge%20Working/Est%20Kondapur.xlsx"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Documents\Buildings\Data\data9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Comp_1\c\My%20Documents\A3\Perfomance\Dandupally\NABARD\mbnr-est&amp;shed.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G:\PMGSY%20PHASE%20-VII%20(12.50%25%20VAT)\THALUPURUPADU\Levels\Kodad\Adloor\Dondapadu-2.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Bridge%20Working/PMGSY%20PHASE%20-VII%20(12.50%25%20VAT)/THALUPURUPADU/Levels/Kodad/Adloor/Dondapadu-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G:\High%20Level%20-%20Bridge%20-Es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High%20Level%20-%20Bridge%20-Es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High%20Level%20-%20Bridge%20-Es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Bridge%20Working/High%20Level%20-%20Bridge%20-Es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Users\PRED09\Downloads\KALUVOY\NREGS-2011-12\2006-07%20estimate.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2006-07%20estimate.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My%20Documents\PMGSY%20Phase-I&amp;II\PMGSY\Documents\Buildings\Data\data99.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e1\my%20documents\Documents\Buildings\Data\data99.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Bridge%20Working/Documents/Buildings/Data/data99.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G:\Users\PRED09\Downloads\KALUVOY\NREGS-2011-12\ZPP%20&amp;%20MPP%20Buildings\Podalakur-%20MPP%20Building\ACCOUNT%20BRANCH%20COMPAQ\KVR\roads\CS-Non-Return%20Vchambers.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ZPP%20&amp;%20MPP%20Buildings/Podalakur-%20MPP%20Building/ACCOUNT%20BRANCH%20COMPAQ/KVR/roads/CS-Non-Return%20Vchambers.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G:\RAMULU\DESIGNS\BRIDGE\Well-1.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RangaReddy\Technical%20sanction%20estimates\Maheshwaram%20Cosntituency%20STSDF%202022-23\Chinna%20Thupra%20to%20Peddamma%20Thanda%20New.xlsx"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Sour-Mot-P.House\CS-Vchamber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Sour-Mot-P.House/CS-Vchambers.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Computer2\f\KVSR\KVSRnew\estimatesMODEL\estimatesMODEL\2006-07\Model\CS-Taps.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Bridge%20Working/bh%20Nabard/shaligouraram.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G:\RAMULU\DESIGNS\BRIDGE\Well.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G:\Users\PRED09\Downloads\KALUVOY\NREGS-2011-12\ZPP%20&amp;%20MPP%20Buildings\Podalakur-%20MPP%20Building\ACCOUNT%20BRANCH%20COMPAQ\KVR\roads\ADURPALLI-3.0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ZPP%20&amp;%20MPP%20Buildings/Podalakur-%20MPP%20Building/ACCOUNT%20BRANCH%20COMPAQ/KVR/roads/ADURPALLI-3.0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My%20Documents\DP%20minor%20bridge%202.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Bridge%20Working/nlg/Survail-Gujja-Bridge%2014012011/My%20Documents/DP%20minor%20bridge%202.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Mpp1\e\PMGSY-I%20BAL-04-05\Road%20from%206-0%20km%20of%20T01%20to%20Balwanthapur%20(Mal-5).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anjali\Sour-Mot-P.House\ModelEstimate\CS-Taps.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anjali/Sour-Mot-P.House/ModelEstimate/CS-Tap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ramesh\Manubolu\AE%20Murali\P.R.%20Atmakur\Estimates\MRO%20Office%20Atmakur\Ramesh%20PWSS\2007-08\CR-Vchamber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ramesh/Manubolu/AE%20Murali/P.R.%20Atmakur/Estimates/MRO%20Office%20Atmakur/Ramesh%20PWSS/2007-08/CR-Vchamber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G:\Est\14.05.10\SSR%2010-11\Phase-V\Thungathurthy\PMGSY%20Thorrur-bhukya%20tanda\pmgsy-thorrur%20bukya%20tanda-mord-data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Bridge%20Working/Phase-V/Thungathurthy/PMGSY%20Thorrur-bhukya%20tanda/pmgsy-thorrur%20bukya%20tanda-mord-data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SCSC\AE%20Sesha\V.Chalam\CS-Vchambers.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SCSC/AE%20Sesha/V.Chalam/CS-Vchambers.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chandu\anjali\Sour-Mot-P.House\CS-Vchambers.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chandu/anjali/Sour-Mot-P.House/CS-Vchambers.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G:\Users\PMGSY\Desktop\PMGSY-I%20BAL-04-05\Road%20from%206-0%20km%20of%20T01%20to%20Balwanthapur%20(Mal-5).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Bridge%20Working/PMGSY-I%20BAL-04-05/Road%20from%206-0%20km%20of%20T01%20to%20Balwanthapur%20(Mal-5).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A:\Estimates\Buildings\Mpp_newplan\Miryalaguda\MPP_Gundlapally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Ceprnab1-nab4\d\AVRCR\Documents%20and%20Settings\hcl\Desktop\ARRR-ver-1104.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Dee5\c\Swamy%20Files\Swamy-2\Chodavaram%20Estimnates\Administrator\My%20Documents\Pmgsy\PMGSY%20PH%20III\satya\My%20Documents\ROADS\estOpenWell_112.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Bridge%20Working/Sub%20estimates%20&amp;Ins%20reports/Estimates/pmgsy-phaseII/Nalgonda/Graded-27.Dacharam.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ocuments%20and%20Settings\SRINIVAS\Desktop\PMGSY%20DPR\Estimates\pmgsy-phaseII\Nalgonda\Graded-27.Dacharam.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Dee3\c\chatu\PMGSY%20PH_IV%20estimates\PMGSY\Yamanapalli%20to%20Mahamutharam%20(Maha%204%20kms).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G:\Users\PRED09\Downloads\KALUVOY\NREGS-2011-12\ZPP%20&amp;%20MPP%20Buildings\Podalakur-%20MPP%20Building\ACCOUNT%20BRANCH%20COMPAQ\KVR\roads\CS-PHouse.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ZPP%20&amp;%20MPP%20Buildings/Podalakur-%20MPP%20Building/ACCOUNT%20BRANCH%20COMPAQ/KVR/roads/CS-PHouse.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1%20-%20PMGSY%20PROPOSALS%20(TS)/Long%20Span%20Bridges%20-%20TS/PMGSY%20Bridge%20-%20Estimate%20-%2021.03.2016/BRIDGE%20DPR%2024-03-2016/PMGSY-I%20BAL-04-05/Road%20from%206-0%20km%20of%20T01%20to%20Balwanthapur%20(Mal-5).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G:\Users\PRED09\Downloads\WINDOWS\Desktop\PMGSY%20PH-V\ARRR-ver-11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Bridge%20Working/Sub%20estimates%20&amp;Ins%20reports/WINDOWS/Desktop/PMGSY%20PH-V/ARRR-ver-11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Roads-pmgsy\c\WINDOWS\Desktop\singh\db1\BIJNEPALLY\VATTEM_PALEM_BT_ROAD_15KM'S.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Serws4\My%20Documents\babu\Sector%20Estimate%20_%20Mylapur.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G:\SINGH\ROADS\Price_Escalation_Bills\1_Model_Price_escalation_Roads_Building\Price_Escalation_new_model\NABARD_MODEL\1_Model_Price_Escalation_Index_Price_base_Bill_Wise_CC_%20.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Bridge%20Working/SINGH/ROADS/Price_Escalation_Bills/1_Model_Price_escalation_Roads_Building/Price_Escalation_new_model/NABARD_MODEL/1_Model_Price_Escalation_Index_Price_base_Bill_Wise_CC_%20.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G:\Users\PRED09\Downloads\RAJU%20PR\2008-09%20BUILDINGS\HERITAGE%202008-09\SRIVARIMETTU%20-%20New\WINDOWS\Desktop\PMGSY%20PH-V\ARRR-ver-110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Bridge%20Working/Sub%20estimates%20&amp;Ins%20reports/RAJU%20PR/2008-09%20BUILDINGS/HERITAGE%202008-09/SRIVARIMETTU%20-%20New/WINDOWS/Desktop/PMGSY%20PH-V/ARRR-ver-1104.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A:\Malkapuram%20Estimate.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F:\Documents%20and%20Settings\BAPAIAH\Desktop\RPB%20Proposals_9_04_07\PMGSY-2006-07\JE\RPB%20ERST%20Naraspur\pallebata\Copy%20(2)%20of%20BR%20Siripur.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Documents%20and%20Settings/BAPAIAH/Desktop/RPB%20Proposals_9_04_07/PMGSY-2006-07/JE/RPB%20ERST%20Naraspur/pallebata/Copy%20(2)%20of%20BR%20Siripur.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New2\e\Documents%20and%20Settings\hcl\Desktop\ARRR-ver-1104.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2009-10%20Data_ce\Datas%2009-10\6x4Pumphpuse.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2009-10%20Data_ce/Datas%2009-10/6x4Pumphpuse.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ocuments%20and%20Settings\hcl\Desktop\ARRR-ver-11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Bridge%20Working/Documents%20and%20Settings/hcl/Desktop/ARRR-ver-11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G:\Users\PRED09\Downloads\SKHT%20MANDAL\heritage_division\bokkisampalem\WINDOWS\Desktop\PMGSY%20PH-V\ARRR-ver-1104.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Bridge%20Working/Sub%20estimates%20&amp;Ins%20reports/SKHT%20MANDAL/heritage_division/bokkisampalem/WINDOWS/Desktop/PMGSY%20PH-V/ARRR-ver-1104.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Mayuri3\d\MYDOCUMENT\Design%20&amp;%20Estimate\EWE%20STAETMEN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G:\Users\JC\Downloads\DECEMBER%20DPR'S\main%20temp\Final%20DPR%20template%20Dont%20touch\15%20estimates\Nariah%20banjara\Divison%20Wise\Adilabad\HATTIGUDA.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anjali\Dept%20Info\VIDAVALUR%20ESTIMATES\Dampur%20GP%20estimate_BW_P.SET\Dampur%20GP%20Estimate.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anjali/Dept%20Info/VIDAVALUR%20ESTIMATES/Dampur%20GP%20estimate_BW_P.SET/Dampur%20GP%20Estimate.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Riad6\d\DATA%202008-09\Documents%20and%20Settings\hcl\Desktop\ARRR-ver-110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Avd\d\Est%20with%20Revised%20data%20and%20SSR%2010-11\Documents\Buildings\Data\data99.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Bridge%20Working/Documents%20and%20Settings/Administrator/My%20Documents/Downloads/Nalgonda%20Estimates/HLB%20Koratikal/Narlapur-Wgl-23-11-10/Documents/Buildings/Data/data99.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AJD-Model\CS-PHouse.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AJD-Model/CS-PHouse.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J:\Documents%20and%20Settings\hcl\Desktop\ARRR-ver-1104.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Ceprnab3\c\DR\MNMGEN\progRpts\absaug99.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G:\Documents%20and%20Settings\hcl\Desktop\ARRR-ver-1104.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P.Main-%20Dist-Tap\ModelEstimate\CS-Taps.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P.Main-%20Dist-Tap/ModelEstimate/CS-Taps.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Dandupally\NABARD\mbnr-est&amp;shed.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Bridge%20Working/Dandupally/NABARD/mbnr-est&amp;shed.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Rwsp4\c\prmr\Hyd%20stat3.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pipelines%2010-11Data.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G:\Users\JC\Downloads\DECEMBER%20DPR'S\main%20temp\Final%20DPR%20template%20Dont%20touch\15%20estimates\Nariah%20banjara\Documents%20and%20Settings\hcl\Desktop\ARRR-ver-1104.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AJD-Model\CS-Vchambers.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AJD-Model/CS-Vchambers.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ee6\c\lakshmi\Viziag\Sunkarametla\PMGSY-I%20BAL-04-05\Road%20from%206-0%20km%20of%20T01%20to%20Balwanthapur%20(Mal-5).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Eeprvsp\d\Jan\PMGSY%20PhVIII\VSP%20final%20PH_VIII%20est\Estimates\pmgsy\Deverakonda\87.Gazinagar.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Eeprvsp\d\DATA%202008-09\Documents%20and%20Settings\hcl\Desktop\ARRR-ver-1104.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ATA%202008-09\Documents%20and%20Settings\hcl\Desktop\ARRR-ver-1104.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Bridge%20Working/DATA%202008-09/Documents%20and%20Settings/hcl/Desktop/ARRR-ver-1104.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Ceprnab2-1\ceprnab2-1share\Documents%20and%20Settings\hcl\Desktop\ARRR-ver-1104.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Bridge%20Working/OFFICE%20%20FILES/PMGSY/Thorough%20Roads/ARRR%20JANNEPALLY.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G:\ARRR-ver-1105.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G:\ARRR%20JANNEPALLY.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G:\OFFICE%20%20FILES\PMGSY\ARRR-ver-1104.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Bridge%20Working/OFFICE%20%20FILES/PMGSY/ARRR-ver-110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Eeprvsp\d\Jan\PMGSY%20PhVIII\VSP%20final%20PH_VIII%20est\Documents%20and%20Settings\hcl\Desktop\ARRR-ver-1104.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Bridge%20Working/OFFICE%20%20FILES/MUNUGODE%20SUB%20DIVISION/MUNUGODE%20PMGSY/PMGSY%20Bridges%202011/tender%20estimate%20%20Survial%20vagu-21.01.2011.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Bridge%20Working/Mudumal%20bridge.xlsx"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Se1\my%20documents\Estimates\Nabard\Deverakonda\Koppole_bollaram\Est_KB.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Bridge%20Working/Estimates/Nabard/Deverakonda/Koppole_bollaram/Est_KB.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Most-Graded%20Modal%20Estimate.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Bridge%20Working/Most-Graded%20Modal%20Estimate.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ocuments%20and%20Settings\SRINIVAS\Desktop\PMGSY%20DPR\OFFICE%20%20FILES\PMGSY\Thorough%20Roads\ARRR%20JANNEPALLY.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Ceprnab1-nab4\d\AVRCR\Documents%20and%20Settings\RAMU\Desktop\ARRR-ver-1105-vsr.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G:\ARRR-ver-1104.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Bridge%20Working/OFFICE%20%20FILES/PMGSY/Phase%20-%20IV/Thorough%20Roads/ARRR%20JANNEPALLY.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G:\Old%20system%20files\Narsimha\singh\db1\BIJNEPALLY\VATTE_PALEM_CD3_WORKS.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Bridge%20Working/Old%20system%20files/Narsimha/singh/db1/BIJNEPALLY/VATTE_PALEM_CD3_WORKS.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G:\PMGSY-VI\Kattakindapalem\Estimates\pmgsy-phaseII\Nalgonda\Graded-27.Dacharam.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Bridge%20Working/PMGSY-VI/Kattakindapalem/Estimates/pmgsy-phaseII/Nalgonda/Graded-27.Dacharam.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Estimates\pmgsy-phaseII\Nalgonda\Wattimarty-Vanipakala.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Bridge%20Working/Estimates/pmgsy-phaseII/Nalgonda/Wattimarty-Vanipakala.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G:\Users\PRED09\Downloads\A%20E%20E%20Chebrolu\Documents%20and%20Settings\Nikon\My%20Documents\KUMAR\hys%20-est\leak%20-%20c%20wall\nagaram.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Bridge%20Working/Sub%20estimates%20&amp;Ins%20reports/A%20E%20E%20Chebrolu/Documents%20and%20Settings/Nikon/My%20Documents/KUMAR/hys%20-est/leak%20-%20c%20wall/nagaram.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Estimates\data\Data2002-03-detailed.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Bridge%20Working/Estimates/data/Data2002-03-detailed.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Eepr1\my%20documents\Subhash\GU%20Reddy\upender-gudipally-rsvp.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Phani\C\anr\MNMGEN\progRpts\absaug99.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G:\E%20BACKUP\BT%20Renewals-Estimate%20latest%20rates\BT%20Renewals-Estimate%20with%20Latest%2029-12-07\557%20&amp;%20558%20BT%20Renewals\Maldhakal_%20to%20Malladoddi%20%20Bit%20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Eepr1\my%20documents\BT%20RENEWAL%20-%20WORKING%20-%20DURSAGANIPALLY.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Se1\my%20documents\Levels\Kodad\Adloor\Dondapadu-2.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Bridge%20Working/Levels/Kodad/Adloor/Dondapadu-2.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G:\Old%20system%20files\Narsimha\My%20Music\My%20Documents\Narsimha\CD-ESTT%20&amp;%20CD-DATA-MODEL.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Bridge%20Working/Old%20system%20files/Narsimha/My%20Music/My%20Documents/Narsimha/CD-ESTT%20&amp;%20CD-DATA-MODEL.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G:\PMGSY%20PHASE%20-VII%20(12.50%25%20VAT)\THALUPURUPADU\Documents%20and%20Settings\hcl\Desktop\ARRR-ver-1104.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Bridge%20Working/PMGSY%20PHASE%20-VII%20(12.50%25%20VAT)/THALUPURUPADU/Documents%20and%20Settings/hcl/Desktop/ARRR-ver-1104.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G:\DATAS\Datas_2013-14-SSR.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Bridge%20Working/Documents%20and%20Settings/Administrator/Desktop/Model_PMGSY_Road_Datas_2013-14-SSR.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Economical%20PM\l%20Ecconomical%20Pumping%20Main-DP1.xlsx"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User4\c\prmr\Kangplly%20&amp;%20ramgiri\KGP.hyd%20rev%20GLBR.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M:\Office%20Files\ARRR%20JANNEPALLY.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Ceprnab1\d\PMGSY-I%20BAL-04-05\Road%20from%206-0%20km%20of%20T01%20to%20Balwanthapur%20(Mal-5).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Mi\c\Buildings-C\Ravi\Phase-III%20(Revised%20Proposals)\nizamabad\Ramadugu\Phase-III\Nizamabad\Lingi%20thanda.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Avd\d\Est%20with%20Revised%20data%20and%20SSR%2010-11\Estimates\pmgsy-phase4\Thungathurthy\Thirumalagiri-Thatipamula-sri%20ram%20tanda\CD%20works.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Bridge%20Working/Documents%20and%20Settings/Administrator/My%20Documents/Downloads/Nalgonda%20Estimates/HLB%20Koratikal/Narlapur-Wgl-23-11-10/Estimates/pmgsy-phase4/Thungathurthy/Thirumalagiri-Thatipamula-sri%20ram%20tanda/CD%20works.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G:\Users\PRED09\Downloads\A%20E%20E%20Chebrolu\S%20W%20Hostels\tenali%20-%202%20veeraih.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Bridge%20Working/Sub%20estimates%20&amp;Ins%20reports/A%20E%20E%20Chebrolu/S%20W%20Hostels/tenali%20-%202%20veeraih.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G:\My%20Documents\docu\docu\R&amp;B%20Dept.%20Estimates\East-Section.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Bridge%20Working/nlg/Survail-Gujja-Bridge%2014012011/My%20Documents/docu/docu/R&amp;B%20Dept.%20Estimates/East-Section.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Se1\my%20documents\Estimates\Buildings\Mpp_newplan\Nalgonda\MPP_Vemulapally.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Bridge%20Working/Estimates/Buildings/Mpp_newplan/Nalgonda/MPP_Vemulapally.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Valves%2010-11Data.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ocuments%20and%20Settings\SRINIVAS\Desktop\PMGSY%20DPR\bh%20Nabard\shaligouraram.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F:\Bridges%20estimates\Pamapur%20Bridge\Pamapur%20WE%20-%20II\Est%20Kondapur.xlsx"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Bridge%20Working/Sub%20estimates%20&amp;Ins%20reports/PMGSY-W3/EAST%20GODAVARI/PMGSY%20II/Gannavaram%2024-02-14.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G:\Users\PRED09\Downloads\PMGSY-W3\EAST%20GODAVARI\PMGSY%20II\Gannavaram%2024-02-14.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Eeprvsp\d\jangam\REDDY\jaggasagari.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Eepr1\my%20documents\My%20Documents\WORKING%20VENU\GATTUSINGARAM%20WORKING.xls" TargetMode="External"/></Relationships>
</file>

<file path=xl/externalLinks/_rels/externalLink232.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G:\Users\PRED09\Downloads\A%20E%20E%20Chebrolu\VASU,%20Nagaram\Electrical.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Bridge%20Working/Sub%20estimates%20&amp;Ins%20reports/A%20E%20E%20Chebrolu/VASU,%20Nagaram/Electrical.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anjali\model%20estimate_vidavalur%20refined\model%20estimate%20folder\model%20estimate%20with%20labour%20charges.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anjali/model%20estimate_vidavalur%20refined/model%20estimate%20folder/model%20estimate%20with%20labour%20charges.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G:\Users\PRED09\Downloads\A%20E%20E%20Chebrolu\anga.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Bridge%20Working/Sub%20estimates%20&amp;Ins%20reports/A%20E%20E%20Chebrolu/anga.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Se1\my%20documents\Estimates\Buildings\Mpp_newplan\Miryalaguda\MPP_Gundlapally1.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Bridge%20Working/Estimates/Buildings/Mpp_newplan/Miryalaguda/MPP_Gundlapally1.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Estimates\Buildings\Mpp_newplan\Miryalaguda\MPP_Rajapet.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G:\Ravi\CRR%202014-15\CRR%20Est.%20Approved\1-CRR%20Model%20Est%20with%20NF%20-%2005.02.15.xlsx"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G:\My%20Music\My%20Documents\Narsimha\CD-ESTT%20&amp;%20CD-DATA-MODEL.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Bridge%20Working/My%20Music/My%20Documents/Narsimha/CD-ESTT%20&amp;%20CD-DATA-MODEL.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G:\Documents\Buildings\Data\data99.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Eeprvsp\d\Jan\PMGSY%20PhVIII\VSP%20final%20PH_VIII%20est\PMGSY-I%20BAL-04-05\Road%20from%206-0%20km%20of%20T01%20to%20Balwanthapur%20(Mal-5).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G:\DATA%202008-09\Documents%20and%20Settings\hcl\Desktop\ARRR-ver-1104.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G:\Users\PRED09\Downloads\KALUVOY\NREGS-2011-12\New%20Folder\AE%20Murali\P.Main-%20Dist-Tap\CS-Vchambers.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P.Main-%20Dist-Tap/CS-Vchambers.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MODEL%20AGS/Estimates/sch-Yadgir-Nagsar.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SIDDIPET=LINE=EST=CM=PESHI/RAGHU%20RAM%20REDDY==ESTIMATES/ROAD==%20ESTIMATES/EXCEL%20files=pmgsy=final%20%20est/RRahadari%20-Patur%20-%202.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F:\SIDDIPET=LINE=EST=CM=PESHI\RAGHU%20RAM%20REDDY==ESTIMATES\ROAD==%20ESTIMATES\EXCEL%20files=pmgsy=final%20%20est\RRahadari%20-Patur%20-%202.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F:\RAGHU%20RAM%20REDDY==ESTIMATES\ROAD==%20ESTIMATES\gajwel=PMGSY=FINAL=EST\EXCEL%20files=pmgsy=final%20%20est\RRahadari%20-Patur%20-%202.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RAGHU%20RAM%20REDDY==ESTIMATES/ROAD==%20ESTIMATES/gajwel=PMGSY=FINAL=EST/EXCEL%20files=pmgsy=final%20%20est/RRahadari%20-Patur%20-%202.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F:\SIDDIPET=LINE=EST=CM=PESHI\RAGHU%20RAM%20REDDY==ESTIMATES\ROAD==%20ESTIMATES\EXCEL%20files=pmgsy=final%20%20est\ZP%20road-Asramam-%202.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SIDDIPET=LINE=EST=CM=PESHI/RAGHU%20RAM%20REDDY==ESTIMATES/ROAD==%20ESTIMATES/EXCEL%20files=pmgsy=final%20%20est/ZP%20road-Asramam-%202.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1.Model%20pipelines%20Data%202008-09-1.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Bridge%20Working/Sub%20estimates%20&amp;Ins%20reports/KALUVOY/NREGS-2011-12/New%20Folder/AE%20Murali/2009-10%20Data_ce/Datas%2009-10/Pipes&amp;Valves09-10/1.Model%20pipelines%20Data%202008-09-1.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Rwsproj9\projects4\PipeLineDatas-2008\Model-ssrData2008.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G:\R%20A%20M%20U%20L%20U\ESTIMATES\PMGSY\Farooqnagar-Buggoniguda\Documents%20and%20Settings\SRINIVAS\Desktop\PMGSY%20DPR\ARRR%20JANNEPALLY.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Bridge%20Working/ARRR%20JANNEPALLY.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G:\Users\JC\Downloads\C.%20Viswam%20AEE%20PR%20Kadiri\NH%20ODC%20(Revised)%2018-02-061\NH%20ODC%20-PMGSY\NH-ODC%20to%20KH%20Road.xls" TargetMode="External"/></Relationships>
</file>

<file path=xl/externalLinks/_rels/externalLink263.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264.xml.rels><?xml version="1.0" encoding="UTF-8" standalone="yes"?>
<Relationships xmlns="http://schemas.openxmlformats.org/package/2006/relationships"><Relationship Id="rId1" Type="http://schemas.microsoft.com/office/2006/relationships/xlExternalLinkPath/xlPathMissing" Target="RecoveredExternalLink3"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D:\Jagtial%20System\Gangareddy\BT%20Road%20Line%20Estimations%202023-24\Raikal1\Final%202024-25\BT%20Road%20Estimate.%20Raikal%203%20Statue%20Turkashi%20Nagar%20-%20Copy%20-%20Copy.xlsx"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D:\Users\milind\Desktop\pmgsy\Estimate-Veenavanka.xlsx"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D:\Users\Sri\Downloads\Habsipur%20(1)%20(1).xlsx"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Bridge%20Working/Pamapur%20Br%20WE-II%20%20-%20Appraoches%20A&amp;B.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Bridge%20Working/Bridges%20estimates/Latest%20bri-Ravi%2005.01.2018/Supp%20data%20Bridge%20RAS.xlsx"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G:\Users\JC\Downloads\Data.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C:\Bridge%20design%20of%20Mandipally\Bridge%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Material"/>
      <sheetName val="Plant &amp;  Machinery"/>
      <sheetName val="Data_F8_BTR"/>
      <sheetName val="Plant_&amp;__Machinery"/>
      <sheetName val="Lead statement ss5"/>
      <sheetName val="Lead_statement_ss5"/>
      <sheetName val="Labour"/>
      <sheetName val="DATA"/>
      <sheetName val="HDPE"/>
      <sheetName val="DI"/>
      <sheetName val="pvc"/>
      <sheetName val="ssr-rates"/>
      <sheetName val="Lead"/>
      <sheetName val="data existing_do not delete"/>
      <sheetName val="DATA_PRG"/>
      <sheetName val="clvrt_data"/>
      <sheetName val="t_prsr"/>
      <sheetName val="wh"/>
      <sheetName val="Rates-May-14"/>
      <sheetName val="Plant 㫨  Machinery"/>
      <sheetName val="Plant_㫨__Machinery"/>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Sheet1"/>
      <sheetName val="TOP SLAB-beams"/>
      <sheetName val="int-Dia-pvc"/>
      <sheetName val="Data_F8_BTR3"/>
      <sheetName val="Plant_&amp;__Machinery3"/>
      <sheetName val="Lead_statement_ss53"/>
      <sheetName val="Data_F8_BTR1"/>
      <sheetName val="Plant_&amp;__Machinery1"/>
      <sheetName val="Lead_statement_ss51"/>
      <sheetName val="Data_F8_BTR2"/>
      <sheetName val="Plant_&amp;__Machinery2"/>
      <sheetName val="Lead_statement_ss52"/>
      <sheetName val="Nspt-smp-final-ORIGINAL"/>
      <sheetName val="water-hammar-strenght"/>
      <sheetName val="hdpe weights"/>
      <sheetName val="PVC weights"/>
      <sheetName val="0000000000000"/>
      <sheetName val="SSR"/>
      <sheetName val="VC 80"/>
      <sheetName val="VC 450"/>
      <sheetName val="hdpe_basic"/>
      <sheetName val="pvc_basic"/>
      <sheetName val="Rates"/>
      <sheetName val="Ins &amp; Bonds"/>
      <sheetName val="A-3.1"/>
      <sheetName val="Client req"/>
      <sheetName val="MRoad data"/>
      <sheetName val="detls"/>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PROCTOR"/>
      <sheetName val="PH data"/>
      <sheetName val="Delivery mains"/>
      <sheetName val="bundqty"/>
      <sheetName val="CONST"/>
      <sheetName val="Common "/>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PUMP_DATA"/>
      <sheetName val="C-data"/>
      <sheetName val="Tees"/>
      <sheetName val="FORM-W3"/>
      <sheetName val="index"/>
      <sheetName val="Cash2"/>
      <sheetName val="Quarry"/>
      <sheetName val="Line"/>
      <sheetName val="BTR"/>
      <sheetName val="CRUST"/>
      <sheetName val="QDTS"/>
      <sheetName val="Abs_CD_2"/>
      <sheetName val="road est"/>
      <sheetName val="ECV"/>
      <sheetName val="BWSCPlt"/>
      <sheetName val="CI"/>
      <sheetName val="G.R.P"/>
      <sheetName val="PSC REVISED"/>
      <sheetName val="RWS"/>
      <sheetName val="Entry"/>
      <sheetName val="Rates SSR 2008-09"/>
      <sheetName val="Cover"/>
      <sheetName val="Usage"/>
      <sheetName val="final abstract"/>
      <sheetName val="Design"/>
      <sheetName val="BOQ (2)"/>
      <sheetName val="SPT vs PHI"/>
      <sheetName val="sand"/>
      <sheetName val="stone"/>
      <sheetName val="ANAL-PIPE LINE"/>
      <sheetName val="MS Pipe Working"/>
      <sheetName val="wh_data"/>
      <sheetName val="wh_data_R"/>
      <sheetName val="CPHEEO"/>
      <sheetName val="input"/>
      <sheetName val="civ data"/>
      <sheetName val="HDPE-pipe-rates"/>
      <sheetName val="pvc-pipe-rates"/>
      <sheetName val="Mix Design"/>
      <sheetName val="Cost of O &amp; O"/>
      <sheetName val="650kL-design-final"/>
      <sheetName val="_5wgdhabfinal00_01"/>
      <sheetName val="WATER-HAMMER"/>
      <sheetName val="LEAD S 10-11"/>
      <sheetName val="DATA SHEET"/>
      <sheetName val="PS1"/>
      <sheetName val="Data-ELSR"/>
      <sheetName val="Bed Class"/>
      <sheetName val="CPIPE"/>
      <sheetName val="CPIPE2"/>
      <sheetName val="Cs"/>
      <sheetName val="DVALUE"/>
      <sheetName val="THK"/>
      <sheetName val="20kL-design-final"/>
      <sheetName val="Bill-12"/>
      <sheetName val="sup dat"/>
      <sheetName val="Mactan"/>
      <sheetName val="Mandaue"/>
      <sheetName val="Detail In Door Stad"/>
      <sheetName val="IDCCALHYD_GOO"/>
      <sheetName val="Detailed"/>
      <sheetName val="concrete"/>
      <sheetName val="Civil Boq"/>
      <sheetName val="Summary"/>
      <sheetName val="DATA 2021-22"/>
      <sheetName val="Staff Civil o&amp;m draft policy"/>
      <sheetName val="Rate Analysis"/>
      <sheetName val="RMR.PS"/>
      <sheetName val="BTR.PS"/>
      <sheetName val="Road data.PS"/>
      <sheetName val="Road data-TDR"/>
      <sheetName val="Data_F8_BTR4"/>
      <sheetName val="Plant_&amp;__Machinery4"/>
      <sheetName val="Lead_statement_ss54"/>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 val="gen_abstrct"/>
      <sheetName val="Convey"/>
      <sheetName val="C.D.Abs.Est."/>
      <sheetName val="pop"/>
      <sheetName val="hdpe-rates"/>
      <sheetName val="pvc-rates"/>
      <sheetName val="Rate"/>
      <sheetName val="Global factors"/>
      <sheetName val="Exp"/>
      <sheetName val="A 3_7"/>
      <sheetName val="other rates"/>
      <sheetName val="MTC-estimate"/>
      <sheetName val="Gen Abs"/>
      <sheetName val="Data_Base"/>
      <sheetName val="Work_sheet"/>
      <sheetName val="SUMP1420KL@HW"/>
      <sheetName val="Admin"/>
      <sheetName val="SALIENT"/>
      <sheetName val="Cd"/>
      <sheetName val="SewerCAD MH Data"/>
      <sheetName val="Design 2040 Design Flows-(1)"/>
      <sheetName val="SewerCAD Pipe Data-Actual 2040"/>
      <sheetName val="CONNECT"/>
      <sheetName val="analysis"/>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TBAL9697 -group wise  sdpl"/>
      <sheetName val="p&amp;m"/>
      <sheetName val="Staff Acco."/>
      <sheetName val="foundation(V)"/>
      <sheetName val="Data-2011-12"/>
      <sheetName val="DL CAL"/>
      <sheetName val="slab"/>
      <sheetName val="Flanged Beams"/>
      <sheetName val="Rectangular Beam"/>
      <sheetName val="Interface_SC"/>
      <sheetName val="Calc_ISC"/>
      <sheetName val="Calc_SC"/>
      <sheetName val="Interface_ISC"/>
      <sheetName val="GD"/>
      <sheetName val="Boq"/>
      <sheetName val="GF SB Ok "/>
      <sheetName val="Hire"/>
      <sheetName val="GF Columns"/>
      <sheetName val="DISCOUNT"/>
      <sheetName val="Weightage-Sub Sht"/>
      <sheetName val="OH"/>
      <sheetName val="Basic Rates"/>
      <sheetName val="beam-reinft"/>
      <sheetName val="Data o"/>
      <sheetName val="Lead  RATES"/>
      <sheetName val="inWords"/>
      <sheetName val="segments-details"/>
      <sheetName val="int-Dia-hdpe"/>
      <sheetName val="habs-list"/>
      <sheetName val="OSWI Qlfy"/>
      <sheetName val="AEOS Qlfy"/>
      <sheetName val="RCC Pier Checking"/>
      <sheetName val="T-BEAM (longitudinal)"/>
      <sheetName val="DECK SLAB DESIGN"/>
      <sheetName val="IRC TABLES"/>
      <sheetName val="Bed Fall"/>
      <sheetName val="CONVEYANCE  (2)"/>
      <sheetName val="ABS"/>
      <sheetName val="BM-HOOP"/>
      <sheetName val="m1"/>
      <sheetName val="ewst"/>
      <sheetName val="int-Dia"/>
      <sheetName val="nodes"/>
      <sheetName val="drains-data"/>
      <sheetName val="CC Rd Data"/>
      <sheetName val="GSB"/>
      <sheetName val="ALL ABSTRACT"/>
      <sheetName val="Medchal LEAD"/>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SHEDS STEEL QTY"/>
      <sheetName val="Mortars,"/>
      <sheetName val="data-Bld-20-21"/>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other_rates"/>
      <sheetName val="other_rates1"/>
      <sheetName val="PH data-16-17"/>
      <sheetName val="Bld up to 3F"/>
      <sheetName val="C-Mat-16-17-"/>
      <sheetName val="labour&amp; Hire-16-17"/>
      <sheetName val="Process"/>
      <sheetName val="Buildings"/>
      <sheetName val="VI Floor Beam "/>
      <sheetName val="Boq Block A"/>
      <sheetName val="Valves"/>
      <sheetName val="Title"/>
      <sheetName val="Ventway Calculations"/>
      <sheetName val="Suppl-data"/>
      <sheetName val="data-WC"/>
      <sheetName val="1V800"/>
      <sheetName val="EDWise"/>
      <sheetName val="X-2"/>
      <sheetName val="Civil-works"/>
      <sheetName val="Basic data "/>
      <sheetName val="TTL"/>
      <sheetName val="NTFP"/>
      <sheetName val="Sarpanchs (1012)"/>
      <sheetName val="BLK3"/>
      <sheetName val="BLK2"/>
      <sheetName val="E &amp; R"/>
      <sheetName val="radar"/>
      <sheetName val="UG"/>
      <sheetName val="not req 3"/>
      <sheetName val="Cable-data"/>
      <sheetName val="SOR"/>
      <sheetName val="Road Detail Est."/>
      <sheetName val="Civil Works"/>
      <sheetName val="MRMECADAMoad data"/>
      <sheetName val="Rates_SSR_2008-09"/>
      <sheetName val="RMR_PS"/>
      <sheetName val="BTR_PS"/>
      <sheetName val="Road_data_PS"/>
      <sheetName val="Road_data-TDR"/>
      <sheetName val="BOQ_(2)"/>
      <sheetName val="Data_F8_BTR5"/>
      <sheetName val="Plant_&amp;__Machinery5"/>
      <sheetName val="Lead_statement_ss55"/>
      <sheetName val="data_existing_do_not_delete4"/>
      <sheetName val="TOP_SLAB-beams1"/>
      <sheetName val="Plant_㫨__Machinery2"/>
      <sheetName val="PH_data1"/>
      <sheetName val="Bitumen_trunk4"/>
      <sheetName val="R99_etc4"/>
      <sheetName val="Trunk_unpaved4"/>
      <sheetName val="abs_road4"/>
      <sheetName val="Road_data4"/>
      <sheetName val="Class_IV_Qtr__Ele4"/>
      <sheetName val="Bridge_Data_2005-064"/>
      <sheetName val="Lead_statement4"/>
      <sheetName val="GROUND_FLOOR4"/>
      <sheetName val="hdpe_weights1"/>
      <sheetName val="PVC_weights1"/>
      <sheetName val="VC_801"/>
      <sheetName val="VC_4501"/>
      <sheetName val="Rates_SSR_2008-091"/>
      <sheetName val="Ins_&amp;_Bonds1"/>
      <sheetName val="A-3_11"/>
      <sheetName val="Client_req1"/>
      <sheetName val="MRoad_data1"/>
      <sheetName val="Sheet1_(2)1"/>
      <sheetName val="wt_of_CID_joint1"/>
      <sheetName val="AC_DAta1"/>
      <sheetName val="Pipe_Pilne_MAch1"/>
      <sheetName val="Indurhty_2016-171"/>
      <sheetName val="Delivery_mains1"/>
      <sheetName val="Data well"/>
      <sheetName val="Code"/>
      <sheetName val="basdat"/>
      <sheetName val="11.Habitations"/>
      <sheetName val="Sheet11"/>
      <sheetName val="Prjt"/>
      <sheetName val="FACE"/>
      <sheetName val="Material "/>
      <sheetName val="Labour &amp; Plant"/>
      <sheetName val="Fee Rate Summary"/>
      <sheetName val="economic PM"/>
      <sheetName val="AV-HDPE"/>
      <sheetName val="Di_gate-HDPE"/>
      <sheetName val="MASTER"/>
      <sheetName val="Input DataGS"/>
      <sheetName val="Input Data"/>
      <sheetName val="abst"/>
      <sheetName val="SSR 2016-17"/>
      <sheetName val="SSR 2015-16"/>
      <sheetName val="DATA SHEET FOR 2012 - 13"/>
      <sheetName val="Ghanapur to Suraram jn. det"/>
      <sheetName val="Set"/>
      <sheetName val="Data-Road "/>
      <sheetName val="DATA-CD "/>
      <sheetName val="DATA ENTRY SHEET"/>
      <sheetName val="TOTAL DATA"/>
      <sheetName val="HP PIPE  DATA"/>
      <sheetName val="SLAB  DATA"/>
      <sheetName val="DATA SHEET FOR 2014-15"/>
      <sheetName val="HP"/>
      <sheetName val="mtc esti"/>
      <sheetName val="rmr "/>
      <sheetName val="road data "/>
      <sheetName val="TS memo"/>
      <sheetName val="Lookup"/>
      <sheetName val="QTY-CRUST-SR"/>
      <sheetName val="CROSS-SECTION"/>
      <sheetName val="QTY-CRUST-MCW"/>
      <sheetName val="hyperstatic-3"/>
      <sheetName val="Datas"/>
      <sheetName val="Revised ANN2"/>
      <sheetName val="dist dump"/>
      <sheetName val="AV-DI"/>
      <sheetName val="DI gate-DI"/>
      <sheetName val="DIgate_PVC "/>
      <sheetName val="1920"/>
      <sheetName val="A"/>
      <sheetName val="Main"/>
      <sheetName val="E.I. ESTIMATE"/>
      <sheetName val="EXTERNAL E.I."/>
      <sheetName val="E.I. DATAS"/>
      <sheetName val="Comparative Statement"/>
      <sheetName val="PANEL DATAS"/>
      <sheetName val="Inv"/>
      <sheetName val="Report (2)"/>
      <sheetName val="Sanitary Datas 2020-21"/>
      <sheetName val="san-abs"/>
      <sheetName val="gen-ab"/>
      <sheetName val="gfloor"/>
      <sheetName val="FF"/>
      <sheetName val="Terrace"/>
      <sheetName val="GF Det-Est"/>
      <sheetName val="FF DET"/>
      <sheetName val="tf dET"/>
      <sheetName val="DATA1"/>
      <sheetName val="saniraty-det"/>
      <sheetName val="NOPRINT"/>
      <sheetName val="doors"/>
      <sheetName val="Report"/>
      <sheetName val="SH"/>
      <sheetName val="MDRs"/>
      <sheetName val="Annexure III"/>
      <sheetName val="Annexure I"/>
      <sheetName val="MS Rates"/>
      <sheetName val="CPIPE 1"/>
      <sheetName val="TOS-F"/>
      <sheetName val="Leads Entry"/>
      <sheetName val="sectorwise"/>
      <sheetName val="3405-2014"/>
      <sheetName val="Qty"/>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sheetData sheetId="188"/>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ssr-rates"/>
      <sheetName val="0000000000000"/>
      <sheetName val="rdamdata"/>
      <sheetName val="pvc"/>
      <sheetName val="HDPE"/>
      <sheetName val="DI"/>
      <sheetName val="Lead statement"/>
      <sheetName val="DATA"/>
      <sheetName val="census91"/>
      <sheetName val="maya"/>
      <sheetName val="C-data"/>
      <sheetName val="RMR"/>
      <sheetName val="MRATES"/>
      <sheetName val="stone"/>
      <sheetName val="Road data"/>
      <sheetName val="Nspt-smp-final-ORIGINAL"/>
      <sheetName val="Labour"/>
      <sheetName val="Lead"/>
      <sheetName val="DATA_PRG"/>
      <sheetName val="GF SB Ok "/>
      <sheetName val="Levels"/>
      <sheetName val="HDPE-pipe-rates"/>
      <sheetName val="pvc-pipe-rates"/>
      <sheetName val="Material"/>
      <sheetName val="Plant &amp;  Machinery"/>
      <sheetName val="BTR"/>
      <sheetName val="DES"/>
      <sheetName val="COVER"/>
      <sheetName val="HP PIPE  DATA"/>
      <sheetName val="SLAB  DATA"/>
      <sheetName val="m"/>
      <sheetName val="MRoad data"/>
      <sheetName val="AV-HDPE"/>
      <sheetName val="Di_gate-HDPE"/>
      <sheetName val="mlead"/>
      <sheetName val="splmidata"/>
      <sheetName val="ppraodata"/>
      <sheetName val="CONST"/>
      <sheetName val="Estimate "/>
      <sheetName val="EDWise"/>
      <sheetName val="BHANDUP"/>
      <sheetName val="PRECAST lightconc-II"/>
      <sheetName val="data existing_do not delete"/>
      <sheetName val="Sheet3"/>
      <sheetName val="Quarry"/>
      <sheetName val="Line"/>
      <sheetName val="CRUST"/>
      <sheetName val="QDTS"/>
      <sheetName val="Rates"/>
      <sheetName val="Basicrates"/>
      <sheetName val="discount"/>
      <sheetName val="mas_hab"/>
      <sheetName val="Sheet2"/>
      <sheetName val="Common "/>
      <sheetName val="final abstract"/>
      <sheetName val="BLK3"/>
      <sheetName val="BLK2"/>
      <sheetName val="radar"/>
      <sheetName val="E &amp; R"/>
      <sheetName val="hdpe_basic"/>
      <sheetName val="pvc_basic"/>
      <sheetName val="Rate Analysis"/>
      <sheetName val="t_prsr"/>
      <sheetName val="wh"/>
      <sheetName val="sand"/>
      <sheetName val="bom"/>
      <sheetName val="SPT vs PHI"/>
      <sheetName val="DATA-BASE"/>
      <sheetName val="DATA-ABSTRACT"/>
      <sheetName val="wh_data_R"/>
      <sheetName val="wh_data"/>
      <sheetName val="CPHEEO"/>
      <sheetName val="input"/>
      <sheetName val="hdpe weights"/>
      <sheetName val="PVC weights"/>
      <sheetName val="clvrt_data"/>
      <sheetName val="Data.F8.BTR"/>
      <sheetName val="GA"/>
      <sheetName val="hdpe-rates"/>
      <sheetName val="pvc-rates"/>
      <sheetName val="detls"/>
      <sheetName val="road detail est."/>
      <sheetName val=" data sheet "/>
      <sheetName val="Civil Boq"/>
      <sheetName val="Summary"/>
      <sheetName val="Note"/>
      <sheetName val="Specification"/>
      <sheetName val="analy"/>
      <sheetName val="basdat"/>
      <sheetName val="id"/>
      <sheetName val="WITH STACKING CHARGES"/>
      <sheetName val="Main sheet"/>
      <sheetName val="Legal Risk Analysis"/>
      <sheetName val="Data_Base"/>
      <sheetName val="G F  (2)"/>
      <sheetName val="WATER-HAMMER"/>
      <sheetName val="Abs"/>
      <sheetName val="Lead_statement"/>
      <sheetName val="GF_SB_Ok_"/>
      <sheetName val="Plant_&amp;__Machinery"/>
      <sheetName val="ROAD_DATA"/>
      <sheetName val="HP_PIPE__DATA"/>
      <sheetName val="SLAB__DATA"/>
      <sheetName val="Estimate_"/>
      <sheetName val="PRECAST_lightconc-II"/>
      <sheetName val="data_existing_do_not_delete"/>
      <sheetName val="MRoad_data"/>
      <sheetName val="Global factors"/>
      <sheetName val="GT DUMP"/>
      <sheetName val="sancdump"/>
      <sheetName val="strong stylecolor blueDate Wise"/>
      <sheetName val="coverpage"/>
      <sheetName val="ROADS"/>
      <sheetName val="BALAN1"/>
      <sheetName val="civ data"/>
      <sheetName val="overviewbarmer"/>
      <sheetName val="Master_data"/>
      <sheetName val="R_Det"/>
      <sheetName val="Table10"/>
      <sheetName val="Table11"/>
      <sheetName val="Table12"/>
      <sheetName val="SSR 2014-15 Rates"/>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ESTIMATE"/>
      <sheetName val="Bitumen trunk"/>
      <sheetName val="Feeder"/>
      <sheetName val="R99 etc"/>
      <sheetName val="Trunk unpaved"/>
      <sheetName val="Data_Renuals"/>
      <sheetName val="Labour rates"/>
      <sheetName val="Cover-MEstt."/>
      <sheetName val="bldg"/>
      <sheetName val="Proforma -II "/>
      <sheetName val="sectorwise"/>
      <sheetName val="organi synthesis lab"/>
      <sheetName val="Suppl-data"/>
      <sheetName val="Data o"/>
      <sheetName val="Boq"/>
      <sheetName val="C &amp; G RHS"/>
      <sheetName val="GenAbst"/>
      <sheetName val="Gen Abs"/>
      <sheetName val="11.Habitations"/>
      <sheetName val="Rate"/>
      <sheetName val="Roadlist"/>
      <sheetName val="Estt"/>
      <sheetName val="Lead statement ss5"/>
      <sheetName val="Flight-1"/>
      <sheetName val="Sent NHO"/>
      <sheetName val="MTC-estimate"/>
      <sheetName val="Basic Rates"/>
      <sheetName val="Cover Page"/>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abs road"/>
      <sheetName val="TS memo"/>
      <sheetName val="m1"/>
      <sheetName val="pop"/>
      <sheetName val="Abs_CD_2"/>
      <sheetName val="road est"/>
      <sheetName val="ECV"/>
      <sheetName val="data r-i 1"/>
      <sheetName val="Rates-May-14"/>
      <sheetName val="final data"/>
      <sheetName val="E_&amp;_R"/>
      <sheetName val="Rate_Analysis"/>
      <sheetName val="Lead_statement1"/>
      <sheetName val="GF_SB_Ok_1"/>
      <sheetName val="Plant_&amp;__Machinery1"/>
      <sheetName val="Road_data1"/>
      <sheetName val="HP_PIPE__DATA1"/>
      <sheetName val="SLAB__DATA1"/>
      <sheetName val="MRoad_data1"/>
      <sheetName val="E_&amp;_R1"/>
      <sheetName val="Sorted"/>
      <sheetName val="Calc1"/>
      <sheetName val="Dayworks_Bill"/>
      <sheetName val="Bills_of_Quantities"/>
      <sheetName val="Dayworks Bill"/>
      <sheetName val="Bills of Quantities"/>
      <sheetName val="not req 3"/>
      <sheetName val="Work_sheet"/>
      <sheetName val="BWSCPlt"/>
      <sheetName val="CI"/>
      <sheetName val="G.R.P"/>
      <sheetName val="PSC REVISED"/>
      <sheetName val="STN WISE EMR"/>
      <sheetName val="UG"/>
      <sheetName val="Material "/>
      <sheetName val="Labour &amp; Plant"/>
      <sheetName val="Pier Design(with offset)"/>
      <sheetName val="1-Pop Proj"/>
      <sheetName val="PROCTOR"/>
      <sheetName val="Sheet1 (2)"/>
      <sheetName val="Proforma-I (2)"/>
      <sheetName val="Specification report"/>
      <sheetName val="C.D.Abs.Est."/>
      <sheetName val="Culverts"/>
      <sheetName val="Usage"/>
      <sheetName val="General"/>
      <sheetName val="SS FILTERS"/>
      <sheetName val="PMAY DATA 2016-17"/>
      <sheetName val="Final Status as on 15.09.2021"/>
      <sheetName val="12"/>
      <sheetName val="_5wgdhabfinal00_01"/>
      <sheetName val="agl-pump-sets"/>
      <sheetName val="EG"/>
      <sheetName val="pump-sets(AI)"/>
      <sheetName val="per-capita"/>
      <sheetName val="towns&amp;villages"/>
      <sheetName val="bricks"/>
      <sheetName val="SAL_MARCH2011"/>
      <sheetName val="DATAS"/>
      <sheetName val="SubAnlysis"/>
      <sheetName val="Sheet6"/>
      <sheetName val="int-Dia-pvc"/>
      <sheetName val="leads-c"/>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row r="2">
          <cell r="F2">
            <v>100</v>
          </cell>
        </row>
      </sheetData>
      <sheetData sheetId="10">
        <row r="2">
          <cell r="F2">
            <v>100</v>
          </cell>
        </row>
      </sheetData>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aterial"/>
      <sheetName val="Works"/>
      <sheetName val="RMR"/>
      <sheetName val="General"/>
      <sheetName val="rdamdata"/>
      <sheetName val="lead-st"/>
      <sheetName val="CDdata_(2)"/>
      <sheetName val="Lead"/>
      <sheetName val="Materials"/>
      <sheetName val="Data "/>
      <sheetName val="Retaing"/>
      <sheetName val="Abstract(F6)"/>
      <sheetName val="Sheet1"/>
      <sheetName val="CDdata_(2)1"/>
      <sheetName val="bom"/>
      <sheetName val="detls"/>
      <sheetName val="CDdata_(2)5"/>
      <sheetName val="Data_2"/>
      <sheetName val="CDdata_(2)3"/>
      <sheetName val="CDdata_(2)2"/>
      <sheetName val="Data_"/>
      <sheetName val="CDdata_(2)4"/>
      <sheetName val="Data_1"/>
      <sheetName val="Labour"/>
      <sheetName val="Plant &amp;  Machinery"/>
      <sheetName val="Bridge Data 2005-06"/>
      <sheetName val="r"/>
      <sheetName val="final abstract"/>
      <sheetName val="Fee Rate Summary"/>
      <sheetName val="EDWise"/>
      <sheetName val="Design"/>
      <sheetName val="HDPE"/>
      <sheetName val="pvc"/>
      <sheetName val="pvc_basic"/>
      <sheetName val="t_prsr"/>
      <sheetName val="id"/>
      <sheetName val="C-data"/>
      <sheetName val="wh"/>
      <sheetName val="civ data"/>
      <sheetName val="DI"/>
      <sheetName val="TOP SLAB-beams"/>
      <sheetName val="Rate Analysis"/>
      <sheetName val="Common "/>
      <sheetName val="Usage"/>
      <sheetName val="MRATES"/>
      <sheetName val="Specification report"/>
      <sheetName val="GN_ST_10"/>
      <sheetName val="PRECAST lightconc_II"/>
      <sheetName val="Newabstract"/>
      <sheetName val="v"/>
      <sheetName val="Road Detail Est."/>
      <sheetName val="Road data"/>
      <sheetName val="Specification"/>
      <sheetName val="DATA-BASE"/>
      <sheetName val="DATA-ABSTRACT"/>
      <sheetName val="data.f8.btr"/>
      <sheetName val="Datas"/>
      <sheetName val=" Brickwork Manhole "/>
      <sheetName val=" Estimate"/>
      <sheetName val="BALAN1"/>
      <sheetName val="Voucher"/>
      <sheetName val="Estimate"/>
      <sheetName val="Levels"/>
      <sheetName val="Abs"/>
      <sheetName val="maya"/>
      <sheetName val="Main sheet"/>
      <sheetName val="ci"/>
      <sheetName val="civil-works"/>
      <sheetName val="sg-clay(d)"/>
      <sheetName val="DATA_PRG"/>
      <sheetName val="Rates"/>
      <sheetName val="Lead2021-22"/>
      <sheetName val="SPT vs PHI"/>
      <sheetName val="CDdata_(2)6"/>
      <sheetName val="Data_3"/>
      <sheetName val="Plant_&amp;__Machinery"/>
      <sheetName val="Bridge_Data_2005-06"/>
      <sheetName val="final_abstract"/>
      <sheetName val="Specification_report"/>
      <sheetName val="Fee_Rate_Summary"/>
      <sheetName val="Rate_Analysis"/>
      <sheetName val="hdpe_basic"/>
      <sheetName val="mlead"/>
      <sheetName val="abs road"/>
      <sheetName val="road est"/>
      <sheetName val="Cem Date"/>
      <sheetName val="BTR"/>
      <sheetName val="Line"/>
      <sheetName val="MRoad data"/>
      <sheetName val="Background"/>
      <sheetName val="Material "/>
      <sheetName val="ANALYSIS"/>
      <sheetName val="wh_data"/>
      <sheetName val="wh_data_R"/>
      <sheetName val="CPHEEO"/>
      <sheetName val="input"/>
      <sheetName val="other rates"/>
      <sheetName val="data existing_do not delete"/>
      <sheetName val="WS SSR"/>
      <sheetName val="ABS.C.D."/>
      <sheetName val="m"/>
      <sheetName val="CLEAR OVER FALL DROP"/>
      <sheetName val="Sheet2"/>
      <sheetName val="Sanction dump"/>
      <sheetName val="Boq"/>
      <sheetName val="GF SB Ok "/>
      <sheetName val="p&amp;m"/>
      <sheetName val="W.ESTIMATE"/>
      <sheetName val="Road FURNITURE"/>
      <sheetName val="Gen Abst"/>
      <sheetName val="quarry"/>
      <sheetName val="MTC-estimate"/>
      <sheetName val="Gen Abs"/>
      <sheetName val="#REF"/>
      <sheetName val="Det Est"/>
      <sheetName val="estt"/>
      <sheetName val="lead chart"/>
      <sheetName val="3Shops_Abstract"/>
      <sheetName val="CivilSSR"/>
      <sheetName val="Det esti (2)"/>
      <sheetName val="white swan"/>
      <sheetName val="Black swan"/>
      <sheetName val="1"/>
      <sheetName val="windows"/>
      <sheetName val=" Doors flush &amp; Window"/>
      <sheetName val="Ele data "/>
      <sheetName val="Sanitary&amp;water supply DATA "/>
      <sheetName val="sein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Input Data"/>
      <sheetName val="0000000000000"/>
      <sheetName val="Miscellaneous"/>
      <sheetName val="Road_All"/>
      <sheetName val="data-WC"/>
      <sheetName val="Lead (Final)"/>
      <sheetName val="clvrt_data"/>
      <sheetName val="Steel"/>
      <sheetName val="Elec data"/>
      <sheetName val="Comp"/>
      <sheetName val="DATA 2021-22"/>
      <sheetName val="Staff Civil o&amp;m draft policy"/>
      <sheetName val="Abs_CD_2"/>
      <sheetName val="coverpage"/>
      <sheetName val="ECV"/>
      <sheetName val="SSR-rates"/>
      <sheetName val="R_Det"/>
      <sheetName val="capacity-ohsrs"/>
      <sheetName val="BLK3"/>
      <sheetName val="BLK2"/>
      <sheetName val="E &amp; R"/>
      <sheetName val="radar"/>
      <sheetName val="UG"/>
      <sheetName val="basdat-f"/>
      <sheetName val="Sub -  Analysis"/>
      <sheetName val="Labour rates"/>
      <sheetName val="not req 3"/>
      <sheetName val="HDPE-pipe-rates"/>
      <sheetName val="pvc-pipe-rates"/>
      <sheetName val="Iocount"/>
      <sheetName val="mas_hab"/>
      <sheetName val="c.d.abs.est."/>
      <sheetName val="Nspt-smp-final-ORIGINAL"/>
      <sheetName val="Summary"/>
      <sheetName val="Labour &amp; Plant"/>
      <sheetName val="Prjt"/>
      <sheetName val="l"/>
      <sheetName val="Valves"/>
      <sheetName val="MS Rates"/>
      <sheetName val="boredetails"/>
      <sheetName val="RAFT"/>
      <sheetName val="Proforma -II "/>
      <sheetName val="1V800"/>
      <sheetName val="Work_sheet"/>
      <sheetName val="SUMP1420KL@HW"/>
      <sheetName val="02"/>
      <sheetName val="03"/>
      <sheetName val="04"/>
      <sheetName val="05"/>
      <sheetName val="hdpe weights"/>
      <sheetName val="PVC weights"/>
      <sheetName val="index"/>
      <sheetName val="PRELIM5"/>
      <sheetName val="m1"/>
      <sheetName val="AV-HDPE"/>
      <sheetName val="Di_gate-HDPE"/>
      <sheetName val="aug,02"/>
      <sheetName val="lead statement"/>
      <sheetName val="detail'02"/>
      <sheetName val="ewst"/>
      <sheetName val="Spec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B1">
            <v>34</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MRATES"/>
      <sheetName val="Sheet1"/>
      <sheetName val="sand"/>
      <sheetName val="stone"/>
      <sheetName val="Devider(CC)"/>
      <sheetName val="Devider (CRS)"/>
      <sheetName val="data-Parks-new"/>
      <sheetName val="C-Mat-Gen-"/>
      <sheetName val="Data "/>
      <sheetName val="Devider (CRS) final"/>
      <sheetName val="GA"/>
      <sheetName val="Single Devider"/>
      <sheetName val="v"/>
      <sheetName val="Rates SSR 2008-09"/>
      <sheetName val="final abstract"/>
      <sheetName val="rdamdata"/>
      <sheetName val="DATA_PRG"/>
      <sheetName val="Quarry"/>
      <sheetName val="RMR"/>
      <sheetName val="Line"/>
      <sheetName val="BTR"/>
      <sheetName val="CRUST"/>
      <sheetName val="QDTS"/>
      <sheetName val="Rates"/>
      <sheetName val="Road data"/>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Lead"/>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Ddata_(2)1"/>
      <sheetName val="Plant_&amp;__Machinery1"/>
      <sheetName val="CDdata_(2)2"/>
      <sheetName val="Plant_&amp;__Machinery2"/>
      <sheetName val="coverpage"/>
      <sheetName val="Rd.Est"/>
      <sheetName val="Works"/>
      <sheetName val="General"/>
      <sheetName val="HDPE"/>
      <sheetName val="DI"/>
      <sheetName val="pvc"/>
      <sheetName val="Convey"/>
      <sheetName val="C.D.Abs.Est."/>
      <sheetName val="Rates2"/>
      <sheetName val="SC Cost FEB 03"/>
      <sheetName val="m"/>
      <sheetName val="pvc_basic"/>
      <sheetName val="BALAN1"/>
      <sheetName val="mlead"/>
      <sheetName val="abs road"/>
      <sheetName val="Abs_CD_2"/>
      <sheetName val="road est"/>
      <sheetName val="ECV"/>
      <sheetName val="input"/>
      <sheetName val="Estt"/>
      <sheetName val="Staff Acco."/>
      <sheetName val="road detail est."/>
      <sheetName val="hdpe_basic"/>
      <sheetName val="Abs"/>
      <sheetName val="bom"/>
      <sheetName val="wh_data"/>
      <sheetName val="CPHEEO"/>
      <sheetName val="wh_data_R"/>
      <sheetName val="MRoad data"/>
      <sheetName val="lead-st"/>
      <sheetName val="not req 3"/>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TS memo"/>
      <sheetName val="DATA-BASE"/>
      <sheetName val="DATA-ABSTRACT"/>
      <sheetName val="detls"/>
      <sheetName val="Levels"/>
      <sheetName val="PS1"/>
      <sheetName val="cert"/>
      <sheetName val="Lead statement ss5"/>
      <sheetName val="maya"/>
      <sheetName val="Iocount"/>
      <sheetName val="int-Dia"/>
      <sheetName val="habs-list"/>
      <sheetName val="nodes"/>
      <sheetName val="Sheet1 (2)"/>
      <sheetName val="Wordsdata"/>
      <sheetName val="Gen_Abs"/>
      <sheetName val="GT DUMP"/>
      <sheetName val="sancdump"/>
      <sheetName val="GZL"/>
      <sheetName val="hdpe weights"/>
      <sheetName val="PVC weights"/>
      <sheetName val="index"/>
      <sheetName val="Usage"/>
      <sheetName val="int-Dia-hdpe"/>
      <sheetName val="int-Dia-pvc"/>
      <sheetName val="segments-details"/>
      <sheetName val="Specification report"/>
      <sheetName val="FORM7"/>
      <sheetName val="Data base"/>
      <sheetName val="l"/>
      <sheetName val="CDd!ta"/>
      <sheetName val="Suppl-data"/>
      <sheetName val="SUMP1420KL@HW"/>
      <sheetName val="3V 6mt "/>
      <sheetName val="3V 1000PC "/>
      <sheetName val="1V 3mt"/>
      <sheetName val="Road dam"/>
      <sheetName val="ewst"/>
      <sheetName val="Lead  RATES"/>
      <sheetName val="civ data"/>
      <sheetName val="clvrt_data"/>
      <sheetName val="Ins &amp; Bonds"/>
      <sheetName val="A-3.1"/>
      <sheetName val="Client req"/>
      <sheetName val="X-2"/>
      <sheetName val="C-data"/>
      <sheetName val="factors"/>
      <sheetName val="ESTIMATE"/>
      <sheetName val="t_prsr"/>
      <sheetName val="ssr-rates"/>
      <sheetName val="wh"/>
      <sheetName val="0000000000000"/>
      <sheetName val="Sub -  Analysis"/>
      <sheetName val="Labour rates"/>
      <sheetName val="Rate analysis"/>
      <sheetName val="RMR 2008-09"/>
      <sheetName val="VIP03"/>
      <sheetName val="VIP_02"/>
      <sheetName val="Summary"/>
      <sheetName val="Prjt"/>
      <sheetName val="Common "/>
      <sheetName val="app2"/>
      <sheetName val="road safety datas"/>
      <sheetName val="Below_Earth"/>
      <sheetName val="Fee Rate Summary"/>
      <sheetName val="87.Gazinagar"/>
      <sheetName val="HDPE-pipe-rates"/>
      <sheetName val="pvc-pipe-rates"/>
      <sheetName val="Nspt-smp-final-ORIGINAL"/>
      <sheetName val="Existing"/>
      <sheetName val="Material "/>
      <sheetName val="Labour &amp; Plant"/>
      <sheetName val="Design"/>
      <sheetName val="Spec"/>
      <sheetName val="Detail Est"/>
      <sheetName val="10KL OHSR"/>
      <sheetName val=" data sheet "/>
      <sheetName val="Rate"/>
      <sheetName val="sheet6"/>
      <sheetName val="work_sheet"/>
      <sheetName val="Y palem"/>
      <sheetName val="MDR"/>
      <sheetName val="Comparative Yerrupalem"/>
      <sheetName val="Comparative Madhira"/>
      <sheetName val="Comparative Bonakal"/>
      <sheetName val="SSR"/>
      <sheetName val="Earth work"/>
      <sheetName val="AC"/>
      <sheetName val="Bonakkal"/>
      <sheetName val="Wyra"/>
      <sheetName val="Comparative Abst"/>
      <sheetName val="Yer"/>
      <sheetName val="WATER-HAMMER"/>
      <sheetName val="m1"/>
      <sheetName val="pop"/>
      <sheetName val="R_Det"/>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HDPE"/>
      <sheetName val="pvc_basic"/>
      <sheetName val="Lead"/>
      <sheetName val="wh"/>
      <sheetName val="DATA_PRG"/>
      <sheetName val="Labour"/>
      <sheetName val="Material"/>
      <sheetName val="Plant &amp;  Machinery"/>
      <sheetName val="GEN-ABS Del"/>
      <sheetName val="Rates SSR 2008-09"/>
      <sheetName val="m"/>
      <sheetName val="mlead"/>
      <sheetName val="MRATES"/>
      <sheetName val="Cover"/>
      <sheetName val="DI"/>
      <sheetName val="pvc"/>
      <sheetName val="Rates"/>
      <sheetName val="abs road"/>
      <sheetName val=" Doors-Window (2)"/>
      <sheetName val="DATA"/>
      <sheetName val="mas_hab"/>
      <sheetName val="BALAN1"/>
      <sheetName val="Voucher"/>
      <sheetName val="FORM7"/>
      <sheetName val="RMR"/>
      <sheetName val="DATA-BASE"/>
      <sheetName val="DATA-ABSTRACT"/>
      <sheetName val="Staff Acco."/>
      <sheetName val="ewst"/>
      <sheetName val="BHANDUP"/>
      <sheetName val="Plant_&amp;__Machinery"/>
      <sheetName val="GEN-ABS_Del"/>
      <sheetName val="Rates_SSR_2008-09"/>
      <sheetName val="BTR"/>
      <sheetName val="Road data"/>
      <sheetName val="coverpage"/>
      <sheetName val="R_Det"/>
      <sheetName val="pv cement"/>
      <sheetName val="POL"/>
      <sheetName val="PH RATE"/>
      <sheetName val="hdpe_basic"/>
      <sheetName val="GT DUMP"/>
      <sheetName val="sancdump"/>
      <sheetName val="Lead statement ss5"/>
      <sheetName val="ONLINE DUMP"/>
      <sheetName val="road safety datas"/>
      <sheetName val="sectorwise"/>
      <sheetName val="0000000000000"/>
      <sheetName val="TS memo"/>
      <sheetName val="GF SB Ok "/>
      <sheetName val="civ data"/>
      <sheetName val="PRECAST lightconc-II"/>
      <sheetName val="DATA-2005-06"/>
      <sheetName val="m1"/>
      <sheetName val="not req 3"/>
      <sheetName val="C-data"/>
      <sheetName val="hdpe weights"/>
      <sheetName val="PVC weights"/>
      <sheetName val="index"/>
      <sheetName val="Sub -  Analysis"/>
      <sheetName val="Labour rates"/>
      <sheetName val="CABLE DATA"/>
      <sheetName val="Lead statement"/>
      <sheetName val="11.Habitations"/>
      <sheetName val="Sheet11"/>
      <sheetName val="Addl.40"/>
      <sheetName val="Summary"/>
      <sheetName val="Material "/>
      <sheetName val="Labour &amp; Plant"/>
      <sheetName val="Prjt"/>
      <sheetName val="Works"/>
      <sheetName val="Detailed"/>
      <sheetName val="face"/>
      <sheetName val="INPUT"/>
      <sheetName val="BidRequirement"/>
      <sheetName val="Road Detail Est."/>
      <sheetName val="maya"/>
      <sheetName val="ssr-rates"/>
      <sheetName val="Sheet5"/>
    </sheetNames>
    <sheetDataSet>
      <sheetData sheetId="0">
        <row r="1">
          <cell r="JB1">
            <v>0</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rdamdata"/>
      <sheetName val="leads"/>
      <sheetName val="ssr-rates"/>
      <sheetName val="Estimate "/>
      <sheetName val="HDPE"/>
      <sheetName val="stone"/>
      <sheetName val="EDWise"/>
      <sheetName val="BHANDUP"/>
      <sheetName val="PRECAST lightconc-II"/>
      <sheetName val="data existing_do not delete"/>
      <sheetName val="Lead"/>
      <sheetName val="Quarry"/>
      <sheetName val="Line"/>
      <sheetName val="CRUST"/>
      <sheetName val="QDTS"/>
      <sheetName val="RMR"/>
      <sheetName val="Rates"/>
      <sheetName val="BTR"/>
      <sheetName val="Road data"/>
      <sheetName val="Sheet3"/>
      <sheetName val="DI"/>
      <sheetName val="pvc"/>
      <sheetName val="Labour"/>
      <sheetName val="Material"/>
      <sheetName val="Plant &amp;  Machinery"/>
      <sheetName val="civ data"/>
      <sheetName val="ROADS"/>
      <sheetName val="coverpage"/>
      <sheetName val="mlead"/>
      <sheetName val="Levels"/>
      <sheetName val="Road Detail Est."/>
      <sheetName val="data"/>
      <sheetName val="id"/>
      <sheetName val="wh"/>
      <sheetName val="C-data"/>
      <sheetName val="BALAN1"/>
      <sheetName val="census91"/>
      <sheetName val="0000000000000"/>
      <sheetName val="maya"/>
      <sheetName val="Lead statement"/>
      <sheetName val="MRATES"/>
      <sheetName val="Nspt-smp-final-ORIGINAL"/>
      <sheetName val="DES"/>
      <sheetName val="COVER"/>
      <sheetName val="HP PIPE  DATA"/>
      <sheetName val="SLAB  DATA"/>
      <sheetName val="DATA_PRG"/>
      <sheetName val="Data o"/>
      <sheetName val="pvc_basic"/>
      <sheetName val="overviewbarmer"/>
      <sheetName val="Master_data"/>
      <sheetName val="Boq"/>
      <sheetName val="C &amp; G RHS"/>
      <sheetName val="Estimate_"/>
      <sheetName val="PRECAST_lightconc-II"/>
      <sheetName val="data_existing_do_not_delete"/>
      <sheetName val="Road_data"/>
      <sheetName val="GF SB Ok "/>
      <sheetName val="HDPE-pipe-rates"/>
      <sheetName val="pvc-pipe-rates"/>
      <sheetName val="splmidata"/>
      <sheetName val="ppraodata"/>
      <sheetName val="CONST"/>
      <sheetName val="m"/>
      <sheetName val="MRoad data"/>
      <sheetName val="AV-HDPE"/>
      <sheetName val="Di_gate-HDPE"/>
      <sheetName val="DISCOUNT"/>
      <sheetName val="t_prsr"/>
      <sheetName val="Common "/>
      <sheetName val="final abstract"/>
      <sheetName val="Basicrates"/>
      <sheetName val="mas_hab"/>
      <sheetName val="BLK3"/>
      <sheetName val="BLK2"/>
      <sheetName val="radar"/>
      <sheetName val="E &amp; R"/>
      <sheetName val="hdpe_basic"/>
      <sheetName val="Gen Abs"/>
      <sheetName val="GenAbst"/>
      <sheetName val="11.Habitations"/>
      <sheetName val="bom"/>
      <sheetName val="Rate"/>
      <sheetName val="PROCTOR"/>
      <sheetName val="segments-details"/>
      <sheetName val="int-Dia-hdpe"/>
      <sheetName val="habs-list"/>
      <sheetName val="int-Dia-pvc"/>
      <sheetName val="Sheet1 (2)"/>
      <sheetName val="Data.F8.BTR"/>
      <sheetName val="Proforma-I (2)"/>
      <sheetName val="LEAD S 10-11"/>
      <sheetName val="Flight-1"/>
      <sheetName val="QTY"/>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abs road"/>
      <sheetName val="TS memo"/>
      <sheetName val="work_sheet"/>
      <sheetName val="Civil Boq"/>
      <sheetName val="Summary"/>
      <sheetName val="Note"/>
      <sheetName val="Specification"/>
      <sheetName val="analy"/>
      <sheetName val="basdat"/>
      <sheetName val="WITH STACKING CHARGES"/>
      <sheetName val="Table10"/>
      <sheetName val="Table11"/>
      <sheetName val="Table12"/>
      <sheetName val="SSR 2014-15 Rates"/>
      <sheetName val="not req 3"/>
      <sheetName val="DATA-2005-06"/>
      <sheetName val="Abs_CD_2"/>
      <sheetName val="road est"/>
      <sheetName val="ECV"/>
      <sheetName val="ABS"/>
      <sheetName val="Format-A (B)"/>
      <sheetName val="Format-A"/>
      <sheetName val="Format-A (HQ)"/>
      <sheetName val="Sheet2 (2)"/>
      <sheetName val="Format-A (S)"/>
      <sheetName val="UG"/>
      <sheetName val="Design"/>
      <sheetName val="Prjt"/>
      <sheetName val="suppl-data"/>
      <sheetName val="joinery data"/>
      <sheetName val="Master data"/>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Bitumen trunk"/>
      <sheetName val="Feeder"/>
      <sheetName val="R99 etc"/>
      <sheetName val="Trunk unpaved"/>
      <sheetName val="Data_Renuals"/>
      <sheetName val="Data_Base"/>
      <sheetName val="Labour rates"/>
      <sheetName val="Legal Risk Analysis"/>
      <sheetName val="Cover-MEstt."/>
      <sheetName val="bldg"/>
      <sheetName val="G F  (2)"/>
      <sheetName val="Main sheet"/>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WATER-HAMMER"/>
      <sheetName val="Calc1"/>
      <sheetName val="organi synthesis lab"/>
      <sheetName val="Lead_statement"/>
      <sheetName val="GF_SB_Ok_"/>
      <sheetName val="Plant_&amp;__Machinery"/>
      <sheetName val="HP_PIPE__DATA"/>
      <sheetName val="SLAB__DATA"/>
      <sheetName val="MRoad_data"/>
      <sheetName val="C.D.Abs.Est."/>
      <sheetName val="ESTIMATE"/>
      <sheetName val="sectorwise"/>
      <sheetName val="PUMP_DATA"/>
    </sheetNames>
    <sheetDataSet>
      <sheetData sheetId="0">
        <row r="1">
          <cell r="JB1">
            <v>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wh_data"/>
      <sheetName val="wh_data_R"/>
      <sheetName val="CPHEEO"/>
      <sheetName val="input"/>
      <sheetName val="rdamdata"/>
      <sheetName val="Red oxide Primer Paint grade-II"/>
      <sheetName val="HDPE"/>
      <sheetName val="DI"/>
      <sheetName val="pvc"/>
      <sheetName val="EDWise"/>
      <sheetName val="MRATES"/>
      <sheetName val="lead-st"/>
      <sheetName val="data"/>
      <sheetName val="Sheet1 (2)"/>
      <sheetName val="Material"/>
      <sheetName val="Plant &amp;  Machinery"/>
      <sheetName val="RMR"/>
      <sheetName val="Levels"/>
      <sheetName val="Road Detail Est."/>
      <sheetName val="Road data"/>
      <sheetName val="Cover"/>
      <sheetName val="int-Dia-hdpe"/>
      <sheetName val="Sheet1"/>
      <sheetName val="Labour"/>
      <sheetName val="quarry"/>
      <sheetName val="mlead"/>
      <sheetName val="DATA-BASE"/>
      <sheetName val="DATA-ABSTRACT"/>
      <sheetName val="Data.F8.BTR"/>
      <sheetName val="Design"/>
      <sheetName val="Sheet2"/>
      <sheetName val="sup dat"/>
      <sheetName val="BALAN1"/>
      <sheetName val="C.D.Abs.Est."/>
      <sheetName val="not req 3"/>
      <sheetName val="DATA_PRG"/>
      <sheetName val="RATES"/>
      <sheetName val="DATA ENTRY SHEET"/>
      <sheetName val="TOTAL DATA"/>
      <sheetName val="HP PIPE  DATA"/>
      <sheetName val="SLAB  DATA"/>
      <sheetName val="Work_sheet"/>
      <sheetName val="abs road"/>
      <sheetName val="coverpage"/>
      <sheetName val="m"/>
      <sheetName val="BTR"/>
      <sheetName val="Line"/>
      <sheetName val="dlvoid"/>
      <sheetName val="index"/>
      <sheetName val="final abstract"/>
      <sheetName val="Intro"/>
      <sheetName val="Sheet1_(2)"/>
      <sheetName val="Plant_&amp;__Machinery"/>
      <sheetName val="Red_oxide_Primer_Paint_grade-II"/>
      <sheetName val="Road_Detail_Est_"/>
      <sheetName val="Road_data"/>
      <sheetName val="Data_F8_BTR"/>
      <sheetName val="pvc_basic"/>
      <sheetName val="MRoad data"/>
      <sheetName val="mas_hab"/>
      <sheetName val="Abs_CD_2"/>
      <sheetName val="road est"/>
      <sheetName val="ECV"/>
      <sheetName val="bom"/>
      <sheetName val="GZL"/>
      <sheetName val="Bitumen trunk"/>
      <sheetName val="Feeder"/>
      <sheetName val="R99 etc"/>
      <sheetName val="Trunk unpaved"/>
      <sheetName val="Project cost"/>
      <sheetName val="road safety datas"/>
      <sheetName val="Data_Bit_I"/>
      <sheetName val="Bill_amt_qty_cc_1"/>
      <sheetName val="Side wall dsn Formula"/>
      <sheetName val="SPT vs PHI"/>
      <sheetName val="Lead statement"/>
      <sheetName val="SSR 2014-15 Rates"/>
      <sheetName val="detls"/>
      <sheetName val="C-data"/>
      <sheetName val="hdpe_basic"/>
      <sheetName val="TS memo"/>
      <sheetName val="civ data"/>
      <sheetName val="FINAL DATA"/>
      <sheetName val="RA"/>
      <sheetName val="R_Det"/>
      <sheetName val="Mp-team 1"/>
      <sheetName val="HDPE-pipe-rates"/>
      <sheetName val="pvc-pipe-rates"/>
      <sheetName val="DATA-2005-06"/>
      <sheetName val="maya"/>
      <sheetName val="Rubber Gaskets"/>
      <sheetName val="Dom"/>
      <sheetName val="Format-A (B)"/>
      <sheetName val="Format-A"/>
      <sheetName val="Format-A (HQ)"/>
      <sheetName val="Sheet2 (2)"/>
      <sheetName val="Format-A (S)"/>
      <sheetName val="Prjt"/>
      <sheetName val="BLK3"/>
      <sheetName val="BLK2"/>
      <sheetName val="E &amp; R"/>
      <sheetName val="radar"/>
      <sheetName val="UG"/>
      <sheetName val="ESTIMATE"/>
      <sheetName val="Roadlist"/>
      <sheetName val="Data_Base"/>
      <sheetName val="SubAnlysis"/>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s"/>
      <sheetName val="v"/>
      <sheetName val="r"/>
      <sheetName val="#REF"/>
      <sheetName val="Lead statement ss5"/>
      <sheetName val="CDdata_(2)"/>
      <sheetName val="cwaydata_(2)"/>
      <sheetName val="CDdata_(3)"/>
      <sheetName val="Lead_statement_ss5"/>
      <sheetName val="#REF!"/>
      <sheetName val="Sheet1"/>
      <sheetName val="CDdata_(2)1"/>
      <sheetName val="cwaydata_(2)1"/>
      <sheetName val="CDdata_(3)1"/>
      <sheetName val="DATA"/>
      <sheetName val="lead_st"/>
      <sheetName val="data-WC"/>
      <sheetName val="Rates"/>
      <sheetName val="Road data"/>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Common "/>
      <sheetName val="Data-ELSR"/>
      <sheetName val="Mortars"/>
      <sheetName val="Usage"/>
      <sheetName val="General"/>
      <sheetName val="Lead statement"/>
      <sheetName val="hdpe_basic"/>
      <sheetName val="pvc_basic"/>
      <sheetName val="HDPE"/>
      <sheetName val="DI"/>
      <sheetName val="pvc"/>
      <sheetName val="CD works"/>
      <sheetName val="Labour"/>
      <sheetName val="MRATES"/>
      <sheetName val="1V800"/>
      <sheetName val="Lead"/>
      <sheetName val="Material"/>
      <sheetName val="SUMP1420KL@HW"/>
      <sheetName val="Sheet2"/>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overpage"/>
      <sheetName val="ABS"/>
      <sheetName val="Data.F8.BTR"/>
      <sheetName val="mlead"/>
      <sheetName val="DATA-BASE"/>
      <sheetName val="DATA-ABSTRACT"/>
      <sheetName val="final abstract"/>
      <sheetName val="RMR"/>
      <sheetName val="Summary"/>
      <sheetName val="DATA_PRG"/>
      <sheetName val="t_prsr"/>
      <sheetName val="id"/>
      <sheetName val="work_sheet"/>
      <sheetName val="maya"/>
      <sheetName val="BALAN1"/>
      <sheetName val="sand"/>
      <sheetName val="stone"/>
      <sheetName val="index"/>
      <sheetName val="abs road"/>
      <sheetName val="Main sheet"/>
      <sheetName val="Quotes"/>
      <sheetName val="Plant &amp;  Machinery"/>
      <sheetName val="Levels"/>
      <sheetName val="Boq"/>
      <sheetName val="BS8007"/>
      <sheetName val="Deck Slab"/>
      <sheetName val="CDdata_(2)6"/>
      <sheetName val="cwaydata_(2)6"/>
      <sheetName val="CDdata_(3)6"/>
      <sheetName val="Lead_statement_ss54"/>
      <sheetName val="Common_"/>
      <sheetName val="Lead_statement"/>
      <sheetName val="CD_works"/>
      <sheetName val="Road_data"/>
      <sheetName val="Detailed Estimate"/>
      <sheetName val="MRoad data"/>
      <sheetName val="m"/>
      <sheetName val="bom"/>
      <sheetName val="clvrt_data"/>
      <sheetName val="wh"/>
      <sheetName val="PVC_dia"/>
      <sheetName val="Rate"/>
      <sheetName val="INPUT"/>
      <sheetName val="Quarry"/>
      <sheetName val="SSR 2014-15 Rates"/>
      <sheetName val="wh_data"/>
      <sheetName val="CPHEEO"/>
      <sheetName val="wh_data_R"/>
      <sheetName val="ONLINE DUMP"/>
      <sheetName val="sancdump"/>
      <sheetName val="Cover"/>
      <sheetName val="C.D.Abs.Est."/>
      <sheetName val="Sheet1 (2)"/>
      <sheetName val="HDPE-pipe-rates"/>
      <sheetName val="pvc-pipe-rates"/>
      <sheetName val="detls"/>
      <sheetName val="segments-details"/>
      <sheetName val="habs-list"/>
      <sheetName val="int-Dia-hdpe"/>
      <sheetName val="int-Dia-pvc"/>
      <sheetName val="Valves"/>
      <sheetName val="MS Rates"/>
      <sheetName val="PRECAST lightconc-II"/>
      <sheetName val="Road Detail Est."/>
      <sheetName val="BTR"/>
      <sheetName val="DISCOUNT"/>
      <sheetName val="JAWAHAR-hyd-original"/>
      <sheetName val="DATA-2005-06"/>
      <sheetName val="civil-works"/>
      <sheetName val=" Data -Valves"/>
      <sheetName val="04REL"/>
      <sheetName val="Format-A (B)"/>
      <sheetName val="Format-A"/>
      <sheetName val="Format-A (HQ)"/>
      <sheetName val="Sheet2 (2)"/>
      <sheetName val="Format-A (S)"/>
      <sheetName val="PH data"/>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FACE"/>
      <sheetName val="CC Road"/>
      <sheetName val="Census_of_India_2001"/>
      <sheetName val="rate analysis "/>
      <sheetName val="INPUT-DATA"/>
      <sheetName val="Pier Design(with offset)"/>
      <sheetName val="Relig-place"/>
      <sheetName val="Check List"/>
      <sheetName val="Recovery"/>
      <sheetName val="HYDRAULICS"/>
      <sheetName val="Designs"/>
      <sheetName val="DataInput"/>
      <sheetName val="DataInput-1"/>
      <sheetName val="DI Rate Analysis"/>
      <sheetName val="Economic RisingMain  Ph-I"/>
      <sheetName val="1-Pop Proj"/>
      <sheetName val="Sheet3-1"/>
      <sheetName val="LIST"/>
      <sheetName val="Area Sheet NO 1"/>
      <sheetName val="N- Ward Codes"/>
      <sheetName val="STAMT"/>
      <sheetName val="data existing_do not delete"/>
      <sheetName val="CONNECT"/>
      <sheetName val="WTP-Pr"/>
      <sheetName val="EDWise"/>
      <sheetName val="slab"/>
      <sheetName val="DREV"/>
      <sheetName val="CREV"/>
      <sheetName val="Sheet9"/>
      <sheetName val="LLEGADA"/>
      <sheetName val="app2"/>
      <sheetName val="AV-HDPE"/>
      <sheetName val="Di_gate-HDPE"/>
      <sheetName val="R_Det"/>
      <sheetName val="habcodes"/>
      <sheetName val="SubAnlysis"/>
      <sheetName val="SubAnalysis"/>
      <sheetName val="Design"/>
      <sheetName val="Sketch"/>
      <sheetName val="Specification"/>
      <sheetName val="PUMP_DATA"/>
    </sheetNames>
    <sheetDataSet>
      <sheetData sheetId="0">
        <row r="6">
          <cell r="J6">
            <v>336.1</v>
          </cell>
        </row>
      </sheetData>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ow r="1">
          <cell r="B1">
            <v>0</v>
          </cell>
        </row>
      </sheetData>
      <sheetData sheetId="40">
        <row r="1">
          <cell r="B1">
            <v>0</v>
          </cell>
        </row>
      </sheetData>
      <sheetData sheetId="41">
        <row r="1">
          <cell r="B1">
            <v>0</v>
          </cell>
        </row>
      </sheetData>
      <sheetData sheetId="42">
        <row r="1">
          <cell r="B1">
            <v>0</v>
          </cell>
        </row>
      </sheetData>
      <sheetData sheetId="43">
        <row r="1">
          <cell r="B1">
            <v>0</v>
          </cell>
        </row>
      </sheetData>
      <sheetData sheetId="44">
        <row r="1">
          <cell r="B1">
            <v>0</v>
          </cell>
        </row>
      </sheetData>
      <sheetData sheetId="45">
        <row r="1">
          <cell r="B1">
            <v>0</v>
          </cell>
        </row>
      </sheetData>
      <sheetData sheetId="46">
        <row r="1">
          <cell r="B1">
            <v>0</v>
          </cell>
        </row>
      </sheetData>
      <sheetData sheetId="47">
        <row r="1">
          <cell r="B1">
            <v>0</v>
          </cell>
        </row>
      </sheetData>
      <sheetData sheetId="48">
        <row r="1">
          <cell r="B1">
            <v>0</v>
          </cell>
        </row>
      </sheetData>
      <sheetData sheetId="49">
        <row r="1">
          <cell r="B1">
            <v>0</v>
          </cell>
        </row>
      </sheetData>
      <sheetData sheetId="50">
        <row r="1">
          <cell r="B1">
            <v>0</v>
          </cell>
        </row>
      </sheetData>
      <sheetData sheetId="51">
        <row r="1">
          <cell r="B1">
            <v>0</v>
          </cell>
        </row>
      </sheetData>
      <sheetData sheetId="52">
        <row r="1">
          <cell r="B1">
            <v>0</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ow r="1">
          <cell r="B1">
            <v>0</v>
          </cell>
        </row>
      </sheetData>
      <sheetData sheetId="68">
        <row r="1">
          <cell r="B1">
            <v>0</v>
          </cell>
        </row>
      </sheetData>
      <sheetData sheetId="69">
        <row r="1">
          <cell r="B1">
            <v>0</v>
          </cell>
        </row>
      </sheetData>
      <sheetData sheetId="70">
        <row r="1">
          <cell r="B1">
            <v>0</v>
          </cell>
        </row>
      </sheetData>
      <sheetData sheetId="71">
        <row r="1">
          <cell r="B1">
            <v>0</v>
          </cell>
        </row>
      </sheetData>
      <sheetData sheetId="72">
        <row r="1">
          <cell r="B1">
            <v>0</v>
          </cell>
        </row>
      </sheetData>
      <sheetData sheetId="73">
        <row r="1">
          <cell r="B1">
            <v>0</v>
          </cell>
        </row>
      </sheetData>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CDdata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CDdata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CDdata_(2)"/>
      <sheetName val="cwaydata_(2)"/>
      <sheetName val="CDdata_(3)"/>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CDdata_(2)"/>
      <sheetName val="cwaydata_(2)"/>
      <sheetName val="CDdata_(3)"/>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Lead"/>
      <sheetName val="Materials"/>
      <sheetName val="Data "/>
      <sheetName val="Retaing"/>
      <sheetName val="Abstract(F6)"/>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r"/>
      <sheetName val="v"/>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s>
    <sheetDataSet>
      <sheetData sheetId="0"/>
      <sheetData sheetId="1" refreshError="1">
        <row r="1">
          <cell r="A1" t="str">
            <v xml:space="preserve">Earth work excation and depositing on bank with initial lead and lift in loamy and clayee soils as per ss301 for foundations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sheetData>
      <sheetData sheetId="2"/>
      <sheetData sheetId="3"/>
      <sheetData sheetId="4"/>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Labour"/>
      <sheetName val="data existing_do not delete"/>
      <sheetName val="lead-st"/>
      <sheetName val="bom"/>
      <sheetName val="C-data"/>
      <sheetName val="r"/>
      <sheetName val="Material"/>
      <sheetName val="Plant &amp;  Machinery"/>
      <sheetName val="v"/>
      <sheetName val="CDdata_(2)"/>
      <sheetName val="#REF"/>
      <sheetName val="lead chart"/>
      <sheetName val="HDPE"/>
      <sheetName val="DI"/>
      <sheetName val="pvc"/>
      <sheetName val="pvc_basic"/>
      <sheetName val="estt"/>
      <sheetName val="Det Est"/>
      <sheetName val="hdpe_basic"/>
      <sheetName val="1"/>
      <sheetName val="Datas"/>
      <sheetName val="windows"/>
      <sheetName val=" Doors flush &amp; Window"/>
      <sheetName val="Ele data "/>
      <sheetName val="Sanitary&amp;water supply DATA "/>
      <sheetName val="seing"/>
      <sheetName val="DATA-BASE"/>
      <sheetName val="DATA-ABSTRACT"/>
      <sheetName val="m"/>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Sheet1"/>
      <sheetName val="New lead2"/>
      <sheetName val="CD-DAta"/>
      <sheetName val="Base Course "/>
      <sheetName val="Sheet3"/>
      <sheetName val="Sheet5"/>
      <sheetName val="Sheet18"/>
      <sheetName val="Sheet1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refreshError="1"/>
      <sheetData sheetId="89" refreshError="1"/>
      <sheetData sheetId="90" refreshError="1"/>
      <sheetData sheetId="91" refreshError="1"/>
      <sheetData sheetId="9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m"/>
      <sheetName val="r"/>
      <sheetName val="rdamdata"/>
      <sheetName val="CDdata_(2)"/>
      <sheetName val="l"/>
      <sheetName val="CDd!ta"/>
      <sheetName val="MRATES"/>
      <sheetName val="Lead"/>
      <sheetName val="hdpe weights"/>
      <sheetName val="PVC weights"/>
      <sheetName val="index"/>
      <sheetName val="lead-st"/>
      <sheetName val="Sheet1"/>
      <sheetName val="v"/>
      <sheetName val="pvc"/>
      <sheetName val="bricks"/>
      <sheetName val="FORM7"/>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ead-st"/>
      <sheetName val="rdamdata"/>
      <sheetName val="v"/>
      <sheetName val="r"/>
      <sheetName val="quarry"/>
      <sheetName val="DATA"/>
    </sheetNames>
    <sheetDataSet>
      <sheetData sheetId="0">
        <row r="2">
          <cell r="W2" t="str">
            <v>KM</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CS"/>
      <sheetName val="maya"/>
      <sheetName val="ValveChamber"/>
      <sheetName val="V-CR"/>
      <sheetName val="DATA"/>
      <sheetName val="MRATES"/>
      <sheetName val="Lead statement"/>
      <sheetName val="SSR 2010-11 Rates"/>
      <sheetName val="rdamdata"/>
      <sheetName val="bom"/>
      <sheetName val="HDPE"/>
      <sheetName val="DI"/>
      <sheetName val="pvc"/>
      <sheetName val="hdpe_basic"/>
      <sheetName val="pvc_basic"/>
      <sheetName val="C-data"/>
      <sheetName val="Sheet1"/>
      <sheetName val="lead-st"/>
      <sheetName val="r"/>
      <sheetName val="v"/>
      <sheetName val="m"/>
      <sheetName val="leads"/>
      <sheetName val="data existing_do not delete"/>
      <sheetName val="Estimate "/>
      <sheetName val="ssr-rates"/>
      <sheetName val="DATA_PRG"/>
      <sheetName val="Labour"/>
      <sheetName val="Rates"/>
      <sheetName val="t_prsr"/>
      <sheetName val="wh"/>
      <sheetName val="Buildings"/>
      <sheetName val="Hire"/>
      <sheetName val="Conveyance"/>
      <sheetName val="mlead"/>
      <sheetName val="Cover"/>
      <sheetName val="id"/>
      <sheetName val="p&amp;m"/>
      <sheetName val="final abstract"/>
      <sheetName val="AV-HDPE"/>
      <sheetName val="Di_gate-HDPE"/>
      <sheetName val="Material"/>
      <sheetName val="Plant &amp;  Machinery"/>
      <sheetName val="Bitumen trunk"/>
      <sheetName val="Feeder"/>
      <sheetName val="R99 etc"/>
      <sheetName val="Trunk unpaved"/>
      <sheetName val="Basicrates"/>
      <sheetName val="BWSCPlt"/>
      <sheetName val="CI"/>
      <sheetName val="G.R.P"/>
      <sheetName val="PSC REVISED"/>
      <sheetName val="Summary"/>
      <sheetName val="sand"/>
      <sheetName val="stone"/>
      <sheetName val="RMR"/>
      <sheetName val="Lead"/>
      <sheetName val="temp-SDData (2)"/>
      <sheetName val="wh_data_R"/>
      <sheetName val="wh_data"/>
      <sheetName val="CPHEEO"/>
      <sheetName val="input"/>
      <sheetName val="DATA-BASE"/>
      <sheetName val="DATA-ABSTRACT"/>
      <sheetName val="Sheet2"/>
      <sheetName val="0000000000000"/>
    </sheetNames>
    <sheetDataSet>
      <sheetData sheetId="0">
        <row r="1">
          <cell r="A1" t="str">
            <v xml:space="preserve">Earth work excation and depositing on bank with initial lead and lift in loamy and clayee soils as per ss301 for foundations </v>
          </cell>
        </row>
      </sheetData>
      <sheetData sheetId="1" refreshError="1">
        <row r="1">
          <cell r="A1" t="str">
            <v xml:space="preserve">Earth work excation and depositing on bank with initial lead and lift in loamy and clayee soils as per ss301 for foundations </v>
          </cell>
        </row>
        <row r="11">
          <cell r="A11" t="e">
            <v>#REF!</v>
          </cell>
        </row>
        <row r="12">
          <cell r="A12" t="e">
            <v>#REF!</v>
          </cell>
        </row>
        <row r="13">
          <cell r="A13" t="e">
            <v>#REF!</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t="e">
            <v>#REF!</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t="e">
            <v>#REF!</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rdamdata"/>
      <sheetName val="stone"/>
      <sheetName val="Lead statement"/>
      <sheetName val="leads"/>
      <sheetName val="Road Detail Est."/>
      <sheetName val="Road data"/>
      <sheetName val="m"/>
      <sheetName val="Specification"/>
      <sheetName val="Note"/>
      <sheetName val="MRATES"/>
      <sheetName val="Material"/>
      <sheetName val="Plant &amp;  Machinery"/>
      <sheetName val="maya"/>
      <sheetName val="Sheet3"/>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 val="rdamdata"/>
      <sheetName val="MRATES"/>
      <sheetName val="Road Detail Est."/>
      <sheetName val="Road data"/>
      <sheetName val="Lead"/>
      <sheetName val="mpp_b,dg"/>
      <sheetName val="Sheet1"/>
      <sheetName val="Material"/>
      <sheetName val="Labour"/>
      <sheetName val="bundqty"/>
      <sheetName val="Data"/>
      <sheetName val="Plant &amp;  Machinery"/>
      <sheetName val="leads"/>
      <sheetName val="cert"/>
      <sheetName val="quarry"/>
      <sheetName val="DATA-2005-06"/>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CDdata_(2)"/>
      <sheetName val="cwaydata_(2)"/>
      <sheetName val="CDdata_(3)"/>
      <sheetName val="#REF"/>
      <sheetName val="leads"/>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REF"/>
      <sheetName val="leads"/>
      <sheetName val="lead_st"/>
      <sheetName val="CDdata_(2)"/>
      <sheetName val="cwaydata_(2)"/>
      <sheetName val="CDdata_(3)"/>
      <sheetName val="#REF!"/>
      <sheetName val="Rates"/>
      <sheetName val="Gen Abstract"/>
      <sheetName val="nodes"/>
      <sheetName val="habs-list"/>
      <sheetName val="int-Dia"/>
      <sheetName val="Sheet1"/>
      <sheetName val="DATA-BASE"/>
      <sheetName val="DATA-ABSTRACT"/>
      <sheetName val="Labour"/>
      <sheetName val="Data"/>
    </sheetNames>
    <sheetDataSet>
      <sheetData sheetId="0">
        <row r="6">
          <cell r="J6">
            <v>336.1</v>
          </cell>
        </row>
      </sheetData>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r"/>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aya"/>
      <sheetName val="Lead"/>
      <sheetName val="Common "/>
      <sheetName val="detls"/>
      <sheetName val="Materials"/>
      <sheetName val="Data "/>
      <sheetName val="Retaing"/>
      <sheetName val="Abstract(F6)"/>
      <sheetName val="Sheet1"/>
      <sheetName val="Labour"/>
      <sheetName val="Material"/>
      <sheetName val="Plant &amp;  Machinery"/>
      <sheetName val="quarry"/>
      <sheetName val="GF SB Ok "/>
      <sheetName val="ABS.C.D."/>
      <sheetName val="W.ESTIMATE"/>
      <sheetName val="Road FURNITURE"/>
      <sheetName val="Gen Abst"/>
      <sheetName val="DATA_PRG"/>
      <sheetName val="DI"/>
      <sheetName val="C-data"/>
      <sheetName val="ABS"/>
      <sheetName val="MTC-estimate"/>
      <sheetName val="Gen Abs"/>
      <sheetName val="other rates"/>
      <sheetName val="CDdata_(2)"/>
      <sheetName val="Data_"/>
      <sheetName val="CDdata_(2)1"/>
      <sheetName val="Data_1"/>
      <sheetName val="DATA-BASE"/>
      <sheetName val="DATA-ABSTRACT"/>
      <sheetName val="t_prsr"/>
      <sheetName val="id"/>
      <sheetName val="r"/>
      <sheetName val="m"/>
      <sheetName val="pvc_basic"/>
      <sheetName val="data existing_do not delete"/>
      <sheetName val="boredetails"/>
      <sheetName val="rdamdata"/>
      <sheetName val="lead-st"/>
      <sheetName val="v"/>
      <sheetName val="Boq"/>
      <sheetName val="p&amp;m"/>
      <sheetName val="Specification report"/>
      <sheetName val="Usage"/>
      <sheetName val="General"/>
      <sheetName val="Annex- 6 - Delinator"/>
      <sheetName val="l"/>
      <sheetName val="HDPE"/>
      <sheetName val="pvc"/>
      <sheetName val="bom"/>
      <sheetName val="wh_data"/>
      <sheetName val="wh_data_R"/>
      <sheetName val="CPHEEO"/>
      <sheetName val="input"/>
      <sheetName val="mlead"/>
      <sheetName val="hdpe-rates"/>
      <sheetName val="hdpe weights"/>
      <sheetName val="ssr-rates"/>
      <sheetName val="pvc-rates"/>
      <sheetName val="PVC weights"/>
      <sheetName val="Works"/>
      <sheetName val="RMR"/>
      <sheetName val="final abstract"/>
      <sheetName val="CDdata_(2)5"/>
      <sheetName val="Data_2"/>
      <sheetName val="CDdata_(2)3"/>
      <sheetName val="CDdata_(2)2"/>
      <sheetName val="CDdata_(2)4"/>
      <sheetName val="Bridge Data 2005-06"/>
      <sheetName val="EDWise"/>
      <sheetName val="Design"/>
      <sheetName val="Fee Rate Summary"/>
      <sheetName val="Rate Analysis"/>
      <sheetName val="Newabstract"/>
      <sheetName val="MRATES"/>
      <sheetName val="coverpage"/>
      <sheetName val="Road data"/>
      <sheetName val="pvc-pipe-rates"/>
      <sheetName val="hdpe_basic"/>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s>
    <sheetDataSet>
      <sheetData sheetId="0" refreshError="1">
        <row r="3">
          <cell r="B3" t="str">
            <v>PWD ROAD VATTEM TO PALEM (VIA) JAWAHARNAVODAYA SCHOOL,KARKONDA</v>
          </cell>
        </row>
        <row r="67">
          <cell r="H67">
            <v>1410.4611040000002</v>
          </cell>
        </row>
        <row r="97">
          <cell r="H97">
            <v>2314.9090639999999</v>
          </cell>
        </row>
        <row r="245">
          <cell r="H245">
            <v>30.16</v>
          </cell>
        </row>
      </sheetData>
      <sheetData sheetId="1" refreshError="1"/>
      <sheetData sheetId="2"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rdamdata"/>
      <sheetName val="Road Detail Est."/>
      <sheetName val="Road data"/>
      <sheetName val="HDPE"/>
      <sheetName val="DI"/>
      <sheetName val="pvc"/>
      <sheetName val="hdpe_basic"/>
      <sheetName val="pvc_basic"/>
      <sheetName val="Suppl-data"/>
      <sheetName val="INPUT"/>
      <sheetName val="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ead-st"/>
      <sheetName val="rdamdata"/>
      <sheetName val="r"/>
      <sheetName val="DATA_PRG"/>
      <sheetName val="v"/>
      <sheetName val="DATA"/>
      <sheetName val="m"/>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Data"/>
      <sheetName val="Materials"/>
      <sheetName val="Lead statement"/>
      <sheetName val="Conveyance"/>
      <sheetName val="Sheet3"/>
      <sheetName val="MRATES"/>
      <sheetName val="Sheet1"/>
      <sheetName val="ESTIMATE"/>
      <sheetName val="t_prsr"/>
      <sheetName val="wh"/>
      <sheetName val="Leads"/>
      <sheetName val="Sheet2"/>
      <sheetName val="Lead"/>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row r="2">
          <cell r="F2">
            <v>100</v>
          </cell>
        </row>
      </sheetData>
      <sheetData sheetId="10">
        <row r="2">
          <cell r="F2">
            <v>100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2">
          <cell r="F2">
            <v>100</v>
          </cell>
        </row>
      </sheetData>
      <sheetData sheetId="25">
        <row r="2">
          <cell r="F2">
            <v>100</v>
          </cell>
        </row>
      </sheetData>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quarry"/>
      <sheetName val="leads"/>
      <sheetName val="CD Data"/>
      <sheetName val="0000000000000"/>
      <sheetName val="DATA_PRG"/>
      <sheetName val="Lead"/>
      <sheetName val="Road Detail Est."/>
      <sheetName val="Road data"/>
      <sheetName val="rdamdata"/>
      <sheetName val="DATA"/>
      <sheetName val="Data_Renuals"/>
      <sheetName val="Sheet1"/>
      <sheetName val="cover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XXXXX"/>
      <sheetName val="XXXXXXXXXXXXX"/>
      <sheetName val="Bridge-well"/>
      <sheetName val="Wells data"/>
      <sheetName val="Road det"/>
      <sheetName val="Road Abs"/>
      <sheetName val="Cause way"/>
      <sheetName val="note file"/>
      <sheetName val="Sheet1"/>
      <sheetName val="Abstact"/>
      <sheetName val="Lead"/>
      <sheetName val="Data-Road "/>
      <sheetName val="DATA-CD "/>
      <sheetName val="water_cost_certificate"/>
      <sheetName val="Model sh"/>
      <sheetName val="Seig_Calculations"/>
      <sheetName val="transport"/>
      <sheetName val="#REF!"/>
      <sheetName val="leads"/>
      <sheetName val="#REF"/>
      <sheetName val="v"/>
      <sheetName val="r"/>
      <sheetName val="PUMP_DATA"/>
      <sheetName val="Sheet5"/>
      <sheetName val="Input Data"/>
      <sheetName val="SSR-rates"/>
      <sheetName val="C-data"/>
      <sheetName val="DATA_PRG"/>
      <sheetName val="Lead statement ss5"/>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row r="7">
          <cell r="L7">
            <v>470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com_st_PM"/>
      <sheetName val="comst_GM"/>
      <sheetName val="G_R_P"/>
      <sheetName val="sand"/>
      <sheetName val="stone"/>
      <sheetName val="Road Detail Est."/>
      <sheetName val="Road data"/>
      <sheetName val="DATA"/>
      <sheetName val="rdamdata"/>
      <sheetName val="Material"/>
      <sheetName val="Labour"/>
      <sheetName val="Lead statement"/>
      <sheetName val="v"/>
      <sheetName val="r"/>
      <sheetName val="quarry"/>
      <sheetName val="Sheet1"/>
      <sheetName val="maya"/>
      <sheetName val="com_st_PM1"/>
      <sheetName val="comst_GM1"/>
      <sheetName val="G_R_P1"/>
      <sheetName val="SPT vs PHI"/>
      <sheetName val="#REF"/>
      <sheetName val="detls"/>
      <sheetName val="hdpe weights"/>
      <sheetName val="PVC weights"/>
      <sheetName val="index"/>
      <sheetName val="ssr-rates"/>
      <sheetName val="hdpe-rates"/>
      <sheetName val="pvc-rates"/>
      <sheetName val="Lead"/>
      <sheetName val="lead-st"/>
      <sheetName val="Ward areas"/>
      <sheetName val="Zi-co"/>
      <sheetName val="com_st_PM5"/>
      <sheetName val="comst_GM5"/>
      <sheetName val="G_R_P5"/>
      <sheetName val="Road_Detail_Est_2"/>
      <sheetName val="Road_data2"/>
      <sheetName val="Lead_statement2"/>
      <sheetName val="com_st_PM3"/>
      <sheetName val="comst_GM3"/>
      <sheetName val="G_R_P3"/>
      <sheetName val="com_st_PM2"/>
      <sheetName val="comst_GM2"/>
      <sheetName val="G_R_P2"/>
      <sheetName val="Road_Detail_Est_"/>
      <sheetName val="Road_data"/>
      <sheetName val="Lead_statement"/>
      <sheetName val="com_st_PM4"/>
      <sheetName val="comst_GM4"/>
      <sheetName val="G_R_P4"/>
      <sheetName val="Road_Detail_Est_1"/>
      <sheetName val="Road_data1"/>
      <sheetName val="Lead_statement1"/>
      <sheetName val="EDWise"/>
      <sheetName val="leads"/>
      <sheetName val="SSR 2010-11 Rates"/>
      <sheetName val="Specification report"/>
      <sheetName val="_x0000_V_x0000_O_x0000_I_x0000_L_x0000_S_x0000_I_x0000_N_x0000_G_x0000_R_x0000_A_x0000_M_x0000_._x0000_X_x0000_L_x0000_S_x0000_"/>
      <sheetName val=""/>
      <sheetName val="Nspt-smp-final-ORIGINAL"/>
      <sheetName val="wh_data"/>
      <sheetName val="CPHEEO"/>
      <sheetName val="wh_data_R"/>
      <sheetName val="input"/>
      <sheetName val="Leads Entry"/>
      <sheetName val="Plant &amp;  Machinery"/>
      <sheetName val="data-WC"/>
      <sheetName val="?V?O?I?L?S?I?N?G?R?A?M?.?X?L?S?"/>
      <sheetName val="m"/>
      <sheetName val="DATA_PRG"/>
      <sheetName val="0000000000000"/>
      <sheetName val="MRATES"/>
      <sheetName val="Staff Acco."/>
      <sheetName val="RMR"/>
      <sheetName val="Rates-May-14"/>
      <sheetName val="p&amp;m"/>
      <sheetName val="Di_gate-HDPE"/>
      <sheetName val="_V_O_I_L_S_I_N_G_R_A_M_._X_L_S_"/>
      <sheetName val="C-data"/>
      <sheetName val="segments-details"/>
      <sheetName val="Datas"/>
      <sheetName val="Plant_&amp;__Machinery"/>
      <sheetName val="Sheet2"/>
      <sheetName val="HDPE-pipe-rates"/>
      <sheetName val="Sheet1_(2)"/>
      <sheetName val="int-Dia-hdpe"/>
      <sheetName val="habs-list"/>
      <sheetName val="pvc-pipe-rates"/>
      <sheetName val="PVC_dia"/>
      <sheetName val="int-Dia-pvc"/>
      <sheetName val="ABS"/>
      <sheetName val="t_prsr"/>
      <sheetName val="wh"/>
      <sheetName val="C.D.Abs.Est."/>
      <sheetName val="bom"/>
      <sheetName val="COLUMN"/>
      <sheetName val="_5wgdhabfinal00_01"/>
      <sheetName val="WATER-HAMMER"/>
      <sheetName val="not req 3"/>
      <sheetName val="AV-HDPE"/>
      <sheetName val="mlead"/>
      <sheetName val="_x005f_x0000_V_x005f_x0000_O_x005f_x0000_I_x005f_x0000_"/>
      <sheetName val="Data rough"/>
      <sheetName val="l"/>
      <sheetName val="Estimate"/>
      <sheetName val="MRoad data"/>
      <sheetName val="VC rate"/>
      <sheetName val="dbl-airvalve-PVC"/>
      <sheetName val="airvalve(AC)"/>
      <sheetName val="DFjoints"/>
      <sheetName val="census91"/>
      <sheetName val="m1"/>
      <sheetName val="Detailed"/>
      <sheetName val="Cover"/>
      <sheetName val="coverpage"/>
      <sheetName val="R_Det"/>
      <sheetName val="CC &amp; VC"/>
      <sheetName val="Rates"/>
      <sheetName val="hdpe_weights"/>
      <sheetName val="PVC_weights"/>
      <sheetName val="BWSCPlt"/>
      <sheetName val="DATA-BASE"/>
      <sheetName val="int-Dia"/>
      <sheetName val="mas_hab"/>
      <sheetName val="id"/>
      <sheetName val="PSC_REVISED"/>
      <sheetName val="DATA-ABSTRACT"/>
      <sheetName val="hdpe_weights2"/>
      <sheetName val="PVC_weights2"/>
      <sheetName val="hdpe_weights1"/>
      <sheetName val="PVC_weights1"/>
      <sheetName val="Plant_&amp;__Machinery1"/>
      <sheetName val="water-hammar-strenght"/>
      <sheetName val="data existing_do not delete"/>
      <sheetName val="Voucher"/>
      <sheetName val="BHANDUP"/>
      <sheetName val="Intro"/>
      <sheetName val="work_sheet"/>
      <sheetName val="abs road"/>
      <sheetName val="_x005f_x0000_V_x005f_x0000_O_x005f_x0000_I_x000_2"/>
      <sheetName val="Data-ELSR"/>
      <sheetName val="Levels"/>
      <sheetName val="1000 (1V)"/>
      <sheetName val="SSR 2014-15 Rates"/>
      <sheetName val="hdpe-int-Dia"/>
      <sheetName val="E-Table"/>
      <sheetName val="pvc-int-Dia"/>
      <sheetName val="Bitumen trunk"/>
      <sheetName val="Feeder"/>
      <sheetName val="R99 etc"/>
      <sheetName val="Trunk unpaved"/>
      <sheetName val="General"/>
      <sheetName val="Summary"/>
      <sheetName val="PRECAST lightconc-II"/>
      <sheetName val="com_st_PM6"/>
      <sheetName val="comst_GM6"/>
      <sheetName val="G_R_P6"/>
      <sheetName val="Road_Detail_Est_3"/>
      <sheetName val="Road_data3"/>
      <sheetName val="Lead_statement3"/>
      <sheetName val="dlvoid"/>
      <sheetName val="road safety datas"/>
      <sheetName val="SPT_vs_PHI"/>
      <sheetName val="Ward_areas"/>
      <sheetName val="SSR_2010-11_Rates"/>
      <sheetName val="Leads_Entry"/>
      <sheetName val="Specification_report"/>
      <sheetName val="VOILSINGRAM_XLS"/>
      <sheetName val="?V?O?I?L?S?I?N?G?R?A?M?_?X?L?S?"/>
      <sheetName val="Staff_Acco_"/>
      <sheetName val="Lead statement ss5"/>
      <sheetName val="_V_O_I_L_S_I_N_G_R_A_M___X_L_S_"/>
      <sheetName val="Main Sheet"/>
      <sheetName val="final abstract"/>
      <sheetName val="Drain Est (2)"/>
      <sheetName val="SPECI (2)"/>
      <sheetName val="Specification Repoer CC"/>
      <sheetName val="11.Habitations"/>
      <sheetName val="bar bending"/>
      <sheetName val="Suppl-data"/>
      <sheetName val="DATA SHEET"/>
      <sheetName val="Working Estimate"/>
      <sheetName val="other rates"/>
      <sheetName val="PM&amp;GM"/>
      <sheetName val="AV-PVC"/>
      <sheetName val="DIgate_PVC "/>
      <sheetName val="DI gate-DI"/>
      <sheetName val="AV-BWSC&amp;MS"/>
      <sheetName val="AV_AC"/>
      <sheetName val="AV-DI"/>
      <sheetName val="di_Gate_AC"/>
      <sheetName val="Digate-BWSCP-MS"/>
      <sheetName val="DI_gate_di"/>
      <sheetName val="scour-DI-CI"/>
      <sheetName val="scour-pvc-hdpe-psc-bwsc"/>
      <sheetName val="AC"/>
      <sheetName val="pumping main"/>
      <sheetName val="hdpe_weights3"/>
      <sheetName val="PVC_weights3"/>
      <sheetName val="Data_rough"/>
      <sheetName val="not_req_3"/>
      <sheetName val="CC_&amp;_VC"/>
      <sheetName val="MRoad_data"/>
      <sheetName val="VC_rate"/>
      <sheetName val="data_existing_do_not_delete"/>
      <sheetName val="VOILSINGRAM.XLS"/>
      <sheetName val="01"/>
      <sheetName val="DREV"/>
      <sheetName val="CREV"/>
      <sheetName val="Prjt"/>
      <sheetName val="iocount"/>
      <sheetName val="Usage"/>
      <sheetName val="Common "/>
      <sheetName val="civ data"/>
      <sheetName val="_x005f_x005f_x005f_x0000_V_x005f_x005f_x005f_x0000_O_x0"/>
      <sheetName val="FINAL DATA"/>
      <sheetName val="Proforma -II "/>
      <sheetName val="VOI"/>
      <sheetName val="_x0000_V_x0000_O_x0000_I_x0000_"/>
      <sheetName val="boredetails"/>
      <sheetName val="new33kvss_e3"/>
      <sheetName val="prop aug of ex 33kvss_e3a"/>
      <sheetName val="Boppudi data sheet "/>
      <sheetName val="Part-A"/>
      <sheetName val="basdat"/>
      <sheetName val="BTR"/>
      <sheetName val="Line"/>
    </sheetNames>
    <sheetDataSet>
      <sheetData sheetId="0">
        <row r="14">
          <cell r="G14">
            <v>35.35</v>
          </cell>
        </row>
      </sheetData>
      <sheetData sheetId="1">
        <row r="14">
          <cell r="G14">
            <v>35.35</v>
          </cell>
        </row>
      </sheetData>
      <sheetData sheetId="2">
        <row r="14">
          <cell r="G14">
            <v>40.78</v>
          </cell>
        </row>
      </sheetData>
      <sheetData sheetId="3">
        <row r="14">
          <cell r="G14">
            <v>35.35</v>
          </cell>
        </row>
      </sheetData>
      <sheetData sheetId="4" refreshError="1"/>
      <sheetData sheetId="5" refreshError="1">
        <row r="14">
          <cell r="G14">
            <v>35.35</v>
          </cell>
        </row>
        <row r="15">
          <cell r="G15">
            <v>49.78</v>
          </cell>
        </row>
        <row r="16">
          <cell r="G16">
            <v>72</v>
          </cell>
        </row>
        <row r="17">
          <cell r="G17">
            <v>93.9</v>
          </cell>
        </row>
        <row r="18">
          <cell r="G18">
            <v>117.01</v>
          </cell>
        </row>
        <row r="19">
          <cell r="G19">
            <v>154.61000000000001</v>
          </cell>
        </row>
        <row r="20">
          <cell r="G20">
            <v>197.16</v>
          </cell>
        </row>
        <row r="27">
          <cell r="G27">
            <v>35.159999999999997</v>
          </cell>
        </row>
        <row r="28">
          <cell r="G28">
            <v>49.04</v>
          </cell>
        </row>
        <row r="29">
          <cell r="G29">
            <v>70.27</v>
          </cell>
        </row>
        <row r="30">
          <cell r="G30">
            <v>102</v>
          </cell>
        </row>
        <row r="31">
          <cell r="G31">
            <v>128.19</v>
          </cell>
        </row>
        <row r="32">
          <cell r="G32">
            <v>167.11</v>
          </cell>
        </row>
        <row r="33">
          <cell r="G33">
            <v>217.34</v>
          </cell>
        </row>
        <row r="34">
          <cell r="G34">
            <v>281.33999999999997</v>
          </cell>
        </row>
        <row r="35">
          <cell r="G35">
            <v>340.32</v>
          </cell>
        </row>
        <row r="41">
          <cell r="G41">
            <v>54.3</v>
          </cell>
        </row>
        <row r="42">
          <cell r="G42">
            <v>77.55</v>
          </cell>
        </row>
        <row r="44">
          <cell r="G44">
            <v>165.03</v>
          </cell>
        </row>
        <row r="45">
          <cell r="G45">
            <v>216.24</v>
          </cell>
        </row>
        <row r="46">
          <cell r="G46">
            <v>265.97000000000003</v>
          </cell>
        </row>
      </sheetData>
      <sheetData sheetId="6" refreshError="1">
        <row r="14">
          <cell r="G14">
            <v>35.35</v>
          </cell>
        </row>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row r="14">
          <cell r="G14">
            <v>40.78</v>
          </cell>
        </row>
        <row r="37">
          <cell r="G37">
            <v>730.74</v>
          </cell>
        </row>
        <row r="38">
          <cell r="G38">
            <v>899.42</v>
          </cell>
        </row>
        <row r="39">
          <cell r="G39">
            <v>1127.6099999999999</v>
          </cell>
        </row>
        <row r="40">
          <cell r="G40">
            <v>1430.04</v>
          </cell>
        </row>
      </sheetData>
      <sheetData sheetId="8" refreshError="1">
        <row r="14">
          <cell r="G14">
            <v>35.35</v>
          </cell>
        </row>
        <row r="16">
          <cell r="C16">
            <v>73.2</v>
          </cell>
        </row>
        <row r="30">
          <cell r="L30">
            <v>887.49</v>
          </cell>
          <cell r="M30">
            <v>1081.68</v>
          </cell>
          <cell r="N30">
            <v>1343.94</v>
          </cell>
          <cell r="O30">
            <v>1690.77</v>
          </cell>
        </row>
      </sheetData>
      <sheetData sheetId="9" refreshError="1">
        <row r="14">
          <cell r="G14">
            <v>40.78</v>
          </cell>
        </row>
        <row r="37">
          <cell r="C37">
            <v>678.83</v>
          </cell>
          <cell r="D37">
            <v>960.38</v>
          </cell>
          <cell r="F37">
            <v>1844.87</v>
          </cell>
          <cell r="G37">
            <v>2369.41</v>
          </cell>
        </row>
      </sheetData>
      <sheetData sheetId="10">
        <row r="37">
          <cell r="C37">
            <v>678.83</v>
          </cell>
        </row>
      </sheetData>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s>
    <sheetDataSet>
      <sheetData sheetId="0" refreshError="1">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s>
    <sheetDataSet>
      <sheetData sheetId="0" refreshError="1">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maya"/>
      <sheetName val="leads"/>
      <sheetName val="C-data"/>
      <sheetName val="Lead statement"/>
      <sheetName val="RMR"/>
      <sheetName val="Sheet3"/>
      <sheetName val="coverpage"/>
      <sheetName val="Road data"/>
      <sheetName val="DATA"/>
      <sheetName val="Sheet1"/>
      <sheetName val="Lead"/>
      <sheetName val="Labour"/>
      <sheetName val="m"/>
      <sheetName val="rdamdata"/>
      <sheetName val="mlead"/>
      <sheetName val="R_Det"/>
      <sheetName val="MRATES"/>
      <sheetName val="DATA_PRG"/>
      <sheetName val="Bitumen trunk"/>
      <sheetName val="Feeder"/>
      <sheetName val="R99 etc"/>
      <sheetName val="Trunk unpaved"/>
      <sheetName val="civ data"/>
      <sheetName val="HDPE"/>
      <sheetName val="DI"/>
      <sheetName val="pvc"/>
      <sheetName val="hdpe_basic"/>
      <sheetName val="pvc_basic"/>
      <sheetName val="Data_Renuals"/>
      <sheetName val="Material"/>
      <sheetName val="Plant &amp;  Machinery"/>
      <sheetName val="Roadlist"/>
      <sheetName val="Estt"/>
      <sheetName val="bom"/>
      <sheetName val="DATA-BASE"/>
      <sheetName val="DATA-ABSTRACT"/>
      <sheetName val="SSR 2014-15 Rates"/>
      <sheetName val="Lead statement ss5"/>
      <sheetName val="Flight-1"/>
      <sheetName val="Road Detail Est."/>
      <sheetName val="WATER-HAMMER"/>
      <sheetName val="wh_data"/>
      <sheetName val="wh_data_R"/>
      <sheetName val="CPHEEO"/>
      <sheetName val="input"/>
      <sheetName val="ssr-rates"/>
      <sheetName val="Levels"/>
      <sheetName val="Data.F8.BTR"/>
      <sheetName val="Common "/>
      <sheetName val="Usage"/>
      <sheetName val="1"/>
      <sheetName val="2"/>
      <sheetName val="3"/>
      <sheetName val="4"/>
      <sheetName val="0000000000000"/>
      <sheetName val="BTR"/>
      <sheetName val="DES"/>
      <sheetName val="COVER"/>
      <sheetName val="HP PIPE  DATA"/>
      <sheetName val="SLAB  DATA"/>
      <sheetName val="Quarry"/>
      <sheetName val="Line"/>
      <sheetName val="CRUST"/>
      <sheetName val="QDTS"/>
      <sheetName val="Rates"/>
      <sheetName val="census91"/>
      <sheetName val="stone"/>
      <sheetName val="Nspt-smp-final-ORIGINAL"/>
      <sheetName val="GF SB Ok "/>
      <sheetName val="HDPE-pipe-rates"/>
      <sheetName val="pvc-pipe-rates"/>
      <sheetName val="final abstract"/>
      <sheetName val="MRoad data"/>
      <sheetName val="AV-HDPE"/>
      <sheetName val="Di_gate-HDPE"/>
      <sheetName val="splmidata"/>
      <sheetName val="ppraodata"/>
      <sheetName val="CONST"/>
      <sheetName val="Estimate "/>
      <sheetName val="EDWise"/>
      <sheetName val="BHANDUP"/>
      <sheetName val="PRECAST lightconc-II"/>
      <sheetName val="data existing_do not delete"/>
      <sheetName val="Basicrates"/>
      <sheetName val="ROADS"/>
      <sheetName val="Culverts"/>
      <sheetName val="General"/>
      <sheetName val="clvrt_data"/>
      <sheetName val="DATA-2005-06"/>
      <sheetName val="BWSCPlt"/>
      <sheetName val="CI"/>
      <sheetName val="G.R.P"/>
      <sheetName val="PSC REVISED"/>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s>
    <sheetDataSet>
      <sheetData sheetId="0"/>
      <sheetData sheetId="1"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 xml:space="preserve">Plastering with CM.(1:5)mix 12mm thick for ISOLATED works including cost &amp; conveyance of all materials and labour charges etc,complete for all exposed brick work.
</v>
          </cell>
        </row>
        <row r="25">
          <cell r="A25">
            <v>0</v>
          </cell>
        </row>
        <row r="26">
          <cell r="A26" t="str">
            <v>Plastering with C.M (1:3)mix 8mm thick for ISOLATED including cost &amp; conveyance of all materials and labour charges etc , complete.</v>
          </cell>
        </row>
        <row r="27">
          <cell r="A27">
            <v>0</v>
          </cell>
        </row>
        <row r="30">
          <cell r="A30">
            <v>0</v>
          </cell>
        </row>
        <row r="31">
          <cell r="A31" t="str">
            <v xml:space="preserve">Sanding filling in foundation and basement for ISOLATED works including cost &amp; conveyance of all materials and labour charges seig charges , wtering and tamping etc, complete  </v>
          </cell>
        </row>
        <row r="247">
          <cell r="A247" t="str">
            <v>VALVES</v>
          </cell>
        </row>
        <row r="248">
          <cell r="A248" t="str">
            <v>S &amp; D of CI D/F Double Air Valve 40MM dia suitable for working pressure upto 10Kg/cm2 conforming to G&amp;K Fig. H7 but excluding Transportation ,CED ,Sales Tax etc complete</v>
          </cell>
        </row>
        <row r="249">
          <cell r="A249" t="str">
            <v>S &amp; D of CI D/F Double Air Valve 50MM dia suitable for working pressure upto 10Kg/cm2 conforming to G&amp;K Fig. H7 but excluding Transportation ,CED ,Sales Tax etc complete</v>
          </cell>
        </row>
        <row r="250">
          <cell r="A250" t="str">
            <v>S &amp; D of CI D/F Double Air Valve 80MM dia suitable for working pressure upto 10Kg/cm2 conforming to G&amp;K Fig. H7 but excluding Transportation ,CED ,Sales Tax etc complete</v>
          </cell>
        </row>
        <row r="251">
          <cell r="A251" t="str">
            <v>S &amp; D of CI D/F Double Air Valve 100MM dia suitable for working pressure upto 10Kg/cm2 conforming to G&amp;K Fig. H7 but excluding Transportation ,CED ,Sales Tax etc complete</v>
          </cell>
        </row>
        <row r="252">
          <cell r="A252" t="str">
            <v>S &amp; D of CI D/F Double Air Valve 40MM dia Heavy duty suitable for working pressure upto 16Kg/cm2 without isolating vale, conforming to IS 14845 but excluding Transportation ,CED ,Sales Tax etc complete</v>
          </cell>
        </row>
        <row r="253">
          <cell r="A253" t="str">
            <v>S &amp; D of CI D/F Double Air Valve 50MM dia Heavy duty suitable for working pressure upto 16Kg/cm2 without isolating vale, conforming to IS 14845 but excluding Transportation ,CED ,Sales Tax etc complete</v>
          </cell>
        </row>
        <row r="254">
          <cell r="A254" t="str">
            <v>S &amp; D of CI D/F Double Air Valve 80MM dia Heavy duty suitable for working pressure upto 16Kg/cm2 without isolating vale, conforming to IS 14845 but excluding Transportation ,CED ,Sales Tax etc complete</v>
          </cell>
        </row>
        <row r="255">
          <cell r="A255" t="str">
            <v>S &amp; D of CI D/F Double Air Valve 100MM dia Heavy duty suitable for working pressure upto 16Kg/cm2 without isolating vale, conforming to IS 14845 but excluding Transportation ,CED ,Sales Tax etc complete</v>
          </cell>
        </row>
        <row r="256">
          <cell r="A256" t="str">
            <v>S &amp; D of CI D/F Kinetc Air Valve 40MM dia as per IS14845 Heavy duty with isolating valve bevel gear operated as per IS 14846 ,PIN-1.0  but excluding Transportation ,CED ,Sales Tax etc complete</v>
          </cell>
        </row>
        <row r="257">
          <cell r="A257" t="str">
            <v>S &amp; D of CI D/F Kinetc Air Valve 50MM dia as per IS14845 Heavy duty with isolating valve bevel gear operated as per IS 14846 ,PIN-1.0  but excluding Transportation ,CED ,Sales Tax etc complete</v>
          </cell>
        </row>
        <row r="258">
          <cell r="A258" t="str">
            <v>S &amp; D of CI D/F Kinetc Air Valve 80MM dia as per IS14845 Heavy duty with isolating valve bevel gear operated as per IS 14846 ,PIN-1.0  but excluding Transportation ,CED ,Sales Tax etc complete</v>
          </cell>
        </row>
        <row r="259">
          <cell r="A259" t="str">
            <v>S &amp; D of CI D/F Kinetc Air Valve 100MM dia as per IS14845 Heavy duty with isolating valve bevel gear operated as per IS 14846 ,PIN-1.0  but excluding Transportation ,CED ,Sales Tax etc complete</v>
          </cell>
        </row>
        <row r="260">
          <cell r="A260" t="str">
            <v>S &amp; D of CI D/F Kinetc Air Valve 40MM dia as per G&amp;K  H42K with isolating valve bevel gear operated as per IS 14845 PIN - 1.0  but excluding Transportation ,CED ,Sales Tax etc complete</v>
          </cell>
        </row>
        <row r="261">
          <cell r="A261" t="str">
            <v>S &amp; D of CI D/F Kinetc Air Valve 50MM dia as per G&amp;K  H42K with isolating valve bevel gear operated as per IS 14845 PIN - 1.0  but excluding Transportation ,CED ,Sales Tax etc complete</v>
          </cell>
        </row>
        <row r="262">
          <cell r="A262" t="str">
            <v>S &amp; D of CI D/F Kinetc Air Valve 80MM dia as per G&amp;K  H42K with isolating valve bevel gear operated as per IS 14845 PIN - 1.0  but excluding Transportation ,CED ,Sales Tax etc complete</v>
          </cell>
        </row>
        <row r="263">
          <cell r="A263" t="str">
            <v>S &amp; D of CI D/F Kinetc Air Valve 100MM dia as per G&amp;K  H42K with isolating valve bevel gear operated as per IS 14845 PIN - 1.0  but excluding Transportation ,CED ,Sales Tax etc complete</v>
          </cell>
        </row>
        <row r="264">
          <cell r="A264" t="str">
            <v>SLUICE VALVES</v>
          </cell>
        </row>
        <row r="265">
          <cell r="A265" t="str">
            <v xml:space="preserve">S &amp; D of CI D/F Sluice Valve 50MM dia conforming to IS 14846 / 2000 with amdt No:1 &amp; 2 components / parts  but excluding Transportation ,CED ,Sales Tax etc complete PN-1.0   with hand wheel </v>
          </cell>
        </row>
        <row r="266">
          <cell r="A266" t="str">
            <v xml:space="preserve">S &amp; D of CI D/F Sluice Valve 65MM dia conforming to IS 14846 / 2000 with amdt No:1 &amp; 2 components / parts  but excluding Transportation ,CED ,Sales Tax etc complete PN-1.0   with hand wheel </v>
          </cell>
        </row>
        <row r="267">
          <cell r="A267" t="str">
            <v xml:space="preserve">S &amp; D of CI D/F Sluice Valve 80MM dia conforming to IS 14846 / 2000 with amdt No:1 &amp; 2 components / parts  but excluding Transportation ,CED ,Sales Tax etc complete PN-1.0   with hand wheel </v>
          </cell>
        </row>
        <row r="268">
          <cell r="A268" t="str">
            <v xml:space="preserve">S &amp; D of CI D/F Sluice Valve 100MM dia conforming to IS 14846 / 2000 with amdt No:1 &amp; 2 components / parts  but excluding Transportation ,CED ,Sales Tax etc complete PN-1.0   with hand wheel </v>
          </cell>
        </row>
        <row r="269">
          <cell r="A269" t="str">
            <v>NON RETURN VALVES</v>
          </cell>
        </row>
        <row r="270">
          <cell r="A270" t="str">
            <v>S &amp; D of CI D/F Non -Return Valve Heavy duty 50MM dia round body conforming to IS 5312/part1/1984     PN-1.0 but excluding Transportation ,CED ,Sales Tax etc complete</v>
          </cell>
        </row>
        <row r="271">
          <cell r="A271" t="str">
            <v>S &amp; D of CI D/F Non -Return Valve Heavy duty 65MM dia round body conforming to IS 5312/part1/1984     PN-1.0 but excluding Transportation ,CED ,Sales Tax etc complete</v>
          </cell>
        </row>
        <row r="272">
          <cell r="A272" t="str">
            <v>S &amp; D of CI D/F Non -Return Valve Heavy duty 80MM dia round body conforming to IS 5312/part1/1984     PN-1.0 but excluding Transportation ,CED ,Sales Tax etc complete</v>
          </cell>
        </row>
        <row r="273">
          <cell r="A273" t="str">
            <v>S &amp; D of CI D/F Non -Return Valve Heavy duty 100MM dia round body conforming to IS 5312/part1/1984     PN-1.0 but excluding Transportation ,CED ,Sales Tax etc complete</v>
          </cell>
        </row>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row r="370">
          <cell r="B370" t="str">
            <v>CID Joints</v>
          </cell>
        </row>
        <row r="371">
          <cell r="B371" t="str">
            <v>80MM Dia CID joints including bolts &amp; nuts and rubber rings</v>
          </cell>
        </row>
        <row r="372">
          <cell r="B372" t="str">
            <v>100MM Dia CID joints including bolts &amp; nuts and rubber rings</v>
          </cell>
        </row>
        <row r="373">
          <cell r="B373" t="str">
            <v>125MM Dia CID joints including bolts &amp; nuts and rubber rings</v>
          </cell>
        </row>
        <row r="374">
          <cell r="B374" t="str">
            <v>150MM Dia CID joints including bolts &amp; nuts and rubber rings</v>
          </cell>
        </row>
        <row r="375">
          <cell r="B375" t="str">
            <v>200MM Dia CID joints including bolts &amp; nuts and rubber rings</v>
          </cell>
        </row>
      </sheetData>
      <sheetData sheetId="2"/>
      <sheetData sheetId="3"/>
      <sheetData sheetId="4"/>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s>
    <sheetDataSet>
      <sheetData sheetId="0"/>
      <sheetData sheetId="1"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row r="30">
          <cell r="A30">
            <v>0</v>
          </cell>
        </row>
        <row r="31">
          <cell r="A31" t="str">
            <v xml:space="preserve">Sanding filling in foundation and basement for ISOLATED works including cost &amp; conveyance of all materials and labour charges seig charges , wtering and tamping etc, complete  </v>
          </cell>
        </row>
        <row r="247">
          <cell r="A247" t="str">
            <v>VALVES</v>
          </cell>
        </row>
        <row r="248">
          <cell r="A248" t="str">
            <v>S &amp; D of CI D/F Double Air Valve 40MM dia suitable for working pressure upto 10Kg/cm2 conforming to G&amp;K Fig. H7 but excluding Transportation ,CED ,Sales Tax etc complete</v>
          </cell>
        </row>
        <row r="249">
          <cell r="A249" t="str">
            <v>S &amp; D of CI D/F Double Air Valve 50MM dia suitable for working pressure upto 10Kg/cm2 conforming to G&amp;K Fig. H7 but excluding Transportation ,CED ,Sales Tax etc complete</v>
          </cell>
        </row>
        <row r="250">
          <cell r="A250" t="str">
            <v>S &amp; D of CI D/F Double Air Valve 80MM dia suitable for working pressure upto 10Kg/cm2 conforming to G&amp;K Fig. H7 but excluding Transportation ,CED ,Sales Tax etc complete</v>
          </cell>
        </row>
        <row r="251">
          <cell r="A251" t="str">
            <v>S &amp; D of CI D/F Double Air Valve 100MM dia suitable for working pressure upto 10Kg/cm2 conforming to G&amp;K Fig. H7 but excluding Transportation ,CED ,Sales Tax etc complete</v>
          </cell>
        </row>
        <row r="252">
          <cell r="A252" t="str">
            <v>S &amp; D of CI D/F Double Air Valve 40MM dia Heavy duty suitable for working pressure upto 16Kg/cm2 without isolating vale, conforming to IS 14845 but excluding Transportation ,CED ,Sales Tax etc complete</v>
          </cell>
        </row>
        <row r="253">
          <cell r="A253" t="str">
            <v>S &amp; D of CI D/F Double Air Valve 50MM dia Heavy duty suitable for working pressure upto 16Kg/cm2 without isolating vale, conforming to IS 14845 but excluding Transportation ,CED ,Sales Tax etc complete</v>
          </cell>
        </row>
        <row r="254">
          <cell r="A254" t="str">
            <v>S &amp; D of CI D/F Double Air Valve 80MM dia Heavy duty suitable for working pressure upto 16Kg/cm2 without isolating vale, conforming to IS 14845 but excluding Transportation ,CED ,Sales Tax etc complete</v>
          </cell>
        </row>
        <row r="255">
          <cell r="A255" t="str">
            <v>S &amp; D of CI D/F Double Air Valve 100MM dia Heavy duty suitable for working pressure upto 16Kg/cm2 without isolating vale, conforming to IS 14845 but excluding Transportation ,CED ,Sales Tax etc complete</v>
          </cell>
        </row>
        <row r="256">
          <cell r="A256" t="str">
            <v>S &amp; D of CI D/F Kinetc Air Valve 40MM dia as per IS14845 Heavy duty with isolating valve bevel gear operated as per IS 14846 ,PIN-1.0  but excluding Transportation ,CED ,Sales Tax etc complete</v>
          </cell>
        </row>
        <row r="257">
          <cell r="A257" t="str">
            <v>S &amp; D of CI D/F Kinetc Air Valve 50MM dia as per IS14845 Heavy duty with isolating valve bevel gear operated as per IS 14846 ,PIN-1.0  but excluding Transportation ,CED ,Sales Tax etc complete</v>
          </cell>
        </row>
        <row r="258">
          <cell r="A258" t="str">
            <v>S &amp; D of CI D/F Kinetc Air Valve 80MM dia as per IS14845 Heavy duty with isolating valve bevel gear operated as per IS 14846 ,PIN-1.0  but excluding Transportation ,CED ,Sales Tax etc complete</v>
          </cell>
        </row>
        <row r="259">
          <cell r="A259" t="str">
            <v>S &amp; D of CI D/F Kinetc Air Valve 100MM dia as per IS14845 Heavy duty with isolating valve bevel gear operated as per IS 14846 ,PIN-1.0  but excluding Transportation ,CED ,Sales Tax etc complete</v>
          </cell>
        </row>
        <row r="260">
          <cell r="A260" t="str">
            <v>S &amp; D of CI D/F Kinetc Air Valve 40MM dia as per G&amp;K  H42K with isolating valve bevel gear operated as per IS 14845 PIN - 1.0  but excluding Transportation ,CED ,Sales Tax etc complete</v>
          </cell>
        </row>
        <row r="261">
          <cell r="A261" t="str">
            <v>S &amp; D of CI D/F Kinetc Air Valve 50MM dia as per G&amp;K  H42K with isolating valve bevel gear operated as per IS 14845 PIN - 1.0  but excluding Transportation ,CED ,Sales Tax etc complete</v>
          </cell>
        </row>
        <row r="262">
          <cell r="A262" t="str">
            <v>S &amp; D of CI D/F Kinetc Air Valve 80MM dia as per G&amp;K  H42K with isolating valve bevel gear operated as per IS 14845 PIN - 1.0  but excluding Transportation ,CED ,Sales Tax etc complete</v>
          </cell>
        </row>
        <row r="263">
          <cell r="A263" t="str">
            <v>S &amp; D of CI D/F Kinetc Air Valve 100MM dia as per G&amp;K  H42K with isolating valve bevel gear operated as per IS 14845 PIN - 1.0  but excluding Transportation ,CED ,Sales Tax etc complete</v>
          </cell>
        </row>
        <row r="264">
          <cell r="A264" t="str">
            <v>SLUICE VALVES</v>
          </cell>
        </row>
        <row r="265">
          <cell r="A265" t="str">
            <v xml:space="preserve">S &amp; D of CI D/F Sluice Valve 50MM dia conforming to IS 14846 / 2000 with amdt No:1 &amp; 2 components / parts  but excluding Transportation ,CED ,Sales Tax etc complete PN-1.0   with hand wheel </v>
          </cell>
        </row>
        <row r="266">
          <cell r="A266" t="str">
            <v xml:space="preserve">S &amp; D of CI D/F Sluice Valve 65MM dia conforming to IS 14846 / 2000 with amdt No:1 &amp; 2 components / parts  but excluding Transportation ,CED ,Sales Tax etc complete PN-1.0   with hand wheel </v>
          </cell>
        </row>
        <row r="267">
          <cell r="A267" t="str">
            <v xml:space="preserve">S &amp; D of CI D/F Sluice Valve 80MM dia conforming to IS 14846 / 2000 with amdt No:1 &amp; 2 components / parts  but excluding Transportation ,CED ,Sales Tax etc complete PN-1.0   with hand wheel </v>
          </cell>
        </row>
        <row r="268">
          <cell r="A268" t="str">
            <v xml:space="preserve">S &amp; D of CI D/F Sluice Valve 100MM dia conforming to IS 14846 / 2000 with amdt No:1 &amp; 2 components / parts  but excluding Transportation ,CED ,Sales Tax etc complete PN-1.0   with hand wheel </v>
          </cell>
        </row>
        <row r="269">
          <cell r="A269" t="str">
            <v>NON RETURN VALVES</v>
          </cell>
        </row>
        <row r="270">
          <cell r="A270" t="str">
            <v>S &amp; D of CI D/F Non -Return Valve Heavy duty 50MM dia round body conforming to IS 5312/part1/1984     PN-1.0 but excluding Transportation ,CED ,Sales Tax etc complete</v>
          </cell>
        </row>
        <row r="271">
          <cell r="A271" t="str">
            <v>S &amp; D of CI D/F Non -Return Valve Heavy duty 65MM dia round body conforming to IS 5312/part1/1984     PN-1.0 but excluding Transportation ,CED ,Sales Tax etc complete</v>
          </cell>
        </row>
        <row r="272">
          <cell r="A272" t="str">
            <v>S &amp; D of CI D/F Non -Return Valve Heavy duty 80MM dia round body conforming to IS 5312/part1/1984     PN-1.0 but excluding Transportation ,CED ,Sales Tax etc complete</v>
          </cell>
        </row>
        <row r="273">
          <cell r="A273" t="str">
            <v>S &amp; D of CI D/F Non -Return Valve Heavy duty 100MM dia round body conforming to IS 5312/part1/1984     PN-1.0 but excluding Transportation ,CED ,Sales Tax etc complete</v>
          </cell>
        </row>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row r="370">
          <cell r="B370" t="str">
            <v>CID Joints</v>
          </cell>
        </row>
        <row r="371">
          <cell r="B371" t="str">
            <v>80MM Dia CID joints including bolts &amp; nuts and rubber rings</v>
          </cell>
        </row>
        <row r="372">
          <cell r="B372" t="str">
            <v>100MM Dia CID joints including bolts &amp; nuts and rubber rings</v>
          </cell>
        </row>
        <row r="373">
          <cell r="B373" t="str">
            <v>125MM Dia CID joints including bolts &amp; nuts and rubber rings</v>
          </cell>
        </row>
        <row r="374">
          <cell r="B374" t="str">
            <v>150MM Dia CID joints including bolts &amp; nuts and rubber rings</v>
          </cell>
        </row>
        <row r="375">
          <cell r="B375" t="str">
            <v>200MM Dia CID joints including bolts &amp; nuts and rubber rings</v>
          </cell>
        </row>
      </sheetData>
      <sheetData sheetId="2"/>
      <sheetData sheetId="3"/>
      <sheetData sheetId="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detls"/>
      <sheetName val="_x0000_V_x0000_O_x0000_I_x0000_L_x0000_S_x0000_I_x0000_N_x0000_G_x0000_R_x0000_A_x0000_M_x0000_._x0000_X_x0000_L_x0000_S_x0000_"/>
      <sheetName val="leads"/>
      <sheetName val="hdpe-rates"/>
      <sheetName val="hdpe weights"/>
      <sheetName val="ssr-rates"/>
      <sheetName val="pvc-rates"/>
      <sheetName val="PVC weights"/>
    </sheetNames>
    <sheetDataSet>
      <sheetData sheetId="0" refreshError="1"/>
      <sheetData sheetId="1" refreshError="1"/>
      <sheetData sheetId="2" refreshError="1"/>
      <sheetData sheetId="3" refreshError="1"/>
      <sheetData sheetId="4" refreshError="1"/>
      <sheetData sheetId="5" refreshError="1">
        <row r="14">
          <cell r="G14">
            <v>35.35</v>
          </cell>
        </row>
        <row r="15">
          <cell r="G15">
            <v>49.78</v>
          </cell>
        </row>
        <row r="16">
          <cell r="G16">
            <v>72</v>
          </cell>
        </row>
        <row r="17">
          <cell r="G17">
            <v>93.9</v>
          </cell>
        </row>
        <row r="18">
          <cell r="G18">
            <v>117.01</v>
          </cell>
        </row>
        <row r="19">
          <cell r="G19">
            <v>154.61000000000001</v>
          </cell>
        </row>
        <row r="20">
          <cell r="G20">
            <v>197.16</v>
          </cell>
        </row>
        <row r="27">
          <cell r="G27">
            <v>35.159999999999997</v>
          </cell>
        </row>
        <row r="28">
          <cell r="G28">
            <v>49.04</v>
          </cell>
        </row>
        <row r="29">
          <cell r="G29">
            <v>70.27</v>
          </cell>
        </row>
        <row r="30">
          <cell r="G30">
            <v>102</v>
          </cell>
        </row>
        <row r="31">
          <cell r="G31">
            <v>128.19</v>
          </cell>
        </row>
        <row r="32">
          <cell r="G32">
            <v>167.11</v>
          </cell>
        </row>
        <row r="33">
          <cell r="G33">
            <v>217.34</v>
          </cell>
        </row>
        <row r="34">
          <cell r="G34">
            <v>281.33999999999997</v>
          </cell>
        </row>
        <row r="35">
          <cell r="G35">
            <v>340.32</v>
          </cell>
        </row>
        <row r="41">
          <cell r="G41">
            <v>54.3</v>
          </cell>
        </row>
        <row r="42">
          <cell r="G42">
            <v>77.55</v>
          </cell>
        </row>
        <row r="44">
          <cell r="G44">
            <v>165.03</v>
          </cell>
        </row>
        <row r="45">
          <cell r="G45">
            <v>216.24</v>
          </cell>
        </row>
        <row r="46">
          <cell r="G46">
            <v>265.97000000000003</v>
          </cell>
        </row>
      </sheetData>
      <sheetData sheetId="6" refreshError="1">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row r="14">
          <cell r="G14">
            <v>40.78</v>
          </cell>
        </row>
        <row r="37">
          <cell r="G37">
            <v>730.74</v>
          </cell>
        </row>
        <row r="38">
          <cell r="G38">
            <v>899.42</v>
          </cell>
        </row>
        <row r="39">
          <cell r="G39">
            <v>1127.6099999999999</v>
          </cell>
        </row>
        <row r="40">
          <cell r="G40">
            <v>1430.04</v>
          </cell>
        </row>
      </sheetData>
      <sheetData sheetId="8" refreshError="1">
        <row r="16">
          <cell r="C16">
            <v>73.2</v>
          </cell>
        </row>
        <row r="30">
          <cell r="L30">
            <v>887.49</v>
          </cell>
          <cell r="M30">
            <v>1081.68</v>
          </cell>
          <cell r="N30">
            <v>1343.94</v>
          </cell>
          <cell r="O30">
            <v>1690.77</v>
          </cell>
        </row>
      </sheetData>
      <sheetData sheetId="9" refreshError="1">
        <row r="37">
          <cell r="C37">
            <v>678.83</v>
          </cell>
          <cell r="D37">
            <v>960.38</v>
          </cell>
          <cell r="F37">
            <v>1844.87</v>
          </cell>
          <cell r="G37">
            <v>2369.41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Fie,d Data"/>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Estimate "/>
      <sheetName val="Levels"/>
      <sheetName val="r"/>
      <sheetName val="HDPE"/>
      <sheetName val="DI"/>
      <sheetName val="pvc"/>
      <sheetName val="hdpe_basic"/>
      <sheetName val="pvc_basic"/>
      <sheetName val="leads"/>
      <sheetName val="final abstract"/>
      <sheetName val="l"/>
      <sheetName val="Plant &amp;  Machinery"/>
      <sheetName val="Labour"/>
      <sheetName val="Material"/>
      <sheetName val="Data.F8.BTR"/>
      <sheetName val="hdpe-rates"/>
      <sheetName val="hdpe weights"/>
      <sheetName val="ssr-rates"/>
      <sheetName val="pvc-rates"/>
      <sheetName val="PVC weights"/>
      <sheetName val="Class IV Qtr. Ele"/>
      <sheetName val="MRATES"/>
      <sheetName val="DATA_ENTRY"/>
      <sheetName val="BTLeads"/>
      <sheetName val="RMR"/>
      <sheetName val="GF SB Ok "/>
      <sheetName val="data existing_do not delete"/>
      <sheetName val="Sheet9"/>
      <sheetName val="GN_ST_10"/>
      <sheetName val="rdamdata"/>
      <sheetName val="sectorwise"/>
      <sheetName val="pvc-pipe-rates"/>
      <sheetName val="LEAD S 10-11"/>
      <sheetName val="HDPE-pipe-rates"/>
      <sheetName val="Specification report"/>
      <sheetName val="coverpage"/>
      <sheetName val="R_Det"/>
      <sheetName val="Road data"/>
      <sheetName val="mlead"/>
      <sheetName val="abs road"/>
      <sheetName val="C-data"/>
      <sheetName val="GEN-ABS Del"/>
      <sheetName val="Lead  RATES"/>
      <sheetName val="Data_Bit_I"/>
      <sheetName val="GA"/>
      <sheetName val="maya"/>
      <sheetName val="Input Sheet"/>
      <sheetName val="cover page"/>
      <sheetName val="Sheet2"/>
      <sheetName val="Specification Repoer"/>
      <sheetName val="DETAILED ESTIMATE (2)"/>
      <sheetName val="Data (2)"/>
      <sheetName val="DETAILED ESTIMATE"/>
      <sheetName val="detailed dt22.10.2014"/>
      <sheetName val="PSet(1Ph)"/>
      <sheetName val="comparative"/>
      <sheetName val="seigniorage"/>
      <sheetName val="electrification"/>
      <sheetName val="septic tank"/>
      <sheetName val="ELEC datas"/>
      <sheetName val="san data"/>
      <sheetName val="SEIGNORAGE"/>
      <sheetName val="convey"/>
      <sheetName val="SCHEDULE."/>
      <sheetName val="Est (2)"/>
      <sheetName val="report"/>
      <sheetName val="schedule"/>
      <sheetName val="id"/>
      <sheetName val="CI"/>
      <sheetName val="PRECAST lightconc-II"/>
      <sheetName val="Boq"/>
      <sheetName val="TBAL9697 -group wise  sdpl"/>
      <sheetName val="lead-st"/>
      <sheetName val="p&amp;m"/>
      <sheetName val="PVC_dia"/>
      <sheetName val="Gen Abs"/>
      <sheetName val="Conveayance charges"/>
      <sheetName val="Conveyance"/>
      <sheetName val="other rates"/>
      <sheetName val="Hire"/>
      <sheetName val="ewst"/>
      <sheetName val="cover (2)"/>
      <sheetName val="sup dat"/>
      <sheetName val="v"/>
      <sheetName val="leads-11-12"/>
      <sheetName val="Input"/>
      <sheetName val="c.d.abs.est."/>
      <sheetName val="c.d.data (morth)"/>
      <sheetName val="rd.det.est"/>
      <sheetName val="Cover"/>
      <sheetName val="rd.data"/>
      <sheetName val="mlead "/>
      <sheetName val="Nspt-smp-final-ORIGINAL"/>
      <sheetName val="index"/>
      <sheetName val="Data_Base"/>
      <sheetName val="Factory_rates"/>
      <sheetName val="DATA-BASE"/>
      <sheetName val="Plant_&amp;__Machinery"/>
      <sheetName val="DATA-ABSTRACT"/>
      <sheetName val="Bridge Data 2005-06"/>
      <sheetName val="Common "/>
      <sheetName val="Work_sheet"/>
      <sheetName val="Sheet1 (2)"/>
      <sheetName val="GN-ST-10"/>
      <sheetName val="habs-list"/>
      <sheetName val="nodes"/>
      <sheetName val="in Put sheet"/>
      <sheetName val="Part-A"/>
      <sheetName val="Rates2"/>
      <sheetName val="clvrt_data"/>
      <sheetName val="Bitumen trunk"/>
      <sheetName val="R99 etc"/>
      <sheetName val="Trunk unpaved"/>
      <sheetName val="mas_hab"/>
      <sheetName val="Plant_㫨__Machinery"/>
      <sheetName val="Plant 㫨  Machinery"/>
      <sheetName val="Rates"/>
      <sheetName val="Usage"/>
      <sheetName val="General"/>
      <sheetName val="CD_Data"/>
      <sheetName val="sch"/>
      <sheetName val="Conv. 13-14"/>
      <sheetName val="BTR"/>
      <sheetName val="Line"/>
      <sheetName val="segments-details"/>
      <sheetName val="int-Dia-hdpe"/>
      <sheetName val="int-Dia-pvc"/>
      <sheetName val="Feeder"/>
      <sheetName val="cert"/>
      <sheetName val="Ellis &amp; WS&amp;S"/>
      <sheetName val="Drip mould &amp; Elevation"/>
      <sheetName val="Trussess"/>
      <sheetName val="Rate"/>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Fie,d_Data"/>
      <sheetName val="Estimate_"/>
      <sheetName val="final_abstract"/>
      <sheetName val="Variables"/>
      <sheetName val="ESTIMATE"/>
      <sheetName val="SSR 2010-11 Rates"/>
      <sheetName val="DATA_PRG"/>
      <sheetName val="Data chokanpally"/>
      <sheetName val="Data o"/>
      <sheetName val="Lead statement ss5"/>
      <sheetName val="data-WC"/>
      <sheetName val="Rates SSR 2008-09"/>
      <sheetName val="WATER-HAMMER"/>
      <sheetName val="BM-HOOP"/>
      <sheetName val="MRMECADAMoad data"/>
      <sheetName val="Lookup"/>
      <sheetName val="t_prsr"/>
      <sheetName val="wh"/>
      <sheetName val="well"/>
      <sheetName val="Rate Analysis"/>
      <sheetName val="DATA-2005-06"/>
      <sheetName val="Leadstatement_"/>
      <sheetName val="COR_EST"/>
      <sheetName val="Abstrct-Part_A"/>
      <sheetName val="TBAL9697_-group_wise__sdpl"/>
      <sheetName val="Data_F8_BTR"/>
      <sheetName val="hdpe_weights"/>
      <sheetName val="PVC_weights"/>
      <sheetName val="Class_IV_Qtr__Ele"/>
      <sheetName val="GF_SB_Ok_"/>
      <sheetName val="data_existing_do_not_delete"/>
      <sheetName val="Specification_report"/>
      <sheetName val="Road_data"/>
      <sheetName val="GEN-ABS_Del"/>
      <sheetName val="LEAD_S_10-11"/>
      <sheetName val="abs_road"/>
      <sheetName val="Lead__RATES"/>
      <sheetName val="PRECAST_lightconc-II"/>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Dn LF Sluice"/>
      <sheetName val="Road Detail Est."/>
      <sheetName val="SPT vs PHI"/>
      <sheetName val="EDWise"/>
      <sheetName val="Proj info- dump1"/>
      <sheetName val="PR-houdump"/>
      <sheetName val="PRICE BID"/>
      <sheetName val="Legal Risk Analysis"/>
      <sheetName val="Estt"/>
      <sheetName val="leads-c"/>
      <sheetName val="detls"/>
      <sheetName val="Improvements"/>
      <sheetName val="Labour &amp; Plant"/>
      <sheetName val="int-Dia"/>
      <sheetName val="1V800"/>
      <sheetName val="entitlements"/>
      <sheetName val="fnote"/>
      <sheetName val="QDTS"/>
      <sheetName val="water-hammar-strenght"/>
      <sheetName val="AV-HDPE"/>
      <sheetName val="Di_gate-HDPE"/>
      <sheetName val="Masonry"/>
      <sheetName val="GBW"/>
      <sheetName val="sand"/>
      <sheetName val="stone"/>
      <sheetName val="Rates-May-14"/>
      <sheetName val="LOCAL RATES"/>
      <sheetName val="Usage "/>
      <sheetName val="dlvoid"/>
      <sheetName val="conc-foot-gradeslab"/>
      <sheetName val="_5wgdhabfinal00_01"/>
      <sheetName val="11.Habitations"/>
      <sheetName val="MRoad data"/>
      <sheetName val="Basicrates"/>
      <sheetName val="temp-SDData (2)"/>
      <sheetName val="Sorted"/>
      <sheetName val="Circular Column"/>
      <sheetName val="Sketch"/>
      <sheetName val="Staff Acco."/>
      <sheetName val="mtc esti"/>
      <sheetName val="#REF"/>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abs_(2)akoli1"/>
      <sheetName val="Cd_nam1"/>
      <sheetName val="cd_namnoor_11"/>
      <sheetName val="ewcal_(2)-akoli1"/>
      <sheetName val="abs_(2)ko1"/>
      <sheetName val="ewcal-korta_(2)1"/>
      <sheetName val="Data_F8_BTR"/>
      <sheetName val="r"/>
      <sheetName val="HDPE"/>
      <sheetName val="DI"/>
      <sheetName val="pvc"/>
      <sheetName val="pvc_basic"/>
      <sheetName val="hdpe_basic"/>
      <sheetName val="Common "/>
      <sheetName val="segments-details"/>
      <sheetName val="int-Dia-hdpe"/>
      <sheetName val="habs-list"/>
      <sheetName val="int-Dia-pvc"/>
      <sheetName val="Work_sheet"/>
      <sheetName val="t_prsr"/>
      <sheetName val="id"/>
      <sheetName val="GN_ST_10"/>
      <sheetName val="GN-ST-10"/>
      <sheetName val="data existing_do not delete"/>
      <sheetName val="Usage"/>
      <sheetName val="General"/>
      <sheetName val="Cover"/>
      <sheetName val="MRATES"/>
      <sheetName val="DATA-BASE"/>
      <sheetName val="DATA-ABSTRACT"/>
      <sheetName val="coverpage"/>
      <sheetName val="Road data"/>
      <sheetName val="leads"/>
      <sheetName val="maya"/>
      <sheetName val="Sheet1"/>
      <sheetName val="rdamdata"/>
      <sheetName val="lead-st"/>
      <sheetName val="GF SB Ok "/>
      <sheetName val="Specification report"/>
      <sheetName val="Compound wall  Ok"/>
      <sheetName val="Bitumen trunk"/>
      <sheetName val="Feeder"/>
      <sheetName val="R99 etc"/>
      <sheetName val="Trunk unpaved"/>
      <sheetName val="Material"/>
      <sheetName val="Works"/>
      <sheetName val="RMR"/>
      <sheetName val="Class IV Qtr. Ele"/>
      <sheetName val="Lead statement"/>
      <sheetName val="Levels"/>
      <sheetName val="BWSCPlt"/>
      <sheetName val="CI"/>
      <sheetName val="G.R.P"/>
      <sheetName val="PSC REVISED"/>
      <sheetName val="Sheet1 (2)"/>
      <sheetName val="m"/>
      <sheetName val="HDPE-pipe-rates"/>
      <sheetName val="pvc-pipe-rates"/>
      <sheetName val="m1"/>
      <sheetName val="v"/>
      <sheetName val="Rate"/>
      <sheetName val="cover-Akoly"/>
      <sheetName val="cover-oorta"/>
      <sheetName val="ewcal-korti_(2)1"/>
      <sheetName val="int-Diá-pvc"/>
      <sheetName val="Design"/>
      <sheetName val="Process"/>
      <sheetName val="SUMP1420KL@HW"/>
      <sheetName val="Sheet2"/>
      <sheetName val="Lead statement ss5"/>
      <sheetName val="Analy_7-10"/>
      <sheetName val="DataInput"/>
      <sheetName val="DataInput-1"/>
      <sheetName val="DI Rate Analysis"/>
      <sheetName val="DATA_PRG"/>
      <sheetName val="sg-clay(d)"/>
      <sheetName val="Main sheet"/>
      <sheetName val="stone"/>
      <sheetName val="MRMECADAMoad data"/>
      <sheetName val="R_Det"/>
      <sheetName val="abs_(2)akoli2"/>
      <sheetName val="Cd_nam2"/>
      <sheetName val="cd_namnoor_12"/>
      <sheetName val="ewcal_(2)-akoli2"/>
      <sheetName val="abs_(2)ko2"/>
      <sheetName val="ewcal-korta_(2)2"/>
      <sheetName val="Data_F8_BTR1"/>
      <sheetName val="Common_"/>
      <sheetName val="data_existing_do_not_delete"/>
      <sheetName val="ABS"/>
      <sheetName val="ewst"/>
      <sheetName val="Plant &amp;  Machinery"/>
      <sheetName val="Labour"/>
      <sheetName val="Sheet9"/>
      <sheetName val="Data-ELSR"/>
      <sheetName val=" Data -Valves"/>
      <sheetName val="MRoad data"/>
      <sheetName val="Convey"/>
      <sheetName val="Design of two-way slab"/>
      <sheetName val="Road_data"/>
      <sheetName val="abs_(2)akoli3"/>
      <sheetName val="Cd_nam3"/>
      <sheetName val="cd_namnoor_13"/>
      <sheetName val="ewcal_(2)-akoli3"/>
      <sheetName val="abs_(2)ko3"/>
      <sheetName val="ewcal-korta_(2)3"/>
      <sheetName val="Data_F8_BTR2"/>
      <sheetName val="data_existing_do_not_delete1"/>
      <sheetName val="Road_data1"/>
      <sheetName val="Common_1"/>
      <sheetName val="p&amp;m"/>
      <sheetName val="Boq (Main Building)"/>
      <sheetName val="RATES"/>
      <sheetName val="Av.G Level"/>
      <sheetName val="PRECAST lightconc-II"/>
      <sheetName val="Rates SSR 2008-09"/>
      <sheetName val="PUMP_DATA"/>
      <sheetName val="mlead"/>
      <sheetName val="abs road"/>
      <sheetName val="zone-8"/>
      <sheetName val="MHNO_LEV"/>
      <sheetName val="Data rough"/>
      <sheetName val="Main"/>
      <sheetName val="dlvoid"/>
      <sheetName val="slab"/>
      <sheetName val="Staff Acco."/>
      <sheetName val="C-data"/>
      <sheetName val="BTR"/>
      <sheetName val="GenAbst"/>
      <sheetName val="DATA-2005-06"/>
      <sheetName val="pop"/>
      <sheetName val="HS 30.04.2015.Final"/>
      <sheetName val="nodes"/>
      <sheetName val="int-Dia"/>
      <sheetName val="JAWAHAR-hyd-original"/>
      <sheetName val="51"/>
      <sheetName val="moments-table(tri)"/>
      <sheetName val="Lookup"/>
      <sheetName val="Abs PMRL"/>
      <sheetName val="sch"/>
      <sheetName val="detls"/>
      <sheetName val="ssr-rates"/>
      <sheetName val="hdpe_rates"/>
      <sheetName val="hdpe_wt-r"/>
      <sheetName val="pvc-rates"/>
      <sheetName val="PVC weights"/>
      <sheetName val="index"/>
      <sheetName val="BS8007"/>
      <sheetName val="pumping main"/>
      <sheetName val="hdpe weights"/>
      <sheetName val=" data sheet "/>
      <sheetName val="HS 1"/>
      <sheetName val="0000000000000"/>
      <sheetName val="wh_data"/>
      <sheetName val="wh_data_R"/>
      <sheetName val="CPHEEO"/>
      <sheetName val="input"/>
      <sheetName val="water-hammar-strenght"/>
      <sheetName val="LOCAL RATES"/>
      <sheetName val="GM&amp;PM WE1 EST"/>
      <sheetName val="BWSCP"/>
      <sheetName val="Detailed"/>
      <sheetName val="AV_GRP ms bwsc"/>
      <sheetName val="Sheet3"/>
      <sheetName val="MTC-estimate"/>
      <sheetName val="joinery data"/>
      <sheetName val="HPs HPs"/>
      <sheetName val="TBAL9697 -group wise  sdpl"/>
      <sheetName val="RAFT"/>
      <sheetName val="scour depth"/>
      <sheetName val="Boq"/>
      <sheetName val="Road data-TDR"/>
      <sheetName val="Summary"/>
      <sheetName val="ESTIMATE"/>
      <sheetName val="wh"/>
      <sheetName val="hdpe-rates"/>
      <sheetName val="boredetails"/>
      <sheetName val="Valves"/>
      <sheetName val="MS Rates"/>
      <sheetName val="CS "/>
      <sheetName val="zone-2"/>
      <sheetName val="Master data"/>
      <sheetName val="TCS_Schedule (2)"/>
      <sheetName val="nandipet intra"/>
      <sheetName val="Quarry"/>
      <sheetName val="Line"/>
      <sheetName val="CRUST"/>
      <sheetName val="QDTS"/>
      <sheetName val="Z1_DATA"/>
      <sheetName val="_5wgdhabfinal00_01"/>
      <sheetName val="PM&amp;GM"/>
      <sheetName val="AV-PVC"/>
      <sheetName val="DI gate-DI"/>
      <sheetName val="DIgate_PVC "/>
      <sheetName val="title"/>
      <sheetName val="pier design"/>
      <sheetName val="Data_Bit_I"/>
      <sheetName val="GF_SB_Ok_"/>
      <sheetName val="Specification_report"/>
      <sheetName val="Compound_wall__Ok"/>
      <sheetName val="Bitumen_trunk"/>
      <sheetName val="R99_etc"/>
      <sheetName val="Trunk_unpaved"/>
      <sheetName val="Class_IV_Qtr__Ele"/>
      <sheetName val="Lead_statement"/>
      <sheetName val="G_R_P"/>
      <sheetName val="PSC_REVISED"/>
      <sheetName val="Sheet1_(2)"/>
      <sheetName val="Lead_statement_ss5"/>
      <sheetName val="DI_Rate_Analysis"/>
      <sheetName val="MRMECADAMoad_data"/>
      <sheetName val="Main_sheet"/>
      <sheetName val="ultmom"/>
      <sheetName val="CPI"/>
      <sheetName val="WPI C"/>
      <sheetName val="WPI all"/>
      <sheetName val="WPI HM"/>
      <sheetName val="WPI S"/>
      <sheetName val="Challan"/>
      <sheetName val="dump"/>
      <sheetName val="SSR 2014-15 Rates"/>
      <sheetName val="Data_Base"/>
      <sheetName val="Factory_rates"/>
      <sheetName val="Specification"/>
      <sheetName val="CC Road"/>
      <sheetName val="sup dat"/>
      <sheetName val="Masonry"/>
      <sheetName val="C.D.Abs.Est."/>
      <sheetName val="road est"/>
      <sheetName val="LIST"/>
      <sheetName val="Mp-team 1"/>
      <sheetName val="Bridge Data 2005-06"/>
      <sheetName val="Road Detail Est."/>
      <sheetName val="Road"/>
      <sheetName val="Rate Analysis"/>
      <sheetName val="Habcodes"/>
      <sheetName val="Economic RisingMain  Ph-I"/>
      <sheetName val="final abstract"/>
      <sheetName val="ITB COST"/>
      <sheetName val="rate analysis "/>
      <sheetName val="Census_of_India_2001"/>
      <sheetName val="Sheet3-1"/>
      <sheetName val="Admin"/>
      <sheetName val="DOC-Register"/>
      <sheetName val="Condition survey"/>
      <sheetName val="Pier Design(with offset)"/>
      <sheetName val="Mortars"/>
      <sheetName val="HYDRAULICS"/>
      <sheetName val="(4)F-81 Exp.side"/>
      <sheetName val="Check List"/>
      <sheetName val="Recovery"/>
      <sheetName val="Relig-place"/>
      <sheetName val="FACE"/>
      <sheetName val="INPUT-DATA"/>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WTP-Pr"/>
      <sheetName val="BALAN1"/>
      <sheetName val="Designs"/>
      <sheetName val="DREV"/>
      <sheetName val="CREV"/>
      <sheetName val="PH data"/>
      <sheetName val="kC"/>
      <sheetName val="Form_E6"/>
      <sheetName val="E8"/>
      <sheetName val="E11"/>
      <sheetName val="Consumption"/>
      <sheetName val="Area Sheet NO 1"/>
      <sheetName val="QTY"/>
      <sheetName val="1-Pop Proj"/>
      <sheetName val="LABOUR RATE"/>
      <sheetName val="Material Rate"/>
      <sheetName val="N- Ward Codes"/>
      <sheetName val="co_5"/>
      <sheetName val="Nspt-smp-final-ORIGINAL"/>
      <sheetName val="mas_hab"/>
      <sheetName val="AV-HDPE"/>
      <sheetName val="Di_gate-HDPE"/>
      <sheetName val="TOP SLAB-beams"/>
      <sheetName val="11.Habitations"/>
      <sheetName val="l"/>
      <sheetName val="Data Road Rev"/>
      <sheetName val="not req 3"/>
      <sheetName val="bricks"/>
      <sheetName val="Civil Boq"/>
      <sheetName val="Addl.40"/>
      <sheetName val="A"/>
      <sheetName val="int dia"/>
      <sheetName val="Elc.Stnd.Data-20-21"/>
      <sheetName val="CD"/>
      <sheetName val="CD_All_No_"/>
      <sheetName val="Inventory"/>
      <sheetName val="MATERIALS"/>
      <sheetName val="(Road-Project)"/>
      <sheetName val="FT-05-02IsoBOM"/>
      <sheetName val="Data o"/>
      <sheetName val="ww-march-02"/>
      <sheetName val="clvrt_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eder"/>
      <sheetName val="Trunk unpaved"/>
      <sheetName val="R99 etc"/>
      <sheetName val="Bitumen trunk"/>
      <sheetName val="paved"/>
      <sheetName val="defects"/>
      <sheetName val="Labour"/>
      <sheetName val="Material"/>
      <sheetName val="v"/>
      <sheetName val="r"/>
      <sheetName val="lead-st"/>
      <sheetName val="rdamdata"/>
      <sheetName val="wh_data_R"/>
      <sheetName val="data"/>
      <sheetName val="Estimate "/>
      <sheetName val="GROUND FLOOR"/>
      <sheetName val="Abs_Road"/>
      <sheetName val="Trunk_unpaved"/>
      <sheetName val="R99_etc"/>
      <sheetName val="Bitumen_trunk"/>
      <sheetName val="LEAD"/>
      <sheetName val="m"/>
      <sheetName val="Leads"/>
      <sheetName val="Trunk_unpaved1"/>
      <sheetName val="R99_etc1"/>
      <sheetName val="Bitumen_trunk1"/>
      <sheetName val="Trunk_unpaved2"/>
      <sheetName val="R99_etc2"/>
      <sheetName val="Bitumen_trunk2"/>
      <sheetName val="Trunk_unpaved3"/>
      <sheetName val="R99_etc3"/>
      <sheetName val="Bitumen_trunk3"/>
      <sheetName val="Sheet1"/>
      <sheetName val="HDPE"/>
      <sheetName val="DI"/>
      <sheetName val="pvc"/>
      <sheetName val="coverpage"/>
      <sheetName val="DATA-BASE"/>
      <sheetName val="Sheet2"/>
      <sheetName val="Plant_&amp;__Machinery"/>
      <sheetName val="sectorwise"/>
      <sheetName val="detls"/>
      <sheetName val="hdpe_weights"/>
      <sheetName val="cover_(2)"/>
      <sheetName val="Levels"/>
      <sheetName val="Plant_&amp;__Machinery2"/>
      <sheetName val="t_prsr"/>
      <sheetName val="PVC_weights"/>
      <sheetName val="Road_data"/>
      <sheetName val="ssr-rates"/>
      <sheetName val="RMR"/>
      <sheetName val="l"/>
      <sheetName val="DATA-ABSTRACT"/>
      <sheetName val="wh"/>
      <sheetName val="hdpe_basic"/>
      <sheetName val="pvc_basic"/>
      <sheetName val="0000000000000"/>
      <sheetName val="index"/>
      <sheetName val="mlead"/>
      <sheetName val="abs road"/>
      <sheetName val="Road data"/>
      <sheetName val="R_Det"/>
      <sheetName val="m1"/>
      <sheetName val="Class IV Qtr. Ele"/>
      <sheetName val="Cover"/>
      <sheetName val="Abs"/>
      <sheetName val="wh_data"/>
      <sheetName val="CPHEEO"/>
      <sheetName val="input"/>
      <sheetName val="Data.F8.BTR"/>
      <sheetName val="id"/>
      <sheetName val="Lead statement"/>
      <sheetName val="MRATES"/>
      <sheetName val="SUMP1420KL@HW"/>
      <sheetName val="C.D.Abs.Est."/>
      <sheetName val="Specification report"/>
      <sheetName val="pop"/>
      <sheetName val="Rates SSR 2008-09"/>
      <sheetName val="bom"/>
      <sheetName val="2ABC R+U_Sector_wise_2008_09"/>
      <sheetName val="water-hammar-strenght"/>
      <sheetName val="maya"/>
      <sheetName val="Nspt-smp-final-ORIGINAL"/>
      <sheetName val="Data_Renuals"/>
      <sheetName val="Road Detail Est."/>
      <sheetName val="quarry"/>
      <sheetName val="AC"/>
      <sheetName val="AV-BWSC&amp;MS"/>
      <sheetName val="AV_AC"/>
      <sheetName val="AV-DI"/>
      <sheetName val="AV-HDPE"/>
      <sheetName val="di_Gate_AC"/>
      <sheetName val="Digate-BWSCP-MS"/>
      <sheetName val="DI_gate_di"/>
      <sheetName val="Di_gate-HDPE"/>
      <sheetName val="scour-DI-CI"/>
      <sheetName val="scour-pvc-hdpe-psc-bwsc"/>
      <sheetName val="pumping main"/>
      <sheetName val="int-Dia-hdpe"/>
      <sheetName val="int-Dia-pvc"/>
      <sheetName val="_5wgdhabfinal00_01"/>
      <sheetName val="Analysis"/>
      <sheetName val="GM&amp;PM EST- final "/>
      <sheetName val="K.AV-HDPE"/>
      <sheetName val="scour-DI"/>
      <sheetName val="CI-scour-pvc-hdpe-psc-bwsc"/>
      <sheetName val="soft-HDPE"/>
      <sheetName val="soft-PVC"/>
      <sheetName val="DI-AV-DI-final"/>
      <sheetName val="DI-AV-HDPE- Final "/>
      <sheetName val="DI- Final"/>
      <sheetName val="DI_scour-DI-final"/>
      <sheetName val="DI_scour-pvc-hdpe-psc-bwsc"/>
      <sheetName val="DI SV on DI-final "/>
      <sheetName val="DI Sluice_HDPE"/>
      <sheetName val="HDPE-Final "/>
      <sheetName val="hdpe weights"/>
      <sheetName val="PVC weights"/>
      <sheetName val="Sheet9"/>
      <sheetName val="Data_Base"/>
      <sheetName val="Boq"/>
      <sheetName val="MRoad data"/>
      <sheetName val="civ data"/>
      <sheetName val="Gravity Main-Jukkal"/>
      <sheetName val="Plant &amp;  Machinery"/>
      <sheetName val="data existing_do not delete"/>
      <sheetName val="final abstract"/>
      <sheetName val="DATA_PRG"/>
      <sheetName val="GM&amp;PM EST"/>
      <sheetName val="GM&amp;PM WE1 EST"/>
      <sheetName val="airvalve-AC PN 1.60"/>
      <sheetName val="AV_GRP ms bwsc"/>
      <sheetName val="BWSCP"/>
      <sheetName val="Soft-sluice-AC,GRP PN 1.6"/>
      <sheetName val="soft-sluice-BWSC-MS"/>
      <sheetName val="DI sluice valve"/>
      <sheetName val="dbl-airvalve-HDPE"/>
      <sheetName val="dbl-airvalve-PVC"/>
      <sheetName val="soft sluice -HDPE"/>
      <sheetName val="DI-kintc air valve-DI"/>
      <sheetName val="P "/>
      <sheetName val="Grand Abstract  (3)"/>
      <sheetName val="Bridges"/>
      <sheetName val="CBF (2)"/>
      <sheetName val="555555555555555555555555CBF BC "/>
      <sheetName val="CBF SC"/>
      <sheetName val="SDF 2016-17"/>
      <sheetName val="Fisheries Comminuty Halls"/>
      <sheetName val="MPLADS "/>
      <sheetName val="333333333333333333MPP Buildings"/>
      <sheetName val="RGPSA proforma"/>
      <sheetName val="22222222222CRR 2017-18 proforma"/>
      <sheetName val="Lead Sheet1"/>
      <sheetName val="Trunk_unpaved4"/>
      <sheetName val="R99_etc4"/>
      <sheetName val="Bitumen_trunk4"/>
      <sheetName val="Estimate_"/>
      <sheetName val="GROUND_FLOOR"/>
      <sheetName val="Road_data1"/>
      <sheetName val="Trunk_unpaved5"/>
      <sheetName val="R99_etc5"/>
      <sheetName val="Bitumen_trunk5"/>
      <sheetName val="Estimate_1"/>
      <sheetName val="GROUND_FLOOR1"/>
      <sheetName val="Road_data2"/>
      <sheetName val="MRMECADAMoad data"/>
      <sheetName val="JACKWELL"/>
      <sheetName val="C-data"/>
      <sheetName val="Design"/>
      <sheetName val="nodes"/>
      <sheetName val="int-Dia"/>
      <sheetName val="habs-list"/>
      <sheetName val="JAWAHAR-hyd-original"/>
      <sheetName val="data-WC"/>
      <sheetName val="hdpe-rates"/>
      <sheetName val="pvc-rates"/>
      <sheetName val="Factory_rates"/>
      <sheetName val="Specification"/>
      <sheetName val="PVC_dia"/>
      <sheetName val="PM&amp;GM"/>
      <sheetName val="AV-PVC"/>
      <sheetName val="DI gate-DI"/>
      <sheetName val="DIgate_PVC "/>
      <sheetName val="D2_CO"/>
      <sheetName val="PUMP_DATA"/>
      <sheetName val="Abstract of Wargal"/>
      <sheetName val="Rates"/>
      <sheetName val="Leads Entry"/>
      <sheetName val="BTR"/>
      <sheetName val="est"/>
      <sheetName val="1v_1000_PC"/>
      <sheetName val="CD abs"/>
      <sheetName val="2v_1000_PC"/>
      <sheetName val="GenAbst"/>
      <sheetName val="Road-furniture"/>
      <sheetName val="1v_600_PC"/>
      <sheetName val="Retaining-wall"/>
      <sheetName val="6v_1000_RDVENTS"/>
      <sheetName val="(Road-Project)"/>
      <sheetName val="road est"/>
      <sheetName val="DIgate_PVC"/>
      <sheetName val="MS "/>
      <sheetName val="Line estimates"/>
      <sheetName val="sand"/>
      <sheetName val="stone"/>
      <sheetName val="TOP SLAB-beams"/>
      <sheetName val="Common "/>
      <sheetName val="zone-8"/>
      <sheetName val="MHNO_LEV"/>
      <sheetName val="HS 30.04.2015.Final"/>
      <sheetName val="Bed Class"/>
      <sheetName val="Cd"/>
      <sheetName val="SPT vs PHI"/>
      <sheetName val="co_5"/>
      <sheetName val="DATA SHEET"/>
      <sheetName val="Sheet5"/>
      <sheetName val="Basis"/>
      <sheetName val="Trunk Main"/>
      <sheetName val="Detail In Door Stad"/>
      <sheetName val="CAT_5"/>
      <sheetName val="Gen Abs"/>
      <sheetName val="Conveayance charges"/>
      <sheetName val="Conveyance"/>
      <sheetName val="well"/>
      <sheetName val="mas_hab"/>
      <sheetName val="VALV"/>
      <sheetName val="Usage"/>
      <sheetName val="General"/>
      <sheetName val="SCHEDULE"/>
      <sheetName val="schedule nos"/>
      <sheetName val="Database"/>
      <sheetName val="MEXICO-C"/>
      <sheetName val="ADJUS"/>
      <sheetName val="mat-jak (2)"/>
      <sheetName val="mat-Arm"/>
      <sheetName val="mat-jak"/>
      <sheetName val="Abs- bal"/>
      <sheetName val="comparitive- bal"/>
      <sheetName val="Bal Sub"/>
      <sheetName val="Cover- Jak"/>
      <sheetName val="Abs - jak"/>
      <sheetName val="comparitive- jak"/>
      <sheetName val="Cover- Arm"/>
      <sheetName val="Jak Sub"/>
      <sheetName val="Abs- Arm"/>
      <sheetName val="comparitive- arm"/>
      <sheetName val="Arm Sub"/>
      <sheetName val="Arm Sub (2)"/>
      <sheetName val="PART A"/>
      <sheetName val="Sheet3"/>
      <sheetName val="Open"/>
      <sheetName val="p&amp;m"/>
      <sheetName val="BALAN1"/>
      <sheetName val="11.Habitations"/>
      <sheetName val="GN-ST-10"/>
      <sheetName val="PRECAST lightconc-II"/>
      <sheetName val="MTC-estimate"/>
      <sheetName val="other rates"/>
      <sheetName val="SSR 2010-11 Rates"/>
      <sheetName val="Mp-team 1"/>
      <sheetName val="Class_IV_Qtr__Ele"/>
      <sheetName val="Data_F8_BTR"/>
      <sheetName val="Lead_statement"/>
      <sheetName val="C_D_Abs_Est_"/>
      <sheetName val="Rates_SSR_2008-09"/>
      <sheetName val="Specification_report"/>
      <sheetName val="2ABC_R+U_Sector_wise_2008_09"/>
      <sheetName val="Road_Detail_Est_"/>
      <sheetName val="MRoad_data"/>
      <sheetName val="pumping_main"/>
      <sheetName val="GM&amp;PM_EST-_final_"/>
      <sheetName val="K_AV-HDPE"/>
      <sheetName val="DI-AV-HDPE-_Final_"/>
      <sheetName val="DI-_Final"/>
      <sheetName val="DI_SV_on_DI-final_"/>
      <sheetName val="DI_Sluice_HDPE"/>
      <sheetName val="HDPE-Final_"/>
      <sheetName val="hdpe_weights1"/>
      <sheetName val="PVC_weights1"/>
      <sheetName val="Habcodes"/>
      <sheetName val="Works"/>
      <sheetName val="Abs weir"/>
      <sheetName val="Sluece (2)"/>
      <sheetName val="Sluece"/>
      <sheetName val="Abs sluice (2)"/>
      <sheetName val="Lead (2)"/>
      <sheetName val="MACHINACHERUVU"/>
      <sheetName val="Det Est Sluice"/>
      <sheetName val="Ab Guide wall"/>
      <sheetName val="Det Est guide wall"/>
      <sheetName val="DATA-CC-BW"/>
      <sheetName val="DATA-CC-Fdn"/>
      <sheetName val="DATA-EWE"/>
      <sheetName val="data 21-22 (2)"/>
      <sheetName val="deta weir"/>
      <sheetName val="deta sluice (2)"/>
      <sheetName val="SSR 2014-15 Rates"/>
      <sheetName val="Rate Analysis"/>
      <sheetName val="RAFT"/>
      <sheetName val="ABUT"/>
      <sheetName val="Abutment"/>
      <sheetName val="ABST CIVIL"/>
      <sheetName val="ewst"/>
      <sheetName val="HDPE-pipe-rates"/>
      <sheetName val="pvc-pipe-rates"/>
      <sheetName val="pt-cw"/>
      <sheetName val="Bridge Data 2005-06"/>
      <sheetName val="PROCTOR"/>
      <sheetName val="Line"/>
      <sheetName val="CRUST"/>
      <sheetName val="QDTS"/>
      <sheetName val="Sheet1 (2)"/>
      <sheetName val="Analy"/>
      <sheetName val="AE Water Supply"/>
      <sheetName val="B A"/>
      <sheetName val="Process"/>
      <sheetName val="final data"/>
      <sheetName val="Basicrates"/>
      <sheetName val="clvrt_data"/>
      <sheetName val="BWSCPlt"/>
      <sheetName val="CI"/>
      <sheetName val="G.R.P"/>
      <sheetName val="PSC REVISED"/>
      <sheetName val="Staff Acco."/>
      <sheetName val="Detailed"/>
      <sheetName val="Civil Datas"/>
      <sheetName val="economic PM"/>
      <sheetName val="Sent NHO"/>
      <sheetName val="CIV INV&amp;EXP"/>
      <sheetName val="PH data"/>
      <sheetName val="VIP03"/>
      <sheetName val="VIP_02"/>
      <sheetName val="(1)FILL FIRST"/>
      <sheetName val="(2)PROGRESIV EXP."/>
      <sheetName val="(4)F-81 Exp.side"/>
      <sheetName val="(3)F-81 RECV."/>
      <sheetName val="BASE_ALL"/>
      <sheetName val="72"/>
      <sheetName val="Schedule &quot;B&quot;"/>
      <sheetName val="abs_CWrising"/>
      <sheetName val="abs-ph"/>
      <sheetName val="abs_sum&amp;cwr"/>
      <sheetName val="cons_sq_I"/>
      <sheetName val="const_stat_exp_pipe"/>
      <sheetName val="CC Road"/>
      <sheetName val="abs_wirefencin"/>
      <sheetName val="abs_cartage_material"/>
      <sheetName val="state-protect"/>
      <sheetName val="detal_gravit"/>
      <sheetName val="RCC_clear"/>
      <sheetName val="abstra_quarter"/>
      <sheetName val="detail_room"/>
      <sheetName val="unit_barbedwire"/>
      <sheetName val="weight_pipe"/>
      <sheetName val="NEW "/>
      <sheetName val="IDCCALHYD_GOO"/>
      <sheetName val="prjt"/>
      <sheetName val="Chamber on BW "/>
      <sheetName val="Main sheet"/>
      <sheetName val="DESBASTE"/>
      <sheetName val="LLEGADA"/>
      <sheetName val="New33KVSS_E3"/>
      <sheetName val="Prop aug of Ex 33KVSS_E3a"/>
      <sheetName val="OverviewBarmer"/>
      <sheetName val="app2"/>
      <sheetName val="CONNECT"/>
      <sheetName val="Flanged Beams"/>
      <sheetName val="Rectangular Beam"/>
      <sheetName val="EDWise"/>
      <sheetName val="Bed Fall"/>
      <sheetName val="Title"/>
      <sheetName val="Ventway Calculations"/>
      <sheetName val="WATER-HAMMER"/>
      <sheetName val="Abs_CD_2"/>
      <sheetName val="ECV"/>
      <sheetName val="Work_sheet"/>
    </sheetNames>
    <sheetDataSet>
      <sheetData sheetId="0" refreshError="1">
        <row r="1">
          <cell r="A1" t="str">
            <v>Table A5 - Feeder Road Sections</v>
          </cell>
          <cell r="B1">
            <v>0</v>
          </cell>
          <cell r="C1">
            <v>0</v>
          </cell>
          <cell r="D1">
            <v>0</v>
          </cell>
          <cell r="E1" t="str">
            <v>RS 722</v>
          </cell>
          <cell r="F1">
            <v>544</v>
          </cell>
          <cell r="G1" t="str">
            <v>S</v>
          </cell>
          <cell r="H1" t="str">
            <v>F</v>
          </cell>
          <cell r="I1" t="str">
            <v>Shire North TC - Kasangale (junction S139)</v>
          </cell>
          <cell r="J1" t="str">
            <v>T400</v>
          </cell>
          <cell r="K1">
            <v>4</v>
          </cell>
          <cell r="L1">
            <v>10.199999999999999</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Location comments</v>
          </cell>
        </row>
        <row r="3">
          <cell r="A3" t="str">
            <v>RS 443</v>
          </cell>
          <cell r="B3">
            <v>265</v>
          </cell>
          <cell r="C3" t="str">
            <v>N</v>
          </cell>
          <cell r="D3" t="str">
            <v>F</v>
          </cell>
          <cell r="E3" t="str">
            <v>Davide Kameme - James Kameme</v>
          </cell>
          <cell r="F3" t="str">
            <v>T300</v>
          </cell>
          <cell r="G3">
            <v>1</v>
          </cell>
          <cell r="H3">
            <v>15.2</v>
          </cell>
          <cell r="I3" t="str">
            <v>R</v>
          </cell>
          <cell r="J3" t="str">
            <v>CHITIPA</v>
          </cell>
          <cell r="K3">
            <v>1</v>
          </cell>
          <cell r="L3" t="str">
            <v>Part of RS1</v>
          </cell>
        </row>
        <row r="4">
          <cell r="A4" t="str">
            <v>RS 444</v>
          </cell>
          <cell r="B4">
            <v>266</v>
          </cell>
          <cell r="C4" t="str">
            <v>N</v>
          </cell>
          <cell r="D4" t="str">
            <v>F</v>
          </cell>
          <cell r="E4" t="str">
            <v>Fikolo Mkisi - Winston Kmeme</v>
          </cell>
          <cell r="F4" t="str">
            <v>T301</v>
          </cell>
          <cell r="G4">
            <v>1</v>
          </cell>
          <cell r="H4">
            <v>24.8</v>
          </cell>
          <cell r="I4" t="str">
            <v>R</v>
          </cell>
          <cell r="J4" t="str">
            <v>CHITIPA</v>
          </cell>
          <cell r="K4">
            <v>1</v>
          </cell>
          <cell r="L4" t="str">
            <v>Part of RS1</v>
          </cell>
        </row>
        <row r="5">
          <cell r="A5" t="str">
            <v>RS 445</v>
          </cell>
          <cell r="B5">
            <v>267</v>
          </cell>
          <cell r="C5" t="str">
            <v>N</v>
          </cell>
          <cell r="D5" t="str">
            <v>F</v>
          </cell>
          <cell r="E5" t="str">
            <v>Namatandala - Mwenichinga</v>
          </cell>
          <cell r="F5" t="str">
            <v>T302</v>
          </cell>
          <cell r="G5">
            <v>1</v>
          </cell>
          <cell r="H5">
            <v>22.4</v>
          </cell>
          <cell r="I5" t="str">
            <v>F</v>
          </cell>
          <cell r="J5" t="str">
            <v>CHITIPA</v>
          </cell>
          <cell r="K5">
            <v>1</v>
          </cell>
          <cell r="L5">
            <v>0</v>
          </cell>
        </row>
        <row r="6">
          <cell r="A6" t="str">
            <v>RS 446</v>
          </cell>
          <cell r="B6">
            <v>268</v>
          </cell>
          <cell r="C6" t="str">
            <v>N</v>
          </cell>
          <cell r="D6" t="str">
            <v>F</v>
          </cell>
          <cell r="E6" t="str">
            <v>Pinda River - Mwenitete</v>
          </cell>
          <cell r="F6" t="str">
            <v>T303</v>
          </cell>
          <cell r="G6">
            <v>1</v>
          </cell>
          <cell r="H6">
            <v>22.1</v>
          </cell>
          <cell r="I6" t="str">
            <v>R</v>
          </cell>
          <cell r="J6" t="str">
            <v>KARONGA</v>
          </cell>
          <cell r="K6">
            <v>1</v>
          </cell>
          <cell r="L6">
            <v>0</v>
          </cell>
        </row>
        <row r="7">
          <cell r="A7" t="str">
            <v>RS 447</v>
          </cell>
          <cell r="B7">
            <v>269</v>
          </cell>
          <cell r="C7" t="str">
            <v>N</v>
          </cell>
          <cell r="D7" t="str">
            <v>F</v>
          </cell>
          <cell r="E7" t="str">
            <v>Wovwe - Uliwa</v>
          </cell>
          <cell r="F7" t="str">
            <v>T304</v>
          </cell>
          <cell r="G7">
            <v>1</v>
          </cell>
          <cell r="H7">
            <v>28.3</v>
          </cell>
          <cell r="I7" t="str">
            <v>F</v>
          </cell>
          <cell r="J7" t="str">
            <v>KARONGA</v>
          </cell>
          <cell r="K7">
            <v>2</v>
          </cell>
          <cell r="L7">
            <v>0</v>
          </cell>
        </row>
        <row r="8">
          <cell r="A8" t="str">
            <v>RS 448</v>
          </cell>
          <cell r="B8">
            <v>270</v>
          </cell>
          <cell r="C8" t="str">
            <v>N</v>
          </cell>
          <cell r="D8" t="str">
            <v>F</v>
          </cell>
          <cell r="E8" t="str">
            <v>Hananiya - Chipoka Bawoli</v>
          </cell>
          <cell r="F8" t="str">
            <v>T305</v>
          </cell>
          <cell r="G8">
            <v>1</v>
          </cell>
          <cell r="H8">
            <v>47</v>
          </cell>
          <cell r="I8" t="str">
            <v>R</v>
          </cell>
          <cell r="J8" t="str">
            <v>RUMPHI</v>
          </cell>
          <cell r="K8" t="str">
            <v>2,3</v>
          </cell>
          <cell r="L8">
            <v>0</v>
          </cell>
        </row>
        <row r="9">
          <cell r="A9" t="str">
            <v>RS 450</v>
          </cell>
          <cell r="B9">
            <v>272</v>
          </cell>
          <cell r="C9" t="str">
            <v>N</v>
          </cell>
          <cell r="D9" t="str">
            <v>F</v>
          </cell>
          <cell r="E9" t="str">
            <v>Phwamphwa - Uzumara - Usowoya - Malongowe River</v>
          </cell>
          <cell r="F9" t="str">
            <v>T306</v>
          </cell>
          <cell r="G9">
            <v>1</v>
          </cell>
          <cell r="H9">
            <v>42.1</v>
          </cell>
          <cell r="I9" t="str">
            <v>H</v>
          </cell>
          <cell r="J9" t="str">
            <v>RUMPHI</v>
          </cell>
          <cell r="K9">
            <v>3</v>
          </cell>
          <cell r="L9">
            <v>0</v>
          </cell>
        </row>
        <row r="10">
          <cell r="A10" t="str">
            <v>RS 449</v>
          </cell>
          <cell r="B10">
            <v>271</v>
          </cell>
          <cell r="C10" t="str">
            <v>N</v>
          </cell>
          <cell r="D10" t="str">
            <v>F</v>
          </cell>
          <cell r="E10" t="str">
            <v>Malongowe River - Bula</v>
          </cell>
          <cell r="F10" t="str">
            <v>T306</v>
          </cell>
          <cell r="G10">
            <v>2</v>
          </cell>
          <cell r="H10">
            <v>19.5</v>
          </cell>
          <cell r="I10" t="str">
            <v>H</v>
          </cell>
          <cell r="J10" t="str">
            <v>MZIMBA</v>
          </cell>
          <cell r="K10">
            <v>3</v>
          </cell>
          <cell r="L10">
            <v>0</v>
          </cell>
        </row>
        <row r="11">
          <cell r="A11" t="str">
            <v>RS 451</v>
          </cell>
          <cell r="B11">
            <v>273</v>
          </cell>
          <cell r="C11" t="str">
            <v>N</v>
          </cell>
          <cell r="D11" t="str">
            <v>F</v>
          </cell>
          <cell r="E11" t="str">
            <v>Njakwa - Mthwalo</v>
          </cell>
          <cell r="F11" t="str">
            <v>T308</v>
          </cell>
          <cell r="G11">
            <v>1</v>
          </cell>
          <cell r="H11">
            <v>44</v>
          </cell>
          <cell r="I11" t="str">
            <v>R</v>
          </cell>
          <cell r="J11" t="str">
            <v>MZIMBA</v>
          </cell>
          <cell r="K11">
            <v>3</v>
          </cell>
          <cell r="L11">
            <v>0</v>
          </cell>
        </row>
        <row r="12">
          <cell r="A12" t="str">
            <v>RS 452</v>
          </cell>
          <cell r="B12">
            <v>274</v>
          </cell>
          <cell r="C12" t="str">
            <v>N</v>
          </cell>
          <cell r="D12" t="str">
            <v>F</v>
          </cell>
          <cell r="E12" t="str">
            <v>Chesamu - Engucwini</v>
          </cell>
          <cell r="F12" t="str">
            <v>T309</v>
          </cell>
          <cell r="G12">
            <v>1</v>
          </cell>
          <cell r="H12">
            <v>30.7</v>
          </cell>
          <cell r="I12" t="str">
            <v>R</v>
          </cell>
          <cell r="J12" t="str">
            <v>MZIMBA</v>
          </cell>
          <cell r="K12">
            <v>3</v>
          </cell>
          <cell r="L12" t="str">
            <v>Changed designation from T413  to M04</v>
          </cell>
        </row>
        <row r="13">
          <cell r="A13" t="str">
            <v>RS 454</v>
          </cell>
          <cell r="B13">
            <v>276</v>
          </cell>
          <cell r="C13" t="str">
            <v>N</v>
          </cell>
          <cell r="D13" t="str">
            <v>F</v>
          </cell>
          <cell r="E13" t="str">
            <v>Hewe - Vwaza Game Camp</v>
          </cell>
          <cell r="F13" t="str">
            <v>T310</v>
          </cell>
          <cell r="G13">
            <v>1</v>
          </cell>
          <cell r="H13">
            <v>41.5</v>
          </cell>
          <cell r="I13" t="str">
            <v>F</v>
          </cell>
          <cell r="J13" t="str">
            <v>RUMPHI</v>
          </cell>
          <cell r="K13" t="str">
            <v>2,3</v>
          </cell>
          <cell r="L13" t="str">
            <v xml:space="preserve">New section part of RS 330 </v>
          </cell>
        </row>
        <row r="14">
          <cell r="A14" t="str">
            <v>RS 453</v>
          </cell>
          <cell r="B14">
            <v>275</v>
          </cell>
          <cell r="C14" t="str">
            <v>N</v>
          </cell>
          <cell r="D14" t="str">
            <v>F</v>
          </cell>
          <cell r="E14" t="str">
            <v>Vwaza Game Camp - Munyanja</v>
          </cell>
          <cell r="F14" t="str">
            <v>T310</v>
          </cell>
          <cell r="G14">
            <v>2</v>
          </cell>
          <cell r="H14">
            <v>22.1</v>
          </cell>
          <cell r="I14" t="str">
            <v>F</v>
          </cell>
          <cell r="J14" t="str">
            <v>MZIMBA</v>
          </cell>
          <cell r="K14">
            <v>3</v>
          </cell>
          <cell r="L14">
            <v>0</v>
          </cell>
        </row>
        <row r="15">
          <cell r="A15" t="str">
            <v>RS 455</v>
          </cell>
          <cell r="B15">
            <v>277</v>
          </cell>
          <cell r="C15" t="str">
            <v>N</v>
          </cell>
          <cell r="D15" t="str">
            <v>F</v>
          </cell>
          <cell r="E15" t="str">
            <v>Munyanja - Sokopo Chinura</v>
          </cell>
          <cell r="F15" t="str">
            <v>T311</v>
          </cell>
          <cell r="G15">
            <v>1</v>
          </cell>
          <cell r="H15">
            <v>29.5</v>
          </cell>
          <cell r="I15" t="str">
            <v>F</v>
          </cell>
          <cell r="J15" t="str">
            <v>MZIMBA</v>
          </cell>
          <cell r="K15">
            <v>3</v>
          </cell>
          <cell r="L15">
            <v>0</v>
          </cell>
        </row>
        <row r="16">
          <cell r="A16" t="str">
            <v>RS 456</v>
          </cell>
          <cell r="B16">
            <v>278</v>
          </cell>
          <cell r="C16" t="str">
            <v>N</v>
          </cell>
          <cell r="D16" t="str">
            <v>F</v>
          </cell>
          <cell r="E16" t="str">
            <v>Yesaya Nkosi - Magodi Nyirenda</v>
          </cell>
          <cell r="F16" t="str">
            <v>T312</v>
          </cell>
          <cell r="G16">
            <v>1</v>
          </cell>
          <cell r="H16">
            <v>22</v>
          </cell>
          <cell r="I16" t="str">
            <v>R</v>
          </cell>
          <cell r="J16" t="str">
            <v>MZIMBA</v>
          </cell>
          <cell r="K16">
            <v>3</v>
          </cell>
          <cell r="L16">
            <v>0</v>
          </cell>
        </row>
        <row r="17">
          <cell r="A17" t="str">
            <v>RS 457</v>
          </cell>
          <cell r="B17">
            <v>279</v>
          </cell>
          <cell r="C17" t="str">
            <v>N</v>
          </cell>
          <cell r="D17" t="str">
            <v>F</v>
          </cell>
          <cell r="E17" t="str">
            <v>Eswazini - Kamchocho Banda</v>
          </cell>
          <cell r="F17" t="str">
            <v>T313</v>
          </cell>
          <cell r="G17">
            <v>1</v>
          </cell>
          <cell r="H17">
            <v>31.1</v>
          </cell>
          <cell r="I17" t="str">
            <v>R</v>
          </cell>
          <cell r="J17" t="str">
            <v>MZIMBA</v>
          </cell>
          <cell r="K17">
            <v>3</v>
          </cell>
          <cell r="L17">
            <v>0</v>
          </cell>
        </row>
        <row r="18">
          <cell r="A18" t="str">
            <v>RS 458</v>
          </cell>
          <cell r="B18">
            <v>280</v>
          </cell>
          <cell r="C18" t="str">
            <v>N</v>
          </cell>
          <cell r="D18" t="str">
            <v>F</v>
          </cell>
          <cell r="E18" t="str">
            <v>Emvuyeni - Emoneni</v>
          </cell>
          <cell r="F18" t="str">
            <v>T314</v>
          </cell>
          <cell r="G18">
            <v>1</v>
          </cell>
          <cell r="H18">
            <v>47</v>
          </cell>
          <cell r="I18" t="str">
            <v>R</v>
          </cell>
          <cell r="J18" t="str">
            <v>MZIMBA</v>
          </cell>
          <cell r="K18">
            <v>3</v>
          </cell>
          <cell r="L18">
            <v>0</v>
          </cell>
        </row>
        <row r="19">
          <cell r="A19" t="str">
            <v>RS 459</v>
          </cell>
          <cell r="B19">
            <v>281</v>
          </cell>
          <cell r="C19" t="str">
            <v>N</v>
          </cell>
          <cell r="D19" t="str">
            <v>F</v>
          </cell>
          <cell r="E19" t="str">
            <v>Mbowe - Mazamba Hill</v>
          </cell>
          <cell r="F19" t="str">
            <v>T315</v>
          </cell>
          <cell r="G19">
            <v>1</v>
          </cell>
          <cell r="H19">
            <v>19.8</v>
          </cell>
          <cell r="I19" t="str">
            <v>R</v>
          </cell>
          <cell r="J19" t="str">
            <v>MZIMBA</v>
          </cell>
          <cell r="K19">
            <v>3</v>
          </cell>
          <cell r="L19">
            <v>0</v>
          </cell>
        </row>
        <row r="20">
          <cell r="A20" t="str">
            <v>RS 460</v>
          </cell>
          <cell r="B20">
            <v>282</v>
          </cell>
          <cell r="C20" t="str">
            <v>N</v>
          </cell>
          <cell r="D20" t="str">
            <v>F</v>
          </cell>
          <cell r="E20" t="str">
            <v>Choma - Chikwina</v>
          </cell>
          <cell r="F20" t="str">
            <v>T316</v>
          </cell>
          <cell r="G20">
            <v>1</v>
          </cell>
          <cell r="H20">
            <v>12.6</v>
          </cell>
          <cell r="I20" t="str">
            <v>R</v>
          </cell>
          <cell r="J20" t="str">
            <v>NKHATA BAY</v>
          </cell>
          <cell r="K20">
            <v>3</v>
          </cell>
          <cell r="L20">
            <v>0</v>
          </cell>
        </row>
        <row r="21">
          <cell r="A21" t="str">
            <v>RS 461</v>
          </cell>
          <cell r="B21">
            <v>283</v>
          </cell>
          <cell r="C21" t="str">
            <v>N</v>
          </cell>
          <cell r="D21" t="str">
            <v>F</v>
          </cell>
          <cell r="E21" t="str">
            <v>Mzenga - Lwazi</v>
          </cell>
          <cell r="F21" t="str">
            <v>T317</v>
          </cell>
          <cell r="G21">
            <v>1</v>
          </cell>
          <cell r="H21">
            <v>23.6</v>
          </cell>
          <cell r="I21" t="str">
            <v>R</v>
          </cell>
          <cell r="J21" t="str">
            <v>NKHATA BAY</v>
          </cell>
          <cell r="K21">
            <v>3</v>
          </cell>
          <cell r="L21">
            <v>0</v>
          </cell>
        </row>
        <row r="22">
          <cell r="A22" t="str">
            <v>RS 463</v>
          </cell>
          <cell r="B22">
            <v>285</v>
          </cell>
          <cell r="C22" t="str">
            <v>N</v>
          </cell>
          <cell r="D22" t="str">
            <v>F</v>
          </cell>
          <cell r="E22" t="str">
            <v>Manyamula - Mbawa</v>
          </cell>
          <cell r="F22" t="str">
            <v>T321</v>
          </cell>
          <cell r="G22">
            <v>1</v>
          </cell>
          <cell r="H22">
            <v>19.100000000000001</v>
          </cell>
          <cell r="I22" t="str">
            <v>F</v>
          </cell>
          <cell r="J22" t="str">
            <v>MZIMBA</v>
          </cell>
          <cell r="K22">
            <v>4</v>
          </cell>
          <cell r="L22" t="str">
            <v>New section part of origional RS 179</v>
          </cell>
        </row>
        <row r="23">
          <cell r="A23" t="str">
            <v>RS 524</v>
          </cell>
          <cell r="B23">
            <v>346</v>
          </cell>
          <cell r="C23" t="str">
            <v>C</v>
          </cell>
          <cell r="D23" t="str">
            <v>F</v>
          </cell>
          <cell r="E23" t="str">
            <v>Kamtuwale - Chimaliro Police</v>
          </cell>
          <cell r="F23" t="str">
            <v>T323</v>
          </cell>
          <cell r="G23">
            <v>1</v>
          </cell>
          <cell r="H23">
            <v>36.1</v>
          </cell>
          <cell r="I23" t="str">
            <v>F</v>
          </cell>
          <cell r="J23" t="str">
            <v>KASUNGU</v>
          </cell>
          <cell r="K23">
            <v>5</v>
          </cell>
          <cell r="L23" t="str">
            <v>New section part of origional RS 179</v>
          </cell>
        </row>
        <row r="24">
          <cell r="A24" t="str">
            <v>RS 525</v>
          </cell>
          <cell r="B24">
            <v>347</v>
          </cell>
          <cell r="C24" t="str">
            <v>C</v>
          </cell>
          <cell r="D24" t="str">
            <v>F</v>
          </cell>
          <cell r="E24" t="str">
            <v>Mphomwa - Kamtuwale</v>
          </cell>
          <cell r="F24" t="str">
            <v>T324</v>
          </cell>
          <cell r="G24">
            <v>1</v>
          </cell>
          <cell r="H24">
            <v>11.3</v>
          </cell>
          <cell r="I24" t="str">
            <v>F</v>
          </cell>
          <cell r="J24" t="str">
            <v>KASUNGU</v>
          </cell>
          <cell r="K24">
            <v>5</v>
          </cell>
          <cell r="L24" t="str">
            <v>End point altered from Mphangara Stream to Chatanga</v>
          </cell>
        </row>
        <row r="25">
          <cell r="A25" t="str">
            <v>RS 528</v>
          </cell>
          <cell r="B25">
            <v>350</v>
          </cell>
          <cell r="C25" t="str">
            <v>C</v>
          </cell>
          <cell r="D25" t="str">
            <v>F</v>
          </cell>
          <cell r="E25" t="str">
            <v>Chasato - General Farming Estate</v>
          </cell>
          <cell r="F25" t="str">
            <v>T325</v>
          </cell>
          <cell r="G25">
            <v>1</v>
          </cell>
          <cell r="H25">
            <v>13.6</v>
          </cell>
          <cell r="I25" t="str">
            <v>F</v>
          </cell>
          <cell r="J25" t="str">
            <v>KASUNGU</v>
          </cell>
          <cell r="K25">
            <v>5</v>
          </cell>
          <cell r="L25">
            <v>0</v>
          </cell>
        </row>
        <row r="26">
          <cell r="A26" t="str">
            <v>RS 526</v>
          </cell>
          <cell r="B26">
            <v>348</v>
          </cell>
          <cell r="C26" t="str">
            <v>C</v>
          </cell>
          <cell r="D26" t="str">
            <v>F</v>
          </cell>
          <cell r="E26" t="str">
            <v>General Farming Estate - Dwangwa River</v>
          </cell>
          <cell r="F26" t="str">
            <v>T325</v>
          </cell>
          <cell r="G26">
            <v>2</v>
          </cell>
          <cell r="H26">
            <v>15.5</v>
          </cell>
          <cell r="I26" t="str">
            <v>R</v>
          </cell>
          <cell r="J26" t="str">
            <v>KASUNGU</v>
          </cell>
          <cell r="K26">
            <v>5</v>
          </cell>
          <cell r="L26">
            <v>0</v>
          </cell>
        </row>
        <row r="27">
          <cell r="A27" t="str">
            <v>RS 527</v>
          </cell>
          <cell r="B27">
            <v>349</v>
          </cell>
          <cell r="C27" t="str">
            <v>C</v>
          </cell>
          <cell r="D27" t="str">
            <v>F</v>
          </cell>
          <cell r="E27" t="str">
            <v>Dwangwa River - Mkanakhoti</v>
          </cell>
          <cell r="F27" t="str">
            <v>T325</v>
          </cell>
          <cell r="G27">
            <v>3</v>
          </cell>
          <cell r="H27">
            <v>16.2</v>
          </cell>
          <cell r="I27" t="str">
            <v>R</v>
          </cell>
          <cell r="J27" t="str">
            <v>KASUNGU</v>
          </cell>
          <cell r="K27">
            <v>5</v>
          </cell>
          <cell r="L27" t="str">
            <v>New section part of origional RS 181</v>
          </cell>
        </row>
        <row r="28">
          <cell r="A28" t="str">
            <v>RS 464</v>
          </cell>
          <cell r="B28">
            <v>286</v>
          </cell>
          <cell r="C28" t="str">
            <v>N</v>
          </cell>
          <cell r="D28" t="str">
            <v>F</v>
          </cell>
          <cell r="E28" t="str">
            <v>Chimaliro Forest-Mabulabo-Chiwandauka -Chombe</v>
          </cell>
          <cell r="F28" t="str">
            <v>T326</v>
          </cell>
          <cell r="G28">
            <v>1</v>
          </cell>
          <cell r="H28">
            <v>41</v>
          </cell>
          <cell r="I28" t="str">
            <v>R</v>
          </cell>
          <cell r="J28" t="str">
            <v>MZIMBA</v>
          </cell>
          <cell r="K28" t="str">
            <v>4,5</v>
          </cell>
          <cell r="L28">
            <v>0</v>
          </cell>
        </row>
        <row r="29">
          <cell r="A29" t="str">
            <v>RS 529</v>
          </cell>
          <cell r="B29">
            <v>351</v>
          </cell>
          <cell r="C29" t="str">
            <v>C</v>
          </cell>
          <cell r="D29" t="str">
            <v>F</v>
          </cell>
          <cell r="E29" t="str">
            <v>Kalula - Mabulabo</v>
          </cell>
          <cell r="F29" t="str">
            <v>T327</v>
          </cell>
          <cell r="G29">
            <v>1</v>
          </cell>
          <cell r="H29">
            <v>12.5</v>
          </cell>
          <cell r="I29" t="str">
            <v>R</v>
          </cell>
          <cell r="J29" t="str">
            <v>KASUNGU/MZIMBA</v>
          </cell>
          <cell r="K29">
            <v>4</v>
          </cell>
          <cell r="L29">
            <v>0</v>
          </cell>
        </row>
        <row r="30">
          <cell r="A30" t="str">
            <v>RS 534</v>
          </cell>
          <cell r="B30">
            <v>356</v>
          </cell>
          <cell r="C30" t="str">
            <v>C</v>
          </cell>
          <cell r="D30" t="str">
            <v>F</v>
          </cell>
          <cell r="E30" t="str">
            <v>Simlemba - Dwangwa River</v>
          </cell>
          <cell r="F30" t="str">
            <v>T328</v>
          </cell>
          <cell r="G30">
            <v>1</v>
          </cell>
          <cell r="H30">
            <v>7</v>
          </cell>
          <cell r="I30" t="str">
            <v>R</v>
          </cell>
          <cell r="J30" t="str">
            <v>KASUNGU</v>
          </cell>
          <cell r="K30">
            <v>5</v>
          </cell>
          <cell r="L30">
            <v>0</v>
          </cell>
        </row>
        <row r="31">
          <cell r="A31" t="str">
            <v>RS 531</v>
          </cell>
          <cell r="B31">
            <v>353</v>
          </cell>
          <cell r="C31" t="str">
            <v>C</v>
          </cell>
          <cell r="D31" t="str">
            <v>F</v>
          </cell>
          <cell r="E31" t="str">
            <v>Dwangwa River - Mwimwila</v>
          </cell>
          <cell r="F31" t="str">
            <v>T328</v>
          </cell>
          <cell r="G31">
            <v>2</v>
          </cell>
          <cell r="H31">
            <v>11</v>
          </cell>
          <cell r="I31" t="str">
            <v>R</v>
          </cell>
          <cell r="J31" t="str">
            <v>KASUNGU</v>
          </cell>
          <cell r="K31">
            <v>5</v>
          </cell>
          <cell r="L31">
            <v>0</v>
          </cell>
        </row>
        <row r="32">
          <cell r="A32" t="str">
            <v>RS 532</v>
          </cell>
          <cell r="B32">
            <v>354</v>
          </cell>
          <cell r="C32" t="str">
            <v>C</v>
          </cell>
          <cell r="D32" t="str">
            <v>F</v>
          </cell>
          <cell r="E32" t="str">
            <v>Mwimwila - Kapwaye</v>
          </cell>
          <cell r="F32" t="str">
            <v>T328</v>
          </cell>
          <cell r="G32">
            <v>3</v>
          </cell>
          <cell r="H32">
            <v>9.6999999999999993</v>
          </cell>
          <cell r="I32" t="str">
            <v>F</v>
          </cell>
          <cell r="J32" t="str">
            <v>KASUNGU</v>
          </cell>
          <cell r="K32">
            <v>5</v>
          </cell>
          <cell r="L32" t="str">
            <v>Changed designation from M5 to M18</v>
          </cell>
        </row>
        <row r="33">
          <cell r="A33" t="str">
            <v>RS 530</v>
          </cell>
          <cell r="B33">
            <v>352</v>
          </cell>
          <cell r="C33" t="str">
            <v>C</v>
          </cell>
          <cell r="D33" t="str">
            <v>F</v>
          </cell>
          <cell r="E33" t="str">
            <v>Kapwaye - Mphepo</v>
          </cell>
          <cell r="F33" t="str">
            <v>T328</v>
          </cell>
          <cell r="G33">
            <v>4</v>
          </cell>
          <cell r="H33">
            <v>21.7</v>
          </cell>
          <cell r="I33" t="str">
            <v>F</v>
          </cell>
          <cell r="J33" t="str">
            <v>KASUNGU</v>
          </cell>
          <cell r="K33">
            <v>5</v>
          </cell>
          <cell r="L33">
            <v>0</v>
          </cell>
        </row>
        <row r="34">
          <cell r="A34" t="str">
            <v>RS 533</v>
          </cell>
          <cell r="B34">
            <v>355</v>
          </cell>
          <cell r="C34" t="str">
            <v>C</v>
          </cell>
          <cell r="D34" t="str">
            <v>F</v>
          </cell>
          <cell r="E34" t="str">
            <v>Mphepo - Chasato</v>
          </cell>
          <cell r="F34" t="str">
            <v>T328</v>
          </cell>
          <cell r="G34">
            <v>5</v>
          </cell>
          <cell r="H34">
            <v>8.3000000000000007</v>
          </cell>
          <cell r="I34" t="str">
            <v>F</v>
          </cell>
          <cell r="J34" t="str">
            <v>KASUNGU</v>
          </cell>
          <cell r="K34">
            <v>5</v>
          </cell>
          <cell r="L34">
            <v>0</v>
          </cell>
        </row>
        <row r="35">
          <cell r="A35" t="str">
            <v>RS 466</v>
          </cell>
          <cell r="B35">
            <v>288</v>
          </cell>
          <cell r="C35" t="str">
            <v>N</v>
          </cell>
          <cell r="D35" t="str">
            <v>F</v>
          </cell>
          <cell r="E35" t="str">
            <v>Nthalire - Zambia border</v>
          </cell>
          <cell r="F35" t="str">
            <v>T331</v>
          </cell>
          <cell r="G35">
            <v>1</v>
          </cell>
          <cell r="H35">
            <v>10</v>
          </cell>
          <cell r="I35" t="str">
            <v>R</v>
          </cell>
          <cell r="J35" t="str">
            <v>CHITIPA</v>
          </cell>
          <cell r="K35">
            <v>2</v>
          </cell>
          <cell r="L35">
            <v>0</v>
          </cell>
        </row>
        <row r="36">
          <cell r="A36" t="str">
            <v>RS 535</v>
          </cell>
          <cell r="B36">
            <v>357</v>
          </cell>
          <cell r="C36" t="str">
            <v>C</v>
          </cell>
          <cell r="D36" t="str">
            <v>F</v>
          </cell>
          <cell r="E36" t="str">
            <v>Mkanda - General Farming Estate 68</v>
          </cell>
          <cell r="F36" t="str">
            <v>T333</v>
          </cell>
          <cell r="G36">
            <v>1</v>
          </cell>
          <cell r="H36">
            <v>16.5</v>
          </cell>
          <cell r="I36" t="str">
            <v>F</v>
          </cell>
          <cell r="J36" t="str">
            <v>MCHINJI</v>
          </cell>
          <cell r="K36">
            <v>5</v>
          </cell>
          <cell r="L36" t="str">
            <v>New section part of RS 225</v>
          </cell>
        </row>
        <row r="37">
          <cell r="A37" t="str">
            <v>RS 536</v>
          </cell>
          <cell r="B37">
            <v>358</v>
          </cell>
          <cell r="C37" t="str">
            <v>C</v>
          </cell>
          <cell r="D37" t="str">
            <v>F</v>
          </cell>
          <cell r="E37" t="str">
            <v>General Farming Estate 68 - Kapezi</v>
          </cell>
          <cell r="F37" t="str">
            <v>T333</v>
          </cell>
          <cell r="G37">
            <v>2</v>
          </cell>
          <cell r="H37">
            <v>20.399999999999999</v>
          </cell>
          <cell r="I37" t="str">
            <v>R</v>
          </cell>
          <cell r="J37" t="str">
            <v>MCHINJI</v>
          </cell>
          <cell r="K37">
            <v>6</v>
          </cell>
          <cell r="L37" t="str">
            <v>Changed designation from S120 to M18. Now by-passed.</v>
          </cell>
        </row>
        <row r="38">
          <cell r="A38" t="str">
            <v>RS 537</v>
          </cell>
          <cell r="B38">
            <v>259</v>
          </cell>
          <cell r="C38" t="str">
            <v>C</v>
          </cell>
          <cell r="D38" t="str">
            <v>F</v>
          </cell>
          <cell r="E38" t="str">
            <v>Chilanga - Kalolo</v>
          </cell>
          <cell r="F38" t="str">
            <v>T335</v>
          </cell>
          <cell r="G38">
            <v>1</v>
          </cell>
          <cell r="H38">
            <v>8.1999999999999993</v>
          </cell>
          <cell r="I38" t="str">
            <v>F</v>
          </cell>
          <cell r="J38" t="str">
            <v>KASUNGU</v>
          </cell>
          <cell r="K38">
            <v>5</v>
          </cell>
          <cell r="L38" t="str">
            <v>Changed to trunk</v>
          </cell>
        </row>
        <row r="39">
          <cell r="A39" t="str">
            <v>RS 538</v>
          </cell>
          <cell r="B39">
            <v>360</v>
          </cell>
          <cell r="C39" t="str">
            <v>C</v>
          </cell>
          <cell r="D39" t="str">
            <v>F</v>
          </cell>
          <cell r="E39" t="str">
            <v>Plaka Estate - Kapiri</v>
          </cell>
          <cell r="F39" t="str">
            <v>T336</v>
          </cell>
          <cell r="G39">
            <v>1</v>
          </cell>
          <cell r="H39">
            <v>28.2</v>
          </cell>
          <cell r="I39" t="str">
            <v>F</v>
          </cell>
          <cell r="J39" t="str">
            <v>MCHINJI</v>
          </cell>
          <cell r="K39">
            <v>5</v>
          </cell>
          <cell r="L39" t="str">
            <v>Contains road designated T322 (on 1:250,000 series map)</v>
          </cell>
        </row>
        <row r="40">
          <cell r="A40" t="str">
            <v>RS 539</v>
          </cell>
          <cell r="B40">
            <v>361</v>
          </cell>
          <cell r="C40" t="str">
            <v>C</v>
          </cell>
          <cell r="D40" t="str">
            <v>F</v>
          </cell>
          <cell r="E40" t="str">
            <v>Malipela - Misozi</v>
          </cell>
          <cell r="F40" t="str">
            <v>T337</v>
          </cell>
          <cell r="G40">
            <v>1</v>
          </cell>
          <cell r="H40">
            <v>9.1</v>
          </cell>
          <cell r="I40" t="str">
            <v>F</v>
          </cell>
          <cell r="J40" t="str">
            <v>KASUNGU</v>
          </cell>
          <cell r="K40">
            <v>5</v>
          </cell>
          <cell r="L40">
            <v>0</v>
          </cell>
        </row>
        <row r="41">
          <cell r="A41" t="str">
            <v>RS 659</v>
          </cell>
          <cell r="B41">
            <v>481</v>
          </cell>
          <cell r="C41" t="str">
            <v>C</v>
          </cell>
          <cell r="D41" t="str">
            <v>F</v>
          </cell>
          <cell r="E41" t="str">
            <v>Misozi - Kasela</v>
          </cell>
          <cell r="F41" t="str">
            <v>T337</v>
          </cell>
          <cell r="G41">
            <v>2</v>
          </cell>
          <cell r="H41">
            <v>14.9</v>
          </cell>
          <cell r="I41" t="str">
            <v>F</v>
          </cell>
          <cell r="J41" t="str">
            <v>KASUNGU</v>
          </cell>
          <cell r="K41">
            <v>5</v>
          </cell>
          <cell r="L41" t="str">
            <v>Changed designation from D194 to T337</v>
          </cell>
        </row>
        <row r="42">
          <cell r="A42" t="str">
            <v>RS 541</v>
          </cell>
          <cell r="B42">
            <v>363</v>
          </cell>
          <cell r="C42" t="str">
            <v>C</v>
          </cell>
          <cell r="D42" t="str">
            <v>F</v>
          </cell>
          <cell r="E42" t="str">
            <v>Mponela - Chososo</v>
          </cell>
          <cell r="F42" t="str">
            <v>T339</v>
          </cell>
          <cell r="G42">
            <v>1</v>
          </cell>
          <cell r="H42">
            <v>26.8</v>
          </cell>
          <cell r="I42" t="str">
            <v>F</v>
          </cell>
          <cell r="J42" t="str">
            <v>NTCHISI</v>
          </cell>
          <cell r="K42">
            <v>5</v>
          </cell>
          <cell r="L42">
            <v>0</v>
          </cell>
        </row>
        <row r="43">
          <cell r="A43" t="str">
            <v>RS 540</v>
          </cell>
          <cell r="B43">
            <v>362</v>
          </cell>
          <cell r="C43" t="str">
            <v>C</v>
          </cell>
          <cell r="D43" t="str">
            <v>F</v>
          </cell>
          <cell r="E43" t="str">
            <v>Guma - Bua River</v>
          </cell>
          <cell r="F43" t="str">
            <v>T339</v>
          </cell>
          <cell r="G43">
            <v>2</v>
          </cell>
          <cell r="H43">
            <v>15</v>
          </cell>
          <cell r="I43" t="str">
            <v>F</v>
          </cell>
          <cell r="J43" t="str">
            <v>NTCHISI</v>
          </cell>
          <cell r="K43">
            <v>5</v>
          </cell>
          <cell r="L43">
            <v>0</v>
          </cell>
        </row>
        <row r="44">
          <cell r="A44" t="str">
            <v>RS 542</v>
          </cell>
          <cell r="B44">
            <v>364</v>
          </cell>
          <cell r="C44" t="str">
            <v>C</v>
          </cell>
          <cell r="D44" t="str">
            <v>F</v>
          </cell>
          <cell r="E44" t="str">
            <v>Bua River - Chambwe</v>
          </cell>
          <cell r="F44" t="str">
            <v>T339</v>
          </cell>
          <cell r="G44">
            <v>3</v>
          </cell>
          <cell r="H44">
            <v>1.6</v>
          </cell>
          <cell r="I44" t="str">
            <v>F</v>
          </cell>
          <cell r="J44" t="str">
            <v>KASUNGU</v>
          </cell>
          <cell r="K44">
            <v>5</v>
          </cell>
          <cell r="L44">
            <v>0</v>
          </cell>
        </row>
        <row r="45">
          <cell r="A45" t="str">
            <v>RS 545</v>
          </cell>
          <cell r="B45">
            <v>367</v>
          </cell>
          <cell r="C45" t="str">
            <v>C</v>
          </cell>
          <cell r="D45" t="str">
            <v>F</v>
          </cell>
          <cell r="E45" t="str">
            <v>junction M7 - Ngombe</v>
          </cell>
          <cell r="F45" t="str">
            <v>T340</v>
          </cell>
          <cell r="G45">
            <v>1</v>
          </cell>
          <cell r="H45">
            <v>11.1</v>
          </cell>
          <cell r="I45" t="str">
            <v>F</v>
          </cell>
          <cell r="J45" t="str">
            <v>NTCHISI</v>
          </cell>
          <cell r="K45">
            <v>5</v>
          </cell>
          <cell r="L45">
            <v>0</v>
          </cell>
        </row>
        <row r="46">
          <cell r="A46" t="str">
            <v>RS 544</v>
          </cell>
          <cell r="B46">
            <v>366</v>
          </cell>
          <cell r="C46" t="str">
            <v>C</v>
          </cell>
          <cell r="D46" t="str">
            <v>F</v>
          </cell>
          <cell r="E46" t="str">
            <v>Ngombe - Kamsonga</v>
          </cell>
          <cell r="F46" t="str">
            <v>T340</v>
          </cell>
          <cell r="G46">
            <v>2</v>
          </cell>
          <cell r="H46">
            <v>9.8000000000000007</v>
          </cell>
          <cell r="I46" t="str">
            <v>F</v>
          </cell>
          <cell r="J46" t="str">
            <v>NTCHISI</v>
          </cell>
          <cell r="K46">
            <v>5</v>
          </cell>
          <cell r="L46">
            <v>0</v>
          </cell>
        </row>
        <row r="47">
          <cell r="A47" t="str">
            <v>RS 546</v>
          </cell>
          <cell r="B47">
            <v>368</v>
          </cell>
          <cell r="C47" t="str">
            <v>C</v>
          </cell>
          <cell r="D47" t="str">
            <v>F</v>
          </cell>
          <cell r="E47" t="str">
            <v>Kamsonga - Chungu (junction M18)</v>
          </cell>
          <cell r="F47" t="str">
            <v>T340</v>
          </cell>
          <cell r="G47">
            <v>3</v>
          </cell>
          <cell r="H47">
            <v>17.899999999999999</v>
          </cell>
          <cell r="I47" t="str">
            <v>F</v>
          </cell>
          <cell r="J47" t="str">
            <v>NTCHISI</v>
          </cell>
          <cell r="K47">
            <v>5</v>
          </cell>
          <cell r="L47" t="str">
            <v>Changed designation from S100 to S101</v>
          </cell>
        </row>
        <row r="48">
          <cell r="A48" t="str">
            <v>RS 553</v>
          </cell>
          <cell r="B48">
            <v>375</v>
          </cell>
          <cell r="C48" t="str">
            <v>C</v>
          </cell>
          <cell r="D48" t="str">
            <v>F</v>
          </cell>
          <cell r="E48" t="str">
            <v>Malenga (junction M18) - Mpamantha</v>
          </cell>
          <cell r="F48" t="str">
            <v>T341</v>
          </cell>
          <cell r="G48">
            <v>1</v>
          </cell>
          <cell r="H48">
            <v>15.9</v>
          </cell>
          <cell r="I48" t="str">
            <v>F</v>
          </cell>
          <cell r="J48" t="str">
            <v>NKHOTA KOTA</v>
          </cell>
          <cell r="K48">
            <v>5</v>
          </cell>
          <cell r="L48">
            <v>0</v>
          </cell>
        </row>
        <row r="49">
          <cell r="A49" t="str">
            <v>RS 548</v>
          </cell>
          <cell r="B49">
            <v>370</v>
          </cell>
          <cell r="C49" t="str">
            <v>C</v>
          </cell>
          <cell r="D49" t="str">
            <v>F</v>
          </cell>
          <cell r="E49" t="str">
            <v>Mpamantha - Luwi River</v>
          </cell>
          <cell r="F49" t="str">
            <v>T341</v>
          </cell>
          <cell r="G49">
            <v>2</v>
          </cell>
          <cell r="H49">
            <v>5.8</v>
          </cell>
          <cell r="I49" t="str">
            <v>F</v>
          </cell>
          <cell r="J49" t="str">
            <v>NKHOTA KOTA</v>
          </cell>
          <cell r="K49">
            <v>5</v>
          </cell>
          <cell r="L49">
            <v>0</v>
          </cell>
        </row>
        <row r="50">
          <cell r="A50" t="str">
            <v>RS 555</v>
          </cell>
          <cell r="B50">
            <v>377</v>
          </cell>
          <cell r="C50" t="str">
            <v>C</v>
          </cell>
          <cell r="D50" t="str">
            <v>F</v>
          </cell>
          <cell r="E50" t="str">
            <v>Luwi River - Chalunda</v>
          </cell>
          <cell r="F50" t="str">
            <v>T341</v>
          </cell>
          <cell r="G50">
            <v>3</v>
          </cell>
          <cell r="H50">
            <v>8</v>
          </cell>
          <cell r="I50" t="str">
            <v>F</v>
          </cell>
          <cell r="J50" t="str">
            <v>NKHOTA KOTA</v>
          </cell>
          <cell r="K50">
            <v>5</v>
          </cell>
          <cell r="L50">
            <v>0</v>
          </cell>
        </row>
        <row r="51">
          <cell r="A51" t="str">
            <v>RS 554</v>
          </cell>
          <cell r="B51">
            <v>376</v>
          </cell>
          <cell r="C51" t="str">
            <v>C</v>
          </cell>
          <cell r="D51" t="str">
            <v>F</v>
          </cell>
          <cell r="E51" t="str">
            <v>Chalunda - Gomadzi</v>
          </cell>
          <cell r="F51" t="str">
            <v>T341</v>
          </cell>
          <cell r="G51">
            <v>4</v>
          </cell>
          <cell r="H51">
            <v>5.4</v>
          </cell>
          <cell r="I51" t="str">
            <v>F</v>
          </cell>
          <cell r="J51" t="str">
            <v>NKHOTA KOTA</v>
          </cell>
          <cell r="K51">
            <v>5</v>
          </cell>
          <cell r="L51">
            <v>0</v>
          </cell>
        </row>
        <row r="52">
          <cell r="A52" t="str">
            <v>RS 549</v>
          </cell>
          <cell r="B52">
            <v>371</v>
          </cell>
          <cell r="C52" t="str">
            <v>C</v>
          </cell>
          <cell r="D52" t="str">
            <v>F</v>
          </cell>
          <cell r="E52" t="str">
            <v>Gomadzi - Kayoyo</v>
          </cell>
          <cell r="F52" t="str">
            <v>T341</v>
          </cell>
          <cell r="G52">
            <v>5</v>
          </cell>
          <cell r="H52">
            <v>8.6999999999999993</v>
          </cell>
          <cell r="I52" t="str">
            <v>F</v>
          </cell>
          <cell r="J52" t="str">
            <v>NKHOTA KOTA</v>
          </cell>
          <cell r="K52">
            <v>5</v>
          </cell>
          <cell r="L52">
            <v>0</v>
          </cell>
        </row>
        <row r="53">
          <cell r="A53" t="str">
            <v>RS 551</v>
          </cell>
          <cell r="B53">
            <v>373</v>
          </cell>
          <cell r="C53" t="str">
            <v>C</v>
          </cell>
          <cell r="D53" t="str">
            <v>F</v>
          </cell>
          <cell r="E53" t="str">
            <v>Kayoyo - Mwasambo</v>
          </cell>
          <cell r="F53" t="str">
            <v>T341</v>
          </cell>
          <cell r="G53">
            <v>6</v>
          </cell>
          <cell r="H53">
            <v>15.4</v>
          </cell>
          <cell r="I53" t="str">
            <v>F</v>
          </cell>
          <cell r="J53" t="str">
            <v>NKHOTA KOTA</v>
          </cell>
          <cell r="K53">
            <v>5</v>
          </cell>
          <cell r="L53">
            <v>0</v>
          </cell>
        </row>
        <row r="54">
          <cell r="A54" t="str">
            <v>RS 547</v>
          </cell>
          <cell r="B54">
            <v>369</v>
          </cell>
          <cell r="C54" t="str">
            <v>C</v>
          </cell>
          <cell r="D54" t="str">
            <v>F</v>
          </cell>
          <cell r="E54" t="str">
            <v>Mwasambo - Kasakula</v>
          </cell>
          <cell r="F54" t="str">
            <v>T341</v>
          </cell>
          <cell r="G54">
            <v>7</v>
          </cell>
          <cell r="H54">
            <v>5.0999999999999996</v>
          </cell>
          <cell r="I54" t="str">
            <v>F</v>
          </cell>
          <cell r="J54" t="str">
            <v>NKHOTA KOTA</v>
          </cell>
          <cell r="K54">
            <v>5</v>
          </cell>
          <cell r="L54">
            <v>0</v>
          </cell>
        </row>
        <row r="55">
          <cell r="A55" t="str">
            <v>RS 552</v>
          </cell>
          <cell r="B55">
            <v>374</v>
          </cell>
          <cell r="C55" t="str">
            <v>C</v>
          </cell>
          <cell r="D55" t="str">
            <v>F</v>
          </cell>
          <cell r="E55" t="str">
            <v>Kasakula - Chithembwe Village</v>
          </cell>
          <cell r="F55" t="str">
            <v>T341</v>
          </cell>
          <cell r="G55">
            <v>8</v>
          </cell>
          <cell r="H55">
            <v>12.2</v>
          </cell>
          <cell r="I55" t="str">
            <v>H</v>
          </cell>
          <cell r="J55" t="str">
            <v>NICHISI</v>
          </cell>
          <cell r="K55">
            <v>5</v>
          </cell>
          <cell r="L55">
            <v>0</v>
          </cell>
        </row>
        <row r="56">
          <cell r="A56" t="str">
            <v>RS 550</v>
          </cell>
          <cell r="B56">
            <v>372</v>
          </cell>
          <cell r="C56" t="str">
            <v>C</v>
          </cell>
          <cell r="D56" t="str">
            <v>F</v>
          </cell>
          <cell r="E56" t="str">
            <v>Chithembwe Village - Mbonekela (junction M7)</v>
          </cell>
          <cell r="F56" t="str">
            <v>T341</v>
          </cell>
          <cell r="G56">
            <v>9</v>
          </cell>
          <cell r="H56">
            <v>17.8</v>
          </cell>
          <cell r="I56" t="str">
            <v>H</v>
          </cell>
          <cell r="J56" t="str">
            <v>NTCHISI</v>
          </cell>
          <cell r="K56">
            <v>5</v>
          </cell>
          <cell r="L56">
            <v>0</v>
          </cell>
        </row>
        <row r="57">
          <cell r="A57" t="str">
            <v>RS 556</v>
          </cell>
          <cell r="B57">
            <v>378</v>
          </cell>
          <cell r="C57" t="str">
            <v>C</v>
          </cell>
          <cell r="D57" t="str">
            <v>F</v>
          </cell>
          <cell r="E57" t="str">
            <v>Kamwendo - Chiwoshya</v>
          </cell>
          <cell r="F57" t="str">
            <v>T342</v>
          </cell>
          <cell r="G57">
            <v>1</v>
          </cell>
          <cell r="H57">
            <v>17.5</v>
          </cell>
          <cell r="I57" t="str">
            <v>F</v>
          </cell>
          <cell r="J57" t="str">
            <v>MCHINJI</v>
          </cell>
          <cell r="K57">
            <v>6</v>
          </cell>
          <cell r="L57">
            <v>0</v>
          </cell>
        </row>
        <row r="58">
          <cell r="A58" t="str">
            <v>RS 557</v>
          </cell>
          <cell r="B58">
            <v>379</v>
          </cell>
          <cell r="C58" t="str">
            <v>C</v>
          </cell>
          <cell r="D58" t="str">
            <v>F</v>
          </cell>
          <cell r="E58" t="str">
            <v>Chiwoshya - Bua River (Near Mphanga)</v>
          </cell>
          <cell r="F58" t="str">
            <v>T342</v>
          </cell>
          <cell r="G58">
            <v>2</v>
          </cell>
          <cell r="H58">
            <v>8.9</v>
          </cell>
          <cell r="I58" t="str">
            <v>F</v>
          </cell>
          <cell r="J58" t="str">
            <v>MCHINJI</v>
          </cell>
          <cell r="K58">
            <v>6</v>
          </cell>
          <cell r="L58">
            <v>0</v>
          </cell>
        </row>
        <row r="59">
          <cell r="A59" t="str">
            <v>RS 558</v>
          </cell>
          <cell r="B59">
            <v>380</v>
          </cell>
          <cell r="C59" t="str">
            <v>C</v>
          </cell>
          <cell r="D59" t="str">
            <v>F</v>
          </cell>
          <cell r="E59" t="str">
            <v>Kasiya - Tonde</v>
          </cell>
          <cell r="F59" t="str">
            <v>T342</v>
          </cell>
          <cell r="G59">
            <v>3</v>
          </cell>
          <cell r="H59">
            <v>11</v>
          </cell>
          <cell r="I59" t="str">
            <v>F</v>
          </cell>
          <cell r="J59" t="str">
            <v>LILONGWE</v>
          </cell>
          <cell r="K59">
            <v>6</v>
          </cell>
          <cell r="L59">
            <v>0</v>
          </cell>
        </row>
        <row r="60">
          <cell r="A60" t="str">
            <v>RS 560</v>
          </cell>
          <cell r="B60">
            <v>382</v>
          </cell>
          <cell r="C60" t="str">
            <v>C</v>
          </cell>
          <cell r="D60" t="str">
            <v>F</v>
          </cell>
          <cell r="E60" t="str">
            <v>Mung'ona - Chiwoshya</v>
          </cell>
          <cell r="F60" t="str">
            <v>T343</v>
          </cell>
          <cell r="G60">
            <v>1</v>
          </cell>
          <cell r="H60">
            <v>18</v>
          </cell>
          <cell r="I60" t="str">
            <v>F</v>
          </cell>
          <cell r="J60" t="str">
            <v>MCHINJI</v>
          </cell>
          <cell r="K60">
            <v>6</v>
          </cell>
          <cell r="L60">
            <v>0</v>
          </cell>
        </row>
        <row r="61">
          <cell r="A61" t="str">
            <v>RS 559</v>
          </cell>
          <cell r="B61">
            <v>381</v>
          </cell>
          <cell r="C61" t="str">
            <v>C</v>
          </cell>
          <cell r="D61" t="str">
            <v>F</v>
          </cell>
          <cell r="E61" t="str">
            <v>Chiwoshya - Mavwere</v>
          </cell>
          <cell r="F61" t="str">
            <v>T343</v>
          </cell>
          <cell r="G61">
            <v>2</v>
          </cell>
          <cell r="H61">
            <v>15</v>
          </cell>
          <cell r="I61" t="str">
            <v>F</v>
          </cell>
          <cell r="J61" t="str">
            <v>MCHINJI</v>
          </cell>
          <cell r="K61">
            <v>6</v>
          </cell>
          <cell r="L61">
            <v>0</v>
          </cell>
        </row>
        <row r="62">
          <cell r="A62" t="str">
            <v>RS 561</v>
          </cell>
          <cell r="B62">
            <v>383</v>
          </cell>
          <cell r="C62" t="str">
            <v>C</v>
          </cell>
          <cell r="D62" t="str">
            <v>F</v>
          </cell>
          <cell r="E62" t="str">
            <v>Mavwere - Msitu</v>
          </cell>
          <cell r="F62" t="str">
            <v>T343</v>
          </cell>
          <cell r="G62">
            <v>3</v>
          </cell>
          <cell r="H62">
            <v>8.3000000000000007</v>
          </cell>
          <cell r="I62" t="str">
            <v>F</v>
          </cell>
          <cell r="J62" t="str">
            <v>MCHINJI</v>
          </cell>
          <cell r="K62">
            <v>6</v>
          </cell>
          <cell r="L62">
            <v>0</v>
          </cell>
        </row>
        <row r="63">
          <cell r="A63" t="str">
            <v>RS 562</v>
          </cell>
          <cell r="B63">
            <v>384</v>
          </cell>
          <cell r="C63" t="str">
            <v>C</v>
          </cell>
          <cell r="D63" t="str">
            <v>F</v>
          </cell>
          <cell r="E63" t="str">
            <v>Majiga - Daminga - junction D187</v>
          </cell>
          <cell r="F63" t="str">
            <v>T344</v>
          </cell>
          <cell r="G63">
            <v>1</v>
          </cell>
          <cell r="H63">
            <v>26</v>
          </cell>
          <cell r="I63" t="str">
            <v>F</v>
          </cell>
          <cell r="J63" t="str">
            <v>LILONGWE</v>
          </cell>
          <cell r="K63">
            <v>6</v>
          </cell>
          <cell r="L63" t="str">
            <v>Changed designation from M16 to S115</v>
          </cell>
        </row>
        <row r="64">
          <cell r="A64" t="str">
            <v>RS 563</v>
          </cell>
          <cell r="B64">
            <v>385</v>
          </cell>
          <cell r="C64" t="str">
            <v>C</v>
          </cell>
          <cell r="D64" t="str">
            <v>F</v>
          </cell>
          <cell r="E64" t="str">
            <v>Chileka (junction M12) - Mingondo T. C.</v>
          </cell>
          <cell r="F64" t="str">
            <v>T345</v>
          </cell>
          <cell r="G64">
            <v>1</v>
          </cell>
          <cell r="H64">
            <v>10.199999999999999</v>
          </cell>
          <cell r="I64" t="str">
            <v>F</v>
          </cell>
          <cell r="J64" t="str">
            <v>LILONGWE</v>
          </cell>
          <cell r="K64">
            <v>6</v>
          </cell>
          <cell r="L64">
            <v>0</v>
          </cell>
        </row>
        <row r="65">
          <cell r="A65" t="str">
            <v>RS 567</v>
          </cell>
          <cell r="B65">
            <v>389</v>
          </cell>
          <cell r="C65" t="str">
            <v>C</v>
          </cell>
          <cell r="D65" t="str">
            <v>F</v>
          </cell>
          <cell r="E65" t="str">
            <v>Mingondo T. C. - Likuni River</v>
          </cell>
          <cell r="F65" t="str">
            <v>T345</v>
          </cell>
          <cell r="G65">
            <v>2</v>
          </cell>
          <cell r="H65">
            <v>7.9</v>
          </cell>
          <cell r="I65" t="str">
            <v>F</v>
          </cell>
          <cell r="J65" t="str">
            <v>LILONGWE</v>
          </cell>
          <cell r="K65">
            <v>6</v>
          </cell>
          <cell r="L65">
            <v>0</v>
          </cell>
        </row>
        <row r="66">
          <cell r="A66" t="str">
            <v>RS 565</v>
          </cell>
          <cell r="B66">
            <v>387</v>
          </cell>
          <cell r="C66" t="str">
            <v>C</v>
          </cell>
          <cell r="D66" t="str">
            <v>F</v>
          </cell>
          <cell r="E66" t="str">
            <v>Likuni River - Njoka</v>
          </cell>
          <cell r="F66" t="str">
            <v>T345</v>
          </cell>
          <cell r="G66">
            <v>3</v>
          </cell>
          <cell r="H66">
            <v>8.4</v>
          </cell>
          <cell r="I66" t="str">
            <v>F</v>
          </cell>
          <cell r="J66" t="str">
            <v>LILONGWE</v>
          </cell>
          <cell r="K66">
            <v>6</v>
          </cell>
          <cell r="L66">
            <v>0</v>
          </cell>
        </row>
        <row r="67">
          <cell r="A67" t="str">
            <v>RS 566</v>
          </cell>
          <cell r="B67">
            <v>388</v>
          </cell>
          <cell r="C67" t="str">
            <v>C</v>
          </cell>
          <cell r="D67" t="str">
            <v>F</v>
          </cell>
          <cell r="E67" t="str">
            <v>Njoka - Malingunde (junction S124)</v>
          </cell>
          <cell r="F67" t="str">
            <v>T345</v>
          </cell>
          <cell r="G67">
            <v>4</v>
          </cell>
          <cell r="H67">
            <v>9.6999999999999993</v>
          </cell>
          <cell r="I67" t="str">
            <v>F</v>
          </cell>
          <cell r="J67" t="str">
            <v>LILONGWE</v>
          </cell>
          <cell r="K67">
            <v>6</v>
          </cell>
          <cell r="L67">
            <v>0</v>
          </cell>
        </row>
        <row r="68">
          <cell r="A68" t="str">
            <v>RS 569</v>
          </cell>
          <cell r="B68">
            <v>391</v>
          </cell>
          <cell r="C68" t="str">
            <v>C</v>
          </cell>
          <cell r="D68" t="str">
            <v>F</v>
          </cell>
          <cell r="E68" t="str">
            <v>Kayabwa - Badwa River</v>
          </cell>
          <cell r="F68" t="str">
            <v>T346</v>
          </cell>
          <cell r="G68">
            <v>1</v>
          </cell>
          <cell r="H68">
            <v>7.3</v>
          </cell>
          <cell r="I68" t="str">
            <v>F</v>
          </cell>
          <cell r="J68" t="str">
            <v>LILONGWE</v>
          </cell>
          <cell r="K68">
            <v>6</v>
          </cell>
          <cell r="L68">
            <v>0</v>
          </cell>
        </row>
        <row r="69">
          <cell r="A69" t="str">
            <v>RS 568</v>
          </cell>
          <cell r="B69">
            <v>390</v>
          </cell>
          <cell r="C69" t="str">
            <v>C</v>
          </cell>
          <cell r="D69" t="str">
            <v>F</v>
          </cell>
          <cell r="E69" t="str">
            <v>Badwa River - Mika</v>
          </cell>
          <cell r="F69" t="str">
            <v>T346</v>
          </cell>
          <cell r="G69">
            <v>2</v>
          </cell>
          <cell r="H69">
            <v>7.3</v>
          </cell>
          <cell r="I69" t="str">
            <v>F</v>
          </cell>
          <cell r="J69" t="str">
            <v>LILONGWE</v>
          </cell>
          <cell r="K69">
            <v>6</v>
          </cell>
          <cell r="L69">
            <v>0</v>
          </cell>
        </row>
        <row r="70">
          <cell r="A70" t="str">
            <v>RS 570</v>
          </cell>
          <cell r="B70">
            <v>382</v>
          </cell>
          <cell r="C70" t="str">
            <v>C</v>
          </cell>
          <cell r="D70" t="str">
            <v>F</v>
          </cell>
          <cell r="E70" t="str">
            <v xml:space="preserve">Mika - Kalonga </v>
          </cell>
          <cell r="F70" t="str">
            <v>T346</v>
          </cell>
          <cell r="G70">
            <v>3</v>
          </cell>
          <cell r="H70">
            <v>2.8</v>
          </cell>
          <cell r="I70" t="str">
            <v>F</v>
          </cell>
          <cell r="J70" t="str">
            <v>LILONGWE</v>
          </cell>
          <cell r="K70">
            <v>6</v>
          </cell>
          <cell r="L70">
            <v>0</v>
          </cell>
        </row>
        <row r="71">
          <cell r="A71" t="str">
            <v>RS 571</v>
          </cell>
          <cell r="B71">
            <v>393</v>
          </cell>
          <cell r="C71" t="str">
            <v>C</v>
          </cell>
          <cell r="D71" t="str">
            <v>F</v>
          </cell>
          <cell r="E71" t="str">
            <v>Mutu - Mwalilakwacha</v>
          </cell>
          <cell r="F71" t="str">
            <v>T347</v>
          </cell>
          <cell r="G71">
            <v>1</v>
          </cell>
          <cell r="H71">
            <v>26</v>
          </cell>
          <cell r="I71" t="str">
            <v>F</v>
          </cell>
          <cell r="J71" t="str">
            <v>LILONGWE</v>
          </cell>
          <cell r="K71">
            <v>6</v>
          </cell>
          <cell r="L71">
            <v>0</v>
          </cell>
        </row>
        <row r="72">
          <cell r="A72" t="str">
            <v>RS 572</v>
          </cell>
          <cell r="B72">
            <v>394</v>
          </cell>
          <cell r="C72" t="str">
            <v>C</v>
          </cell>
          <cell r="D72" t="str">
            <v>F</v>
          </cell>
          <cell r="E72" t="str">
            <v>Mponela - Mkulumimba</v>
          </cell>
          <cell r="F72" t="str">
            <v>T348</v>
          </cell>
          <cell r="G72">
            <v>1</v>
          </cell>
          <cell r="H72">
            <v>23.7</v>
          </cell>
          <cell r="I72" t="str">
            <v>F</v>
          </cell>
          <cell r="J72" t="str">
            <v>DOWA</v>
          </cell>
          <cell r="K72">
            <v>6</v>
          </cell>
          <cell r="L72">
            <v>0</v>
          </cell>
        </row>
        <row r="73">
          <cell r="A73" t="str">
            <v>RS 258</v>
          </cell>
          <cell r="B73">
            <v>80</v>
          </cell>
          <cell r="C73" t="str">
            <v>C</v>
          </cell>
          <cell r="D73" t="str">
            <v>F</v>
          </cell>
          <cell r="E73" t="str">
            <v>Kasuntha - Mkulumimba</v>
          </cell>
          <cell r="F73" t="str">
            <v>T349</v>
          </cell>
          <cell r="G73">
            <v>1</v>
          </cell>
          <cell r="H73">
            <v>11.6</v>
          </cell>
          <cell r="I73" t="str">
            <v>FL</v>
          </cell>
          <cell r="J73" t="str">
            <v>DOWA</v>
          </cell>
          <cell r="K73" t="str">
            <v>5,6</v>
          </cell>
          <cell r="L73" t="str">
            <v>Changed designation from S120 to T349</v>
          </cell>
        </row>
        <row r="74">
          <cell r="A74" t="str">
            <v>RS 573</v>
          </cell>
          <cell r="B74">
            <v>395</v>
          </cell>
          <cell r="C74" t="str">
            <v>C</v>
          </cell>
          <cell r="D74" t="str">
            <v>F</v>
          </cell>
          <cell r="E74" t="str">
            <v>Mponera - Ntchisi</v>
          </cell>
          <cell r="F74" t="str">
            <v>T350</v>
          </cell>
          <cell r="G74">
            <v>1</v>
          </cell>
          <cell r="H74">
            <v>40</v>
          </cell>
          <cell r="I74" t="str">
            <v>FL</v>
          </cell>
          <cell r="J74" t="str">
            <v>DOWA</v>
          </cell>
          <cell r="K74">
            <v>5</v>
          </cell>
          <cell r="L74">
            <v>0</v>
          </cell>
        </row>
        <row r="75">
          <cell r="A75" t="str">
            <v>RS 576</v>
          </cell>
          <cell r="B75">
            <v>398</v>
          </cell>
          <cell r="C75" t="str">
            <v>C</v>
          </cell>
          <cell r="D75" t="str">
            <v>F</v>
          </cell>
          <cell r="E75" t="str">
            <v>Mchinji Customs (junction M12) - Chikoka</v>
          </cell>
          <cell r="F75" t="str">
            <v>T351</v>
          </cell>
          <cell r="G75">
            <v>1</v>
          </cell>
          <cell r="H75">
            <v>9</v>
          </cell>
          <cell r="I75" t="str">
            <v>FL</v>
          </cell>
          <cell r="J75" t="str">
            <v>MCHINJI</v>
          </cell>
          <cell r="K75">
            <v>6</v>
          </cell>
          <cell r="L75">
            <v>0</v>
          </cell>
        </row>
        <row r="76">
          <cell r="A76" t="str">
            <v>RS 574</v>
          </cell>
          <cell r="B76">
            <v>396</v>
          </cell>
          <cell r="C76" t="str">
            <v>C</v>
          </cell>
          <cell r="D76" t="str">
            <v>F</v>
          </cell>
          <cell r="E76" t="str">
            <v>Chikoka - Likawe</v>
          </cell>
          <cell r="F76" t="str">
            <v>T351</v>
          </cell>
          <cell r="G76">
            <v>2</v>
          </cell>
          <cell r="H76">
            <v>6.5</v>
          </cell>
          <cell r="I76" t="str">
            <v>FL</v>
          </cell>
          <cell r="J76" t="str">
            <v>MCHINJI</v>
          </cell>
          <cell r="K76">
            <v>6</v>
          </cell>
          <cell r="L76">
            <v>0</v>
          </cell>
        </row>
        <row r="77">
          <cell r="A77" t="str">
            <v>RS 577</v>
          </cell>
          <cell r="B77">
            <v>399</v>
          </cell>
          <cell r="C77" t="str">
            <v>C</v>
          </cell>
          <cell r="D77" t="str">
            <v>F</v>
          </cell>
          <cell r="E77" t="str">
            <v>Likawe - Ulele</v>
          </cell>
          <cell r="F77" t="str">
            <v>T351</v>
          </cell>
          <cell r="G77">
            <v>3</v>
          </cell>
          <cell r="H77">
            <v>39.6</v>
          </cell>
          <cell r="I77" t="str">
            <v>FL</v>
          </cell>
          <cell r="J77" t="str">
            <v>MCHINJI</v>
          </cell>
          <cell r="K77">
            <v>6</v>
          </cell>
          <cell r="L77">
            <v>0</v>
          </cell>
        </row>
        <row r="78">
          <cell r="A78" t="str">
            <v>RS 575</v>
          </cell>
          <cell r="B78">
            <v>397</v>
          </cell>
          <cell r="C78" t="str">
            <v>C</v>
          </cell>
          <cell r="D78" t="str">
            <v>F</v>
          </cell>
          <cell r="E78" t="str">
            <v>Ulele - Kamwendo (junction M12)</v>
          </cell>
          <cell r="F78" t="str">
            <v>T351</v>
          </cell>
          <cell r="G78">
            <v>4</v>
          </cell>
          <cell r="H78">
            <v>14.8</v>
          </cell>
          <cell r="I78" t="str">
            <v>FL</v>
          </cell>
          <cell r="J78" t="str">
            <v>MCHINJI</v>
          </cell>
          <cell r="K78">
            <v>6</v>
          </cell>
          <cell r="L78">
            <v>0</v>
          </cell>
        </row>
        <row r="79">
          <cell r="A79" t="str">
            <v>RS 578</v>
          </cell>
          <cell r="B79">
            <v>400</v>
          </cell>
          <cell r="C79" t="str">
            <v>C</v>
          </cell>
          <cell r="D79" t="str">
            <v>F</v>
          </cell>
          <cell r="E79" t="str">
            <v>Benga (junction M5) - Juma</v>
          </cell>
          <cell r="F79" t="str">
            <v>T355</v>
          </cell>
          <cell r="G79">
            <v>1</v>
          </cell>
          <cell r="H79">
            <v>2.8</v>
          </cell>
          <cell r="I79" t="str">
            <v>FL</v>
          </cell>
          <cell r="J79" t="str">
            <v>NKHOTA KOTA</v>
          </cell>
          <cell r="K79">
            <v>5</v>
          </cell>
          <cell r="L79">
            <v>0</v>
          </cell>
        </row>
        <row r="80">
          <cell r="A80" t="str">
            <v>RS 579</v>
          </cell>
          <cell r="B80">
            <v>401</v>
          </cell>
          <cell r="C80" t="str">
            <v>C</v>
          </cell>
          <cell r="D80" t="str">
            <v>F</v>
          </cell>
          <cell r="E80" t="str">
            <v>Juma - Suluwi</v>
          </cell>
          <cell r="F80" t="str">
            <v>T355</v>
          </cell>
          <cell r="G80">
            <v>2</v>
          </cell>
          <cell r="H80">
            <v>8</v>
          </cell>
          <cell r="I80" t="str">
            <v>FL</v>
          </cell>
          <cell r="J80" t="str">
            <v>NKHOTA KOTA</v>
          </cell>
          <cell r="K80">
            <v>5</v>
          </cell>
          <cell r="L80">
            <v>0</v>
          </cell>
        </row>
        <row r="81">
          <cell r="A81" t="str">
            <v>RS 591</v>
          </cell>
          <cell r="B81">
            <v>413</v>
          </cell>
          <cell r="C81" t="str">
            <v>C</v>
          </cell>
          <cell r="D81" t="str">
            <v>F</v>
          </cell>
          <cell r="E81" t="str">
            <v>Suluwi - Kachisoka (junction M5)</v>
          </cell>
          <cell r="F81" t="str">
            <v>T355</v>
          </cell>
          <cell r="G81">
            <v>3</v>
          </cell>
          <cell r="H81">
            <v>9.5</v>
          </cell>
          <cell r="I81" t="str">
            <v>FL</v>
          </cell>
          <cell r="J81" t="str">
            <v>NKHOTA KOTA</v>
          </cell>
          <cell r="K81">
            <v>7</v>
          </cell>
          <cell r="L81" t="str">
            <v>Changed designation from T358 to T355</v>
          </cell>
        </row>
        <row r="82">
          <cell r="A82" t="str">
            <v>RS 580</v>
          </cell>
          <cell r="B82">
            <v>402</v>
          </cell>
          <cell r="C82" t="str">
            <v>C</v>
          </cell>
          <cell r="D82" t="str">
            <v>F</v>
          </cell>
          <cell r="E82" t="str">
            <v>Kanyenyeva (junction M14) - Chitala River Bridge</v>
          </cell>
          <cell r="F82" t="str">
            <v>T356</v>
          </cell>
          <cell r="G82">
            <v>1</v>
          </cell>
          <cell r="H82">
            <v>8.1999999999999993</v>
          </cell>
          <cell r="I82" t="str">
            <v>FL</v>
          </cell>
          <cell r="J82" t="str">
            <v>DOWA</v>
          </cell>
          <cell r="K82">
            <v>6</v>
          </cell>
          <cell r="L82">
            <v>0</v>
          </cell>
        </row>
        <row r="83">
          <cell r="A83" t="str">
            <v>RS 581</v>
          </cell>
          <cell r="B83">
            <v>403</v>
          </cell>
          <cell r="C83" t="str">
            <v>C</v>
          </cell>
          <cell r="D83" t="str">
            <v>F</v>
          </cell>
          <cell r="E83" t="str">
            <v>Chitala River Bridge - Sambo</v>
          </cell>
          <cell r="F83" t="str">
            <v>T356</v>
          </cell>
          <cell r="G83">
            <v>2</v>
          </cell>
          <cell r="H83">
            <v>12</v>
          </cell>
          <cell r="I83" t="str">
            <v>FL</v>
          </cell>
          <cell r="J83" t="str">
            <v>SALIMA</v>
          </cell>
          <cell r="K83">
            <v>6</v>
          </cell>
          <cell r="L83">
            <v>0</v>
          </cell>
        </row>
        <row r="84">
          <cell r="A84" t="str">
            <v>RS 582</v>
          </cell>
          <cell r="B84">
            <v>404</v>
          </cell>
          <cell r="C84" t="str">
            <v>C</v>
          </cell>
          <cell r="D84" t="str">
            <v>F</v>
          </cell>
          <cell r="E84" t="str">
            <v>Sambo - Nkhombedza (junction M5)</v>
          </cell>
          <cell r="F84" t="str">
            <v>T356</v>
          </cell>
          <cell r="G84">
            <v>3</v>
          </cell>
          <cell r="H84">
            <v>5.9</v>
          </cell>
          <cell r="I84" t="str">
            <v>FL</v>
          </cell>
          <cell r="J84" t="str">
            <v>SALIMA</v>
          </cell>
          <cell r="K84">
            <v>6</v>
          </cell>
          <cell r="L84">
            <v>0</v>
          </cell>
        </row>
        <row r="85">
          <cell r="A85" t="str">
            <v>RS 585</v>
          </cell>
          <cell r="B85">
            <v>407</v>
          </cell>
          <cell r="C85" t="str">
            <v>C</v>
          </cell>
          <cell r="D85" t="str">
            <v>F</v>
          </cell>
          <cell r="E85" t="str">
            <v>Chipemedza - Salima railway crossing</v>
          </cell>
          <cell r="F85" t="str">
            <v>T357</v>
          </cell>
          <cell r="G85">
            <v>1</v>
          </cell>
          <cell r="H85">
            <v>1.6</v>
          </cell>
          <cell r="I85" t="str">
            <v>FL</v>
          </cell>
          <cell r="J85" t="str">
            <v>SALIMA</v>
          </cell>
          <cell r="K85">
            <v>7</v>
          </cell>
          <cell r="L85">
            <v>0</v>
          </cell>
        </row>
        <row r="86">
          <cell r="A86" t="str">
            <v>RS 583</v>
          </cell>
          <cell r="B86">
            <v>405</v>
          </cell>
          <cell r="C86" t="str">
            <v>C</v>
          </cell>
          <cell r="D86" t="str">
            <v>F</v>
          </cell>
          <cell r="E86" t="str">
            <v>Salima railway crossing - Cherani</v>
          </cell>
          <cell r="F86" t="str">
            <v>T357</v>
          </cell>
          <cell r="G86">
            <v>2</v>
          </cell>
          <cell r="H86">
            <v>8.3000000000000007</v>
          </cell>
          <cell r="I86" t="str">
            <v>FL</v>
          </cell>
          <cell r="J86" t="str">
            <v>SALIMA</v>
          </cell>
          <cell r="K86">
            <v>7</v>
          </cell>
          <cell r="L86">
            <v>0</v>
          </cell>
        </row>
        <row r="87">
          <cell r="A87" t="str">
            <v>RS 584</v>
          </cell>
          <cell r="B87">
            <v>406</v>
          </cell>
          <cell r="C87" t="str">
            <v>C</v>
          </cell>
          <cell r="D87" t="str">
            <v>F</v>
          </cell>
          <cell r="E87" t="str">
            <v>Cherani - Kachulu</v>
          </cell>
          <cell r="F87" t="str">
            <v>T357</v>
          </cell>
          <cell r="G87">
            <v>3</v>
          </cell>
          <cell r="H87">
            <v>10.4</v>
          </cell>
          <cell r="I87" t="str">
            <v>FL</v>
          </cell>
          <cell r="J87" t="str">
            <v>SALIMA</v>
          </cell>
          <cell r="K87">
            <v>7</v>
          </cell>
          <cell r="L87">
            <v>0</v>
          </cell>
        </row>
        <row r="88">
          <cell r="A88" t="str">
            <v>RS 663</v>
          </cell>
          <cell r="B88">
            <v>485</v>
          </cell>
          <cell r="C88" t="str">
            <v>C</v>
          </cell>
          <cell r="D88" t="str">
            <v>F</v>
          </cell>
          <cell r="E88" t="str">
            <v>Kachulu - Lifuwu</v>
          </cell>
          <cell r="F88" t="str">
            <v>T357</v>
          </cell>
          <cell r="G88">
            <v>3</v>
          </cell>
          <cell r="H88">
            <v>7</v>
          </cell>
          <cell r="I88" t="str">
            <v>FL</v>
          </cell>
          <cell r="J88" t="str">
            <v>SALIMA</v>
          </cell>
          <cell r="K88">
            <v>7</v>
          </cell>
          <cell r="L88" t="str">
            <v>Changed designation from D276 to T357</v>
          </cell>
        </row>
        <row r="89">
          <cell r="A89" t="str">
            <v>RS 587</v>
          </cell>
          <cell r="B89">
            <v>409</v>
          </cell>
          <cell r="C89" t="str">
            <v>C</v>
          </cell>
          <cell r="D89" t="str">
            <v>F</v>
          </cell>
          <cell r="E89" t="str">
            <v>Lifuwu - Mikute</v>
          </cell>
          <cell r="F89" t="str">
            <v>T357</v>
          </cell>
          <cell r="G89">
            <v>5</v>
          </cell>
          <cell r="H89">
            <v>9.6</v>
          </cell>
          <cell r="I89" t="str">
            <v>FL</v>
          </cell>
          <cell r="J89" t="str">
            <v>SALIMA</v>
          </cell>
          <cell r="K89">
            <v>7</v>
          </cell>
          <cell r="L89" t="str">
            <v>Changed designation from T358 to T357</v>
          </cell>
        </row>
        <row r="90">
          <cell r="A90" t="str">
            <v>RS 586</v>
          </cell>
          <cell r="B90">
            <v>408</v>
          </cell>
          <cell r="C90" t="str">
            <v>C</v>
          </cell>
          <cell r="D90" t="str">
            <v>F</v>
          </cell>
          <cell r="E90" t="str">
            <v>Mikute - Nafulu</v>
          </cell>
          <cell r="F90" t="str">
            <v>T358</v>
          </cell>
          <cell r="G90">
            <v>1</v>
          </cell>
          <cell r="H90">
            <v>2.7</v>
          </cell>
          <cell r="I90" t="str">
            <v>FL</v>
          </cell>
          <cell r="J90" t="str">
            <v>SALIMA</v>
          </cell>
          <cell r="K90">
            <v>7</v>
          </cell>
          <cell r="L90">
            <v>0</v>
          </cell>
        </row>
        <row r="91">
          <cell r="A91" t="str">
            <v>RS 590</v>
          </cell>
          <cell r="B91">
            <v>412</v>
          </cell>
          <cell r="C91" t="str">
            <v>C</v>
          </cell>
          <cell r="D91" t="str">
            <v>F</v>
          </cell>
          <cell r="E91" t="str">
            <v>Nafulu - Kachule</v>
          </cell>
          <cell r="F91" t="str">
            <v>T358</v>
          </cell>
          <cell r="G91">
            <v>2</v>
          </cell>
          <cell r="H91">
            <v>10.5</v>
          </cell>
          <cell r="I91" t="str">
            <v>FL</v>
          </cell>
          <cell r="J91" t="str">
            <v>SALIMA</v>
          </cell>
          <cell r="K91">
            <v>7</v>
          </cell>
          <cell r="L91">
            <v>0</v>
          </cell>
        </row>
        <row r="92">
          <cell r="A92" t="str">
            <v>RS 589</v>
          </cell>
          <cell r="B92">
            <v>411</v>
          </cell>
          <cell r="C92" t="str">
            <v>C</v>
          </cell>
          <cell r="D92" t="str">
            <v>F</v>
          </cell>
          <cell r="E92" t="str">
            <v>Kachule - Maganga</v>
          </cell>
          <cell r="F92" t="str">
            <v>T358</v>
          </cell>
          <cell r="G92">
            <v>3</v>
          </cell>
          <cell r="H92">
            <v>2.4</v>
          </cell>
          <cell r="I92" t="str">
            <v>FL</v>
          </cell>
          <cell r="J92" t="str">
            <v>SALIMA</v>
          </cell>
          <cell r="K92">
            <v>7</v>
          </cell>
          <cell r="L92">
            <v>0</v>
          </cell>
        </row>
        <row r="93">
          <cell r="A93" t="str">
            <v>RS 588</v>
          </cell>
          <cell r="B93">
            <v>410</v>
          </cell>
          <cell r="C93" t="str">
            <v>C</v>
          </cell>
          <cell r="D93" t="str">
            <v>F</v>
          </cell>
          <cell r="E93" t="str">
            <v>Kachule - Chipemedza</v>
          </cell>
          <cell r="F93" t="str">
            <v>T358</v>
          </cell>
          <cell r="G93">
            <v>4</v>
          </cell>
          <cell r="H93">
            <v>10.8</v>
          </cell>
          <cell r="I93" t="str">
            <v>FL</v>
          </cell>
          <cell r="J93" t="str">
            <v>SALIMA</v>
          </cell>
          <cell r="K93">
            <v>7</v>
          </cell>
          <cell r="L93">
            <v>0</v>
          </cell>
        </row>
        <row r="94">
          <cell r="A94" t="str">
            <v>RS 594</v>
          </cell>
          <cell r="B94">
            <v>416</v>
          </cell>
          <cell r="C94" t="str">
            <v>C</v>
          </cell>
          <cell r="D94" t="str">
            <v>F</v>
          </cell>
          <cell r="E94" t="str">
            <v>Mpeya T.C - Kalembera</v>
          </cell>
          <cell r="F94" t="str">
            <v>T363</v>
          </cell>
          <cell r="G94">
            <v>1</v>
          </cell>
          <cell r="H94">
            <v>9.1999999999999993</v>
          </cell>
          <cell r="I94" t="str">
            <v>R</v>
          </cell>
          <cell r="J94" t="str">
            <v>LILONGWE</v>
          </cell>
          <cell r="K94">
            <v>6</v>
          </cell>
          <cell r="L94" t="str">
            <v>Section start changed to exclude Chendawaka Road (RS 154)</v>
          </cell>
        </row>
        <row r="95">
          <cell r="A95" t="str">
            <v>RS 593</v>
          </cell>
          <cell r="B95">
            <v>415</v>
          </cell>
          <cell r="C95" t="str">
            <v>C</v>
          </cell>
          <cell r="D95" t="str">
            <v>F</v>
          </cell>
          <cell r="E95" t="str">
            <v>Kalembera - Lundu</v>
          </cell>
          <cell r="F95" t="str">
            <v>T363</v>
          </cell>
          <cell r="G95">
            <v>2</v>
          </cell>
          <cell r="H95">
            <v>5.8</v>
          </cell>
          <cell r="I95" t="str">
            <v>R</v>
          </cell>
          <cell r="J95" t="str">
            <v>LILONGWE</v>
          </cell>
          <cell r="K95">
            <v>6</v>
          </cell>
          <cell r="L95">
            <v>0</v>
          </cell>
        </row>
        <row r="96">
          <cell r="A96" t="str">
            <v>RS 596</v>
          </cell>
          <cell r="B96">
            <v>418</v>
          </cell>
          <cell r="C96" t="str">
            <v>C</v>
          </cell>
          <cell r="D96" t="str">
            <v>F</v>
          </cell>
          <cell r="E96" t="str">
            <v>Samu (junction M12) - Kanyelele</v>
          </cell>
          <cell r="F96" t="str">
            <v>T364</v>
          </cell>
          <cell r="G96">
            <v>1</v>
          </cell>
          <cell r="H96">
            <v>5.7</v>
          </cell>
          <cell r="I96" t="str">
            <v>FL</v>
          </cell>
          <cell r="J96" t="str">
            <v>LILONGWE</v>
          </cell>
          <cell r="K96">
            <v>6</v>
          </cell>
          <cell r="L96">
            <v>0</v>
          </cell>
        </row>
        <row r="97">
          <cell r="A97" t="str">
            <v>RS 595</v>
          </cell>
          <cell r="B97">
            <v>417</v>
          </cell>
          <cell r="C97" t="str">
            <v>C</v>
          </cell>
          <cell r="D97" t="str">
            <v>F</v>
          </cell>
          <cell r="E97" t="str">
            <v>Kanyelele - Nakura</v>
          </cell>
          <cell r="F97" t="str">
            <v>T364</v>
          </cell>
          <cell r="G97">
            <v>2</v>
          </cell>
          <cell r="H97">
            <v>5.9</v>
          </cell>
          <cell r="I97" t="str">
            <v>FL</v>
          </cell>
          <cell r="J97" t="str">
            <v>LILONGWE</v>
          </cell>
          <cell r="K97">
            <v>6</v>
          </cell>
          <cell r="L97" t="str">
            <v>Changed junction road designation from M5</v>
          </cell>
        </row>
        <row r="98">
          <cell r="A98" t="str">
            <v>RS 669</v>
          </cell>
          <cell r="B98">
            <v>491</v>
          </cell>
          <cell r="C98" t="str">
            <v>C</v>
          </cell>
          <cell r="D98" t="str">
            <v>F</v>
          </cell>
          <cell r="E98" t="str">
            <v>Nakula - Kakoma</v>
          </cell>
          <cell r="F98" t="str">
            <v>T364</v>
          </cell>
          <cell r="G98">
            <v>3</v>
          </cell>
          <cell r="H98">
            <v>8.4</v>
          </cell>
          <cell r="I98" t="str">
            <v>FL</v>
          </cell>
          <cell r="J98" t="str">
            <v>LILONGWE</v>
          </cell>
          <cell r="K98">
            <v>6</v>
          </cell>
          <cell r="L98" t="str">
            <v>Changed designation from UDX to T364</v>
          </cell>
        </row>
        <row r="99">
          <cell r="A99" t="str">
            <v>RS 597</v>
          </cell>
          <cell r="B99">
            <v>419</v>
          </cell>
          <cell r="C99" t="str">
            <v>C</v>
          </cell>
          <cell r="D99" t="str">
            <v>F</v>
          </cell>
          <cell r="E99" t="str">
            <v>Kakoma - Njoka</v>
          </cell>
          <cell r="F99" t="str">
            <v>T364</v>
          </cell>
          <cell r="G99">
            <v>4</v>
          </cell>
          <cell r="H99">
            <v>11.9</v>
          </cell>
          <cell r="I99" t="str">
            <v>FL</v>
          </cell>
          <cell r="J99" t="str">
            <v>LILONGWE</v>
          </cell>
          <cell r="K99">
            <v>6</v>
          </cell>
          <cell r="L99">
            <v>0</v>
          </cell>
        </row>
        <row r="100">
          <cell r="A100" t="str">
            <v>RS 604</v>
          </cell>
          <cell r="B100">
            <v>426</v>
          </cell>
          <cell r="C100" t="str">
            <v>C</v>
          </cell>
          <cell r="D100" t="str">
            <v>F</v>
          </cell>
          <cell r="E100" t="str">
            <v>Kbyzala Village - Chizandu</v>
          </cell>
          <cell r="F100" t="str">
            <v>T366</v>
          </cell>
          <cell r="G100">
            <v>1</v>
          </cell>
          <cell r="H100">
            <v>12.1</v>
          </cell>
          <cell r="I100" t="str">
            <v>FL</v>
          </cell>
          <cell r="J100" t="str">
            <v>LILONGWE</v>
          </cell>
          <cell r="K100">
            <v>6</v>
          </cell>
          <cell r="L100">
            <v>0</v>
          </cell>
        </row>
        <row r="101">
          <cell r="A101" t="str">
            <v>RS 603</v>
          </cell>
          <cell r="B101">
            <v>425</v>
          </cell>
          <cell r="C101" t="str">
            <v>C</v>
          </cell>
          <cell r="D101" t="str">
            <v>F</v>
          </cell>
          <cell r="E101" t="str">
            <v>Chizandu - Kambanizithe</v>
          </cell>
          <cell r="F101" t="str">
            <v>T366</v>
          </cell>
          <cell r="G101">
            <v>2</v>
          </cell>
          <cell r="H101">
            <v>8.6999999999999993</v>
          </cell>
          <cell r="I101" t="str">
            <v>FL</v>
          </cell>
          <cell r="J101" t="str">
            <v>LILONGWE</v>
          </cell>
          <cell r="K101">
            <v>6</v>
          </cell>
          <cell r="L101" t="str">
            <v>Changed designation from D198 to S124</v>
          </cell>
        </row>
        <row r="102">
          <cell r="A102" t="str">
            <v>RS 601</v>
          </cell>
          <cell r="B102">
            <v>423</v>
          </cell>
          <cell r="C102" t="str">
            <v>C</v>
          </cell>
          <cell r="D102" t="str">
            <v>F</v>
          </cell>
          <cell r="E102" t="str">
            <v>Kambanizithe - Diamphwe River bridge</v>
          </cell>
          <cell r="F102" t="str">
            <v>T366</v>
          </cell>
          <cell r="G102">
            <v>3</v>
          </cell>
          <cell r="H102">
            <v>7.7</v>
          </cell>
          <cell r="I102" t="str">
            <v>FL</v>
          </cell>
          <cell r="J102" t="str">
            <v>LILONGWE</v>
          </cell>
          <cell r="K102">
            <v>6</v>
          </cell>
          <cell r="L102">
            <v>0</v>
          </cell>
        </row>
        <row r="103">
          <cell r="A103" t="str">
            <v>RS 598</v>
          </cell>
          <cell r="B103">
            <v>420</v>
          </cell>
          <cell r="C103" t="str">
            <v>C</v>
          </cell>
          <cell r="D103" t="str">
            <v>F</v>
          </cell>
          <cell r="E103" t="str">
            <v>Diamphwe River bridge - Kafere</v>
          </cell>
          <cell r="F103" t="str">
            <v>T366</v>
          </cell>
          <cell r="G103">
            <v>4</v>
          </cell>
          <cell r="H103">
            <v>12.2</v>
          </cell>
          <cell r="I103" t="str">
            <v>FL</v>
          </cell>
          <cell r="J103" t="str">
            <v>DEDZA</v>
          </cell>
          <cell r="K103">
            <v>6</v>
          </cell>
          <cell r="L103">
            <v>0</v>
          </cell>
        </row>
        <row r="104">
          <cell r="A104" t="str">
            <v>RS 602</v>
          </cell>
          <cell r="B104">
            <v>424</v>
          </cell>
          <cell r="C104" t="str">
            <v>C</v>
          </cell>
          <cell r="D104" t="str">
            <v>F</v>
          </cell>
          <cell r="E104" t="str">
            <v>Kafere - Dzalanyama</v>
          </cell>
          <cell r="F104" t="str">
            <v>T366</v>
          </cell>
          <cell r="G104">
            <v>5</v>
          </cell>
          <cell r="H104">
            <v>3.3</v>
          </cell>
          <cell r="I104" t="str">
            <v>FL</v>
          </cell>
          <cell r="J104" t="str">
            <v>DEDZA</v>
          </cell>
          <cell r="K104">
            <v>6</v>
          </cell>
          <cell r="L104">
            <v>0</v>
          </cell>
        </row>
        <row r="105">
          <cell r="A105" t="str">
            <v>RS 599</v>
          </cell>
          <cell r="B105">
            <v>421</v>
          </cell>
          <cell r="C105" t="str">
            <v>C</v>
          </cell>
          <cell r="D105" t="str">
            <v>F</v>
          </cell>
          <cell r="E105" t="str">
            <v>Dzalanyama - Mtengowagwa</v>
          </cell>
          <cell r="F105" t="str">
            <v>T366</v>
          </cell>
          <cell r="G105">
            <v>6</v>
          </cell>
          <cell r="H105">
            <v>31.3</v>
          </cell>
          <cell r="I105" t="str">
            <v>FL</v>
          </cell>
          <cell r="J105" t="str">
            <v>DEDZA</v>
          </cell>
          <cell r="K105">
            <v>6</v>
          </cell>
          <cell r="L105">
            <v>0</v>
          </cell>
        </row>
        <row r="106">
          <cell r="A106" t="str">
            <v>RS 662</v>
          </cell>
          <cell r="B106">
            <v>484</v>
          </cell>
          <cell r="C106" t="str">
            <v>C</v>
          </cell>
          <cell r="D106" t="str">
            <v>F</v>
          </cell>
          <cell r="E106" t="str">
            <v>Mtengowagwa - Mikonde</v>
          </cell>
          <cell r="F106" t="str">
            <v>T366</v>
          </cell>
          <cell r="G106">
            <v>7</v>
          </cell>
          <cell r="H106">
            <v>2.8</v>
          </cell>
          <cell r="I106" t="str">
            <v>FL</v>
          </cell>
          <cell r="J106" t="str">
            <v>DEDZA</v>
          </cell>
          <cell r="K106">
            <v>6</v>
          </cell>
          <cell r="L106" t="str">
            <v>Changed designation from D209 to T366</v>
          </cell>
        </row>
        <row r="107">
          <cell r="A107" t="str">
            <v>RS 600</v>
          </cell>
          <cell r="B107">
            <v>422</v>
          </cell>
          <cell r="C107" t="str">
            <v>C</v>
          </cell>
          <cell r="D107" t="str">
            <v>F</v>
          </cell>
          <cell r="E107" t="str">
            <v>Mikonde - Njonja</v>
          </cell>
          <cell r="F107" t="str">
            <v>T366</v>
          </cell>
          <cell r="G107">
            <v>8</v>
          </cell>
          <cell r="H107">
            <v>6.2</v>
          </cell>
          <cell r="I107" t="str">
            <v>FL</v>
          </cell>
          <cell r="J107" t="str">
            <v>DEDZA</v>
          </cell>
          <cell r="K107">
            <v>6</v>
          </cell>
          <cell r="L107">
            <v>0</v>
          </cell>
        </row>
        <row r="108">
          <cell r="A108" t="str">
            <v>RS 668</v>
          </cell>
          <cell r="B108">
            <v>490</v>
          </cell>
          <cell r="C108" t="str">
            <v>C</v>
          </cell>
          <cell r="D108" t="str">
            <v>F</v>
          </cell>
          <cell r="E108" t="str">
            <v>Mbala - Kambanizithe</v>
          </cell>
          <cell r="F108" t="str">
            <v>T367</v>
          </cell>
          <cell r="G108">
            <v>1</v>
          </cell>
          <cell r="H108">
            <v>8.1999999999999993</v>
          </cell>
          <cell r="I108" t="str">
            <v>FL</v>
          </cell>
          <cell r="J108" t="str">
            <v>LILONGWE</v>
          </cell>
          <cell r="K108">
            <v>6</v>
          </cell>
          <cell r="L108" t="str">
            <v>Changed designation from UD to T367.</v>
          </cell>
        </row>
        <row r="109">
          <cell r="A109" t="str">
            <v>RS 605</v>
          </cell>
          <cell r="B109">
            <v>427</v>
          </cell>
          <cell r="C109" t="str">
            <v>C</v>
          </cell>
          <cell r="D109" t="str">
            <v>F</v>
          </cell>
          <cell r="E109" t="str">
            <v>Diamphwe River - Mtengowangwa</v>
          </cell>
          <cell r="F109" t="str">
            <v>T368</v>
          </cell>
          <cell r="G109">
            <v>1</v>
          </cell>
          <cell r="H109">
            <v>18.600000000000001</v>
          </cell>
          <cell r="I109" t="str">
            <v>FL</v>
          </cell>
          <cell r="J109" t="str">
            <v>DEDZA</v>
          </cell>
          <cell r="K109">
            <v>6</v>
          </cell>
          <cell r="L109">
            <v>0</v>
          </cell>
        </row>
        <row r="110">
          <cell r="A110" t="str">
            <v>RS 608</v>
          </cell>
          <cell r="B110">
            <v>430</v>
          </cell>
          <cell r="C110" t="str">
            <v>C</v>
          </cell>
          <cell r="D110" t="str">
            <v>F</v>
          </cell>
          <cell r="E110" t="str">
            <v>Chalendewa - Nanjiri River</v>
          </cell>
          <cell r="F110" t="str">
            <v>T369</v>
          </cell>
          <cell r="G110">
            <v>1</v>
          </cell>
          <cell r="H110">
            <v>6.3</v>
          </cell>
          <cell r="I110" t="str">
            <v>FL</v>
          </cell>
          <cell r="J110" t="str">
            <v>LILONGWE</v>
          </cell>
          <cell r="K110">
            <v>6</v>
          </cell>
          <cell r="L110">
            <v>0</v>
          </cell>
        </row>
        <row r="111">
          <cell r="A111" t="str">
            <v>RS 607</v>
          </cell>
          <cell r="B111">
            <v>429</v>
          </cell>
          <cell r="C111" t="str">
            <v>C</v>
          </cell>
          <cell r="D111" t="str">
            <v>F</v>
          </cell>
          <cell r="E111" t="str">
            <v>Nanjiri River - Perete</v>
          </cell>
          <cell r="F111" t="str">
            <v>T369</v>
          </cell>
          <cell r="G111">
            <v>2</v>
          </cell>
          <cell r="H111">
            <v>9</v>
          </cell>
          <cell r="I111" t="str">
            <v>FL</v>
          </cell>
          <cell r="J111" t="str">
            <v>LILONGWE</v>
          </cell>
          <cell r="K111">
            <v>6</v>
          </cell>
          <cell r="L111">
            <v>0</v>
          </cell>
        </row>
        <row r="112">
          <cell r="A112" t="str">
            <v>RS 606</v>
          </cell>
          <cell r="B112">
            <v>428</v>
          </cell>
          <cell r="C112" t="str">
            <v>C</v>
          </cell>
          <cell r="D112" t="str">
            <v>F</v>
          </cell>
          <cell r="E112" t="str">
            <v>Perete - Chiwoko</v>
          </cell>
          <cell r="F112" t="str">
            <v>T369</v>
          </cell>
          <cell r="G112">
            <v>3</v>
          </cell>
          <cell r="H112">
            <v>5.9</v>
          </cell>
          <cell r="I112" t="str">
            <v>FL</v>
          </cell>
          <cell r="J112" t="str">
            <v>LILONGWE</v>
          </cell>
          <cell r="K112">
            <v>6</v>
          </cell>
          <cell r="L112">
            <v>0</v>
          </cell>
        </row>
        <row r="113">
          <cell r="A113" t="str">
            <v>RS 664</v>
          </cell>
          <cell r="B113">
            <v>486</v>
          </cell>
          <cell r="C113" t="str">
            <v>C</v>
          </cell>
          <cell r="D113" t="str">
            <v>F</v>
          </cell>
          <cell r="E113" t="str">
            <v>Kalumba T/Off (junction M1) - Chikhombe</v>
          </cell>
          <cell r="F113" t="str">
            <v>T370</v>
          </cell>
          <cell r="G113">
            <v>1</v>
          </cell>
          <cell r="H113">
            <v>10.5</v>
          </cell>
          <cell r="I113" t="str">
            <v>C</v>
          </cell>
          <cell r="J113" t="str">
            <v>LILONGWE</v>
          </cell>
          <cell r="K113">
            <v>8</v>
          </cell>
          <cell r="L113" t="str">
            <v>Changed designation from D370 to T370</v>
          </cell>
        </row>
        <row r="114">
          <cell r="A114" t="str">
            <v>RS 665</v>
          </cell>
          <cell r="B114">
            <v>487</v>
          </cell>
          <cell r="C114" t="str">
            <v>C</v>
          </cell>
          <cell r="D114" t="str">
            <v>F</v>
          </cell>
          <cell r="E114" t="str">
            <v>Chikhombe - Chiwoko</v>
          </cell>
          <cell r="F114" t="str">
            <v>T370</v>
          </cell>
          <cell r="G114">
            <v>2</v>
          </cell>
          <cell r="H114">
            <v>10.4</v>
          </cell>
          <cell r="I114" t="str">
            <v>C</v>
          </cell>
          <cell r="J114" t="str">
            <v>LILONGWE</v>
          </cell>
          <cell r="K114">
            <v>8</v>
          </cell>
          <cell r="L114" t="str">
            <v>Changed designation from D370 to T370</v>
          </cell>
        </row>
        <row r="115">
          <cell r="A115" t="str">
            <v>RS 609</v>
          </cell>
          <cell r="B115">
            <v>431</v>
          </cell>
          <cell r="C115" t="str">
            <v>C</v>
          </cell>
          <cell r="D115" t="str">
            <v>F</v>
          </cell>
          <cell r="E115" t="str">
            <v>Chiwoko - Chisendera</v>
          </cell>
          <cell r="F115" t="str">
            <v>T370</v>
          </cell>
          <cell r="G115">
            <v>3</v>
          </cell>
          <cell r="H115">
            <v>8</v>
          </cell>
          <cell r="I115" t="str">
            <v>FL</v>
          </cell>
          <cell r="J115" t="str">
            <v>LILONGWE</v>
          </cell>
          <cell r="K115">
            <v>6</v>
          </cell>
          <cell r="L115">
            <v>0</v>
          </cell>
        </row>
        <row r="116">
          <cell r="A116" t="str">
            <v>RS 614</v>
          </cell>
          <cell r="B116">
            <v>436</v>
          </cell>
          <cell r="C116" t="str">
            <v>C</v>
          </cell>
          <cell r="D116" t="str">
            <v>F</v>
          </cell>
          <cell r="E116" t="str">
            <v>junction M1 - Kakolo</v>
          </cell>
          <cell r="F116" t="str">
            <v>T372</v>
          </cell>
          <cell r="G116">
            <v>1</v>
          </cell>
          <cell r="H116">
            <v>7.7</v>
          </cell>
          <cell r="I116" t="str">
            <v>FL</v>
          </cell>
          <cell r="J116" t="str">
            <v>DEDZA</v>
          </cell>
          <cell r="K116">
            <v>6</v>
          </cell>
          <cell r="L116">
            <v>0</v>
          </cell>
        </row>
        <row r="117">
          <cell r="A117" t="str">
            <v>RS 616</v>
          </cell>
          <cell r="B117">
            <v>438</v>
          </cell>
          <cell r="C117" t="str">
            <v>C</v>
          </cell>
          <cell r="D117" t="str">
            <v>F</v>
          </cell>
          <cell r="E117" t="str">
            <v>Kakolo - Nkhonga</v>
          </cell>
          <cell r="F117" t="str">
            <v>T372</v>
          </cell>
          <cell r="G117">
            <v>2</v>
          </cell>
          <cell r="H117">
            <v>5.4</v>
          </cell>
          <cell r="I117" t="str">
            <v>FL</v>
          </cell>
          <cell r="J117" t="str">
            <v>DEDZA</v>
          </cell>
          <cell r="K117">
            <v>6</v>
          </cell>
          <cell r="L117">
            <v>0</v>
          </cell>
        </row>
        <row r="118">
          <cell r="A118" t="str">
            <v>RS 610</v>
          </cell>
          <cell r="B118">
            <v>432</v>
          </cell>
          <cell r="C118" t="str">
            <v>C</v>
          </cell>
          <cell r="D118" t="str">
            <v>F</v>
          </cell>
          <cell r="E118" t="str">
            <v>Mpatamilonde - Mpalale</v>
          </cell>
          <cell r="F118" t="str">
            <v>T372</v>
          </cell>
          <cell r="G118">
            <v>3</v>
          </cell>
          <cell r="H118">
            <v>20.3</v>
          </cell>
          <cell r="I118" t="str">
            <v>H</v>
          </cell>
          <cell r="J118" t="str">
            <v>DEDZA</v>
          </cell>
          <cell r="K118">
            <v>6</v>
          </cell>
          <cell r="L118">
            <v>0</v>
          </cell>
        </row>
        <row r="119">
          <cell r="A119" t="str">
            <v>RS 612</v>
          </cell>
          <cell r="B119">
            <v>434</v>
          </cell>
          <cell r="C119" t="str">
            <v>C</v>
          </cell>
          <cell r="D119" t="str">
            <v>F</v>
          </cell>
          <cell r="E119" t="str">
            <v>Mpalale - Dedza</v>
          </cell>
          <cell r="F119" t="str">
            <v>T372</v>
          </cell>
          <cell r="G119">
            <v>4</v>
          </cell>
          <cell r="H119">
            <v>7.5</v>
          </cell>
          <cell r="I119" t="str">
            <v>H</v>
          </cell>
          <cell r="J119" t="str">
            <v>DEDZA</v>
          </cell>
          <cell r="K119">
            <v>6</v>
          </cell>
          <cell r="L119">
            <v>0</v>
          </cell>
        </row>
        <row r="120">
          <cell r="A120" t="str">
            <v>RS 265</v>
          </cell>
          <cell r="B120">
            <v>87</v>
          </cell>
          <cell r="C120" t="str">
            <v>C</v>
          </cell>
          <cell r="D120" t="str">
            <v>F</v>
          </cell>
          <cell r="E120" t="str">
            <v>Chamadenga - Katete River</v>
          </cell>
          <cell r="F120" t="str">
            <v>T373</v>
          </cell>
          <cell r="G120">
            <v>1</v>
          </cell>
          <cell r="H120">
            <v>6.3</v>
          </cell>
          <cell r="I120" t="str">
            <v>FL</v>
          </cell>
          <cell r="J120" t="str">
            <v>LILONGWE</v>
          </cell>
          <cell r="K120">
            <v>6</v>
          </cell>
          <cell r="L120" t="str">
            <v>Changed designation from S121 to T373</v>
          </cell>
        </row>
        <row r="121">
          <cell r="A121" t="str">
            <v>RS 266</v>
          </cell>
          <cell r="B121">
            <v>88</v>
          </cell>
          <cell r="C121" t="str">
            <v>C</v>
          </cell>
          <cell r="D121" t="str">
            <v>F</v>
          </cell>
          <cell r="E121" t="str">
            <v>Katete River - Linthipe River Bridge</v>
          </cell>
          <cell r="F121" t="str">
            <v>T373</v>
          </cell>
          <cell r="G121">
            <v>2</v>
          </cell>
          <cell r="H121">
            <v>2.8</v>
          </cell>
          <cell r="I121" t="str">
            <v>R</v>
          </cell>
          <cell r="J121" t="str">
            <v>LILONGWE</v>
          </cell>
          <cell r="K121">
            <v>6</v>
          </cell>
          <cell r="L121" t="str">
            <v>Changed designation from S121 to T373</v>
          </cell>
        </row>
        <row r="122">
          <cell r="A122" t="str">
            <v>RS 619</v>
          </cell>
          <cell r="B122">
            <v>441</v>
          </cell>
          <cell r="C122" t="str">
            <v>C</v>
          </cell>
          <cell r="D122" t="str">
            <v>F</v>
          </cell>
          <cell r="E122" t="str">
            <v>Linthipe River River - Livuwadzi River (North)</v>
          </cell>
          <cell r="F122" t="str">
            <v>T373</v>
          </cell>
          <cell r="G122">
            <v>3</v>
          </cell>
          <cell r="H122">
            <v>5.6</v>
          </cell>
          <cell r="I122" t="str">
            <v>FL</v>
          </cell>
          <cell r="J122" t="str">
            <v>DEDZA</v>
          </cell>
          <cell r="K122">
            <v>6</v>
          </cell>
          <cell r="L122">
            <v>0</v>
          </cell>
        </row>
        <row r="123">
          <cell r="A123" t="str">
            <v>RS 620</v>
          </cell>
          <cell r="B123">
            <v>442</v>
          </cell>
          <cell r="C123" t="str">
            <v>C</v>
          </cell>
          <cell r="D123" t="str">
            <v>F</v>
          </cell>
          <cell r="E123" t="str">
            <v>Livuwadzi River (North) - Chilanga</v>
          </cell>
          <cell r="F123" t="str">
            <v>T373</v>
          </cell>
          <cell r="G123">
            <v>4</v>
          </cell>
          <cell r="H123">
            <v>4.7</v>
          </cell>
          <cell r="I123" t="str">
            <v>FL</v>
          </cell>
          <cell r="J123" t="str">
            <v>DEDZA</v>
          </cell>
          <cell r="K123">
            <v>6</v>
          </cell>
          <cell r="L123">
            <v>0</v>
          </cell>
        </row>
        <row r="124">
          <cell r="A124" t="str">
            <v>RS 618</v>
          </cell>
          <cell r="B124">
            <v>440</v>
          </cell>
          <cell r="C124" t="str">
            <v>C</v>
          </cell>
          <cell r="D124" t="str">
            <v>F</v>
          </cell>
          <cell r="E124" t="str">
            <v>Nkhonga - Livuwadzi river (South)</v>
          </cell>
          <cell r="F124" t="str">
            <v>T373</v>
          </cell>
          <cell r="G124">
            <v>5</v>
          </cell>
          <cell r="H124">
            <v>5.7</v>
          </cell>
          <cell r="I124" t="str">
            <v>R</v>
          </cell>
          <cell r="J124" t="str">
            <v>DEDZA</v>
          </cell>
          <cell r="K124">
            <v>6</v>
          </cell>
          <cell r="L124">
            <v>0</v>
          </cell>
        </row>
        <row r="125">
          <cell r="A125" t="str">
            <v>RS 617</v>
          </cell>
          <cell r="B125">
            <v>439</v>
          </cell>
          <cell r="C125" t="str">
            <v>C</v>
          </cell>
          <cell r="D125" t="str">
            <v>F</v>
          </cell>
          <cell r="E125" t="str">
            <v>Kapesi (junction M1) - Mlunduni</v>
          </cell>
          <cell r="F125" t="str">
            <v>T374</v>
          </cell>
          <cell r="G125">
            <v>1</v>
          </cell>
          <cell r="H125">
            <v>9.1999999999999993</v>
          </cell>
          <cell r="I125" t="str">
            <v>R</v>
          </cell>
          <cell r="J125" t="str">
            <v>DEDZA</v>
          </cell>
          <cell r="K125">
            <v>6</v>
          </cell>
          <cell r="L125" t="str">
            <v>Changed designation from D226 to T374</v>
          </cell>
        </row>
        <row r="126">
          <cell r="A126" t="str">
            <v>RS 627</v>
          </cell>
          <cell r="B126">
            <v>449</v>
          </cell>
          <cell r="C126" t="str">
            <v>C</v>
          </cell>
          <cell r="D126" t="str">
            <v>F</v>
          </cell>
          <cell r="E126" t="str">
            <v>Mlunduni - Namilulu</v>
          </cell>
          <cell r="F126" t="str">
            <v>T374</v>
          </cell>
          <cell r="G126">
            <v>2</v>
          </cell>
          <cell r="H126">
            <v>4.5</v>
          </cell>
          <cell r="I126" t="str">
            <v>R</v>
          </cell>
          <cell r="J126" t="str">
            <v>DEDZA</v>
          </cell>
          <cell r="K126">
            <v>6</v>
          </cell>
          <cell r="L126">
            <v>0</v>
          </cell>
        </row>
        <row r="127">
          <cell r="A127" t="str">
            <v>RS 622</v>
          </cell>
          <cell r="B127">
            <v>444</v>
          </cell>
          <cell r="C127" t="str">
            <v>C</v>
          </cell>
          <cell r="D127" t="str">
            <v>F</v>
          </cell>
          <cell r="E127" t="str">
            <v>Namilulu - Kumayani</v>
          </cell>
          <cell r="F127" t="str">
            <v>T374</v>
          </cell>
          <cell r="G127">
            <v>3</v>
          </cell>
          <cell r="H127">
            <v>10.199999999999999</v>
          </cell>
          <cell r="I127" t="str">
            <v>H</v>
          </cell>
          <cell r="J127" t="str">
            <v>DEDZA</v>
          </cell>
          <cell r="K127">
            <v>6</v>
          </cell>
          <cell r="L127">
            <v>0</v>
          </cell>
        </row>
        <row r="128">
          <cell r="A128" t="str">
            <v>RS 623</v>
          </cell>
          <cell r="B128">
            <v>445</v>
          </cell>
          <cell r="C128" t="str">
            <v>C</v>
          </cell>
          <cell r="D128" t="str">
            <v>F</v>
          </cell>
          <cell r="E128" t="str">
            <v>Kumayani - Tembwe</v>
          </cell>
          <cell r="F128" t="str">
            <v>T374</v>
          </cell>
          <cell r="G128">
            <v>4</v>
          </cell>
          <cell r="H128">
            <v>2.2000000000000002</v>
          </cell>
          <cell r="I128" t="str">
            <v>M</v>
          </cell>
          <cell r="J128" t="str">
            <v>DEDZA</v>
          </cell>
          <cell r="K128">
            <v>6</v>
          </cell>
          <cell r="L128">
            <v>0</v>
          </cell>
        </row>
        <row r="129">
          <cell r="A129" t="str">
            <v>RS 626</v>
          </cell>
          <cell r="B129">
            <v>448</v>
          </cell>
          <cell r="C129" t="str">
            <v>C</v>
          </cell>
          <cell r="D129" t="str">
            <v>F</v>
          </cell>
          <cell r="E129" t="str">
            <v>Tembwe - Mlulu River</v>
          </cell>
          <cell r="F129" t="str">
            <v>T374</v>
          </cell>
          <cell r="G129">
            <v>5</v>
          </cell>
          <cell r="H129">
            <v>5.6</v>
          </cell>
          <cell r="I129" t="str">
            <v>M</v>
          </cell>
          <cell r="J129" t="str">
            <v>DEDZA</v>
          </cell>
          <cell r="K129">
            <v>6</v>
          </cell>
          <cell r="L129">
            <v>0</v>
          </cell>
        </row>
        <row r="130">
          <cell r="A130" t="str">
            <v>RS 624</v>
          </cell>
          <cell r="B130">
            <v>446</v>
          </cell>
          <cell r="C130" t="str">
            <v>C</v>
          </cell>
          <cell r="D130" t="str">
            <v>F</v>
          </cell>
          <cell r="E130" t="str">
            <v>Mlulu River - Kuntawanga</v>
          </cell>
          <cell r="F130" t="str">
            <v>T374</v>
          </cell>
          <cell r="G130">
            <v>6</v>
          </cell>
          <cell r="H130">
            <v>6.7</v>
          </cell>
          <cell r="I130" t="str">
            <v>H</v>
          </cell>
          <cell r="J130" t="str">
            <v>DEDZA</v>
          </cell>
          <cell r="K130">
            <v>6</v>
          </cell>
          <cell r="L130">
            <v>0</v>
          </cell>
        </row>
        <row r="131">
          <cell r="A131" t="str">
            <v>RS 621</v>
          </cell>
          <cell r="B131">
            <v>443</v>
          </cell>
          <cell r="C131" t="str">
            <v>C</v>
          </cell>
          <cell r="D131" t="str">
            <v>F</v>
          </cell>
          <cell r="E131" t="str">
            <v>Kuntawanga - Mayani</v>
          </cell>
          <cell r="F131" t="str">
            <v>T374</v>
          </cell>
          <cell r="G131">
            <v>7</v>
          </cell>
          <cell r="H131">
            <v>3.6</v>
          </cell>
          <cell r="I131" t="str">
            <v>FL</v>
          </cell>
          <cell r="J131" t="str">
            <v>DEDZA</v>
          </cell>
          <cell r="K131">
            <v>6</v>
          </cell>
          <cell r="L131" t="str">
            <v xml:space="preserve">New section part of RS 78 </v>
          </cell>
        </row>
        <row r="132">
          <cell r="A132" t="str">
            <v>RS 631</v>
          </cell>
          <cell r="B132">
            <v>453</v>
          </cell>
          <cell r="C132" t="str">
            <v>C</v>
          </cell>
          <cell r="D132" t="str">
            <v>F</v>
          </cell>
          <cell r="E132" t="str">
            <v>Linthipe River Bridge- Chaseta</v>
          </cell>
          <cell r="F132" t="str">
            <v>T375</v>
          </cell>
          <cell r="G132">
            <v>1</v>
          </cell>
          <cell r="H132">
            <v>12.3</v>
          </cell>
          <cell r="I132" t="str">
            <v>H</v>
          </cell>
          <cell r="J132" t="str">
            <v>SALIMA</v>
          </cell>
          <cell r="K132">
            <v>6</v>
          </cell>
          <cell r="L132">
            <v>0</v>
          </cell>
        </row>
        <row r="133">
          <cell r="A133" t="str">
            <v>RS 629</v>
          </cell>
          <cell r="B133">
            <v>451</v>
          </cell>
          <cell r="C133" t="str">
            <v>C</v>
          </cell>
          <cell r="D133" t="str">
            <v>F</v>
          </cell>
          <cell r="E133" t="str">
            <v>Chaseta - Mponde</v>
          </cell>
          <cell r="F133" t="str">
            <v>T375</v>
          </cell>
          <cell r="G133">
            <v>2</v>
          </cell>
          <cell r="H133">
            <v>11</v>
          </cell>
          <cell r="I133" t="str">
            <v>M</v>
          </cell>
          <cell r="J133" t="str">
            <v>DEDZA</v>
          </cell>
          <cell r="K133">
            <v>6</v>
          </cell>
          <cell r="L133">
            <v>0</v>
          </cell>
        </row>
        <row r="134">
          <cell r="A134" t="str">
            <v>RS 632</v>
          </cell>
          <cell r="B134">
            <v>454</v>
          </cell>
          <cell r="C134" t="str">
            <v>C</v>
          </cell>
          <cell r="D134" t="str">
            <v>F</v>
          </cell>
          <cell r="E134" t="str">
            <v>Mponde - Gwengwe</v>
          </cell>
          <cell r="F134" t="str">
            <v>T375</v>
          </cell>
          <cell r="G134">
            <v>3</v>
          </cell>
          <cell r="H134">
            <v>8</v>
          </cell>
          <cell r="I134" t="str">
            <v>R</v>
          </cell>
          <cell r="J134" t="str">
            <v>DEDZA</v>
          </cell>
          <cell r="K134">
            <v>6</v>
          </cell>
          <cell r="L134">
            <v>0</v>
          </cell>
        </row>
        <row r="135">
          <cell r="A135" t="str">
            <v>RS 628</v>
          </cell>
          <cell r="B135">
            <v>450</v>
          </cell>
          <cell r="C135" t="str">
            <v>C</v>
          </cell>
          <cell r="D135" t="str">
            <v>F</v>
          </cell>
          <cell r="E135" t="str">
            <v>Gwengwe - Ngombe</v>
          </cell>
          <cell r="F135" t="str">
            <v>T375</v>
          </cell>
          <cell r="G135">
            <v>4</v>
          </cell>
          <cell r="H135">
            <v>3.9</v>
          </cell>
          <cell r="I135" t="str">
            <v>R</v>
          </cell>
          <cell r="J135" t="str">
            <v>DEDZA</v>
          </cell>
          <cell r="K135">
            <v>6</v>
          </cell>
          <cell r="L135" t="str">
            <v>New section added to cover origional RS 352</v>
          </cell>
        </row>
        <row r="136">
          <cell r="A136" t="str">
            <v>RS 630</v>
          </cell>
          <cell r="B136">
            <v>452</v>
          </cell>
          <cell r="C136" t="str">
            <v>C</v>
          </cell>
          <cell r="D136" t="str">
            <v>F</v>
          </cell>
          <cell r="E136" t="str">
            <v>Ngombe - Mayani</v>
          </cell>
          <cell r="F136" t="str">
            <v>T375</v>
          </cell>
          <cell r="G136">
            <v>5</v>
          </cell>
          <cell r="H136">
            <v>4.8</v>
          </cell>
          <cell r="I136" t="str">
            <v>R</v>
          </cell>
          <cell r="J136" t="str">
            <v>DEDZA</v>
          </cell>
          <cell r="K136">
            <v>6</v>
          </cell>
          <cell r="L136" t="str">
            <v>Changed designation from M16 to M14</v>
          </cell>
        </row>
        <row r="137">
          <cell r="A137" t="str">
            <v>RS 625</v>
          </cell>
          <cell r="B137">
            <v>447</v>
          </cell>
          <cell r="C137" t="str">
            <v>C</v>
          </cell>
          <cell r="D137" t="str">
            <v>F</v>
          </cell>
          <cell r="E137" t="str">
            <v>Mayani - Livuwadzi River</v>
          </cell>
          <cell r="F137" t="str">
            <v>T375</v>
          </cell>
          <cell r="G137">
            <v>6</v>
          </cell>
          <cell r="H137">
            <v>9.9</v>
          </cell>
          <cell r="I137" t="str">
            <v>FL</v>
          </cell>
          <cell r="J137" t="str">
            <v>DEDZA</v>
          </cell>
          <cell r="K137">
            <v>6</v>
          </cell>
          <cell r="L137" t="str">
            <v>Changed designation from T374 to T375</v>
          </cell>
        </row>
        <row r="138">
          <cell r="A138" t="str">
            <v>RS 613</v>
          </cell>
          <cell r="B138">
            <v>435</v>
          </cell>
          <cell r="C138" t="str">
            <v>C</v>
          </cell>
          <cell r="D138" t="str">
            <v>F</v>
          </cell>
          <cell r="E138" t="str">
            <v>Bembeke turnoff (junction M1) - Bembeke</v>
          </cell>
          <cell r="F138" t="str">
            <v>T376</v>
          </cell>
          <cell r="G138">
            <v>1</v>
          </cell>
          <cell r="H138">
            <v>9.8000000000000007</v>
          </cell>
          <cell r="I138" t="str">
            <v>R</v>
          </cell>
          <cell r="J138" t="str">
            <v>DEDZA</v>
          </cell>
          <cell r="K138">
            <v>7</v>
          </cell>
          <cell r="L138" t="str">
            <v>Changed designation from T372 to T376</v>
          </cell>
        </row>
        <row r="139">
          <cell r="A139" t="str">
            <v>RS 615</v>
          </cell>
          <cell r="B139">
            <v>437</v>
          </cell>
          <cell r="C139" t="str">
            <v>C</v>
          </cell>
          <cell r="D139" t="str">
            <v>F</v>
          </cell>
          <cell r="E139" t="str">
            <v>Bembeke - Chinkwita</v>
          </cell>
          <cell r="F139" t="str">
            <v>T376</v>
          </cell>
          <cell r="G139">
            <v>2</v>
          </cell>
          <cell r="H139">
            <v>4.5</v>
          </cell>
          <cell r="I139" t="str">
            <v>R</v>
          </cell>
          <cell r="J139" t="str">
            <v>DEDZA</v>
          </cell>
          <cell r="K139">
            <v>7</v>
          </cell>
          <cell r="L139" t="str">
            <v>Changed designation from T372 to T376</v>
          </cell>
        </row>
        <row r="140">
          <cell r="A140" t="str">
            <v>RS 674</v>
          </cell>
          <cell r="B140">
            <v>496</v>
          </cell>
          <cell r="C140" t="str">
            <v>S</v>
          </cell>
          <cell r="D140" t="str">
            <v>F</v>
          </cell>
          <cell r="E140" t="str">
            <v>Nsandu - Chimphamba</v>
          </cell>
          <cell r="F140" t="str">
            <v>T379</v>
          </cell>
          <cell r="G140">
            <v>1</v>
          </cell>
          <cell r="H140">
            <v>3.8</v>
          </cell>
          <cell r="I140" t="str">
            <v>R</v>
          </cell>
          <cell r="J140" t="str">
            <v>MANGOCHI</v>
          </cell>
          <cell r="K140">
            <v>7</v>
          </cell>
          <cell r="L140" t="str">
            <v>Changed designation from T378 to T379</v>
          </cell>
        </row>
        <row r="141">
          <cell r="A141" t="str">
            <v>RS 795</v>
          </cell>
          <cell r="B141">
            <v>617</v>
          </cell>
          <cell r="C141" t="str">
            <v>S</v>
          </cell>
          <cell r="D141" t="str">
            <v>F</v>
          </cell>
          <cell r="E141" t="str">
            <v>Chimphamba - Malembo</v>
          </cell>
          <cell r="F141" t="str">
            <v>T379</v>
          </cell>
          <cell r="G141">
            <v>2</v>
          </cell>
          <cell r="H141">
            <v>19</v>
          </cell>
          <cell r="I141" t="str">
            <v>FL</v>
          </cell>
          <cell r="J141" t="str">
            <v>MANGOCHI</v>
          </cell>
          <cell r="K141">
            <v>7</v>
          </cell>
          <cell r="L141" t="str">
            <v>Changed designation from D231 to T379</v>
          </cell>
        </row>
        <row r="142">
          <cell r="A142" t="str">
            <v>RS 796</v>
          </cell>
          <cell r="B142">
            <v>618</v>
          </cell>
          <cell r="C142" t="str">
            <v>S</v>
          </cell>
          <cell r="D142" t="str">
            <v>F</v>
          </cell>
          <cell r="E142" t="str">
            <v>Malembo - Kuchilipa</v>
          </cell>
          <cell r="F142" t="str">
            <v>T379</v>
          </cell>
          <cell r="G142">
            <v>3</v>
          </cell>
          <cell r="H142">
            <v>2.6</v>
          </cell>
          <cell r="I142" t="str">
            <v>FL</v>
          </cell>
          <cell r="J142" t="str">
            <v>MANGOCHI</v>
          </cell>
          <cell r="K142">
            <v>7</v>
          </cell>
          <cell r="L142" t="str">
            <v>Changed designation from D231 to T379</v>
          </cell>
        </row>
        <row r="143">
          <cell r="A143" t="str">
            <v>RS 634</v>
          </cell>
          <cell r="B143">
            <v>456</v>
          </cell>
          <cell r="C143" t="str">
            <v>C</v>
          </cell>
          <cell r="D143" t="str">
            <v>F</v>
          </cell>
          <cell r="E143" t="str">
            <v>Bemvu - Thumbi River</v>
          </cell>
          <cell r="F143" t="str">
            <v>T380</v>
          </cell>
          <cell r="G143">
            <v>1</v>
          </cell>
          <cell r="H143">
            <v>8.3000000000000007</v>
          </cell>
          <cell r="I143" t="str">
            <v>R</v>
          </cell>
          <cell r="J143" t="str">
            <v>NTCHEU</v>
          </cell>
          <cell r="K143">
            <v>8</v>
          </cell>
          <cell r="L143" t="str">
            <v>Changed designation from T361 to M30</v>
          </cell>
        </row>
        <row r="144">
          <cell r="A144" t="str">
            <v>RS 633</v>
          </cell>
          <cell r="B144">
            <v>455</v>
          </cell>
          <cell r="C144" t="str">
            <v>C</v>
          </cell>
          <cell r="D144" t="str">
            <v>F</v>
          </cell>
          <cell r="E144" t="str">
            <v>Thumbi River - Matale</v>
          </cell>
          <cell r="F144" t="str">
            <v>T380</v>
          </cell>
          <cell r="G144">
            <v>2</v>
          </cell>
          <cell r="H144">
            <v>12.6</v>
          </cell>
          <cell r="I144" t="str">
            <v>R</v>
          </cell>
          <cell r="J144" t="str">
            <v>NTCHEU</v>
          </cell>
          <cell r="K144">
            <v>8</v>
          </cell>
          <cell r="L144">
            <v>0</v>
          </cell>
        </row>
        <row r="145">
          <cell r="A145" t="str">
            <v>RS 677</v>
          </cell>
          <cell r="B145">
            <v>499</v>
          </cell>
          <cell r="C145" t="str">
            <v>S</v>
          </cell>
          <cell r="D145" t="str">
            <v>F</v>
          </cell>
          <cell r="E145" t="str">
            <v>Chamba - Kungwa River</v>
          </cell>
          <cell r="F145" t="str">
            <v>T381</v>
          </cell>
          <cell r="G145">
            <v>1</v>
          </cell>
          <cell r="H145">
            <v>23.8</v>
          </cell>
          <cell r="I145" t="str">
            <v>FL</v>
          </cell>
          <cell r="J145" t="str">
            <v>MANGOCHI</v>
          </cell>
          <cell r="K145">
            <v>7</v>
          </cell>
          <cell r="L145" t="str">
            <v>Changed from urban to trunk</v>
          </cell>
        </row>
        <row r="146">
          <cell r="A146" t="str">
            <v>RS 676</v>
          </cell>
          <cell r="B146">
            <v>498</v>
          </cell>
          <cell r="C146" t="str">
            <v>S</v>
          </cell>
          <cell r="D146" t="str">
            <v>F</v>
          </cell>
          <cell r="E146" t="str">
            <v>Kungira River - Nsonde</v>
          </cell>
          <cell r="F146" t="str">
            <v>T381</v>
          </cell>
          <cell r="G146">
            <v>2</v>
          </cell>
          <cell r="H146">
            <v>19.3</v>
          </cell>
          <cell r="I146" t="str">
            <v>R</v>
          </cell>
          <cell r="J146" t="str">
            <v>MANGOCHI &amp; MACHINGA</v>
          </cell>
          <cell r="K146">
            <v>8</v>
          </cell>
          <cell r="L146">
            <v>0</v>
          </cell>
        </row>
        <row r="147">
          <cell r="A147" t="str">
            <v>RS 794</v>
          </cell>
          <cell r="B147">
            <v>616</v>
          </cell>
          <cell r="C147" t="str">
            <v>S</v>
          </cell>
          <cell r="D147" t="str">
            <v>F</v>
          </cell>
          <cell r="E147" t="str">
            <v>Nsonde - Kapire</v>
          </cell>
          <cell r="F147" t="str">
            <v>T381</v>
          </cell>
          <cell r="G147">
            <v>3</v>
          </cell>
          <cell r="H147">
            <v>14.7</v>
          </cell>
          <cell r="I147" t="str">
            <v>H</v>
          </cell>
          <cell r="J147" t="str">
            <v>MANGOCHI</v>
          </cell>
          <cell r="K147">
            <v>8</v>
          </cell>
          <cell r="L147" t="str">
            <v>Changed designation from D226 to T381</v>
          </cell>
        </row>
        <row r="148">
          <cell r="A148" t="str">
            <v>RS 673</v>
          </cell>
          <cell r="B148">
            <v>495</v>
          </cell>
          <cell r="C148" t="str">
            <v>S</v>
          </cell>
          <cell r="D148" t="str">
            <v>F</v>
          </cell>
          <cell r="E148" t="str">
            <v>Kapire - Mbela (junction S133)</v>
          </cell>
          <cell r="F148" t="str">
            <v>T381</v>
          </cell>
          <cell r="G148">
            <v>4</v>
          </cell>
          <cell r="H148">
            <v>16.5</v>
          </cell>
          <cell r="I148" t="str">
            <v>H</v>
          </cell>
          <cell r="J148" t="str">
            <v>MACHINGA</v>
          </cell>
          <cell r="K148">
            <v>8</v>
          </cell>
          <cell r="L148" t="str">
            <v>Changed designation from S133  to T381</v>
          </cell>
        </row>
        <row r="149">
          <cell r="A149" t="str">
            <v>RS 675</v>
          </cell>
          <cell r="B149">
            <v>497</v>
          </cell>
          <cell r="C149" t="str">
            <v>S</v>
          </cell>
          <cell r="D149" t="str">
            <v>F</v>
          </cell>
          <cell r="E149" t="str">
            <v xml:space="preserve"> Chantulo (junction M10) - Bwanje </v>
          </cell>
          <cell r="F149" t="str">
            <v>T382</v>
          </cell>
          <cell r="G149">
            <v>1</v>
          </cell>
          <cell r="H149">
            <v>17.899999999999999</v>
          </cell>
          <cell r="I149" t="str">
            <v>FL</v>
          </cell>
          <cell r="J149" t="str">
            <v>MANGOCHI</v>
          </cell>
          <cell r="K149">
            <v>7</v>
          </cell>
          <cell r="L149" t="str">
            <v>Changed designation from T381 toT382</v>
          </cell>
        </row>
        <row r="150">
          <cell r="A150" t="str">
            <v>RS 635</v>
          </cell>
          <cell r="B150">
            <v>457</v>
          </cell>
          <cell r="C150" t="str">
            <v>C</v>
          </cell>
          <cell r="D150" t="str">
            <v>F</v>
          </cell>
          <cell r="E150" t="str">
            <v>Namwiri - Kasinje (junction M5)</v>
          </cell>
          <cell r="F150" t="str">
            <v>T382</v>
          </cell>
          <cell r="G150">
            <v>2</v>
          </cell>
          <cell r="H150">
            <v>14.4</v>
          </cell>
          <cell r="I150" t="str">
            <v>FL</v>
          </cell>
          <cell r="J150" t="str">
            <v>NTCHEU</v>
          </cell>
          <cell r="K150">
            <v>8</v>
          </cell>
          <cell r="L150" t="str">
            <v>Changed designation from T381 toT382</v>
          </cell>
        </row>
        <row r="151">
          <cell r="A151" t="str">
            <v>RS 637</v>
          </cell>
          <cell r="B151">
            <v>459</v>
          </cell>
          <cell r="C151" t="str">
            <v>C</v>
          </cell>
          <cell r="D151" t="str">
            <v>F</v>
          </cell>
          <cell r="E151" t="str">
            <v>Khwekhwelele (junction (S127) - Nkhulo</v>
          </cell>
          <cell r="F151" t="str">
            <v>T383</v>
          </cell>
          <cell r="G151">
            <v>1</v>
          </cell>
          <cell r="H151">
            <v>12.2</v>
          </cell>
          <cell r="I151" t="str">
            <v>R</v>
          </cell>
          <cell r="J151" t="str">
            <v>NTCHEU</v>
          </cell>
          <cell r="K151">
            <v>8</v>
          </cell>
          <cell r="L151" t="str">
            <v>Changed designation from S124 to S135</v>
          </cell>
        </row>
        <row r="152">
          <cell r="A152" t="str">
            <v>RS 636</v>
          </cell>
          <cell r="B152">
            <v>458</v>
          </cell>
          <cell r="C152" t="str">
            <v>C</v>
          </cell>
          <cell r="D152" t="str">
            <v>F</v>
          </cell>
          <cell r="E152" t="str">
            <v>Nkhulo - Musso</v>
          </cell>
          <cell r="F152" t="str">
            <v>T383</v>
          </cell>
          <cell r="G152">
            <v>2</v>
          </cell>
          <cell r="H152">
            <v>6.9</v>
          </cell>
          <cell r="I152" t="str">
            <v>R</v>
          </cell>
          <cell r="J152" t="str">
            <v>NTCHEU</v>
          </cell>
          <cell r="K152">
            <v>8</v>
          </cell>
          <cell r="L152" t="str">
            <v>Changed designation from S124 to S135</v>
          </cell>
        </row>
        <row r="153">
          <cell r="A153" t="str">
            <v>RS 638</v>
          </cell>
          <cell r="B153">
            <v>460</v>
          </cell>
          <cell r="C153" t="str">
            <v>C</v>
          </cell>
          <cell r="D153" t="str">
            <v>F</v>
          </cell>
          <cell r="E153" t="str">
            <v>Musso - Kandeu (junction S134)</v>
          </cell>
          <cell r="F153" t="str">
            <v>T383</v>
          </cell>
          <cell r="G153">
            <v>3</v>
          </cell>
          <cell r="H153">
            <v>4.5</v>
          </cell>
          <cell r="I153" t="str">
            <v>R</v>
          </cell>
          <cell r="J153" t="str">
            <v>NTCHEU</v>
          </cell>
          <cell r="K153">
            <v>8</v>
          </cell>
          <cell r="L153">
            <v>0</v>
          </cell>
        </row>
        <row r="154">
          <cell r="A154" t="str">
            <v>RS 641</v>
          </cell>
          <cell r="B154">
            <v>463</v>
          </cell>
          <cell r="C154" t="str">
            <v>C</v>
          </cell>
          <cell r="D154" t="str">
            <v>F</v>
          </cell>
          <cell r="E154" t="str">
            <v>Bilila (junction M5) - Linengwe River</v>
          </cell>
          <cell r="F154" t="str">
            <v>T384</v>
          </cell>
          <cell r="G154">
            <v>1</v>
          </cell>
          <cell r="H154">
            <v>5</v>
          </cell>
          <cell r="I154" t="str">
            <v>FL</v>
          </cell>
          <cell r="J154" t="str">
            <v>NTCHEU</v>
          </cell>
          <cell r="K154">
            <v>8</v>
          </cell>
          <cell r="L154" t="str">
            <v>Changed designation from T398 to S135</v>
          </cell>
        </row>
        <row r="155">
          <cell r="A155" t="str">
            <v>RS 643</v>
          </cell>
          <cell r="B155">
            <v>465</v>
          </cell>
          <cell r="C155" t="str">
            <v>C</v>
          </cell>
          <cell r="D155" t="str">
            <v>F</v>
          </cell>
          <cell r="E155" t="str">
            <v>Linengwe River - Njereza</v>
          </cell>
          <cell r="F155" t="str">
            <v>T384</v>
          </cell>
          <cell r="G155">
            <v>2</v>
          </cell>
          <cell r="H155">
            <v>6.8</v>
          </cell>
          <cell r="I155" t="str">
            <v>FL</v>
          </cell>
          <cell r="J155" t="str">
            <v>NTCHEU</v>
          </cell>
          <cell r="K155">
            <v>8</v>
          </cell>
          <cell r="L155" t="str">
            <v>Changed designation from T398 to S135</v>
          </cell>
        </row>
        <row r="156">
          <cell r="A156" t="str">
            <v>RS 645</v>
          </cell>
          <cell r="B156">
            <v>467</v>
          </cell>
          <cell r="C156" t="str">
            <v>C</v>
          </cell>
          <cell r="D156" t="str">
            <v>F</v>
          </cell>
          <cell r="E156" t="str">
            <v>Njereza - Chauya</v>
          </cell>
          <cell r="F156" t="str">
            <v>T384</v>
          </cell>
          <cell r="G156">
            <v>3</v>
          </cell>
          <cell r="H156">
            <v>4.9000000000000004</v>
          </cell>
          <cell r="I156" t="str">
            <v>R</v>
          </cell>
          <cell r="J156" t="str">
            <v>NTCHEU</v>
          </cell>
          <cell r="K156">
            <v>8</v>
          </cell>
          <cell r="L156">
            <v>0</v>
          </cell>
        </row>
        <row r="157">
          <cell r="A157" t="str">
            <v>RS 640</v>
          </cell>
          <cell r="B157">
            <v>462</v>
          </cell>
          <cell r="C157" t="str">
            <v>C</v>
          </cell>
          <cell r="D157" t="str">
            <v>F</v>
          </cell>
          <cell r="E157" t="str">
            <v>Chauya - Chirigwalo</v>
          </cell>
          <cell r="F157" t="str">
            <v>T384</v>
          </cell>
          <cell r="G157">
            <v>4</v>
          </cell>
          <cell r="H157">
            <v>8.8000000000000007</v>
          </cell>
          <cell r="I157" t="str">
            <v>R</v>
          </cell>
          <cell r="J157" t="str">
            <v>NTCHEU</v>
          </cell>
          <cell r="K157">
            <v>8</v>
          </cell>
          <cell r="L157" t="str">
            <v>Changed designation from M15 to S128</v>
          </cell>
        </row>
        <row r="158">
          <cell r="A158" t="str">
            <v>RS 639</v>
          </cell>
          <cell r="B158">
            <v>461</v>
          </cell>
          <cell r="C158" t="str">
            <v>C</v>
          </cell>
          <cell r="D158" t="str">
            <v>F</v>
          </cell>
          <cell r="E158" t="str">
            <v>Chirigwalo - Kansapato (junction S134)</v>
          </cell>
          <cell r="F158" t="str">
            <v>T384</v>
          </cell>
          <cell r="G158">
            <v>5</v>
          </cell>
          <cell r="H158">
            <v>8.9</v>
          </cell>
          <cell r="I158" t="str">
            <v>FL</v>
          </cell>
          <cell r="J158" t="str">
            <v>NTCHEU</v>
          </cell>
          <cell r="K158">
            <v>8</v>
          </cell>
          <cell r="L158">
            <v>0</v>
          </cell>
        </row>
        <row r="159">
          <cell r="A159" t="str">
            <v>RS 680</v>
          </cell>
          <cell r="B159">
            <v>502</v>
          </cell>
          <cell r="C159" t="str">
            <v>S</v>
          </cell>
          <cell r="D159" t="str">
            <v>F</v>
          </cell>
          <cell r="E159" t="str">
            <v>Mangochi - Issa</v>
          </cell>
          <cell r="F159" t="str">
            <v>T385</v>
          </cell>
          <cell r="G159">
            <v>1</v>
          </cell>
          <cell r="H159">
            <v>13</v>
          </cell>
          <cell r="I159" t="str">
            <v>FL</v>
          </cell>
          <cell r="J159" t="str">
            <v>MANGOCHI</v>
          </cell>
          <cell r="K159">
            <v>8</v>
          </cell>
          <cell r="L159">
            <v>0</v>
          </cell>
        </row>
        <row r="160">
          <cell r="A160" t="str">
            <v>RS 678</v>
          </cell>
          <cell r="B160">
            <v>500</v>
          </cell>
          <cell r="C160" t="str">
            <v>S</v>
          </cell>
          <cell r="D160" t="str">
            <v>F</v>
          </cell>
          <cell r="E160" t="str">
            <v>Issa - Katete River</v>
          </cell>
          <cell r="F160" t="str">
            <v>T385</v>
          </cell>
          <cell r="G160">
            <v>2</v>
          </cell>
          <cell r="H160">
            <v>15.4</v>
          </cell>
          <cell r="I160" t="str">
            <v>R</v>
          </cell>
          <cell r="J160" t="str">
            <v>MANGOCHI</v>
          </cell>
          <cell r="K160">
            <v>8</v>
          </cell>
          <cell r="L160">
            <v>0</v>
          </cell>
        </row>
        <row r="161">
          <cell r="A161" t="str">
            <v>RS 679</v>
          </cell>
          <cell r="B161">
            <v>501</v>
          </cell>
          <cell r="C161" t="str">
            <v>S</v>
          </cell>
          <cell r="D161" t="str">
            <v>F</v>
          </cell>
          <cell r="E161" t="str">
            <v>Katete River - Nsonde</v>
          </cell>
          <cell r="F161" t="str">
            <v>T385</v>
          </cell>
          <cell r="G161">
            <v>3</v>
          </cell>
          <cell r="H161">
            <v>23.4</v>
          </cell>
          <cell r="I161" t="str">
            <v>R</v>
          </cell>
          <cell r="J161" t="str">
            <v>MACHINGA</v>
          </cell>
          <cell r="K161">
            <v>8</v>
          </cell>
          <cell r="L161" t="str">
            <v>Changed designation from S142 to S139</v>
          </cell>
        </row>
        <row r="162">
          <cell r="A162" t="str">
            <v>RS 681</v>
          </cell>
          <cell r="B162">
            <v>503</v>
          </cell>
          <cell r="C162" t="str">
            <v>S</v>
          </cell>
          <cell r="D162" t="str">
            <v>F</v>
          </cell>
          <cell r="E162" t="str">
            <v>Nsonde - Nankulukuti</v>
          </cell>
          <cell r="F162" t="str">
            <v>T385</v>
          </cell>
          <cell r="G162">
            <v>4</v>
          </cell>
          <cell r="H162">
            <v>8.5</v>
          </cell>
          <cell r="I162" t="str">
            <v>R</v>
          </cell>
          <cell r="J162" t="str">
            <v>MANGOCHI</v>
          </cell>
          <cell r="K162">
            <v>8</v>
          </cell>
          <cell r="L162">
            <v>0</v>
          </cell>
        </row>
        <row r="163">
          <cell r="A163" t="str">
            <v>RS 646</v>
          </cell>
          <cell r="B163">
            <v>468</v>
          </cell>
          <cell r="C163" t="str">
            <v>C</v>
          </cell>
          <cell r="D163" t="str">
            <v>F</v>
          </cell>
          <cell r="E163" t="str">
            <v>Nankulukuti - Nampoya</v>
          </cell>
          <cell r="F163" t="str">
            <v>T385</v>
          </cell>
          <cell r="G163">
            <v>5</v>
          </cell>
          <cell r="H163">
            <v>8.1999999999999993</v>
          </cell>
          <cell r="I163" t="str">
            <v>FL</v>
          </cell>
          <cell r="J163" t="str">
            <v>NTCHEU</v>
          </cell>
          <cell r="K163">
            <v>8</v>
          </cell>
          <cell r="L163">
            <v>0</v>
          </cell>
        </row>
        <row r="164">
          <cell r="A164" t="str">
            <v>RS 647</v>
          </cell>
          <cell r="B164">
            <v>469</v>
          </cell>
          <cell r="C164" t="str">
            <v>C</v>
          </cell>
          <cell r="D164" t="str">
            <v>F</v>
          </cell>
          <cell r="E164" t="str">
            <v>Nampoya - Linengwe River</v>
          </cell>
          <cell r="F164" t="str">
            <v>T385</v>
          </cell>
          <cell r="G164">
            <v>6</v>
          </cell>
          <cell r="H164">
            <v>9</v>
          </cell>
          <cell r="I164" t="str">
            <v>FL</v>
          </cell>
          <cell r="J164" t="str">
            <v>NTCHEU</v>
          </cell>
          <cell r="K164">
            <v>8</v>
          </cell>
          <cell r="L164">
            <v>0</v>
          </cell>
        </row>
        <row r="165">
          <cell r="A165" t="str">
            <v>RS 684</v>
          </cell>
          <cell r="B165">
            <v>506</v>
          </cell>
          <cell r="C165" t="str">
            <v>S</v>
          </cell>
          <cell r="D165" t="str">
            <v>F</v>
          </cell>
          <cell r="E165" t="str">
            <v>Idulusi (junction M3) - Itunji</v>
          </cell>
          <cell r="F165" t="str">
            <v>T386</v>
          </cell>
          <cell r="G165">
            <v>1</v>
          </cell>
          <cell r="H165">
            <v>16</v>
          </cell>
          <cell r="I165" t="str">
            <v>R</v>
          </cell>
          <cell r="J165" t="str">
            <v>MANGOCHI</v>
          </cell>
          <cell r="K165">
            <v>7</v>
          </cell>
          <cell r="L165" t="str">
            <v>Changed from feeder to trunk as bitumen road</v>
          </cell>
        </row>
        <row r="166">
          <cell r="A166" t="str">
            <v>RS 682</v>
          </cell>
          <cell r="B166">
            <v>504</v>
          </cell>
          <cell r="C166" t="str">
            <v>S</v>
          </cell>
          <cell r="D166" t="str">
            <v>F</v>
          </cell>
          <cell r="E166" t="str">
            <v>Itunji - Mpita</v>
          </cell>
          <cell r="F166" t="str">
            <v>T386</v>
          </cell>
          <cell r="G166">
            <v>2</v>
          </cell>
          <cell r="H166">
            <v>13.9</v>
          </cell>
          <cell r="I166" t="str">
            <v>R</v>
          </cell>
          <cell r="J166" t="str">
            <v>MANGOCHI</v>
          </cell>
          <cell r="K166">
            <v>7</v>
          </cell>
          <cell r="L166" t="str">
            <v>Changed designation from S116 to T334. Changed to trunk</v>
          </cell>
        </row>
        <row r="167">
          <cell r="A167" t="str">
            <v>RS 683</v>
          </cell>
          <cell r="B167">
            <v>505</v>
          </cell>
          <cell r="C167" t="str">
            <v>S</v>
          </cell>
          <cell r="D167" t="str">
            <v>F</v>
          </cell>
          <cell r="E167" t="str">
            <v>Mpita - Kwisimba</v>
          </cell>
          <cell r="F167" t="str">
            <v>T386</v>
          </cell>
          <cell r="G167">
            <v>3</v>
          </cell>
          <cell r="H167">
            <v>8.8000000000000007</v>
          </cell>
          <cell r="I167" t="str">
            <v>R</v>
          </cell>
          <cell r="J167" t="str">
            <v>MANGOCHI</v>
          </cell>
          <cell r="K167">
            <v>7</v>
          </cell>
          <cell r="L167">
            <v>0</v>
          </cell>
        </row>
        <row r="168">
          <cell r="A168" t="str">
            <v>RS 797</v>
          </cell>
          <cell r="B168">
            <v>619</v>
          </cell>
          <cell r="C168" t="str">
            <v>S</v>
          </cell>
          <cell r="D168" t="str">
            <v>F</v>
          </cell>
          <cell r="E168" t="str">
            <v>Namwera - Chithumba</v>
          </cell>
          <cell r="F168" t="str">
            <v>T387</v>
          </cell>
          <cell r="G168">
            <v>1</v>
          </cell>
          <cell r="H168">
            <v>9.3000000000000007</v>
          </cell>
          <cell r="I168" t="str">
            <v>FL</v>
          </cell>
          <cell r="J168" t="str">
            <v>MANGOCHI</v>
          </cell>
          <cell r="K168">
            <v>7</v>
          </cell>
          <cell r="L168" t="str">
            <v>Changed designation from D232 to T387</v>
          </cell>
        </row>
        <row r="169">
          <cell r="A169" t="str">
            <v>RS 798</v>
          </cell>
          <cell r="B169">
            <v>620</v>
          </cell>
          <cell r="C169" t="str">
            <v>S</v>
          </cell>
          <cell r="D169" t="str">
            <v>F</v>
          </cell>
          <cell r="E169" t="str">
            <v>Chithumba - ID/Y</v>
          </cell>
          <cell r="F169" t="str">
            <v>T387</v>
          </cell>
          <cell r="G169">
            <v>2</v>
          </cell>
          <cell r="H169">
            <v>21.4</v>
          </cell>
          <cell r="I169" t="str">
            <v>FL</v>
          </cell>
          <cell r="J169" t="str">
            <v>MANGOCHI</v>
          </cell>
          <cell r="K169">
            <v>7</v>
          </cell>
          <cell r="L169" t="str">
            <v>Changed designation from D232 to T387</v>
          </cell>
        </row>
        <row r="170">
          <cell r="A170" t="str">
            <v>RS 688</v>
          </cell>
          <cell r="B170">
            <v>510</v>
          </cell>
          <cell r="C170" t="str">
            <v>S</v>
          </cell>
          <cell r="D170" t="str">
            <v>F</v>
          </cell>
          <cell r="E170" t="str">
            <v>Mbalula - Lingamadzi River</v>
          </cell>
          <cell r="F170" t="str">
            <v>T388</v>
          </cell>
          <cell r="G170">
            <v>1</v>
          </cell>
          <cell r="H170">
            <v>11.7</v>
          </cell>
          <cell r="I170" t="str">
            <v>R</v>
          </cell>
          <cell r="J170" t="str">
            <v>MANGOCHI</v>
          </cell>
          <cell r="K170">
            <v>8</v>
          </cell>
          <cell r="L170">
            <v>0</v>
          </cell>
        </row>
        <row r="171">
          <cell r="A171" t="str">
            <v>RS 689</v>
          </cell>
          <cell r="B171">
            <v>511</v>
          </cell>
          <cell r="C171" t="str">
            <v>S</v>
          </cell>
          <cell r="D171" t="str">
            <v>F</v>
          </cell>
          <cell r="E171" t="str">
            <v>Lingamadzi River - Malombe</v>
          </cell>
          <cell r="F171" t="str">
            <v>T388</v>
          </cell>
          <cell r="G171">
            <v>2</v>
          </cell>
          <cell r="H171">
            <v>16.399999999999999</v>
          </cell>
          <cell r="I171" t="str">
            <v>FL</v>
          </cell>
          <cell r="J171" t="str">
            <v>MANGOCHI</v>
          </cell>
          <cell r="K171">
            <v>8</v>
          </cell>
          <cell r="L171">
            <v>0</v>
          </cell>
        </row>
        <row r="172">
          <cell r="A172" t="str">
            <v>RS 687</v>
          </cell>
          <cell r="B172">
            <v>509</v>
          </cell>
          <cell r="C172" t="str">
            <v>S</v>
          </cell>
          <cell r="D172" t="str">
            <v>F</v>
          </cell>
          <cell r="E172" t="str">
            <v>Malombe - Masanje River</v>
          </cell>
          <cell r="F172" t="str">
            <v>T388</v>
          </cell>
          <cell r="G172">
            <v>3</v>
          </cell>
          <cell r="H172">
            <v>25.4</v>
          </cell>
          <cell r="I172" t="str">
            <v>R</v>
          </cell>
          <cell r="J172" t="str">
            <v>MANGOCHI</v>
          </cell>
          <cell r="K172">
            <v>8</v>
          </cell>
          <cell r="L172">
            <v>0</v>
          </cell>
        </row>
        <row r="173">
          <cell r="A173" t="str">
            <v>RS 686</v>
          </cell>
          <cell r="B173">
            <v>508</v>
          </cell>
          <cell r="C173" t="str">
            <v>S</v>
          </cell>
          <cell r="D173" t="str">
            <v>F</v>
          </cell>
          <cell r="E173" t="str">
            <v>Masanje River - Namandanje River</v>
          </cell>
          <cell r="F173" t="str">
            <v>T388</v>
          </cell>
          <cell r="G173">
            <v>4</v>
          </cell>
          <cell r="H173">
            <v>12.1</v>
          </cell>
          <cell r="I173" t="str">
            <v>R</v>
          </cell>
          <cell r="J173" t="str">
            <v>MANGOCHI &amp; MACHINGA</v>
          </cell>
          <cell r="K173">
            <v>8</v>
          </cell>
          <cell r="L173">
            <v>0</v>
          </cell>
        </row>
        <row r="174">
          <cell r="A174" t="str">
            <v>RS 694</v>
          </cell>
          <cell r="B174">
            <v>516</v>
          </cell>
          <cell r="C174" t="str">
            <v>S</v>
          </cell>
          <cell r="D174" t="str">
            <v>F</v>
          </cell>
          <cell r="E174" t="str">
            <v>Masuku (junction S131) - Nakapa</v>
          </cell>
          <cell r="F174" t="str">
            <v>T389</v>
          </cell>
          <cell r="G174">
            <v>1</v>
          </cell>
          <cell r="H174">
            <v>7.9</v>
          </cell>
          <cell r="I174" t="str">
            <v>R</v>
          </cell>
          <cell r="J174" t="str">
            <v>MANGOCHI</v>
          </cell>
          <cell r="K174">
            <v>8</v>
          </cell>
          <cell r="L174">
            <v>0</v>
          </cell>
        </row>
        <row r="175">
          <cell r="A175" t="str">
            <v>RS 690</v>
          </cell>
          <cell r="B175">
            <v>512</v>
          </cell>
          <cell r="C175" t="str">
            <v>S</v>
          </cell>
          <cell r="D175" t="str">
            <v>F</v>
          </cell>
          <cell r="E175" t="str">
            <v>Nakapa - Lisimba Estate</v>
          </cell>
          <cell r="F175" t="str">
            <v>T389</v>
          </cell>
          <cell r="G175">
            <v>2</v>
          </cell>
          <cell r="H175">
            <v>4.4000000000000004</v>
          </cell>
          <cell r="I175" t="str">
            <v>R</v>
          </cell>
          <cell r="J175" t="str">
            <v>MANGOCHI</v>
          </cell>
          <cell r="K175">
            <v>8</v>
          </cell>
          <cell r="L175">
            <v>0</v>
          </cell>
        </row>
        <row r="176">
          <cell r="A176" t="str">
            <v>RS 692</v>
          </cell>
          <cell r="B176">
            <v>514</v>
          </cell>
          <cell r="C176" t="str">
            <v>S</v>
          </cell>
          <cell r="D176" t="str">
            <v>F</v>
          </cell>
          <cell r="E176" t="str">
            <v>Lisimba Estate - Nyenyezi River</v>
          </cell>
          <cell r="F176" t="str">
            <v>T389</v>
          </cell>
          <cell r="G176">
            <v>3</v>
          </cell>
          <cell r="H176">
            <v>8.9</v>
          </cell>
          <cell r="I176" t="str">
            <v>R</v>
          </cell>
          <cell r="J176" t="str">
            <v>MANGOCHI</v>
          </cell>
          <cell r="K176">
            <v>8</v>
          </cell>
          <cell r="L176" t="str">
            <v>Name changed from Kwacha Rd - Marhattma</v>
          </cell>
        </row>
        <row r="177">
          <cell r="A177" t="str">
            <v>RS 693</v>
          </cell>
          <cell r="B177">
            <v>515</v>
          </cell>
          <cell r="C177" t="str">
            <v>S</v>
          </cell>
          <cell r="D177" t="str">
            <v>F</v>
          </cell>
          <cell r="E177" t="str">
            <v>Nyenyezi River - Nkwepere ADMARC</v>
          </cell>
          <cell r="F177" t="str">
            <v>T389</v>
          </cell>
          <cell r="G177">
            <v>4</v>
          </cell>
          <cell r="H177">
            <v>5.0999999999999996</v>
          </cell>
          <cell r="I177" t="str">
            <v>R</v>
          </cell>
          <cell r="J177" t="str">
            <v>MANGOCHI</v>
          </cell>
          <cell r="K177">
            <v>8</v>
          </cell>
          <cell r="L177" t="str">
            <v>Name modified by City Council</v>
          </cell>
        </row>
        <row r="178">
          <cell r="A178" t="str">
            <v>RS 691</v>
          </cell>
          <cell r="B178">
            <v>513</v>
          </cell>
          <cell r="C178" t="str">
            <v>S</v>
          </cell>
          <cell r="D178" t="str">
            <v>F</v>
          </cell>
          <cell r="E178" t="str">
            <v>Nkwepele ADMARC - Nantwe</v>
          </cell>
          <cell r="F178" t="str">
            <v>T389</v>
          </cell>
          <cell r="G178">
            <v>5</v>
          </cell>
          <cell r="H178">
            <v>19.100000000000001</v>
          </cell>
          <cell r="I178" t="str">
            <v>R</v>
          </cell>
          <cell r="J178" t="str">
            <v>MANGOCHI</v>
          </cell>
          <cell r="K178">
            <v>8</v>
          </cell>
          <cell r="L178" t="str">
            <v>Name modified</v>
          </cell>
        </row>
        <row r="179">
          <cell r="A179" t="str">
            <v>RS 695</v>
          </cell>
          <cell r="B179">
            <v>517</v>
          </cell>
          <cell r="C179" t="str">
            <v>S</v>
          </cell>
          <cell r="D179" t="str">
            <v>F</v>
          </cell>
          <cell r="E179" t="str">
            <v>Ntaja - Nanyumbu</v>
          </cell>
          <cell r="F179" t="str">
            <v>T390</v>
          </cell>
          <cell r="G179">
            <v>5</v>
          </cell>
          <cell r="H179">
            <v>5.8</v>
          </cell>
          <cell r="I179" t="str">
            <v>R</v>
          </cell>
          <cell r="J179" t="str">
            <v>MACHINGA</v>
          </cell>
          <cell r="K179">
            <v>8</v>
          </cell>
          <cell r="L179" t="str">
            <v>Changed designation from S129 to S139</v>
          </cell>
        </row>
        <row r="180">
          <cell r="A180" t="str">
            <v>RS 701</v>
          </cell>
          <cell r="B180">
            <v>523</v>
          </cell>
          <cell r="C180" t="str">
            <v>S</v>
          </cell>
          <cell r="D180" t="str">
            <v>F</v>
          </cell>
          <cell r="E180" t="str">
            <v>Machina - Nkhokwe</v>
          </cell>
          <cell r="F180" t="str">
            <v>T391</v>
          </cell>
          <cell r="G180">
            <v>1</v>
          </cell>
          <cell r="H180">
            <v>16.399999999999999</v>
          </cell>
          <cell r="I180" t="str">
            <v>FL</v>
          </cell>
          <cell r="J180" t="str">
            <v>MACHINGA</v>
          </cell>
          <cell r="K180">
            <v>8</v>
          </cell>
          <cell r="L180" t="str">
            <v>Changed designation from T392 to T391</v>
          </cell>
        </row>
        <row r="181">
          <cell r="A181" t="str">
            <v>RS 702</v>
          </cell>
          <cell r="B181">
            <v>524</v>
          </cell>
          <cell r="C181" t="str">
            <v>S</v>
          </cell>
          <cell r="D181" t="str">
            <v>F</v>
          </cell>
          <cell r="E181" t="str">
            <v>Nkhokwe - Mpakaka</v>
          </cell>
          <cell r="F181" t="str">
            <v>T391</v>
          </cell>
          <cell r="G181">
            <v>2</v>
          </cell>
          <cell r="H181">
            <v>6.8</v>
          </cell>
          <cell r="I181" t="str">
            <v>FL</v>
          </cell>
          <cell r="J181" t="str">
            <v>MACHINGA</v>
          </cell>
          <cell r="K181">
            <v>8</v>
          </cell>
          <cell r="L181" t="str">
            <v>Changed designation from T392 to T391</v>
          </cell>
        </row>
        <row r="182">
          <cell r="A182" t="str">
            <v>RS 700</v>
          </cell>
          <cell r="B182">
            <v>522</v>
          </cell>
          <cell r="C182" t="str">
            <v>S</v>
          </cell>
          <cell r="D182" t="str">
            <v>F</v>
          </cell>
          <cell r="E182" t="str">
            <v>Nantwe - Maundani</v>
          </cell>
          <cell r="F182" t="str">
            <v>T392</v>
          </cell>
          <cell r="G182">
            <v>1</v>
          </cell>
          <cell r="H182">
            <v>3.9</v>
          </cell>
          <cell r="I182" t="str">
            <v>R</v>
          </cell>
          <cell r="J182" t="str">
            <v>MANGOCHI</v>
          </cell>
          <cell r="K182">
            <v>8</v>
          </cell>
          <cell r="L182" t="str">
            <v>Changed designation from S142 to S139</v>
          </cell>
        </row>
        <row r="183">
          <cell r="A183" t="str">
            <v>RS 696</v>
          </cell>
          <cell r="B183">
            <v>518</v>
          </cell>
          <cell r="C183" t="str">
            <v>S</v>
          </cell>
          <cell r="D183" t="str">
            <v>F</v>
          </cell>
          <cell r="E183" t="str">
            <v>Maundani - Machina</v>
          </cell>
          <cell r="F183" t="str">
            <v>T392</v>
          </cell>
          <cell r="G183">
            <v>2</v>
          </cell>
          <cell r="H183">
            <v>17</v>
          </cell>
          <cell r="I183" t="str">
            <v>H</v>
          </cell>
          <cell r="J183" t="str">
            <v>MANGOCHI</v>
          </cell>
          <cell r="K183">
            <v>8</v>
          </cell>
          <cell r="L183">
            <v>0</v>
          </cell>
        </row>
        <row r="184">
          <cell r="A184" t="str">
            <v>RS 699</v>
          </cell>
          <cell r="B184">
            <v>521</v>
          </cell>
          <cell r="C184" t="str">
            <v>S</v>
          </cell>
          <cell r="D184" t="str">
            <v>F</v>
          </cell>
          <cell r="E184" t="str">
            <v>Chikwewo - Beyadi</v>
          </cell>
          <cell r="F184" t="str">
            <v>T392</v>
          </cell>
          <cell r="G184">
            <v>3</v>
          </cell>
          <cell r="H184">
            <v>10.6</v>
          </cell>
          <cell r="I184" t="str">
            <v>FL</v>
          </cell>
          <cell r="J184" t="str">
            <v>MACHINGA</v>
          </cell>
          <cell r="K184">
            <v>8</v>
          </cell>
          <cell r="L184">
            <v>0</v>
          </cell>
        </row>
        <row r="185">
          <cell r="A185" t="str">
            <v>RS 697</v>
          </cell>
          <cell r="B185">
            <v>519</v>
          </cell>
          <cell r="C185" t="str">
            <v>S</v>
          </cell>
          <cell r="D185" t="str">
            <v>F</v>
          </cell>
          <cell r="E185" t="str">
            <v>Beyadi - Nanyumbu</v>
          </cell>
          <cell r="F185" t="str">
            <v>T392</v>
          </cell>
          <cell r="G185">
            <v>4</v>
          </cell>
          <cell r="H185">
            <v>13.7</v>
          </cell>
          <cell r="I185" t="str">
            <v>FL</v>
          </cell>
          <cell r="J185" t="str">
            <v>MANGOCHI</v>
          </cell>
          <cell r="K185">
            <v>8</v>
          </cell>
          <cell r="L185">
            <v>0</v>
          </cell>
        </row>
        <row r="186">
          <cell r="A186" t="str">
            <v>RS 705</v>
          </cell>
          <cell r="B186">
            <v>527</v>
          </cell>
          <cell r="C186" t="str">
            <v>S</v>
          </cell>
          <cell r="D186" t="str">
            <v>F</v>
          </cell>
          <cell r="E186" t="str">
            <v>Nsanama - Namanja Village</v>
          </cell>
          <cell r="F186" t="str">
            <v>T393</v>
          </cell>
          <cell r="G186">
            <v>1</v>
          </cell>
          <cell r="H186">
            <v>18.7</v>
          </cell>
          <cell r="I186" t="str">
            <v>FL</v>
          </cell>
          <cell r="J186" t="str">
            <v>MACHINGA</v>
          </cell>
          <cell r="K186">
            <v>8</v>
          </cell>
          <cell r="L186">
            <v>0</v>
          </cell>
        </row>
        <row r="187">
          <cell r="A187" t="str">
            <v>RS 703</v>
          </cell>
          <cell r="B187">
            <v>525</v>
          </cell>
          <cell r="C187" t="str">
            <v>S</v>
          </cell>
          <cell r="D187" t="str">
            <v>F</v>
          </cell>
          <cell r="E187" t="str">
            <v>Namanja Village - Namanja Station</v>
          </cell>
          <cell r="F187" t="str">
            <v>T393</v>
          </cell>
          <cell r="G187">
            <v>2</v>
          </cell>
          <cell r="H187">
            <v>4.2</v>
          </cell>
          <cell r="I187" t="str">
            <v>FL</v>
          </cell>
          <cell r="J187" t="str">
            <v>MACHINGA</v>
          </cell>
          <cell r="K187">
            <v>8</v>
          </cell>
          <cell r="L187">
            <v>0</v>
          </cell>
        </row>
        <row r="188">
          <cell r="A188" t="str">
            <v>RS 704</v>
          </cell>
          <cell r="B188">
            <v>526</v>
          </cell>
          <cell r="C188" t="str">
            <v>S</v>
          </cell>
          <cell r="D188" t="str">
            <v>F</v>
          </cell>
          <cell r="E188" t="str">
            <v>Namanja Station - Nayuchi (Mozambique border)</v>
          </cell>
          <cell r="F188" t="str">
            <v>T393</v>
          </cell>
          <cell r="G188">
            <v>3</v>
          </cell>
          <cell r="H188">
            <v>22.1</v>
          </cell>
          <cell r="I188" t="str">
            <v>FL</v>
          </cell>
          <cell r="J188" t="str">
            <v>MACHINGA</v>
          </cell>
          <cell r="K188">
            <v>8</v>
          </cell>
          <cell r="L188">
            <v>0</v>
          </cell>
        </row>
        <row r="189">
          <cell r="A189" t="str">
            <v>RS 652</v>
          </cell>
          <cell r="B189">
            <v>474</v>
          </cell>
          <cell r="C189" t="str">
            <v>C</v>
          </cell>
          <cell r="D189" t="str">
            <v>F</v>
          </cell>
          <cell r="E189" t="str">
            <v>Biliate (junction S135) - Kandoma</v>
          </cell>
          <cell r="F189" t="str">
            <v>T394</v>
          </cell>
          <cell r="G189">
            <v>1</v>
          </cell>
          <cell r="H189">
            <v>8.9</v>
          </cell>
          <cell r="I189" t="str">
            <v>R</v>
          </cell>
          <cell r="J189" t="str">
            <v>NTCHEU</v>
          </cell>
          <cell r="K189">
            <v>8</v>
          </cell>
          <cell r="L189" t="str">
            <v xml:space="preserve">Length changed </v>
          </cell>
        </row>
        <row r="190">
          <cell r="A190" t="str">
            <v>RS 649</v>
          </cell>
          <cell r="B190">
            <v>471</v>
          </cell>
          <cell r="C190" t="str">
            <v>C</v>
          </cell>
          <cell r="D190" t="str">
            <v>F</v>
          </cell>
          <cell r="E190" t="str">
            <v>Kandoma - Lipangwe</v>
          </cell>
          <cell r="F190" t="str">
            <v>T394</v>
          </cell>
          <cell r="G190">
            <v>2</v>
          </cell>
          <cell r="H190">
            <v>10.8</v>
          </cell>
          <cell r="I190" t="str">
            <v>R</v>
          </cell>
          <cell r="J190" t="str">
            <v>NTCHEU</v>
          </cell>
          <cell r="K190">
            <v>8</v>
          </cell>
          <cell r="L190" t="str">
            <v>New section part of origional RS 148</v>
          </cell>
        </row>
        <row r="191">
          <cell r="A191" t="str">
            <v>RS 655</v>
          </cell>
          <cell r="B191">
            <v>477</v>
          </cell>
          <cell r="C191" t="str">
            <v>C</v>
          </cell>
          <cell r="D191" t="str">
            <v>F</v>
          </cell>
          <cell r="E191" t="str">
            <v>Lipangwe - Matale</v>
          </cell>
          <cell r="F191" t="str">
            <v>T394</v>
          </cell>
          <cell r="G191">
            <v>3</v>
          </cell>
          <cell r="H191">
            <v>5.7</v>
          </cell>
          <cell r="I191" t="str">
            <v>R</v>
          </cell>
          <cell r="J191" t="str">
            <v>NTCHEU</v>
          </cell>
          <cell r="K191">
            <v>8</v>
          </cell>
          <cell r="L191">
            <v>0</v>
          </cell>
        </row>
        <row r="192">
          <cell r="A192" t="str">
            <v>RS 650</v>
          </cell>
          <cell r="B192">
            <v>472</v>
          </cell>
          <cell r="C192" t="str">
            <v>C</v>
          </cell>
          <cell r="D192" t="str">
            <v>F</v>
          </cell>
          <cell r="E192" t="str">
            <v>Matale - Bonongwe</v>
          </cell>
          <cell r="F192" t="str">
            <v>T394</v>
          </cell>
          <cell r="G192">
            <v>4</v>
          </cell>
          <cell r="H192">
            <v>4.8</v>
          </cell>
          <cell r="I192" t="str">
            <v>FL</v>
          </cell>
          <cell r="J192" t="str">
            <v>NTCHEU</v>
          </cell>
          <cell r="K192">
            <v>8</v>
          </cell>
          <cell r="L192">
            <v>0</v>
          </cell>
        </row>
        <row r="193">
          <cell r="A193" t="str">
            <v>RS 653</v>
          </cell>
          <cell r="B193">
            <v>475</v>
          </cell>
          <cell r="C193" t="str">
            <v>C</v>
          </cell>
          <cell r="D193" t="str">
            <v>F</v>
          </cell>
          <cell r="E193" t="str">
            <v>Bonongwe - Senzani (junction M1)</v>
          </cell>
          <cell r="F193" t="str">
            <v>T394</v>
          </cell>
          <cell r="G193">
            <v>5</v>
          </cell>
          <cell r="H193">
            <v>7.1</v>
          </cell>
          <cell r="I193" t="str">
            <v>R</v>
          </cell>
          <cell r="J193" t="str">
            <v>NTCHEU</v>
          </cell>
          <cell r="K193">
            <v>8</v>
          </cell>
          <cell r="L193">
            <v>0</v>
          </cell>
        </row>
        <row r="194">
          <cell r="A194" t="str">
            <v>RS 648</v>
          </cell>
          <cell r="B194">
            <v>470</v>
          </cell>
          <cell r="C194" t="str">
            <v>C</v>
          </cell>
          <cell r="D194" t="str">
            <v>F</v>
          </cell>
          <cell r="E194" t="str">
            <v>Doviko (junction S135) - Matande</v>
          </cell>
          <cell r="F194" t="str">
            <v>T395</v>
          </cell>
          <cell r="G194">
            <v>1</v>
          </cell>
          <cell r="H194">
            <v>10.8</v>
          </cell>
          <cell r="I194" t="str">
            <v>R</v>
          </cell>
          <cell r="J194" t="str">
            <v>NTCHEU</v>
          </cell>
          <cell r="K194">
            <v>8</v>
          </cell>
          <cell r="L194" t="str">
            <v>Changed designation from T394 to T395</v>
          </cell>
        </row>
        <row r="195">
          <cell r="A195" t="str">
            <v>RS 657</v>
          </cell>
          <cell r="B195">
            <v>479</v>
          </cell>
          <cell r="C195" t="str">
            <v>C</v>
          </cell>
          <cell r="D195" t="str">
            <v>F</v>
          </cell>
          <cell r="E195" t="str">
            <v>Matande - Jumbe</v>
          </cell>
          <cell r="F195" t="str">
            <v>T395</v>
          </cell>
          <cell r="G195">
            <v>2</v>
          </cell>
          <cell r="H195">
            <v>4.5999999999999996</v>
          </cell>
          <cell r="I195" t="str">
            <v>R</v>
          </cell>
          <cell r="J195" t="str">
            <v>NTCHEU</v>
          </cell>
          <cell r="K195">
            <v>8</v>
          </cell>
          <cell r="L195" t="str">
            <v>Changed designation from T394 to T395</v>
          </cell>
        </row>
        <row r="196">
          <cell r="A196" t="str">
            <v>RS 654</v>
          </cell>
          <cell r="B196">
            <v>476</v>
          </cell>
          <cell r="C196" t="str">
            <v>C</v>
          </cell>
          <cell r="D196" t="str">
            <v>F</v>
          </cell>
          <cell r="E196" t="str">
            <v>Jumbe - Bayani</v>
          </cell>
          <cell r="F196" t="str">
            <v>T395</v>
          </cell>
          <cell r="G196">
            <v>3</v>
          </cell>
          <cell r="H196">
            <v>10</v>
          </cell>
          <cell r="I196" t="str">
            <v>R</v>
          </cell>
          <cell r="J196" t="str">
            <v>NTCHEU</v>
          </cell>
          <cell r="K196">
            <v>8</v>
          </cell>
          <cell r="L196" t="str">
            <v>Changed designation from T394 to T395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RS 656</v>
          </cell>
          <cell r="B198">
            <v>478</v>
          </cell>
          <cell r="C198" t="str">
            <v>C</v>
          </cell>
          <cell r="D198" t="str">
            <v>F</v>
          </cell>
          <cell r="E198" t="str">
            <v>Zingilizi - Chilenga (junction S135)</v>
          </cell>
          <cell r="F198" t="str">
            <v>T395</v>
          </cell>
          <cell r="G198">
            <v>5</v>
          </cell>
          <cell r="H198">
            <v>8.6</v>
          </cell>
          <cell r="I198" t="str">
            <v>R</v>
          </cell>
          <cell r="J198" t="str">
            <v>NTCHEU</v>
          </cell>
          <cell r="K198">
            <v>8</v>
          </cell>
          <cell r="L198" t="str">
            <v>Changed designation from T394 to T395</v>
          </cell>
        </row>
        <row r="199">
          <cell r="A199" t="str">
            <v>RS 709</v>
          </cell>
          <cell r="B199">
            <v>531</v>
          </cell>
          <cell r="C199" t="str">
            <v>S</v>
          </cell>
          <cell r="D199" t="str">
            <v>F</v>
          </cell>
          <cell r="E199" t="str">
            <v>Kweneza (junction S135) - Kambale Ag.Station</v>
          </cell>
          <cell r="F199" t="str">
            <v>T396</v>
          </cell>
          <cell r="G199">
            <v>1</v>
          </cell>
          <cell r="H199">
            <v>13.5</v>
          </cell>
          <cell r="I199" t="str">
            <v>H</v>
          </cell>
          <cell r="J199" t="str">
            <v>MWANZA</v>
          </cell>
          <cell r="K199">
            <v>8</v>
          </cell>
        </row>
        <row r="200">
          <cell r="A200" t="str">
            <v>RS 706</v>
          </cell>
          <cell r="B200">
            <v>528</v>
          </cell>
          <cell r="C200" t="str">
            <v>S</v>
          </cell>
          <cell r="D200" t="str">
            <v>F</v>
          </cell>
          <cell r="E200" t="str">
            <v>Kambale Ag. Station - Nkase River</v>
          </cell>
          <cell r="F200" t="str">
            <v>T396</v>
          </cell>
          <cell r="G200">
            <v>2</v>
          </cell>
          <cell r="H200">
            <v>23.3</v>
          </cell>
          <cell r="I200" t="str">
            <v>H</v>
          </cell>
          <cell r="J200" t="str">
            <v>MWANZA</v>
          </cell>
          <cell r="K200">
            <v>8</v>
          </cell>
        </row>
        <row r="201">
          <cell r="A201" t="str">
            <v>RS 707</v>
          </cell>
          <cell r="B201">
            <v>529</v>
          </cell>
          <cell r="C201" t="str">
            <v>S</v>
          </cell>
          <cell r="D201" t="str">
            <v>F</v>
          </cell>
          <cell r="E201" t="str">
            <v>Nkase River - Lisungwi River</v>
          </cell>
          <cell r="F201" t="str">
            <v>T396</v>
          </cell>
          <cell r="G201">
            <v>3</v>
          </cell>
          <cell r="H201">
            <v>8.3000000000000007</v>
          </cell>
          <cell r="I201" t="str">
            <v>R</v>
          </cell>
          <cell r="J201" t="str">
            <v>MWANZA</v>
          </cell>
          <cell r="K201">
            <v>8</v>
          </cell>
        </row>
        <row r="202">
          <cell r="A202" t="str">
            <v>RS 708</v>
          </cell>
          <cell r="B202">
            <v>530</v>
          </cell>
          <cell r="C202" t="str">
            <v>S</v>
          </cell>
          <cell r="D202" t="str">
            <v>F</v>
          </cell>
          <cell r="E202" t="str">
            <v>Lisungwi River - Kamwamba (junction M1)</v>
          </cell>
          <cell r="F202" t="str">
            <v>T396</v>
          </cell>
          <cell r="G202">
            <v>4</v>
          </cell>
          <cell r="H202">
            <v>13.7</v>
          </cell>
          <cell r="I202" t="str">
            <v>R</v>
          </cell>
          <cell r="J202" t="str">
            <v>MWANZA</v>
          </cell>
          <cell r="K202">
            <v>8</v>
          </cell>
        </row>
        <row r="203">
          <cell r="A203" t="str">
            <v>RS 713</v>
          </cell>
          <cell r="B203">
            <v>535</v>
          </cell>
          <cell r="C203" t="str">
            <v>S</v>
          </cell>
          <cell r="D203" t="str">
            <v>F</v>
          </cell>
          <cell r="E203" t="str">
            <v>Kambale Ag. Station - Neno</v>
          </cell>
          <cell r="F203" t="str">
            <v>T397</v>
          </cell>
          <cell r="G203">
            <v>1</v>
          </cell>
          <cell r="H203">
            <v>13</v>
          </cell>
          <cell r="I203" t="str">
            <v>R</v>
          </cell>
          <cell r="J203" t="str">
            <v>MWANZA</v>
          </cell>
          <cell r="K203">
            <v>9</v>
          </cell>
        </row>
        <row r="204">
          <cell r="A204" t="str">
            <v>RS 711</v>
          </cell>
          <cell r="B204">
            <v>533</v>
          </cell>
          <cell r="C204" t="str">
            <v>S</v>
          </cell>
          <cell r="D204" t="str">
            <v>F</v>
          </cell>
          <cell r="E204" t="str">
            <v>Neno - Nyakoko</v>
          </cell>
          <cell r="F204" t="str">
            <v>T397</v>
          </cell>
          <cell r="G204">
            <v>2</v>
          </cell>
          <cell r="H204">
            <v>11.3</v>
          </cell>
          <cell r="I204" t="str">
            <v>R</v>
          </cell>
          <cell r="J204" t="str">
            <v>MWANZA</v>
          </cell>
          <cell r="K204">
            <v>9</v>
          </cell>
        </row>
        <row r="205">
          <cell r="A205" t="str">
            <v>RS 712</v>
          </cell>
          <cell r="B205">
            <v>534</v>
          </cell>
          <cell r="C205" t="str">
            <v>S</v>
          </cell>
          <cell r="D205" t="str">
            <v>F</v>
          </cell>
          <cell r="E205" t="str">
            <v>Nyakoko - Butawo</v>
          </cell>
          <cell r="F205" t="str">
            <v>T397</v>
          </cell>
          <cell r="G205">
            <v>3</v>
          </cell>
          <cell r="H205">
            <v>6.5</v>
          </cell>
          <cell r="I205" t="str">
            <v>R</v>
          </cell>
          <cell r="J205" t="str">
            <v>MWANZA</v>
          </cell>
          <cell r="K205">
            <v>9</v>
          </cell>
        </row>
        <row r="206">
          <cell r="A206" t="str">
            <v>RS 710</v>
          </cell>
          <cell r="B206">
            <v>532</v>
          </cell>
          <cell r="C206" t="str">
            <v>S</v>
          </cell>
          <cell r="D206" t="str">
            <v>F</v>
          </cell>
          <cell r="E206" t="str">
            <v>Butawo - Zaka (junction M6)</v>
          </cell>
          <cell r="F206" t="str">
            <v>T397</v>
          </cell>
          <cell r="G206">
            <v>4</v>
          </cell>
          <cell r="H206">
            <v>20</v>
          </cell>
          <cell r="I206" t="str">
            <v>R</v>
          </cell>
          <cell r="J206" t="str">
            <v>MWANZA</v>
          </cell>
          <cell r="K206">
            <v>9</v>
          </cell>
        </row>
        <row r="207">
          <cell r="A207" t="str">
            <v>RS 714</v>
          </cell>
          <cell r="B207">
            <v>536</v>
          </cell>
          <cell r="C207" t="str">
            <v>S</v>
          </cell>
          <cell r="D207" t="str">
            <v>F</v>
          </cell>
          <cell r="E207" t="str">
            <v>Kanjiwa - Nyakoko</v>
          </cell>
          <cell r="F207" t="str">
            <v>T398</v>
          </cell>
          <cell r="G207">
            <v>1</v>
          </cell>
          <cell r="H207">
            <v>24.7</v>
          </cell>
          <cell r="I207" t="str">
            <v>H</v>
          </cell>
          <cell r="J207" t="str">
            <v>MWANZA</v>
          </cell>
          <cell r="K207">
            <v>9</v>
          </cell>
        </row>
        <row r="208">
          <cell r="A208" t="str">
            <v>RS 719</v>
          </cell>
          <cell r="B208">
            <v>541</v>
          </cell>
          <cell r="C208" t="str">
            <v>S</v>
          </cell>
          <cell r="D208" t="str">
            <v>F</v>
          </cell>
          <cell r="E208" t="str">
            <v>Chiendausiku (junction M8) - Maduwane</v>
          </cell>
          <cell r="F208" t="str">
            <v>T399</v>
          </cell>
          <cell r="G208">
            <v>1</v>
          </cell>
          <cell r="H208">
            <v>12.3</v>
          </cell>
          <cell r="I208" t="str">
            <v>H</v>
          </cell>
          <cell r="J208" t="str">
            <v>MWANZA</v>
          </cell>
          <cell r="K208">
            <v>8</v>
          </cell>
        </row>
        <row r="209">
          <cell r="A209" t="str">
            <v>RS 717</v>
          </cell>
          <cell r="B209">
            <v>539</v>
          </cell>
          <cell r="C209" t="str">
            <v>S</v>
          </cell>
          <cell r="D209" t="str">
            <v>F</v>
          </cell>
          <cell r="E209" t="str">
            <v>Maduwane - Utale</v>
          </cell>
          <cell r="F209" t="str">
            <v>T399</v>
          </cell>
          <cell r="G209">
            <v>2</v>
          </cell>
          <cell r="H209">
            <v>8.8000000000000007</v>
          </cell>
          <cell r="I209" t="str">
            <v>FL</v>
          </cell>
          <cell r="J209" t="str">
            <v>MACHINGA</v>
          </cell>
          <cell r="K209">
            <v>8</v>
          </cell>
        </row>
        <row r="210">
          <cell r="A210" t="str">
            <v>RS 718</v>
          </cell>
          <cell r="B210">
            <v>540</v>
          </cell>
          <cell r="C210" t="str">
            <v>S</v>
          </cell>
          <cell r="D210" t="str">
            <v>F</v>
          </cell>
          <cell r="E210" t="str">
            <v>Utale - Nyanyala (junction M1)</v>
          </cell>
          <cell r="F210" t="str">
            <v>T399</v>
          </cell>
          <cell r="G210">
            <v>3</v>
          </cell>
          <cell r="H210">
            <v>26.7</v>
          </cell>
          <cell r="I210" t="str">
            <v>FL</v>
          </cell>
          <cell r="J210" t="str">
            <v>MACHINGA</v>
          </cell>
          <cell r="K210">
            <v>8</v>
          </cell>
        </row>
        <row r="211">
          <cell r="A211" t="str">
            <v>RS 720</v>
          </cell>
          <cell r="B211">
            <v>542</v>
          </cell>
          <cell r="C211" t="str">
            <v>S</v>
          </cell>
          <cell r="D211" t="str">
            <v>F</v>
          </cell>
          <cell r="E211" t="str">
            <v>Ntalika (junction M8) - Phalula</v>
          </cell>
          <cell r="F211" t="str">
            <v>T400</v>
          </cell>
          <cell r="G211">
            <v>1</v>
          </cell>
          <cell r="H211">
            <v>5.0999999999999996</v>
          </cell>
          <cell r="I211" t="str">
            <v>FL</v>
          </cell>
          <cell r="J211" t="str">
            <v>MACHINGA</v>
          </cell>
          <cell r="K211">
            <v>8</v>
          </cell>
        </row>
        <row r="212">
          <cell r="A212" t="str">
            <v>RS 723</v>
          </cell>
          <cell r="B212">
            <v>545</v>
          </cell>
          <cell r="C212" t="str">
            <v>S</v>
          </cell>
          <cell r="D212" t="str">
            <v>F</v>
          </cell>
          <cell r="E212" t="str">
            <v>Phalula - Utale</v>
          </cell>
          <cell r="F212" t="str">
            <v>T400</v>
          </cell>
          <cell r="G212">
            <v>2</v>
          </cell>
          <cell r="H212">
            <v>17.100000000000001</v>
          </cell>
          <cell r="I212" t="str">
            <v>FL</v>
          </cell>
          <cell r="J212" t="str">
            <v>MACHINGA</v>
          </cell>
          <cell r="K212">
            <v>8</v>
          </cell>
        </row>
        <row r="213">
          <cell r="A213" t="str">
            <v>RS 721</v>
          </cell>
          <cell r="B213">
            <v>543</v>
          </cell>
          <cell r="C213" t="str">
            <v>S</v>
          </cell>
          <cell r="D213" t="str">
            <v>F</v>
          </cell>
          <cell r="E213" t="str">
            <v>Utale - Shire North T.C</v>
          </cell>
          <cell r="F213" t="str">
            <v>T400</v>
          </cell>
          <cell r="G213">
            <v>3</v>
          </cell>
          <cell r="H213">
            <v>17.5</v>
          </cell>
          <cell r="I213" t="str">
            <v>FL</v>
          </cell>
          <cell r="J213" t="str">
            <v>MACHINGA</v>
          </cell>
          <cell r="K213">
            <v>8</v>
          </cell>
        </row>
        <row r="214">
          <cell r="A214" t="str">
            <v>RS 722</v>
          </cell>
          <cell r="B214">
            <v>544</v>
          </cell>
          <cell r="C214" t="str">
            <v>S</v>
          </cell>
          <cell r="D214" t="str">
            <v>F</v>
          </cell>
          <cell r="E214" t="str">
            <v>Shire North TC - Kasangale (junction S139)</v>
          </cell>
          <cell r="F214" t="str">
            <v>T400</v>
          </cell>
          <cell r="G214">
            <v>4</v>
          </cell>
          <cell r="H214">
            <v>10.199999999999999</v>
          </cell>
          <cell r="I214" t="str">
            <v>R</v>
          </cell>
          <cell r="J214" t="str">
            <v>ZOMBA</v>
          </cell>
          <cell r="K214">
            <v>8</v>
          </cell>
        </row>
        <row r="215">
          <cell r="A215" t="str">
            <v>RS 724</v>
          </cell>
          <cell r="B215">
            <v>546</v>
          </cell>
          <cell r="C215" t="str">
            <v>S</v>
          </cell>
          <cell r="D215" t="str">
            <v>F</v>
          </cell>
          <cell r="E215" t="str">
            <v>Machinga (junction M3) - Chigwandembo Bridge</v>
          </cell>
          <cell r="F215" t="str">
            <v>T401</v>
          </cell>
          <cell r="G215">
            <v>1</v>
          </cell>
          <cell r="H215">
            <v>8.6999999999999993</v>
          </cell>
          <cell r="I215" t="str">
            <v>FL</v>
          </cell>
          <cell r="J215" t="str">
            <v>MACHINGA</v>
          </cell>
          <cell r="K215">
            <v>8</v>
          </cell>
        </row>
        <row r="216">
          <cell r="A216" t="str">
            <v>RS 725</v>
          </cell>
          <cell r="B216">
            <v>547</v>
          </cell>
          <cell r="C216" t="str">
            <v>S</v>
          </cell>
          <cell r="D216" t="str">
            <v>F</v>
          </cell>
          <cell r="E216" t="str">
            <v>Chikwandembo River - Chinseu</v>
          </cell>
          <cell r="F216" t="str">
            <v>T401</v>
          </cell>
          <cell r="G216">
            <v>2</v>
          </cell>
          <cell r="H216">
            <v>14</v>
          </cell>
          <cell r="I216" t="str">
            <v>R</v>
          </cell>
          <cell r="J216" t="str">
            <v>ZOMBA</v>
          </cell>
          <cell r="K216">
            <v>8</v>
          </cell>
        </row>
        <row r="217">
          <cell r="A217" t="str">
            <v>RS 726</v>
          </cell>
          <cell r="B217">
            <v>548</v>
          </cell>
          <cell r="C217" t="str">
            <v>S</v>
          </cell>
          <cell r="D217" t="str">
            <v>F</v>
          </cell>
          <cell r="E217" t="str">
            <v>Chinseu - Chikwenga (junction S139)</v>
          </cell>
          <cell r="F217" t="str">
            <v>T401</v>
          </cell>
          <cell r="G217">
            <v>3</v>
          </cell>
          <cell r="H217">
            <v>7</v>
          </cell>
          <cell r="I217" t="str">
            <v>R</v>
          </cell>
          <cell r="J217" t="str">
            <v>ZOMBA</v>
          </cell>
          <cell r="K217">
            <v>8</v>
          </cell>
        </row>
        <row r="218">
          <cell r="A218" t="str">
            <v>RS 728</v>
          </cell>
          <cell r="B218">
            <v>550</v>
          </cell>
          <cell r="C218" t="str">
            <v>S</v>
          </cell>
          <cell r="D218" t="str">
            <v>F</v>
          </cell>
          <cell r="E218" t="str">
            <v>Naminga (junction S131) - Malopa</v>
          </cell>
          <cell r="F218" t="str">
            <v>T402</v>
          </cell>
          <cell r="G218">
            <v>1</v>
          </cell>
          <cell r="H218">
            <v>5.3</v>
          </cell>
          <cell r="I218" t="str">
            <v>R</v>
          </cell>
          <cell r="J218" t="str">
            <v>MACHINGA</v>
          </cell>
          <cell r="K218">
            <v>8</v>
          </cell>
        </row>
        <row r="219">
          <cell r="A219" t="str">
            <v>RS 730</v>
          </cell>
          <cell r="B219">
            <v>552</v>
          </cell>
          <cell r="C219" t="str">
            <v>S</v>
          </cell>
          <cell r="D219" t="str">
            <v>F</v>
          </cell>
          <cell r="E219" t="str">
            <v>Malopa - Namikonya Stream</v>
          </cell>
          <cell r="F219" t="str">
            <v>T402</v>
          </cell>
          <cell r="G219">
            <v>2</v>
          </cell>
          <cell r="H219">
            <v>14.4</v>
          </cell>
          <cell r="I219" t="str">
            <v>H</v>
          </cell>
          <cell r="J219" t="str">
            <v>MACHINGA</v>
          </cell>
          <cell r="K219">
            <v>8</v>
          </cell>
        </row>
        <row r="220">
          <cell r="A220" t="str">
            <v>RS 727</v>
          </cell>
          <cell r="B220">
            <v>549</v>
          </cell>
          <cell r="C220" t="str">
            <v>S</v>
          </cell>
          <cell r="D220" t="str">
            <v>F</v>
          </cell>
          <cell r="E220" t="str">
            <v>Namikonya Stream - Chamatwa</v>
          </cell>
          <cell r="F220" t="str">
            <v>T402</v>
          </cell>
          <cell r="G220">
            <v>3</v>
          </cell>
          <cell r="H220">
            <v>7.6</v>
          </cell>
          <cell r="I220" t="str">
            <v>R</v>
          </cell>
          <cell r="J220" t="str">
            <v>MACHINGA</v>
          </cell>
          <cell r="K220">
            <v>8</v>
          </cell>
        </row>
        <row r="221">
          <cell r="A221" t="str">
            <v>RS 729</v>
          </cell>
          <cell r="B221">
            <v>551</v>
          </cell>
          <cell r="C221" t="str">
            <v>S</v>
          </cell>
          <cell r="D221" t="str">
            <v>F</v>
          </cell>
          <cell r="E221" t="str">
            <v>Chamatwa - Likwenu River (junction M3)</v>
          </cell>
          <cell r="F221" t="str">
            <v>T402</v>
          </cell>
          <cell r="G221">
            <v>4</v>
          </cell>
          <cell r="H221">
            <v>6</v>
          </cell>
          <cell r="I221" t="str">
            <v>FL</v>
          </cell>
          <cell r="J221" t="str">
            <v>MACHINGA &amp; ZOMBA</v>
          </cell>
          <cell r="K221">
            <v>8</v>
          </cell>
        </row>
        <row r="222">
          <cell r="A222" t="str">
            <v>RS 732</v>
          </cell>
          <cell r="B222">
            <v>554</v>
          </cell>
          <cell r="C222" t="str">
            <v>S</v>
          </cell>
          <cell r="D222" t="str">
            <v>F</v>
          </cell>
          <cell r="E222" t="str">
            <v>Jokala - Msondole</v>
          </cell>
          <cell r="F222" t="str">
            <v>T403</v>
          </cell>
          <cell r="G222">
            <v>2</v>
          </cell>
          <cell r="H222">
            <v>8.6999999999999993</v>
          </cell>
          <cell r="I222" t="str">
            <v>R</v>
          </cell>
          <cell r="J222" t="str">
            <v>ZOMBA</v>
          </cell>
          <cell r="K222">
            <v>8</v>
          </cell>
          <cell r="L222" t="str">
            <v>Changed designation from S156 to S151</v>
          </cell>
        </row>
        <row r="223">
          <cell r="A223" t="str">
            <v>RS 734</v>
          </cell>
          <cell r="B223">
            <v>556</v>
          </cell>
          <cell r="C223" t="str">
            <v>S</v>
          </cell>
          <cell r="D223" t="str">
            <v>F</v>
          </cell>
          <cell r="E223" t="str">
            <v>Mpyupyu T.C. (junction S143)  - Chamba</v>
          </cell>
          <cell r="F223" t="str">
            <v>T404</v>
          </cell>
          <cell r="G223">
            <v>1</v>
          </cell>
          <cell r="H223">
            <v>7.9</v>
          </cell>
          <cell r="I223" t="str">
            <v>R</v>
          </cell>
          <cell r="J223" t="str">
            <v>ZOMBA</v>
          </cell>
          <cell r="K223">
            <v>9</v>
          </cell>
        </row>
        <row r="224">
          <cell r="A224" t="str">
            <v>RS 733</v>
          </cell>
          <cell r="B224">
            <v>555</v>
          </cell>
          <cell r="C224" t="str">
            <v>S</v>
          </cell>
          <cell r="D224" t="str">
            <v>F</v>
          </cell>
          <cell r="E224" t="str">
            <v>Chamba - Jali (junction S144)</v>
          </cell>
          <cell r="F224" t="str">
            <v>T404</v>
          </cell>
          <cell r="G224">
            <v>2</v>
          </cell>
          <cell r="H224">
            <v>6.6</v>
          </cell>
          <cell r="I224" t="str">
            <v>R</v>
          </cell>
          <cell r="J224" t="str">
            <v>ZOMBA</v>
          </cell>
          <cell r="K224">
            <v>9</v>
          </cell>
        </row>
        <row r="225">
          <cell r="A225" t="str">
            <v>RS 731</v>
          </cell>
          <cell r="B225">
            <v>553</v>
          </cell>
          <cell r="C225" t="str">
            <v>S</v>
          </cell>
          <cell r="D225" t="str">
            <v>F</v>
          </cell>
          <cell r="E225" t="str">
            <v>Thodwe (junction M3) - Mayaka</v>
          </cell>
          <cell r="F225" t="str">
            <v>T405</v>
          </cell>
          <cell r="G225">
            <v>1</v>
          </cell>
          <cell r="H225">
            <v>21</v>
          </cell>
          <cell r="I225" t="str">
            <v>R</v>
          </cell>
          <cell r="J225" t="str">
            <v>ZOMBA</v>
          </cell>
          <cell r="K225">
            <v>9</v>
          </cell>
          <cell r="L225" t="str">
            <v>Changed designation from T403 to T405</v>
          </cell>
        </row>
        <row r="226">
          <cell r="A226" t="str">
            <v>RS 745</v>
          </cell>
          <cell r="B226">
            <v>567</v>
          </cell>
          <cell r="C226" t="str">
            <v>S</v>
          </cell>
          <cell r="D226" t="str">
            <v>F</v>
          </cell>
          <cell r="E226" t="str">
            <v>Mayaka - Jali (junction S144)</v>
          </cell>
          <cell r="F226" t="str">
            <v>T405</v>
          </cell>
          <cell r="G226">
            <v>2</v>
          </cell>
          <cell r="H226">
            <v>14.6</v>
          </cell>
          <cell r="I226" t="str">
            <v>FL</v>
          </cell>
          <cell r="J226" t="str">
            <v>ZOMBA</v>
          </cell>
          <cell r="K226">
            <v>9</v>
          </cell>
          <cell r="L226" t="str">
            <v>Changed designation from T408 to T405</v>
          </cell>
        </row>
        <row r="227">
          <cell r="A227" t="str">
            <v>RS 735</v>
          </cell>
          <cell r="B227">
            <v>557</v>
          </cell>
          <cell r="C227" t="str">
            <v>S</v>
          </cell>
          <cell r="D227" t="str">
            <v>F</v>
          </cell>
          <cell r="E227" t="str">
            <v>Maphanda junction S144) - Chigumukire</v>
          </cell>
          <cell r="F227" t="str">
            <v>T405</v>
          </cell>
          <cell r="G227">
            <v>3</v>
          </cell>
          <cell r="H227">
            <v>10.5</v>
          </cell>
          <cell r="I227" t="str">
            <v>R</v>
          </cell>
          <cell r="J227" t="str">
            <v>ZOMBA</v>
          </cell>
          <cell r="K227">
            <v>9</v>
          </cell>
          <cell r="L227" t="str">
            <v>Changed designation from M9 to S152</v>
          </cell>
        </row>
        <row r="228">
          <cell r="A228" t="str">
            <v>RS 736</v>
          </cell>
          <cell r="B228">
            <v>558</v>
          </cell>
          <cell r="C228" t="str">
            <v>S</v>
          </cell>
          <cell r="D228" t="str">
            <v>F</v>
          </cell>
          <cell r="E228" t="str">
            <v>Chigumukire - Joni</v>
          </cell>
          <cell r="F228" t="str">
            <v>T405</v>
          </cell>
          <cell r="G228">
            <v>4</v>
          </cell>
          <cell r="H228">
            <v>19.5</v>
          </cell>
          <cell r="I228" t="str">
            <v>R</v>
          </cell>
          <cell r="J228" t="str">
            <v>ZOMBA &amp; PHALOMBE</v>
          </cell>
          <cell r="K228">
            <v>9</v>
          </cell>
          <cell r="L228" t="str">
            <v>Changed designation from S151 to S152</v>
          </cell>
        </row>
        <row r="229">
          <cell r="A229" t="str">
            <v>RS 738</v>
          </cell>
          <cell r="B229">
            <v>560</v>
          </cell>
          <cell r="C229" t="str">
            <v>S</v>
          </cell>
          <cell r="D229" t="str">
            <v>F</v>
          </cell>
          <cell r="E229" t="str">
            <v>Nyungwe (junction M3) - Lirangwe</v>
          </cell>
          <cell r="F229" t="str">
            <v>T406</v>
          </cell>
          <cell r="G229">
            <v>1</v>
          </cell>
          <cell r="H229">
            <v>4.0999999999999996</v>
          </cell>
          <cell r="I229" t="str">
            <v>R</v>
          </cell>
          <cell r="J229" t="str">
            <v>CHIRADZULU</v>
          </cell>
          <cell r="K229">
            <v>9</v>
          </cell>
        </row>
        <row r="230">
          <cell r="A230" t="str">
            <v>RS 737</v>
          </cell>
          <cell r="B230">
            <v>559</v>
          </cell>
          <cell r="C230" t="str">
            <v>S</v>
          </cell>
          <cell r="D230" t="str">
            <v>F</v>
          </cell>
          <cell r="E230" t="str">
            <v>Lirangwe - Chidzolo (Mudi)</v>
          </cell>
          <cell r="F230" t="str">
            <v>T406</v>
          </cell>
          <cell r="G230">
            <v>2</v>
          </cell>
          <cell r="H230">
            <v>4.5999999999999996</v>
          </cell>
          <cell r="I230" t="str">
            <v>R</v>
          </cell>
          <cell r="J230" t="str">
            <v>CHIRADZULU</v>
          </cell>
          <cell r="K230">
            <v>9</v>
          </cell>
          <cell r="L230" t="str">
            <v>Part of origional RS 148</v>
          </cell>
        </row>
        <row r="231">
          <cell r="A231" t="str">
            <v>RS 739</v>
          </cell>
          <cell r="B231">
            <v>561</v>
          </cell>
          <cell r="C231" t="str">
            <v>S</v>
          </cell>
          <cell r="D231" t="str">
            <v>F</v>
          </cell>
          <cell r="E231" t="str">
            <v>Chidzolo (mudi) - Lunzu (junction M1)</v>
          </cell>
          <cell r="F231" t="str">
            <v>T406</v>
          </cell>
          <cell r="G231">
            <v>3</v>
          </cell>
          <cell r="H231">
            <v>11.7</v>
          </cell>
          <cell r="I231" t="str">
            <v>R</v>
          </cell>
          <cell r="J231" t="str">
            <v>BLANTYRE</v>
          </cell>
          <cell r="K231">
            <v>9</v>
          </cell>
          <cell r="L231" t="str">
            <v>Road section redefined</v>
          </cell>
        </row>
        <row r="232">
          <cell r="A232" t="str">
            <v>RS 740</v>
          </cell>
          <cell r="B232">
            <v>562</v>
          </cell>
          <cell r="C232" t="str">
            <v>S</v>
          </cell>
          <cell r="D232" t="str">
            <v>F</v>
          </cell>
          <cell r="E232" t="str">
            <v>Magomero (junction M3) - Namadzi River bridge</v>
          </cell>
          <cell r="F232" t="str">
            <v>T407</v>
          </cell>
          <cell r="G232">
            <v>1</v>
          </cell>
          <cell r="H232">
            <v>8.1999999999999993</v>
          </cell>
          <cell r="I232" t="str">
            <v>R</v>
          </cell>
          <cell r="J232" t="str">
            <v>CHIRADZULU &amp; ZOMBA</v>
          </cell>
          <cell r="K232">
            <v>9</v>
          </cell>
        </row>
        <row r="233">
          <cell r="A233" t="str">
            <v>RS 742</v>
          </cell>
          <cell r="B233">
            <v>564</v>
          </cell>
          <cell r="C233" t="str">
            <v>S</v>
          </cell>
          <cell r="D233" t="str">
            <v>F</v>
          </cell>
          <cell r="E233" t="str">
            <v>Namadzi River bridge - Mali</v>
          </cell>
          <cell r="F233" t="str">
            <v>T407</v>
          </cell>
          <cell r="G233">
            <v>2</v>
          </cell>
          <cell r="H233">
            <v>9.1</v>
          </cell>
          <cell r="I233" t="str">
            <v>R</v>
          </cell>
          <cell r="J233" t="str">
            <v>ZOMBA</v>
          </cell>
          <cell r="K233">
            <v>9</v>
          </cell>
        </row>
        <row r="234">
          <cell r="A234" t="str">
            <v>RS 741</v>
          </cell>
          <cell r="B234">
            <v>563</v>
          </cell>
          <cell r="C234" t="str">
            <v>S</v>
          </cell>
          <cell r="D234" t="str">
            <v>F</v>
          </cell>
          <cell r="E234" t="str">
            <v>Mali - Matiti</v>
          </cell>
          <cell r="F234" t="str">
            <v>T407</v>
          </cell>
          <cell r="G234">
            <v>3</v>
          </cell>
          <cell r="H234">
            <v>9.5</v>
          </cell>
          <cell r="I234" t="str">
            <v>R</v>
          </cell>
          <cell r="J234" t="str">
            <v>ZOMBA</v>
          </cell>
          <cell r="K234">
            <v>9</v>
          </cell>
        </row>
        <row r="235">
          <cell r="A235" t="str">
            <v>RS 743</v>
          </cell>
          <cell r="B235">
            <v>565</v>
          </cell>
          <cell r="C235" t="str">
            <v>S</v>
          </cell>
          <cell r="D235" t="str">
            <v>F</v>
          </cell>
          <cell r="E235" t="str">
            <v>Mayaka - Utwe River</v>
          </cell>
          <cell r="F235" t="str">
            <v>T408</v>
          </cell>
          <cell r="G235">
            <v>1</v>
          </cell>
          <cell r="H235">
            <v>9.6</v>
          </cell>
          <cell r="I235" t="str">
            <v>FL</v>
          </cell>
          <cell r="J235" t="str">
            <v>ZOMBA</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row r="238">
          <cell r="A238" t="str">
            <v>RS 747</v>
          </cell>
          <cell r="B238">
            <v>659</v>
          </cell>
          <cell r="C238" t="str">
            <v>S</v>
          </cell>
          <cell r="D238" t="str">
            <v>F</v>
          </cell>
          <cell r="E238" t="str">
            <v>Mombezi River - Kandulo</v>
          </cell>
          <cell r="F238" t="str">
            <v>T408</v>
          </cell>
          <cell r="G238">
            <v>4</v>
          </cell>
          <cell r="H238">
            <v>15.5</v>
          </cell>
          <cell r="I238" t="str">
            <v>R</v>
          </cell>
          <cell r="J238" t="str">
            <v>PHALOMBE</v>
          </cell>
          <cell r="K238">
            <v>9</v>
          </cell>
        </row>
        <row r="239">
          <cell r="A239" t="str">
            <v>RS 793</v>
          </cell>
          <cell r="B239">
            <v>615</v>
          </cell>
          <cell r="C239" t="str">
            <v>S</v>
          </cell>
          <cell r="D239" t="str">
            <v>F</v>
          </cell>
          <cell r="E239" t="str">
            <v>Kandulo - junction S147</v>
          </cell>
          <cell r="F239" t="str">
            <v>T408</v>
          </cell>
          <cell r="G239">
            <v>5</v>
          </cell>
          <cell r="H239">
            <v>15</v>
          </cell>
          <cell r="I239" t="str">
            <v>R</v>
          </cell>
          <cell r="J239" t="str">
            <v>MULANJE</v>
          </cell>
          <cell r="K239">
            <v>9</v>
          </cell>
          <cell r="L239" t="str">
            <v>Changed designation from T463 to T408</v>
          </cell>
        </row>
        <row r="240">
          <cell r="A240" t="str">
            <v>RS 748</v>
          </cell>
          <cell r="B240">
            <v>570</v>
          </cell>
          <cell r="C240" t="str">
            <v>S</v>
          </cell>
          <cell r="D240" t="str">
            <v>F</v>
          </cell>
          <cell r="E240" t="str">
            <v>Chileka Airport - Chilomoni</v>
          </cell>
          <cell r="F240" t="str">
            <v>T409</v>
          </cell>
          <cell r="G240">
            <v>1</v>
          </cell>
          <cell r="H240">
            <v>21.1</v>
          </cell>
          <cell r="I240" t="str">
            <v>H</v>
          </cell>
          <cell r="J240" t="str">
            <v>BLANTYRE</v>
          </cell>
          <cell r="K240">
            <v>9</v>
          </cell>
        </row>
        <row r="241">
          <cell r="A241" t="str">
            <v>RS 749</v>
          </cell>
          <cell r="B241">
            <v>571</v>
          </cell>
          <cell r="C241" t="str">
            <v>S</v>
          </cell>
          <cell r="D241" t="str">
            <v>F</v>
          </cell>
          <cell r="E241" t="str">
            <v>Chilomoni - Blantyre</v>
          </cell>
          <cell r="F241" t="str">
            <v>T409</v>
          </cell>
          <cell r="G241">
            <v>2</v>
          </cell>
          <cell r="H241">
            <v>5.7</v>
          </cell>
          <cell r="I241" t="str">
            <v>H</v>
          </cell>
          <cell r="J241" t="str">
            <v>BLANTYRE</v>
          </cell>
          <cell r="K241">
            <v>9</v>
          </cell>
        </row>
        <row r="242">
          <cell r="A242" t="str">
            <v>RS 751</v>
          </cell>
          <cell r="B242">
            <v>573</v>
          </cell>
          <cell r="C242" t="str">
            <v>S</v>
          </cell>
          <cell r="D242" t="str">
            <v>F</v>
          </cell>
          <cell r="E242" t="str">
            <v>Chinkankheni - Chatha</v>
          </cell>
          <cell r="F242" t="str">
            <v>T411</v>
          </cell>
          <cell r="G242">
            <v>1</v>
          </cell>
          <cell r="H242">
            <v>11.5</v>
          </cell>
          <cell r="I242" t="str">
            <v>R</v>
          </cell>
          <cell r="J242" t="str">
            <v>BLANTYRE</v>
          </cell>
          <cell r="K242">
            <v>9</v>
          </cell>
        </row>
        <row r="243">
          <cell r="A243" t="str">
            <v>RS 750</v>
          </cell>
          <cell r="B243">
            <v>572</v>
          </cell>
          <cell r="C243" t="str">
            <v>S</v>
          </cell>
          <cell r="D243" t="str">
            <v>F</v>
          </cell>
          <cell r="E243" t="str">
            <v>Chatha - Mzembere</v>
          </cell>
          <cell r="F243" t="str">
            <v>T411</v>
          </cell>
          <cell r="G243">
            <v>2</v>
          </cell>
          <cell r="H243">
            <v>6.9</v>
          </cell>
          <cell r="I243" t="str">
            <v>R</v>
          </cell>
          <cell r="J243" t="str">
            <v>CHIRADZULU</v>
          </cell>
          <cell r="K243">
            <v>9</v>
          </cell>
        </row>
        <row r="244">
          <cell r="A244" t="str">
            <v>RS 753</v>
          </cell>
          <cell r="B244">
            <v>575</v>
          </cell>
          <cell r="C244" t="str">
            <v>S</v>
          </cell>
          <cell r="D244" t="str">
            <v>F</v>
          </cell>
          <cell r="E244" t="str">
            <v>Mikolongwe - Namitambo</v>
          </cell>
          <cell r="F244" t="str">
            <v>T412</v>
          </cell>
          <cell r="G244">
            <v>1</v>
          </cell>
          <cell r="H244">
            <v>7.6</v>
          </cell>
          <cell r="I244" t="str">
            <v>R</v>
          </cell>
          <cell r="J244" t="str">
            <v>CHIRADZULU</v>
          </cell>
          <cell r="K244">
            <v>9</v>
          </cell>
        </row>
        <row r="245">
          <cell r="A245" t="str">
            <v>RS 752</v>
          </cell>
          <cell r="B245">
            <v>574</v>
          </cell>
          <cell r="C245" t="str">
            <v>S</v>
          </cell>
          <cell r="D245" t="str">
            <v>F</v>
          </cell>
          <cell r="E245" t="str">
            <v>Namitambo - Namulenga</v>
          </cell>
          <cell r="F245" t="str">
            <v>T412</v>
          </cell>
          <cell r="G245">
            <v>2</v>
          </cell>
          <cell r="H245">
            <v>7.8</v>
          </cell>
          <cell r="I245" t="str">
            <v>FL</v>
          </cell>
          <cell r="J245" t="str">
            <v>CHIRADZULU</v>
          </cell>
          <cell r="K245">
            <v>9</v>
          </cell>
        </row>
        <row r="246">
          <cell r="A246" t="str">
            <v>RS 756</v>
          </cell>
          <cell r="B246">
            <v>578</v>
          </cell>
          <cell r="C246" t="str">
            <v>S</v>
          </cell>
          <cell r="D246" t="str">
            <v>F</v>
          </cell>
          <cell r="E246" t="str">
            <v>Namlenga - Chilemba</v>
          </cell>
          <cell r="F246" t="str">
            <v>T412</v>
          </cell>
          <cell r="G246">
            <v>3</v>
          </cell>
          <cell r="H246">
            <v>2.5</v>
          </cell>
          <cell r="I246" t="str">
            <v>FL</v>
          </cell>
          <cell r="J246" t="str">
            <v>PHALOMBE</v>
          </cell>
          <cell r="K246">
            <v>9</v>
          </cell>
          <cell r="L246" t="str">
            <v>Changed designation from T413 to T412</v>
          </cell>
        </row>
        <row r="247">
          <cell r="A247" t="str">
            <v>RS 759</v>
          </cell>
          <cell r="B247">
            <v>581</v>
          </cell>
          <cell r="C247" t="str">
            <v>S</v>
          </cell>
          <cell r="D247" t="str">
            <v>F</v>
          </cell>
          <cell r="E247" t="str">
            <v>Bwanaisa - Mwanyenga</v>
          </cell>
          <cell r="F247" t="str">
            <v>T413</v>
          </cell>
          <cell r="G247">
            <v>1</v>
          </cell>
          <cell r="H247">
            <v>15.5</v>
          </cell>
          <cell r="I247" t="str">
            <v>FL</v>
          </cell>
          <cell r="J247" t="str">
            <v>PHALOMBE</v>
          </cell>
          <cell r="K247">
            <v>9</v>
          </cell>
        </row>
        <row r="248">
          <cell r="A248" t="str">
            <v>RS 755</v>
          </cell>
          <cell r="B248">
            <v>577</v>
          </cell>
          <cell r="C248" t="str">
            <v>S</v>
          </cell>
          <cell r="D248" t="str">
            <v>F</v>
          </cell>
          <cell r="E248" t="str">
            <v>Mwanyenga - Kandulo T.C.</v>
          </cell>
          <cell r="F248" t="str">
            <v>T413</v>
          </cell>
          <cell r="G248">
            <v>2</v>
          </cell>
          <cell r="H248">
            <v>16.399999999999999</v>
          </cell>
          <cell r="I248" t="str">
            <v>FL</v>
          </cell>
          <cell r="J248" t="str">
            <v>PHALOMBE</v>
          </cell>
          <cell r="K248">
            <v>9</v>
          </cell>
        </row>
        <row r="249">
          <cell r="A249" t="str">
            <v>RS 757</v>
          </cell>
          <cell r="B249">
            <v>579</v>
          </cell>
          <cell r="C249" t="str">
            <v>S</v>
          </cell>
          <cell r="D249" t="str">
            <v>F</v>
          </cell>
          <cell r="E249" t="str">
            <v>Kandulo T.C. - Chilemba</v>
          </cell>
          <cell r="F249" t="str">
            <v>T413</v>
          </cell>
          <cell r="G249">
            <v>3</v>
          </cell>
          <cell r="H249">
            <v>7.6</v>
          </cell>
          <cell r="I249" t="str">
            <v>FL</v>
          </cell>
          <cell r="J249" t="str">
            <v>PHALOMBE</v>
          </cell>
          <cell r="K249">
            <v>9</v>
          </cell>
        </row>
        <row r="250">
          <cell r="A250" t="str">
            <v>RS 754</v>
          </cell>
          <cell r="B250">
            <v>576</v>
          </cell>
          <cell r="C250" t="str">
            <v>S</v>
          </cell>
          <cell r="D250" t="str">
            <v>F</v>
          </cell>
          <cell r="E250" t="str">
            <v>Chilemba - Thuchila T.C.</v>
          </cell>
          <cell r="F250" t="str">
            <v>T413</v>
          </cell>
          <cell r="G250">
            <v>4</v>
          </cell>
          <cell r="H250">
            <v>3.6</v>
          </cell>
          <cell r="I250" t="str">
            <v>FL</v>
          </cell>
          <cell r="J250" t="str">
            <v>MULANJE</v>
          </cell>
          <cell r="K250">
            <v>9</v>
          </cell>
        </row>
        <row r="251">
          <cell r="A251" t="str">
            <v>RS 760</v>
          </cell>
          <cell r="B251">
            <v>582</v>
          </cell>
          <cell r="C251" t="str">
            <v>S</v>
          </cell>
          <cell r="D251" t="str">
            <v>F</v>
          </cell>
          <cell r="E251" t="str">
            <v>Nkhulambe - Phalombe</v>
          </cell>
          <cell r="F251" t="str">
            <v>T414</v>
          </cell>
          <cell r="G251">
            <v>1</v>
          </cell>
          <cell r="H251">
            <v>14.3</v>
          </cell>
          <cell r="I251" t="str">
            <v>H</v>
          </cell>
          <cell r="J251" t="str">
            <v>MULANJE</v>
          </cell>
          <cell r="K251">
            <v>9</v>
          </cell>
        </row>
        <row r="252">
          <cell r="A252" t="str">
            <v>RS 762</v>
          </cell>
          <cell r="B252">
            <v>584</v>
          </cell>
          <cell r="C252" t="str">
            <v>S</v>
          </cell>
          <cell r="D252" t="str">
            <v>F</v>
          </cell>
          <cell r="E252" t="str">
            <v>Singano - Chilinga</v>
          </cell>
          <cell r="F252" t="str">
            <v>T415</v>
          </cell>
          <cell r="G252">
            <v>1</v>
          </cell>
          <cell r="H252">
            <v>10.9</v>
          </cell>
          <cell r="I252" t="str">
            <v>FL</v>
          </cell>
          <cell r="J252" t="str">
            <v>MULANJE</v>
          </cell>
          <cell r="K252">
            <v>9</v>
          </cell>
        </row>
        <row r="253">
          <cell r="A253" t="str">
            <v>RS 764</v>
          </cell>
          <cell r="B253">
            <v>586</v>
          </cell>
          <cell r="C253" t="str">
            <v>S</v>
          </cell>
          <cell r="D253" t="str">
            <v>F</v>
          </cell>
          <cell r="E253" t="str">
            <v>Chilinga - Nkhulambe</v>
          </cell>
          <cell r="F253" t="str">
            <v>T415</v>
          </cell>
          <cell r="G253">
            <v>2</v>
          </cell>
          <cell r="H253">
            <v>8.6999999999999993</v>
          </cell>
          <cell r="I253" t="str">
            <v>H</v>
          </cell>
          <cell r="J253" t="str">
            <v>MULANJE</v>
          </cell>
          <cell r="K253">
            <v>9</v>
          </cell>
        </row>
        <row r="254">
          <cell r="A254" t="str">
            <v>RS 765</v>
          </cell>
          <cell r="B254">
            <v>587</v>
          </cell>
          <cell r="C254" t="str">
            <v>S</v>
          </cell>
          <cell r="D254" t="str">
            <v>F</v>
          </cell>
          <cell r="E254" t="str">
            <v>Nkhulambe - Sukasanje River</v>
          </cell>
          <cell r="F254" t="str">
            <v>T415</v>
          </cell>
          <cell r="G254">
            <v>3</v>
          </cell>
          <cell r="H254">
            <v>8</v>
          </cell>
          <cell r="I254" t="str">
            <v>FL</v>
          </cell>
          <cell r="J254" t="str">
            <v>MULANJE</v>
          </cell>
          <cell r="K254">
            <v>9</v>
          </cell>
        </row>
        <row r="255">
          <cell r="A255" t="str">
            <v>RS 761</v>
          </cell>
          <cell r="B255">
            <v>583</v>
          </cell>
          <cell r="C255" t="str">
            <v>S</v>
          </cell>
          <cell r="D255" t="str">
            <v>F</v>
          </cell>
          <cell r="E255" t="str">
            <v>Sukasanje River - Nanchidwa</v>
          </cell>
          <cell r="F255" t="str">
            <v>T415</v>
          </cell>
          <cell r="G255">
            <v>4</v>
          </cell>
          <cell r="H255">
            <v>15.8</v>
          </cell>
          <cell r="I255" t="str">
            <v>FL</v>
          </cell>
          <cell r="J255" t="str">
            <v>MULANJE</v>
          </cell>
          <cell r="K255">
            <v>9</v>
          </cell>
        </row>
        <row r="256">
          <cell r="A256" t="str">
            <v>RS 763</v>
          </cell>
          <cell r="B256">
            <v>585</v>
          </cell>
          <cell r="C256" t="str">
            <v>S</v>
          </cell>
          <cell r="D256" t="str">
            <v>F</v>
          </cell>
          <cell r="E256" t="str">
            <v>Nanchindwa - Muloza (Mozambique border)</v>
          </cell>
          <cell r="F256" t="str">
            <v>T415</v>
          </cell>
          <cell r="G256">
            <v>5</v>
          </cell>
          <cell r="H256">
            <v>7.3</v>
          </cell>
          <cell r="I256" t="str">
            <v>H</v>
          </cell>
          <cell r="J256" t="str">
            <v>MULANJE</v>
          </cell>
          <cell r="K256">
            <v>9</v>
          </cell>
        </row>
        <row r="257">
          <cell r="A257" t="str">
            <v>RS 368</v>
          </cell>
          <cell r="B257">
            <v>190</v>
          </cell>
          <cell r="C257" t="str">
            <v>S</v>
          </cell>
          <cell r="D257" t="str">
            <v>F</v>
          </cell>
          <cell r="E257" t="str">
            <v>Chikwawa - Chikwawa</v>
          </cell>
          <cell r="F257" t="str">
            <v>T416</v>
          </cell>
          <cell r="G257">
            <v>1</v>
          </cell>
          <cell r="H257">
            <v>3.1</v>
          </cell>
          <cell r="I257" t="str">
            <v>H</v>
          </cell>
          <cell r="J257" t="str">
            <v>CHIKWAWA</v>
          </cell>
          <cell r="K257">
            <v>9</v>
          </cell>
          <cell r="L257" t="str">
            <v>Changed designation from S136 to T416</v>
          </cell>
        </row>
        <row r="258">
          <cell r="A258" t="str">
            <v>RS 373</v>
          </cell>
          <cell r="B258">
            <v>195</v>
          </cell>
          <cell r="C258" t="str">
            <v>S</v>
          </cell>
          <cell r="D258" t="str">
            <v>F</v>
          </cell>
          <cell r="E258" t="str">
            <v>Chikwawa - Kapichira Falls</v>
          </cell>
          <cell r="F258" t="str">
            <v>T416</v>
          </cell>
          <cell r="G258">
            <v>2</v>
          </cell>
          <cell r="H258">
            <v>18.7</v>
          </cell>
          <cell r="I258" t="str">
            <v>R</v>
          </cell>
          <cell r="J258" t="str">
            <v>CHIKWAWA</v>
          </cell>
          <cell r="K258">
            <v>9</v>
          </cell>
          <cell r="L258" t="str">
            <v>Changed designation from S136 to T416</v>
          </cell>
        </row>
        <row r="259">
          <cell r="A259" t="str">
            <v>RS 767</v>
          </cell>
          <cell r="B259">
            <v>589</v>
          </cell>
          <cell r="C259" t="str">
            <v>S</v>
          </cell>
          <cell r="D259" t="str">
            <v>F</v>
          </cell>
          <cell r="E259" t="str">
            <v>Bvumbwe - Kumtendere</v>
          </cell>
          <cell r="F259" t="str">
            <v>T417</v>
          </cell>
          <cell r="G259">
            <v>1</v>
          </cell>
          <cell r="H259">
            <v>5.9</v>
          </cell>
          <cell r="I259" t="str">
            <v>R</v>
          </cell>
          <cell r="J259" t="str">
            <v>THYOLO</v>
          </cell>
          <cell r="K259">
            <v>9</v>
          </cell>
          <cell r="L259" t="str">
            <v>Changed designation from T418 to T418</v>
          </cell>
        </row>
        <row r="260">
          <cell r="A260" t="str">
            <v>RS 771</v>
          </cell>
          <cell r="B260">
            <v>593</v>
          </cell>
          <cell r="C260" t="str">
            <v>S</v>
          </cell>
          <cell r="D260" t="str">
            <v>F</v>
          </cell>
          <cell r="E260" t="str">
            <v>Kumtendere - Amali</v>
          </cell>
          <cell r="F260" t="str">
            <v>T417</v>
          </cell>
          <cell r="G260">
            <v>2</v>
          </cell>
          <cell r="H260">
            <v>4.9000000000000004</v>
          </cell>
          <cell r="I260" t="str">
            <v>FL</v>
          </cell>
          <cell r="J260" t="str">
            <v>THYOLO</v>
          </cell>
          <cell r="K260">
            <v>9</v>
          </cell>
          <cell r="L260" t="str">
            <v>Changed designation from T418 to T417</v>
          </cell>
        </row>
        <row r="261">
          <cell r="A261" t="str">
            <v>RS 769</v>
          </cell>
          <cell r="B261">
            <v>591</v>
          </cell>
          <cell r="C261" t="str">
            <v>S</v>
          </cell>
          <cell r="D261" t="str">
            <v>F</v>
          </cell>
          <cell r="E261" t="str">
            <v>Amalika - Thunga</v>
          </cell>
          <cell r="F261" t="str">
            <v>T417</v>
          </cell>
          <cell r="G261">
            <v>3</v>
          </cell>
          <cell r="H261">
            <v>3.5</v>
          </cell>
          <cell r="I261" t="str">
            <v>FL</v>
          </cell>
          <cell r="J261" t="str">
            <v>THYOLO</v>
          </cell>
          <cell r="K261">
            <v>9</v>
          </cell>
          <cell r="L261" t="str">
            <v>Changed designation from T418 to T418</v>
          </cell>
        </row>
        <row r="262">
          <cell r="A262" t="str">
            <v>RS 766</v>
          </cell>
          <cell r="B262">
            <v>588</v>
          </cell>
          <cell r="C262" t="str">
            <v>S</v>
          </cell>
          <cell r="D262" t="str">
            <v>F</v>
          </cell>
          <cell r="E262" t="str">
            <v>Thunga - Chidzunga</v>
          </cell>
          <cell r="F262" t="str">
            <v>T418</v>
          </cell>
          <cell r="G262">
            <v>1</v>
          </cell>
          <cell r="H262">
            <v>6.2</v>
          </cell>
          <cell r="I262" t="str">
            <v>FL</v>
          </cell>
          <cell r="J262" t="str">
            <v>THYOLO</v>
          </cell>
          <cell r="K262">
            <v>9</v>
          </cell>
        </row>
        <row r="263">
          <cell r="A263" t="str">
            <v>RS 770</v>
          </cell>
          <cell r="B263">
            <v>592</v>
          </cell>
          <cell r="C263" t="str">
            <v>S</v>
          </cell>
          <cell r="D263" t="str">
            <v>F</v>
          </cell>
          <cell r="E263" t="str">
            <v>Chidzunga - Changalo</v>
          </cell>
          <cell r="F263" t="str">
            <v>T418</v>
          </cell>
          <cell r="G263">
            <v>2</v>
          </cell>
          <cell r="H263">
            <v>4.4000000000000004</v>
          </cell>
          <cell r="I263" t="str">
            <v>R</v>
          </cell>
          <cell r="J263" t="str">
            <v>THYOLO</v>
          </cell>
          <cell r="K263">
            <v>9</v>
          </cell>
        </row>
        <row r="264">
          <cell r="A264" t="str">
            <v>RS 768</v>
          </cell>
          <cell r="B264">
            <v>590</v>
          </cell>
          <cell r="C264" t="str">
            <v>S</v>
          </cell>
          <cell r="D264" t="str">
            <v>F</v>
          </cell>
          <cell r="E264" t="str">
            <v>Changalo - Masenjere</v>
          </cell>
          <cell r="F264" t="str">
            <v>T418</v>
          </cell>
          <cell r="G264">
            <v>3</v>
          </cell>
          <cell r="H264">
            <v>6.7</v>
          </cell>
          <cell r="I264" t="str">
            <v>R</v>
          </cell>
          <cell r="J264" t="str">
            <v>THYOLO</v>
          </cell>
          <cell r="K264">
            <v>9</v>
          </cell>
        </row>
        <row r="265">
          <cell r="A265" t="str">
            <v>RS 424</v>
          </cell>
          <cell r="B265">
            <v>246</v>
          </cell>
          <cell r="C265" t="str">
            <v>S</v>
          </cell>
          <cell r="D265" t="str">
            <v>F</v>
          </cell>
          <cell r="E265" t="str">
            <v>Thuchira River - Chonde</v>
          </cell>
          <cell r="F265" t="str">
            <v>T419</v>
          </cell>
          <cell r="G265">
            <v>1</v>
          </cell>
          <cell r="H265">
            <v>3.1</v>
          </cell>
          <cell r="I265" t="str">
            <v>FL</v>
          </cell>
          <cell r="J265" t="str">
            <v>MULANJE</v>
          </cell>
          <cell r="K265">
            <v>9</v>
          </cell>
          <cell r="L265" t="str">
            <v>Changed designation from S149 to T419</v>
          </cell>
        </row>
        <row r="266">
          <cell r="A266" t="str">
            <v>RS 775</v>
          </cell>
          <cell r="B266">
            <v>597</v>
          </cell>
          <cell r="C266" t="str">
            <v>S</v>
          </cell>
          <cell r="D266" t="str">
            <v>F</v>
          </cell>
          <cell r="E266" t="str">
            <v>Luchenza - Kumadzi</v>
          </cell>
          <cell r="F266" t="str">
            <v>T420</v>
          </cell>
          <cell r="G266">
            <v>1</v>
          </cell>
          <cell r="H266">
            <v>18.7</v>
          </cell>
          <cell r="I266" t="str">
            <v>R</v>
          </cell>
          <cell r="J266" t="str">
            <v>THYOLO</v>
          </cell>
          <cell r="K266">
            <v>9</v>
          </cell>
        </row>
        <row r="267">
          <cell r="A267" t="str">
            <v>RS 772</v>
          </cell>
          <cell r="B267">
            <v>594</v>
          </cell>
          <cell r="C267" t="str">
            <v>S</v>
          </cell>
          <cell r="D267" t="str">
            <v>F</v>
          </cell>
          <cell r="E267" t="str">
            <v>Kumadzi - Sandama</v>
          </cell>
          <cell r="F267" t="str">
            <v>T420</v>
          </cell>
          <cell r="G267">
            <v>2</v>
          </cell>
          <cell r="H267">
            <v>17.3</v>
          </cell>
          <cell r="I267" t="str">
            <v>H</v>
          </cell>
          <cell r="J267" t="str">
            <v>THYOLO</v>
          </cell>
          <cell r="K267">
            <v>9</v>
          </cell>
        </row>
        <row r="268">
          <cell r="A268" t="str">
            <v>RS 773</v>
          </cell>
          <cell r="B268">
            <v>595</v>
          </cell>
          <cell r="C268" t="str">
            <v>S</v>
          </cell>
          <cell r="D268" t="str">
            <v>F</v>
          </cell>
          <cell r="E268" t="str">
            <v>Sandama - Mtepera</v>
          </cell>
          <cell r="F268" t="str">
            <v>T420</v>
          </cell>
          <cell r="G268">
            <v>3</v>
          </cell>
          <cell r="H268">
            <v>8.4</v>
          </cell>
          <cell r="I268" t="str">
            <v>FL</v>
          </cell>
          <cell r="J268" t="str">
            <v>THYOLO</v>
          </cell>
          <cell r="K268">
            <v>9</v>
          </cell>
        </row>
        <row r="269">
          <cell r="A269" t="str">
            <v>RS 774</v>
          </cell>
          <cell r="B269">
            <v>596</v>
          </cell>
          <cell r="C269" t="str">
            <v>S</v>
          </cell>
          <cell r="D269" t="str">
            <v>F</v>
          </cell>
          <cell r="E269" t="str">
            <v>Mtepera - Kolopwa</v>
          </cell>
          <cell r="F269" t="str">
            <v>T420</v>
          </cell>
          <cell r="G269">
            <v>4</v>
          </cell>
          <cell r="H269">
            <v>6.7</v>
          </cell>
          <cell r="I269" t="str">
            <v>H</v>
          </cell>
          <cell r="J269" t="str">
            <v>THYOLO</v>
          </cell>
          <cell r="K269">
            <v>9</v>
          </cell>
        </row>
        <row r="270">
          <cell r="A270" t="str">
            <v>RS 435</v>
          </cell>
          <cell r="B270">
            <v>257</v>
          </cell>
          <cell r="C270" t="str">
            <v>S</v>
          </cell>
          <cell r="D270" t="str">
            <v>F</v>
          </cell>
          <cell r="E270" t="str">
            <v>Kolopwa - Chinzama</v>
          </cell>
          <cell r="F270" t="str">
            <v>T420</v>
          </cell>
          <cell r="G270">
            <v>5</v>
          </cell>
          <cell r="H270">
            <v>5.8</v>
          </cell>
          <cell r="I270" t="str">
            <v>H</v>
          </cell>
          <cell r="J270" t="str">
            <v>THYOLO</v>
          </cell>
          <cell r="K270">
            <v>9</v>
          </cell>
          <cell r="L270" t="str">
            <v>Changed, S151 to T420</v>
          </cell>
        </row>
        <row r="271">
          <cell r="A271" t="str">
            <v>RS 776</v>
          </cell>
          <cell r="B271">
            <v>598</v>
          </cell>
          <cell r="C271" t="str">
            <v>S</v>
          </cell>
          <cell r="D271" t="str">
            <v>F</v>
          </cell>
          <cell r="E271" t="str">
            <v>Msikawanjala - Simbatiyawo</v>
          </cell>
          <cell r="F271" t="str">
            <v>T421</v>
          </cell>
          <cell r="G271">
            <v>1</v>
          </cell>
          <cell r="H271">
            <v>4.5999999999999996</v>
          </cell>
          <cell r="I271" t="str">
            <v>FL</v>
          </cell>
          <cell r="J271" t="str">
            <v>MULANJE</v>
          </cell>
          <cell r="K271">
            <v>9</v>
          </cell>
        </row>
        <row r="272">
          <cell r="A272" t="str">
            <v>RS 777</v>
          </cell>
          <cell r="B272">
            <v>599</v>
          </cell>
          <cell r="C272" t="str">
            <v>S</v>
          </cell>
          <cell r="D272" t="str">
            <v>F</v>
          </cell>
          <cell r="E272" t="str">
            <v>Simbatiyawo - Khombezi River</v>
          </cell>
          <cell r="F272" t="str">
            <v>T421</v>
          </cell>
          <cell r="G272">
            <v>2</v>
          </cell>
          <cell r="H272">
            <v>2.9</v>
          </cell>
          <cell r="I272" t="str">
            <v>FL</v>
          </cell>
          <cell r="J272" t="str">
            <v>MULANJE</v>
          </cell>
          <cell r="K272">
            <v>9</v>
          </cell>
        </row>
        <row r="273">
          <cell r="A273" t="str">
            <v>RS 778</v>
          </cell>
          <cell r="B273">
            <v>600</v>
          </cell>
          <cell r="C273" t="str">
            <v>S</v>
          </cell>
          <cell r="D273" t="str">
            <v>F</v>
          </cell>
          <cell r="E273" t="str">
            <v>Khombezi River - Mitombozi</v>
          </cell>
          <cell r="F273" t="str">
            <v>T421</v>
          </cell>
          <cell r="G273">
            <v>3</v>
          </cell>
          <cell r="H273">
            <v>12</v>
          </cell>
          <cell r="I273" t="str">
            <v>FL</v>
          </cell>
          <cell r="J273" t="str">
            <v>MULANJE</v>
          </cell>
          <cell r="K273">
            <v>9</v>
          </cell>
        </row>
        <row r="274">
          <cell r="A274" t="str">
            <v>RS 779</v>
          </cell>
          <cell r="B274">
            <v>601</v>
          </cell>
          <cell r="C274" t="str">
            <v>S</v>
          </cell>
          <cell r="D274" t="str">
            <v>F</v>
          </cell>
          <cell r="E274" t="str">
            <v>Malambi - Siyama</v>
          </cell>
          <cell r="F274" t="str">
            <v>T422</v>
          </cell>
          <cell r="G274">
            <v>1</v>
          </cell>
          <cell r="H274">
            <v>7.6</v>
          </cell>
          <cell r="I274" t="str">
            <v>FL</v>
          </cell>
          <cell r="J274" t="str">
            <v>MULANJE</v>
          </cell>
          <cell r="K274">
            <v>9</v>
          </cell>
        </row>
        <row r="275">
          <cell r="A275" t="str">
            <v>RS 783</v>
          </cell>
          <cell r="B275">
            <v>605</v>
          </cell>
          <cell r="C275" t="str">
            <v>S</v>
          </cell>
          <cell r="D275" t="str">
            <v>F</v>
          </cell>
          <cell r="E275" t="str">
            <v>Lengwe T.O. - Tomali</v>
          </cell>
          <cell r="F275" t="str">
            <v>T423</v>
          </cell>
          <cell r="G275">
            <v>1</v>
          </cell>
          <cell r="H275">
            <v>9.8000000000000007</v>
          </cell>
          <cell r="I275" t="str">
            <v>FL</v>
          </cell>
          <cell r="J275" t="str">
            <v>CHIKWAWA</v>
          </cell>
          <cell r="K275">
            <v>9</v>
          </cell>
        </row>
        <row r="276">
          <cell r="A276" t="str">
            <v>RS 780</v>
          </cell>
          <cell r="B276">
            <v>602</v>
          </cell>
          <cell r="C276" t="str">
            <v>S</v>
          </cell>
          <cell r="D276" t="str">
            <v>F</v>
          </cell>
          <cell r="E276" t="str">
            <v>Tomali -  Mbuzi</v>
          </cell>
          <cell r="F276" t="str">
            <v>T423</v>
          </cell>
          <cell r="G276">
            <v>2</v>
          </cell>
          <cell r="H276">
            <v>15.9</v>
          </cell>
          <cell r="I276" t="str">
            <v>R</v>
          </cell>
          <cell r="J276" t="str">
            <v>CHIKWAWA</v>
          </cell>
          <cell r="K276">
            <v>9</v>
          </cell>
          <cell r="L276" t="str">
            <v>Changed designation from T422 to T423</v>
          </cell>
        </row>
        <row r="277">
          <cell r="A277" t="str">
            <v>RS 781</v>
          </cell>
          <cell r="B277">
            <v>603</v>
          </cell>
          <cell r="C277" t="str">
            <v>S</v>
          </cell>
          <cell r="D277" t="str">
            <v>F</v>
          </cell>
          <cell r="E277" t="str">
            <v>Mbuzi - Njirang'ombe River</v>
          </cell>
          <cell r="F277" t="str">
            <v>T423</v>
          </cell>
          <cell r="G277">
            <v>3</v>
          </cell>
          <cell r="H277">
            <v>15.8</v>
          </cell>
          <cell r="I277" t="str">
            <v>FL</v>
          </cell>
          <cell r="J277" t="str">
            <v>CHIKWAWA</v>
          </cell>
          <cell r="K277">
            <v>9</v>
          </cell>
        </row>
        <row r="278">
          <cell r="A278" t="str">
            <v>RS 782</v>
          </cell>
          <cell r="B278">
            <v>604</v>
          </cell>
          <cell r="C278" t="str">
            <v>S</v>
          </cell>
          <cell r="D278" t="str">
            <v>F</v>
          </cell>
          <cell r="E278" t="str">
            <v>Njirang'ombe River - Gama</v>
          </cell>
          <cell r="F278" t="str">
            <v>T423</v>
          </cell>
          <cell r="G278">
            <v>4</v>
          </cell>
          <cell r="H278">
            <v>21.1</v>
          </cell>
          <cell r="I278" t="str">
            <v>FL</v>
          </cell>
          <cell r="J278" t="str">
            <v>CHIKWAWA</v>
          </cell>
          <cell r="K278">
            <v>10</v>
          </cell>
        </row>
        <row r="279">
          <cell r="A279" t="str">
            <v>RS 789</v>
          </cell>
          <cell r="B279">
            <v>611</v>
          </cell>
          <cell r="C279" t="str">
            <v>S</v>
          </cell>
          <cell r="D279" t="str">
            <v>F</v>
          </cell>
          <cell r="E279" t="str">
            <v>Goma - Namikalango River</v>
          </cell>
          <cell r="F279" t="str">
            <v>T424</v>
          </cell>
          <cell r="G279">
            <v>1</v>
          </cell>
          <cell r="H279">
            <v>7.9</v>
          </cell>
          <cell r="I279" t="str">
            <v>R</v>
          </cell>
          <cell r="J279" t="str">
            <v>NSANJE</v>
          </cell>
          <cell r="K279">
            <v>10</v>
          </cell>
          <cell r="L279" t="str">
            <v>Changed designation from T424 to T425</v>
          </cell>
        </row>
        <row r="280">
          <cell r="A280" t="str">
            <v>RS 785</v>
          </cell>
          <cell r="B280">
            <v>607</v>
          </cell>
          <cell r="C280" t="str">
            <v>S</v>
          </cell>
          <cell r="D280" t="str">
            <v>F</v>
          </cell>
          <cell r="E280" t="str">
            <v>Namikalango River - Ngabu</v>
          </cell>
          <cell r="F280" t="str">
            <v>T424</v>
          </cell>
          <cell r="G280">
            <v>2</v>
          </cell>
          <cell r="H280">
            <v>7.1</v>
          </cell>
          <cell r="I280" t="str">
            <v>FL</v>
          </cell>
          <cell r="J280" t="str">
            <v>CHIKWAWA</v>
          </cell>
          <cell r="K280">
            <v>10</v>
          </cell>
        </row>
        <row r="281">
          <cell r="A281" t="str">
            <v>RS 786</v>
          </cell>
          <cell r="B281">
            <v>608</v>
          </cell>
          <cell r="C281" t="str">
            <v>S</v>
          </cell>
          <cell r="D281" t="str">
            <v>F</v>
          </cell>
          <cell r="E281" t="str">
            <v>Ngabu - Ngabu roundabout</v>
          </cell>
          <cell r="F281" t="str">
            <v>T424</v>
          </cell>
          <cell r="G281">
            <v>3</v>
          </cell>
          <cell r="H281">
            <v>5.5</v>
          </cell>
          <cell r="I281" t="str">
            <v>FL</v>
          </cell>
          <cell r="J281" t="str">
            <v>CHIKWAWA</v>
          </cell>
          <cell r="K281">
            <v>10</v>
          </cell>
        </row>
        <row r="282">
          <cell r="A282" t="str">
            <v>RS 784</v>
          </cell>
          <cell r="B282">
            <v>606</v>
          </cell>
          <cell r="C282" t="str">
            <v>S</v>
          </cell>
          <cell r="D282" t="str">
            <v>F</v>
          </cell>
          <cell r="E282" t="str">
            <v>Ngabu roundabout - Saopa</v>
          </cell>
          <cell r="F282" t="str">
            <v>T424</v>
          </cell>
          <cell r="G282">
            <v>4</v>
          </cell>
          <cell r="H282">
            <v>6.9</v>
          </cell>
          <cell r="I282" t="str">
            <v>FL</v>
          </cell>
          <cell r="J282" t="str">
            <v>CHIKWAWA</v>
          </cell>
          <cell r="K282">
            <v>10</v>
          </cell>
        </row>
        <row r="283">
          <cell r="A283" t="str">
            <v>RS 787</v>
          </cell>
          <cell r="B283">
            <v>609</v>
          </cell>
          <cell r="C283" t="str">
            <v>S</v>
          </cell>
          <cell r="D283" t="str">
            <v>F</v>
          </cell>
          <cell r="E283" t="str">
            <v>Saopa - Mozambique boundary</v>
          </cell>
          <cell r="F283" t="str">
            <v>T424</v>
          </cell>
          <cell r="G283">
            <v>5</v>
          </cell>
          <cell r="H283">
            <v>9</v>
          </cell>
          <cell r="I283" t="str">
            <v>FL</v>
          </cell>
          <cell r="J283" t="str">
            <v>CHIKWAWA</v>
          </cell>
          <cell r="K283">
            <v>10</v>
          </cell>
        </row>
        <row r="284">
          <cell r="A284" t="str">
            <v>RS 788</v>
          </cell>
          <cell r="B284">
            <v>610</v>
          </cell>
          <cell r="C284" t="str">
            <v>S</v>
          </cell>
          <cell r="D284" t="str">
            <v>F</v>
          </cell>
          <cell r="E284" t="str">
            <v>Lundu - Mbewu House</v>
          </cell>
          <cell r="F284" t="str">
            <v>T425</v>
          </cell>
          <cell r="G284">
            <v>1</v>
          </cell>
          <cell r="H284">
            <v>19.600000000000001</v>
          </cell>
          <cell r="I284" t="str">
            <v>FL</v>
          </cell>
          <cell r="J284" t="str">
            <v>NSANJE</v>
          </cell>
          <cell r="K284">
            <v>10</v>
          </cell>
        </row>
        <row r="285">
          <cell r="A285" t="str">
            <v>RS 791</v>
          </cell>
          <cell r="B285">
            <v>613</v>
          </cell>
          <cell r="C285" t="str">
            <v>S</v>
          </cell>
          <cell r="D285" t="str">
            <v>F</v>
          </cell>
          <cell r="E285" t="str">
            <v>Marka - Dundu river</v>
          </cell>
          <cell r="F285" t="str">
            <v>T426</v>
          </cell>
          <cell r="G285">
            <v>1</v>
          </cell>
          <cell r="H285">
            <v>10.9</v>
          </cell>
          <cell r="I285" t="str">
            <v>R</v>
          </cell>
          <cell r="J285" t="str">
            <v>NSANJE</v>
          </cell>
          <cell r="K285">
            <v>10</v>
          </cell>
        </row>
        <row r="286">
          <cell r="A286" t="str">
            <v>RS 792</v>
          </cell>
          <cell r="B286">
            <v>614</v>
          </cell>
          <cell r="C286" t="str">
            <v>S</v>
          </cell>
          <cell r="D286" t="str">
            <v>F</v>
          </cell>
          <cell r="E286" t="str">
            <v>Dundu River - Lulwe</v>
          </cell>
          <cell r="F286" t="str">
            <v>T426</v>
          </cell>
          <cell r="G286">
            <v>2</v>
          </cell>
          <cell r="H286">
            <v>6.7</v>
          </cell>
          <cell r="I286" t="str">
            <v>FL</v>
          </cell>
          <cell r="J286" t="str">
            <v>NSANJE</v>
          </cell>
          <cell r="K286">
            <v>10</v>
          </cell>
        </row>
        <row r="287">
          <cell r="A287" t="str">
            <v>RS 667</v>
          </cell>
          <cell r="B287">
            <v>489</v>
          </cell>
          <cell r="C287" t="str">
            <v>C</v>
          </cell>
          <cell r="D287" t="str">
            <v>F</v>
          </cell>
          <cell r="E287" t="str">
            <v>Area 25  - Kasengere/Ndodani - Junction T347</v>
          </cell>
          <cell r="F287" t="str">
            <v>UD</v>
          </cell>
          <cell r="G287">
            <v>1</v>
          </cell>
          <cell r="H287">
            <v>10</v>
          </cell>
          <cell r="I287" t="str">
            <v>R</v>
          </cell>
          <cell r="J287" t="str">
            <v>LILONGWE</v>
          </cell>
          <cell r="K287">
            <v>6</v>
          </cell>
        </row>
        <row r="288">
          <cell r="A288" t="str">
            <v>RS 467</v>
          </cell>
          <cell r="B288">
            <v>289</v>
          </cell>
          <cell r="C288" t="str">
            <v>N</v>
          </cell>
          <cell r="D288" t="str">
            <v>F</v>
          </cell>
          <cell r="E288" t="str">
            <v>Davide Kameme-Titi</v>
          </cell>
          <cell r="F288" t="str">
            <v>D001</v>
          </cell>
          <cell r="G288">
            <v>1</v>
          </cell>
          <cell r="H288">
            <v>14</v>
          </cell>
          <cell r="I288" t="str">
            <v>H</v>
          </cell>
          <cell r="J288" t="str">
            <v>CHITIPA</v>
          </cell>
          <cell r="K288">
            <v>1</v>
          </cell>
        </row>
        <row r="289">
          <cell r="A289" t="str">
            <v>RS 444</v>
          </cell>
          <cell r="B289">
            <v>266</v>
          </cell>
          <cell r="C289" t="str">
            <v>N</v>
          </cell>
          <cell r="D289" t="str">
            <v>F</v>
          </cell>
          <cell r="E289" t="str">
            <v>Fikolo Mkisi - Winston Kmeme</v>
          </cell>
          <cell r="F289" t="str">
            <v>T301</v>
          </cell>
          <cell r="G289">
            <v>1</v>
          </cell>
          <cell r="H289">
            <v>24.8</v>
          </cell>
          <cell r="I289">
            <v>1</v>
          </cell>
          <cell r="J289" t="str">
            <v>CHITIPA</v>
          </cell>
          <cell r="K289">
            <v>1</v>
          </cell>
          <cell r="L289" t="str">
            <v>Changed designation from T301 to D2</v>
          </cell>
        </row>
        <row r="290">
          <cell r="A290" t="str">
            <v>RS 469</v>
          </cell>
          <cell r="B290">
            <v>291</v>
          </cell>
          <cell r="C290" t="str">
            <v>N</v>
          </cell>
          <cell r="D290" t="str">
            <v>F</v>
          </cell>
          <cell r="E290" t="str">
            <v>Karonga Village - Fikolo Mkisi</v>
          </cell>
          <cell r="F290" t="str">
            <v>D003</v>
          </cell>
          <cell r="G290">
            <v>1</v>
          </cell>
          <cell r="H290">
            <v>32</v>
          </cell>
          <cell r="I290" t="str">
            <v>H</v>
          </cell>
          <cell r="J290" t="str">
            <v>CHITIPA</v>
          </cell>
          <cell r="K290">
            <v>1</v>
          </cell>
        </row>
        <row r="291">
          <cell r="A291" t="str">
            <v>RS 470</v>
          </cell>
          <cell r="B291">
            <v>292</v>
          </cell>
          <cell r="C291" t="str">
            <v>N</v>
          </cell>
          <cell r="D291" t="str">
            <v>F</v>
          </cell>
          <cell r="E291" t="str">
            <v>Fikolo Mkisi - Nkhangwa - junctionT301</v>
          </cell>
          <cell r="F291" t="str">
            <v>D003</v>
          </cell>
          <cell r="G291">
            <v>2</v>
          </cell>
          <cell r="H291">
            <v>11</v>
          </cell>
          <cell r="I291" t="str">
            <v>R</v>
          </cell>
          <cell r="J291" t="str">
            <v>CHITIPA</v>
          </cell>
          <cell r="K291">
            <v>1</v>
          </cell>
        </row>
        <row r="292">
          <cell r="A292" t="str">
            <v>RS 471</v>
          </cell>
          <cell r="B292">
            <v>293</v>
          </cell>
          <cell r="C292" t="str">
            <v>N</v>
          </cell>
          <cell r="D292" t="str">
            <v>F</v>
          </cell>
          <cell r="E292" t="str">
            <v>Nkhangwa - junction D008</v>
          </cell>
          <cell r="F292" t="str">
            <v>D006</v>
          </cell>
          <cell r="G292">
            <v>1</v>
          </cell>
          <cell r="H292">
            <v>9.5</v>
          </cell>
          <cell r="I292" t="str">
            <v>F</v>
          </cell>
          <cell r="J292" t="str">
            <v>CHITIPA</v>
          </cell>
          <cell r="K292">
            <v>1</v>
          </cell>
        </row>
        <row r="293">
          <cell r="A293" t="str">
            <v>RS 472</v>
          </cell>
          <cell r="B293">
            <v>294</v>
          </cell>
          <cell r="C293" t="str">
            <v>N</v>
          </cell>
          <cell r="D293" t="str">
            <v>F</v>
          </cell>
          <cell r="E293" t="str">
            <v>Junction D6 &amp; D8 - Junction D3</v>
          </cell>
          <cell r="F293" t="str">
            <v>D007</v>
          </cell>
          <cell r="G293">
            <v>1</v>
          </cell>
          <cell r="H293">
            <v>8.6999999999999993</v>
          </cell>
          <cell r="I293" t="str">
            <v>R</v>
          </cell>
          <cell r="J293" t="str">
            <v>CHITIPA</v>
          </cell>
          <cell r="K293">
            <v>1</v>
          </cell>
        </row>
        <row r="294">
          <cell r="A294" t="str">
            <v>RS 473</v>
          </cell>
          <cell r="B294">
            <v>295</v>
          </cell>
          <cell r="C294" t="str">
            <v>N</v>
          </cell>
          <cell r="D294" t="str">
            <v>F</v>
          </cell>
          <cell r="E294" t="str">
            <v>Chitipa - Junction D6 &amp; D7</v>
          </cell>
          <cell r="F294" t="str">
            <v>D008</v>
          </cell>
          <cell r="G294">
            <v>1</v>
          </cell>
          <cell r="H294">
            <v>8.5</v>
          </cell>
          <cell r="I294" t="str">
            <v>F</v>
          </cell>
          <cell r="J294" t="str">
            <v>CHITIPA</v>
          </cell>
          <cell r="K294">
            <v>1</v>
          </cell>
        </row>
        <row r="295">
          <cell r="A295" t="str">
            <v>RS 474</v>
          </cell>
          <cell r="B295">
            <v>296</v>
          </cell>
          <cell r="C295" t="str">
            <v>N</v>
          </cell>
          <cell r="D295" t="str">
            <v>F</v>
          </cell>
          <cell r="E295" t="str">
            <v>junction M26 - S.E. Chinunkha</v>
          </cell>
          <cell r="F295" t="str">
            <v>D009</v>
          </cell>
          <cell r="G295">
            <v>1</v>
          </cell>
          <cell r="H295">
            <v>10.5</v>
          </cell>
          <cell r="I295" t="str">
            <v>H</v>
          </cell>
          <cell r="J295" t="str">
            <v>CHITIPA</v>
          </cell>
          <cell r="K295">
            <v>1</v>
          </cell>
        </row>
        <row r="296">
          <cell r="A296" t="str">
            <v>RS 475</v>
          </cell>
          <cell r="B296">
            <v>297</v>
          </cell>
          <cell r="C296" t="str">
            <v>N</v>
          </cell>
          <cell r="D296" t="str">
            <v>F</v>
          </cell>
          <cell r="E296" t="str">
            <v>Misuku South - Tanzania Border</v>
          </cell>
          <cell r="F296" t="str">
            <v>D010</v>
          </cell>
          <cell r="G296">
            <v>1</v>
          </cell>
          <cell r="H296">
            <v>11.1</v>
          </cell>
          <cell r="I296" t="str">
            <v>H</v>
          </cell>
          <cell r="J296" t="str">
            <v>CHITIPA</v>
          </cell>
          <cell r="K296">
            <v>1</v>
          </cell>
        </row>
        <row r="297">
          <cell r="A297" t="str">
            <v>RS 476</v>
          </cell>
          <cell r="B297">
            <v>298</v>
          </cell>
          <cell r="C297" t="str">
            <v>N</v>
          </cell>
          <cell r="D297" t="str">
            <v>F</v>
          </cell>
          <cell r="E297" t="str">
            <v>Sokora - Misuku</v>
          </cell>
          <cell r="F297" t="str">
            <v>D011</v>
          </cell>
          <cell r="G297">
            <v>1</v>
          </cell>
          <cell r="H297">
            <v>5.0999999999999996</v>
          </cell>
          <cell r="I297" t="str">
            <v>H</v>
          </cell>
          <cell r="J297" t="str">
            <v>CHITIPA</v>
          </cell>
          <cell r="K297">
            <v>1</v>
          </cell>
        </row>
        <row r="298">
          <cell r="A298" t="str">
            <v>RS 477</v>
          </cell>
          <cell r="B298">
            <v>299</v>
          </cell>
          <cell r="C298" t="str">
            <v>N</v>
          </cell>
          <cell r="D298" t="str">
            <v>F</v>
          </cell>
          <cell r="E298" t="str">
            <v>Mwakalomba - Songwe River</v>
          </cell>
          <cell r="F298" t="str">
            <v>D015</v>
          </cell>
          <cell r="G298">
            <v>1</v>
          </cell>
          <cell r="H298">
            <v>15.3</v>
          </cell>
          <cell r="I298" t="str">
            <v>H</v>
          </cell>
          <cell r="J298" t="str">
            <v>KARONGA</v>
          </cell>
          <cell r="K298">
            <v>1</v>
          </cell>
        </row>
        <row r="299">
          <cell r="A299" t="str">
            <v>RS 478</v>
          </cell>
          <cell r="B299">
            <v>300</v>
          </cell>
          <cell r="C299" t="str">
            <v>N</v>
          </cell>
          <cell r="D299" t="str">
            <v>F</v>
          </cell>
          <cell r="E299" t="str">
            <v>Kakoma - West of M1</v>
          </cell>
          <cell r="F299" t="str">
            <v>D020</v>
          </cell>
          <cell r="G299">
            <v>1</v>
          </cell>
          <cell r="H299">
            <v>11</v>
          </cell>
          <cell r="I299" t="str">
            <v>F</v>
          </cell>
          <cell r="J299" t="str">
            <v>KARONGA</v>
          </cell>
          <cell r="K299">
            <v>1</v>
          </cell>
        </row>
        <row r="300">
          <cell r="A300" t="str">
            <v>RS 479</v>
          </cell>
          <cell r="B300">
            <v>301</v>
          </cell>
          <cell r="C300" t="str">
            <v>N</v>
          </cell>
          <cell r="D300" t="str">
            <v>F</v>
          </cell>
          <cell r="E300" t="str">
            <v>Usaka loop - junction M1</v>
          </cell>
          <cell r="F300" t="str">
            <v>D021</v>
          </cell>
          <cell r="G300">
            <v>1</v>
          </cell>
          <cell r="H300">
            <v>17.5</v>
          </cell>
          <cell r="I300" t="str">
            <v>H</v>
          </cell>
          <cell r="J300" t="str">
            <v>KARONGA</v>
          </cell>
          <cell r="K300">
            <v>1</v>
          </cell>
        </row>
        <row r="301">
          <cell r="A301" t="str">
            <v>RS 480</v>
          </cell>
          <cell r="B301">
            <v>302</v>
          </cell>
          <cell r="C301" t="str">
            <v>N</v>
          </cell>
          <cell r="D301" t="str">
            <v>F</v>
          </cell>
          <cell r="E301" t="str">
            <v>Mwandwa - Mwandwa South</v>
          </cell>
          <cell r="F301" t="str">
            <v>D022</v>
          </cell>
          <cell r="G301">
            <v>1</v>
          </cell>
          <cell r="H301">
            <v>6.5</v>
          </cell>
          <cell r="I301" t="str">
            <v>F</v>
          </cell>
          <cell r="J301" t="str">
            <v>KARONGA</v>
          </cell>
          <cell r="K301">
            <v>1</v>
          </cell>
        </row>
        <row r="302">
          <cell r="A302" t="str">
            <v>RS 481</v>
          </cell>
          <cell r="B302">
            <v>303</v>
          </cell>
          <cell r="C302" t="str">
            <v>N</v>
          </cell>
          <cell r="D302" t="str">
            <v>F</v>
          </cell>
          <cell r="E302" t="str">
            <v>Mlali - Mwambelo Village</v>
          </cell>
          <cell r="F302" t="str">
            <v>D023</v>
          </cell>
          <cell r="G302">
            <v>1</v>
          </cell>
          <cell r="H302">
            <v>2.5</v>
          </cell>
          <cell r="I302" t="str">
            <v>F</v>
          </cell>
          <cell r="J302" t="str">
            <v>KARONGA</v>
          </cell>
          <cell r="K302">
            <v>2</v>
          </cell>
        </row>
        <row r="303">
          <cell r="A303" t="str">
            <v>RS 482</v>
          </cell>
          <cell r="B303">
            <v>304</v>
          </cell>
          <cell r="C303" t="str">
            <v>N</v>
          </cell>
          <cell r="D303" t="str">
            <v>F</v>
          </cell>
          <cell r="E303" t="str">
            <v>Nyungwe - Thawilo</v>
          </cell>
          <cell r="F303" t="str">
            <v>D024</v>
          </cell>
          <cell r="G303">
            <v>1</v>
          </cell>
          <cell r="H303">
            <v>6.1</v>
          </cell>
          <cell r="I303" t="str">
            <v>F</v>
          </cell>
          <cell r="J303" t="str">
            <v>KARONGA</v>
          </cell>
          <cell r="K303">
            <v>2</v>
          </cell>
        </row>
        <row r="304">
          <cell r="A304" t="str">
            <v>RS 483</v>
          </cell>
          <cell r="B304">
            <v>305</v>
          </cell>
          <cell r="C304" t="str">
            <v>N</v>
          </cell>
          <cell r="D304" t="str">
            <v>F</v>
          </cell>
          <cell r="E304" t="str">
            <v>Wovwe - Wovwe Scheme</v>
          </cell>
          <cell r="F304" t="str">
            <v>D025</v>
          </cell>
          <cell r="G304">
            <v>1</v>
          </cell>
          <cell r="H304">
            <v>2.5</v>
          </cell>
          <cell r="I304" t="str">
            <v>F</v>
          </cell>
          <cell r="J304" t="str">
            <v>KARONGA</v>
          </cell>
          <cell r="K304">
            <v>2</v>
          </cell>
        </row>
        <row r="305">
          <cell r="A305" t="str">
            <v>RS 484</v>
          </cell>
          <cell r="B305">
            <v>306</v>
          </cell>
          <cell r="C305" t="str">
            <v>N</v>
          </cell>
          <cell r="D305" t="str">
            <v>F</v>
          </cell>
          <cell r="E305" t="str">
            <v>Hara - Bundi</v>
          </cell>
          <cell r="F305" t="str">
            <v>D026</v>
          </cell>
          <cell r="G305">
            <v>1</v>
          </cell>
          <cell r="H305">
            <v>2.6</v>
          </cell>
          <cell r="I305" t="str">
            <v>F</v>
          </cell>
          <cell r="J305" t="str">
            <v>KARONGA</v>
          </cell>
          <cell r="K305">
            <v>2</v>
          </cell>
        </row>
        <row r="306">
          <cell r="A306" t="str">
            <v>RS 485</v>
          </cell>
          <cell r="B306">
            <v>307</v>
          </cell>
          <cell r="C306" t="str">
            <v>N</v>
          </cell>
          <cell r="D306" t="str">
            <v>F</v>
          </cell>
          <cell r="E306" t="str">
            <v>Lura - Mchenga</v>
          </cell>
          <cell r="F306" t="str">
            <v>D030</v>
          </cell>
          <cell r="G306">
            <v>1</v>
          </cell>
          <cell r="H306">
            <v>11.2</v>
          </cell>
          <cell r="I306" t="str">
            <v>R</v>
          </cell>
          <cell r="J306" t="str">
            <v>RUMPHI</v>
          </cell>
          <cell r="K306">
            <v>2</v>
          </cell>
        </row>
        <row r="307">
          <cell r="A307" t="str">
            <v>RS 486</v>
          </cell>
          <cell r="B307">
            <v>308</v>
          </cell>
          <cell r="C307" t="str">
            <v>N</v>
          </cell>
          <cell r="D307" t="str">
            <v>F</v>
          </cell>
          <cell r="E307" t="str">
            <v>South Lura - West T305</v>
          </cell>
          <cell r="F307" t="str">
            <v>D031</v>
          </cell>
          <cell r="G307">
            <v>1</v>
          </cell>
          <cell r="H307">
            <v>3.1</v>
          </cell>
          <cell r="I307" t="str">
            <v>R</v>
          </cell>
          <cell r="J307" t="str">
            <v>RUMPHI</v>
          </cell>
          <cell r="K307">
            <v>2</v>
          </cell>
        </row>
        <row r="308">
          <cell r="A308" t="str">
            <v>RS 487</v>
          </cell>
          <cell r="B308">
            <v>309</v>
          </cell>
          <cell r="C308" t="str">
            <v>N</v>
          </cell>
          <cell r="D308" t="str">
            <v>F</v>
          </cell>
          <cell r="E308" t="str">
            <v>Hewe - Chisimuka</v>
          </cell>
          <cell r="F308" t="str">
            <v>D032</v>
          </cell>
          <cell r="G308">
            <v>1</v>
          </cell>
          <cell r="H308">
            <v>7.1</v>
          </cell>
          <cell r="I308" t="str">
            <v>R</v>
          </cell>
          <cell r="J308" t="str">
            <v>RUMPHI</v>
          </cell>
          <cell r="K308">
            <v>2</v>
          </cell>
        </row>
        <row r="309">
          <cell r="A309" t="str">
            <v>RS 488</v>
          </cell>
          <cell r="B309">
            <v>310</v>
          </cell>
          <cell r="C309" t="str">
            <v>N</v>
          </cell>
          <cell r="D309" t="str">
            <v>F</v>
          </cell>
          <cell r="E309" t="str">
            <v>Katowo - South West Katowo</v>
          </cell>
          <cell r="F309" t="str">
            <v>D033</v>
          </cell>
          <cell r="G309">
            <v>1</v>
          </cell>
          <cell r="H309">
            <v>6.5</v>
          </cell>
          <cell r="I309" t="str">
            <v>R</v>
          </cell>
          <cell r="J309" t="str">
            <v>RUMPHI</v>
          </cell>
          <cell r="K309">
            <v>2</v>
          </cell>
        </row>
        <row r="310">
          <cell r="A310" t="str">
            <v>RS 489</v>
          </cell>
          <cell r="B310">
            <v>311</v>
          </cell>
          <cell r="C310" t="str">
            <v>N</v>
          </cell>
          <cell r="D310" t="str">
            <v>F</v>
          </cell>
          <cell r="E310" t="str">
            <v>Katowo - East Katowo</v>
          </cell>
          <cell r="F310" t="str">
            <v>D034</v>
          </cell>
          <cell r="G310">
            <v>1</v>
          </cell>
          <cell r="H310">
            <v>2.8</v>
          </cell>
          <cell r="I310" t="str">
            <v>R</v>
          </cell>
          <cell r="J310" t="str">
            <v>RUMPHI</v>
          </cell>
          <cell r="K310">
            <v>2</v>
          </cell>
        </row>
        <row r="311">
          <cell r="A311" t="str">
            <v>RS 490</v>
          </cell>
          <cell r="B311">
            <v>312</v>
          </cell>
          <cell r="C311" t="str">
            <v>N</v>
          </cell>
          <cell r="D311" t="str">
            <v>F</v>
          </cell>
          <cell r="E311" t="str">
            <v>South Katowo - West S104</v>
          </cell>
          <cell r="F311" t="str">
            <v>D035</v>
          </cell>
          <cell r="G311">
            <v>1</v>
          </cell>
          <cell r="H311">
            <v>7.2</v>
          </cell>
          <cell r="I311" t="str">
            <v>F</v>
          </cell>
          <cell r="J311" t="str">
            <v>MZIMBA</v>
          </cell>
          <cell r="K311">
            <v>3</v>
          </cell>
        </row>
        <row r="312">
          <cell r="A312" t="str">
            <v>RS 491</v>
          </cell>
          <cell r="B312">
            <v>313</v>
          </cell>
          <cell r="C312" t="str">
            <v>N</v>
          </cell>
          <cell r="D312" t="str">
            <v>F</v>
          </cell>
          <cell r="E312" t="str">
            <v>South East Bembe - Chikwawa East</v>
          </cell>
          <cell r="F312" t="str">
            <v>D036</v>
          </cell>
          <cell r="G312">
            <v>1</v>
          </cell>
          <cell r="H312">
            <v>13.4</v>
          </cell>
          <cell r="I312" t="str">
            <v>F</v>
          </cell>
          <cell r="J312" t="str">
            <v>RUMPHI</v>
          </cell>
          <cell r="K312">
            <v>3</v>
          </cell>
        </row>
        <row r="313">
          <cell r="A313" t="str">
            <v>RS 492</v>
          </cell>
          <cell r="B313">
            <v>314</v>
          </cell>
          <cell r="C313" t="str">
            <v>N</v>
          </cell>
          <cell r="D313" t="str">
            <v>F</v>
          </cell>
          <cell r="E313" t="str">
            <v>North Bolero - Junction M9</v>
          </cell>
          <cell r="F313" t="str">
            <v>D037</v>
          </cell>
          <cell r="G313">
            <v>1</v>
          </cell>
          <cell r="H313">
            <v>12.2</v>
          </cell>
          <cell r="I313" t="str">
            <v>R</v>
          </cell>
          <cell r="J313" t="str">
            <v>RUMPHI</v>
          </cell>
          <cell r="K313">
            <v>3</v>
          </cell>
        </row>
        <row r="314">
          <cell r="A314" t="str">
            <v>RS 493</v>
          </cell>
          <cell r="B314">
            <v>315</v>
          </cell>
          <cell r="C314" t="str">
            <v>N</v>
          </cell>
          <cell r="D314" t="str">
            <v>F</v>
          </cell>
          <cell r="E314" t="str">
            <v>North West Bolero - North East Bolero</v>
          </cell>
          <cell r="F314" t="str">
            <v>D038</v>
          </cell>
          <cell r="G314">
            <v>1</v>
          </cell>
          <cell r="H314">
            <v>9.8000000000000007</v>
          </cell>
          <cell r="I314" t="str">
            <v>F</v>
          </cell>
          <cell r="J314" t="str">
            <v>RUMPHI</v>
          </cell>
          <cell r="K314">
            <v>3</v>
          </cell>
        </row>
        <row r="315">
          <cell r="A315" t="str">
            <v>RS 494</v>
          </cell>
          <cell r="B315">
            <v>316</v>
          </cell>
          <cell r="C315" t="str">
            <v>N</v>
          </cell>
          <cell r="D315" t="str">
            <v>F</v>
          </cell>
          <cell r="E315" t="str">
            <v>Kawalazi - Junction M5</v>
          </cell>
          <cell r="F315" t="str">
            <v>D044</v>
          </cell>
          <cell r="G315">
            <v>1</v>
          </cell>
          <cell r="H315">
            <v>16.399999999999999</v>
          </cell>
          <cell r="I315" t="str">
            <v>F</v>
          </cell>
          <cell r="J315" t="str">
            <v>NKHATA BAY</v>
          </cell>
          <cell r="K315">
            <v>3</v>
          </cell>
        </row>
        <row r="316">
          <cell r="A316" t="str">
            <v>RS 495</v>
          </cell>
          <cell r="B316">
            <v>317</v>
          </cell>
          <cell r="C316" t="str">
            <v>N</v>
          </cell>
          <cell r="D316" t="str">
            <v>F</v>
          </cell>
          <cell r="E316" t="str">
            <v>Chintheche - Mugondi</v>
          </cell>
          <cell r="F316" t="str">
            <v>D045</v>
          </cell>
          <cell r="G316">
            <v>1</v>
          </cell>
          <cell r="H316">
            <v>5.3</v>
          </cell>
          <cell r="I316" t="str">
            <v>R</v>
          </cell>
          <cell r="J316" t="str">
            <v>NKHATA BAY</v>
          </cell>
          <cell r="K316">
            <v>4</v>
          </cell>
        </row>
        <row r="317">
          <cell r="A317" t="str">
            <v>RS 496</v>
          </cell>
          <cell r="B317">
            <v>318</v>
          </cell>
          <cell r="C317" t="str">
            <v>N</v>
          </cell>
          <cell r="D317" t="str">
            <v>F</v>
          </cell>
          <cell r="E317" t="str">
            <v>Kamwe - Vongo</v>
          </cell>
          <cell r="F317" t="str">
            <v>D050</v>
          </cell>
          <cell r="G317">
            <v>1</v>
          </cell>
          <cell r="H317">
            <v>12</v>
          </cell>
          <cell r="I317" t="str">
            <v>R</v>
          </cell>
          <cell r="J317" t="str">
            <v>RUMPHI</v>
          </cell>
          <cell r="K317">
            <v>3</v>
          </cell>
        </row>
        <row r="318">
          <cell r="A318" t="str">
            <v>RS 497</v>
          </cell>
          <cell r="B318">
            <v>319</v>
          </cell>
          <cell r="C318" t="str">
            <v>N</v>
          </cell>
          <cell r="D318" t="str">
            <v>F</v>
          </cell>
          <cell r="E318" t="str">
            <v>Chankhalamu - Chiwotcha</v>
          </cell>
          <cell r="F318" t="str">
            <v>D051</v>
          </cell>
          <cell r="G318">
            <v>1</v>
          </cell>
          <cell r="H318">
            <v>14</v>
          </cell>
          <cell r="I318" t="str">
            <v>F</v>
          </cell>
          <cell r="J318" t="str">
            <v>MZIMBA</v>
          </cell>
          <cell r="K318">
            <v>3</v>
          </cell>
        </row>
        <row r="319">
          <cell r="A319" t="str">
            <v>RS 498</v>
          </cell>
          <cell r="B319">
            <v>320</v>
          </cell>
          <cell r="C319" t="str">
            <v>N</v>
          </cell>
          <cell r="D319" t="str">
            <v>F</v>
          </cell>
          <cell r="E319" t="str">
            <v>Ngoma - Junction M9</v>
          </cell>
          <cell r="F319" t="str">
            <v>D052</v>
          </cell>
          <cell r="G319">
            <v>1</v>
          </cell>
          <cell r="H319">
            <v>9</v>
          </cell>
          <cell r="I319" t="str">
            <v>F</v>
          </cell>
          <cell r="J319" t="str">
            <v>MZIMBA</v>
          </cell>
          <cell r="K319">
            <v>3</v>
          </cell>
        </row>
        <row r="320">
          <cell r="A320" t="str">
            <v>RS 499</v>
          </cell>
          <cell r="B320">
            <v>321</v>
          </cell>
          <cell r="C320" t="str">
            <v>N</v>
          </cell>
          <cell r="D320" t="str">
            <v>F</v>
          </cell>
          <cell r="E320" t="str">
            <v>Ezweleri School - Junction S107</v>
          </cell>
          <cell r="F320" t="str">
            <v>D053</v>
          </cell>
          <cell r="G320">
            <v>1</v>
          </cell>
          <cell r="H320">
            <v>6.1</v>
          </cell>
          <cell r="I320" t="str">
            <v>F</v>
          </cell>
          <cell r="J320" t="str">
            <v>MZIMBA</v>
          </cell>
          <cell r="K320">
            <v>3</v>
          </cell>
        </row>
        <row r="321">
          <cell r="A321" t="str">
            <v>RS 500</v>
          </cell>
          <cell r="B321">
            <v>322</v>
          </cell>
          <cell r="C321" t="str">
            <v>N</v>
          </cell>
          <cell r="D321" t="str">
            <v>F</v>
          </cell>
          <cell r="E321" t="str">
            <v>Emvuyeni - North Emvuyeni</v>
          </cell>
          <cell r="F321" t="str">
            <v>D054</v>
          </cell>
          <cell r="G321">
            <v>1</v>
          </cell>
          <cell r="H321">
            <v>4.3</v>
          </cell>
          <cell r="I321" t="str">
            <v>F</v>
          </cell>
          <cell r="J321" t="str">
            <v>MZIMBA</v>
          </cell>
          <cell r="K321">
            <v>3</v>
          </cell>
        </row>
        <row r="322">
          <cell r="A322" t="str">
            <v>RS 501</v>
          </cell>
          <cell r="B322">
            <v>323</v>
          </cell>
          <cell r="C322" t="str">
            <v>N</v>
          </cell>
          <cell r="D322" t="str">
            <v>F</v>
          </cell>
          <cell r="E322" t="str">
            <v>Mzambazi - Junction S106</v>
          </cell>
          <cell r="F322" t="str">
            <v>D055</v>
          </cell>
          <cell r="G322">
            <v>1</v>
          </cell>
          <cell r="H322">
            <v>6.5</v>
          </cell>
          <cell r="I322" t="str">
            <v>F</v>
          </cell>
          <cell r="J322" t="str">
            <v>MZIMBA</v>
          </cell>
          <cell r="K322">
            <v>3</v>
          </cell>
        </row>
        <row r="323">
          <cell r="A323" t="str">
            <v>RS 502</v>
          </cell>
          <cell r="B323">
            <v>324</v>
          </cell>
          <cell r="C323" t="str">
            <v>N</v>
          </cell>
          <cell r="D323" t="str">
            <v>F</v>
          </cell>
          <cell r="E323" t="str">
            <v>Mtwalo - Junction D057</v>
          </cell>
          <cell r="F323" t="str">
            <v>D056</v>
          </cell>
          <cell r="G323">
            <v>1</v>
          </cell>
          <cell r="H323">
            <v>15</v>
          </cell>
          <cell r="I323" t="str">
            <v>F</v>
          </cell>
          <cell r="J323" t="str">
            <v>MZIMBA</v>
          </cell>
          <cell r="K323">
            <v>3</v>
          </cell>
        </row>
        <row r="324">
          <cell r="A324" t="str">
            <v>RS 503</v>
          </cell>
          <cell r="B324">
            <v>325</v>
          </cell>
          <cell r="C324" t="str">
            <v>N</v>
          </cell>
          <cell r="D324" t="str">
            <v>F</v>
          </cell>
          <cell r="E324" t="str">
            <v>Tione Bar - Njuyu School</v>
          </cell>
          <cell r="F324" t="str">
            <v>D057</v>
          </cell>
          <cell r="G324">
            <v>1</v>
          </cell>
          <cell r="H324">
            <v>10.5</v>
          </cell>
          <cell r="I324" t="str">
            <v>R</v>
          </cell>
          <cell r="J324" t="str">
            <v>MZIMBA</v>
          </cell>
          <cell r="K324">
            <v>3</v>
          </cell>
        </row>
        <row r="325">
          <cell r="A325" t="str">
            <v>RS 504</v>
          </cell>
          <cell r="B325">
            <v>326</v>
          </cell>
          <cell r="C325" t="str">
            <v>N</v>
          </cell>
          <cell r="D325" t="str">
            <v>F</v>
          </cell>
          <cell r="E325" t="str">
            <v>Chisengeze - Junction T313</v>
          </cell>
          <cell r="F325" t="str">
            <v>D058</v>
          </cell>
          <cell r="G325">
            <v>1</v>
          </cell>
          <cell r="H325">
            <v>12.6</v>
          </cell>
          <cell r="I325" t="str">
            <v>R</v>
          </cell>
          <cell r="J325" t="str">
            <v>MZIMBA</v>
          </cell>
          <cell r="K325">
            <v>3</v>
          </cell>
        </row>
        <row r="326">
          <cell r="A326" t="str">
            <v>RS 505</v>
          </cell>
          <cell r="B326">
            <v>327</v>
          </cell>
          <cell r="C326" t="str">
            <v>N</v>
          </cell>
          <cell r="D326" t="str">
            <v>F</v>
          </cell>
          <cell r="E326" t="str">
            <v>Mzalangwe - Junction T313</v>
          </cell>
          <cell r="F326" t="str">
            <v>D059</v>
          </cell>
          <cell r="G326">
            <v>1</v>
          </cell>
          <cell r="H326">
            <v>15.9</v>
          </cell>
          <cell r="I326" t="str">
            <v>F</v>
          </cell>
          <cell r="J326" t="str">
            <v>MZIMBA</v>
          </cell>
          <cell r="K326">
            <v>3</v>
          </cell>
        </row>
        <row r="327">
          <cell r="A327" t="str">
            <v>RS 506</v>
          </cell>
          <cell r="B327">
            <v>328</v>
          </cell>
          <cell r="C327" t="str">
            <v>N</v>
          </cell>
          <cell r="D327" t="str">
            <v>F</v>
          </cell>
          <cell r="E327" t="str">
            <v>Lunjika - Junction S107</v>
          </cell>
          <cell r="F327" t="str">
            <v>D060</v>
          </cell>
          <cell r="G327">
            <v>1</v>
          </cell>
          <cell r="H327">
            <v>4.8</v>
          </cell>
          <cell r="I327" t="str">
            <v>F</v>
          </cell>
          <cell r="J327" t="str">
            <v>MZIMBA</v>
          </cell>
          <cell r="K327">
            <v>3</v>
          </cell>
        </row>
        <row r="328">
          <cell r="A328" t="str">
            <v>RS 507</v>
          </cell>
          <cell r="B328">
            <v>329</v>
          </cell>
          <cell r="C328" t="str">
            <v>N</v>
          </cell>
          <cell r="D328" t="str">
            <v>F</v>
          </cell>
          <cell r="E328" t="str">
            <v>Chakazi - Ngomiya</v>
          </cell>
          <cell r="F328" t="str">
            <v>D061</v>
          </cell>
          <cell r="G328">
            <v>1</v>
          </cell>
          <cell r="H328">
            <v>10.199999999999999</v>
          </cell>
          <cell r="I328" t="str">
            <v>F</v>
          </cell>
          <cell r="J328" t="str">
            <v>MZIMBA</v>
          </cell>
          <cell r="K328">
            <v>3</v>
          </cell>
        </row>
        <row r="329">
          <cell r="A329" t="str">
            <v>RS 508</v>
          </cell>
          <cell r="B329">
            <v>330</v>
          </cell>
          <cell r="C329" t="str">
            <v>N</v>
          </cell>
          <cell r="D329" t="str">
            <v>F</v>
          </cell>
          <cell r="E329" t="str">
            <v>Mbawa - Junction M20</v>
          </cell>
          <cell r="F329" t="str">
            <v>D064</v>
          </cell>
          <cell r="G329">
            <v>1</v>
          </cell>
          <cell r="H329">
            <v>5.2</v>
          </cell>
          <cell r="I329" t="str">
            <v>F</v>
          </cell>
          <cell r="J329" t="str">
            <v>MZIMBA</v>
          </cell>
          <cell r="K329">
            <v>4</v>
          </cell>
        </row>
        <row r="330">
          <cell r="A330" t="str">
            <v>RS 509</v>
          </cell>
          <cell r="B330">
            <v>331</v>
          </cell>
          <cell r="C330" t="str">
            <v>N</v>
          </cell>
          <cell r="D330" t="str">
            <v>F</v>
          </cell>
          <cell r="E330" t="str">
            <v>Ehleni - Hoho</v>
          </cell>
          <cell r="F330" t="str">
            <v>D065</v>
          </cell>
          <cell r="G330">
            <v>1</v>
          </cell>
          <cell r="H330">
            <v>8.4</v>
          </cell>
          <cell r="I330" t="str">
            <v>F</v>
          </cell>
          <cell r="J330" t="str">
            <v>MZIMBA</v>
          </cell>
          <cell r="K330">
            <v>4</v>
          </cell>
        </row>
        <row r="331">
          <cell r="A331" t="str">
            <v>RS 510</v>
          </cell>
          <cell r="B331">
            <v>332</v>
          </cell>
          <cell r="C331" t="str">
            <v>N</v>
          </cell>
          <cell r="D331" t="str">
            <v>F</v>
          </cell>
          <cell r="E331" t="str">
            <v>Hoho - Hoho School</v>
          </cell>
          <cell r="F331" t="str">
            <v>D066</v>
          </cell>
          <cell r="G331">
            <v>1</v>
          </cell>
          <cell r="H331">
            <v>5.9</v>
          </cell>
          <cell r="I331" t="str">
            <v>F</v>
          </cell>
          <cell r="J331" t="str">
            <v>MZIMBA</v>
          </cell>
          <cell r="K331">
            <v>4</v>
          </cell>
        </row>
        <row r="332">
          <cell r="A332" t="str">
            <v>RS 511</v>
          </cell>
          <cell r="B332">
            <v>333</v>
          </cell>
          <cell r="C332" t="str">
            <v>N</v>
          </cell>
          <cell r="D332" t="str">
            <v>F</v>
          </cell>
          <cell r="E332" t="str">
            <v>Msesa School - Junction D68</v>
          </cell>
          <cell r="F332" t="str">
            <v>D067</v>
          </cell>
          <cell r="G332">
            <v>1</v>
          </cell>
          <cell r="H332">
            <v>6.1</v>
          </cell>
          <cell r="I332" t="str">
            <v>F</v>
          </cell>
          <cell r="J332" t="str">
            <v>MZIMBA</v>
          </cell>
          <cell r="K332">
            <v>4</v>
          </cell>
        </row>
        <row r="333">
          <cell r="A333" t="str">
            <v>RS 512</v>
          </cell>
          <cell r="B333">
            <v>334</v>
          </cell>
          <cell r="C333" t="str">
            <v>N</v>
          </cell>
          <cell r="D333" t="str">
            <v>F</v>
          </cell>
          <cell r="E333" t="str">
            <v>Chizani - Junction D74</v>
          </cell>
          <cell r="F333" t="str">
            <v>D068</v>
          </cell>
          <cell r="G333">
            <v>1</v>
          </cell>
          <cell r="H333">
            <v>18.8</v>
          </cell>
          <cell r="I333" t="str">
            <v>F</v>
          </cell>
          <cell r="J333" t="str">
            <v>MZIMBA</v>
          </cell>
          <cell r="K333">
            <v>4</v>
          </cell>
        </row>
        <row r="334">
          <cell r="A334" t="str">
            <v>RS 513</v>
          </cell>
          <cell r="B334">
            <v>335</v>
          </cell>
          <cell r="C334" t="str">
            <v>N</v>
          </cell>
          <cell r="D334" t="str">
            <v>F</v>
          </cell>
          <cell r="E334" t="str">
            <v>Nyoni - Kapita School</v>
          </cell>
          <cell r="F334" t="str">
            <v>D069</v>
          </cell>
          <cell r="G334">
            <v>1</v>
          </cell>
          <cell r="H334">
            <v>6.5</v>
          </cell>
          <cell r="I334" t="str">
            <v>R</v>
          </cell>
          <cell r="J334" t="str">
            <v>MZIMBA</v>
          </cell>
          <cell r="K334">
            <v>4</v>
          </cell>
        </row>
        <row r="335">
          <cell r="A335" t="str">
            <v>RS 514</v>
          </cell>
          <cell r="B335">
            <v>336</v>
          </cell>
          <cell r="C335" t="str">
            <v>N</v>
          </cell>
          <cell r="D335" t="str">
            <v>F</v>
          </cell>
          <cell r="E335" t="str">
            <v>Kanika - Luwelezi School</v>
          </cell>
          <cell r="F335" t="str">
            <v>D070</v>
          </cell>
          <cell r="G335">
            <v>1</v>
          </cell>
          <cell r="H335">
            <v>13.5</v>
          </cell>
          <cell r="I335" t="str">
            <v>F</v>
          </cell>
          <cell r="J335" t="str">
            <v>MZIMBA</v>
          </cell>
          <cell r="K335">
            <v>4</v>
          </cell>
        </row>
        <row r="336">
          <cell r="A336" t="str">
            <v>RS 515</v>
          </cell>
          <cell r="B336">
            <v>337</v>
          </cell>
          <cell r="C336" t="str">
            <v>N</v>
          </cell>
          <cell r="D336" t="str">
            <v>F</v>
          </cell>
          <cell r="E336" t="str">
            <v>Chiwandauka - Kanjuchi School</v>
          </cell>
          <cell r="F336" t="str">
            <v>D071</v>
          </cell>
          <cell r="G336">
            <v>1</v>
          </cell>
          <cell r="H336">
            <v>8.6</v>
          </cell>
          <cell r="I336" t="str">
            <v>R</v>
          </cell>
          <cell r="J336" t="str">
            <v>MZIMBA</v>
          </cell>
          <cell r="K336">
            <v>4</v>
          </cell>
        </row>
        <row r="337">
          <cell r="A337" t="str">
            <v>RS 516</v>
          </cell>
          <cell r="B337">
            <v>338</v>
          </cell>
          <cell r="C337" t="str">
            <v>N</v>
          </cell>
          <cell r="D337" t="str">
            <v>F</v>
          </cell>
          <cell r="E337" t="str">
            <v>Jenda - Jenda East</v>
          </cell>
          <cell r="F337" t="str">
            <v>D072</v>
          </cell>
          <cell r="G337">
            <v>1</v>
          </cell>
          <cell r="H337">
            <v>4.3</v>
          </cell>
          <cell r="I337" t="str">
            <v>F</v>
          </cell>
          <cell r="J337" t="str">
            <v>MZIMBA</v>
          </cell>
          <cell r="K337">
            <v>4</v>
          </cell>
        </row>
        <row r="338">
          <cell r="A338" t="str">
            <v>RS 517</v>
          </cell>
          <cell r="B338">
            <v>339</v>
          </cell>
          <cell r="C338" t="str">
            <v>N</v>
          </cell>
          <cell r="D338" t="str">
            <v>F</v>
          </cell>
          <cell r="E338" t="str">
            <v>South Luwawa - North Zawa</v>
          </cell>
          <cell r="F338" t="str">
            <v>D073</v>
          </cell>
          <cell r="G338">
            <v>1</v>
          </cell>
          <cell r="H338">
            <v>11.2</v>
          </cell>
          <cell r="I338" t="str">
            <v>R</v>
          </cell>
          <cell r="J338" t="str">
            <v>MZIMBA</v>
          </cell>
          <cell r="K338">
            <v>4</v>
          </cell>
        </row>
        <row r="339">
          <cell r="A339" t="str">
            <v>RS 518</v>
          </cell>
          <cell r="B339">
            <v>340</v>
          </cell>
          <cell r="C339" t="str">
            <v>N</v>
          </cell>
          <cell r="D339" t="str">
            <v>F</v>
          </cell>
          <cell r="E339" t="str">
            <v>Hoho - Junctio M1 South</v>
          </cell>
          <cell r="F339" t="str">
            <v>D074</v>
          </cell>
          <cell r="G339">
            <v>1</v>
          </cell>
          <cell r="H339">
            <v>8.9</v>
          </cell>
          <cell r="I339" t="str">
            <v>R</v>
          </cell>
          <cell r="J339" t="str">
            <v>MZIMBA</v>
          </cell>
          <cell r="K339">
            <v>4</v>
          </cell>
        </row>
        <row r="340">
          <cell r="A340" t="str">
            <v>RS 227</v>
          </cell>
          <cell r="B340">
            <v>49</v>
          </cell>
          <cell r="C340" t="str">
            <v>C</v>
          </cell>
          <cell r="D340" t="str">
            <v>F</v>
          </cell>
          <cell r="E340" t="str">
            <v>Chimaliro Forest Camp - Kakwale River</v>
          </cell>
          <cell r="F340" t="str">
            <v>D076</v>
          </cell>
          <cell r="G340">
            <v>1</v>
          </cell>
          <cell r="H340">
            <v>5</v>
          </cell>
          <cell r="I340" t="str">
            <v>F</v>
          </cell>
          <cell r="J340" t="str">
            <v>KASUNGU</v>
          </cell>
          <cell r="K340">
            <v>4</v>
          </cell>
          <cell r="L340" t="str">
            <v>Changed designation from S133 to D76 &amp; trunk to feeder</v>
          </cell>
        </row>
        <row r="341">
          <cell r="A341" t="str">
            <v>RS 658</v>
          </cell>
          <cell r="B341">
            <v>480</v>
          </cell>
          <cell r="C341" t="str">
            <v>C</v>
          </cell>
          <cell r="D341" t="str">
            <v>F</v>
          </cell>
          <cell r="E341" t="str">
            <v>Likuni - Chankhandwe</v>
          </cell>
          <cell r="F341" t="str">
            <v>D194</v>
          </cell>
          <cell r="G341">
            <v>1</v>
          </cell>
          <cell r="H341">
            <v>5.2</v>
          </cell>
          <cell r="I341" t="str">
            <v>F</v>
          </cell>
          <cell r="J341" t="str">
            <v>LILONGWE</v>
          </cell>
          <cell r="K341">
            <v>6</v>
          </cell>
          <cell r="L341" t="str">
            <v>Changed designation from S133 to D76 &amp; trunk to feeder</v>
          </cell>
        </row>
        <row r="342">
          <cell r="A342" t="str">
            <v>RS 660</v>
          </cell>
          <cell r="B342">
            <v>482</v>
          </cell>
          <cell r="C342" t="str">
            <v>C</v>
          </cell>
          <cell r="D342" t="str">
            <v>F</v>
          </cell>
          <cell r="E342" t="str">
            <v>Dzalanyama - Malingunde</v>
          </cell>
          <cell r="F342" t="str">
            <v>D197</v>
          </cell>
          <cell r="G342">
            <v>1</v>
          </cell>
          <cell r="H342">
            <v>32</v>
          </cell>
          <cell r="I342" t="str">
            <v>F</v>
          </cell>
          <cell r="J342" t="str">
            <v>LILONGWE</v>
          </cell>
          <cell r="K342">
            <v>6</v>
          </cell>
        </row>
        <row r="343">
          <cell r="A343" t="str">
            <v>RS 799</v>
          </cell>
          <cell r="B343">
            <v>621</v>
          </cell>
          <cell r="C343" t="str">
            <v>S</v>
          </cell>
          <cell r="D343" t="str">
            <v>F</v>
          </cell>
          <cell r="E343" t="str">
            <v>UD/Y - Itunji</v>
          </cell>
          <cell r="F343" t="str">
            <v>D256</v>
          </cell>
          <cell r="G343">
            <v>1</v>
          </cell>
          <cell r="H343">
            <v>11.9</v>
          </cell>
          <cell r="I343" t="str">
            <v>R</v>
          </cell>
          <cell r="J343" t="str">
            <v>MANGOCHI</v>
          </cell>
          <cell r="K343">
            <v>7</v>
          </cell>
        </row>
        <row r="344">
          <cell r="A344" t="str">
            <v>RS 832</v>
          </cell>
          <cell r="B344">
            <v>654</v>
          </cell>
          <cell r="C344" t="str">
            <v>S</v>
          </cell>
          <cell r="D344" t="str">
            <v>F</v>
          </cell>
          <cell r="E344" t="str">
            <v>junction S129 - junction T400</v>
          </cell>
          <cell r="F344" t="str">
            <v>D286</v>
          </cell>
          <cell r="G344">
            <v>1</v>
          </cell>
          <cell r="H344">
            <v>9</v>
          </cell>
          <cell r="I344" t="str">
            <v>FL</v>
          </cell>
          <cell r="J344" t="str">
            <v>ZOMBA</v>
          </cell>
          <cell r="K344">
            <v>8</v>
          </cell>
          <cell r="L344" t="str">
            <v>Changed designation from UD/J to D286</v>
          </cell>
        </row>
        <row r="345">
          <cell r="A345" t="str">
            <v>RS 801</v>
          </cell>
          <cell r="B345">
            <v>623</v>
          </cell>
          <cell r="C345" t="str">
            <v>S</v>
          </cell>
          <cell r="D345" t="str">
            <v>F</v>
          </cell>
          <cell r="E345" t="str">
            <v>North Jokala - Lake Chilwa</v>
          </cell>
          <cell r="F345" t="str">
            <v>D293</v>
          </cell>
          <cell r="G345">
            <v>1</v>
          </cell>
          <cell r="H345">
            <v>32</v>
          </cell>
          <cell r="I345" t="str">
            <v>F</v>
          </cell>
          <cell r="J345" t="str">
            <v>ZOMBA</v>
          </cell>
          <cell r="K345">
            <v>8</v>
          </cell>
          <cell r="L345" t="str">
            <v>Changed designation from UD/J to D286</v>
          </cell>
        </row>
        <row r="346">
          <cell r="A346" t="str">
            <v>RS 802</v>
          </cell>
          <cell r="B346">
            <v>624</v>
          </cell>
          <cell r="C346" t="str">
            <v>S</v>
          </cell>
          <cell r="D346" t="str">
            <v>F</v>
          </cell>
          <cell r="E346" t="str">
            <v>Utwe River - junction S144</v>
          </cell>
          <cell r="F346" t="str">
            <v>D302</v>
          </cell>
          <cell r="G346">
            <v>1</v>
          </cell>
          <cell r="H346">
            <v>18.600000000000001</v>
          </cell>
          <cell r="I346" t="str">
            <v>F</v>
          </cell>
          <cell r="J346" t="str">
            <v>ZOMBA</v>
          </cell>
          <cell r="K346">
            <v>9</v>
          </cell>
        </row>
        <row r="347">
          <cell r="A347" t="str">
            <v>RS 803</v>
          </cell>
          <cell r="B347">
            <v>625</v>
          </cell>
          <cell r="C347" t="str">
            <v>S</v>
          </cell>
          <cell r="D347" t="str">
            <v>F</v>
          </cell>
          <cell r="E347" t="str">
            <v>Lisungwi River - junction D314</v>
          </cell>
          <cell r="F347" t="str">
            <v>D313</v>
          </cell>
          <cell r="G347">
            <v>1</v>
          </cell>
          <cell r="H347">
            <v>12.6</v>
          </cell>
          <cell r="I347" t="str">
            <v>F</v>
          </cell>
          <cell r="J347" t="str">
            <v>MWANZA</v>
          </cell>
          <cell r="K347">
            <v>9</v>
          </cell>
        </row>
        <row r="348">
          <cell r="A348" t="str">
            <v>RS 804</v>
          </cell>
          <cell r="B348">
            <v>626</v>
          </cell>
          <cell r="C348" t="str">
            <v>S</v>
          </cell>
          <cell r="D348" t="str">
            <v>F</v>
          </cell>
          <cell r="E348" t="str">
            <v>Machimbeya - junction D313</v>
          </cell>
          <cell r="F348" t="str">
            <v>D314</v>
          </cell>
          <cell r="G348">
            <v>1</v>
          </cell>
          <cell r="H348">
            <v>9</v>
          </cell>
          <cell r="I348" t="str">
            <v>F</v>
          </cell>
          <cell r="J348" t="str">
            <v>MWANZA</v>
          </cell>
          <cell r="K348">
            <v>9</v>
          </cell>
        </row>
        <row r="349">
          <cell r="A349" t="str">
            <v>RS 805</v>
          </cell>
          <cell r="B349">
            <v>627</v>
          </cell>
          <cell r="C349" t="str">
            <v>S</v>
          </cell>
          <cell r="D349" t="str">
            <v>F</v>
          </cell>
          <cell r="E349" t="str">
            <v>junction S138 - junction S137</v>
          </cell>
          <cell r="F349" t="str">
            <v>D320</v>
          </cell>
          <cell r="G349">
            <v>1</v>
          </cell>
          <cell r="H349">
            <v>10</v>
          </cell>
          <cell r="I349" t="str">
            <v>R</v>
          </cell>
          <cell r="J349" t="str">
            <v>BLANTYRE</v>
          </cell>
          <cell r="K349">
            <v>9</v>
          </cell>
        </row>
        <row r="350">
          <cell r="A350" t="str">
            <v>RS 806</v>
          </cell>
          <cell r="B350">
            <v>628</v>
          </cell>
          <cell r="C350" t="str">
            <v>S</v>
          </cell>
          <cell r="D350" t="str">
            <v>F</v>
          </cell>
          <cell r="E350" t="str">
            <v>junction S139 - East Boundary Zomba</v>
          </cell>
          <cell r="F350" t="str">
            <v>D322</v>
          </cell>
          <cell r="G350">
            <v>1</v>
          </cell>
          <cell r="H350">
            <v>8</v>
          </cell>
          <cell r="I350" t="str">
            <v>R</v>
          </cell>
          <cell r="J350" t="str">
            <v>BLANTYRE</v>
          </cell>
          <cell r="K350">
            <v>9</v>
          </cell>
        </row>
        <row r="351">
          <cell r="A351" t="str">
            <v>RS 807</v>
          </cell>
          <cell r="B351">
            <v>629</v>
          </cell>
          <cell r="C351" t="str">
            <v>S</v>
          </cell>
          <cell r="D351" t="str">
            <v>F</v>
          </cell>
          <cell r="E351" t="str">
            <v>Chikombero (junction M1) - Machinjiri</v>
          </cell>
          <cell r="F351" t="str">
            <v>D326</v>
          </cell>
          <cell r="G351">
            <v>1</v>
          </cell>
          <cell r="H351">
            <v>5.8</v>
          </cell>
          <cell r="I351" t="str">
            <v>R</v>
          </cell>
          <cell r="J351" t="str">
            <v>BLANTYRE</v>
          </cell>
          <cell r="K351">
            <v>9</v>
          </cell>
          <cell r="L351" t="str">
            <v>Changed end &amp; length to remove bitumen section</v>
          </cell>
        </row>
        <row r="352">
          <cell r="A352" t="str">
            <v>RS 808</v>
          </cell>
          <cell r="B352">
            <v>630</v>
          </cell>
          <cell r="C352" t="str">
            <v>S</v>
          </cell>
          <cell r="D352" t="str">
            <v>F</v>
          </cell>
          <cell r="E352" t="str">
            <v>M1 junction - Near Chikwawa Boundary</v>
          </cell>
          <cell r="F352" t="str">
            <v>D328</v>
          </cell>
          <cell r="G352">
            <v>1</v>
          </cell>
          <cell r="H352">
            <v>10.5</v>
          </cell>
          <cell r="I352" t="str">
            <v>R</v>
          </cell>
          <cell r="J352" t="str">
            <v>BLANTYRE</v>
          </cell>
          <cell r="K352">
            <v>9</v>
          </cell>
          <cell r="L352" t="str">
            <v>Changed end &amp; length to remove bitumen section</v>
          </cell>
        </row>
        <row r="353">
          <cell r="A353" t="str">
            <v>RS 809</v>
          </cell>
          <cell r="B353">
            <v>631</v>
          </cell>
          <cell r="C353" t="str">
            <v>S</v>
          </cell>
          <cell r="D353" t="str">
            <v>F</v>
          </cell>
          <cell r="E353" t="str">
            <v>Chikwawa Boundary - junction S137</v>
          </cell>
          <cell r="F353" t="str">
            <v>D329</v>
          </cell>
          <cell r="G353">
            <v>1</v>
          </cell>
          <cell r="H353">
            <v>18</v>
          </cell>
          <cell r="I353" t="str">
            <v>H</v>
          </cell>
          <cell r="J353" t="str">
            <v>BLANTYRE</v>
          </cell>
          <cell r="K353">
            <v>9</v>
          </cell>
        </row>
        <row r="354">
          <cell r="A354" t="str">
            <v>RS 810</v>
          </cell>
          <cell r="B354">
            <v>632</v>
          </cell>
          <cell r="C354" t="str">
            <v>S</v>
          </cell>
          <cell r="D354" t="str">
            <v>F</v>
          </cell>
          <cell r="E354" t="str">
            <v>junction M1 - junction M2</v>
          </cell>
          <cell r="F354" t="str">
            <v>D330</v>
          </cell>
          <cell r="G354">
            <v>1</v>
          </cell>
          <cell r="H354">
            <v>7</v>
          </cell>
          <cell r="I354" t="str">
            <v>H</v>
          </cell>
          <cell r="J354" t="str">
            <v>BLANTYRE</v>
          </cell>
          <cell r="K354">
            <v>9</v>
          </cell>
        </row>
        <row r="355">
          <cell r="A355" t="str">
            <v>RS 811</v>
          </cell>
          <cell r="B355">
            <v>633</v>
          </cell>
          <cell r="C355" t="str">
            <v>S</v>
          </cell>
          <cell r="D355" t="str">
            <v>F</v>
          </cell>
          <cell r="E355" t="str">
            <v xml:space="preserve">Mbulumbudzi East - junction T407 </v>
          </cell>
          <cell r="F355" t="str">
            <v>D336</v>
          </cell>
          <cell r="G355">
            <v>1</v>
          </cell>
          <cell r="H355">
            <v>9</v>
          </cell>
          <cell r="I355" t="str">
            <v>R</v>
          </cell>
          <cell r="J355" t="str">
            <v>BLANTYRE</v>
          </cell>
          <cell r="K355">
            <v>9</v>
          </cell>
        </row>
        <row r="356">
          <cell r="A356" t="str">
            <v>RS 812</v>
          </cell>
          <cell r="B356">
            <v>634</v>
          </cell>
          <cell r="C356" t="str">
            <v>S</v>
          </cell>
          <cell r="D356" t="str">
            <v>F</v>
          </cell>
          <cell r="E356" t="str">
            <v>junction D336 - junction D341</v>
          </cell>
          <cell r="F356" t="str">
            <v>D338</v>
          </cell>
          <cell r="G356">
            <v>1</v>
          </cell>
          <cell r="H356">
            <v>12</v>
          </cell>
          <cell r="I356" t="str">
            <v>R</v>
          </cell>
          <cell r="J356" t="str">
            <v>CHIRADZULU</v>
          </cell>
          <cell r="K356">
            <v>9</v>
          </cell>
        </row>
        <row r="357">
          <cell r="A357" t="str">
            <v>RS 813</v>
          </cell>
          <cell r="B357">
            <v>635</v>
          </cell>
          <cell r="C357" t="str">
            <v>S</v>
          </cell>
          <cell r="D357" t="str">
            <v>F</v>
          </cell>
          <cell r="E357" t="str">
            <v>Chinkankheni East - Zomba Boundary</v>
          </cell>
          <cell r="F357" t="str">
            <v>D341</v>
          </cell>
          <cell r="G357">
            <v>1</v>
          </cell>
          <cell r="H357">
            <v>17.5</v>
          </cell>
          <cell r="I357" t="str">
            <v>F</v>
          </cell>
          <cell r="J357" t="str">
            <v>CHIRADZULU</v>
          </cell>
          <cell r="K357">
            <v>9</v>
          </cell>
        </row>
        <row r="358">
          <cell r="A358" t="str">
            <v>RS 814</v>
          </cell>
          <cell r="B358">
            <v>636</v>
          </cell>
          <cell r="C358" t="str">
            <v>S</v>
          </cell>
          <cell r="D358" t="str">
            <v>F</v>
          </cell>
          <cell r="E358" t="str">
            <v>junction T411 - junction T412</v>
          </cell>
          <cell r="F358" t="str">
            <v>D343</v>
          </cell>
          <cell r="G358">
            <v>1</v>
          </cell>
          <cell r="H358">
            <v>11.5</v>
          </cell>
          <cell r="I358" t="str">
            <v>K</v>
          </cell>
          <cell r="J358" t="str">
            <v>CHIRADZULU</v>
          </cell>
          <cell r="K358">
            <v>9</v>
          </cell>
        </row>
        <row r="359">
          <cell r="A359" t="str">
            <v>RS 815</v>
          </cell>
          <cell r="B359">
            <v>637</v>
          </cell>
          <cell r="C359" t="str">
            <v>S</v>
          </cell>
          <cell r="D359" t="str">
            <v>F</v>
          </cell>
          <cell r="E359" t="str">
            <v>junction M4 - South Thuchila River</v>
          </cell>
          <cell r="F359" t="str">
            <v>D345</v>
          </cell>
          <cell r="G359">
            <v>1</v>
          </cell>
          <cell r="H359">
            <v>18</v>
          </cell>
          <cell r="I359" t="str">
            <v>F</v>
          </cell>
          <cell r="J359" t="str">
            <v>MULANJE</v>
          </cell>
          <cell r="K359">
            <v>9</v>
          </cell>
        </row>
        <row r="360">
          <cell r="A360" t="str">
            <v>RS 816</v>
          </cell>
          <cell r="B360">
            <v>638</v>
          </cell>
          <cell r="C360" t="str">
            <v>S</v>
          </cell>
          <cell r="D360" t="str">
            <v>F</v>
          </cell>
          <cell r="E360" t="str">
            <v>junction S147 - Holo</v>
          </cell>
          <cell r="F360" t="str">
            <v>D364</v>
          </cell>
          <cell r="G360">
            <v>1</v>
          </cell>
          <cell r="H360">
            <v>11</v>
          </cell>
          <cell r="I360" t="str">
            <v>F</v>
          </cell>
          <cell r="J360" t="str">
            <v>MULANJE</v>
          </cell>
          <cell r="K360">
            <v>9</v>
          </cell>
        </row>
        <row r="361">
          <cell r="A361" t="str">
            <v>RS 817</v>
          </cell>
          <cell r="B361">
            <v>639</v>
          </cell>
          <cell r="C361" t="str">
            <v>S</v>
          </cell>
          <cell r="D361" t="str">
            <v>F</v>
          </cell>
          <cell r="E361" t="str">
            <v>Thuchila - junction T463</v>
          </cell>
          <cell r="F361" t="str">
            <v>D368</v>
          </cell>
          <cell r="G361">
            <v>1</v>
          </cell>
          <cell r="H361">
            <v>17</v>
          </cell>
          <cell r="I361" t="str">
            <v>F</v>
          </cell>
          <cell r="J361" t="str">
            <v>MULANJE</v>
          </cell>
          <cell r="K361">
            <v>9</v>
          </cell>
        </row>
        <row r="362">
          <cell r="A362" t="str">
            <v>RS 818</v>
          </cell>
          <cell r="B362">
            <v>640</v>
          </cell>
          <cell r="C362" t="str">
            <v>S</v>
          </cell>
          <cell r="D362" t="str">
            <v>F</v>
          </cell>
          <cell r="E362" t="str">
            <v>North Chilinga - South Singano</v>
          </cell>
          <cell r="F362" t="str">
            <v>D369</v>
          </cell>
          <cell r="G362">
            <v>1</v>
          </cell>
          <cell r="H362">
            <v>8</v>
          </cell>
          <cell r="I362" t="str">
            <v>F</v>
          </cell>
          <cell r="J362" t="str">
            <v>MULANJE</v>
          </cell>
          <cell r="K362">
            <v>9</v>
          </cell>
        </row>
        <row r="363">
          <cell r="A363" t="str">
            <v>RS 819</v>
          </cell>
          <cell r="B363">
            <v>641</v>
          </cell>
          <cell r="C363" t="str">
            <v>S</v>
          </cell>
          <cell r="D363" t="str">
            <v>F</v>
          </cell>
          <cell r="E363" t="str">
            <v>Luwanje - Mkoti</v>
          </cell>
          <cell r="F363" t="str">
            <v>D370</v>
          </cell>
          <cell r="G363">
            <v>1</v>
          </cell>
          <cell r="H363">
            <v>2.5</v>
          </cell>
          <cell r="I363" t="str">
            <v>F</v>
          </cell>
          <cell r="J363" t="str">
            <v>MULANJE</v>
          </cell>
          <cell r="K363">
            <v>9</v>
          </cell>
        </row>
        <row r="364">
          <cell r="A364" t="str">
            <v>RS 820</v>
          </cell>
          <cell r="B364">
            <v>642</v>
          </cell>
          <cell r="C364" t="str">
            <v>S</v>
          </cell>
          <cell r="D364" t="str">
            <v>F</v>
          </cell>
          <cell r="E364" t="str">
            <v>Mkoti - Msikawanjala</v>
          </cell>
          <cell r="F364" t="str">
            <v>D370</v>
          </cell>
          <cell r="G364">
            <v>2</v>
          </cell>
          <cell r="H364">
            <v>7.3</v>
          </cell>
          <cell r="I364" t="str">
            <v>F</v>
          </cell>
          <cell r="J364" t="str">
            <v>MULANJE</v>
          </cell>
          <cell r="K364">
            <v>9</v>
          </cell>
        </row>
        <row r="365">
          <cell r="A365" t="str">
            <v>RS 821</v>
          </cell>
          <cell r="B365">
            <v>643</v>
          </cell>
          <cell r="C365" t="str">
            <v>S</v>
          </cell>
          <cell r="D365" t="str">
            <v>F</v>
          </cell>
          <cell r="E365" t="str">
            <v xml:space="preserve">Nort West Mulanje - junction S149 </v>
          </cell>
          <cell r="F365" t="str">
            <v>D372</v>
          </cell>
          <cell r="G365">
            <v>1</v>
          </cell>
          <cell r="H365">
            <v>9</v>
          </cell>
          <cell r="I365" t="str">
            <v>F</v>
          </cell>
          <cell r="J365" t="str">
            <v>MULANJE</v>
          </cell>
          <cell r="K365">
            <v>9</v>
          </cell>
        </row>
        <row r="366">
          <cell r="A366" t="str">
            <v>RS 822</v>
          </cell>
          <cell r="B366">
            <v>644</v>
          </cell>
          <cell r="C366" t="str">
            <v>S</v>
          </cell>
          <cell r="D366" t="str">
            <v>F</v>
          </cell>
          <cell r="E366" t="str">
            <v>North West Mulanje - South Siyama</v>
          </cell>
          <cell r="F366" t="str">
            <v>D373</v>
          </cell>
          <cell r="G366">
            <v>1</v>
          </cell>
          <cell r="H366">
            <v>10</v>
          </cell>
          <cell r="I366" t="str">
            <v>F</v>
          </cell>
          <cell r="J366" t="str">
            <v>MULANJE</v>
          </cell>
          <cell r="K366">
            <v>9</v>
          </cell>
        </row>
        <row r="367">
          <cell r="A367" t="str">
            <v>RS 823</v>
          </cell>
          <cell r="B367">
            <v>645</v>
          </cell>
          <cell r="C367" t="str">
            <v>S</v>
          </cell>
          <cell r="D367" t="str">
            <v>F</v>
          </cell>
          <cell r="E367" t="str">
            <v>Changoima - West Mwanza Boundary</v>
          </cell>
          <cell r="F367" t="str">
            <v>D379</v>
          </cell>
          <cell r="G367">
            <v>1</v>
          </cell>
          <cell r="H367">
            <v>11</v>
          </cell>
          <cell r="I367" t="str">
            <v>F</v>
          </cell>
          <cell r="J367" t="str">
            <v>CHIKWAWA</v>
          </cell>
          <cell r="K367">
            <v>9</v>
          </cell>
        </row>
        <row r="368">
          <cell r="A368" t="str">
            <v>RS 824</v>
          </cell>
          <cell r="B368">
            <v>646</v>
          </cell>
          <cell r="C368" t="str">
            <v>S</v>
          </cell>
          <cell r="D368" t="str">
            <v>F</v>
          </cell>
          <cell r="E368" t="str">
            <v>Nkhongono - North Nkhongono</v>
          </cell>
          <cell r="F368" t="str">
            <v>D380</v>
          </cell>
          <cell r="G368">
            <v>1</v>
          </cell>
          <cell r="H368">
            <v>21</v>
          </cell>
          <cell r="I368" t="str">
            <v>F</v>
          </cell>
          <cell r="J368" t="str">
            <v>CHIKWAWA</v>
          </cell>
          <cell r="K368">
            <v>9</v>
          </cell>
        </row>
        <row r="369">
          <cell r="A369" t="str">
            <v>RS 825</v>
          </cell>
          <cell r="B369">
            <v>647</v>
          </cell>
          <cell r="C369" t="str">
            <v>S</v>
          </cell>
          <cell r="D369" t="str">
            <v>F</v>
          </cell>
          <cell r="E369" t="str">
            <v>Tomali - South East Phwazi</v>
          </cell>
          <cell r="F369" t="str">
            <v>D383</v>
          </cell>
          <cell r="G369">
            <v>1</v>
          </cell>
          <cell r="H369">
            <v>16</v>
          </cell>
          <cell r="I369" t="str">
            <v>F</v>
          </cell>
          <cell r="J369" t="str">
            <v>CHIKWAWA</v>
          </cell>
          <cell r="K369">
            <v>9</v>
          </cell>
        </row>
        <row r="370">
          <cell r="A370" t="str">
            <v>RS 826</v>
          </cell>
          <cell r="B370">
            <v>648</v>
          </cell>
          <cell r="C370" t="str">
            <v>S</v>
          </cell>
          <cell r="D370" t="str">
            <v>F</v>
          </cell>
          <cell r="E370" t="str">
            <v>North Goma - West M1</v>
          </cell>
          <cell r="F370" t="str">
            <v>D386</v>
          </cell>
          <cell r="G370">
            <v>1</v>
          </cell>
          <cell r="H370">
            <v>13</v>
          </cell>
          <cell r="I370" t="str">
            <v>F</v>
          </cell>
          <cell r="J370" t="str">
            <v>CHIKWAWA</v>
          </cell>
          <cell r="K370">
            <v>10</v>
          </cell>
        </row>
        <row r="371">
          <cell r="A371" t="str">
            <v>RS 666</v>
          </cell>
          <cell r="B371">
            <v>488</v>
          </cell>
          <cell r="C371" t="str">
            <v>C</v>
          </cell>
          <cell r="D371" t="str">
            <v>F</v>
          </cell>
          <cell r="E371" t="str">
            <v>Mbala - Diamphwe River</v>
          </cell>
          <cell r="F371" t="str">
            <v>UD</v>
          </cell>
          <cell r="G371">
            <v>3</v>
          </cell>
          <cell r="H371">
            <v>7.7</v>
          </cell>
          <cell r="I371" t="str">
            <v>FL</v>
          </cell>
          <cell r="J371" t="str">
            <v>DEDZA</v>
          </cell>
          <cell r="K371">
            <v>6</v>
          </cell>
        </row>
        <row r="372">
          <cell r="A372" t="str">
            <v>RS 833</v>
          </cell>
          <cell r="B372">
            <v>655</v>
          </cell>
          <cell r="C372" t="str">
            <v>S</v>
          </cell>
          <cell r="D372" t="str">
            <v>F</v>
          </cell>
          <cell r="E372" t="str">
            <v>Lunzu - North East Zomba Boundary</v>
          </cell>
          <cell r="F372" t="str">
            <v>UD</v>
          </cell>
          <cell r="G372">
            <v>6</v>
          </cell>
          <cell r="H372">
            <v>11</v>
          </cell>
          <cell r="I372" t="str">
            <v>R</v>
          </cell>
          <cell r="J372" t="str">
            <v>BLANTYRE</v>
          </cell>
          <cell r="K372">
            <v>9</v>
          </cell>
        </row>
        <row r="373">
          <cell r="A373" t="str">
            <v>RS 827</v>
          </cell>
          <cell r="B373">
            <v>649</v>
          </cell>
          <cell r="C373" t="str">
            <v>S</v>
          </cell>
          <cell r="D373" t="str">
            <v>F</v>
          </cell>
          <cell r="E373" t="str">
            <v>Mayaka - Mulanje Boundary</v>
          </cell>
          <cell r="F373" t="str">
            <v>UD/C</v>
          </cell>
          <cell r="G373">
            <v>1</v>
          </cell>
          <cell r="H373">
            <v>12</v>
          </cell>
          <cell r="I373" t="str">
            <v>FL</v>
          </cell>
          <cell r="J373" t="str">
            <v>ZOMBA</v>
          </cell>
          <cell r="K373">
            <v>9</v>
          </cell>
        </row>
        <row r="374">
          <cell r="A374" t="str">
            <v>RS 828</v>
          </cell>
          <cell r="B374">
            <v>650</v>
          </cell>
          <cell r="C374" t="str">
            <v>S</v>
          </cell>
          <cell r="D374" t="str">
            <v>F</v>
          </cell>
          <cell r="E374" t="str">
            <v>South West Singano - junction S144</v>
          </cell>
          <cell r="F374" t="str">
            <v>UD/D</v>
          </cell>
          <cell r="G374">
            <v>2</v>
          </cell>
          <cell r="H374">
            <v>12</v>
          </cell>
          <cell r="I374" t="str">
            <v>H</v>
          </cell>
          <cell r="J374" t="str">
            <v>PHALOMBE</v>
          </cell>
          <cell r="K374">
            <v>9</v>
          </cell>
        </row>
        <row r="375">
          <cell r="A375" t="str">
            <v>RS 829</v>
          </cell>
          <cell r="B375">
            <v>651</v>
          </cell>
          <cell r="C375" t="str">
            <v>S</v>
          </cell>
          <cell r="D375" t="str">
            <v>F</v>
          </cell>
          <cell r="E375" t="str">
            <v>South  Ngona - East S136</v>
          </cell>
          <cell r="F375" t="str">
            <v>UD/F</v>
          </cell>
          <cell r="G375">
            <v>3</v>
          </cell>
          <cell r="H375">
            <v>9</v>
          </cell>
          <cell r="I375" t="str">
            <v>H</v>
          </cell>
          <cell r="J375" t="str">
            <v>CHIKWAWA</v>
          </cell>
          <cell r="K375">
            <v>9</v>
          </cell>
        </row>
        <row r="376">
          <cell r="A376" t="str">
            <v>RS 830</v>
          </cell>
          <cell r="B376">
            <v>652</v>
          </cell>
          <cell r="C376" t="str">
            <v>S</v>
          </cell>
          <cell r="D376" t="str">
            <v>F</v>
          </cell>
          <cell r="E376" t="str">
            <v>North Gogomwa - junction T411</v>
          </cell>
          <cell r="F376" t="str">
            <v>UD/I</v>
          </cell>
          <cell r="G376">
            <v>4</v>
          </cell>
          <cell r="H376">
            <v>9</v>
          </cell>
          <cell r="I376" t="str">
            <v>H</v>
          </cell>
          <cell r="J376" t="str">
            <v>CHIRADZULU</v>
          </cell>
          <cell r="K376">
            <v>9</v>
          </cell>
        </row>
        <row r="377">
          <cell r="A377" t="str">
            <v>RS 831</v>
          </cell>
          <cell r="B377">
            <v>653</v>
          </cell>
          <cell r="C377" t="str">
            <v>S</v>
          </cell>
          <cell r="D377" t="str">
            <v>F</v>
          </cell>
          <cell r="E377" t="str">
            <v>Chirimba - mid junction between Chizolo and Limbe</v>
          </cell>
          <cell r="F377" t="str">
            <v>UD/I</v>
          </cell>
          <cell r="G377">
            <v>5</v>
          </cell>
          <cell r="H377">
            <v>7</v>
          </cell>
          <cell r="I377" t="str">
            <v>H</v>
          </cell>
          <cell r="J377" t="str">
            <v>BLANTYRE</v>
          </cell>
          <cell r="K377">
            <v>9</v>
          </cell>
        </row>
        <row r="378">
          <cell r="A378" t="str">
            <v>RS 521</v>
          </cell>
          <cell r="B378">
            <v>343</v>
          </cell>
          <cell r="C378" t="str">
            <v>N</v>
          </cell>
          <cell r="D378" t="str">
            <v>F</v>
          </cell>
          <cell r="E378" t="str">
            <v>Mdima - Mhlafuta</v>
          </cell>
          <cell r="F378" t="str">
            <v>UDX</v>
          </cell>
          <cell r="G378">
            <v>7</v>
          </cell>
          <cell r="H378">
            <v>4.4000000000000004</v>
          </cell>
          <cell r="I378" t="str">
            <v>FL</v>
          </cell>
          <cell r="J378" t="str">
            <v>MZIMBA</v>
          </cell>
          <cell r="K378">
            <v>4</v>
          </cell>
        </row>
        <row r="379">
          <cell r="A379" t="str">
            <v>RS 522</v>
          </cell>
          <cell r="B379">
            <v>344</v>
          </cell>
          <cell r="C379" t="str">
            <v>N</v>
          </cell>
          <cell r="D379" t="str">
            <v>F</v>
          </cell>
          <cell r="E379" t="str">
            <v>Malema - Kazguli village</v>
          </cell>
          <cell r="F379" t="str">
            <v>UDX</v>
          </cell>
          <cell r="G379">
            <v>8</v>
          </cell>
          <cell r="H379">
            <v>20.100000000000001</v>
          </cell>
          <cell r="I379" t="str">
            <v>R</v>
          </cell>
          <cell r="J379" t="str">
            <v>MZIMBA</v>
          </cell>
          <cell r="K379">
            <v>4</v>
          </cell>
        </row>
        <row r="380">
          <cell r="A380" t="str">
            <v>RS 523</v>
          </cell>
          <cell r="B380">
            <v>345</v>
          </cell>
          <cell r="C380" t="str">
            <v>N</v>
          </cell>
          <cell r="D380" t="str">
            <v>F</v>
          </cell>
          <cell r="E380" t="str">
            <v>Kasichi - Edingeni</v>
          </cell>
          <cell r="F380" t="str">
            <v>UDY</v>
          </cell>
          <cell r="G380">
            <v>11</v>
          </cell>
          <cell r="H380">
            <v>19.3</v>
          </cell>
          <cell r="I380" t="str">
            <v>FL</v>
          </cell>
          <cell r="J380" t="str">
            <v>MZIMBA</v>
          </cell>
          <cell r="K380">
            <v>4</v>
          </cell>
        </row>
        <row r="381">
          <cell r="A381" t="str">
            <v>RS 834</v>
          </cell>
          <cell r="B381">
            <v>656</v>
          </cell>
          <cell r="C381" t="str">
            <v>S</v>
          </cell>
          <cell r="D381" t="str">
            <v>F</v>
          </cell>
          <cell r="E381" t="str">
            <v>Mtengo Wambalame - Lunzu</v>
          </cell>
          <cell r="F381" t="str">
            <v>IB2</v>
          </cell>
          <cell r="G381">
            <v>1</v>
          </cell>
          <cell r="H381">
            <v>12</v>
          </cell>
          <cell r="I381" t="str">
            <v>R</v>
          </cell>
          <cell r="J381" t="str">
            <v>BLANTYRE</v>
          </cell>
          <cell r="K381">
            <v>9</v>
          </cell>
        </row>
        <row r="382">
          <cell r="A382" t="str">
            <v>RS 520</v>
          </cell>
          <cell r="B382">
            <v>342</v>
          </cell>
          <cell r="C382" t="str">
            <v>N</v>
          </cell>
          <cell r="D382" t="str">
            <v>F</v>
          </cell>
          <cell r="E382" t="str">
            <v>Katoto Admarc - Sibande - junction M1</v>
          </cell>
          <cell r="F382" t="str">
            <v>PR11</v>
          </cell>
          <cell r="G382">
            <v>1</v>
          </cell>
          <cell r="H382">
            <v>25.1</v>
          </cell>
          <cell r="I382" t="str">
            <v>R</v>
          </cell>
          <cell r="J382" t="str">
            <v>MZIMBA</v>
          </cell>
          <cell r="K382">
            <v>3</v>
          </cell>
        </row>
        <row r="383">
          <cell r="A383" t="str">
            <v>RS 671</v>
          </cell>
          <cell r="B383">
            <v>493</v>
          </cell>
          <cell r="C383" t="str">
            <v>C</v>
          </cell>
          <cell r="D383" t="str">
            <v>F</v>
          </cell>
          <cell r="E383" t="str">
            <v>North Ngodzi River - Lake Malawi</v>
          </cell>
          <cell r="F383" t="str">
            <v>PR58</v>
          </cell>
          <cell r="G383">
            <v>1</v>
          </cell>
          <cell r="H383">
            <v>8</v>
          </cell>
          <cell r="I383" t="str">
            <v>F</v>
          </cell>
          <cell r="J383" t="str">
            <v>SALIMA</v>
          </cell>
          <cell r="K383">
            <v>7</v>
          </cell>
        </row>
        <row r="384">
          <cell r="A384" t="str">
            <v>RS 672</v>
          </cell>
          <cell r="B384">
            <v>494</v>
          </cell>
          <cell r="C384" t="str">
            <v>C</v>
          </cell>
          <cell r="D384" t="str">
            <v>F</v>
          </cell>
          <cell r="E384" t="str">
            <v>junction T357 - West Chelani</v>
          </cell>
          <cell r="F384" t="str">
            <v>PR92</v>
          </cell>
          <cell r="G384">
            <v>1</v>
          </cell>
          <cell r="H384">
            <v>11.5</v>
          </cell>
          <cell r="I384" t="str">
            <v>F</v>
          </cell>
          <cell r="J384" t="str">
            <v>SALMA</v>
          </cell>
          <cell r="K384">
            <v>7</v>
          </cell>
        </row>
        <row r="385">
          <cell r="A385" t="str">
            <v>RS 672</v>
          </cell>
          <cell r="B385">
            <v>494</v>
          </cell>
          <cell r="C385" t="str">
            <v>C</v>
          </cell>
          <cell r="D385" t="str">
            <v>F</v>
          </cell>
          <cell r="E385" t="str">
            <v>junction T357 - West Chelani</v>
          </cell>
          <cell r="F385" t="str">
            <v>PR92</v>
          </cell>
          <cell r="G385">
            <v>1</v>
          </cell>
          <cell r="H385">
            <v>11.5</v>
          </cell>
          <cell r="I385" t="str">
            <v>F</v>
          </cell>
          <cell r="J385" t="str">
            <v>SALMA</v>
          </cell>
          <cell r="K385">
            <v>7</v>
          </cell>
        </row>
        <row r="386">
          <cell r="A386" t="str">
            <v>Count</v>
          </cell>
          <cell r="B386">
            <v>382</v>
          </cell>
          <cell r="C386">
            <v>0</v>
          </cell>
          <cell r="D386">
            <v>0</v>
          </cell>
          <cell r="E386">
            <v>0</v>
          </cell>
          <cell r="F386" t="str">
            <v>Total length</v>
          </cell>
          <cell r="G386">
            <v>0</v>
          </cell>
          <cell r="H386">
            <v>4489.2000000000016</v>
          </cell>
          <cell r="I386">
            <v>0</v>
          </cell>
          <cell r="J386" t="str">
            <v>km</v>
          </cell>
        </row>
      </sheetData>
      <sheetData sheetId="1" refreshError="1">
        <row r="1">
          <cell r="A1" t="str">
            <v>Table A5 - Feeder Road Sections</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Comments</v>
          </cell>
        </row>
        <row r="3">
          <cell r="A3" t="str">
            <v>RS 317</v>
          </cell>
          <cell r="B3">
            <v>139</v>
          </cell>
          <cell r="C3" t="str">
            <v>S</v>
          </cell>
          <cell r="D3" t="str">
            <v>T</v>
          </cell>
          <cell r="E3" t="str">
            <v>Bangula - Tengani</v>
          </cell>
          <cell r="F3" t="str">
            <v>M01</v>
          </cell>
          <cell r="G3">
            <v>53</v>
          </cell>
          <cell r="H3">
            <v>21.6</v>
          </cell>
          <cell r="I3" t="str">
            <v>F</v>
          </cell>
          <cell r="J3" t="str">
            <v>NSANJE</v>
          </cell>
          <cell r="K3">
            <v>10</v>
          </cell>
          <cell r="L3" t="str">
            <v>Part of RS1</v>
          </cell>
        </row>
        <row r="4">
          <cell r="A4" t="str">
            <v>RS 318</v>
          </cell>
          <cell r="B4">
            <v>140</v>
          </cell>
          <cell r="C4" t="str">
            <v>S</v>
          </cell>
          <cell r="D4" t="str">
            <v>T</v>
          </cell>
          <cell r="E4" t="str">
            <v>Tengani - Chigumukire</v>
          </cell>
          <cell r="F4" t="str">
            <v>M01</v>
          </cell>
          <cell r="G4">
            <v>54</v>
          </cell>
          <cell r="H4">
            <v>11.2</v>
          </cell>
          <cell r="I4" t="str">
            <v>F</v>
          </cell>
          <cell r="J4" t="str">
            <v>NSANJE</v>
          </cell>
          <cell r="K4">
            <v>10</v>
          </cell>
          <cell r="L4" t="str">
            <v>Part of RS1</v>
          </cell>
        </row>
        <row r="5">
          <cell r="A5" t="str">
            <v>RS 320</v>
          </cell>
          <cell r="B5">
            <v>142</v>
          </cell>
          <cell r="C5" t="str">
            <v>S</v>
          </cell>
          <cell r="D5" t="str">
            <v>T</v>
          </cell>
          <cell r="E5" t="str">
            <v>Chigumukire - Lundu</v>
          </cell>
          <cell r="F5" t="str">
            <v>M01</v>
          </cell>
          <cell r="G5">
            <v>55</v>
          </cell>
          <cell r="H5">
            <v>14</v>
          </cell>
          <cell r="I5" t="str">
            <v>F</v>
          </cell>
          <cell r="J5" t="str">
            <v>NSANJE</v>
          </cell>
          <cell r="K5">
            <v>10</v>
          </cell>
        </row>
        <row r="6">
          <cell r="A6" t="str">
            <v>RS 314</v>
          </cell>
          <cell r="B6">
            <v>136</v>
          </cell>
          <cell r="C6" t="str">
            <v>S</v>
          </cell>
          <cell r="D6" t="str">
            <v>T</v>
          </cell>
          <cell r="E6" t="str">
            <v>Lundu - Nsanje Marka</v>
          </cell>
          <cell r="F6" t="str">
            <v>M01</v>
          </cell>
          <cell r="G6">
            <v>56</v>
          </cell>
          <cell r="H6">
            <v>28</v>
          </cell>
          <cell r="I6" t="str">
            <v>F</v>
          </cell>
          <cell r="J6" t="str">
            <v>NSANJE</v>
          </cell>
          <cell r="K6">
            <v>10</v>
          </cell>
        </row>
        <row r="7">
          <cell r="A7" t="str">
            <v>RS 327</v>
          </cell>
          <cell r="B7">
            <v>149</v>
          </cell>
          <cell r="C7" t="str">
            <v>S</v>
          </cell>
          <cell r="D7" t="str">
            <v>T</v>
          </cell>
          <cell r="E7" t="str">
            <v>Mbalula - Chowe</v>
          </cell>
          <cell r="F7" t="str">
            <v>M03</v>
          </cell>
          <cell r="G7">
            <v>16</v>
          </cell>
          <cell r="H7">
            <v>7.2</v>
          </cell>
          <cell r="I7" t="str">
            <v>H</v>
          </cell>
          <cell r="J7" t="str">
            <v>MANGOCHI</v>
          </cell>
          <cell r="K7">
            <v>8</v>
          </cell>
        </row>
        <row r="8">
          <cell r="A8" t="str">
            <v>RS 325</v>
          </cell>
          <cell r="B8">
            <v>147</v>
          </cell>
          <cell r="C8" t="str">
            <v>S</v>
          </cell>
          <cell r="D8" t="str">
            <v>T</v>
          </cell>
          <cell r="E8" t="str">
            <v>Matola - Idulusi</v>
          </cell>
          <cell r="F8" t="str">
            <v>M03</v>
          </cell>
          <cell r="G8">
            <v>18</v>
          </cell>
          <cell r="H8">
            <v>4.2</v>
          </cell>
          <cell r="I8" t="str">
            <v>H</v>
          </cell>
          <cell r="J8" t="str">
            <v>MANGOCHI</v>
          </cell>
          <cell r="K8">
            <v>8</v>
          </cell>
        </row>
        <row r="9">
          <cell r="A9" t="str">
            <v>RS 328</v>
          </cell>
          <cell r="B9">
            <v>150</v>
          </cell>
          <cell r="C9" t="str">
            <v>S</v>
          </cell>
          <cell r="D9" t="str">
            <v>T</v>
          </cell>
          <cell r="E9" t="str">
            <v>Idulusi - Namwera</v>
          </cell>
          <cell r="F9" t="str">
            <v>M03</v>
          </cell>
          <cell r="G9">
            <v>19</v>
          </cell>
          <cell r="H9">
            <v>12.7</v>
          </cell>
          <cell r="I9" t="str">
            <v>R</v>
          </cell>
          <cell r="J9" t="str">
            <v>MANGOCHI</v>
          </cell>
          <cell r="K9">
            <v>7</v>
          </cell>
        </row>
        <row r="10">
          <cell r="A10" t="str">
            <v>RS 323</v>
          </cell>
          <cell r="B10">
            <v>145</v>
          </cell>
          <cell r="C10" t="str">
            <v>S</v>
          </cell>
          <cell r="D10" t="str">
            <v>T</v>
          </cell>
          <cell r="E10" t="str">
            <v>Namwera - Chiponde</v>
          </cell>
          <cell r="F10" t="str">
            <v>M03</v>
          </cell>
          <cell r="G10">
            <v>20</v>
          </cell>
          <cell r="H10">
            <v>12.9</v>
          </cell>
          <cell r="I10" t="str">
            <v>R</v>
          </cell>
          <cell r="J10" t="str">
            <v>MANGOCHI</v>
          </cell>
          <cell r="K10">
            <v>7</v>
          </cell>
        </row>
        <row r="11">
          <cell r="A11" t="str">
            <v>RS 329</v>
          </cell>
          <cell r="B11">
            <v>151</v>
          </cell>
          <cell r="C11" t="str">
            <v>S</v>
          </cell>
          <cell r="D11" t="str">
            <v>T</v>
          </cell>
          <cell r="E11" t="str">
            <v>Mikolongwe - Losa</v>
          </cell>
          <cell r="F11" t="str">
            <v>M04</v>
          </cell>
          <cell r="G11">
            <v>3</v>
          </cell>
          <cell r="H11">
            <v>13.1</v>
          </cell>
          <cell r="I11" t="str">
            <v>R</v>
          </cell>
          <cell r="J11" t="str">
            <v>CHIRADZULU</v>
          </cell>
          <cell r="K11">
            <v>9</v>
          </cell>
        </row>
        <row r="12">
          <cell r="A12" t="str">
            <v>RS 758</v>
          </cell>
          <cell r="B12">
            <v>580</v>
          </cell>
          <cell r="C12" t="str">
            <v>S</v>
          </cell>
          <cell r="D12" t="str">
            <v>T</v>
          </cell>
          <cell r="E12" t="str">
            <v>Losa - Thuchila River Bridge</v>
          </cell>
          <cell r="F12" t="str">
            <v>M04</v>
          </cell>
          <cell r="G12">
            <v>4</v>
          </cell>
          <cell r="H12">
            <v>8.6999999999999993</v>
          </cell>
          <cell r="I12" t="str">
            <v>F</v>
          </cell>
          <cell r="J12" t="str">
            <v>MULANJE</v>
          </cell>
          <cell r="K12">
            <v>9</v>
          </cell>
          <cell r="L12" t="str">
            <v>Changed designation from T413  to M04</v>
          </cell>
        </row>
        <row r="13">
          <cell r="A13" t="str">
            <v>RS 838</v>
          </cell>
          <cell r="B13" t="str">
            <v>n.a.</v>
          </cell>
          <cell r="C13" t="str">
            <v>S</v>
          </cell>
          <cell r="D13" t="str">
            <v>T</v>
          </cell>
          <cell r="E13" t="str">
            <v>Thuchila River Bridge - Luwanje T.C.</v>
          </cell>
          <cell r="F13" t="str">
            <v>M04</v>
          </cell>
          <cell r="G13">
            <v>5</v>
          </cell>
          <cell r="H13">
            <v>6.9</v>
          </cell>
          <cell r="I13" t="str">
            <v>R</v>
          </cell>
          <cell r="J13" t="str">
            <v>MULANJE</v>
          </cell>
          <cell r="K13">
            <v>9</v>
          </cell>
          <cell r="L13" t="str">
            <v xml:space="preserve">New section part of RS 330 </v>
          </cell>
        </row>
        <row r="14">
          <cell r="A14" t="str">
            <v>RS 215</v>
          </cell>
          <cell r="B14">
            <v>37</v>
          </cell>
          <cell r="C14" t="str">
            <v>C</v>
          </cell>
          <cell r="D14" t="str">
            <v>T</v>
          </cell>
          <cell r="E14" t="str">
            <v>Zowonela - Mbobo</v>
          </cell>
          <cell r="F14" t="str">
            <v>M07</v>
          </cell>
          <cell r="G14">
            <v>1</v>
          </cell>
          <cell r="H14">
            <v>12.2</v>
          </cell>
          <cell r="I14" t="str">
            <v>L</v>
          </cell>
          <cell r="J14" t="str">
            <v>NTCHISI</v>
          </cell>
          <cell r="K14">
            <v>5</v>
          </cell>
        </row>
        <row r="15">
          <cell r="A15" t="str">
            <v>RS 209</v>
          </cell>
          <cell r="B15">
            <v>31</v>
          </cell>
          <cell r="C15" t="str">
            <v>C</v>
          </cell>
          <cell r="D15" t="str">
            <v>T</v>
          </cell>
          <cell r="E15" t="str">
            <v>Mpala T.C. - Zowonela</v>
          </cell>
          <cell r="F15" t="str">
            <v>M07</v>
          </cell>
          <cell r="G15">
            <v>2</v>
          </cell>
          <cell r="H15">
            <v>9.8000000000000007</v>
          </cell>
          <cell r="I15" t="str">
            <v>R</v>
          </cell>
          <cell r="J15" t="str">
            <v>NTCHISI</v>
          </cell>
          <cell r="K15">
            <v>5</v>
          </cell>
        </row>
        <row r="16">
          <cell r="A16" t="str">
            <v>RS 214</v>
          </cell>
          <cell r="B16">
            <v>36</v>
          </cell>
          <cell r="C16" t="str">
            <v>C</v>
          </cell>
          <cell r="D16" t="str">
            <v>T</v>
          </cell>
          <cell r="E16" t="str">
            <v>Mpala T.C. - Ntchisi</v>
          </cell>
          <cell r="F16" t="str">
            <v>M07</v>
          </cell>
          <cell r="G16">
            <v>3</v>
          </cell>
          <cell r="H16">
            <v>12.9</v>
          </cell>
          <cell r="I16" t="str">
            <v>R</v>
          </cell>
          <cell r="J16" t="str">
            <v>NTCHISI</v>
          </cell>
          <cell r="K16">
            <v>5</v>
          </cell>
        </row>
        <row r="17">
          <cell r="A17" t="str">
            <v>RS 208</v>
          </cell>
          <cell r="B17">
            <v>30</v>
          </cell>
          <cell r="C17" t="str">
            <v>C</v>
          </cell>
          <cell r="D17" t="str">
            <v>T</v>
          </cell>
          <cell r="E17" t="str">
            <v>Nchisi - Km17.45</v>
          </cell>
          <cell r="F17" t="str">
            <v>M07</v>
          </cell>
          <cell r="G17">
            <v>4</v>
          </cell>
          <cell r="H17">
            <v>1.6</v>
          </cell>
          <cell r="I17" t="str">
            <v>R</v>
          </cell>
          <cell r="J17" t="str">
            <v>NTCHISI</v>
          </cell>
          <cell r="K17">
            <v>5</v>
          </cell>
        </row>
        <row r="18">
          <cell r="A18" t="str">
            <v>RS 211</v>
          </cell>
          <cell r="B18">
            <v>33</v>
          </cell>
          <cell r="C18" t="str">
            <v>C</v>
          </cell>
          <cell r="D18" t="str">
            <v>T</v>
          </cell>
          <cell r="E18" t="str">
            <v>Km17.45 - Mbonekela</v>
          </cell>
          <cell r="F18" t="str">
            <v>M07</v>
          </cell>
          <cell r="G18">
            <v>5</v>
          </cell>
          <cell r="H18">
            <v>17.399999999999999</v>
          </cell>
          <cell r="I18" t="str">
            <v>R</v>
          </cell>
          <cell r="J18" t="str">
            <v>NTCHISI</v>
          </cell>
          <cell r="K18">
            <v>5</v>
          </cell>
        </row>
        <row r="19">
          <cell r="A19" t="str">
            <v>RS 212</v>
          </cell>
          <cell r="B19">
            <v>34</v>
          </cell>
          <cell r="C19" t="str">
            <v>C</v>
          </cell>
          <cell r="D19" t="str">
            <v>T</v>
          </cell>
          <cell r="E19" t="str">
            <v>Mwangala - Dzaleka</v>
          </cell>
          <cell r="F19" t="str">
            <v>M07</v>
          </cell>
          <cell r="G19">
            <v>6</v>
          </cell>
          <cell r="H19">
            <v>25.4</v>
          </cell>
          <cell r="I19" t="str">
            <v>R</v>
          </cell>
          <cell r="J19" t="str">
            <v>DOWA</v>
          </cell>
          <cell r="K19" t="str">
            <v>5,6</v>
          </cell>
        </row>
        <row r="20">
          <cell r="A20" t="str">
            <v>RS 210</v>
          </cell>
          <cell r="B20">
            <v>32</v>
          </cell>
          <cell r="C20" t="str">
            <v>C</v>
          </cell>
          <cell r="D20" t="str">
            <v>T</v>
          </cell>
          <cell r="E20" t="str">
            <v>Dzaleka - Zidunge</v>
          </cell>
          <cell r="F20" t="str">
            <v>M07</v>
          </cell>
          <cell r="G20">
            <v>7</v>
          </cell>
          <cell r="H20">
            <v>5.2</v>
          </cell>
          <cell r="I20" t="str">
            <v>R</v>
          </cell>
          <cell r="J20" t="str">
            <v>DOWA</v>
          </cell>
          <cell r="K20">
            <v>5</v>
          </cell>
        </row>
        <row r="21">
          <cell r="A21" t="str">
            <v>RS 213</v>
          </cell>
          <cell r="B21">
            <v>35</v>
          </cell>
          <cell r="C21" t="str">
            <v>C</v>
          </cell>
          <cell r="D21" t="str">
            <v>T</v>
          </cell>
          <cell r="E21" t="str">
            <v>Zidunge - Othambwe</v>
          </cell>
          <cell r="F21" t="str">
            <v>M07</v>
          </cell>
          <cell r="G21">
            <v>8</v>
          </cell>
          <cell r="H21">
            <v>7.9</v>
          </cell>
          <cell r="I21" t="str">
            <v>F</v>
          </cell>
          <cell r="J21" t="str">
            <v>DOWA</v>
          </cell>
          <cell r="K21">
            <v>6</v>
          </cell>
        </row>
        <row r="22">
          <cell r="A22" t="str">
            <v>RS 847</v>
          </cell>
          <cell r="B22" t="str">
            <v>n.a.</v>
          </cell>
          <cell r="C22" t="str">
            <v>N</v>
          </cell>
          <cell r="D22" t="str">
            <v>T</v>
          </cell>
          <cell r="E22" t="str">
            <v>Mkoma (Tanzania border) - Chitipa</v>
          </cell>
          <cell r="F22" t="str">
            <v>M09</v>
          </cell>
          <cell r="G22">
            <v>1</v>
          </cell>
          <cell r="H22">
            <v>44.5</v>
          </cell>
          <cell r="I22" t="str">
            <v>R</v>
          </cell>
          <cell r="J22" t="str">
            <v>CHITIPA</v>
          </cell>
          <cell r="K22">
            <v>1</v>
          </cell>
          <cell r="L22" t="str">
            <v>New section part of origional RS 179</v>
          </cell>
        </row>
        <row r="23">
          <cell r="A23" t="str">
            <v>RS 848</v>
          </cell>
          <cell r="B23" t="str">
            <v>n.a.</v>
          </cell>
          <cell r="C23" t="str">
            <v>N</v>
          </cell>
          <cell r="D23" t="str">
            <v>T</v>
          </cell>
          <cell r="E23" t="str">
            <v>Chitipa - Chelinda T/off</v>
          </cell>
          <cell r="F23" t="str">
            <v>M09</v>
          </cell>
          <cell r="G23">
            <v>2</v>
          </cell>
          <cell r="H23">
            <v>166.8</v>
          </cell>
          <cell r="I23" t="str">
            <v>R</v>
          </cell>
          <cell r="J23" t="str">
            <v>CHITIPA</v>
          </cell>
          <cell r="K23">
            <v>1</v>
          </cell>
          <cell r="L23" t="str">
            <v>New section part of origional RS 179</v>
          </cell>
        </row>
        <row r="24">
          <cell r="A24" t="str">
            <v>RS 181</v>
          </cell>
          <cell r="B24">
            <v>3</v>
          </cell>
          <cell r="C24" t="str">
            <v>N</v>
          </cell>
          <cell r="D24" t="str">
            <v>T</v>
          </cell>
          <cell r="E24" t="str">
            <v>Chelinda T/off - Chitanga</v>
          </cell>
          <cell r="F24" t="str">
            <v>M09</v>
          </cell>
          <cell r="G24">
            <v>3</v>
          </cell>
          <cell r="H24">
            <v>62.8</v>
          </cell>
          <cell r="I24" t="str">
            <v>R</v>
          </cell>
          <cell r="J24" t="str">
            <v>RUMPHI</v>
          </cell>
          <cell r="K24" t="str">
            <v>2,3</v>
          </cell>
          <cell r="L24" t="str">
            <v>End point altered from Mphangara Stream to Chatanga</v>
          </cell>
        </row>
        <row r="25">
          <cell r="A25" t="str">
            <v>RS 182</v>
          </cell>
          <cell r="B25">
            <v>4</v>
          </cell>
          <cell r="C25" t="str">
            <v>N</v>
          </cell>
          <cell r="D25" t="str">
            <v>T</v>
          </cell>
          <cell r="E25" t="str">
            <v>Mphangara Stream-Bow-Emcisweni-Kamchocho-Chitapa</v>
          </cell>
          <cell r="F25" t="str">
            <v>M09</v>
          </cell>
          <cell r="G25">
            <v>4</v>
          </cell>
          <cell r="H25">
            <v>95</v>
          </cell>
          <cell r="I25" t="str">
            <v>R</v>
          </cell>
          <cell r="J25" t="str">
            <v>MZIMBA</v>
          </cell>
          <cell r="K25" t="str">
            <v>3,4</v>
          </cell>
        </row>
        <row r="26">
          <cell r="A26" t="str">
            <v>RS 180</v>
          </cell>
          <cell r="B26">
            <v>2</v>
          </cell>
          <cell r="C26" t="str">
            <v>N</v>
          </cell>
          <cell r="D26" t="str">
            <v>T</v>
          </cell>
          <cell r="E26" t="str">
            <v>Chitapa - Majighasawa</v>
          </cell>
          <cell r="F26" t="str">
            <v>M09</v>
          </cell>
          <cell r="G26">
            <v>5</v>
          </cell>
          <cell r="H26">
            <v>31.8</v>
          </cell>
          <cell r="I26" t="str">
            <v>R</v>
          </cell>
          <cell r="J26" t="str">
            <v>MZIMBA</v>
          </cell>
          <cell r="K26" t="str">
            <v>3,4</v>
          </cell>
        </row>
        <row r="27">
          <cell r="A27" t="str">
            <v>RS 849</v>
          </cell>
          <cell r="B27" t="str">
            <v>n.a.</v>
          </cell>
          <cell r="C27" t="str">
            <v>N</v>
          </cell>
          <cell r="D27" t="str">
            <v>T</v>
          </cell>
          <cell r="E27" t="str">
            <v>Chitanga - Mphangara Stream</v>
          </cell>
          <cell r="F27" t="str">
            <v>M09</v>
          </cell>
          <cell r="G27">
            <v>6</v>
          </cell>
          <cell r="H27">
            <v>21.2</v>
          </cell>
          <cell r="I27">
            <v>3</v>
          </cell>
          <cell r="J27" t="str">
            <v>MZIMBA</v>
          </cell>
          <cell r="K27">
            <v>3</v>
          </cell>
          <cell r="L27" t="str">
            <v>New section part of origional RS 181</v>
          </cell>
        </row>
        <row r="28">
          <cell r="A28" t="str">
            <v>RS 183</v>
          </cell>
          <cell r="B28">
            <v>5</v>
          </cell>
          <cell r="C28" t="str">
            <v>N</v>
          </cell>
          <cell r="D28" t="str">
            <v>T</v>
          </cell>
          <cell r="E28" t="str">
            <v>Chiweta - Malongowe River</v>
          </cell>
          <cell r="F28" t="str">
            <v>M11</v>
          </cell>
          <cell r="G28">
            <v>1</v>
          </cell>
          <cell r="H28">
            <v>33.200000000000003</v>
          </cell>
          <cell r="I28" t="str">
            <v>R</v>
          </cell>
          <cell r="J28" t="str">
            <v>RUMPHI</v>
          </cell>
          <cell r="K28" t="str">
            <v>2,3</v>
          </cell>
        </row>
        <row r="29">
          <cell r="A29" t="str">
            <v>RS 184</v>
          </cell>
          <cell r="B29">
            <v>6</v>
          </cell>
          <cell r="C29" t="str">
            <v>N</v>
          </cell>
          <cell r="D29" t="str">
            <v>T</v>
          </cell>
          <cell r="E29" t="str">
            <v>Malongowe River - Usisya - Timbiri</v>
          </cell>
          <cell r="F29" t="str">
            <v>M11</v>
          </cell>
          <cell r="G29">
            <v>2</v>
          </cell>
          <cell r="H29">
            <v>63</v>
          </cell>
          <cell r="I29" t="str">
            <v>R</v>
          </cell>
          <cell r="J29" t="str">
            <v>MZIMBA</v>
          </cell>
          <cell r="K29">
            <v>3</v>
          </cell>
        </row>
        <row r="30">
          <cell r="A30" t="str">
            <v>RS 220</v>
          </cell>
          <cell r="B30">
            <v>42</v>
          </cell>
          <cell r="C30" t="str">
            <v>C</v>
          </cell>
          <cell r="D30" t="str">
            <v>T</v>
          </cell>
          <cell r="E30" t="str">
            <v>Dzaleka - Dowa</v>
          </cell>
          <cell r="F30" t="str">
            <v>M16</v>
          </cell>
          <cell r="G30">
            <v>1</v>
          </cell>
          <cell r="H30">
            <v>7.4</v>
          </cell>
          <cell r="I30" t="str">
            <v>R</v>
          </cell>
          <cell r="J30" t="str">
            <v>DOWA</v>
          </cell>
          <cell r="K30">
            <v>6</v>
          </cell>
        </row>
        <row r="31">
          <cell r="A31" t="str">
            <v>RS 219</v>
          </cell>
          <cell r="B31">
            <v>41</v>
          </cell>
          <cell r="C31" t="str">
            <v>C</v>
          </cell>
          <cell r="D31" t="str">
            <v>T</v>
          </cell>
          <cell r="E31" t="str">
            <v>Dowa - Chezi</v>
          </cell>
          <cell r="F31" t="str">
            <v>M16</v>
          </cell>
          <cell r="G31">
            <v>2</v>
          </cell>
          <cell r="H31">
            <v>16.600000000000001</v>
          </cell>
          <cell r="I31" t="str">
            <v>H</v>
          </cell>
          <cell r="J31" t="str">
            <v>DOWA</v>
          </cell>
          <cell r="K31">
            <v>6</v>
          </cell>
        </row>
        <row r="32">
          <cell r="A32" t="str">
            <v>RS 049</v>
          </cell>
          <cell r="B32">
            <v>49</v>
          </cell>
          <cell r="C32" t="str">
            <v>C</v>
          </cell>
          <cell r="D32" t="str">
            <v>T</v>
          </cell>
          <cell r="E32" t="str">
            <v>Nkhota-kota - Malenga</v>
          </cell>
          <cell r="F32" t="str">
            <v>M18</v>
          </cell>
          <cell r="G32">
            <v>1</v>
          </cell>
          <cell r="H32">
            <v>5.6</v>
          </cell>
          <cell r="I32" t="str">
            <v>F</v>
          </cell>
          <cell r="J32" t="str">
            <v>NKHOTA KOTA</v>
          </cell>
          <cell r="K32">
            <v>5</v>
          </cell>
          <cell r="L32" t="str">
            <v>Changed designation from M5 to M18</v>
          </cell>
        </row>
        <row r="33">
          <cell r="A33" t="str">
            <v>RS 224</v>
          </cell>
          <cell r="B33">
            <v>46</v>
          </cell>
          <cell r="C33" t="str">
            <v>C</v>
          </cell>
          <cell r="D33" t="str">
            <v>T</v>
          </cell>
          <cell r="E33" t="str">
            <v>Malenga - Nkhotakota Game Reserve</v>
          </cell>
          <cell r="F33" t="str">
            <v>M18</v>
          </cell>
          <cell r="G33">
            <v>2</v>
          </cell>
          <cell r="H33">
            <v>16.100000000000001</v>
          </cell>
          <cell r="I33" t="str">
            <v>F</v>
          </cell>
          <cell r="J33" t="str">
            <v>NKHOTA KOTA</v>
          </cell>
          <cell r="K33">
            <v>5</v>
          </cell>
        </row>
        <row r="34">
          <cell r="A34" t="str">
            <v>RS 222</v>
          </cell>
          <cell r="B34">
            <v>44</v>
          </cell>
          <cell r="C34" t="str">
            <v>C</v>
          </cell>
          <cell r="D34" t="str">
            <v>T</v>
          </cell>
          <cell r="E34" t="str">
            <v>Nkhotakota Game Reserve - Mbobo</v>
          </cell>
          <cell r="F34" t="str">
            <v>M18</v>
          </cell>
          <cell r="G34">
            <v>3</v>
          </cell>
          <cell r="H34">
            <v>32.6</v>
          </cell>
          <cell r="I34" t="str">
            <v>R</v>
          </cell>
          <cell r="J34" t="str">
            <v>NKHOTA KOTA &amp; NTCHISI</v>
          </cell>
          <cell r="K34">
            <v>5</v>
          </cell>
        </row>
        <row r="35">
          <cell r="A35" t="str">
            <v>RS 223</v>
          </cell>
          <cell r="B35">
            <v>45</v>
          </cell>
          <cell r="C35" t="str">
            <v>C</v>
          </cell>
          <cell r="D35" t="str">
            <v>T</v>
          </cell>
          <cell r="E35" t="str">
            <v>Mbobo - Malomo T.C.</v>
          </cell>
          <cell r="F35" t="str">
            <v>M18</v>
          </cell>
          <cell r="G35">
            <v>4</v>
          </cell>
          <cell r="H35">
            <v>18.100000000000001</v>
          </cell>
          <cell r="I35" t="str">
            <v>R</v>
          </cell>
          <cell r="J35" t="str">
            <v>NTCHISI</v>
          </cell>
          <cell r="K35">
            <v>5</v>
          </cell>
        </row>
        <row r="36">
          <cell r="A36" t="str">
            <v>RS 837</v>
          </cell>
          <cell r="B36" t="str">
            <v>n.a.</v>
          </cell>
          <cell r="C36" t="str">
            <v>C</v>
          </cell>
          <cell r="D36" t="str">
            <v>T</v>
          </cell>
          <cell r="E36" t="str">
            <v>Malomo T.C. - Chima</v>
          </cell>
          <cell r="F36" t="str">
            <v>M18</v>
          </cell>
          <cell r="G36">
            <v>5</v>
          </cell>
          <cell r="H36">
            <v>14.4</v>
          </cell>
          <cell r="I36" t="str">
            <v>R</v>
          </cell>
          <cell r="J36" t="str">
            <v>LILONGWE</v>
          </cell>
          <cell r="K36">
            <v>6</v>
          </cell>
          <cell r="L36" t="str">
            <v>New section part of RS 225</v>
          </cell>
        </row>
        <row r="37">
          <cell r="A37" t="str">
            <v>RS 259</v>
          </cell>
          <cell r="B37">
            <v>81</v>
          </cell>
          <cell r="C37" t="str">
            <v>C</v>
          </cell>
          <cell r="D37" t="str">
            <v>T</v>
          </cell>
          <cell r="E37" t="str">
            <v>Chima - Chilowamatambe</v>
          </cell>
          <cell r="F37" t="str">
            <v>M18</v>
          </cell>
          <cell r="G37">
            <v>6</v>
          </cell>
          <cell r="H37">
            <v>14.9</v>
          </cell>
          <cell r="I37" t="str">
            <v>F</v>
          </cell>
          <cell r="J37" t="str">
            <v>KASUNGU</v>
          </cell>
          <cell r="K37">
            <v>5</v>
          </cell>
          <cell r="L37" t="str">
            <v>Changed designation from S120 to M18. Now by-passed.</v>
          </cell>
        </row>
        <row r="38">
          <cell r="A38" t="str">
            <v>RS 261</v>
          </cell>
          <cell r="B38">
            <v>83</v>
          </cell>
          <cell r="C38" t="str">
            <v>C</v>
          </cell>
          <cell r="D38" t="str">
            <v>T</v>
          </cell>
          <cell r="E38" t="str">
            <v>Chilowamatambe - Chiwengo</v>
          </cell>
          <cell r="F38" t="str">
            <v>M18</v>
          </cell>
          <cell r="G38">
            <v>7</v>
          </cell>
          <cell r="H38">
            <v>15.9</v>
          </cell>
          <cell r="I38" t="str">
            <v>F</v>
          </cell>
          <cell r="J38" t="str">
            <v>KASUNGU</v>
          </cell>
          <cell r="K38">
            <v>5</v>
          </cell>
          <cell r="L38" t="str">
            <v>Changed designation from S120 to M18. Now by-passed.</v>
          </cell>
        </row>
        <row r="39">
          <cell r="A39" t="str">
            <v>RS 185</v>
          </cell>
          <cell r="B39">
            <v>7</v>
          </cell>
          <cell r="C39" t="str">
            <v>N</v>
          </cell>
          <cell r="D39" t="str">
            <v>T</v>
          </cell>
          <cell r="E39" t="str">
            <v>Luwawa (junction M1) - Mqocha - Jenda (junction S112)</v>
          </cell>
          <cell r="F39" t="str">
            <v>M20</v>
          </cell>
          <cell r="G39">
            <v>1</v>
          </cell>
          <cell r="H39">
            <v>78.5</v>
          </cell>
          <cell r="I39" t="str">
            <v>F</v>
          </cell>
          <cell r="J39" t="str">
            <v>MZIMBA</v>
          </cell>
          <cell r="K39">
            <v>4</v>
          </cell>
          <cell r="L39" t="str">
            <v>Contains road designated T322 (on 1:250,000 series map)</v>
          </cell>
        </row>
        <row r="40">
          <cell r="A40" t="str">
            <v>RS 186</v>
          </cell>
          <cell r="B40">
            <v>8</v>
          </cell>
          <cell r="C40" t="str">
            <v>N</v>
          </cell>
          <cell r="D40" t="str">
            <v>T</v>
          </cell>
          <cell r="E40" t="str">
            <v>Mzimba - Mtangatanga</v>
          </cell>
          <cell r="F40" t="str">
            <v>M22</v>
          </cell>
          <cell r="G40">
            <v>1</v>
          </cell>
          <cell r="H40">
            <v>24</v>
          </cell>
          <cell r="I40" t="str">
            <v>R</v>
          </cell>
          <cell r="J40" t="str">
            <v>MZIMBA</v>
          </cell>
          <cell r="K40">
            <v>4</v>
          </cell>
        </row>
        <row r="41">
          <cell r="A41" t="str">
            <v>RS 187</v>
          </cell>
          <cell r="B41">
            <v>9</v>
          </cell>
          <cell r="C41" t="str">
            <v>N</v>
          </cell>
          <cell r="D41" t="str">
            <v>T</v>
          </cell>
          <cell r="E41" t="str">
            <v>Rumphi - Bolero - Chitanga</v>
          </cell>
          <cell r="F41" t="str">
            <v>M24</v>
          </cell>
          <cell r="G41">
            <v>3</v>
          </cell>
          <cell r="H41">
            <v>37.799999999999997</v>
          </cell>
          <cell r="I41" t="str">
            <v>F</v>
          </cell>
          <cell r="J41" t="str">
            <v>RUMPHI</v>
          </cell>
          <cell r="K41">
            <v>3</v>
          </cell>
          <cell r="L41" t="str">
            <v>Section start changed to Rumphi</v>
          </cell>
        </row>
        <row r="42">
          <cell r="A42" t="str">
            <v>RS 189</v>
          </cell>
          <cell r="B42">
            <v>11</v>
          </cell>
          <cell r="C42" t="str">
            <v>N</v>
          </cell>
          <cell r="D42" t="str">
            <v>T</v>
          </cell>
          <cell r="E42" t="str">
            <v>Chitipa-Lufira River</v>
          </cell>
          <cell r="F42" t="str">
            <v>M26</v>
          </cell>
          <cell r="G42">
            <v>1</v>
          </cell>
          <cell r="H42">
            <v>43</v>
          </cell>
          <cell r="I42" t="str">
            <v>F</v>
          </cell>
          <cell r="J42" t="str">
            <v>CHITIPA</v>
          </cell>
          <cell r="K42">
            <v>1</v>
          </cell>
        </row>
        <row r="43">
          <cell r="A43" t="str">
            <v>RS 188</v>
          </cell>
          <cell r="B43">
            <v>10</v>
          </cell>
          <cell r="C43" t="str">
            <v>N</v>
          </cell>
          <cell r="D43" t="str">
            <v>T</v>
          </cell>
          <cell r="E43" t="str">
            <v>Lufira river-Karonga</v>
          </cell>
          <cell r="F43" t="str">
            <v>M26</v>
          </cell>
          <cell r="G43">
            <v>2</v>
          </cell>
          <cell r="H43">
            <v>43</v>
          </cell>
          <cell r="I43" t="str">
            <v>F&amp;H</v>
          </cell>
          <cell r="J43" t="str">
            <v>CHITIPA &amp; KARONGA</v>
          </cell>
          <cell r="K43" t="str">
            <v>1,2</v>
          </cell>
        </row>
        <row r="44">
          <cell r="A44" t="str">
            <v>RS 190</v>
          </cell>
          <cell r="B44">
            <v>12</v>
          </cell>
          <cell r="C44" t="str">
            <v>N</v>
          </cell>
          <cell r="D44" t="str">
            <v>T</v>
          </cell>
          <cell r="E44" t="str">
            <v>Chisenga - Chisenga customs</v>
          </cell>
          <cell r="F44" t="str">
            <v>S085</v>
          </cell>
          <cell r="G44">
            <v>1</v>
          </cell>
          <cell r="H44">
            <v>12.6</v>
          </cell>
          <cell r="I44" t="str">
            <v>F</v>
          </cell>
          <cell r="J44" t="str">
            <v>CHITIPA</v>
          </cell>
          <cell r="K44">
            <v>2</v>
          </cell>
        </row>
        <row r="45">
          <cell r="A45" t="str">
            <v>RS 192</v>
          </cell>
          <cell r="B45">
            <v>14</v>
          </cell>
          <cell r="C45" t="str">
            <v>N</v>
          </cell>
          <cell r="D45" t="str">
            <v>T</v>
          </cell>
          <cell r="E45" t="str">
            <v>Chendo - Mwakaromba</v>
          </cell>
          <cell r="F45" t="str">
            <v>S100</v>
          </cell>
          <cell r="G45">
            <v>2</v>
          </cell>
          <cell r="H45">
            <v>178.5</v>
          </cell>
          <cell r="I45" t="str">
            <v>F&amp;H</v>
          </cell>
          <cell r="J45" t="str">
            <v>CHITIPA &amp; KARONGA</v>
          </cell>
          <cell r="K45">
            <v>1</v>
          </cell>
        </row>
        <row r="46">
          <cell r="A46" t="str">
            <v>RS 193</v>
          </cell>
          <cell r="B46">
            <v>15</v>
          </cell>
          <cell r="C46" t="str">
            <v>N</v>
          </cell>
          <cell r="D46" t="str">
            <v>T</v>
          </cell>
          <cell r="E46" t="str">
            <v>Kapirinkhonde - Uledi</v>
          </cell>
          <cell r="F46" t="str">
            <v>S101</v>
          </cell>
          <cell r="G46">
            <v>1</v>
          </cell>
          <cell r="H46">
            <v>33.200000000000003</v>
          </cell>
          <cell r="I46" t="str">
            <v>R</v>
          </cell>
          <cell r="J46" t="str">
            <v>CHITIPA &amp; KARONGA</v>
          </cell>
          <cell r="K46">
            <v>2</v>
          </cell>
        </row>
        <row r="47">
          <cell r="A47" t="str">
            <v>RS 191</v>
          </cell>
          <cell r="B47">
            <v>13</v>
          </cell>
          <cell r="C47" t="str">
            <v>N</v>
          </cell>
          <cell r="D47" t="str">
            <v>T</v>
          </cell>
          <cell r="E47" t="str">
            <v>Uledi - Mpata</v>
          </cell>
          <cell r="F47" t="str">
            <v>S101</v>
          </cell>
          <cell r="G47">
            <v>2</v>
          </cell>
          <cell r="H47">
            <v>28</v>
          </cell>
          <cell r="I47" t="str">
            <v>H</v>
          </cell>
          <cell r="J47" t="str">
            <v>KARONGA</v>
          </cell>
          <cell r="K47">
            <v>2</v>
          </cell>
          <cell r="L47" t="str">
            <v>Changed designation from S100 to S101</v>
          </cell>
        </row>
        <row r="48">
          <cell r="A48" t="str">
            <v>RS 195</v>
          </cell>
          <cell r="B48">
            <v>17</v>
          </cell>
          <cell r="C48" t="str">
            <v>N</v>
          </cell>
          <cell r="D48" t="str">
            <v>T</v>
          </cell>
          <cell r="E48" t="str">
            <v>Gamba T/off - Hananiya - Livingstonia (junction M1)</v>
          </cell>
          <cell r="F48" t="str">
            <v>S103</v>
          </cell>
          <cell r="G48">
            <v>1</v>
          </cell>
          <cell r="H48">
            <v>58.1</v>
          </cell>
          <cell r="I48" t="str">
            <v>H</v>
          </cell>
          <cell r="J48" t="str">
            <v>RUMPHI</v>
          </cell>
          <cell r="K48">
            <v>2</v>
          </cell>
        </row>
        <row r="49">
          <cell r="A49" t="str">
            <v>RS 196</v>
          </cell>
          <cell r="B49">
            <v>18</v>
          </cell>
          <cell r="C49" t="str">
            <v>N</v>
          </cell>
          <cell r="D49" t="str">
            <v>T</v>
          </cell>
          <cell r="E49" t="str">
            <v>Hewe - Makonyola</v>
          </cell>
          <cell r="F49" t="str">
            <v>S104</v>
          </cell>
          <cell r="G49">
            <v>1</v>
          </cell>
          <cell r="H49">
            <v>12.8</v>
          </cell>
          <cell r="I49" t="str">
            <v>R</v>
          </cell>
          <cell r="J49" t="str">
            <v>RUMPHI</v>
          </cell>
          <cell r="K49" t="str">
            <v>2,3</v>
          </cell>
        </row>
        <row r="50">
          <cell r="A50" t="str">
            <v>RS 197</v>
          </cell>
          <cell r="B50">
            <v>19</v>
          </cell>
          <cell r="C50" t="str">
            <v>N</v>
          </cell>
          <cell r="D50" t="str">
            <v>T</v>
          </cell>
          <cell r="E50" t="str">
            <v>Chanyama - Mbalachanda - Munyanja - Kazuni</v>
          </cell>
          <cell r="F50" t="str">
            <v>S105</v>
          </cell>
          <cell r="G50">
            <v>1</v>
          </cell>
          <cell r="H50">
            <v>75</v>
          </cell>
          <cell r="I50" t="str">
            <v>F</v>
          </cell>
          <cell r="J50" t="str">
            <v>MZIMBA</v>
          </cell>
          <cell r="K50">
            <v>3</v>
          </cell>
        </row>
        <row r="51">
          <cell r="A51" t="str">
            <v>RS 198</v>
          </cell>
          <cell r="B51">
            <v>20</v>
          </cell>
          <cell r="C51" t="str">
            <v>N</v>
          </cell>
          <cell r="D51" t="str">
            <v>T</v>
          </cell>
          <cell r="E51" t="str">
            <v>Agripa Jere - Euthini - Mtantha</v>
          </cell>
          <cell r="F51" t="str">
            <v>S106</v>
          </cell>
          <cell r="G51">
            <v>1</v>
          </cell>
          <cell r="H51">
            <v>33.1</v>
          </cell>
          <cell r="I51" t="str">
            <v>F</v>
          </cell>
          <cell r="J51" t="str">
            <v>MZIMBA</v>
          </cell>
          <cell r="K51">
            <v>3</v>
          </cell>
        </row>
        <row r="52">
          <cell r="A52" t="str">
            <v>RS 199</v>
          </cell>
          <cell r="B52">
            <v>21</v>
          </cell>
          <cell r="C52" t="str">
            <v>N</v>
          </cell>
          <cell r="D52" t="str">
            <v>T</v>
          </cell>
          <cell r="E52" t="str">
            <v>Ekwendeni - Kafukule - Eswazini - junction M22</v>
          </cell>
          <cell r="F52" t="str">
            <v>S107</v>
          </cell>
          <cell r="G52">
            <v>1</v>
          </cell>
          <cell r="H52">
            <v>82</v>
          </cell>
          <cell r="I52" t="str">
            <v>F</v>
          </cell>
          <cell r="J52" t="str">
            <v>MZIMBA</v>
          </cell>
          <cell r="K52" t="str">
            <v>3,4</v>
          </cell>
        </row>
        <row r="53">
          <cell r="A53" t="str">
            <v>RS 200</v>
          </cell>
          <cell r="B53">
            <v>22</v>
          </cell>
          <cell r="C53" t="str">
            <v>N</v>
          </cell>
          <cell r="D53" t="str">
            <v>T</v>
          </cell>
          <cell r="E53" t="str">
            <v>Usisya - Bula - Choma Hill</v>
          </cell>
          <cell r="F53" t="str">
            <v>S108</v>
          </cell>
          <cell r="G53">
            <v>1</v>
          </cell>
          <cell r="H53">
            <v>22</v>
          </cell>
          <cell r="I53" t="str">
            <v>H</v>
          </cell>
          <cell r="J53" t="str">
            <v>MZIMBA</v>
          </cell>
          <cell r="K53">
            <v>3</v>
          </cell>
        </row>
        <row r="54">
          <cell r="A54" t="str">
            <v>RS 201</v>
          </cell>
          <cell r="B54">
            <v>23</v>
          </cell>
          <cell r="C54" t="str">
            <v>N</v>
          </cell>
          <cell r="D54" t="str">
            <v>T</v>
          </cell>
          <cell r="E54" t="str">
            <v>Choma Hill - Mzuzu</v>
          </cell>
          <cell r="F54" t="str">
            <v>S108</v>
          </cell>
          <cell r="G54">
            <v>2</v>
          </cell>
          <cell r="H54">
            <v>16.5</v>
          </cell>
          <cell r="I54" t="str">
            <v>F</v>
          </cell>
          <cell r="J54" t="str">
            <v>MZIMBA</v>
          </cell>
          <cell r="K54">
            <v>3</v>
          </cell>
        </row>
        <row r="55">
          <cell r="A55" t="str">
            <v>RS 202</v>
          </cell>
          <cell r="B55">
            <v>24</v>
          </cell>
          <cell r="C55" t="str">
            <v>N</v>
          </cell>
          <cell r="D55" t="str">
            <v>T</v>
          </cell>
          <cell r="E55" t="str">
            <v>Mwazisi River - Chikwawa</v>
          </cell>
          <cell r="F55" t="str">
            <v>S109</v>
          </cell>
          <cell r="G55">
            <v>1</v>
          </cell>
          <cell r="H55">
            <v>13.2</v>
          </cell>
          <cell r="I55" t="str">
            <v>F</v>
          </cell>
          <cell r="J55" t="str">
            <v>RUMPI</v>
          </cell>
          <cell r="K55">
            <v>3</v>
          </cell>
        </row>
        <row r="56">
          <cell r="A56" t="str">
            <v>RS 203</v>
          </cell>
          <cell r="B56">
            <v>25</v>
          </cell>
          <cell r="C56" t="str">
            <v>N</v>
          </cell>
          <cell r="D56" t="str">
            <v>T</v>
          </cell>
          <cell r="E56" t="str">
            <v>Chintheche - Mazamba Hill</v>
          </cell>
          <cell r="F56" t="str">
            <v>S110</v>
          </cell>
          <cell r="G56">
            <v>1</v>
          </cell>
          <cell r="H56">
            <v>41</v>
          </cell>
          <cell r="I56" t="str">
            <v>H</v>
          </cell>
          <cell r="J56" t="str">
            <v>NKHATA BAY</v>
          </cell>
          <cell r="K56">
            <v>3</v>
          </cell>
        </row>
        <row r="57">
          <cell r="A57" t="str">
            <v>RS 204</v>
          </cell>
          <cell r="B57">
            <v>26</v>
          </cell>
          <cell r="C57" t="str">
            <v>N</v>
          </cell>
          <cell r="D57" t="str">
            <v>T</v>
          </cell>
          <cell r="E57" t="str">
            <v>Engalaweni - Kandodo Chisi</v>
          </cell>
          <cell r="F57" t="str">
            <v>S111</v>
          </cell>
          <cell r="G57">
            <v>1</v>
          </cell>
          <cell r="H57">
            <v>25.9</v>
          </cell>
          <cell r="I57" t="str">
            <v>R</v>
          </cell>
          <cell r="J57" t="str">
            <v>MZIMBA</v>
          </cell>
          <cell r="K57">
            <v>4</v>
          </cell>
        </row>
        <row r="58">
          <cell r="A58" t="str">
            <v>RS 205</v>
          </cell>
          <cell r="B58">
            <v>27</v>
          </cell>
          <cell r="C58" t="str">
            <v>N</v>
          </cell>
          <cell r="D58" t="str">
            <v>T</v>
          </cell>
          <cell r="E58" t="str">
            <v>Chaiso - Kamteteka</v>
          </cell>
          <cell r="F58" t="str">
            <v>S112</v>
          </cell>
          <cell r="G58">
            <v>1</v>
          </cell>
          <cell r="H58">
            <v>7.1</v>
          </cell>
          <cell r="I58" t="str">
            <v>F</v>
          </cell>
          <cell r="J58" t="str">
            <v>MZIMBA</v>
          </cell>
          <cell r="K58">
            <v>4</v>
          </cell>
        </row>
        <row r="59">
          <cell r="A59" t="str">
            <v>RS 206</v>
          </cell>
          <cell r="B59">
            <v>28</v>
          </cell>
          <cell r="C59" t="str">
            <v>N</v>
          </cell>
          <cell r="D59" t="str">
            <v>T</v>
          </cell>
          <cell r="E59" t="str">
            <v>Kamteteka - Edingeni - Embangweni - Jenda</v>
          </cell>
          <cell r="F59" t="str">
            <v>S112</v>
          </cell>
          <cell r="G59">
            <v>2</v>
          </cell>
          <cell r="H59">
            <v>84</v>
          </cell>
          <cell r="I59" t="str">
            <v>F</v>
          </cell>
          <cell r="J59" t="str">
            <v>MZIMBA</v>
          </cell>
          <cell r="K59">
            <v>4</v>
          </cell>
        </row>
        <row r="60">
          <cell r="A60" t="str">
            <v>RS 207</v>
          </cell>
          <cell r="B60">
            <v>29</v>
          </cell>
          <cell r="C60" t="str">
            <v>N</v>
          </cell>
          <cell r="D60" t="str">
            <v>T</v>
          </cell>
          <cell r="E60" t="str">
            <v>Rumphi River - Luwelezi - Kakwale River</v>
          </cell>
          <cell r="F60" t="str">
            <v>S113</v>
          </cell>
          <cell r="G60">
            <v>1</v>
          </cell>
          <cell r="H60">
            <v>44.9</v>
          </cell>
          <cell r="I60" t="str">
            <v>H</v>
          </cell>
          <cell r="J60" t="str">
            <v>NKHATA BAY</v>
          </cell>
          <cell r="K60">
            <v>4</v>
          </cell>
        </row>
        <row r="61">
          <cell r="A61" t="str">
            <v>RS 226</v>
          </cell>
          <cell r="B61">
            <v>48</v>
          </cell>
          <cell r="C61" t="str">
            <v>C</v>
          </cell>
          <cell r="D61" t="str">
            <v>T</v>
          </cell>
          <cell r="E61" t="str">
            <v>Kachinda - Chimaliro Police</v>
          </cell>
          <cell r="F61" t="str">
            <v>S113</v>
          </cell>
          <cell r="G61">
            <v>2</v>
          </cell>
          <cell r="H61">
            <v>13</v>
          </cell>
          <cell r="I61" t="str">
            <v>F</v>
          </cell>
          <cell r="J61" t="str">
            <v>KASUNGU</v>
          </cell>
          <cell r="K61">
            <v>4</v>
          </cell>
        </row>
        <row r="62">
          <cell r="A62" t="str">
            <v>RS 229</v>
          </cell>
          <cell r="B62">
            <v>51</v>
          </cell>
          <cell r="C62" t="str">
            <v>C</v>
          </cell>
          <cell r="D62" t="str">
            <v>T</v>
          </cell>
          <cell r="E62" t="str">
            <v>Kasungu - Lifupa (Kasungu National Park)</v>
          </cell>
          <cell r="F62" t="str">
            <v>S114</v>
          </cell>
          <cell r="G62">
            <v>1</v>
          </cell>
          <cell r="H62">
            <v>47</v>
          </cell>
          <cell r="I62" t="str">
            <v>F</v>
          </cell>
          <cell r="J62" t="str">
            <v>KASUNGU</v>
          </cell>
          <cell r="K62">
            <v>5</v>
          </cell>
        </row>
        <row r="63">
          <cell r="A63" t="str">
            <v>RS 218</v>
          </cell>
          <cell r="B63">
            <v>40</v>
          </cell>
          <cell r="C63" t="str">
            <v>C</v>
          </cell>
          <cell r="D63" t="str">
            <v>T</v>
          </cell>
          <cell r="E63" t="str">
            <v>Zidunge - Senga</v>
          </cell>
          <cell r="F63" t="str">
            <v>S115</v>
          </cell>
          <cell r="G63">
            <v>1</v>
          </cell>
          <cell r="H63">
            <v>8.3000000000000007</v>
          </cell>
          <cell r="I63" t="str">
            <v>F</v>
          </cell>
          <cell r="J63" t="str">
            <v>DOWA</v>
          </cell>
          <cell r="K63">
            <v>6</v>
          </cell>
          <cell r="L63" t="str">
            <v>Changed designation from M16 to S115</v>
          </cell>
        </row>
        <row r="64">
          <cell r="A64" t="str">
            <v>RS 233</v>
          </cell>
          <cell r="B64">
            <v>55</v>
          </cell>
          <cell r="C64" t="str">
            <v>C</v>
          </cell>
          <cell r="D64" t="str">
            <v>T</v>
          </cell>
          <cell r="E64" t="str">
            <v>Senga - Dangaliro</v>
          </cell>
          <cell r="F64" t="str">
            <v>S115</v>
          </cell>
          <cell r="G64">
            <v>2</v>
          </cell>
          <cell r="H64">
            <v>10.7</v>
          </cell>
          <cell r="I64" t="str">
            <v>F</v>
          </cell>
          <cell r="J64" t="str">
            <v>DOWA</v>
          </cell>
          <cell r="K64">
            <v>6</v>
          </cell>
        </row>
        <row r="65">
          <cell r="A65" t="str">
            <v>RS 232</v>
          </cell>
          <cell r="B65">
            <v>54</v>
          </cell>
          <cell r="C65" t="str">
            <v>C</v>
          </cell>
          <cell r="D65" t="str">
            <v>T</v>
          </cell>
          <cell r="E65" t="str">
            <v>Dangaliro - Mkulumimba</v>
          </cell>
          <cell r="F65" t="str">
            <v>S115</v>
          </cell>
          <cell r="G65">
            <v>3</v>
          </cell>
          <cell r="H65">
            <v>15.4</v>
          </cell>
          <cell r="I65" t="str">
            <v>F</v>
          </cell>
          <cell r="J65" t="str">
            <v>DOWA</v>
          </cell>
          <cell r="K65">
            <v>6</v>
          </cell>
        </row>
        <row r="66">
          <cell r="A66" t="str">
            <v>RS 231</v>
          </cell>
          <cell r="B66">
            <v>53</v>
          </cell>
          <cell r="C66" t="str">
            <v>C</v>
          </cell>
          <cell r="D66" t="str">
            <v>T</v>
          </cell>
          <cell r="E66" t="str">
            <v>Mkulumimba - Bua River Bridge</v>
          </cell>
          <cell r="F66" t="str">
            <v>S115</v>
          </cell>
          <cell r="G66">
            <v>4</v>
          </cell>
          <cell r="H66">
            <v>13</v>
          </cell>
          <cell r="I66" t="str">
            <v>F</v>
          </cell>
          <cell r="J66" t="str">
            <v>DOWA &amp; LILONGWE</v>
          </cell>
          <cell r="K66">
            <v>6</v>
          </cell>
        </row>
        <row r="67">
          <cell r="A67" t="str">
            <v>RS 238</v>
          </cell>
          <cell r="B67">
            <v>60</v>
          </cell>
          <cell r="C67" t="str">
            <v>C</v>
          </cell>
          <cell r="D67" t="str">
            <v>T</v>
          </cell>
          <cell r="E67" t="str">
            <v>Mpala T.C. - Ganondo</v>
          </cell>
          <cell r="F67" t="str">
            <v>S116</v>
          </cell>
          <cell r="G67">
            <v>1</v>
          </cell>
          <cell r="H67">
            <v>3.8</v>
          </cell>
          <cell r="I67" t="str">
            <v>F</v>
          </cell>
          <cell r="J67" t="str">
            <v>NTCHISI</v>
          </cell>
          <cell r="K67">
            <v>5</v>
          </cell>
        </row>
        <row r="68">
          <cell r="A68" t="str">
            <v>RS 241</v>
          </cell>
          <cell r="B68">
            <v>63</v>
          </cell>
          <cell r="C68" t="str">
            <v>C</v>
          </cell>
          <cell r="D68" t="str">
            <v>T</v>
          </cell>
          <cell r="E68" t="str">
            <v>Gonondo - Kamsonga</v>
          </cell>
          <cell r="F68" t="str">
            <v>S116</v>
          </cell>
          <cell r="G68">
            <v>2</v>
          </cell>
          <cell r="H68">
            <v>12.3</v>
          </cell>
          <cell r="I68" t="str">
            <v>R</v>
          </cell>
          <cell r="J68" t="str">
            <v>NTCHISI</v>
          </cell>
          <cell r="K68">
            <v>5</v>
          </cell>
        </row>
        <row r="69">
          <cell r="A69" t="str">
            <v>RS 243</v>
          </cell>
          <cell r="B69">
            <v>65</v>
          </cell>
          <cell r="C69" t="str">
            <v>C</v>
          </cell>
          <cell r="D69" t="str">
            <v>T</v>
          </cell>
          <cell r="E69" t="str">
            <v>Kamsonga - Muchala</v>
          </cell>
          <cell r="F69" t="str">
            <v>S116</v>
          </cell>
          <cell r="G69">
            <v>3</v>
          </cell>
          <cell r="H69">
            <v>12.3</v>
          </cell>
          <cell r="I69" t="str">
            <v>R</v>
          </cell>
          <cell r="J69" t="str">
            <v>NTCHISI</v>
          </cell>
          <cell r="K69">
            <v>5</v>
          </cell>
        </row>
        <row r="70">
          <cell r="A70" t="str">
            <v>RS 236</v>
          </cell>
          <cell r="B70">
            <v>58</v>
          </cell>
          <cell r="C70" t="str">
            <v>C</v>
          </cell>
          <cell r="D70" t="str">
            <v>T</v>
          </cell>
          <cell r="E70" t="str">
            <v>Muchala - Chisoso</v>
          </cell>
          <cell r="F70" t="str">
            <v>S116</v>
          </cell>
          <cell r="G70">
            <v>4</v>
          </cell>
          <cell r="H70">
            <v>5.5</v>
          </cell>
          <cell r="I70" t="str">
            <v>F</v>
          </cell>
          <cell r="J70" t="str">
            <v>NTCHISI</v>
          </cell>
          <cell r="K70">
            <v>5</v>
          </cell>
        </row>
        <row r="71">
          <cell r="A71" t="str">
            <v>RS 242</v>
          </cell>
          <cell r="B71">
            <v>64</v>
          </cell>
          <cell r="C71" t="str">
            <v>C</v>
          </cell>
          <cell r="D71" t="str">
            <v>T</v>
          </cell>
          <cell r="E71" t="str">
            <v>Chisoso - Madisi</v>
          </cell>
          <cell r="F71" t="str">
            <v>S116</v>
          </cell>
          <cell r="G71">
            <v>5</v>
          </cell>
          <cell r="H71">
            <v>16.100000000000001</v>
          </cell>
          <cell r="I71" t="str">
            <v>F</v>
          </cell>
          <cell r="J71" t="str">
            <v>DOWA</v>
          </cell>
          <cell r="K71">
            <v>5</v>
          </cell>
        </row>
        <row r="72">
          <cell r="A72" t="str">
            <v>RS 234</v>
          </cell>
          <cell r="B72">
            <v>56</v>
          </cell>
          <cell r="C72" t="str">
            <v>C</v>
          </cell>
          <cell r="D72" t="str">
            <v>T</v>
          </cell>
          <cell r="E72" t="str">
            <v>Madisi - Bua River Bridge</v>
          </cell>
          <cell r="F72" t="str">
            <v>S116</v>
          </cell>
          <cell r="G72">
            <v>6</v>
          </cell>
          <cell r="H72">
            <v>14.1</v>
          </cell>
          <cell r="I72" t="str">
            <v>F</v>
          </cell>
          <cell r="J72" t="str">
            <v>DOWA</v>
          </cell>
          <cell r="K72">
            <v>5</v>
          </cell>
        </row>
        <row r="73">
          <cell r="A73" t="str">
            <v>RS 239</v>
          </cell>
          <cell r="B73">
            <v>61</v>
          </cell>
          <cell r="C73" t="str">
            <v>C</v>
          </cell>
          <cell r="D73" t="str">
            <v>T</v>
          </cell>
          <cell r="E73" t="str">
            <v>Matutu - Kamuzu School</v>
          </cell>
          <cell r="F73" t="str">
            <v>S116</v>
          </cell>
          <cell r="G73">
            <v>9</v>
          </cell>
          <cell r="H73">
            <v>21.6</v>
          </cell>
          <cell r="I73" t="str">
            <v>F</v>
          </cell>
          <cell r="J73" t="str">
            <v>MCHINJI</v>
          </cell>
          <cell r="K73">
            <v>6</v>
          </cell>
          <cell r="L73" t="str">
            <v>Changed designation from S120 to T349</v>
          </cell>
        </row>
        <row r="74">
          <cell r="A74" t="str">
            <v>RS 246</v>
          </cell>
          <cell r="B74">
            <v>68</v>
          </cell>
          <cell r="C74" t="str">
            <v>C</v>
          </cell>
          <cell r="D74" t="str">
            <v>T</v>
          </cell>
          <cell r="E74" t="str">
            <v xml:space="preserve"> Mbabzi - Chilobwe - Santhe</v>
          </cell>
          <cell r="F74" t="str">
            <v>S117</v>
          </cell>
          <cell r="G74">
            <v>3</v>
          </cell>
          <cell r="H74">
            <v>93</v>
          </cell>
          <cell r="I74" t="str">
            <v>F</v>
          </cell>
          <cell r="J74" t="str">
            <v>LL &amp; MC &amp; KU</v>
          </cell>
          <cell r="K74" t="str">
            <v>6,5</v>
          </cell>
        </row>
        <row r="75">
          <cell r="A75" t="str">
            <v>RS 247</v>
          </cell>
          <cell r="B75">
            <v>69</v>
          </cell>
          <cell r="C75" t="str">
            <v>C</v>
          </cell>
          <cell r="D75" t="str">
            <v>T</v>
          </cell>
          <cell r="E75" t="str">
            <v>Changuluwa - Kachenje School</v>
          </cell>
          <cell r="F75" t="str">
            <v>S118</v>
          </cell>
          <cell r="G75">
            <v>1</v>
          </cell>
          <cell r="H75">
            <v>21</v>
          </cell>
          <cell r="I75" t="str">
            <v>F</v>
          </cell>
          <cell r="J75" t="str">
            <v>KASUNGU</v>
          </cell>
          <cell r="K75">
            <v>5</v>
          </cell>
        </row>
        <row r="76">
          <cell r="A76" t="str">
            <v>RS 250</v>
          </cell>
          <cell r="B76">
            <v>72</v>
          </cell>
          <cell r="C76" t="str">
            <v>C</v>
          </cell>
          <cell r="D76" t="str">
            <v>T</v>
          </cell>
          <cell r="E76" t="str">
            <v>Kamutu Village - Mavumbi River</v>
          </cell>
          <cell r="F76" t="str">
            <v>S118</v>
          </cell>
          <cell r="G76">
            <v>2</v>
          </cell>
          <cell r="H76">
            <v>5</v>
          </cell>
          <cell r="I76" t="str">
            <v>F</v>
          </cell>
          <cell r="J76" t="str">
            <v>KASUNGU</v>
          </cell>
          <cell r="K76">
            <v>5</v>
          </cell>
        </row>
        <row r="77">
          <cell r="A77" t="str">
            <v>RS 249</v>
          </cell>
          <cell r="B77">
            <v>71</v>
          </cell>
          <cell r="C77" t="str">
            <v>C</v>
          </cell>
          <cell r="D77" t="str">
            <v>T</v>
          </cell>
          <cell r="E77" t="str">
            <v>Mavumbi River - G.F. Estate 54</v>
          </cell>
          <cell r="F77" t="str">
            <v>S118</v>
          </cell>
          <cell r="G77">
            <v>3</v>
          </cell>
          <cell r="H77">
            <v>11</v>
          </cell>
          <cell r="I77" t="str">
            <v>F</v>
          </cell>
          <cell r="J77" t="str">
            <v>KASUNGU</v>
          </cell>
          <cell r="K77">
            <v>5</v>
          </cell>
        </row>
        <row r="78">
          <cell r="A78" t="str">
            <v>RS 248</v>
          </cell>
          <cell r="B78">
            <v>70</v>
          </cell>
          <cell r="C78" t="str">
            <v>C</v>
          </cell>
          <cell r="D78" t="str">
            <v>T</v>
          </cell>
          <cell r="E78" t="str">
            <v>Plaka Estate - G.F. Estate 54</v>
          </cell>
          <cell r="F78" t="str">
            <v>S118</v>
          </cell>
          <cell r="G78">
            <v>4</v>
          </cell>
          <cell r="H78">
            <v>26.4</v>
          </cell>
          <cell r="I78" t="str">
            <v>F</v>
          </cell>
          <cell r="J78" t="str">
            <v>MCHINJI</v>
          </cell>
          <cell r="K78">
            <v>5</v>
          </cell>
        </row>
        <row r="79">
          <cell r="A79" t="str">
            <v>RS 253</v>
          </cell>
          <cell r="B79">
            <v>75</v>
          </cell>
          <cell r="C79" t="str">
            <v>C</v>
          </cell>
          <cell r="D79" t="str">
            <v>T</v>
          </cell>
          <cell r="E79" t="str">
            <v>Mkanda - Chawala T.C.</v>
          </cell>
          <cell r="F79" t="str">
            <v>S118</v>
          </cell>
          <cell r="G79">
            <v>5</v>
          </cell>
          <cell r="H79">
            <v>9.3000000000000007</v>
          </cell>
          <cell r="I79" t="str">
            <v>F</v>
          </cell>
          <cell r="J79" t="str">
            <v>MCHINJI</v>
          </cell>
          <cell r="K79" t="str">
            <v>5,6</v>
          </cell>
        </row>
        <row r="80">
          <cell r="A80" t="str">
            <v>RS 251</v>
          </cell>
          <cell r="B80">
            <v>73</v>
          </cell>
          <cell r="C80" t="str">
            <v>C</v>
          </cell>
          <cell r="D80" t="str">
            <v>T</v>
          </cell>
          <cell r="E80" t="str">
            <v>Chawala T.C. - Mchinji School</v>
          </cell>
          <cell r="F80" t="str">
            <v>S118</v>
          </cell>
          <cell r="G80">
            <v>6</v>
          </cell>
          <cell r="H80">
            <v>15.5</v>
          </cell>
          <cell r="I80" t="str">
            <v>F</v>
          </cell>
          <cell r="J80" t="str">
            <v>MCHINJI</v>
          </cell>
          <cell r="K80">
            <v>6</v>
          </cell>
        </row>
        <row r="81">
          <cell r="A81" t="str">
            <v>RS 252</v>
          </cell>
          <cell r="B81">
            <v>74</v>
          </cell>
          <cell r="C81" t="str">
            <v>C</v>
          </cell>
          <cell r="D81" t="str">
            <v>T</v>
          </cell>
          <cell r="E81" t="str">
            <v>Mchinji School - Kamuzu School</v>
          </cell>
          <cell r="F81" t="str">
            <v>S118</v>
          </cell>
          <cell r="G81">
            <v>7</v>
          </cell>
          <cell r="H81">
            <v>10.8</v>
          </cell>
          <cell r="I81" t="str">
            <v>F</v>
          </cell>
          <cell r="J81" t="str">
            <v>MCHINJI</v>
          </cell>
          <cell r="K81">
            <v>6</v>
          </cell>
          <cell r="L81" t="str">
            <v>Changed designation from M2 to M4</v>
          </cell>
        </row>
        <row r="82">
          <cell r="A82" t="str">
            <v>RS 257</v>
          </cell>
          <cell r="B82">
            <v>79</v>
          </cell>
          <cell r="C82" t="str">
            <v>C</v>
          </cell>
          <cell r="D82" t="str">
            <v>T</v>
          </cell>
          <cell r="E82" t="str">
            <v>Mchepa - Kaniche</v>
          </cell>
          <cell r="F82" t="str">
            <v>S119</v>
          </cell>
          <cell r="G82">
            <v>1</v>
          </cell>
          <cell r="H82">
            <v>3.4</v>
          </cell>
          <cell r="I82" t="str">
            <v>R</v>
          </cell>
          <cell r="J82" t="str">
            <v>SALIMA</v>
          </cell>
          <cell r="K82">
            <v>7</v>
          </cell>
        </row>
        <row r="83">
          <cell r="A83" t="str">
            <v>RS 256</v>
          </cell>
          <cell r="B83">
            <v>78</v>
          </cell>
          <cell r="C83" t="str">
            <v>C</v>
          </cell>
          <cell r="D83" t="str">
            <v>T</v>
          </cell>
          <cell r="E83" t="str">
            <v>Kaniche - Kanongola</v>
          </cell>
          <cell r="F83" t="str">
            <v>S119</v>
          </cell>
          <cell r="G83">
            <v>2</v>
          </cell>
          <cell r="H83">
            <v>9.4</v>
          </cell>
          <cell r="I83" t="str">
            <v>R</v>
          </cell>
          <cell r="J83" t="str">
            <v>SALIMA</v>
          </cell>
          <cell r="K83">
            <v>6</v>
          </cell>
        </row>
        <row r="84">
          <cell r="A84" t="str">
            <v>RS 255</v>
          </cell>
          <cell r="B84">
            <v>77</v>
          </cell>
          <cell r="C84" t="str">
            <v>C</v>
          </cell>
          <cell r="D84" t="str">
            <v>T</v>
          </cell>
          <cell r="E84" t="str">
            <v>Kanongola - Mafika</v>
          </cell>
          <cell r="F84" t="str">
            <v>S119</v>
          </cell>
          <cell r="G84">
            <v>3</v>
          </cell>
          <cell r="H84">
            <v>18.899999999999999</v>
          </cell>
          <cell r="I84" t="str">
            <v>R</v>
          </cell>
          <cell r="J84" t="str">
            <v>DOWA</v>
          </cell>
          <cell r="K84">
            <v>6</v>
          </cell>
        </row>
        <row r="85">
          <cell r="A85" t="str">
            <v>RS 254</v>
          </cell>
          <cell r="B85">
            <v>76</v>
          </cell>
          <cell r="C85" t="str">
            <v>C</v>
          </cell>
          <cell r="D85" t="str">
            <v>T</v>
          </cell>
          <cell r="E85" t="str">
            <v>Mafika - Lipanda</v>
          </cell>
          <cell r="F85" t="str">
            <v>S119</v>
          </cell>
          <cell r="G85">
            <v>4</v>
          </cell>
          <cell r="H85">
            <v>16.899999999999999</v>
          </cell>
          <cell r="I85" t="str">
            <v>R</v>
          </cell>
          <cell r="J85" t="str">
            <v>DOWA</v>
          </cell>
          <cell r="K85">
            <v>6</v>
          </cell>
        </row>
        <row r="86">
          <cell r="A86" t="str">
            <v>RS 272</v>
          </cell>
          <cell r="B86">
            <v>94</v>
          </cell>
          <cell r="C86" t="str">
            <v>C</v>
          </cell>
          <cell r="D86" t="str">
            <v>T</v>
          </cell>
          <cell r="E86" t="str">
            <v>Kachinchezo - Kachiwele</v>
          </cell>
          <cell r="F86" t="str">
            <v>S121</v>
          </cell>
          <cell r="G86">
            <v>1</v>
          </cell>
          <cell r="H86">
            <v>7.6</v>
          </cell>
          <cell r="I86" t="str">
            <v>F</v>
          </cell>
          <cell r="J86" t="str">
            <v>LILONGWE</v>
          </cell>
          <cell r="K86">
            <v>6</v>
          </cell>
        </row>
        <row r="87">
          <cell r="A87" t="str">
            <v>RS 267</v>
          </cell>
          <cell r="B87">
            <v>89</v>
          </cell>
          <cell r="C87" t="str">
            <v>C</v>
          </cell>
          <cell r="D87" t="str">
            <v>T</v>
          </cell>
          <cell r="E87" t="str">
            <v>Kachiwele - Lilongwe river</v>
          </cell>
          <cell r="F87" t="str">
            <v>S121</v>
          </cell>
          <cell r="G87">
            <v>2</v>
          </cell>
          <cell r="H87">
            <v>6.7</v>
          </cell>
          <cell r="I87" t="str">
            <v>H</v>
          </cell>
          <cell r="J87" t="str">
            <v>LILONGWE</v>
          </cell>
          <cell r="K87">
            <v>6</v>
          </cell>
        </row>
        <row r="88">
          <cell r="A88" t="str">
            <v>RS 268</v>
          </cell>
          <cell r="B88">
            <v>90</v>
          </cell>
          <cell r="C88" t="str">
            <v>C</v>
          </cell>
          <cell r="D88" t="str">
            <v>T</v>
          </cell>
          <cell r="E88" t="str">
            <v>Lilongwe River - Milungu</v>
          </cell>
          <cell r="F88" t="str">
            <v>S121</v>
          </cell>
          <cell r="G88">
            <v>3</v>
          </cell>
          <cell r="H88">
            <v>15.5</v>
          </cell>
          <cell r="I88" t="str">
            <v>R</v>
          </cell>
          <cell r="J88" t="str">
            <v>LILONGWE</v>
          </cell>
          <cell r="K88">
            <v>6</v>
          </cell>
          <cell r="L88" t="str">
            <v>Changed designation from D276 to T357</v>
          </cell>
        </row>
        <row r="89">
          <cell r="A89" t="str">
            <v>RS 270</v>
          </cell>
          <cell r="B89">
            <v>92</v>
          </cell>
          <cell r="C89" t="str">
            <v>C</v>
          </cell>
          <cell r="D89" t="str">
            <v>T</v>
          </cell>
          <cell r="E89" t="str">
            <v>Milungu - Chimbalanga</v>
          </cell>
          <cell r="F89" t="str">
            <v>S121</v>
          </cell>
          <cell r="G89">
            <v>4</v>
          </cell>
          <cell r="H89">
            <v>7.3</v>
          </cell>
          <cell r="I89" t="str">
            <v>H</v>
          </cell>
          <cell r="J89" t="str">
            <v>LILONGWE</v>
          </cell>
          <cell r="K89">
            <v>6</v>
          </cell>
          <cell r="L89" t="str">
            <v>Changed designation from T358 to T357</v>
          </cell>
        </row>
        <row r="90">
          <cell r="A90" t="str">
            <v>RS 264</v>
          </cell>
          <cell r="B90">
            <v>86</v>
          </cell>
          <cell r="C90" t="str">
            <v>C</v>
          </cell>
          <cell r="D90" t="str">
            <v>T</v>
          </cell>
          <cell r="E90" t="str">
            <v>Chimbalanga - Mphunzi</v>
          </cell>
          <cell r="F90" t="str">
            <v>S121</v>
          </cell>
          <cell r="G90">
            <v>5</v>
          </cell>
          <cell r="H90">
            <v>4.2</v>
          </cell>
          <cell r="I90" t="str">
            <v>R</v>
          </cell>
          <cell r="J90" t="str">
            <v>LILONGWE</v>
          </cell>
          <cell r="K90">
            <v>6</v>
          </cell>
        </row>
        <row r="91">
          <cell r="A91" t="str">
            <v>RS 262</v>
          </cell>
          <cell r="B91">
            <v>84</v>
          </cell>
          <cell r="C91" t="str">
            <v>C</v>
          </cell>
          <cell r="D91" t="str">
            <v>T</v>
          </cell>
          <cell r="E91" t="str">
            <v>Mphunzi - Mpeya T.C.</v>
          </cell>
          <cell r="F91" t="str">
            <v>S121</v>
          </cell>
          <cell r="G91">
            <v>6</v>
          </cell>
          <cell r="H91">
            <v>5.9</v>
          </cell>
          <cell r="I91" t="str">
            <v>F</v>
          </cell>
          <cell r="J91" t="str">
            <v>LILONGWE</v>
          </cell>
          <cell r="K91">
            <v>6</v>
          </cell>
        </row>
        <row r="92">
          <cell r="A92" t="str">
            <v>RS 269</v>
          </cell>
          <cell r="B92">
            <v>91</v>
          </cell>
          <cell r="C92" t="str">
            <v>C</v>
          </cell>
          <cell r="D92" t="str">
            <v>T</v>
          </cell>
          <cell r="E92" t="str">
            <v>Mpeya T.C. - Chamadenga</v>
          </cell>
          <cell r="F92" t="str">
            <v>S121</v>
          </cell>
          <cell r="G92">
            <v>7</v>
          </cell>
          <cell r="H92">
            <v>6.4</v>
          </cell>
          <cell r="I92" t="str">
            <v>F</v>
          </cell>
          <cell r="J92" t="str">
            <v>LILONGWE</v>
          </cell>
          <cell r="K92">
            <v>6</v>
          </cell>
        </row>
        <row r="93">
          <cell r="A93" t="str">
            <v>RS 273</v>
          </cell>
          <cell r="B93">
            <v>95</v>
          </cell>
          <cell r="C93" t="str">
            <v>C</v>
          </cell>
          <cell r="D93" t="str">
            <v>T</v>
          </cell>
          <cell r="E93" t="str">
            <v>Chamadenga - Kamphata</v>
          </cell>
          <cell r="F93" t="str">
            <v>S121</v>
          </cell>
          <cell r="G93">
            <v>8</v>
          </cell>
          <cell r="H93">
            <v>9.1</v>
          </cell>
          <cell r="I93" t="str">
            <v>F</v>
          </cell>
          <cell r="J93" t="str">
            <v>LILONGWE</v>
          </cell>
          <cell r="K93">
            <v>6</v>
          </cell>
        </row>
        <row r="94">
          <cell r="A94" t="str">
            <v>RS 278</v>
          </cell>
          <cell r="B94">
            <v>100</v>
          </cell>
          <cell r="C94" t="str">
            <v>C</v>
          </cell>
          <cell r="D94" t="str">
            <v>T</v>
          </cell>
          <cell r="E94" t="str">
            <v>Kaunda Road - Lingadzi River</v>
          </cell>
          <cell r="F94" t="str">
            <v>S123</v>
          </cell>
          <cell r="G94">
            <v>1</v>
          </cell>
          <cell r="H94">
            <v>6</v>
          </cell>
          <cell r="I94" t="str">
            <v>F</v>
          </cell>
          <cell r="J94" t="str">
            <v>LILONGWE</v>
          </cell>
          <cell r="K94">
            <v>6</v>
          </cell>
          <cell r="L94" t="str">
            <v>Section start changed to exclude Chendawaka Road (RS 154)</v>
          </cell>
        </row>
        <row r="95">
          <cell r="A95" t="str">
            <v>RS 277</v>
          </cell>
          <cell r="B95">
            <v>99</v>
          </cell>
          <cell r="C95" t="str">
            <v>C</v>
          </cell>
          <cell r="D95" t="str">
            <v>T</v>
          </cell>
          <cell r="E95" t="str">
            <v>Lingadzi River - Chitedze</v>
          </cell>
          <cell r="F95" t="str">
            <v>S123</v>
          </cell>
          <cell r="G95">
            <v>2</v>
          </cell>
          <cell r="H95">
            <v>15.2</v>
          </cell>
          <cell r="I95" t="str">
            <v>F</v>
          </cell>
          <cell r="J95" t="str">
            <v>LILONGWE</v>
          </cell>
          <cell r="K95">
            <v>6</v>
          </cell>
        </row>
        <row r="96">
          <cell r="A96" t="str">
            <v>RS 282</v>
          </cell>
          <cell r="B96">
            <v>104</v>
          </cell>
          <cell r="C96" t="str">
            <v>C</v>
          </cell>
          <cell r="D96" t="str">
            <v>T</v>
          </cell>
          <cell r="E96" t="str">
            <v>Likuni - Kakoma</v>
          </cell>
          <cell r="F96" t="str">
            <v>S124</v>
          </cell>
          <cell r="G96">
            <v>3</v>
          </cell>
          <cell r="H96">
            <v>10.3</v>
          </cell>
          <cell r="I96" t="str">
            <v>F</v>
          </cell>
          <cell r="J96" t="str">
            <v>LILONGWE</v>
          </cell>
          <cell r="K96">
            <v>6</v>
          </cell>
        </row>
        <row r="97">
          <cell r="A97" t="str">
            <v>RS 292</v>
          </cell>
          <cell r="B97">
            <v>114</v>
          </cell>
          <cell r="C97" t="str">
            <v>C</v>
          </cell>
          <cell r="D97" t="str">
            <v>T</v>
          </cell>
          <cell r="E97" t="str">
            <v>Kakoma - Malingunde</v>
          </cell>
          <cell r="F97" t="str">
            <v>S124</v>
          </cell>
          <cell r="G97">
            <v>4</v>
          </cell>
          <cell r="H97">
            <v>7</v>
          </cell>
          <cell r="I97" t="str">
            <v>F</v>
          </cell>
          <cell r="J97" t="str">
            <v>LILONGWE</v>
          </cell>
          <cell r="K97">
            <v>6</v>
          </cell>
          <cell r="L97" t="str">
            <v>Changed junction road designation from M5</v>
          </cell>
        </row>
        <row r="98">
          <cell r="A98" t="str">
            <v>RS 564</v>
          </cell>
          <cell r="B98">
            <v>386</v>
          </cell>
          <cell r="C98" t="str">
            <v>C</v>
          </cell>
          <cell r="D98" t="str">
            <v>T</v>
          </cell>
          <cell r="E98" t="str">
            <v>Malingunde - Kabyzala Village</v>
          </cell>
          <cell r="F98" t="str">
            <v>S124</v>
          </cell>
          <cell r="G98">
            <v>5</v>
          </cell>
          <cell r="H98">
            <v>3.3</v>
          </cell>
          <cell r="I98" t="str">
            <v>F</v>
          </cell>
          <cell r="J98" t="str">
            <v>LILONGWE</v>
          </cell>
          <cell r="K98">
            <v>6</v>
          </cell>
          <cell r="L98" t="str">
            <v>Changed designation from T345 to S124</v>
          </cell>
        </row>
        <row r="99">
          <cell r="A99" t="str">
            <v>RS 271</v>
          </cell>
          <cell r="B99">
            <v>93</v>
          </cell>
          <cell r="C99" t="str">
            <v>C</v>
          </cell>
          <cell r="D99" t="str">
            <v>T</v>
          </cell>
          <cell r="E99" t="str">
            <v>Kabyzala Village - Nsengere</v>
          </cell>
          <cell r="F99" t="str">
            <v>S124</v>
          </cell>
          <cell r="G99">
            <v>6</v>
          </cell>
          <cell r="H99">
            <v>14.6</v>
          </cell>
          <cell r="I99" t="str">
            <v>F</v>
          </cell>
          <cell r="J99" t="str">
            <v>LILONGWE</v>
          </cell>
          <cell r="K99">
            <v>6</v>
          </cell>
        </row>
        <row r="100">
          <cell r="A100" t="str">
            <v>RS 279</v>
          </cell>
          <cell r="B100">
            <v>101</v>
          </cell>
          <cell r="C100" t="str">
            <v>C</v>
          </cell>
          <cell r="D100" t="str">
            <v>T</v>
          </cell>
          <cell r="E100" t="str">
            <v>Mitundu - Sitima</v>
          </cell>
          <cell r="F100" t="str">
            <v>S124</v>
          </cell>
          <cell r="G100">
            <v>7</v>
          </cell>
          <cell r="H100">
            <v>3.6</v>
          </cell>
          <cell r="I100" t="str">
            <v>F</v>
          </cell>
          <cell r="J100" t="str">
            <v>LILONGWE</v>
          </cell>
          <cell r="K100">
            <v>6</v>
          </cell>
        </row>
        <row r="101">
          <cell r="A101" t="str">
            <v>RS 661</v>
          </cell>
          <cell r="B101">
            <v>483</v>
          </cell>
          <cell r="C101" t="str">
            <v>C</v>
          </cell>
          <cell r="D101" t="str">
            <v>T</v>
          </cell>
          <cell r="E101" t="str">
            <v>Sitima - Kambalanje</v>
          </cell>
          <cell r="F101" t="str">
            <v>S124</v>
          </cell>
          <cell r="G101">
            <v>8</v>
          </cell>
          <cell r="H101">
            <v>1.9</v>
          </cell>
          <cell r="I101" t="str">
            <v>F</v>
          </cell>
          <cell r="J101" t="str">
            <v>LILONGWE</v>
          </cell>
          <cell r="K101">
            <v>6</v>
          </cell>
          <cell r="L101" t="str">
            <v>Changed designation from D198 to S124</v>
          </cell>
        </row>
        <row r="102">
          <cell r="A102" t="str">
            <v>RS 284</v>
          </cell>
          <cell r="B102">
            <v>106</v>
          </cell>
          <cell r="C102" t="str">
            <v>C</v>
          </cell>
          <cell r="D102" t="str">
            <v>T</v>
          </cell>
          <cell r="E102" t="str">
            <v>Kambalanje - Chisendera</v>
          </cell>
          <cell r="F102" t="str">
            <v>S124</v>
          </cell>
          <cell r="G102">
            <v>9</v>
          </cell>
          <cell r="H102">
            <v>7.5</v>
          </cell>
          <cell r="I102" t="str">
            <v>F</v>
          </cell>
          <cell r="J102" t="str">
            <v>LILONGWE</v>
          </cell>
          <cell r="K102">
            <v>6</v>
          </cell>
        </row>
        <row r="103">
          <cell r="A103" t="str">
            <v>RS 286</v>
          </cell>
          <cell r="B103">
            <v>108</v>
          </cell>
          <cell r="C103" t="str">
            <v>C</v>
          </cell>
          <cell r="D103" t="str">
            <v>T</v>
          </cell>
          <cell r="E103" t="str">
            <v>Chisendera - Mlozesi</v>
          </cell>
          <cell r="F103" t="str">
            <v>S124</v>
          </cell>
          <cell r="G103">
            <v>10</v>
          </cell>
          <cell r="H103">
            <v>4.9000000000000004</v>
          </cell>
          <cell r="I103" t="str">
            <v>F</v>
          </cell>
          <cell r="J103" t="str">
            <v>LILONGWE</v>
          </cell>
          <cell r="K103">
            <v>6</v>
          </cell>
        </row>
        <row r="104">
          <cell r="A104" t="str">
            <v>RS 288</v>
          </cell>
          <cell r="B104">
            <v>110</v>
          </cell>
          <cell r="C104" t="str">
            <v>C</v>
          </cell>
          <cell r="D104" t="str">
            <v>T</v>
          </cell>
          <cell r="E104" t="str">
            <v>Mlozesi - Diamphwe River</v>
          </cell>
          <cell r="F104" t="str">
            <v>S124</v>
          </cell>
          <cell r="G104">
            <v>11</v>
          </cell>
          <cell r="H104">
            <v>4.5</v>
          </cell>
          <cell r="I104" t="str">
            <v>F</v>
          </cell>
          <cell r="J104" t="str">
            <v>LILONGWE</v>
          </cell>
          <cell r="K104">
            <v>6</v>
          </cell>
        </row>
        <row r="105">
          <cell r="A105" t="str">
            <v>RS 290</v>
          </cell>
          <cell r="B105">
            <v>112</v>
          </cell>
          <cell r="C105" t="str">
            <v>C</v>
          </cell>
          <cell r="D105" t="str">
            <v>T</v>
          </cell>
          <cell r="E105" t="str">
            <v>Diamphwe River - Chidewere</v>
          </cell>
          <cell r="F105" t="str">
            <v>S124</v>
          </cell>
          <cell r="G105">
            <v>12</v>
          </cell>
          <cell r="H105">
            <v>9.4</v>
          </cell>
          <cell r="I105" t="str">
            <v>F</v>
          </cell>
          <cell r="J105" t="str">
            <v>DEDZA</v>
          </cell>
          <cell r="K105">
            <v>6</v>
          </cell>
        </row>
        <row r="106">
          <cell r="A106" t="str">
            <v>RS 281</v>
          </cell>
          <cell r="B106">
            <v>103</v>
          </cell>
          <cell r="C106" t="str">
            <v>C</v>
          </cell>
          <cell r="D106" t="str">
            <v>T</v>
          </cell>
          <cell r="E106" t="str">
            <v>Chidewere - Lobi</v>
          </cell>
          <cell r="F106" t="str">
            <v>S124</v>
          </cell>
          <cell r="G106">
            <v>13</v>
          </cell>
          <cell r="H106">
            <v>13</v>
          </cell>
          <cell r="I106" t="str">
            <v>F</v>
          </cell>
          <cell r="J106" t="str">
            <v>DEDZA</v>
          </cell>
          <cell r="K106">
            <v>6</v>
          </cell>
          <cell r="L106" t="str">
            <v>Changed designation from D209 to T366</v>
          </cell>
        </row>
        <row r="107">
          <cell r="A107" t="str">
            <v>RS 283</v>
          </cell>
          <cell r="B107">
            <v>105</v>
          </cell>
          <cell r="C107" t="str">
            <v>C</v>
          </cell>
          <cell r="D107" t="str">
            <v>T</v>
          </cell>
          <cell r="E107" t="str">
            <v>Lobi - Maonde</v>
          </cell>
          <cell r="F107" t="str">
            <v>S124</v>
          </cell>
          <cell r="G107">
            <v>14</v>
          </cell>
          <cell r="H107">
            <v>5.9</v>
          </cell>
          <cell r="I107" t="str">
            <v>F</v>
          </cell>
          <cell r="J107" t="str">
            <v>DEDZA</v>
          </cell>
          <cell r="K107">
            <v>6</v>
          </cell>
        </row>
        <row r="108">
          <cell r="A108" t="str">
            <v>RS 280</v>
          </cell>
          <cell r="B108">
            <v>102</v>
          </cell>
          <cell r="C108" t="str">
            <v>C</v>
          </cell>
          <cell r="D108" t="str">
            <v>T</v>
          </cell>
          <cell r="E108" t="str">
            <v>Maonde - Kaliyodzi</v>
          </cell>
          <cell r="F108" t="str">
            <v>S124</v>
          </cell>
          <cell r="G108">
            <v>15</v>
          </cell>
          <cell r="H108">
            <v>1.8</v>
          </cell>
          <cell r="I108" t="str">
            <v>F</v>
          </cell>
          <cell r="J108" t="str">
            <v>DEDZA</v>
          </cell>
          <cell r="K108">
            <v>6</v>
          </cell>
          <cell r="L108" t="str">
            <v>Changed designation from UD to T367.</v>
          </cell>
        </row>
        <row r="109">
          <cell r="A109" t="str">
            <v>RS 291</v>
          </cell>
          <cell r="B109">
            <v>113</v>
          </cell>
          <cell r="C109" t="str">
            <v>C</v>
          </cell>
          <cell r="D109" t="str">
            <v>T</v>
          </cell>
          <cell r="E109" t="str">
            <v>Kaliyodzi - Jumbe</v>
          </cell>
          <cell r="F109" t="str">
            <v>S124</v>
          </cell>
          <cell r="G109">
            <v>16</v>
          </cell>
          <cell r="H109">
            <v>7.8</v>
          </cell>
          <cell r="I109" t="str">
            <v>F</v>
          </cell>
          <cell r="J109" t="str">
            <v>DEDZA</v>
          </cell>
          <cell r="K109">
            <v>6</v>
          </cell>
        </row>
        <row r="110">
          <cell r="A110" t="str">
            <v>RS 285</v>
          </cell>
          <cell r="B110">
            <v>107</v>
          </cell>
          <cell r="C110" t="str">
            <v>C</v>
          </cell>
          <cell r="D110" t="str">
            <v>T</v>
          </cell>
          <cell r="E110" t="str">
            <v>Jumbe - Mchaneka</v>
          </cell>
          <cell r="F110" t="str">
            <v>S124</v>
          </cell>
          <cell r="G110">
            <v>17</v>
          </cell>
          <cell r="H110">
            <v>4.8</v>
          </cell>
          <cell r="I110" t="str">
            <v>F</v>
          </cell>
          <cell r="J110" t="str">
            <v>DEDZA</v>
          </cell>
          <cell r="K110">
            <v>6</v>
          </cell>
        </row>
        <row r="111">
          <cell r="A111" t="str">
            <v>RS 293</v>
          </cell>
          <cell r="B111">
            <v>115</v>
          </cell>
          <cell r="C111" t="str">
            <v>C</v>
          </cell>
          <cell r="D111" t="str">
            <v>T</v>
          </cell>
          <cell r="E111" t="str">
            <v>Bunda - Nsendere</v>
          </cell>
          <cell r="F111" t="str">
            <v>S125</v>
          </cell>
          <cell r="G111">
            <v>3</v>
          </cell>
          <cell r="H111">
            <v>4.5999999999999996</v>
          </cell>
          <cell r="I111" t="str">
            <v>F</v>
          </cell>
          <cell r="J111" t="str">
            <v>LILONGWE</v>
          </cell>
          <cell r="K111">
            <v>6</v>
          </cell>
        </row>
        <row r="112">
          <cell r="A112" t="str">
            <v>RS 296</v>
          </cell>
          <cell r="B112">
            <v>118</v>
          </cell>
          <cell r="C112" t="str">
            <v>C</v>
          </cell>
          <cell r="D112" t="str">
            <v>T</v>
          </cell>
          <cell r="E112" t="str">
            <v>Nsendere - Mitundu</v>
          </cell>
          <cell r="F112" t="str">
            <v>S125</v>
          </cell>
          <cell r="G112">
            <v>4</v>
          </cell>
          <cell r="H112">
            <v>2.7</v>
          </cell>
          <cell r="I112" t="str">
            <v>F</v>
          </cell>
          <cell r="J112" t="str">
            <v>LILONGWE</v>
          </cell>
          <cell r="K112">
            <v>6</v>
          </cell>
        </row>
        <row r="113">
          <cell r="A113" t="str">
            <v>RS 300</v>
          </cell>
          <cell r="B113">
            <v>122</v>
          </cell>
          <cell r="C113" t="str">
            <v>C</v>
          </cell>
          <cell r="D113" t="str">
            <v>T</v>
          </cell>
          <cell r="E113" t="str">
            <v>junction M1 - Thete</v>
          </cell>
          <cell r="F113" t="str">
            <v>S126</v>
          </cell>
          <cell r="G113">
            <v>1</v>
          </cell>
          <cell r="H113">
            <v>18</v>
          </cell>
          <cell r="I113" t="str">
            <v>F</v>
          </cell>
          <cell r="J113" t="str">
            <v>DEDZA</v>
          </cell>
          <cell r="K113">
            <v>6</v>
          </cell>
          <cell r="L113" t="str">
            <v>Changed designation from D370 to T370</v>
          </cell>
        </row>
        <row r="114">
          <cell r="A114" t="str">
            <v>RS 301</v>
          </cell>
          <cell r="B114">
            <v>123</v>
          </cell>
          <cell r="C114" t="str">
            <v>C</v>
          </cell>
          <cell r="D114" t="str">
            <v>T</v>
          </cell>
          <cell r="E114" t="str">
            <v>Thete - Lobi</v>
          </cell>
          <cell r="F114" t="str">
            <v>S126</v>
          </cell>
          <cell r="G114">
            <v>2</v>
          </cell>
          <cell r="H114">
            <v>9.1</v>
          </cell>
          <cell r="I114" t="str">
            <v>F</v>
          </cell>
          <cell r="J114" t="str">
            <v>DEDZA</v>
          </cell>
          <cell r="K114">
            <v>6</v>
          </cell>
          <cell r="L114" t="str">
            <v>Changed designation from D370 to T370</v>
          </cell>
        </row>
        <row r="115">
          <cell r="A115" t="str">
            <v>RS 306</v>
          </cell>
          <cell r="B115">
            <v>128</v>
          </cell>
          <cell r="C115" t="str">
            <v>C</v>
          </cell>
          <cell r="D115" t="str">
            <v>T</v>
          </cell>
          <cell r="E115" t="str">
            <v>Masasa (junction M1) - Chapita</v>
          </cell>
          <cell r="F115" t="str">
            <v>S127</v>
          </cell>
          <cell r="G115">
            <v>1</v>
          </cell>
          <cell r="H115">
            <v>2.2000000000000002</v>
          </cell>
          <cell r="I115" t="str">
            <v>F</v>
          </cell>
          <cell r="J115" t="str">
            <v>DEDZA</v>
          </cell>
          <cell r="K115">
            <v>7</v>
          </cell>
        </row>
        <row r="116">
          <cell r="A116" t="str">
            <v>RS 302</v>
          </cell>
          <cell r="B116">
            <v>124</v>
          </cell>
          <cell r="C116" t="str">
            <v>C</v>
          </cell>
          <cell r="D116" t="str">
            <v>T</v>
          </cell>
          <cell r="E116" t="str">
            <v>Chapita - Khwekhwelele</v>
          </cell>
          <cell r="F116" t="str">
            <v>S127</v>
          </cell>
          <cell r="G116">
            <v>2</v>
          </cell>
          <cell r="H116">
            <v>16.5</v>
          </cell>
          <cell r="I116" t="str">
            <v>R</v>
          </cell>
          <cell r="J116" t="str">
            <v>DEDZA</v>
          </cell>
          <cell r="K116">
            <v>7</v>
          </cell>
        </row>
        <row r="117">
          <cell r="A117" t="str">
            <v>RS 303</v>
          </cell>
          <cell r="B117">
            <v>125</v>
          </cell>
          <cell r="C117" t="str">
            <v>C</v>
          </cell>
          <cell r="D117" t="str">
            <v>T</v>
          </cell>
          <cell r="E117" t="str">
            <v>Chitambe River - Mganja</v>
          </cell>
          <cell r="F117" t="str">
            <v>S127</v>
          </cell>
          <cell r="G117">
            <v>3</v>
          </cell>
          <cell r="H117">
            <v>3.7</v>
          </cell>
          <cell r="I117" t="str">
            <v>R</v>
          </cell>
          <cell r="J117" t="str">
            <v>DEDZA</v>
          </cell>
          <cell r="K117">
            <v>7</v>
          </cell>
        </row>
        <row r="118">
          <cell r="A118" t="str">
            <v>RS 305</v>
          </cell>
          <cell r="B118">
            <v>127</v>
          </cell>
          <cell r="C118" t="str">
            <v>C</v>
          </cell>
          <cell r="D118" t="str">
            <v>T</v>
          </cell>
          <cell r="E118" t="str">
            <v>Golomoti - Liwenga</v>
          </cell>
          <cell r="F118" t="str">
            <v>S127</v>
          </cell>
          <cell r="G118">
            <v>5</v>
          </cell>
          <cell r="H118">
            <v>5.6</v>
          </cell>
          <cell r="I118" t="str">
            <v>R</v>
          </cell>
          <cell r="J118" t="str">
            <v>DEDZA</v>
          </cell>
          <cell r="K118">
            <v>7</v>
          </cell>
        </row>
        <row r="119">
          <cell r="A119" t="str">
            <v>RS 304</v>
          </cell>
          <cell r="B119">
            <v>126</v>
          </cell>
          <cell r="C119" t="str">
            <v>C</v>
          </cell>
          <cell r="D119" t="str">
            <v>T</v>
          </cell>
          <cell r="E119" t="str">
            <v>Liwenga - Kapiri (junction M10)</v>
          </cell>
          <cell r="F119" t="str">
            <v>S127</v>
          </cell>
          <cell r="G119">
            <v>6</v>
          </cell>
          <cell r="H119">
            <v>12</v>
          </cell>
          <cell r="I119" t="str">
            <v>F</v>
          </cell>
          <cell r="J119" t="str">
            <v>DEDZA</v>
          </cell>
          <cell r="K119">
            <v>7</v>
          </cell>
        </row>
        <row r="120">
          <cell r="A120" t="str">
            <v>RS 342</v>
          </cell>
          <cell r="B120">
            <v>164</v>
          </cell>
          <cell r="C120" t="str">
            <v>S</v>
          </cell>
          <cell r="D120" t="str">
            <v>T</v>
          </cell>
          <cell r="E120" t="str">
            <v>Maganga - Kwilasya</v>
          </cell>
          <cell r="F120" t="str">
            <v>S129</v>
          </cell>
          <cell r="G120">
            <v>1</v>
          </cell>
          <cell r="H120">
            <v>13.8</v>
          </cell>
          <cell r="I120" t="str">
            <v>F</v>
          </cell>
          <cell r="J120" t="str">
            <v>MANGOCHI</v>
          </cell>
          <cell r="K120">
            <v>7</v>
          </cell>
          <cell r="L120" t="str">
            <v>Changed designation from S121 to T373</v>
          </cell>
        </row>
        <row r="121">
          <cell r="A121" t="str">
            <v>RS 344</v>
          </cell>
          <cell r="B121">
            <v>166</v>
          </cell>
          <cell r="C121" t="str">
            <v>S</v>
          </cell>
          <cell r="D121" t="str">
            <v>T</v>
          </cell>
          <cell r="E121" t="str">
            <v>Kwilasya - Makanjira</v>
          </cell>
          <cell r="F121" t="str">
            <v>S129</v>
          </cell>
          <cell r="G121">
            <v>2</v>
          </cell>
          <cell r="H121">
            <v>15.8</v>
          </cell>
          <cell r="I121" t="str">
            <v>F</v>
          </cell>
          <cell r="J121" t="str">
            <v>MANGOCHI</v>
          </cell>
          <cell r="K121">
            <v>7</v>
          </cell>
          <cell r="L121" t="str">
            <v>Changed designation from S121 to T373</v>
          </cell>
        </row>
        <row r="122">
          <cell r="A122" t="str">
            <v>RS 340</v>
          </cell>
          <cell r="B122">
            <v>162</v>
          </cell>
          <cell r="C122" t="str">
            <v>S</v>
          </cell>
          <cell r="D122" t="str">
            <v>T</v>
          </cell>
          <cell r="E122" t="str">
            <v>Makanjira - Chilawe</v>
          </cell>
          <cell r="F122" t="str">
            <v>S129</v>
          </cell>
          <cell r="G122">
            <v>3</v>
          </cell>
          <cell r="H122">
            <v>13.6</v>
          </cell>
          <cell r="I122" t="str">
            <v>F</v>
          </cell>
          <cell r="J122" t="str">
            <v>MANGOCHI</v>
          </cell>
          <cell r="K122">
            <v>7</v>
          </cell>
        </row>
        <row r="123">
          <cell r="A123" t="str">
            <v>RS 338</v>
          </cell>
          <cell r="B123">
            <v>160</v>
          </cell>
          <cell r="C123" t="str">
            <v>S</v>
          </cell>
          <cell r="D123" t="str">
            <v>T</v>
          </cell>
          <cell r="E123" t="str">
            <v>Chilawe - Binali</v>
          </cell>
          <cell r="F123" t="str">
            <v>S129</v>
          </cell>
          <cell r="G123">
            <v>4</v>
          </cell>
          <cell r="H123">
            <v>11.8</v>
          </cell>
          <cell r="I123" t="str">
            <v>F</v>
          </cell>
          <cell r="J123" t="str">
            <v>MANGOCHI</v>
          </cell>
          <cell r="K123">
            <v>7</v>
          </cell>
        </row>
        <row r="124">
          <cell r="A124" t="str">
            <v>RS 341</v>
          </cell>
          <cell r="B124">
            <v>163</v>
          </cell>
          <cell r="C124" t="str">
            <v>S</v>
          </cell>
          <cell r="D124" t="str">
            <v>T</v>
          </cell>
          <cell r="E124" t="str">
            <v>Binali - Mdala</v>
          </cell>
          <cell r="F124" t="str">
            <v>S129</v>
          </cell>
          <cell r="G124">
            <v>5</v>
          </cell>
          <cell r="H124">
            <v>7.9</v>
          </cell>
          <cell r="I124" t="str">
            <v>F</v>
          </cell>
          <cell r="J124" t="str">
            <v>MANGOCHI</v>
          </cell>
          <cell r="K124">
            <v>7</v>
          </cell>
        </row>
        <row r="125">
          <cell r="A125" t="str">
            <v>RS 335</v>
          </cell>
          <cell r="B125">
            <v>157</v>
          </cell>
          <cell r="C125" t="str">
            <v>S</v>
          </cell>
          <cell r="D125" t="str">
            <v>T</v>
          </cell>
          <cell r="E125" t="str">
            <v>Mdala - Unga River</v>
          </cell>
          <cell r="F125" t="str">
            <v>S129</v>
          </cell>
          <cell r="G125">
            <v>6</v>
          </cell>
          <cell r="H125">
            <v>5.4</v>
          </cell>
          <cell r="I125" t="str">
            <v>F</v>
          </cell>
          <cell r="J125" t="str">
            <v>MANGOCHI</v>
          </cell>
          <cell r="K125">
            <v>7</v>
          </cell>
          <cell r="L125" t="str">
            <v>Changed designation from D226 to T374</v>
          </cell>
        </row>
        <row r="126">
          <cell r="A126" t="str">
            <v>RS 346</v>
          </cell>
          <cell r="B126">
            <v>168</v>
          </cell>
          <cell r="C126" t="str">
            <v>S</v>
          </cell>
          <cell r="D126" t="str">
            <v>T</v>
          </cell>
          <cell r="E126" t="str">
            <v>Unga River - Lilembe River</v>
          </cell>
          <cell r="F126" t="str">
            <v>S129</v>
          </cell>
          <cell r="G126">
            <v>7</v>
          </cell>
          <cell r="H126">
            <v>8.1</v>
          </cell>
          <cell r="I126" t="str">
            <v>F</v>
          </cell>
          <cell r="J126" t="str">
            <v>MANGOCHI</v>
          </cell>
          <cell r="K126">
            <v>7</v>
          </cell>
        </row>
        <row r="127">
          <cell r="A127" t="str">
            <v>RS 334</v>
          </cell>
          <cell r="B127">
            <v>156</v>
          </cell>
          <cell r="C127" t="str">
            <v>S</v>
          </cell>
          <cell r="D127" t="str">
            <v>T</v>
          </cell>
          <cell r="E127" t="str">
            <v>Lilembe River - Lungwena River</v>
          </cell>
          <cell r="F127" t="str">
            <v>S129</v>
          </cell>
          <cell r="G127">
            <v>8</v>
          </cell>
          <cell r="H127">
            <v>23.5</v>
          </cell>
          <cell r="I127" t="str">
            <v>F</v>
          </cell>
          <cell r="J127" t="str">
            <v>MANGOCHI</v>
          </cell>
          <cell r="K127">
            <v>7</v>
          </cell>
        </row>
        <row r="128">
          <cell r="A128" t="str">
            <v>RS 345</v>
          </cell>
          <cell r="B128">
            <v>167</v>
          </cell>
          <cell r="C128" t="str">
            <v>S</v>
          </cell>
          <cell r="D128" t="str">
            <v>T</v>
          </cell>
          <cell r="E128" t="str">
            <v>Lungwena River - Malindi</v>
          </cell>
          <cell r="F128" t="str">
            <v>S129</v>
          </cell>
          <cell r="G128">
            <v>9</v>
          </cell>
          <cell r="H128">
            <v>14.3</v>
          </cell>
          <cell r="I128" t="str">
            <v>F</v>
          </cell>
          <cell r="J128" t="str">
            <v>MANGOCHI</v>
          </cell>
          <cell r="K128">
            <v>7</v>
          </cell>
        </row>
        <row r="129">
          <cell r="A129" t="str">
            <v>RS 336</v>
          </cell>
          <cell r="B129">
            <v>158</v>
          </cell>
          <cell r="C129" t="str">
            <v>S</v>
          </cell>
          <cell r="D129" t="str">
            <v>T</v>
          </cell>
          <cell r="E129" t="str">
            <v>Malindi - Chingo (junction M3)</v>
          </cell>
          <cell r="F129" t="str">
            <v>S129</v>
          </cell>
          <cell r="G129">
            <v>10</v>
          </cell>
          <cell r="H129">
            <v>12</v>
          </cell>
          <cell r="I129" t="str">
            <v>F</v>
          </cell>
          <cell r="J129" t="str">
            <v>MANGOCHI</v>
          </cell>
          <cell r="K129">
            <v>7</v>
          </cell>
        </row>
        <row r="130">
          <cell r="A130" t="str">
            <v>RS 350</v>
          </cell>
          <cell r="B130">
            <v>172</v>
          </cell>
          <cell r="C130" t="str">
            <v>S</v>
          </cell>
          <cell r="D130" t="str">
            <v>T</v>
          </cell>
          <cell r="E130" t="str">
            <v>Chiponde (junction M3) - Mandimba</v>
          </cell>
          <cell r="F130" t="str">
            <v>S131</v>
          </cell>
          <cell r="G130">
            <v>1</v>
          </cell>
          <cell r="H130">
            <v>1</v>
          </cell>
          <cell r="I130" t="str">
            <v>R</v>
          </cell>
          <cell r="J130" t="str">
            <v>MANGOCHI</v>
          </cell>
          <cell r="K130">
            <v>7</v>
          </cell>
        </row>
        <row r="131">
          <cell r="A131" t="str">
            <v>RS 353</v>
          </cell>
          <cell r="B131">
            <v>175</v>
          </cell>
          <cell r="C131" t="str">
            <v>S</v>
          </cell>
          <cell r="D131" t="str">
            <v>T</v>
          </cell>
          <cell r="E131" t="str">
            <v>Mandimba - Masuku</v>
          </cell>
          <cell r="F131" t="str">
            <v>S131</v>
          </cell>
          <cell r="G131">
            <v>2</v>
          </cell>
          <cell r="H131">
            <v>10.9</v>
          </cell>
          <cell r="I131" t="str">
            <v>F</v>
          </cell>
          <cell r="J131" t="str">
            <v>MANGOCHI</v>
          </cell>
          <cell r="K131">
            <v>8</v>
          </cell>
          <cell r="L131" t="str">
            <v xml:space="preserve">New section part of RS 78 </v>
          </cell>
        </row>
        <row r="132">
          <cell r="A132" t="str">
            <v>RS 356</v>
          </cell>
          <cell r="B132">
            <v>178</v>
          </cell>
          <cell r="C132" t="str">
            <v>S</v>
          </cell>
          <cell r="D132" t="str">
            <v>T</v>
          </cell>
          <cell r="E132" t="str">
            <v>Masuku - Nkumba</v>
          </cell>
          <cell r="F132" t="str">
            <v>S131</v>
          </cell>
          <cell r="G132">
            <v>3</v>
          </cell>
          <cell r="H132">
            <v>17.600000000000001</v>
          </cell>
          <cell r="I132" t="str">
            <v>R</v>
          </cell>
          <cell r="J132" t="str">
            <v>MACHINGA</v>
          </cell>
          <cell r="K132">
            <v>8</v>
          </cell>
        </row>
        <row r="133">
          <cell r="A133" t="str">
            <v>RS 349</v>
          </cell>
          <cell r="B133">
            <v>171</v>
          </cell>
          <cell r="C133" t="str">
            <v>S</v>
          </cell>
          <cell r="D133" t="str">
            <v>T</v>
          </cell>
          <cell r="E133" t="str">
            <v>Nkumba - Nselema</v>
          </cell>
          <cell r="F133" t="str">
            <v>S131</v>
          </cell>
          <cell r="G133">
            <v>4</v>
          </cell>
          <cell r="H133">
            <v>17.600000000000001</v>
          </cell>
          <cell r="I133" t="str">
            <v>R</v>
          </cell>
          <cell r="J133" t="str">
            <v>MACHINGA</v>
          </cell>
          <cell r="K133">
            <v>8</v>
          </cell>
        </row>
        <row r="134">
          <cell r="A134" t="str">
            <v>RS 355</v>
          </cell>
          <cell r="B134">
            <v>177</v>
          </cell>
          <cell r="C134" t="str">
            <v>S</v>
          </cell>
          <cell r="D134" t="str">
            <v>T</v>
          </cell>
          <cell r="E134" t="str">
            <v>Matope - Ntaja</v>
          </cell>
          <cell r="F134" t="str">
            <v>S131</v>
          </cell>
          <cell r="G134">
            <v>5</v>
          </cell>
          <cell r="H134">
            <v>7.5</v>
          </cell>
          <cell r="I134" t="str">
            <v>R</v>
          </cell>
          <cell r="J134" t="str">
            <v>MACHINGA</v>
          </cell>
          <cell r="K134">
            <v>8</v>
          </cell>
        </row>
        <row r="135">
          <cell r="A135" t="str">
            <v>RS 845</v>
          </cell>
          <cell r="B135" t="str">
            <v>n.a.</v>
          </cell>
          <cell r="C135" t="str">
            <v>S</v>
          </cell>
          <cell r="D135" t="str">
            <v>T</v>
          </cell>
          <cell r="E135" t="str">
            <v>Ntaja - Singwa</v>
          </cell>
          <cell r="F135" t="str">
            <v>S131</v>
          </cell>
          <cell r="G135">
            <v>6</v>
          </cell>
          <cell r="H135">
            <v>11.2</v>
          </cell>
          <cell r="I135" t="str">
            <v>R</v>
          </cell>
          <cell r="J135" t="str">
            <v>MACHINGA</v>
          </cell>
          <cell r="K135">
            <v>8</v>
          </cell>
          <cell r="L135" t="str">
            <v>New section added to cover origional RS 352</v>
          </cell>
        </row>
        <row r="136">
          <cell r="A136" t="str">
            <v>RS 347</v>
          </cell>
          <cell r="B136">
            <v>169</v>
          </cell>
          <cell r="C136" t="str">
            <v>S</v>
          </cell>
          <cell r="D136" t="str">
            <v>T</v>
          </cell>
          <cell r="E136" t="str">
            <v>Singwa - Nsanama</v>
          </cell>
          <cell r="F136" t="str">
            <v>S131</v>
          </cell>
          <cell r="G136">
            <v>7</v>
          </cell>
          <cell r="H136">
            <v>13.2</v>
          </cell>
          <cell r="I136" t="str">
            <v>R</v>
          </cell>
          <cell r="J136" t="str">
            <v>MACHINGA</v>
          </cell>
          <cell r="K136">
            <v>8</v>
          </cell>
          <cell r="L136" t="str">
            <v>Changed designation from M16 to M14</v>
          </cell>
        </row>
        <row r="137">
          <cell r="A137" t="str">
            <v>RS 351</v>
          </cell>
          <cell r="B137">
            <v>173</v>
          </cell>
          <cell r="C137" t="str">
            <v>S</v>
          </cell>
          <cell r="D137" t="str">
            <v>T</v>
          </cell>
          <cell r="E137" t="str">
            <v>Nsanama - Naminga</v>
          </cell>
          <cell r="F137" t="str">
            <v>S131</v>
          </cell>
          <cell r="G137">
            <v>8</v>
          </cell>
          <cell r="H137">
            <v>8.6999999999999993</v>
          </cell>
          <cell r="I137" t="str">
            <v>R</v>
          </cell>
          <cell r="J137" t="str">
            <v>MACHINGA</v>
          </cell>
          <cell r="K137">
            <v>8</v>
          </cell>
          <cell r="L137" t="str">
            <v xml:space="preserve">Changed designation from M16 to M14 </v>
          </cell>
        </row>
        <row r="138">
          <cell r="A138" t="str">
            <v>RS 685</v>
          </cell>
          <cell r="B138">
            <v>507</v>
          </cell>
          <cell r="C138" t="str">
            <v>S</v>
          </cell>
          <cell r="D138" t="str">
            <v>T</v>
          </cell>
          <cell r="E138" t="str">
            <v>Singwa (junction S131) - Mbonechera</v>
          </cell>
          <cell r="F138" t="str">
            <v>S132</v>
          </cell>
          <cell r="G138">
            <v>1</v>
          </cell>
          <cell r="H138">
            <v>6.6</v>
          </cell>
          <cell r="I138" t="str">
            <v>R</v>
          </cell>
          <cell r="J138" t="str">
            <v>MACHINGA</v>
          </cell>
          <cell r="K138">
            <v>8</v>
          </cell>
          <cell r="L138" t="str">
            <v>Changed designation from T388 to S132</v>
          </cell>
        </row>
        <row r="139">
          <cell r="A139" t="str">
            <v>RS 358</v>
          </cell>
          <cell r="B139">
            <v>180</v>
          </cell>
          <cell r="C139" t="str">
            <v>S</v>
          </cell>
          <cell r="D139" t="str">
            <v>T</v>
          </cell>
          <cell r="E139" t="str">
            <v>Mbonechera - Mweso</v>
          </cell>
          <cell r="F139" t="str">
            <v>S132</v>
          </cell>
          <cell r="G139">
            <v>2</v>
          </cell>
          <cell r="H139">
            <v>11</v>
          </cell>
          <cell r="I139" t="str">
            <v>R</v>
          </cell>
          <cell r="J139" t="str">
            <v>MACHINGA</v>
          </cell>
          <cell r="K139">
            <v>8</v>
          </cell>
          <cell r="L139" t="str">
            <v>Changed designation from M5 to M14</v>
          </cell>
        </row>
        <row r="140">
          <cell r="A140" t="str">
            <v>RS 357</v>
          </cell>
          <cell r="B140">
            <v>179</v>
          </cell>
          <cell r="C140" t="str">
            <v>S</v>
          </cell>
          <cell r="D140" t="str">
            <v>T</v>
          </cell>
          <cell r="E140" t="str">
            <v>Mweso - Namandanje River</v>
          </cell>
          <cell r="F140" t="str">
            <v>S132</v>
          </cell>
          <cell r="G140">
            <v>3</v>
          </cell>
          <cell r="H140">
            <v>3</v>
          </cell>
          <cell r="I140" t="str">
            <v>R</v>
          </cell>
          <cell r="J140" t="str">
            <v>MACHINGA</v>
          </cell>
          <cell r="K140">
            <v>8</v>
          </cell>
          <cell r="L140" t="str">
            <v xml:space="preserve">Changed designation from S120 to M18 </v>
          </cell>
        </row>
        <row r="141">
          <cell r="A141" t="str">
            <v>RS 359</v>
          </cell>
          <cell r="B141">
            <v>181</v>
          </cell>
          <cell r="C141" t="str">
            <v>S</v>
          </cell>
          <cell r="D141" t="str">
            <v>T</v>
          </cell>
          <cell r="E141" t="str">
            <v>Balaka - Mbela</v>
          </cell>
          <cell r="F141" t="str">
            <v>S133</v>
          </cell>
          <cell r="G141">
            <v>1</v>
          </cell>
          <cell r="H141">
            <v>14.5</v>
          </cell>
          <cell r="I141" t="str">
            <v>R</v>
          </cell>
          <cell r="J141" t="str">
            <v>MACHINGA</v>
          </cell>
          <cell r="K141">
            <v>8</v>
          </cell>
          <cell r="L141" t="str">
            <v>Changed designation from D231 to T379</v>
          </cell>
        </row>
        <row r="142">
          <cell r="A142" t="str">
            <v>RS 361</v>
          </cell>
          <cell r="B142">
            <v>183</v>
          </cell>
          <cell r="C142" t="str">
            <v>S</v>
          </cell>
          <cell r="D142" t="str">
            <v>T</v>
          </cell>
          <cell r="E142" t="str">
            <v>Mbela - Mzimundilinde</v>
          </cell>
          <cell r="F142" t="str">
            <v>S133</v>
          </cell>
          <cell r="G142">
            <v>2</v>
          </cell>
          <cell r="H142">
            <v>7.9</v>
          </cell>
          <cell r="I142" t="str">
            <v>F</v>
          </cell>
          <cell r="J142" t="str">
            <v>MACHINGA</v>
          </cell>
          <cell r="K142">
            <v>8</v>
          </cell>
          <cell r="L142" t="str">
            <v>Changed designation from D231 to T379</v>
          </cell>
        </row>
        <row r="143">
          <cell r="A143" t="str">
            <v>RS 360</v>
          </cell>
          <cell r="B143">
            <v>182</v>
          </cell>
          <cell r="C143" t="str">
            <v>S</v>
          </cell>
          <cell r="D143" t="str">
            <v>T</v>
          </cell>
          <cell r="E143" t="str">
            <v>Mzimundilinde - Hoba</v>
          </cell>
          <cell r="F143" t="str">
            <v>S133</v>
          </cell>
          <cell r="G143">
            <v>3</v>
          </cell>
          <cell r="H143">
            <v>6</v>
          </cell>
          <cell r="I143" t="str">
            <v>F</v>
          </cell>
          <cell r="J143" t="str">
            <v>MACHINGA</v>
          </cell>
          <cell r="K143">
            <v>8</v>
          </cell>
          <cell r="L143" t="str">
            <v>Changed designation from T361 to M30</v>
          </cell>
        </row>
        <row r="144">
          <cell r="A144" t="str">
            <v>RS 310</v>
          </cell>
          <cell r="B144">
            <v>132</v>
          </cell>
          <cell r="C144" t="str">
            <v>C</v>
          </cell>
          <cell r="D144" t="str">
            <v>T</v>
          </cell>
          <cell r="E144" t="str">
            <v>Kasinje (junction M5) - Mtambalika</v>
          </cell>
          <cell r="F144" t="str">
            <v>S134</v>
          </cell>
          <cell r="G144">
            <v>1</v>
          </cell>
          <cell r="H144">
            <v>5.0999999999999996</v>
          </cell>
          <cell r="I144" t="str">
            <v>H</v>
          </cell>
          <cell r="J144" t="str">
            <v>NTCHEU</v>
          </cell>
          <cell r="K144">
            <v>8</v>
          </cell>
        </row>
        <row r="145">
          <cell r="A145" t="str">
            <v>RS 311</v>
          </cell>
          <cell r="B145">
            <v>133</v>
          </cell>
          <cell r="C145" t="str">
            <v>C</v>
          </cell>
          <cell r="D145" t="str">
            <v>T</v>
          </cell>
          <cell r="E145" t="str">
            <v>Mtambalika - Kandeu</v>
          </cell>
          <cell r="F145" t="str">
            <v>S134</v>
          </cell>
          <cell r="G145">
            <v>2</v>
          </cell>
          <cell r="H145">
            <v>8.4</v>
          </cell>
          <cell r="I145" t="str">
            <v>H</v>
          </cell>
          <cell r="J145" t="str">
            <v>NTCHEU</v>
          </cell>
          <cell r="K145">
            <v>8</v>
          </cell>
          <cell r="L145" t="str">
            <v>Changed from urban to trunk</v>
          </cell>
        </row>
        <row r="146">
          <cell r="A146" t="str">
            <v>RS 308</v>
          </cell>
          <cell r="B146">
            <v>130</v>
          </cell>
          <cell r="C146" t="str">
            <v>C</v>
          </cell>
          <cell r="D146" t="str">
            <v>T</v>
          </cell>
          <cell r="E146" t="str">
            <v>Kandeu - Sitolo</v>
          </cell>
          <cell r="F146" t="str">
            <v>S134</v>
          </cell>
          <cell r="G146">
            <v>3</v>
          </cell>
          <cell r="H146">
            <v>4.8</v>
          </cell>
          <cell r="I146" t="str">
            <v>M</v>
          </cell>
          <cell r="J146" t="str">
            <v>NTCHEU</v>
          </cell>
          <cell r="K146">
            <v>8</v>
          </cell>
        </row>
        <row r="147">
          <cell r="A147" t="str">
            <v>RS 309</v>
          </cell>
          <cell r="B147">
            <v>131</v>
          </cell>
          <cell r="C147" t="str">
            <v>C</v>
          </cell>
          <cell r="D147" t="str">
            <v>T</v>
          </cell>
          <cell r="E147" t="str">
            <v>Sitolo - Kabekele</v>
          </cell>
          <cell r="F147" t="str">
            <v>S134</v>
          </cell>
          <cell r="G147">
            <v>4</v>
          </cell>
          <cell r="H147">
            <v>4.7</v>
          </cell>
          <cell r="I147" t="str">
            <v>H</v>
          </cell>
          <cell r="J147" t="str">
            <v>NTCHEU</v>
          </cell>
          <cell r="K147">
            <v>8</v>
          </cell>
          <cell r="L147" t="str">
            <v>Changed designation from D226 to T381</v>
          </cell>
        </row>
        <row r="148">
          <cell r="A148" t="str">
            <v>RS 312</v>
          </cell>
          <cell r="B148">
            <v>134</v>
          </cell>
          <cell r="C148" t="str">
            <v>C</v>
          </cell>
          <cell r="D148" t="str">
            <v>T</v>
          </cell>
          <cell r="E148" t="str">
            <v>Kabekele - Kansapato (junction T384)</v>
          </cell>
          <cell r="F148" t="str">
            <v>S134</v>
          </cell>
          <cell r="G148">
            <v>6</v>
          </cell>
          <cell r="H148">
            <v>7.8</v>
          </cell>
          <cell r="I148" t="str">
            <v>R</v>
          </cell>
          <cell r="J148" t="str">
            <v>NTCHEU</v>
          </cell>
          <cell r="K148">
            <v>8</v>
          </cell>
          <cell r="L148" t="str">
            <v>Part currently bitumen</v>
          </cell>
        </row>
        <row r="149">
          <cell r="A149" t="str">
            <v>RS 644</v>
          </cell>
          <cell r="B149">
            <v>466</v>
          </cell>
          <cell r="C149" t="str">
            <v>C</v>
          </cell>
          <cell r="D149" t="str">
            <v>T</v>
          </cell>
          <cell r="E149" t="str">
            <v>Kazembe - Ntcheu (junction M1)</v>
          </cell>
          <cell r="F149" t="str">
            <v>S134</v>
          </cell>
          <cell r="G149">
            <v>8</v>
          </cell>
          <cell r="H149">
            <v>9</v>
          </cell>
          <cell r="I149" t="str">
            <v>FL</v>
          </cell>
          <cell r="J149" t="str">
            <v>NTCHEU</v>
          </cell>
          <cell r="K149">
            <v>8</v>
          </cell>
          <cell r="L149" t="str">
            <v>Changed designation from T384 to S134</v>
          </cell>
        </row>
        <row r="150">
          <cell r="A150" t="str">
            <v>RS 295</v>
          </cell>
          <cell r="B150">
            <v>117</v>
          </cell>
          <cell r="C150" t="str">
            <v>C</v>
          </cell>
          <cell r="D150" t="str">
            <v>T</v>
          </cell>
          <cell r="E150" t="str">
            <v>Biriwiri (junction M1) - Kalonga</v>
          </cell>
          <cell r="F150" t="str">
            <v>S135</v>
          </cell>
          <cell r="G150">
            <v>1</v>
          </cell>
          <cell r="H150">
            <v>13.7</v>
          </cell>
          <cell r="I150" t="str">
            <v>R</v>
          </cell>
          <cell r="J150" t="str">
            <v>NTCHEU</v>
          </cell>
          <cell r="K150">
            <v>8</v>
          </cell>
          <cell r="L150" t="str">
            <v>Changed designation from S124 to S135</v>
          </cell>
        </row>
        <row r="151">
          <cell r="A151" t="str">
            <v>RS 299</v>
          </cell>
          <cell r="B151">
            <v>121</v>
          </cell>
          <cell r="C151" t="str">
            <v>C</v>
          </cell>
          <cell r="D151" t="str">
            <v>T</v>
          </cell>
          <cell r="E151" t="str">
            <v>Kalonga - Biliate</v>
          </cell>
          <cell r="F151" t="str">
            <v>S135</v>
          </cell>
          <cell r="G151">
            <v>2</v>
          </cell>
          <cell r="H151">
            <v>20.9</v>
          </cell>
          <cell r="I151" t="str">
            <v>R</v>
          </cell>
          <cell r="J151" t="str">
            <v>NTCHEU</v>
          </cell>
          <cell r="K151">
            <v>8</v>
          </cell>
          <cell r="L151" t="str">
            <v>Changed designation from S124 to S135</v>
          </cell>
        </row>
        <row r="152">
          <cell r="A152" t="str">
            <v>RS 297</v>
          </cell>
          <cell r="B152">
            <v>119</v>
          </cell>
          <cell r="C152" t="str">
            <v>C</v>
          </cell>
          <cell r="D152" t="str">
            <v>T</v>
          </cell>
          <cell r="E152" t="str">
            <v>Biliate - Doviko</v>
          </cell>
          <cell r="F152" t="str">
            <v>S135</v>
          </cell>
          <cell r="G152">
            <v>3</v>
          </cell>
          <cell r="H152">
            <v>11.2</v>
          </cell>
          <cell r="I152" t="str">
            <v>FL</v>
          </cell>
          <cell r="J152" t="str">
            <v>NTCHEU</v>
          </cell>
          <cell r="K152">
            <v>8</v>
          </cell>
          <cell r="L152" t="str">
            <v>Changed designation from S124 to S135</v>
          </cell>
        </row>
        <row r="153">
          <cell r="A153" t="str">
            <v>RS 313</v>
          </cell>
          <cell r="B153">
            <v>135</v>
          </cell>
          <cell r="C153" t="str">
            <v>C</v>
          </cell>
          <cell r="D153" t="str">
            <v>T</v>
          </cell>
          <cell r="E153" t="str">
            <v>Doviko - Chilengo</v>
          </cell>
          <cell r="F153" t="str">
            <v>S135</v>
          </cell>
          <cell r="G153">
            <v>4</v>
          </cell>
          <cell r="H153">
            <v>20.5</v>
          </cell>
          <cell r="I153" t="str">
            <v>H</v>
          </cell>
          <cell r="J153" t="str">
            <v>NTCHEU</v>
          </cell>
          <cell r="K153">
            <v>8</v>
          </cell>
        </row>
        <row r="154">
          <cell r="A154" t="str">
            <v>RS 716</v>
          </cell>
          <cell r="B154">
            <v>538</v>
          </cell>
          <cell r="C154" t="str">
            <v>S</v>
          </cell>
          <cell r="D154" t="str">
            <v>T</v>
          </cell>
          <cell r="E154" t="str">
            <v>Chilengo - Kweneza</v>
          </cell>
          <cell r="F154" t="str">
            <v>S135</v>
          </cell>
          <cell r="G154">
            <v>6</v>
          </cell>
          <cell r="H154">
            <v>10.7</v>
          </cell>
          <cell r="I154" t="str">
            <v>R</v>
          </cell>
          <cell r="J154" t="str">
            <v>MWANZA</v>
          </cell>
          <cell r="K154">
            <v>8</v>
          </cell>
          <cell r="L154" t="str">
            <v>Changed designation from T398 to S135</v>
          </cell>
        </row>
        <row r="155">
          <cell r="A155" t="str">
            <v>RS 715</v>
          </cell>
          <cell r="B155">
            <v>537</v>
          </cell>
          <cell r="C155" t="str">
            <v>S</v>
          </cell>
          <cell r="D155" t="str">
            <v>T</v>
          </cell>
          <cell r="E155" t="str">
            <v>Kweneza - Kanjiwa</v>
          </cell>
          <cell r="F155" t="str">
            <v>S135</v>
          </cell>
          <cell r="G155">
            <v>7</v>
          </cell>
          <cell r="H155">
            <v>8.4</v>
          </cell>
          <cell r="I155" t="str">
            <v>H</v>
          </cell>
          <cell r="J155" t="str">
            <v>MWANZA</v>
          </cell>
          <cell r="K155">
            <v>8</v>
          </cell>
          <cell r="L155" t="str">
            <v>Changed designation from T398 to S135</v>
          </cell>
        </row>
        <row r="156">
          <cell r="A156" t="str">
            <v>RS 365</v>
          </cell>
          <cell r="B156">
            <v>187</v>
          </cell>
          <cell r="C156" t="str">
            <v>S</v>
          </cell>
          <cell r="D156" t="str">
            <v>T</v>
          </cell>
          <cell r="E156" t="str">
            <v>Kanjiwa - Chipondeni</v>
          </cell>
          <cell r="F156" t="str">
            <v>S135</v>
          </cell>
          <cell r="G156">
            <v>8</v>
          </cell>
          <cell r="H156">
            <v>22.2</v>
          </cell>
          <cell r="I156" t="str">
            <v>H</v>
          </cell>
          <cell r="J156" t="str">
            <v>MWANZA</v>
          </cell>
          <cell r="K156">
            <v>9</v>
          </cell>
        </row>
        <row r="157">
          <cell r="A157" t="str">
            <v>RS 362</v>
          </cell>
          <cell r="B157">
            <v>184</v>
          </cell>
          <cell r="C157" t="str">
            <v>S</v>
          </cell>
          <cell r="D157" t="str">
            <v>T</v>
          </cell>
          <cell r="E157" t="str">
            <v>Chipondeni - Kunenekude</v>
          </cell>
          <cell r="F157" t="str">
            <v>S135</v>
          </cell>
          <cell r="G157">
            <v>9</v>
          </cell>
          <cell r="H157">
            <v>5.5</v>
          </cell>
          <cell r="I157" t="str">
            <v>H</v>
          </cell>
          <cell r="J157" t="str">
            <v>MWANZA</v>
          </cell>
          <cell r="K157">
            <v>9</v>
          </cell>
          <cell r="L157" t="str">
            <v>Changed designation from M15 to S128</v>
          </cell>
        </row>
        <row r="158">
          <cell r="A158" t="str">
            <v>RS 363</v>
          </cell>
          <cell r="B158">
            <v>185</v>
          </cell>
          <cell r="C158" t="str">
            <v>S</v>
          </cell>
          <cell r="D158" t="str">
            <v>T</v>
          </cell>
          <cell r="E158" t="str">
            <v>Kunenekude - Mwanza Admarc</v>
          </cell>
          <cell r="F158" t="str">
            <v>S135</v>
          </cell>
          <cell r="G158">
            <v>10</v>
          </cell>
          <cell r="H158">
            <v>12</v>
          </cell>
          <cell r="I158" t="str">
            <v>H</v>
          </cell>
          <cell r="J158" t="str">
            <v>MWANZA</v>
          </cell>
          <cell r="K158">
            <v>9</v>
          </cell>
        </row>
        <row r="159">
          <cell r="A159" t="str">
            <v>RS 364</v>
          </cell>
          <cell r="B159">
            <v>186</v>
          </cell>
          <cell r="C159" t="str">
            <v>S</v>
          </cell>
          <cell r="D159" t="str">
            <v>T</v>
          </cell>
          <cell r="E159" t="str">
            <v>Mwanza Admarc - Liwonde Village (junction M6)</v>
          </cell>
          <cell r="F159" t="str">
            <v>S135</v>
          </cell>
          <cell r="G159">
            <v>11</v>
          </cell>
          <cell r="H159">
            <v>3.8</v>
          </cell>
          <cell r="I159" t="str">
            <v>R</v>
          </cell>
          <cell r="J159" t="str">
            <v>MWANZA</v>
          </cell>
          <cell r="K159">
            <v>9</v>
          </cell>
        </row>
        <row r="160">
          <cell r="A160" t="str">
            <v>RS 367</v>
          </cell>
          <cell r="B160">
            <v>189</v>
          </cell>
          <cell r="C160" t="str">
            <v>S</v>
          </cell>
          <cell r="D160" t="str">
            <v>T</v>
          </cell>
          <cell r="E160" t="str">
            <v>Mwanza (junction M6) - Chimulango</v>
          </cell>
          <cell r="F160" t="str">
            <v>S136</v>
          </cell>
          <cell r="G160">
            <v>1</v>
          </cell>
          <cell r="H160">
            <v>10.7</v>
          </cell>
          <cell r="I160" t="str">
            <v>R</v>
          </cell>
          <cell r="J160" t="str">
            <v>MWANZA</v>
          </cell>
          <cell r="K160">
            <v>9</v>
          </cell>
        </row>
        <row r="161">
          <cell r="A161" t="str">
            <v>RS 374</v>
          </cell>
          <cell r="B161">
            <v>196</v>
          </cell>
          <cell r="C161" t="str">
            <v>S</v>
          </cell>
          <cell r="D161" t="str">
            <v>T</v>
          </cell>
          <cell r="E161" t="str">
            <v>Chimulango - Chikoleka</v>
          </cell>
          <cell r="F161" t="str">
            <v>S136</v>
          </cell>
          <cell r="G161">
            <v>2</v>
          </cell>
          <cell r="H161">
            <v>5.9</v>
          </cell>
          <cell r="I161" t="str">
            <v>R</v>
          </cell>
          <cell r="J161" t="str">
            <v>MWANZA</v>
          </cell>
          <cell r="K161">
            <v>9</v>
          </cell>
          <cell r="L161" t="str">
            <v>Changed designation from S142 to S139</v>
          </cell>
        </row>
        <row r="162">
          <cell r="A162" t="str">
            <v>RS 372</v>
          </cell>
          <cell r="B162">
            <v>194</v>
          </cell>
          <cell r="C162" t="str">
            <v>S</v>
          </cell>
          <cell r="D162" t="str">
            <v>T</v>
          </cell>
          <cell r="E162" t="str">
            <v>Chikoleka - Thambani</v>
          </cell>
          <cell r="F162" t="str">
            <v>S136</v>
          </cell>
          <cell r="G162">
            <v>3</v>
          </cell>
          <cell r="H162">
            <v>6.6</v>
          </cell>
          <cell r="I162" t="str">
            <v>H</v>
          </cell>
          <cell r="J162" t="str">
            <v>MWANZA</v>
          </cell>
          <cell r="K162">
            <v>9</v>
          </cell>
        </row>
        <row r="163">
          <cell r="A163" t="str">
            <v>RS 370</v>
          </cell>
          <cell r="B163">
            <v>192</v>
          </cell>
          <cell r="C163" t="str">
            <v>S</v>
          </cell>
          <cell r="D163" t="str">
            <v>T</v>
          </cell>
          <cell r="E163" t="str">
            <v>Thambani - Ngoma River</v>
          </cell>
          <cell r="F163" t="str">
            <v>S136</v>
          </cell>
          <cell r="G163">
            <v>4</v>
          </cell>
          <cell r="H163">
            <v>7.5</v>
          </cell>
          <cell r="I163" t="str">
            <v>R</v>
          </cell>
          <cell r="J163" t="str">
            <v>MWANZA</v>
          </cell>
          <cell r="K163">
            <v>9</v>
          </cell>
        </row>
        <row r="164">
          <cell r="A164" t="str">
            <v>RS 371</v>
          </cell>
          <cell r="B164">
            <v>193</v>
          </cell>
          <cell r="C164" t="str">
            <v>S</v>
          </cell>
          <cell r="D164" t="str">
            <v>T</v>
          </cell>
          <cell r="E164" t="str">
            <v>Ngoma River - Changoima</v>
          </cell>
          <cell r="F164" t="str">
            <v>S136</v>
          </cell>
          <cell r="G164">
            <v>5</v>
          </cell>
          <cell r="H164">
            <v>10.9</v>
          </cell>
          <cell r="I164" t="str">
            <v>FL</v>
          </cell>
          <cell r="J164" t="str">
            <v>CHIKWAWA</v>
          </cell>
          <cell r="K164">
            <v>9</v>
          </cell>
        </row>
        <row r="165">
          <cell r="A165" t="str">
            <v>RS 376</v>
          </cell>
          <cell r="B165">
            <v>198</v>
          </cell>
          <cell r="C165" t="str">
            <v>S</v>
          </cell>
          <cell r="D165" t="str">
            <v>T</v>
          </cell>
          <cell r="E165" t="str">
            <v>Changoima - Balalika</v>
          </cell>
          <cell r="F165" t="str">
            <v>S136</v>
          </cell>
          <cell r="G165">
            <v>6</v>
          </cell>
          <cell r="H165">
            <v>9.1</v>
          </cell>
          <cell r="I165" t="str">
            <v>R</v>
          </cell>
          <cell r="J165" t="str">
            <v>CHIKWAWA</v>
          </cell>
          <cell r="K165">
            <v>9</v>
          </cell>
          <cell r="L165" t="str">
            <v>Changed from feeder to trunk as bitumen road</v>
          </cell>
        </row>
        <row r="166">
          <cell r="A166" t="str">
            <v>RS 369</v>
          </cell>
          <cell r="B166">
            <v>191</v>
          </cell>
          <cell r="C166" t="str">
            <v>S</v>
          </cell>
          <cell r="D166" t="str">
            <v>T</v>
          </cell>
          <cell r="E166" t="str">
            <v>Balalika - Mwanza River</v>
          </cell>
          <cell r="F166" t="str">
            <v>S136</v>
          </cell>
          <cell r="G166">
            <v>7</v>
          </cell>
          <cell r="H166">
            <v>10.4</v>
          </cell>
          <cell r="I166" t="str">
            <v>R</v>
          </cell>
          <cell r="J166" t="str">
            <v>CHIKWAWA</v>
          </cell>
          <cell r="K166">
            <v>9</v>
          </cell>
          <cell r="L166" t="str">
            <v>Changed designation from S116 to T334. Changed to trunk</v>
          </cell>
        </row>
        <row r="167">
          <cell r="A167" t="str">
            <v>RS 377</v>
          </cell>
          <cell r="B167">
            <v>199</v>
          </cell>
          <cell r="C167" t="str">
            <v>S</v>
          </cell>
          <cell r="D167" t="str">
            <v>T</v>
          </cell>
          <cell r="E167" t="str">
            <v>Mwanza River - Nkhongono</v>
          </cell>
          <cell r="F167" t="str">
            <v>S136</v>
          </cell>
          <cell r="G167">
            <v>8</v>
          </cell>
          <cell r="H167">
            <v>16.399999999999999</v>
          </cell>
          <cell r="I167" t="str">
            <v>F</v>
          </cell>
          <cell r="J167" t="str">
            <v>CHIKWAWA</v>
          </cell>
          <cell r="K167">
            <v>9</v>
          </cell>
        </row>
        <row r="168">
          <cell r="A168" t="str">
            <v>RS 366</v>
          </cell>
          <cell r="B168">
            <v>188</v>
          </cell>
          <cell r="C168" t="str">
            <v>S</v>
          </cell>
          <cell r="D168" t="str">
            <v>T</v>
          </cell>
          <cell r="E168" t="str">
            <v>Nkhongono - Fombe</v>
          </cell>
          <cell r="F168" t="str">
            <v>S136</v>
          </cell>
          <cell r="G168">
            <v>9</v>
          </cell>
          <cell r="H168">
            <v>10.8</v>
          </cell>
          <cell r="I168" t="str">
            <v>R</v>
          </cell>
          <cell r="J168" t="str">
            <v>CHIKWAWA</v>
          </cell>
          <cell r="K168">
            <v>9</v>
          </cell>
          <cell r="L168" t="str">
            <v>Changed designation from D232 to T387</v>
          </cell>
        </row>
        <row r="169">
          <cell r="A169" t="str">
            <v>RS 378</v>
          </cell>
          <cell r="B169">
            <v>200</v>
          </cell>
          <cell r="C169" t="str">
            <v>S</v>
          </cell>
          <cell r="D169" t="str">
            <v>T</v>
          </cell>
          <cell r="E169" t="str">
            <v>Fombe - Chikwawa (junction T416)</v>
          </cell>
          <cell r="F169" t="str">
            <v>S136</v>
          </cell>
          <cell r="G169">
            <v>10</v>
          </cell>
          <cell r="H169">
            <v>8</v>
          </cell>
          <cell r="I169" t="str">
            <v>P</v>
          </cell>
          <cell r="J169" t="str">
            <v>CHIKWAWA</v>
          </cell>
          <cell r="K169">
            <v>9</v>
          </cell>
          <cell r="L169" t="str">
            <v>Changed designation from D232 to T387</v>
          </cell>
        </row>
        <row r="170">
          <cell r="A170" t="str">
            <v>RS 379</v>
          </cell>
          <cell r="B170">
            <v>201</v>
          </cell>
          <cell r="C170" t="str">
            <v>S</v>
          </cell>
          <cell r="D170" t="str">
            <v>T</v>
          </cell>
          <cell r="E170" t="str">
            <v>Moffati (junction M6) - Feremu</v>
          </cell>
          <cell r="F170" t="str">
            <v>S137</v>
          </cell>
          <cell r="G170">
            <v>1</v>
          </cell>
          <cell r="H170">
            <v>10.1</v>
          </cell>
          <cell r="I170" t="str">
            <v>R</v>
          </cell>
          <cell r="J170" t="str">
            <v>MWANZA</v>
          </cell>
          <cell r="K170">
            <v>9</v>
          </cell>
        </row>
        <row r="171">
          <cell r="A171" t="str">
            <v>RS 380</v>
          </cell>
          <cell r="B171">
            <v>202</v>
          </cell>
          <cell r="C171" t="str">
            <v>S</v>
          </cell>
          <cell r="D171" t="str">
            <v>T</v>
          </cell>
          <cell r="E171" t="str">
            <v>Feremu - Mpatamanga Gorge</v>
          </cell>
          <cell r="F171" t="str">
            <v>S137</v>
          </cell>
          <cell r="G171">
            <v>2</v>
          </cell>
          <cell r="H171">
            <v>14.7</v>
          </cell>
          <cell r="I171" t="str">
            <v>R</v>
          </cell>
          <cell r="J171" t="str">
            <v>MWANZA</v>
          </cell>
          <cell r="K171">
            <v>9</v>
          </cell>
        </row>
        <row r="172">
          <cell r="A172" t="str">
            <v>RS 381</v>
          </cell>
          <cell r="B172">
            <v>203</v>
          </cell>
          <cell r="C172" t="str">
            <v>S</v>
          </cell>
          <cell r="D172" t="str">
            <v>T</v>
          </cell>
          <cell r="E172" t="str">
            <v>Mpatamanga Gorge - Kaliati</v>
          </cell>
          <cell r="F172" t="str">
            <v>S137</v>
          </cell>
          <cell r="G172">
            <v>3</v>
          </cell>
          <cell r="H172">
            <v>14.3</v>
          </cell>
          <cell r="I172" t="str">
            <v>R</v>
          </cell>
          <cell r="J172" t="str">
            <v>BLANTYRE</v>
          </cell>
          <cell r="K172">
            <v>9</v>
          </cell>
        </row>
        <row r="173">
          <cell r="A173" t="str">
            <v>RS 383</v>
          </cell>
          <cell r="B173">
            <v>205</v>
          </cell>
          <cell r="C173" t="str">
            <v>S</v>
          </cell>
          <cell r="D173" t="str">
            <v>T</v>
          </cell>
          <cell r="E173" t="str">
            <v>Kaliati - Kunthembwe</v>
          </cell>
          <cell r="F173" t="str">
            <v>S137</v>
          </cell>
          <cell r="G173">
            <v>4</v>
          </cell>
          <cell r="H173">
            <v>8.6999999999999993</v>
          </cell>
          <cell r="I173" t="str">
            <v>R</v>
          </cell>
          <cell r="J173" t="str">
            <v>BLANTYRE</v>
          </cell>
          <cell r="K173">
            <v>9</v>
          </cell>
        </row>
        <row r="174">
          <cell r="A174" t="str">
            <v>RS 384</v>
          </cell>
          <cell r="B174">
            <v>206</v>
          </cell>
          <cell r="C174" t="str">
            <v>S</v>
          </cell>
          <cell r="D174" t="str">
            <v>T</v>
          </cell>
          <cell r="E174" t="str">
            <v>Kunthembwe - Chileka Airport</v>
          </cell>
          <cell r="F174" t="str">
            <v>S137</v>
          </cell>
          <cell r="G174">
            <v>5</v>
          </cell>
          <cell r="H174">
            <v>13.2</v>
          </cell>
          <cell r="I174" t="str">
            <v>F</v>
          </cell>
          <cell r="J174" t="str">
            <v>BLANTYRE</v>
          </cell>
          <cell r="K174">
            <v>9</v>
          </cell>
        </row>
        <row r="175">
          <cell r="A175" t="str">
            <v>RS 387</v>
          </cell>
          <cell r="B175">
            <v>209</v>
          </cell>
          <cell r="C175" t="str">
            <v>S</v>
          </cell>
          <cell r="D175" t="str">
            <v>T</v>
          </cell>
          <cell r="E175" t="str">
            <v>Sanama (junction S137) - Mtengowambalame</v>
          </cell>
          <cell r="F175" t="str">
            <v>S138</v>
          </cell>
          <cell r="G175">
            <v>1</v>
          </cell>
          <cell r="H175">
            <v>5.5</v>
          </cell>
          <cell r="I175" t="str">
            <v>R</v>
          </cell>
          <cell r="J175" t="str">
            <v>BLANTYRE</v>
          </cell>
          <cell r="K175">
            <v>9</v>
          </cell>
          <cell r="L175">
            <v>0</v>
          </cell>
        </row>
        <row r="176">
          <cell r="A176" t="str">
            <v>RS 385</v>
          </cell>
          <cell r="B176">
            <v>207</v>
          </cell>
          <cell r="C176" t="str">
            <v>S</v>
          </cell>
          <cell r="D176" t="str">
            <v>T</v>
          </cell>
          <cell r="E176" t="str">
            <v>Mtengowambalame - Nkula</v>
          </cell>
          <cell r="F176" t="str">
            <v>S138</v>
          </cell>
          <cell r="G176">
            <v>2</v>
          </cell>
          <cell r="H176">
            <v>16.399999999999999</v>
          </cell>
          <cell r="I176" t="str">
            <v>R</v>
          </cell>
          <cell r="J176" t="str">
            <v>BLANTYRE</v>
          </cell>
          <cell r="K176">
            <v>9</v>
          </cell>
          <cell r="L176" t="str">
            <v>Name changed from Kwacha Rd - Marhattma</v>
          </cell>
        </row>
        <row r="177">
          <cell r="A177" t="str">
            <v>RS 386</v>
          </cell>
          <cell r="B177">
            <v>208</v>
          </cell>
          <cell r="C177" t="str">
            <v>S</v>
          </cell>
          <cell r="D177" t="str">
            <v>T</v>
          </cell>
          <cell r="E177" t="str">
            <v>Nkula - Tedzani</v>
          </cell>
          <cell r="F177" t="str">
            <v>S138</v>
          </cell>
          <cell r="G177">
            <v>3</v>
          </cell>
          <cell r="H177">
            <v>10.199999999999999</v>
          </cell>
          <cell r="I177" t="str">
            <v>R</v>
          </cell>
          <cell r="J177" t="str">
            <v>BLANTYRE</v>
          </cell>
          <cell r="K177">
            <v>9</v>
          </cell>
          <cell r="L177" t="str">
            <v>Name modified by City Council</v>
          </cell>
        </row>
        <row r="178">
          <cell r="A178" t="str">
            <v>RS 388</v>
          </cell>
          <cell r="B178">
            <v>210</v>
          </cell>
          <cell r="C178" t="str">
            <v>S</v>
          </cell>
          <cell r="D178" t="str">
            <v>T</v>
          </cell>
          <cell r="E178" t="str">
            <v>Lirangwe (junction M1) - Namatumu railway crossing</v>
          </cell>
          <cell r="F178" t="str">
            <v>S139</v>
          </cell>
          <cell r="G178">
            <v>1</v>
          </cell>
          <cell r="H178">
            <v>13.1</v>
          </cell>
          <cell r="I178" t="str">
            <v>R</v>
          </cell>
          <cell r="J178" t="str">
            <v>BLANTYRE</v>
          </cell>
          <cell r="K178">
            <v>9</v>
          </cell>
          <cell r="L178" t="str">
            <v>Name modified</v>
          </cell>
        </row>
        <row r="179">
          <cell r="A179" t="str">
            <v>RS 337</v>
          </cell>
          <cell r="B179">
            <v>159</v>
          </cell>
          <cell r="C179" t="str">
            <v>S</v>
          </cell>
          <cell r="D179" t="str">
            <v>T</v>
          </cell>
          <cell r="E179" t="str">
            <v>Kasangale - Koloti River</v>
          </cell>
          <cell r="F179" t="str">
            <v>S139</v>
          </cell>
          <cell r="G179">
            <v>2</v>
          </cell>
          <cell r="H179">
            <v>19.8</v>
          </cell>
          <cell r="I179" t="str">
            <v>R</v>
          </cell>
          <cell r="J179" t="str">
            <v>ZOMBA</v>
          </cell>
          <cell r="K179">
            <v>9</v>
          </cell>
          <cell r="L179" t="str">
            <v>Changed designation from S129 to S139</v>
          </cell>
        </row>
        <row r="180">
          <cell r="A180" t="str">
            <v>RS 343</v>
          </cell>
          <cell r="B180">
            <v>165</v>
          </cell>
          <cell r="C180" t="str">
            <v>S</v>
          </cell>
          <cell r="D180" t="str">
            <v>T</v>
          </cell>
          <cell r="E180" t="str">
            <v>Koloti River - Chikwenga</v>
          </cell>
          <cell r="F180" t="str">
            <v>S139</v>
          </cell>
          <cell r="G180">
            <v>3</v>
          </cell>
          <cell r="H180">
            <v>5.0999999999999996</v>
          </cell>
          <cell r="I180" t="str">
            <v>R</v>
          </cell>
          <cell r="J180" t="str">
            <v>ZOMBA</v>
          </cell>
          <cell r="K180">
            <v>9</v>
          </cell>
          <cell r="L180" t="str">
            <v>name changed from HHI - David Whitehead Via Ndirande Market</v>
          </cell>
        </row>
        <row r="181">
          <cell r="A181" t="str">
            <v>RS 339</v>
          </cell>
          <cell r="B181">
            <v>161</v>
          </cell>
          <cell r="C181" t="str">
            <v>S</v>
          </cell>
          <cell r="D181" t="str">
            <v>T</v>
          </cell>
          <cell r="E181" t="str">
            <v>Changalume - Kaunde</v>
          </cell>
          <cell r="F181" t="str">
            <v>S139</v>
          </cell>
          <cell r="G181">
            <v>4</v>
          </cell>
          <cell r="H181">
            <v>3.4</v>
          </cell>
          <cell r="I181" t="str">
            <v>R</v>
          </cell>
          <cell r="J181" t="str">
            <v>ZOMBA</v>
          </cell>
          <cell r="K181">
            <v>9</v>
          </cell>
          <cell r="L181" t="str">
            <v>Changed designation from S129 to S139</v>
          </cell>
        </row>
        <row r="182">
          <cell r="A182" t="str">
            <v>RS 389</v>
          </cell>
          <cell r="B182">
            <v>211</v>
          </cell>
          <cell r="C182" t="str">
            <v>S</v>
          </cell>
          <cell r="D182" t="str">
            <v>T</v>
          </cell>
          <cell r="E182" t="str">
            <v>Likangala River - Kuntiya</v>
          </cell>
          <cell r="F182" t="str">
            <v>S139</v>
          </cell>
          <cell r="G182">
            <v>5</v>
          </cell>
          <cell r="H182">
            <v>5.8</v>
          </cell>
          <cell r="I182" t="str">
            <v>R</v>
          </cell>
          <cell r="J182" t="str">
            <v>ZOMBA</v>
          </cell>
          <cell r="K182">
            <v>9</v>
          </cell>
          <cell r="L182" t="str">
            <v>Changed designation from S142 to S139</v>
          </cell>
        </row>
        <row r="183">
          <cell r="A183" t="str">
            <v>RS 390</v>
          </cell>
          <cell r="B183">
            <v>212</v>
          </cell>
          <cell r="C183" t="str">
            <v>S</v>
          </cell>
          <cell r="D183" t="str">
            <v>T</v>
          </cell>
          <cell r="E183" t="str">
            <v>Likangala River - Nkoloma</v>
          </cell>
          <cell r="F183" t="str">
            <v>S142</v>
          </cell>
          <cell r="G183">
            <v>1</v>
          </cell>
          <cell r="H183">
            <v>8.1999999999999993</v>
          </cell>
          <cell r="I183" t="str">
            <v>R</v>
          </cell>
          <cell r="J183" t="str">
            <v>ZOMBA</v>
          </cell>
          <cell r="K183">
            <v>9</v>
          </cell>
        </row>
        <row r="184">
          <cell r="A184" t="str">
            <v>RS 394</v>
          </cell>
          <cell r="B184">
            <v>216</v>
          </cell>
          <cell r="C184" t="str">
            <v>S</v>
          </cell>
          <cell r="D184" t="str">
            <v>T</v>
          </cell>
          <cell r="E184" t="str">
            <v>Ndege (Air Wing) - Mpyupyu T.C.</v>
          </cell>
          <cell r="F184" t="str">
            <v>S143</v>
          </cell>
          <cell r="G184">
            <v>2</v>
          </cell>
          <cell r="H184">
            <v>14.1</v>
          </cell>
          <cell r="I184" t="str">
            <v>F</v>
          </cell>
          <cell r="J184" t="str">
            <v>ZOMBA</v>
          </cell>
          <cell r="K184">
            <v>9</v>
          </cell>
        </row>
        <row r="185">
          <cell r="A185" t="str">
            <v>RS 392</v>
          </cell>
          <cell r="B185">
            <v>214</v>
          </cell>
          <cell r="C185" t="str">
            <v>S</v>
          </cell>
          <cell r="D185" t="str">
            <v>T</v>
          </cell>
          <cell r="E185" t="str">
            <v>Mpyupyu T.C. - Kachulu Habour</v>
          </cell>
          <cell r="F185" t="str">
            <v>S143</v>
          </cell>
          <cell r="G185">
            <v>3</v>
          </cell>
          <cell r="H185">
            <v>9.4</v>
          </cell>
          <cell r="I185" t="str">
            <v>F</v>
          </cell>
          <cell r="J185" t="str">
            <v>ZOMBA</v>
          </cell>
          <cell r="K185">
            <v>9</v>
          </cell>
        </row>
        <row r="186">
          <cell r="A186" t="str">
            <v>RS 398</v>
          </cell>
          <cell r="B186">
            <v>220</v>
          </cell>
          <cell r="C186" t="str">
            <v>S</v>
          </cell>
          <cell r="D186" t="str">
            <v>T</v>
          </cell>
          <cell r="E186" t="str">
            <v>Ndege (junction S143) - Jali</v>
          </cell>
          <cell r="F186" t="str">
            <v>S144</v>
          </cell>
          <cell r="G186">
            <v>1</v>
          </cell>
          <cell r="H186">
            <v>16.899999999999999</v>
          </cell>
          <cell r="I186" t="str">
            <v>F</v>
          </cell>
          <cell r="J186" t="str">
            <v>ZOMBA</v>
          </cell>
          <cell r="K186">
            <v>9</v>
          </cell>
        </row>
        <row r="187">
          <cell r="A187" t="str">
            <v>RS 397</v>
          </cell>
          <cell r="B187">
            <v>219</v>
          </cell>
          <cell r="C187" t="str">
            <v>S</v>
          </cell>
          <cell r="D187" t="str">
            <v>T</v>
          </cell>
          <cell r="E187" t="str">
            <v>Jali - Namadzi River (Mlamwa)</v>
          </cell>
          <cell r="F187" t="str">
            <v>S144</v>
          </cell>
          <cell r="G187">
            <v>2</v>
          </cell>
          <cell r="H187">
            <v>15.8</v>
          </cell>
          <cell r="I187" t="str">
            <v>F</v>
          </cell>
          <cell r="J187" t="str">
            <v>ZOMBA</v>
          </cell>
          <cell r="K187">
            <v>9</v>
          </cell>
        </row>
        <row r="188">
          <cell r="A188" t="str">
            <v>RS 395</v>
          </cell>
          <cell r="B188">
            <v>217</v>
          </cell>
          <cell r="C188" t="str">
            <v>S</v>
          </cell>
          <cell r="D188" t="str">
            <v>T</v>
          </cell>
          <cell r="E188" t="str">
            <v>Namadzi River (Mlamwa) - Mumbuwa</v>
          </cell>
          <cell r="F188" t="str">
            <v>S144</v>
          </cell>
          <cell r="G188">
            <v>3</v>
          </cell>
          <cell r="H188">
            <v>8.8000000000000007</v>
          </cell>
          <cell r="I188" t="str">
            <v>F</v>
          </cell>
          <cell r="J188" t="str">
            <v>ZOMBA</v>
          </cell>
          <cell r="K188">
            <v>9</v>
          </cell>
        </row>
        <row r="189">
          <cell r="A189" t="str">
            <v>RS 396</v>
          </cell>
          <cell r="B189">
            <v>218</v>
          </cell>
          <cell r="C189" t="str">
            <v>S</v>
          </cell>
          <cell r="D189" t="str">
            <v>T</v>
          </cell>
          <cell r="E189" t="str">
            <v>Mumbuwa - Phalombe (junction S147)</v>
          </cell>
          <cell r="F189" t="str">
            <v>S144</v>
          </cell>
          <cell r="G189">
            <v>4</v>
          </cell>
          <cell r="H189">
            <v>23.6</v>
          </cell>
          <cell r="I189" t="str">
            <v>F</v>
          </cell>
          <cell r="J189" t="str">
            <v>PHALOMBE</v>
          </cell>
          <cell r="K189">
            <v>9</v>
          </cell>
          <cell r="L189" t="str">
            <v xml:space="preserve">Length changed </v>
          </cell>
        </row>
        <row r="190">
          <cell r="A190" t="str">
            <v>RS 401</v>
          </cell>
          <cell r="B190">
            <v>223</v>
          </cell>
          <cell r="C190" t="str">
            <v>S</v>
          </cell>
          <cell r="D190" t="str">
            <v>T</v>
          </cell>
          <cell r="E190" t="str">
            <v>Mikochi - Malangalanga River</v>
          </cell>
          <cell r="F190" t="str">
            <v>S145</v>
          </cell>
          <cell r="G190">
            <v>1</v>
          </cell>
          <cell r="H190">
            <v>4.4000000000000004</v>
          </cell>
          <cell r="I190" t="str">
            <v>R</v>
          </cell>
          <cell r="J190" t="str">
            <v>CHIRADZULU</v>
          </cell>
          <cell r="K190">
            <v>9</v>
          </cell>
          <cell r="L190" t="str">
            <v>New section part of origional RS 148</v>
          </cell>
        </row>
        <row r="191">
          <cell r="A191" t="str">
            <v>RS 405</v>
          </cell>
          <cell r="B191">
            <v>227</v>
          </cell>
          <cell r="C191" t="str">
            <v>S</v>
          </cell>
          <cell r="D191" t="str">
            <v>T</v>
          </cell>
          <cell r="E191" t="str">
            <v>Malangalanga River - Milepa</v>
          </cell>
          <cell r="F191" t="str">
            <v>S145</v>
          </cell>
          <cell r="G191">
            <v>2</v>
          </cell>
          <cell r="H191">
            <v>11.5</v>
          </cell>
          <cell r="I191" t="str">
            <v>F</v>
          </cell>
          <cell r="J191" t="str">
            <v>CHIRADZULU</v>
          </cell>
          <cell r="K191">
            <v>9</v>
          </cell>
        </row>
        <row r="192">
          <cell r="A192" t="str">
            <v>RS 402</v>
          </cell>
          <cell r="B192">
            <v>224</v>
          </cell>
          <cell r="C192" t="str">
            <v>S</v>
          </cell>
          <cell r="D192" t="str">
            <v>T</v>
          </cell>
          <cell r="E192" t="str">
            <v>Milepa - Sangawa</v>
          </cell>
          <cell r="F192" t="str">
            <v>S145</v>
          </cell>
          <cell r="G192">
            <v>3</v>
          </cell>
          <cell r="H192">
            <v>3</v>
          </cell>
          <cell r="I192" t="str">
            <v>F</v>
          </cell>
          <cell r="J192" t="str">
            <v>CHIRADZULU</v>
          </cell>
          <cell r="K192">
            <v>9</v>
          </cell>
        </row>
        <row r="193">
          <cell r="A193" t="str">
            <v>RS 404</v>
          </cell>
          <cell r="B193">
            <v>226</v>
          </cell>
          <cell r="C193" t="str">
            <v>S</v>
          </cell>
          <cell r="D193" t="str">
            <v>T</v>
          </cell>
          <cell r="E193" t="str">
            <v>Sangawa - Phalombe River</v>
          </cell>
          <cell r="F193" t="str">
            <v>S145</v>
          </cell>
          <cell r="G193">
            <v>4</v>
          </cell>
          <cell r="H193">
            <v>18.899999999999999</v>
          </cell>
          <cell r="I193" t="str">
            <v>F</v>
          </cell>
          <cell r="J193" t="str">
            <v>PHALOMBE</v>
          </cell>
          <cell r="K193">
            <v>9</v>
          </cell>
        </row>
        <row r="194">
          <cell r="A194" t="str">
            <v>RS 403</v>
          </cell>
          <cell r="B194">
            <v>225</v>
          </cell>
          <cell r="C194" t="str">
            <v>S</v>
          </cell>
          <cell r="D194" t="str">
            <v>T</v>
          </cell>
          <cell r="E194" t="str">
            <v>Phalombe River - Namangani</v>
          </cell>
          <cell r="F194" t="str">
            <v>S145</v>
          </cell>
          <cell r="G194">
            <v>5</v>
          </cell>
          <cell r="H194">
            <v>10.3</v>
          </cell>
          <cell r="I194" t="str">
            <v>R</v>
          </cell>
          <cell r="J194" t="str">
            <v>PHALOMBE</v>
          </cell>
          <cell r="K194">
            <v>9</v>
          </cell>
          <cell r="L194" t="str">
            <v>Changed designation from T394 to T395</v>
          </cell>
        </row>
        <row r="195">
          <cell r="A195" t="str">
            <v>RS 400</v>
          </cell>
          <cell r="B195">
            <v>222</v>
          </cell>
          <cell r="C195" t="str">
            <v>S</v>
          </cell>
          <cell r="D195" t="str">
            <v>T</v>
          </cell>
          <cell r="E195" t="str">
            <v>Namangani - Holo</v>
          </cell>
          <cell r="F195" t="str">
            <v>S145</v>
          </cell>
          <cell r="G195">
            <v>6</v>
          </cell>
          <cell r="H195">
            <v>7.3</v>
          </cell>
          <cell r="I195" t="str">
            <v>F</v>
          </cell>
          <cell r="J195" t="str">
            <v>PHALOMBE</v>
          </cell>
          <cell r="K195">
            <v>9</v>
          </cell>
          <cell r="L195" t="str">
            <v>Changed designation from T394 to T395</v>
          </cell>
        </row>
        <row r="196">
          <cell r="A196" t="str">
            <v>RS 399</v>
          </cell>
          <cell r="B196">
            <v>221</v>
          </cell>
          <cell r="C196" t="str">
            <v>S</v>
          </cell>
          <cell r="D196" t="str">
            <v>T</v>
          </cell>
          <cell r="E196" t="str">
            <v>Holo - Kalinde (junction S147)</v>
          </cell>
          <cell r="F196" t="str">
            <v>S145</v>
          </cell>
          <cell r="G196">
            <v>7</v>
          </cell>
          <cell r="H196">
            <v>10.4</v>
          </cell>
          <cell r="I196" t="str">
            <v>F</v>
          </cell>
          <cell r="J196" t="str">
            <v>PHALOMBE</v>
          </cell>
          <cell r="K196">
            <v>9</v>
          </cell>
          <cell r="L196" t="str">
            <v>Changed from T372 to Urban, to Trunk &amp; to Kepiri</v>
          </cell>
        </row>
        <row r="197">
          <cell r="A197" t="str">
            <v>RS 409</v>
          </cell>
          <cell r="B197">
            <v>231</v>
          </cell>
          <cell r="C197" t="str">
            <v>S</v>
          </cell>
          <cell r="D197" t="str">
            <v>T</v>
          </cell>
          <cell r="E197" t="str">
            <v>Mbulumbuzi (junction M3) - Mikochi</v>
          </cell>
          <cell r="F197" t="str">
            <v>S146</v>
          </cell>
          <cell r="G197">
            <v>1</v>
          </cell>
          <cell r="H197">
            <v>8.5</v>
          </cell>
          <cell r="I197" t="str">
            <v>R</v>
          </cell>
          <cell r="J197" t="str">
            <v>CHIRADZULU</v>
          </cell>
          <cell r="K197">
            <v>9</v>
          </cell>
          <cell r="L197" t="str">
            <v>Changed designation from T394 to T395</v>
          </cell>
        </row>
        <row r="198">
          <cell r="A198" t="str">
            <v>RS 408</v>
          </cell>
          <cell r="B198">
            <v>230</v>
          </cell>
          <cell r="C198" t="str">
            <v>S</v>
          </cell>
          <cell r="D198" t="str">
            <v>T</v>
          </cell>
          <cell r="E198" t="str">
            <v>Mikochi - Chiradzulu</v>
          </cell>
          <cell r="F198" t="str">
            <v>S146</v>
          </cell>
          <cell r="G198">
            <v>2</v>
          </cell>
          <cell r="H198">
            <v>2.5</v>
          </cell>
          <cell r="I198" t="str">
            <v>R</v>
          </cell>
          <cell r="J198" t="str">
            <v>CHIRADZULU</v>
          </cell>
          <cell r="K198">
            <v>9</v>
          </cell>
          <cell r="L198" t="str">
            <v>Changed designation from T394 to T395</v>
          </cell>
        </row>
        <row r="199">
          <cell r="A199" t="str">
            <v>RS 418</v>
          </cell>
          <cell r="B199">
            <v>240</v>
          </cell>
          <cell r="C199" t="str">
            <v>S</v>
          </cell>
          <cell r="D199" t="str">
            <v>T</v>
          </cell>
          <cell r="E199" t="str">
            <v>Mandawala - Nambazo</v>
          </cell>
          <cell r="F199" t="str">
            <v>S147</v>
          </cell>
          <cell r="G199">
            <v>1</v>
          </cell>
          <cell r="H199">
            <v>4.0999999999999996</v>
          </cell>
          <cell r="I199" t="str">
            <v>F</v>
          </cell>
          <cell r="J199" t="str">
            <v>MULANJE</v>
          </cell>
          <cell r="K199">
            <v>9</v>
          </cell>
        </row>
        <row r="200">
          <cell r="A200" t="str">
            <v>RS 416</v>
          </cell>
          <cell r="B200">
            <v>238</v>
          </cell>
          <cell r="C200" t="str">
            <v>S</v>
          </cell>
          <cell r="D200" t="str">
            <v>T</v>
          </cell>
          <cell r="E200" t="str">
            <v>Nambazo - Nambera</v>
          </cell>
          <cell r="F200" t="str">
            <v>S147</v>
          </cell>
          <cell r="G200">
            <v>2</v>
          </cell>
          <cell r="H200">
            <v>10.9</v>
          </cell>
          <cell r="I200" t="str">
            <v>F</v>
          </cell>
          <cell r="J200" t="str">
            <v>PHALOMBE</v>
          </cell>
          <cell r="K200">
            <v>9</v>
          </cell>
        </row>
        <row r="201">
          <cell r="A201" t="str">
            <v>RS 414</v>
          </cell>
          <cell r="B201">
            <v>236</v>
          </cell>
          <cell r="C201" t="str">
            <v>S</v>
          </cell>
          <cell r="D201" t="str">
            <v>T</v>
          </cell>
          <cell r="E201" t="str">
            <v>Nambera - Kalinde</v>
          </cell>
          <cell r="F201" t="str">
            <v>S147</v>
          </cell>
          <cell r="G201">
            <v>3</v>
          </cell>
          <cell r="H201">
            <v>6.2</v>
          </cell>
          <cell r="I201" t="str">
            <v>F</v>
          </cell>
          <cell r="J201" t="str">
            <v>PHALOMBE</v>
          </cell>
          <cell r="K201">
            <v>9</v>
          </cell>
        </row>
        <row r="202">
          <cell r="A202" t="str">
            <v>RS 412</v>
          </cell>
          <cell r="B202">
            <v>234</v>
          </cell>
          <cell r="C202" t="str">
            <v>S</v>
          </cell>
          <cell r="D202" t="str">
            <v>T</v>
          </cell>
          <cell r="E202" t="str">
            <v>Kalinde - Singano</v>
          </cell>
          <cell r="F202" t="str">
            <v>S147</v>
          </cell>
          <cell r="G202">
            <v>4</v>
          </cell>
          <cell r="H202">
            <v>5</v>
          </cell>
          <cell r="I202" t="str">
            <v>F</v>
          </cell>
          <cell r="J202" t="str">
            <v>PHALOMBE</v>
          </cell>
          <cell r="K202">
            <v>9</v>
          </cell>
        </row>
        <row r="203">
          <cell r="A203" t="str">
            <v>RS 419</v>
          </cell>
          <cell r="B203">
            <v>241</v>
          </cell>
          <cell r="C203" t="str">
            <v>S</v>
          </cell>
          <cell r="D203" t="str">
            <v>T</v>
          </cell>
          <cell r="E203" t="str">
            <v>Singano - Phalombe</v>
          </cell>
          <cell r="F203" t="str">
            <v>S147</v>
          </cell>
          <cell r="G203">
            <v>5</v>
          </cell>
          <cell r="H203">
            <v>17.100000000000001</v>
          </cell>
          <cell r="I203" t="str">
            <v>R</v>
          </cell>
          <cell r="J203" t="str">
            <v>PHALOMBE</v>
          </cell>
          <cell r="K203">
            <v>9</v>
          </cell>
        </row>
        <row r="204">
          <cell r="A204" t="str">
            <v>RS 413</v>
          </cell>
          <cell r="B204">
            <v>235</v>
          </cell>
          <cell r="C204" t="str">
            <v>S</v>
          </cell>
          <cell r="D204" t="str">
            <v>T</v>
          </cell>
          <cell r="E204" t="str">
            <v>Bwanaisa - Thuchila River</v>
          </cell>
          <cell r="F204" t="str">
            <v>S147</v>
          </cell>
          <cell r="G204">
            <v>6</v>
          </cell>
          <cell r="H204">
            <v>10.7</v>
          </cell>
          <cell r="I204" t="str">
            <v>F</v>
          </cell>
          <cell r="J204" t="str">
            <v>PHALOMBE</v>
          </cell>
          <cell r="K204">
            <v>9</v>
          </cell>
        </row>
        <row r="205">
          <cell r="A205" t="str">
            <v>RS 415</v>
          </cell>
          <cell r="B205">
            <v>237</v>
          </cell>
          <cell r="C205" t="str">
            <v>S</v>
          </cell>
          <cell r="D205" t="str">
            <v>T</v>
          </cell>
          <cell r="E205" t="str">
            <v>Thuchila River - Liwamba Village</v>
          </cell>
          <cell r="F205" t="str">
            <v>S147</v>
          </cell>
          <cell r="G205">
            <v>7</v>
          </cell>
          <cell r="H205">
            <v>13.3</v>
          </cell>
          <cell r="I205" t="str">
            <v>F</v>
          </cell>
          <cell r="J205" t="str">
            <v>MULANJE</v>
          </cell>
          <cell r="K205">
            <v>9</v>
          </cell>
        </row>
        <row r="206">
          <cell r="A206" t="str">
            <v>RS 411</v>
          </cell>
          <cell r="B206">
            <v>233</v>
          </cell>
          <cell r="C206" t="str">
            <v>S</v>
          </cell>
          <cell r="D206" t="str">
            <v>T</v>
          </cell>
          <cell r="E206" t="str">
            <v>Liwamba Village - Fundisi Cross (junction M4)</v>
          </cell>
          <cell r="F206" t="str">
            <v>S147</v>
          </cell>
          <cell r="G206">
            <v>8</v>
          </cell>
          <cell r="H206">
            <v>11.3</v>
          </cell>
          <cell r="I206" t="str">
            <v>F</v>
          </cell>
          <cell r="J206" t="str">
            <v>PHALOMBE</v>
          </cell>
          <cell r="K206">
            <v>9</v>
          </cell>
        </row>
        <row r="207">
          <cell r="A207" t="str">
            <v>RS 420</v>
          </cell>
          <cell r="B207">
            <v>242</v>
          </cell>
          <cell r="C207" t="str">
            <v>S</v>
          </cell>
          <cell r="D207" t="str">
            <v>T</v>
          </cell>
          <cell r="E207" t="str">
            <v>Liwamba Village - Chitakale</v>
          </cell>
          <cell r="F207" t="str">
            <v>S148</v>
          </cell>
          <cell r="G207">
            <v>1</v>
          </cell>
          <cell r="H207">
            <v>12</v>
          </cell>
          <cell r="I207" t="str">
            <v>H</v>
          </cell>
          <cell r="J207" t="str">
            <v>MULANJE</v>
          </cell>
          <cell r="K207">
            <v>9</v>
          </cell>
        </row>
        <row r="208">
          <cell r="A208" t="str">
            <v>RS 425</v>
          </cell>
          <cell r="B208">
            <v>247</v>
          </cell>
          <cell r="C208" t="str">
            <v>S</v>
          </cell>
          <cell r="D208" t="str">
            <v>T</v>
          </cell>
          <cell r="E208" t="str">
            <v>Chonde (junction M2) - Msikawanjala</v>
          </cell>
          <cell r="F208" t="str">
            <v>S149</v>
          </cell>
          <cell r="G208">
            <v>1</v>
          </cell>
          <cell r="H208">
            <v>9.1999999999999993</v>
          </cell>
          <cell r="I208" t="str">
            <v>R</v>
          </cell>
          <cell r="J208" t="str">
            <v>MULANJE</v>
          </cell>
          <cell r="K208">
            <v>9</v>
          </cell>
        </row>
        <row r="209">
          <cell r="A209" t="str">
            <v>RS 422</v>
          </cell>
          <cell r="B209">
            <v>244</v>
          </cell>
          <cell r="C209" t="str">
            <v>S</v>
          </cell>
          <cell r="D209" t="str">
            <v>T</v>
          </cell>
          <cell r="E209" t="str">
            <v>Msikawanjala - Mitombozi</v>
          </cell>
          <cell r="F209" t="str">
            <v>S149</v>
          </cell>
          <cell r="G209">
            <v>2</v>
          </cell>
          <cell r="H209">
            <v>11.4</v>
          </cell>
          <cell r="I209" t="str">
            <v>F</v>
          </cell>
          <cell r="J209" t="str">
            <v>MULANJE</v>
          </cell>
          <cell r="K209">
            <v>9</v>
          </cell>
        </row>
        <row r="210">
          <cell r="A210" t="str">
            <v>RS 421</v>
          </cell>
          <cell r="B210">
            <v>243</v>
          </cell>
          <cell r="C210" t="str">
            <v>S</v>
          </cell>
          <cell r="D210" t="str">
            <v>T</v>
          </cell>
          <cell r="E210" t="str">
            <v>Mitombozi - Thanguzi River</v>
          </cell>
          <cell r="F210" t="str">
            <v>S149</v>
          </cell>
          <cell r="G210">
            <v>3</v>
          </cell>
          <cell r="H210">
            <v>1</v>
          </cell>
          <cell r="I210" t="str">
            <v>R</v>
          </cell>
          <cell r="J210" t="str">
            <v>MULANJE</v>
          </cell>
          <cell r="K210">
            <v>9</v>
          </cell>
        </row>
        <row r="211">
          <cell r="A211" t="str">
            <v>RS 426</v>
          </cell>
          <cell r="B211">
            <v>248</v>
          </cell>
          <cell r="C211" t="str">
            <v>S</v>
          </cell>
          <cell r="D211" t="str">
            <v>T</v>
          </cell>
          <cell r="E211" t="str">
            <v>Thanguzi River - Matambi</v>
          </cell>
          <cell r="F211" t="str">
            <v>S149</v>
          </cell>
          <cell r="G211">
            <v>4</v>
          </cell>
          <cell r="H211">
            <v>12.6</v>
          </cell>
          <cell r="I211" t="str">
            <v>F</v>
          </cell>
          <cell r="J211" t="str">
            <v>MULANJE</v>
          </cell>
          <cell r="K211">
            <v>9</v>
          </cell>
        </row>
        <row r="212">
          <cell r="A212" t="str">
            <v>RS 423</v>
          </cell>
          <cell r="B212">
            <v>245</v>
          </cell>
          <cell r="C212" t="str">
            <v>S</v>
          </cell>
          <cell r="D212" t="str">
            <v>T</v>
          </cell>
          <cell r="E212" t="str">
            <v>Matambi - Mimosa (junction M2)</v>
          </cell>
          <cell r="F212" t="str">
            <v>S149</v>
          </cell>
          <cell r="G212">
            <v>5</v>
          </cell>
          <cell r="H212">
            <v>9.8000000000000007</v>
          </cell>
          <cell r="I212" t="str">
            <v>R</v>
          </cell>
          <cell r="J212" t="str">
            <v>MULANJE</v>
          </cell>
          <cell r="K212">
            <v>9</v>
          </cell>
        </row>
        <row r="213">
          <cell r="A213" t="str">
            <v>RS 430</v>
          </cell>
          <cell r="B213">
            <v>252</v>
          </cell>
          <cell r="C213" t="str">
            <v>S</v>
          </cell>
          <cell r="D213" t="str">
            <v>T</v>
          </cell>
          <cell r="E213" t="str">
            <v>Luchenza (junction M2) - Namilonje</v>
          </cell>
          <cell r="F213" t="str">
            <v>S150</v>
          </cell>
          <cell r="G213">
            <v>1</v>
          </cell>
          <cell r="H213">
            <v>9</v>
          </cell>
          <cell r="I213" t="str">
            <v>R</v>
          </cell>
          <cell r="J213" t="str">
            <v>THYOLO</v>
          </cell>
          <cell r="K213">
            <v>9</v>
          </cell>
        </row>
        <row r="214">
          <cell r="A214" t="str">
            <v>RS 428</v>
          </cell>
          <cell r="B214">
            <v>250</v>
          </cell>
          <cell r="C214" t="str">
            <v>S</v>
          </cell>
          <cell r="D214" t="str">
            <v>T</v>
          </cell>
          <cell r="E214" t="str">
            <v>Namilonje - Goliati</v>
          </cell>
          <cell r="F214" t="str">
            <v>S150</v>
          </cell>
          <cell r="G214">
            <v>2</v>
          </cell>
          <cell r="H214">
            <v>8.1</v>
          </cell>
          <cell r="I214" t="str">
            <v>R</v>
          </cell>
          <cell r="J214" t="str">
            <v>THYOLO</v>
          </cell>
          <cell r="K214">
            <v>9</v>
          </cell>
        </row>
        <row r="215">
          <cell r="A215" t="str">
            <v>RS 427</v>
          </cell>
          <cell r="B215">
            <v>249</v>
          </cell>
          <cell r="C215" t="str">
            <v>S</v>
          </cell>
          <cell r="D215" t="str">
            <v>T</v>
          </cell>
          <cell r="E215" t="str">
            <v>Goliati - Nansadi</v>
          </cell>
          <cell r="F215" t="str">
            <v>S150</v>
          </cell>
          <cell r="G215">
            <v>3</v>
          </cell>
          <cell r="H215">
            <v>6.5</v>
          </cell>
          <cell r="I215" t="str">
            <v>R</v>
          </cell>
          <cell r="J215" t="str">
            <v>THYOLO</v>
          </cell>
          <cell r="K215">
            <v>9</v>
          </cell>
        </row>
        <row r="216">
          <cell r="A216" t="str">
            <v>RS 429</v>
          </cell>
          <cell r="B216">
            <v>251</v>
          </cell>
          <cell r="C216" t="str">
            <v>S</v>
          </cell>
          <cell r="D216" t="str">
            <v>T</v>
          </cell>
          <cell r="E216" t="str">
            <v>Nansadi - Mikolongwe (junction M4)</v>
          </cell>
          <cell r="F216" t="str">
            <v>S150</v>
          </cell>
          <cell r="G216">
            <v>4</v>
          </cell>
          <cell r="H216">
            <v>5.7</v>
          </cell>
          <cell r="I216" t="str">
            <v>R</v>
          </cell>
          <cell r="J216" t="str">
            <v>THYOLO</v>
          </cell>
          <cell r="K216">
            <v>9</v>
          </cell>
        </row>
        <row r="217">
          <cell r="A217" t="str">
            <v>RS 433</v>
          </cell>
          <cell r="B217">
            <v>255</v>
          </cell>
          <cell r="C217" t="str">
            <v>S</v>
          </cell>
          <cell r="D217" t="str">
            <v>T</v>
          </cell>
          <cell r="E217" t="str">
            <v>Thyolo (junction M2) - Nawadzi River Bridge</v>
          </cell>
          <cell r="F217" t="str">
            <v>S151</v>
          </cell>
          <cell r="G217">
            <v>1</v>
          </cell>
          <cell r="H217">
            <v>5.0999999999999996</v>
          </cell>
          <cell r="I217" t="str">
            <v>R</v>
          </cell>
          <cell r="J217" t="str">
            <v>THYOLO</v>
          </cell>
          <cell r="K217">
            <v>9</v>
          </cell>
        </row>
        <row r="218">
          <cell r="A218" t="str">
            <v>RS 431</v>
          </cell>
          <cell r="B218">
            <v>253</v>
          </cell>
          <cell r="C218" t="str">
            <v>S</v>
          </cell>
          <cell r="D218" t="str">
            <v>T</v>
          </cell>
          <cell r="E218" t="str">
            <v>Nawadzi River Bridge - Makwasa</v>
          </cell>
          <cell r="F218" t="str">
            <v>S151</v>
          </cell>
          <cell r="G218">
            <v>2</v>
          </cell>
          <cell r="H218">
            <v>16.5</v>
          </cell>
          <cell r="I218" t="str">
            <v>H</v>
          </cell>
          <cell r="J218" t="str">
            <v>THYOLO</v>
          </cell>
          <cell r="K218">
            <v>9</v>
          </cell>
        </row>
        <row r="219">
          <cell r="A219" t="str">
            <v>RS 434</v>
          </cell>
          <cell r="B219">
            <v>256</v>
          </cell>
          <cell r="C219" t="str">
            <v>S</v>
          </cell>
          <cell r="D219" t="str">
            <v>T</v>
          </cell>
          <cell r="E219" t="str">
            <v>Makwasa - Chinzama</v>
          </cell>
          <cell r="F219" t="str">
            <v>S151</v>
          </cell>
          <cell r="G219">
            <v>3</v>
          </cell>
          <cell r="H219">
            <v>18</v>
          </cell>
          <cell r="I219" t="str">
            <v>H</v>
          </cell>
          <cell r="J219" t="str">
            <v>THYOLO</v>
          </cell>
          <cell r="K219">
            <v>9</v>
          </cell>
        </row>
        <row r="220">
          <cell r="A220" t="str">
            <v>RS 432</v>
          </cell>
          <cell r="B220">
            <v>254</v>
          </cell>
          <cell r="C220" t="str">
            <v>S</v>
          </cell>
          <cell r="D220" t="str">
            <v>T</v>
          </cell>
          <cell r="E220" t="str">
            <v>Chinzama - Thekerani</v>
          </cell>
          <cell r="F220" t="str">
            <v>S151</v>
          </cell>
          <cell r="G220">
            <v>4</v>
          </cell>
          <cell r="H220">
            <v>14.8</v>
          </cell>
          <cell r="I220" t="str">
            <v>H</v>
          </cell>
          <cell r="J220" t="str">
            <v>THYOLO</v>
          </cell>
          <cell r="K220">
            <v>10</v>
          </cell>
        </row>
        <row r="221">
          <cell r="A221" t="str">
            <v>RS 437</v>
          </cell>
          <cell r="B221">
            <v>259</v>
          </cell>
          <cell r="C221" t="str">
            <v>S</v>
          </cell>
          <cell r="D221" t="str">
            <v>T</v>
          </cell>
          <cell r="E221" t="str">
            <v>Thekerani - Chiphwanya</v>
          </cell>
          <cell r="F221" t="str">
            <v>S151</v>
          </cell>
          <cell r="G221">
            <v>5</v>
          </cell>
          <cell r="H221">
            <v>8.6999999999999993</v>
          </cell>
          <cell r="I221" t="str">
            <v>H</v>
          </cell>
          <cell r="J221" t="str">
            <v>THYOLO</v>
          </cell>
          <cell r="K221">
            <v>10</v>
          </cell>
        </row>
        <row r="222">
          <cell r="A222" t="str">
            <v>RS 442</v>
          </cell>
          <cell r="B222">
            <v>264</v>
          </cell>
          <cell r="C222" t="str">
            <v>S</v>
          </cell>
          <cell r="D222" t="str">
            <v>T</v>
          </cell>
          <cell r="E222" t="str">
            <v>Chiphwanya - Mlambala River</v>
          </cell>
          <cell r="F222" t="str">
            <v>S151</v>
          </cell>
          <cell r="G222">
            <v>6</v>
          </cell>
          <cell r="H222">
            <v>9.3000000000000007</v>
          </cell>
          <cell r="I222" t="str">
            <v>R</v>
          </cell>
          <cell r="J222" t="str">
            <v>NSANJE</v>
          </cell>
          <cell r="K222">
            <v>10</v>
          </cell>
          <cell r="L222" t="str">
            <v>Changed designation from S156 to S151</v>
          </cell>
        </row>
        <row r="223">
          <cell r="A223" t="str">
            <v>RS 440</v>
          </cell>
          <cell r="B223">
            <v>262</v>
          </cell>
          <cell r="C223" t="str">
            <v>S</v>
          </cell>
          <cell r="D223" t="str">
            <v>T</v>
          </cell>
          <cell r="E223" t="str">
            <v>Thabwa (junction M1) - Mapelera River</v>
          </cell>
          <cell r="F223" t="str">
            <v>S152</v>
          </cell>
          <cell r="G223">
            <v>1</v>
          </cell>
          <cell r="H223">
            <v>10</v>
          </cell>
          <cell r="I223" t="str">
            <v>R</v>
          </cell>
          <cell r="J223" t="str">
            <v>CHIKWAWA</v>
          </cell>
          <cell r="K223">
            <v>9</v>
          </cell>
        </row>
        <row r="224">
          <cell r="A224" t="str">
            <v>RS 441</v>
          </cell>
          <cell r="B224">
            <v>263</v>
          </cell>
          <cell r="C224" t="str">
            <v>S</v>
          </cell>
          <cell r="D224" t="str">
            <v>T</v>
          </cell>
          <cell r="E224" t="str">
            <v>Maperela River - Livunzi River</v>
          </cell>
          <cell r="F224" t="str">
            <v>S152</v>
          </cell>
          <cell r="G224">
            <v>2</v>
          </cell>
          <cell r="H224">
            <v>16.2</v>
          </cell>
          <cell r="I224" t="str">
            <v>R</v>
          </cell>
          <cell r="J224" t="str">
            <v>CHIKWAWA</v>
          </cell>
          <cell r="K224">
            <v>9</v>
          </cell>
        </row>
        <row r="225">
          <cell r="A225" t="str">
            <v>RS 438</v>
          </cell>
          <cell r="B225">
            <v>260</v>
          </cell>
          <cell r="C225" t="str">
            <v>S</v>
          </cell>
          <cell r="D225" t="str">
            <v>T</v>
          </cell>
          <cell r="E225" t="str">
            <v>Livunzu River - Milole River</v>
          </cell>
          <cell r="F225" t="str">
            <v>S152</v>
          </cell>
          <cell r="G225">
            <v>3</v>
          </cell>
          <cell r="H225">
            <v>19.100000000000001</v>
          </cell>
          <cell r="I225" t="str">
            <v>H</v>
          </cell>
          <cell r="J225" t="str">
            <v>CHIKWAWA</v>
          </cell>
          <cell r="K225">
            <v>9</v>
          </cell>
          <cell r="L225" t="str">
            <v>Changed designation from T403 to T405</v>
          </cell>
        </row>
        <row r="226">
          <cell r="A226" t="str">
            <v>RS 439</v>
          </cell>
          <cell r="B226">
            <v>261</v>
          </cell>
          <cell r="C226" t="str">
            <v>S</v>
          </cell>
          <cell r="D226" t="str">
            <v>T</v>
          </cell>
          <cell r="E226" t="str">
            <v>Milole River - Mlambala</v>
          </cell>
          <cell r="F226" t="str">
            <v>S152</v>
          </cell>
          <cell r="G226">
            <v>4</v>
          </cell>
          <cell r="H226">
            <v>14.5</v>
          </cell>
          <cell r="I226" t="str">
            <v>R</v>
          </cell>
          <cell r="J226" t="str">
            <v>CHIKWAWA</v>
          </cell>
          <cell r="K226">
            <v>10</v>
          </cell>
          <cell r="L226" t="str">
            <v>Changed designation from T408 to T405</v>
          </cell>
        </row>
        <row r="227">
          <cell r="A227" t="str">
            <v>RS 332</v>
          </cell>
          <cell r="B227">
            <v>154</v>
          </cell>
          <cell r="C227" t="str">
            <v>S</v>
          </cell>
          <cell r="D227" t="str">
            <v>T</v>
          </cell>
          <cell r="E227" t="str">
            <v>Mwona - Makhanga</v>
          </cell>
          <cell r="F227" t="str">
            <v>S152</v>
          </cell>
          <cell r="G227">
            <v>5</v>
          </cell>
          <cell r="H227">
            <v>12</v>
          </cell>
          <cell r="I227" t="str">
            <v>F</v>
          </cell>
          <cell r="J227" t="str">
            <v>NSANJE</v>
          </cell>
          <cell r="K227">
            <v>10</v>
          </cell>
          <cell r="L227" t="str">
            <v>Changed designation from M9 to S152</v>
          </cell>
        </row>
        <row r="228">
          <cell r="A228" t="str">
            <v>RS 436</v>
          </cell>
          <cell r="B228">
            <v>258</v>
          </cell>
          <cell r="C228" t="str">
            <v>S</v>
          </cell>
          <cell r="D228" t="str">
            <v>T</v>
          </cell>
          <cell r="E228" t="str">
            <v>Makhanga - Bangula (junction M1)</v>
          </cell>
          <cell r="F228" t="str">
            <v>S152</v>
          </cell>
          <cell r="G228">
            <v>6</v>
          </cell>
          <cell r="H228">
            <v>9</v>
          </cell>
          <cell r="I228" t="str">
            <v>H</v>
          </cell>
          <cell r="J228" t="str">
            <v>NSANJE</v>
          </cell>
          <cell r="K228">
            <v>10</v>
          </cell>
          <cell r="L228" t="str">
            <v>Changed designation from S151 to S152</v>
          </cell>
        </row>
        <row r="229">
          <cell r="A229" t="str">
            <v>RS 417</v>
          </cell>
          <cell r="B229">
            <v>239</v>
          </cell>
          <cell r="C229" t="str">
            <v>S</v>
          </cell>
          <cell r="D229" t="str">
            <v>T</v>
          </cell>
          <cell r="E229" t="str">
            <v>Kuchawe - Zomba City Boundary (down road)</v>
          </cell>
          <cell r="F229" t="str">
            <v>UD</v>
          </cell>
          <cell r="G229">
            <v>6</v>
          </cell>
          <cell r="H229">
            <v>5.9</v>
          </cell>
          <cell r="I229" t="str">
            <v>H</v>
          </cell>
          <cell r="J229" t="str">
            <v xml:space="preserve">ZOMBA </v>
          </cell>
          <cell r="K229" t="str">
            <v>C</v>
          </cell>
        </row>
        <row r="230">
          <cell r="A230" t="str">
            <v>RS 850</v>
          </cell>
          <cell r="B230" t="str">
            <v>n.a</v>
          </cell>
          <cell r="C230" t="str">
            <v>N</v>
          </cell>
          <cell r="D230" t="str">
            <v>Urban</v>
          </cell>
          <cell r="E230" t="str">
            <v>Viphya Drive (Mazuzu Hotel to end)</v>
          </cell>
          <cell r="F230" t="str">
            <v>Urban</v>
          </cell>
          <cell r="G230" t="str">
            <v>U</v>
          </cell>
          <cell r="H230">
            <v>1.5</v>
          </cell>
          <cell r="I230">
            <v>0</v>
          </cell>
          <cell r="J230" t="str">
            <v>MUZUZU</v>
          </cell>
          <cell r="K230" t="str">
            <v>C</v>
          </cell>
          <cell r="L230" t="str">
            <v>Part of origional RS 148</v>
          </cell>
        </row>
        <row r="231">
          <cell r="A231" t="str">
            <v>RS 150</v>
          </cell>
          <cell r="B231">
            <v>150</v>
          </cell>
          <cell r="C231" t="str">
            <v>N</v>
          </cell>
          <cell r="D231" t="str">
            <v>U</v>
          </cell>
          <cell r="E231" t="str">
            <v>Viphya Drive - via Prison - Kamuzu Drive</v>
          </cell>
          <cell r="F231" t="str">
            <v>Urban</v>
          </cell>
          <cell r="G231">
            <v>27</v>
          </cell>
          <cell r="H231">
            <v>2</v>
          </cell>
          <cell r="I231" t="str">
            <v>F</v>
          </cell>
          <cell r="J231" t="str">
            <v>MZUZU CITY</v>
          </cell>
          <cell r="K231" t="str">
            <v>C</v>
          </cell>
          <cell r="L231" t="str">
            <v>Road section redefined</v>
          </cell>
        </row>
        <row r="232">
          <cell r="A232" t="str">
            <v>RS 842</v>
          </cell>
          <cell r="B232">
            <v>170</v>
          </cell>
          <cell r="C232" t="str">
            <v>S</v>
          </cell>
          <cell r="D232" t="str">
            <v>U</v>
          </cell>
          <cell r="E232" t="str">
            <v>Zomba - Chikanda (end bitumen to end road)</v>
          </cell>
          <cell r="F232" t="str">
            <v>Urban</v>
          </cell>
          <cell r="G232">
            <v>18</v>
          </cell>
          <cell r="H232">
            <v>2.6</v>
          </cell>
          <cell r="I232" t="str">
            <v>R</v>
          </cell>
          <cell r="J232" t="str">
            <v>ZOMBA CITY</v>
          </cell>
          <cell r="K232" t="str">
            <v>C</v>
          </cell>
          <cell r="L232" t="str">
            <v>Road section redefined</v>
          </cell>
        </row>
        <row r="233">
          <cell r="A233" t="str">
            <v>RS 844</v>
          </cell>
          <cell r="B233">
            <v>172</v>
          </cell>
          <cell r="C233" t="str">
            <v>S</v>
          </cell>
          <cell r="D233" t="str">
            <v>U</v>
          </cell>
          <cell r="E233" t="str">
            <v>Chancellor College Road (end bitumen to end road)</v>
          </cell>
          <cell r="F233" t="str">
            <v>Urban</v>
          </cell>
          <cell r="G233">
            <v>20</v>
          </cell>
          <cell r="H233">
            <v>2.2000000000000002</v>
          </cell>
          <cell r="I233" t="str">
            <v>R</v>
          </cell>
          <cell r="J233" t="str">
            <v>ZOMBA CITY</v>
          </cell>
          <cell r="K233" t="str">
            <v>C</v>
          </cell>
        </row>
        <row r="234">
          <cell r="A234" t="str">
            <v>RS 844</v>
          </cell>
          <cell r="B234">
            <v>172</v>
          </cell>
          <cell r="C234" t="str">
            <v>S</v>
          </cell>
          <cell r="D234" t="str">
            <v>U</v>
          </cell>
          <cell r="E234" t="str">
            <v>Chancellor College Road (end bitumen to end road)</v>
          </cell>
          <cell r="F234" t="str">
            <v>Urban</v>
          </cell>
          <cell r="G234">
            <v>20</v>
          </cell>
          <cell r="H234">
            <v>2.2000000000000002</v>
          </cell>
          <cell r="I234" t="str">
            <v>R</v>
          </cell>
          <cell r="J234" t="str">
            <v>ZOMBA CITY</v>
          </cell>
          <cell r="K234" t="str">
            <v>C</v>
          </cell>
        </row>
        <row r="235">
          <cell r="A235" t="str">
            <v>Count</v>
          </cell>
          <cell r="B235">
            <v>224</v>
          </cell>
          <cell r="C235">
            <v>0</v>
          </cell>
          <cell r="D235">
            <v>0</v>
          </cell>
          <cell r="E235" t="str">
            <v>Total length</v>
          </cell>
          <cell r="F235">
            <v>3752.4000000000005</v>
          </cell>
          <cell r="G235">
            <v>0</v>
          </cell>
          <cell r="H235">
            <v>0</v>
          </cell>
          <cell r="I235">
            <v>0</v>
          </cell>
          <cell r="J235" t="str">
            <v>km</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sheetData>
      <sheetData sheetId="2" refreshError="1">
        <row r="1">
          <cell r="A1" t="str">
            <v xml:space="preserve">Table A2 - Road Sections (as given in Terms of Reference) Not Used In The Study </v>
          </cell>
        </row>
        <row r="2">
          <cell r="A2" t="str">
            <v>Road Section No.</v>
          </cell>
          <cell r="B2" t="str">
            <v>MOWS Project No.</v>
          </cell>
          <cell r="C2" t="str">
            <v>Region</v>
          </cell>
          <cell r="D2" t="str">
            <v>Road class</v>
          </cell>
          <cell r="E2" t="str">
            <v>Road section</v>
          </cell>
          <cell r="F2" t="str">
            <v>Road designation</v>
          </cell>
          <cell r="G2" t="str">
            <v>Sequence</v>
          </cell>
          <cell r="H2" t="str">
            <v>Length (km)</v>
          </cell>
          <cell r="I2" t="str">
            <v>Map sheet No.</v>
          </cell>
          <cell r="J2" t="str">
            <v>Trrrain</v>
          </cell>
          <cell r="K2" t="str">
            <v>Reason for change &amp; district</v>
          </cell>
          <cell r="L2" t="str">
            <v>Comments</v>
          </cell>
        </row>
        <row r="3">
          <cell r="A3" t="str">
            <v>RS 001</v>
          </cell>
          <cell r="B3" t="str">
            <v>1</v>
          </cell>
          <cell r="C3" t="str">
            <v>N</v>
          </cell>
          <cell r="D3" t="str">
            <v>T</v>
          </cell>
          <cell r="E3" t="str">
            <v>Songwe - Chitimba River</v>
          </cell>
          <cell r="F3" t="str">
            <v>M01</v>
          </cell>
          <cell r="G3">
            <v>99</v>
          </cell>
          <cell r="H3">
            <v>120</v>
          </cell>
          <cell r="I3">
            <v>1</v>
          </cell>
          <cell r="J3" t="str">
            <v>F</v>
          </cell>
          <cell r="K3" t="str">
            <v>Split into RS 839 &amp; 840.</v>
          </cell>
          <cell r="L3" t="str">
            <v>Section not used in Study</v>
          </cell>
        </row>
        <row r="4">
          <cell r="A4" t="str">
            <v>RS 839</v>
          </cell>
          <cell r="B4" t="str">
            <v>n.a</v>
          </cell>
          <cell r="C4" t="str">
            <v>N</v>
          </cell>
          <cell r="D4" t="str">
            <v>T</v>
          </cell>
          <cell r="E4" t="str">
            <v>Songwe - Karonga</v>
          </cell>
          <cell r="F4" t="str">
            <v>M01</v>
          </cell>
          <cell r="G4">
            <v>1</v>
          </cell>
          <cell r="H4">
            <v>43</v>
          </cell>
          <cell r="I4">
            <v>1</v>
          </cell>
          <cell r="J4" t="str">
            <v>F</v>
          </cell>
          <cell r="K4" t="str">
            <v>KARONGA</v>
          </cell>
          <cell r="L4" t="str">
            <v>New section, part of RS1</v>
          </cell>
        </row>
        <row r="5">
          <cell r="A5" t="str">
            <v>RS 840</v>
          </cell>
          <cell r="B5" t="str">
            <v>n.a</v>
          </cell>
          <cell r="C5" t="str">
            <v>N</v>
          </cell>
          <cell r="D5" t="str">
            <v>T</v>
          </cell>
          <cell r="E5" t="str">
            <v>Karonga - Chitimba River</v>
          </cell>
          <cell r="F5" t="str">
            <v>M01</v>
          </cell>
          <cell r="G5">
            <v>2</v>
          </cell>
          <cell r="H5">
            <v>77</v>
          </cell>
          <cell r="I5">
            <v>1</v>
          </cell>
          <cell r="J5" t="str">
            <v>F</v>
          </cell>
          <cell r="K5" t="str">
            <v>KARONGA</v>
          </cell>
          <cell r="L5" t="str">
            <v>New section, part of RS1</v>
          </cell>
        </row>
        <row r="6">
          <cell r="A6" t="str">
            <v>RS 006</v>
          </cell>
          <cell r="B6" t="str">
            <v>6</v>
          </cell>
          <cell r="C6" t="str">
            <v>N</v>
          </cell>
          <cell r="D6" t="str">
            <v>T</v>
          </cell>
          <cell r="E6" t="str">
            <v>Mzuzu -Nkhata Bay Border</v>
          </cell>
          <cell r="F6" t="str">
            <v>M05</v>
          </cell>
          <cell r="G6">
            <v>99</v>
          </cell>
          <cell r="H6">
            <v>8</v>
          </cell>
          <cell r="I6" t="str">
            <v>-</v>
          </cell>
          <cell r="J6" t="str">
            <v>-</v>
          </cell>
          <cell r="K6" t="str">
            <v>Contained within RS 005</v>
          </cell>
          <cell r="L6" t="str">
            <v>Section not used in Study</v>
          </cell>
        </row>
        <row r="7">
          <cell r="A7" t="str">
            <v>RS 005</v>
          </cell>
          <cell r="B7" t="str">
            <v>5</v>
          </cell>
          <cell r="C7" t="str">
            <v>N</v>
          </cell>
          <cell r="D7" t="str">
            <v>T</v>
          </cell>
          <cell r="E7" t="str">
            <v>Mzuzu - Nkhata Bay</v>
          </cell>
          <cell r="F7" t="str">
            <v>M05</v>
          </cell>
          <cell r="G7">
            <v>1</v>
          </cell>
          <cell r="H7">
            <v>45</v>
          </cell>
          <cell r="I7">
            <v>3</v>
          </cell>
          <cell r="J7" t="str">
            <v>F</v>
          </cell>
          <cell r="K7" t="str">
            <v>MZIMBA &amp; NKHATA BAY</v>
          </cell>
        </row>
        <row r="8">
          <cell r="A8" t="str">
            <v>RS 039</v>
          </cell>
          <cell r="B8">
            <v>39</v>
          </cell>
          <cell r="C8" t="str">
            <v>C</v>
          </cell>
          <cell r="D8" t="str">
            <v>T</v>
          </cell>
          <cell r="E8" t="str">
            <v>Dedza - Lilongwe</v>
          </cell>
          <cell r="F8" t="str">
            <v>M01</v>
          </cell>
          <cell r="G8">
            <v>99</v>
          </cell>
          <cell r="H8">
            <v>84</v>
          </cell>
          <cell r="I8" t="str">
            <v>-</v>
          </cell>
          <cell r="J8" t="str">
            <v>-</v>
          </cell>
          <cell r="K8" t="str">
            <v>Contains RS 20,28,12,37,25,10,38,23,33</v>
          </cell>
          <cell r="L8" t="str">
            <v>Section not used in Study</v>
          </cell>
        </row>
        <row r="9">
          <cell r="A9" t="str">
            <v>RS 020</v>
          </cell>
          <cell r="B9">
            <v>20</v>
          </cell>
          <cell r="C9" t="str">
            <v>C</v>
          </cell>
          <cell r="D9" t="str">
            <v>T</v>
          </cell>
          <cell r="E9" t="str">
            <v>Lumbadzi River Bridge -  Chitsame</v>
          </cell>
          <cell r="F9" t="str">
            <v>M01</v>
          </cell>
          <cell r="G9">
            <v>15</v>
          </cell>
          <cell r="H9">
            <v>33</v>
          </cell>
          <cell r="I9">
            <v>6</v>
          </cell>
          <cell r="J9" t="str">
            <v>F</v>
          </cell>
          <cell r="K9" t="str">
            <v>LILONGWE</v>
          </cell>
        </row>
        <row r="10">
          <cell r="A10" t="str">
            <v>RS 028</v>
          </cell>
          <cell r="B10">
            <v>28</v>
          </cell>
          <cell r="C10" t="str">
            <v>C</v>
          </cell>
          <cell r="D10" t="str">
            <v>T</v>
          </cell>
          <cell r="E10" t="str">
            <v>Chitsime - Kamchere</v>
          </cell>
          <cell r="F10" t="str">
            <v>M01</v>
          </cell>
          <cell r="G10">
            <v>16</v>
          </cell>
          <cell r="H10">
            <v>8.8000000000000007</v>
          </cell>
          <cell r="I10">
            <v>6</v>
          </cell>
          <cell r="J10" t="str">
            <v>F</v>
          </cell>
          <cell r="K10" t="str">
            <v>LILONGWE</v>
          </cell>
        </row>
        <row r="11">
          <cell r="A11" t="str">
            <v>RS 012</v>
          </cell>
          <cell r="B11">
            <v>12</v>
          </cell>
          <cell r="C11" t="str">
            <v>C</v>
          </cell>
          <cell r="D11" t="str">
            <v>T</v>
          </cell>
          <cell r="E11" t="str">
            <v>Kamchere - Kalumba T/Off</v>
          </cell>
          <cell r="F11" t="str">
            <v>M01</v>
          </cell>
          <cell r="G11">
            <v>17</v>
          </cell>
          <cell r="H11">
            <v>13.4</v>
          </cell>
          <cell r="I11">
            <v>6</v>
          </cell>
          <cell r="J11" t="str">
            <v>F</v>
          </cell>
          <cell r="K11" t="str">
            <v>LILONGWE</v>
          </cell>
        </row>
        <row r="12">
          <cell r="A12" t="str">
            <v>RS 037</v>
          </cell>
          <cell r="B12">
            <v>37</v>
          </cell>
          <cell r="C12" t="str">
            <v>C</v>
          </cell>
          <cell r="D12" t="str">
            <v>T</v>
          </cell>
          <cell r="E12" t="str">
            <v>Kalumba T/Off - Diamphwe River Bridge</v>
          </cell>
          <cell r="F12" t="str">
            <v>M01</v>
          </cell>
          <cell r="G12">
            <v>18</v>
          </cell>
          <cell r="H12">
            <v>18.7</v>
          </cell>
          <cell r="I12">
            <v>6</v>
          </cell>
          <cell r="J12" t="str">
            <v>F</v>
          </cell>
          <cell r="K12" t="str">
            <v>LILONGWE</v>
          </cell>
        </row>
        <row r="13">
          <cell r="A13" t="str">
            <v>RS 025</v>
          </cell>
          <cell r="B13">
            <v>25</v>
          </cell>
          <cell r="C13" t="str">
            <v>C</v>
          </cell>
          <cell r="D13" t="str">
            <v>T</v>
          </cell>
          <cell r="E13" t="str">
            <v>Diamphwe River - Junction S126</v>
          </cell>
          <cell r="F13" t="str">
            <v>M01</v>
          </cell>
          <cell r="G13">
            <v>19</v>
          </cell>
          <cell r="H13">
            <v>5.4</v>
          </cell>
          <cell r="I13">
            <v>6</v>
          </cell>
          <cell r="J13" t="str">
            <v>R</v>
          </cell>
          <cell r="K13" t="str">
            <v>DEDZA</v>
          </cell>
        </row>
        <row r="14">
          <cell r="A14" t="str">
            <v>RS 010</v>
          </cell>
          <cell r="B14">
            <v>10</v>
          </cell>
          <cell r="C14" t="str">
            <v>C</v>
          </cell>
          <cell r="D14" t="str">
            <v>T</v>
          </cell>
          <cell r="E14" t="str">
            <v>Junction S126 - Linthipe</v>
          </cell>
          <cell r="F14" t="str">
            <v>M01</v>
          </cell>
          <cell r="G14">
            <v>20</v>
          </cell>
          <cell r="H14">
            <v>8.1</v>
          </cell>
          <cell r="I14">
            <v>6</v>
          </cell>
          <cell r="J14" t="str">
            <v>R</v>
          </cell>
          <cell r="K14" t="str">
            <v>DEDZA</v>
          </cell>
        </row>
        <row r="15">
          <cell r="A15" t="str">
            <v>RS 038</v>
          </cell>
          <cell r="B15">
            <v>38</v>
          </cell>
          <cell r="C15" t="str">
            <v>C</v>
          </cell>
          <cell r="D15" t="str">
            <v>T</v>
          </cell>
          <cell r="E15" t="str">
            <v>Linthipe - Chimbiya</v>
          </cell>
          <cell r="F15" t="str">
            <v>M01</v>
          </cell>
          <cell r="G15">
            <v>21</v>
          </cell>
          <cell r="H15">
            <v>6.3</v>
          </cell>
          <cell r="I15">
            <v>6</v>
          </cell>
          <cell r="J15" t="str">
            <v>R</v>
          </cell>
          <cell r="K15" t="str">
            <v>LILONGWE</v>
          </cell>
        </row>
        <row r="16">
          <cell r="A16" t="str">
            <v>RS 023</v>
          </cell>
          <cell r="B16">
            <v>23</v>
          </cell>
          <cell r="C16" t="str">
            <v>C</v>
          </cell>
          <cell r="D16" t="str">
            <v>T</v>
          </cell>
          <cell r="E16" t="str">
            <v>Chimbiya - Zuze</v>
          </cell>
          <cell r="F16" t="str">
            <v>M01</v>
          </cell>
          <cell r="G16">
            <v>22</v>
          </cell>
          <cell r="H16">
            <v>31.8</v>
          </cell>
          <cell r="I16">
            <v>6</v>
          </cell>
          <cell r="J16" t="str">
            <v>H</v>
          </cell>
          <cell r="K16" t="str">
            <v>DEDZA</v>
          </cell>
        </row>
        <row r="17">
          <cell r="A17" t="str">
            <v>RS 033</v>
          </cell>
          <cell r="B17">
            <v>33</v>
          </cell>
          <cell r="C17" t="str">
            <v>C</v>
          </cell>
          <cell r="D17" t="str">
            <v>T</v>
          </cell>
          <cell r="E17" t="str">
            <v>Dauya - Kapesi</v>
          </cell>
          <cell r="F17" t="str">
            <v>M01</v>
          </cell>
          <cell r="G17">
            <v>23</v>
          </cell>
          <cell r="H17">
            <v>12.5</v>
          </cell>
          <cell r="I17">
            <v>7</v>
          </cell>
          <cell r="J17" t="str">
            <v>F</v>
          </cell>
          <cell r="K17" t="str">
            <v>DEDZA</v>
          </cell>
        </row>
        <row r="18">
          <cell r="A18" t="str">
            <v>RS 040</v>
          </cell>
          <cell r="B18">
            <v>40</v>
          </cell>
          <cell r="C18" t="str">
            <v>C</v>
          </cell>
          <cell r="D18" t="str">
            <v>T</v>
          </cell>
          <cell r="E18" t="str">
            <v>Salima - Benga - Nkhotakota - Dwangwa</v>
          </cell>
          <cell r="F18" t="str">
            <v>M05</v>
          </cell>
          <cell r="G18">
            <v>99</v>
          </cell>
          <cell r="H18">
            <v>169</v>
          </cell>
          <cell r="I18" t="str">
            <v>-</v>
          </cell>
          <cell r="J18" t="str">
            <v>-</v>
          </cell>
          <cell r="K18" t="str">
            <v>Contains RS 43,66,50,54,53,61,42,58</v>
          </cell>
          <cell r="L18" t="str">
            <v>Section not used in Study</v>
          </cell>
        </row>
        <row r="19">
          <cell r="A19" t="str">
            <v>RS 043</v>
          </cell>
          <cell r="B19">
            <v>43</v>
          </cell>
          <cell r="C19" t="str">
            <v>C</v>
          </cell>
          <cell r="D19" t="str">
            <v>T</v>
          </cell>
          <cell r="E19" t="str">
            <v>Musenjere River- Bua River</v>
          </cell>
          <cell r="F19" t="str">
            <v>M05</v>
          </cell>
          <cell r="G19">
            <v>7</v>
          </cell>
          <cell r="H19">
            <v>14.7</v>
          </cell>
          <cell r="I19">
            <v>5</v>
          </cell>
          <cell r="J19" t="str">
            <v>R</v>
          </cell>
          <cell r="K19" t="str">
            <v>NKHOTA KOTA</v>
          </cell>
        </row>
        <row r="20">
          <cell r="A20" t="str">
            <v>RS 066</v>
          </cell>
          <cell r="B20">
            <v>66</v>
          </cell>
          <cell r="C20" t="str">
            <v>C</v>
          </cell>
          <cell r="D20" t="str">
            <v>T</v>
          </cell>
          <cell r="E20" t="str">
            <v>Bua River - Nkhota-kota</v>
          </cell>
          <cell r="F20" t="str">
            <v>M05</v>
          </cell>
          <cell r="G20">
            <v>8</v>
          </cell>
          <cell r="H20">
            <v>14.8</v>
          </cell>
          <cell r="I20">
            <v>5</v>
          </cell>
          <cell r="J20" t="str">
            <v>F</v>
          </cell>
          <cell r="K20" t="str">
            <v>NKHOTA KOTA</v>
          </cell>
        </row>
        <row r="21">
          <cell r="A21" t="str">
            <v>RS 050</v>
          </cell>
          <cell r="B21">
            <v>50</v>
          </cell>
          <cell r="C21" t="str">
            <v>C</v>
          </cell>
          <cell r="D21" t="str">
            <v>T</v>
          </cell>
          <cell r="E21" t="str">
            <v>Km 11.6-Km 18.3 (Nkhota-kota - Chia)</v>
          </cell>
          <cell r="F21" t="str">
            <v>M05</v>
          </cell>
          <cell r="G21">
            <v>10</v>
          </cell>
          <cell r="H21">
            <v>6.7</v>
          </cell>
          <cell r="I21">
            <v>5</v>
          </cell>
          <cell r="J21" t="str">
            <v>F</v>
          </cell>
          <cell r="K21" t="str">
            <v>NKHOTA KOTA</v>
          </cell>
        </row>
        <row r="22">
          <cell r="A22" t="str">
            <v>RS 054</v>
          </cell>
          <cell r="B22">
            <v>54</v>
          </cell>
          <cell r="C22" t="str">
            <v>C</v>
          </cell>
          <cell r="D22" t="str">
            <v>T</v>
          </cell>
          <cell r="E22" t="str">
            <v>Km 18.3-Chia River</v>
          </cell>
          <cell r="F22" t="str">
            <v>M05</v>
          </cell>
          <cell r="G22">
            <v>11</v>
          </cell>
          <cell r="H22">
            <v>5.4</v>
          </cell>
          <cell r="I22">
            <v>5</v>
          </cell>
          <cell r="J22" t="str">
            <v>F</v>
          </cell>
          <cell r="K22" t="str">
            <v>NKHOTA KOTA</v>
          </cell>
        </row>
        <row r="23">
          <cell r="A23" t="str">
            <v>RS 053</v>
          </cell>
          <cell r="B23">
            <v>53</v>
          </cell>
          <cell r="C23" t="str">
            <v>C</v>
          </cell>
          <cell r="D23" t="str">
            <v>T</v>
          </cell>
          <cell r="E23" t="str">
            <v>Chia River-Benga</v>
          </cell>
          <cell r="F23" t="str">
            <v>M05</v>
          </cell>
          <cell r="G23">
            <v>12</v>
          </cell>
          <cell r="H23">
            <v>29.4</v>
          </cell>
          <cell r="I23">
            <v>5</v>
          </cell>
          <cell r="J23" t="str">
            <v>F</v>
          </cell>
          <cell r="K23" t="str">
            <v>NKHOTA KOTA</v>
          </cell>
        </row>
        <row r="24">
          <cell r="A24" t="str">
            <v>RS 061</v>
          </cell>
          <cell r="B24">
            <v>61</v>
          </cell>
          <cell r="C24" t="str">
            <v>C</v>
          </cell>
          <cell r="D24" t="str">
            <v>T</v>
          </cell>
          <cell r="E24" t="str">
            <v>Benga-Kachisoka</v>
          </cell>
          <cell r="F24" t="str">
            <v>M05</v>
          </cell>
          <cell r="G24">
            <v>13</v>
          </cell>
          <cell r="H24">
            <v>2.7</v>
          </cell>
          <cell r="I24">
            <v>5</v>
          </cell>
          <cell r="J24" t="str">
            <v>F</v>
          </cell>
          <cell r="K24" t="str">
            <v>NKHOTA KOTA</v>
          </cell>
        </row>
        <row r="25">
          <cell r="A25" t="str">
            <v>RS 042</v>
          </cell>
          <cell r="B25">
            <v>42</v>
          </cell>
          <cell r="C25" t="str">
            <v>C</v>
          </cell>
          <cell r="D25" t="str">
            <v>T</v>
          </cell>
          <cell r="E25" t="str">
            <v>Chirua River Bridge - Thavite River Bridge</v>
          </cell>
          <cell r="F25" t="str">
            <v>M05</v>
          </cell>
          <cell r="G25">
            <v>14</v>
          </cell>
          <cell r="H25">
            <v>6</v>
          </cell>
          <cell r="I25">
            <v>5</v>
          </cell>
          <cell r="J25" t="str">
            <v>F</v>
          </cell>
          <cell r="K25" t="str">
            <v>SALIMA</v>
          </cell>
        </row>
        <row r="26">
          <cell r="A26" t="str">
            <v>RS 058</v>
          </cell>
          <cell r="B26">
            <v>58</v>
          </cell>
          <cell r="C26" t="str">
            <v>C</v>
          </cell>
          <cell r="D26" t="str">
            <v>T</v>
          </cell>
          <cell r="E26" t="str">
            <v>Thavite River Bridge - Kamphatenga</v>
          </cell>
          <cell r="F26" t="str">
            <v>M05</v>
          </cell>
          <cell r="G26">
            <v>15</v>
          </cell>
          <cell r="H26">
            <v>32.5</v>
          </cell>
          <cell r="I26">
            <v>7</v>
          </cell>
          <cell r="J26" t="str">
            <v>F</v>
          </cell>
          <cell r="K26" t="str">
            <v>SALIMA</v>
          </cell>
        </row>
        <row r="27">
          <cell r="A27" t="str">
            <v>RS 057</v>
          </cell>
          <cell r="B27">
            <v>57</v>
          </cell>
          <cell r="C27" t="str">
            <v>C</v>
          </cell>
          <cell r="D27" t="str">
            <v>T</v>
          </cell>
          <cell r="E27" t="str">
            <v>Malenga-Km 11.6</v>
          </cell>
          <cell r="F27" t="str">
            <v>M05</v>
          </cell>
          <cell r="G27">
            <v>99</v>
          </cell>
          <cell r="H27">
            <v>11.6</v>
          </cell>
          <cell r="I27" t="str">
            <v>-</v>
          </cell>
          <cell r="J27" t="str">
            <v>-</v>
          </cell>
          <cell r="K27" t="str">
            <v xml:space="preserve">Link does not exist </v>
          </cell>
          <cell r="L27" t="str">
            <v>Section not used in Study</v>
          </cell>
        </row>
        <row r="28">
          <cell r="A28" t="str">
            <v>RS 073</v>
          </cell>
          <cell r="B28">
            <v>73</v>
          </cell>
          <cell r="C28" t="str">
            <v>C</v>
          </cell>
          <cell r="D28" t="str">
            <v>T</v>
          </cell>
          <cell r="E28" t="str">
            <v>Kapiri - Bwanje River</v>
          </cell>
          <cell r="F28" t="str">
            <v>M10</v>
          </cell>
          <cell r="G28">
            <v>99</v>
          </cell>
          <cell r="H28">
            <v>9</v>
          </cell>
          <cell r="I28">
            <v>7</v>
          </cell>
          <cell r="J28" t="str">
            <v>F</v>
          </cell>
          <cell r="K28" t="str">
            <v>Contained within RS 72</v>
          </cell>
          <cell r="L28" t="str">
            <v>Section not used in Study</v>
          </cell>
        </row>
        <row r="29">
          <cell r="A29" t="str">
            <v>RS 072</v>
          </cell>
          <cell r="B29">
            <v>72</v>
          </cell>
          <cell r="C29" t="str">
            <v>C</v>
          </cell>
          <cell r="D29" t="str">
            <v>T</v>
          </cell>
          <cell r="E29" t="str">
            <v>Malambalala - Bwanje River</v>
          </cell>
          <cell r="F29" t="str">
            <v>M10</v>
          </cell>
          <cell r="G29">
            <v>3</v>
          </cell>
          <cell r="H29">
            <v>9</v>
          </cell>
          <cell r="I29">
            <v>7</v>
          </cell>
          <cell r="J29" t="str">
            <v>F</v>
          </cell>
          <cell r="K29" t="str">
            <v>DEDZA &amp; MANGOCHI</v>
          </cell>
        </row>
        <row r="30">
          <cell r="A30" t="str">
            <v>RS 078</v>
          </cell>
          <cell r="B30">
            <v>78</v>
          </cell>
          <cell r="C30" t="str">
            <v>C</v>
          </cell>
          <cell r="D30" t="str">
            <v>T</v>
          </cell>
          <cell r="E30" t="str">
            <v>Lilongwe-Mchinji</v>
          </cell>
          <cell r="F30" t="str">
            <v>M12</v>
          </cell>
          <cell r="G30">
            <v>99</v>
          </cell>
          <cell r="H30">
            <v>120</v>
          </cell>
          <cell r="I30">
            <v>6</v>
          </cell>
          <cell r="J30" t="str">
            <v>R</v>
          </cell>
          <cell r="K30" t="str">
            <v>Contains RS 80,79,77,76,75,836,74</v>
          </cell>
          <cell r="L30" t="str">
            <v>Section not used in Study</v>
          </cell>
        </row>
        <row r="31">
          <cell r="A31" t="str">
            <v>RS 080</v>
          </cell>
          <cell r="B31">
            <v>80</v>
          </cell>
          <cell r="C31" t="str">
            <v>C</v>
          </cell>
          <cell r="D31" t="str">
            <v>T</v>
          </cell>
          <cell r="E31" t="str">
            <v>International Border - Mchinji</v>
          </cell>
          <cell r="F31" t="str">
            <v>M12</v>
          </cell>
          <cell r="G31">
            <v>1</v>
          </cell>
          <cell r="H31">
            <v>11.5</v>
          </cell>
          <cell r="I31">
            <v>6</v>
          </cell>
          <cell r="J31" t="str">
            <v>F</v>
          </cell>
          <cell r="K31" t="str">
            <v>MCHINJI</v>
          </cell>
        </row>
        <row r="32">
          <cell r="A32" t="str">
            <v>RS 079</v>
          </cell>
          <cell r="B32">
            <v>79</v>
          </cell>
          <cell r="C32" t="str">
            <v>C</v>
          </cell>
          <cell r="D32" t="str">
            <v>T</v>
          </cell>
          <cell r="E32" t="str">
            <v>Mchinji - Kamwendo</v>
          </cell>
          <cell r="F32" t="str">
            <v>M12</v>
          </cell>
          <cell r="G32">
            <v>2</v>
          </cell>
          <cell r="H32">
            <v>19.100000000000001</v>
          </cell>
          <cell r="I32">
            <v>6</v>
          </cell>
          <cell r="J32" t="str">
            <v>F</v>
          </cell>
          <cell r="K32" t="str">
            <v>MCHINJI</v>
          </cell>
        </row>
        <row r="33">
          <cell r="A33" t="str">
            <v>RS 077</v>
          </cell>
          <cell r="B33">
            <v>77</v>
          </cell>
          <cell r="C33" t="str">
            <v>C</v>
          </cell>
          <cell r="D33" t="str">
            <v>T</v>
          </cell>
          <cell r="E33" t="str">
            <v>Kamwendo - Bua River</v>
          </cell>
          <cell r="F33" t="str">
            <v>M12</v>
          </cell>
          <cell r="G33">
            <v>3</v>
          </cell>
          <cell r="H33">
            <v>14.7</v>
          </cell>
          <cell r="I33">
            <v>6</v>
          </cell>
          <cell r="J33" t="str">
            <v>F</v>
          </cell>
          <cell r="K33" t="str">
            <v>MCHINJI</v>
          </cell>
        </row>
        <row r="34">
          <cell r="A34" t="str">
            <v>RS 076</v>
          </cell>
          <cell r="B34">
            <v>76</v>
          </cell>
          <cell r="C34" t="str">
            <v>C</v>
          </cell>
          <cell r="D34" t="str">
            <v>T</v>
          </cell>
          <cell r="E34" t="str">
            <v>Bua River - Namitete River Bridge</v>
          </cell>
          <cell r="F34" t="str">
            <v>M12</v>
          </cell>
          <cell r="G34">
            <v>4</v>
          </cell>
          <cell r="H34">
            <v>27.9</v>
          </cell>
          <cell r="I34">
            <v>6</v>
          </cell>
          <cell r="J34" t="str">
            <v>F</v>
          </cell>
          <cell r="K34" t="str">
            <v>MCHINJI</v>
          </cell>
        </row>
        <row r="35">
          <cell r="A35" t="str">
            <v>RS 075</v>
          </cell>
          <cell r="B35">
            <v>75</v>
          </cell>
          <cell r="C35" t="str">
            <v>C</v>
          </cell>
          <cell r="D35" t="str">
            <v>T</v>
          </cell>
          <cell r="E35" t="str">
            <v>Namitete River Bridge - Chileka</v>
          </cell>
          <cell r="F35" t="str">
            <v>M12</v>
          </cell>
          <cell r="G35">
            <v>5</v>
          </cell>
          <cell r="H35">
            <v>4.0999999999999996</v>
          </cell>
          <cell r="I35">
            <v>6</v>
          </cell>
          <cell r="J35" t="str">
            <v>R</v>
          </cell>
          <cell r="K35" t="str">
            <v>LILONGWE</v>
          </cell>
        </row>
        <row r="36">
          <cell r="A36" t="str">
            <v>RS 836</v>
          </cell>
          <cell r="B36" t="str">
            <v>n.a.</v>
          </cell>
          <cell r="C36" t="str">
            <v>C</v>
          </cell>
          <cell r="D36" t="str">
            <v>T</v>
          </cell>
          <cell r="E36" t="str">
            <v>Chileka - Chankhandwe</v>
          </cell>
          <cell r="F36" t="str">
            <v>M12</v>
          </cell>
          <cell r="G36">
            <v>6</v>
          </cell>
          <cell r="H36">
            <v>31.4</v>
          </cell>
          <cell r="I36">
            <v>6</v>
          </cell>
          <cell r="J36" t="str">
            <v>R</v>
          </cell>
          <cell r="K36" t="str">
            <v>LILONGWE</v>
          </cell>
          <cell r="L36" t="str">
            <v xml:space="preserve">New section part of RS 78 </v>
          </cell>
        </row>
        <row r="37">
          <cell r="A37" t="str">
            <v>RS 074</v>
          </cell>
          <cell r="B37">
            <v>74</v>
          </cell>
          <cell r="C37" t="str">
            <v>C</v>
          </cell>
          <cell r="D37" t="str">
            <v>T</v>
          </cell>
          <cell r="E37" t="str">
            <v>Chankhandwe - Njewa</v>
          </cell>
          <cell r="F37" t="str">
            <v>M12</v>
          </cell>
          <cell r="G37">
            <v>7</v>
          </cell>
          <cell r="H37">
            <v>11.3</v>
          </cell>
          <cell r="I37">
            <v>6</v>
          </cell>
          <cell r="J37" t="str">
            <v>R</v>
          </cell>
          <cell r="K37" t="str">
            <v>LILONGWE</v>
          </cell>
        </row>
        <row r="38">
          <cell r="A38" t="str">
            <v>RS 083</v>
          </cell>
          <cell r="B38">
            <v>83</v>
          </cell>
          <cell r="C38" t="str">
            <v>C</v>
          </cell>
          <cell r="D38" t="str">
            <v>T</v>
          </cell>
          <cell r="E38" t="str">
            <v>Chembe Railroad - Kaphatenga</v>
          </cell>
          <cell r="F38" t="str">
            <v>M14</v>
          </cell>
          <cell r="G38">
            <v>99</v>
          </cell>
          <cell r="H38">
            <v>8.6999999999999993</v>
          </cell>
          <cell r="I38">
            <v>6</v>
          </cell>
          <cell r="J38" t="str">
            <v>F</v>
          </cell>
          <cell r="K38" t="str">
            <v>Contains RS 60 &amp; 45</v>
          </cell>
          <cell r="L38" t="str">
            <v>Section not used in Study</v>
          </cell>
        </row>
        <row r="39">
          <cell r="A39" t="str">
            <v>RS 060</v>
          </cell>
          <cell r="B39">
            <v>60</v>
          </cell>
          <cell r="C39" t="str">
            <v>C</v>
          </cell>
          <cell r="D39" t="str">
            <v>T</v>
          </cell>
          <cell r="E39" t="str">
            <v>Chembe Railroad Bridge - Makande</v>
          </cell>
          <cell r="F39" t="str">
            <v>M14</v>
          </cell>
          <cell r="G39" t="str">
            <v>T</v>
          </cell>
          <cell r="H39">
            <v>6.8</v>
          </cell>
          <cell r="I39">
            <v>7</v>
          </cell>
          <cell r="J39" t="str">
            <v>F</v>
          </cell>
          <cell r="K39" t="str">
            <v>SALIMA</v>
          </cell>
          <cell r="L39" t="str">
            <v>Changed designation from M5 to M14</v>
          </cell>
        </row>
        <row r="40">
          <cell r="A40" t="str">
            <v>RS 045</v>
          </cell>
          <cell r="B40">
            <v>45</v>
          </cell>
          <cell r="C40" t="str">
            <v>C</v>
          </cell>
          <cell r="D40" t="str">
            <v>T</v>
          </cell>
          <cell r="E40" t="str">
            <v>Makande - Kaphatenga</v>
          </cell>
          <cell r="F40" t="str">
            <v>M14</v>
          </cell>
          <cell r="G40">
            <v>8</v>
          </cell>
          <cell r="H40">
            <v>4.5999999999999996</v>
          </cell>
          <cell r="I40">
            <v>6</v>
          </cell>
          <cell r="J40" t="str">
            <v>F</v>
          </cell>
          <cell r="K40" t="str">
            <v>SALIMA</v>
          </cell>
          <cell r="L40" t="str">
            <v>Changed designation from M5 to M14</v>
          </cell>
        </row>
        <row r="41">
          <cell r="A41" t="str">
            <v>RS 085</v>
          </cell>
          <cell r="B41">
            <v>85</v>
          </cell>
          <cell r="C41" t="str">
            <v>C</v>
          </cell>
          <cell r="D41" t="str">
            <v>T</v>
          </cell>
          <cell r="E41" t="str">
            <v>Salima - Senga Bay</v>
          </cell>
          <cell r="F41" t="str">
            <v>S122</v>
          </cell>
          <cell r="G41">
            <v>99</v>
          </cell>
          <cell r="H41">
            <v>22</v>
          </cell>
          <cell r="I41">
            <v>7</v>
          </cell>
          <cell r="J41" t="str">
            <v>F</v>
          </cell>
          <cell r="K41" t="str">
            <v>Contains RS276 &amp; 275</v>
          </cell>
          <cell r="L41" t="str">
            <v>Section not used in Study</v>
          </cell>
        </row>
        <row r="42">
          <cell r="A42" t="str">
            <v>RS 276</v>
          </cell>
          <cell r="B42">
            <v>98</v>
          </cell>
          <cell r="C42" t="str">
            <v>C</v>
          </cell>
          <cell r="D42" t="str">
            <v>T</v>
          </cell>
          <cell r="E42" t="str">
            <v>Salima railway crossing - Mikute</v>
          </cell>
          <cell r="F42" t="str">
            <v>S122</v>
          </cell>
          <cell r="G42">
            <v>2</v>
          </cell>
          <cell r="H42">
            <v>14.4</v>
          </cell>
          <cell r="I42">
            <v>7</v>
          </cell>
          <cell r="J42" t="str">
            <v>F</v>
          </cell>
          <cell r="K42" t="str">
            <v>SALIMA</v>
          </cell>
        </row>
        <row r="43">
          <cell r="A43" t="str">
            <v>RS 275</v>
          </cell>
          <cell r="B43">
            <v>97</v>
          </cell>
          <cell r="C43" t="str">
            <v>C</v>
          </cell>
          <cell r="D43" t="str">
            <v>T</v>
          </cell>
          <cell r="E43" t="str">
            <v>Mikute - Grand Beach</v>
          </cell>
          <cell r="F43" t="str">
            <v>S122</v>
          </cell>
          <cell r="G43">
            <v>3</v>
          </cell>
          <cell r="H43">
            <v>5.6</v>
          </cell>
          <cell r="I43">
            <v>7</v>
          </cell>
          <cell r="J43" t="str">
            <v>F</v>
          </cell>
          <cell r="K43" t="str">
            <v>SALIMA</v>
          </cell>
        </row>
        <row r="44">
          <cell r="A44" t="str">
            <v>RS 086</v>
          </cell>
          <cell r="B44">
            <v>86</v>
          </cell>
          <cell r="C44" t="str">
            <v>C</v>
          </cell>
          <cell r="D44" t="str">
            <v>T</v>
          </cell>
          <cell r="E44">
            <v>0</v>
          </cell>
          <cell r="F44" t="str">
            <v>S122</v>
          </cell>
          <cell r="G44">
            <v>0</v>
          </cell>
          <cell r="H44" t="str">
            <v>NO ROAD SECTION with this MOWS Project No.</v>
          </cell>
          <cell r="I44">
            <v>0</v>
          </cell>
          <cell r="J44">
            <v>0</v>
          </cell>
          <cell r="K44">
            <v>0</v>
          </cell>
          <cell r="L44" t="str">
            <v>Deleted from road sections in Study</v>
          </cell>
        </row>
        <row r="45">
          <cell r="A45" t="str">
            <v>RS 087</v>
          </cell>
          <cell r="B45">
            <v>87</v>
          </cell>
          <cell r="C45" t="str">
            <v>C</v>
          </cell>
          <cell r="D45" t="str">
            <v>T</v>
          </cell>
          <cell r="E45">
            <v>0</v>
          </cell>
          <cell r="F45" t="str">
            <v>S122</v>
          </cell>
          <cell r="G45">
            <v>0</v>
          </cell>
          <cell r="H45" t="str">
            <v>NO ROAD SECTION with this MOWS Project No.</v>
          </cell>
          <cell r="I45">
            <v>0</v>
          </cell>
          <cell r="J45">
            <v>0</v>
          </cell>
          <cell r="K45">
            <v>0</v>
          </cell>
          <cell r="L45" t="str">
            <v>Deleted from road sections in Study</v>
          </cell>
        </row>
        <row r="46">
          <cell r="A46" t="str">
            <v>RS 088</v>
          </cell>
          <cell r="B46">
            <v>88</v>
          </cell>
          <cell r="C46" t="str">
            <v>C</v>
          </cell>
          <cell r="D46" t="str">
            <v>T</v>
          </cell>
          <cell r="E46">
            <v>0</v>
          </cell>
          <cell r="F46" t="str">
            <v>S122</v>
          </cell>
          <cell r="G46">
            <v>0</v>
          </cell>
          <cell r="H46" t="str">
            <v>NO ROAD SECTION with this MOWS Project No.</v>
          </cell>
          <cell r="I46">
            <v>0</v>
          </cell>
          <cell r="J46">
            <v>0</v>
          </cell>
          <cell r="K46">
            <v>0</v>
          </cell>
          <cell r="L46" t="str">
            <v>Deleted from road sections in Study</v>
          </cell>
        </row>
        <row r="47">
          <cell r="A47" t="str">
            <v>RS 089</v>
          </cell>
          <cell r="B47">
            <v>89</v>
          </cell>
          <cell r="C47" t="str">
            <v>C</v>
          </cell>
          <cell r="D47" t="str">
            <v>T</v>
          </cell>
          <cell r="E47" t="str">
            <v xml:space="preserve"> Balaka - Salima</v>
          </cell>
          <cell r="F47" t="str">
            <v>M05</v>
          </cell>
          <cell r="G47">
            <v>99</v>
          </cell>
          <cell r="H47">
            <v>158</v>
          </cell>
          <cell r="I47" t="str">
            <v>-</v>
          </cell>
          <cell r="J47" t="str">
            <v>-</v>
          </cell>
          <cell r="K47" t="str">
            <v>Contains RS 51,67,64,59,63,55,41,46,65,56</v>
          </cell>
          <cell r="L47" t="str">
            <v>Section not used in Study</v>
          </cell>
        </row>
        <row r="48">
          <cell r="A48" t="str">
            <v>RS 051</v>
          </cell>
          <cell r="B48">
            <v>51</v>
          </cell>
          <cell r="C48" t="str">
            <v>C</v>
          </cell>
          <cell r="D48" t="str">
            <v>T</v>
          </cell>
          <cell r="E48" t="str">
            <v>Junction S122 - Linthipe River</v>
          </cell>
          <cell r="F48" t="str">
            <v>M05</v>
          </cell>
          <cell r="G48">
            <v>17</v>
          </cell>
          <cell r="H48">
            <v>1.9</v>
          </cell>
          <cell r="I48">
            <v>7</v>
          </cell>
          <cell r="J48" t="str">
            <v>F</v>
          </cell>
          <cell r="K48" t="str">
            <v>SALIMA</v>
          </cell>
        </row>
        <row r="49">
          <cell r="A49" t="str">
            <v>RS 067</v>
          </cell>
          <cell r="B49">
            <v>67</v>
          </cell>
          <cell r="C49" t="str">
            <v>C</v>
          </cell>
          <cell r="D49" t="str">
            <v>T</v>
          </cell>
          <cell r="E49" t="str">
            <v>Linthipe River - Luwadzi River Bridge</v>
          </cell>
          <cell r="F49" t="str">
            <v>M05</v>
          </cell>
          <cell r="G49">
            <v>18</v>
          </cell>
          <cell r="H49">
            <v>20.8</v>
          </cell>
          <cell r="I49">
            <v>7</v>
          </cell>
          <cell r="J49" t="str">
            <v>F</v>
          </cell>
          <cell r="K49" t="str">
            <v>SALIMA</v>
          </cell>
        </row>
        <row r="50">
          <cell r="A50" t="str">
            <v>RS 064</v>
          </cell>
          <cell r="B50">
            <v>64</v>
          </cell>
          <cell r="C50" t="str">
            <v>C</v>
          </cell>
          <cell r="D50" t="str">
            <v>T</v>
          </cell>
          <cell r="E50" t="str">
            <v>Luwadzi River Bridge - Ngodzi River Bridge</v>
          </cell>
          <cell r="F50" t="str">
            <v>M05</v>
          </cell>
          <cell r="G50">
            <v>19</v>
          </cell>
          <cell r="H50">
            <v>15.8</v>
          </cell>
          <cell r="I50">
            <v>7</v>
          </cell>
          <cell r="J50" t="str">
            <v>F</v>
          </cell>
          <cell r="K50" t="str">
            <v>SALIMA</v>
          </cell>
        </row>
        <row r="51">
          <cell r="A51" t="str">
            <v>RS 059</v>
          </cell>
          <cell r="B51">
            <v>59</v>
          </cell>
          <cell r="C51" t="str">
            <v>C</v>
          </cell>
          <cell r="D51" t="str">
            <v>T</v>
          </cell>
          <cell r="E51" t="str">
            <v>Ngodzi River Bridge - Mtakataka</v>
          </cell>
          <cell r="F51" t="str">
            <v>M05</v>
          </cell>
          <cell r="G51">
            <v>20</v>
          </cell>
          <cell r="H51">
            <v>14.3</v>
          </cell>
          <cell r="I51">
            <v>7</v>
          </cell>
          <cell r="J51" t="str">
            <v>F</v>
          </cell>
          <cell r="K51" t="str">
            <v>SALIMA</v>
          </cell>
        </row>
        <row r="52">
          <cell r="A52" t="str">
            <v>RS 063</v>
          </cell>
          <cell r="B52">
            <v>63</v>
          </cell>
          <cell r="C52" t="str">
            <v>C</v>
          </cell>
          <cell r="D52" t="str">
            <v>T</v>
          </cell>
          <cell r="E52" t="str">
            <v>Mtakataka - Golomoti</v>
          </cell>
          <cell r="F52" t="str">
            <v>M05</v>
          </cell>
          <cell r="G52">
            <v>21</v>
          </cell>
          <cell r="H52">
            <v>25.5</v>
          </cell>
          <cell r="I52">
            <v>7</v>
          </cell>
          <cell r="J52" t="str">
            <v>F</v>
          </cell>
          <cell r="K52" t="str">
            <v>DEDZA</v>
          </cell>
        </row>
        <row r="53">
          <cell r="A53" t="str">
            <v>RS 055</v>
          </cell>
          <cell r="B53">
            <v>55</v>
          </cell>
          <cell r="C53" t="str">
            <v>C</v>
          </cell>
          <cell r="D53" t="str">
            <v>T</v>
          </cell>
          <cell r="E53" t="str">
            <v>Golomoti - Kasinje</v>
          </cell>
          <cell r="F53" t="str">
            <v>M05</v>
          </cell>
          <cell r="G53">
            <v>22</v>
          </cell>
          <cell r="H53">
            <v>14.4</v>
          </cell>
          <cell r="I53">
            <v>8</v>
          </cell>
          <cell r="J53" t="str">
            <v>F</v>
          </cell>
          <cell r="K53" t="str">
            <v>NTCHEU</v>
          </cell>
        </row>
        <row r="54">
          <cell r="A54" t="str">
            <v>RS 041</v>
          </cell>
          <cell r="B54">
            <v>41</v>
          </cell>
          <cell r="C54" t="str">
            <v>C</v>
          </cell>
          <cell r="D54" t="str">
            <v>T</v>
          </cell>
          <cell r="E54" t="str">
            <v>Kasinje - Sharpevale</v>
          </cell>
          <cell r="F54" t="str">
            <v>M05</v>
          </cell>
          <cell r="G54">
            <v>23</v>
          </cell>
          <cell r="H54">
            <v>10.5</v>
          </cell>
          <cell r="I54">
            <v>8</v>
          </cell>
          <cell r="J54" t="str">
            <v>F</v>
          </cell>
          <cell r="K54" t="str">
            <v>NTCHEU</v>
          </cell>
        </row>
        <row r="55">
          <cell r="A55" t="str">
            <v>RS 046</v>
          </cell>
          <cell r="B55">
            <v>46</v>
          </cell>
          <cell r="C55" t="str">
            <v>C</v>
          </cell>
          <cell r="D55" t="str">
            <v>T</v>
          </cell>
          <cell r="E55" t="str">
            <v>Sharpevale - Bilila</v>
          </cell>
          <cell r="F55" t="str">
            <v>M05</v>
          </cell>
          <cell r="G55">
            <v>24</v>
          </cell>
          <cell r="H55">
            <v>28.3</v>
          </cell>
          <cell r="I55">
            <v>8</v>
          </cell>
          <cell r="J55" t="str">
            <v>R</v>
          </cell>
          <cell r="K55" t="str">
            <v>NTCHEU</v>
          </cell>
        </row>
        <row r="56">
          <cell r="A56" t="str">
            <v>RS 065</v>
          </cell>
          <cell r="B56">
            <v>65</v>
          </cell>
          <cell r="C56" t="str">
            <v>C</v>
          </cell>
          <cell r="D56" t="str">
            <v>T</v>
          </cell>
          <cell r="E56" t="str">
            <v>Bilila - Linengwe River</v>
          </cell>
          <cell r="F56" t="str">
            <v>M05</v>
          </cell>
          <cell r="G56">
            <v>25</v>
          </cell>
          <cell r="H56">
            <v>5.2</v>
          </cell>
          <cell r="I56">
            <v>8</v>
          </cell>
          <cell r="J56" t="str">
            <v>F</v>
          </cell>
          <cell r="K56" t="str">
            <v>NTCHEU</v>
          </cell>
        </row>
        <row r="57">
          <cell r="A57" t="str">
            <v>RS 056</v>
          </cell>
          <cell r="B57">
            <v>56</v>
          </cell>
          <cell r="C57" t="str">
            <v>C</v>
          </cell>
          <cell r="D57" t="str">
            <v>T</v>
          </cell>
          <cell r="E57" t="str">
            <v>Linengwe River - Balaka Market (junction M1)</v>
          </cell>
          <cell r="F57" t="str">
            <v>M05</v>
          </cell>
          <cell r="G57">
            <v>26</v>
          </cell>
          <cell r="H57">
            <v>7.4</v>
          </cell>
          <cell r="I57">
            <v>8</v>
          </cell>
          <cell r="J57" t="str">
            <v>F</v>
          </cell>
          <cell r="K57" t="str">
            <v>NTCHEU</v>
          </cell>
        </row>
        <row r="58">
          <cell r="A58" t="str">
            <v>RS 116</v>
          </cell>
          <cell r="B58">
            <v>116</v>
          </cell>
          <cell r="C58" t="str">
            <v>S</v>
          </cell>
          <cell r="D58" t="str">
            <v>T</v>
          </cell>
          <cell r="E58" t="str">
            <v>Blantyre - Limbe</v>
          </cell>
          <cell r="F58" t="str">
            <v>M02</v>
          </cell>
          <cell r="G58">
            <v>99</v>
          </cell>
          <cell r="H58">
            <v>7.9</v>
          </cell>
          <cell r="I58">
            <v>9</v>
          </cell>
          <cell r="J58" t="str">
            <v>R</v>
          </cell>
          <cell r="K58" t="str">
            <v>Same as RS 174</v>
          </cell>
          <cell r="L58" t="str">
            <v>Section not used in Study</v>
          </cell>
        </row>
        <row r="59">
          <cell r="A59" t="str">
            <v>RS 174</v>
          </cell>
          <cell r="B59">
            <v>174</v>
          </cell>
          <cell r="C59" t="str">
            <v>S</v>
          </cell>
          <cell r="D59" t="str">
            <v>U</v>
          </cell>
          <cell r="E59" t="str">
            <v>Chipembere Highway (M2, Blantyre - Limbe)</v>
          </cell>
          <cell r="F59" t="str">
            <v>Urban</v>
          </cell>
          <cell r="G59">
            <v>16</v>
          </cell>
          <cell r="H59">
            <v>9</v>
          </cell>
          <cell r="I59" t="str">
            <v>C</v>
          </cell>
          <cell r="J59" t="str">
            <v>R</v>
          </cell>
          <cell r="K59" t="str">
            <v>IN BLANTYRE CITY</v>
          </cell>
        </row>
        <row r="60">
          <cell r="A60" t="str">
            <v>RS 122</v>
          </cell>
          <cell r="B60">
            <v>122</v>
          </cell>
          <cell r="C60" t="str">
            <v>S</v>
          </cell>
          <cell r="D60" t="str">
            <v>T</v>
          </cell>
          <cell r="E60" t="str">
            <v>Nkoloma - Zomba Township Boundary</v>
          </cell>
          <cell r="F60" t="str">
            <v>M03</v>
          </cell>
          <cell r="G60">
            <v>99</v>
          </cell>
          <cell r="H60">
            <v>6.4</v>
          </cell>
          <cell r="I60">
            <v>9</v>
          </cell>
          <cell r="J60" t="str">
            <v>R</v>
          </cell>
          <cell r="K60" t="str">
            <v>Contained within RS 126</v>
          </cell>
          <cell r="L60" t="str">
            <v>Section not used in Study</v>
          </cell>
        </row>
        <row r="61">
          <cell r="A61" t="str">
            <v>RS 126</v>
          </cell>
          <cell r="B61">
            <v>126</v>
          </cell>
          <cell r="C61" t="str">
            <v>S</v>
          </cell>
          <cell r="D61" t="str">
            <v>T</v>
          </cell>
          <cell r="E61" t="str">
            <v>Namadzi River-Zomba South Township Boundary</v>
          </cell>
          <cell r="F61" t="str">
            <v>M03</v>
          </cell>
          <cell r="G61">
            <v>3</v>
          </cell>
          <cell r="H61">
            <v>13.3</v>
          </cell>
          <cell r="I61">
            <v>9</v>
          </cell>
          <cell r="J61" t="str">
            <v>R</v>
          </cell>
          <cell r="K61" t="str">
            <v>ZOMBA</v>
          </cell>
        </row>
        <row r="62">
          <cell r="A62" t="str">
            <v>RS 148</v>
          </cell>
          <cell r="B62">
            <v>148</v>
          </cell>
          <cell r="C62" t="str">
            <v>N</v>
          </cell>
          <cell r="D62" t="str">
            <v>U</v>
          </cell>
          <cell r="E62" t="str">
            <v>Mzuzu Hotel Road</v>
          </cell>
          <cell r="F62" t="str">
            <v>Urban</v>
          </cell>
          <cell r="G62" t="str">
            <v>U</v>
          </cell>
          <cell r="H62">
            <v>2</v>
          </cell>
          <cell r="I62" t="str">
            <v>C</v>
          </cell>
          <cell r="J62" t="str">
            <v>R</v>
          </cell>
          <cell r="K62" t="str">
            <v xml:space="preserve">Split into RS 849 &amp; 850 (bitumen &amp; earth sections) </v>
          </cell>
          <cell r="L62" t="str">
            <v>Section not used in Study</v>
          </cell>
        </row>
        <row r="63">
          <cell r="A63" t="str">
            <v>RS 849</v>
          </cell>
          <cell r="B63" t="str">
            <v>n.a.</v>
          </cell>
          <cell r="C63" t="str">
            <v>N</v>
          </cell>
          <cell r="D63" t="str">
            <v>U</v>
          </cell>
          <cell r="E63" t="str">
            <v>Viphya Drive (Kamuzu Avenue to Mazuzu Hotel)</v>
          </cell>
          <cell r="F63" t="str">
            <v>Urban</v>
          </cell>
          <cell r="G63" t="str">
            <v>U</v>
          </cell>
          <cell r="H63">
            <v>0.5</v>
          </cell>
          <cell r="I63">
            <v>0</v>
          </cell>
          <cell r="J63">
            <v>0</v>
          </cell>
          <cell r="K63" t="str">
            <v>MZUZU CITY</v>
          </cell>
        </row>
        <row r="64">
          <cell r="A64" t="str">
            <v>RS 850</v>
          </cell>
          <cell r="B64" t="str">
            <v>n.a.</v>
          </cell>
          <cell r="C64" t="str">
            <v>N</v>
          </cell>
          <cell r="D64" t="str">
            <v>U</v>
          </cell>
          <cell r="E64" t="str">
            <v>Viphya Drive (Mazuzu Hotel to end)</v>
          </cell>
          <cell r="F64" t="str">
            <v>Urban</v>
          </cell>
          <cell r="G64" t="str">
            <v>U</v>
          </cell>
          <cell r="H64">
            <v>1.5</v>
          </cell>
          <cell r="I64">
            <v>0</v>
          </cell>
          <cell r="J64">
            <v>0</v>
          </cell>
          <cell r="K64" t="str">
            <v>MZUZU CITY</v>
          </cell>
        </row>
        <row r="65">
          <cell r="A65" t="str">
            <v>RS 166</v>
          </cell>
          <cell r="B65">
            <v>166</v>
          </cell>
          <cell r="C65" t="str">
            <v>S</v>
          </cell>
          <cell r="D65" t="str">
            <v>U</v>
          </cell>
          <cell r="E65" t="str">
            <v>Zingwagwa Road (Chikwawa Road - Kapeni Road)</v>
          </cell>
          <cell r="F65" t="str">
            <v>Urban</v>
          </cell>
          <cell r="G65">
            <v>12</v>
          </cell>
          <cell r="H65">
            <v>7.7</v>
          </cell>
          <cell r="I65" t="str">
            <v>C</v>
          </cell>
          <cell r="J65" t="str">
            <v>R</v>
          </cell>
          <cell r="K65" t="str">
            <v>Name &amp; length modified by City Council</v>
          </cell>
          <cell r="L65" t="str">
            <v>See next line for change</v>
          </cell>
        </row>
        <row r="66">
          <cell r="A66" t="str">
            <v>RS 166</v>
          </cell>
          <cell r="B66">
            <v>166</v>
          </cell>
          <cell r="C66" t="str">
            <v>S</v>
          </cell>
          <cell r="D66" t="str">
            <v>U</v>
          </cell>
          <cell r="E66" t="str">
            <v>Kudya - Zingwagwa - Somba</v>
          </cell>
          <cell r="F66" t="str">
            <v>Urban</v>
          </cell>
          <cell r="G66">
            <v>12</v>
          </cell>
          <cell r="H66">
            <v>7.7</v>
          </cell>
          <cell r="I66" t="str">
            <v>C</v>
          </cell>
          <cell r="J66" t="str">
            <v>R</v>
          </cell>
          <cell r="K66" t="str">
            <v>IN BLANTYRE CITY</v>
          </cell>
          <cell r="L66" t="str">
            <v>New section details</v>
          </cell>
        </row>
        <row r="67">
          <cell r="A67" t="str">
            <v>RS 170</v>
          </cell>
          <cell r="B67">
            <v>170</v>
          </cell>
          <cell r="C67" t="str">
            <v>S</v>
          </cell>
          <cell r="D67" t="str">
            <v>U</v>
          </cell>
          <cell r="E67" t="str">
            <v>Zomba - Chikanda</v>
          </cell>
          <cell r="F67" t="str">
            <v>Urban</v>
          </cell>
          <cell r="G67">
            <v>99</v>
          </cell>
          <cell r="H67">
            <v>2</v>
          </cell>
          <cell r="I67" t="str">
            <v>C</v>
          </cell>
          <cell r="J67" t="str">
            <v>R</v>
          </cell>
          <cell r="K67" t="str">
            <v>Split into RS 841 &amp; 842 (bitumen &amp; earth sections)</v>
          </cell>
          <cell r="L67" t="str">
            <v>Section not used in Study</v>
          </cell>
        </row>
        <row r="68">
          <cell r="A68" t="str">
            <v>RS 841</v>
          </cell>
          <cell r="B68">
            <v>170</v>
          </cell>
          <cell r="C68" t="str">
            <v>S</v>
          </cell>
          <cell r="D68" t="str">
            <v>U</v>
          </cell>
          <cell r="E68" t="str">
            <v>Zomba - Chikanda (M1 to end bitumen)</v>
          </cell>
          <cell r="F68" t="str">
            <v>Urban</v>
          </cell>
          <cell r="G68">
            <v>18</v>
          </cell>
          <cell r="H68">
            <v>0.9</v>
          </cell>
          <cell r="I68" t="str">
            <v>C</v>
          </cell>
          <cell r="J68" t="str">
            <v>R</v>
          </cell>
          <cell r="K68" t="str">
            <v>ZOMBA CITY</v>
          </cell>
        </row>
        <row r="69">
          <cell r="A69" t="str">
            <v>RS 842</v>
          </cell>
          <cell r="B69">
            <v>170</v>
          </cell>
          <cell r="C69" t="str">
            <v>S</v>
          </cell>
          <cell r="D69" t="str">
            <v>U</v>
          </cell>
          <cell r="E69" t="str">
            <v>Zomba - Chikanda (end bitumen to end road)</v>
          </cell>
          <cell r="F69" t="str">
            <v>Urban</v>
          </cell>
          <cell r="G69">
            <v>18</v>
          </cell>
          <cell r="H69">
            <v>2.6</v>
          </cell>
          <cell r="I69" t="str">
            <v>C</v>
          </cell>
          <cell r="J69" t="str">
            <v>R</v>
          </cell>
          <cell r="K69" t="str">
            <v>ZOMBA CITY</v>
          </cell>
        </row>
        <row r="70">
          <cell r="A70" t="str">
            <v>RS 172</v>
          </cell>
          <cell r="B70">
            <v>172</v>
          </cell>
          <cell r="C70" t="str">
            <v>S</v>
          </cell>
          <cell r="D70" t="str">
            <v>U</v>
          </cell>
          <cell r="E70" t="str">
            <v>Chancellor College Road</v>
          </cell>
          <cell r="F70" t="str">
            <v>Urban</v>
          </cell>
          <cell r="G70">
            <v>99</v>
          </cell>
          <cell r="H70">
            <v>4.8</v>
          </cell>
          <cell r="I70" t="str">
            <v>C</v>
          </cell>
          <cell r="J70" t="str">
            <v>R</v>
          </cell>
          <cell r="K70" t="str">
            <v>Split into RS 843 &amp; 844 (bitumen &amp; earth sections)</v>
          </cell>
          <cell r="L70" t="str">
            <v>Section not used in Study</v>
          </cell>
        </row>
        <row r="71">
          <cell r="A71" t="str">
            <v>RS 843</v>
          </cell>
          <cell r="B71">
            <v>172</v>
          </cell>
          <cell r="C71" t="str">
            <v>S</v>
          </cell>
          <cell r="D71" t="str">
            <v>U</v>
          </cell>
          <cell r="E71" t="str">
            <v>Chancellor College Road (M1 to College - end bitumen)</v>
          </cell>
          <cell r="F71" t="str">
            <v>Urban</v>
          </cell>
          <cell r="G71">
            <v>20</v>
          </cell>
          <cell r="H71">
            <v>2.6</v>
          </cell>
          <cell r="I71" t="str">
            <v>C</v>
          </cell>
          <cell r="J71" t="str">
            <v>R</v>
          </cell>
          <cell r="K71" t="str">
            <v>ZOMBA CITY</v>
          </cell>
        </row>
        <row r="72">
          <cell r="A72" t="str">
            <v>RS 844</v>
          </cell>
          <cell r="B72">
            <v>172</v>
          </cell>
          <cell r="C72" t="str">
            <v>S</v>
          </cell>
          <cell r="D72" t="str">
            <v>U</v>
          </cell>
          <cell r="E72" t="str">
            <v>Chancellor College Road (end bitumen to end road)</v>
          </cell>
          <cell r="F72" t="str">
            <v>Urban</v>
          </cell>
          <cell r="G72">
            <v>20</v>
          </cell>
          <cell r="H72">
            <v>2.2000000000000002</v>
          </cell>
          <cell r="I72" t="str">
            <v>C</v>
          </cell>
          <cell r="J72" t="str">
            <v>R</v>
          </cell>
          <cell r="K72" t="str">
            <v>ZOMBA CITY</v>
          </cell>
        </row>
        <row r="73">
          <cell r="A73" t="str">
            <v>RS 175</v>
          </cell>
          <cell r="B73">
            <v>175</v>
          </cell>
          <cell r="C73" t="str">
            <v>S</v>
          </cell>
          <cell r="D73" t="str">
            <v>T</v>
          </cell>
          <cell r="E73" t="str">
            <v>Chileka Via Chirimba</v>
          </cell>
          <cell r="F73" t="str">
            <v>S137</v>
          </cell>
          <cell r="G73">
            <v>99</v>
          </cell>
          <cell r="H73">
            <v>18.7</v>
          </cell>
          <cell r="I73">
            <v>9</v>
          </cell>
          <cell r="J73" t="str">
            <v>F</v>
          </cell>
          <cell r="K73" t="str">
            <v>Contains RS 382 &amp; 838</v>
          </cell>
          <cell r="L73" t="str">
            <v>Section not used in Study</v>
          </cell>
        </row>
        <row r="74">
          <cell r="A74" t="str">
            <v>RS 382</v>
          </cell>
          <cell r="B74">
            <v>204</v>
          </cell>
          <cell r="C74" t="str">
            <v>S</v>
          </cell>
          <cell r="D74" t="str">
            <v>T</v>
          </cell>
          <cell r="E74" t="str">
            <v>Chileka Airport - Chirimba (junction M1)</v>
          </cell>
          <cell r="F74" t="str">
            <v>S137</v>
          </cell>
          <cell r="G74">
            <v>6</v>
          </cell>
          <cell r="H74">
            <v>8.3000000000000007</v>
          </cell>
          <cell r="I74">
            <v>9</v>
          </cell>
          <cell r="J74" t="str">
            <v>H</v>
          </cell>
          <cell r="K74" t="str">
            <v>BLANTYRE</v>
          </cell>
        </row>
        <row r="75">
          <cell r="A75" t="str">
            <v>RS 838</v>
          </cell>
          <cell r="B75" t="str">
            <v>n.a.</v>
          </cell>
          <cell r="C75" t="str">
            <v>S</v>
          </cell>
          <cell r="D75" t="str">
            <v>U</v>
          </cell>
          <cell r="E75" t="str">
            <v>Clock Tower - junction M1 (via road S137)</v>
          </cell>
          <cell r="F75" t="str">
            <v>Urban</v>
          </cell>
          <cell r="G75">
            <v>17</v>
          </cell>
          <cell r="H75">
            <v>10.4</v>
          </cell>
          <cell r="I75">
            <v>9</v>
          </cell>
          <cell r="J75" t="str">
            <v>R</v>
          </cell>
          <cell r="K75" t="str">
            <v>BLANTYRE CITY</v>
          </cell>
          <cell r="L75" t="str">
            <v>New section part original RS 175</v>
          </cell>
        </row>
        <row r="76">
          <cell r="A76" t="str">
            <v>RS 177</v>
          </cell>
          <cell r="B76">
            <v>177</v>
          </cell>
          <cell r="C76" t="str">
            <v>S</v>
          </cell>
          <cell r="D76" t="str">
            <v>U</v>
          </cell>
          <cell r="E76" t="str">
            <v>Air Wing Road</v>
          </cell>
          <cell r="F76" t="str">
            <v>Urban</v>
          </cell>
          <cell r="G76">
            <v>99</v>
          </cell>
          <cell r="H76">
            <v>8.6999999999999993</v>
          </cell>
          <cell r="I76" t="str">
            <v>C</v>
          </cell>
          <cell r="J76" t="str">
            <v>R</v>
          </cell>
          <cell r="K76" t="str">
            <v>Same as RS 393</v>
          </cell>
          <cell r="L76" t="str">
            <v>Section not used in Study</v>
          </cell>
        </row>
        <row r="77">
          <cell r="A77" t="str">
            <v>RS 393</v>
          </cell>
          <cell r="B77">
            <v>215</v>
          </cell>
          <cell r="C77" t="str">
            <v>S</v>
          </cell>
          <cell r="D77" t="str">
            <v>T</v>
          </cell>
          <cell r="E77" t="str">
            <v>M3 junction - Ndege (Air Wing)</v>
          </cell>
          <cell r="F77" t="str">
            <v>S143</v>
          </cell>
          <cell r="G77">
            <v>1</v>
          </cell>
          <cell r="H77">
            <v>3.9</v>
          </cell>
          <cell r="I77">
            <v>9</v>
          </cell>
          <cell r="J77" t="str">
            <v>F</v>
          </cell>
          <cell r="K77" t="str">
            <v>ZOMBA</v>
          </cell>
        </row>
        <row r="78">
          <cell r="A78" t="str">
            <v>RS 178</v>
          </cell>
          <cell r="B78">
            <v>178</v>
          </cell>
          <cell r="C78" t="str">
            <v>S</v>
          </cell>
          <cell r="D78" t="str">
            <v>U</v>
          </cell>
          <cell r="E78" t="str">
            <v>Balaka Loop</v>
          </cell>
          <cell r="F78" t="str">
            <v>Urban</v>
          </cell>
          <cell r="G78">
            <v>99</v>
          </cell>
          <cell r="H78">
            <v>1.5</v>
          </cell>
          <cell r="I78">
            <v>8</v>
          </cell>
          <cell r="J78" t="str">
            <v>-</v>
          </cell>
          <cell r="K78" t="str">
            <v>Same as RS 139</v>
          </cell>
          <cell r="L78" t="str">
            <v>Section not used in Study</v>
          </cell>
        </row>
        <row r="79">
          <cell r="A79" t="str">
            <v>RS 139</v>
          </cell>
          <cell r="B79">
            <v>139</v>
          </cell>
          <cell r="C79" t="str">
            <v>S</v>
          </cell>
          <cell r="D79" t="str">
            <v>T</v>
          </cell>
          <cell r="E79" t="str">
            <v xml:space="preserve">Balaka Loop </v>
          </cell>
          <cell r="F79" t="str">
            <v>Urban</v>
          </cell>
          <cell r="G79">
            <v>31</v>
          </cell>
          <cell r="H79">
            <v>1.5</v>
          </cell>
          <cell r="I79">
            <v>8</v>
          </cell>
          <cell r="J79" t="str">
            <v>F</v>
          </cell>
          <cell r="K79" t="str">
            <v>BALAKA TOWN</v>
          </cell>
        </row>
        <row r="80">
          <cell r="A80" t="str">
            <v>RS 179</v>
          </cell>
          <cell r="B80">
            <v>1</v>
          </cell>
          <cell r="C80" t="str">
            <v>N</v>
          </cell>
          <cell r="D80" t="str">
            <v>T</v>
          </cell>
          <cell r="E80" t="str">
            <v>Mkoma - Chelinda T/off</v>
          </cell>
          <cell r="F80" t="str">
            <v>M09</v>
          </cell>
          <cell r="G80" t="str">
            <v>T</v>
          </cell>
          <cell r="H80">
            <v>211.3</v>
          </cell>
          <cell r="I80">
            <v>2</v>
          </cell>
          <cell r="J80" t="str">
            <v>H</v>
          </cell>
          <cell r="K80" t="str">
            <v>Split into RS 847 &amp; 848 for link separation</v>
          </cell>
          <cell r="L80" t="str">
            <v>Section not used in Study</v>
          </cell>
        </row>
        <row r="81">
          <cell r="A81" t="str">
            <v>RS 847</v>
          </cell>
          <cell r="B81" t="str">
            <v>n.a.</v>
          </cell>
          <cell r="C81" t="str">
            <v>N</v>
          </cell>
          <cell r="D81" t="str">
            <v>T</v>
          </cell>
          <cell r="E81" t="str">
            <v>Mkoma (Tanzania border) - Chitipa</v>
          </cell>
          <cell r="F81" t="str">
            <v>M09</v>
          </cell>
          <cell r="G81">
            <v>1</v>
          </cell>
          <cell r="H81">
            <v>44.5</v>
          </cell>
          <cell r="I81">
            <v>1</v>
          </cell>
          <cell r="J81" t="str">
            <v>R</v>
          </cell>
          <cell r="K81" t="str">
            <v>CHITIPA</v>
          </cell>
          <cell r="L81" t="str">
            <v>New section part of original RS 179</v>
          </cell>
        </row>
        <row r="82">
          <cell r="A82" t="str">
            <v>RS 848</v>
          </cell>
          <cell r="B82" t="str">
            <v>n.a.</v>
          </cell>
          <cell r="C82" t="str">
            <v>N</v>
          </cell>
          <cell r="D82" t="str">
            <v>T</v>
          </cell>
          <cell r="E82" t="str">
            <v>Chitipa - Chelinda T/off</v>
          </cell>
          <cell r="F82" t="str">
            <v>M09</v>
          </cell>
          <cell r="G82">
            <v>2</v>
          </cell>
          <cell r="H82">
            <v>166.8</v>
          </cell>
          <cell r="I82">
            <v>1</v>
          </cell>
          <cell r="J82" t="str">
            <v>R</v>
          </cell>
          <cell r="K82" t="str">
            <v>CHITIPA</v>
          </cell>
          <cell r="L82" t="str">
            <v>New section part of original RS 179</v>
          </cell>
        </row>
        <row r="83">
          <cell r="A83" t="str">
            <v>RS 217</v>
          </cell>
          <cell r="B83">
            <v>39</v>
          </cell>
          <cell r="C83" t="str">
            <v>C</v>
          </cell>
          <cell r="D83" t="str">
            <v>T</v>
          </cell>
          <cell r="E83" t="str">
            <v>Railroad Bridge - Kanyenyeva</v>
          </cell>
          <cell r="F83" t="str">
            <v>M14</v>
          </cell>
          <cell r="G83" t="str">
            <v>T</v>
          </cell>
          <cell r="H83">
            <v>12</v>
          </cell>
          <cell r="I83">
            <v>6</v>
          </cell>
          <cell r="J83" t="str">
            <v>R</v>
          </cell>
          <cell r="K83" t="str">
            <v>Contained within RS 216</v>
          </cell>
          <cell r="L83" t="str">
            <v>Section not used in Study</v>
          </cell>
        </row>
        <row r="84">
          <cell r="A84" t="str">
            <v>RS 216</v>
          </cell>
          <cell r="B84">
            <v>38</v>
          </cell>
          <cell r="C84" t="str">
            <v>C</v>
          </cell>
          <cell r="D84" t="str">
            <v>T</v>
          </cell>
          <cell r="E84" t="str">
            <v>Kachinchezo - Kanyenyeva</v>
          </cell>
          <cell r="F84" t="str">
            <v>M14</v>
          </cell>
          <cell r="G84">
            <v>4</v>
          </cell>
          <cell r="H84">
            <v>10.8</v>
          </cell>
          <cell r="I84">
            <v>6</v>
          </cell>
          <cell r="J84" t="str">
            <v>R</v>
          </cell>
          <cell r="K84" t="str">
            <v>DOWA</v>
          </cell>
          <cell r="L84" t="str">
            <v>Changed designation from M16 to M14</v>
          </cell>
        </row>
        <row r="85">
          <cell r="A85" t="str">
            <v>RS 225</v>
          </cell>
          <cell r="B85">
            <v>47</v>
          </cell>
          <cell r="C85" t="str">
            <v>C</v>
          </cell>
          <cell r="D85" t="str">
            <v>T</v>
          </cell>
          <cell r="E85" t="str">
            <v>Msulira - Nkhotakota</v>
          </cell>
          <cell r="F85" t="str">
            <v>M18</v>
          </cell>
          <cell r="G85">
            <v>99</v>
          </cell>
          <cell r="H85">
            <v>80</v>
          </cell>
          <cell r="I85" t="str">
            <v>-</v>
          </cell>
          <cell r="J85" t="str">
            <v>-</v>
          </cell>
          <cell r="K85" t="str">
            <v>Contains RS 49,224,222,223,837,259</v>
          </cell>
          <cell r="L85" t="str">
            <v>Section not used in Study</v>
          </cell>
        </row>
        <row r="86">
          <cell r="A86" t="str">
            <v>RS 049</v>
          </cell>
          <cell r="B86">
            <v>49</v>
          </cell>
          <cell r="C86" t="str">
            <v>C</v>
          </cell>
          <cell r="D86" t="str">
            <v>T</v>
          </cell>
          <cell r="E86" t="str">
            <v>Nkhota-kota - Malenga</v>
          </cell>
          <cell r="F86" t="str">
            <v>M18</v>
          </cell>
          <cell r="G86">
            <v>1</v>
          </cell>
          <cell r="H86">
            <v>5.6</v>
          </cell>
          <cell r="I86">
            <v>5</v>
          </cell>
          <cell r="J86" t="str">
            <v>F</v>
          </cell>
          <cell r="K86" t="str">
            <v>NKHOTA KOTA</v>
          </cell>
          <cell r="L86" t="str">
            <v>Changed designation from M5 to M18</v>
          </cell>
        </row>
        <row r="87">
          <cell r="A87" t="str">
            <v>RS 224</v>
          </cell>
          <cell r="B87">
            <v>46</v>
          </cell>
          <cell r="C87" t="str">
            <v>C</v>
          </cell>
          <cell r="D87" t="str">
            <v>T</v>
          </cell>
          <cell r="E87" t="str">
            <v>Malenga - Nkhotakota Game Reserve</v>
          </cell>
          <cell r="F87" t="str">
            <v>M18</v>
          </cell>
          <cell r="G87">
            <v>2</v>
          </cell>
          <cell r="H87">
            <v>16.100000000000001</v>
          </cell>
          <cell r="I87">
            <v>5</v>
          </cell>
          <cell r="J87" t="str">
            <v>F</v>
          </cell>
          <cell r="K87" t="str">
            <v>NKHOTA KOTA</v>
          </cell>
        </row>
        <row r="88">
          <cell r="A88" t="str">
            <v>RS 222</v>
          </cell>
          <cell r="B88">
            <v>44</v>
          </cell>
          <cell r="C88" t="str">
            <v>C</v>
          </cell>
          <cell r="D88" t="str">
            <v>T</v>
          </cell>
          <cell r="E88" t="str">
            <v>Nkhotakota Game Reserve - Mbobo</v>
          </cell>
          <cell r="F88" t="str">
            <v>M18</v>
          </cell>
          <cell r="G88">
            <v>3</v>
          </cell>
          <cell r="H88">
            <v>32.6</v>
          </cell>
          <cell r="I88">
            <v>5</v>
          </cell>
          <cell r="J88" t="str">
            <v>R</v>
          </cell>
          <cell r="K88" t="str">
            <v>NKHOTA KOTA &amp; NTCHISI</v>
          </cell>
        </row>
        <row r="89">
          <cell r="A89" t="str">
            <v>RS 223</v>
          </cell>
          <cell r="B89">
            <v>45</v>
          </cell>
          <cell r="C89" t="str">
            <v>C</v>
          </cell>
          <cell r="D89" t="str">
            <v>T</v>
          </cell>
          <cell r="E89" t="str">
            <v>Mbobo - Malomo T.C.</v>
          </cell>
          <cell r="F89" t="str">
            <v>M18</v>
          </cell>
          <cell r="G89">
            <v>4</v>
          </cell>
          <cell r="H89">
            <v>18.100000000000001</v>
          </cell>
          <cell r="I89">
            <v>5</v>
          </cell>
          <cell r="J89" t="str">
            <v>R</v>
          </cell>
          <cell r="K89" t="str">
            <v>NTCHISI</v>
          </cell>
        </row>
        <row r="90">
          <cell r="A90" t="str">
            <v>RS 837</v>
          </cell>
          <cell r="B90" t="str">
            <v>n.a.</v>
          </cell>
          <cell r="C90" t="str">
            <v>C</v>
          </cell>
          <cell r="D90" t="str">
            <v>T</v>
          </cell>
          <cell r="E90" t="str">
            <v>Malomo T.C. - Chima</v>
          </cell>
          <cell r="F90" t="str">
            <v>M18</v>
          </cell>
          <cell r="G90">
            <v>5</v>
          </cell>
          <cell r="H90">
            <v>14.4</v>
          </cell>
          <cell r="I90">
            <v>6</v>
          </cell>
          <cell r="J90" t="str">
            <v>R</v>
          </cell>
          <cell r="K90" t="str">
            <v>LILONGWE</v>
          </cell>
          <cell r="L90" t="str">
            <v>New section part of RS 225</v>
          </cell>
        </row>
        <row r="91">
          <cell r="A91" t="str">
            <v>RS 259</v>
          </cell>
          <cell r="B91">
            <v>81</v>
          </cell>
          <cell r="C91" t="str">
            <v>C</v>
          </cell>
          <cell r="D91" t="str">
            <v>T</v>
          </cell>
          <cell r="E91" t="str">
            <v>Chima - Chilowamatambe</v>
          </cell>
          <cell r="F91" t="str">
            <v>M18</v>
          </cell>
          <cell r="G91">
            <v>6</v>
          </cell>
          <cell r="H91">
            <v>14.9</v>
          </cell>
          <cell r="I91">
            <v>5</v>
          </cell>
          <cell r="J91" t="str">
            <v>F</v>
          </cell>
          <cell r="K91" t="str">
            <v>KASUNGU</v>
          </cell>
          <cell r="L91" t="str">
            <v>Changed designation from S120 to M18. Now by-passed.</v>
          </cell>
        </row>
        <row r="92">
          <cell r="A92" t="str">
            <v>RS 228</v>
          </cell>
          <cell r="B92">
            <v>50</v>
          </cell>
          <cell r="C92" t="str">
            <v>C</v>
          </cell>
          <cell r="D92" t="str">
            <v>T</v>
          </cell>
          <cell r="E92" t="str">
            <v>Msokera - Lisitu River</v>
          </cell>
          <cell r="F92" t="str">
            <v>S114</v>
          </cell>
          <cell r="G92">
            <v>99</v>
          </cell>
          <cell r="H92">
            <v>32.5</v>
          </cell>
          <cell r="I92">
            <v>5</v>
          </cell>
          <cell r="J92" t="str">
            <v>F</v>
          </cell>
          <cell r="K92" t="str">
            <v>Contained within RS 229</v>
          </cell>
          <cell r="L92" t="str">
            <v>Section not used in Study</v>
          </cell>
        </row>
        <row r="93">
          <cell r="A93" t="str">
            <v>RS 229</v>
          </cell>
          <cell r="B93">
            <v>51</v>
          </cell>
          <cell r="C93" t="str">
            <v>C</v>
          </cell>
          <cell r="D93" t="str">
            <v>T</v>
          </cell>
          <cell r="E93" t="str">
            <v>Kasungu - Lifupa (Kasungu National Park)</v>
          </cell>
          <cell r="F93" t="str">
            <v>S114</v>
          </cell>
          <cell r="G93">
            <v>1</v>
          </cell>
          <cell r="H93">
            <v>47</v>
          </cell>
          <cell r="I93">
            <v>5</v>
          </cell>
          <cell r="J93" t="str">
            <v>F</v>
          </cell>
          <cell r="K93" t="str">
            <v>KASUNGU</v>
          </cell>
        </row>
        <row r="94">
          <cell r="A94" t="str">
            <v>RS 230</v>
          </cell>
          <cell r="B94">
            <v>52</v>
          </cell>
          <cell r="C94" t="str">
            <v>C</v>
          </cell>
          <cell r="D94" t="str">
            <v>T</v>
          </cell>
          <cell r="E94" t="str">
            <v>Dangaliro - Nambuma River</v>
          </cell>
          <cell r="F94" t="str">
            <v>S115</v>
          </cell>
          <cell r="G94">
            <v>99</v>
          </cell>
          <cell r="H94">
            <v>9.8000000000000007</v>
          </cell>
          <cell r="I94">
            <v>6</v>
          </cell>
          <cell r="J94" t="str">
            <v>F</v>
          </cell>
          <cell r="K94" t="str">
            <v>Contained in RS 232 &amp; 231</v>
          </cell>
          <cell r="L94" t="str">
            <v>Section not used in Study</v>
          </cell>
        </row>
        <row r="95">
          <cell r="A95" t="str">
            <v>RS 232</v>
          </cell>
          <cell r="B95">
            <v>54</v>
          </cell>
          <cell r="C95" t="str">
            <v>C</v>
          </cell>
          <cell r="D95" t="str">
            <v>T</v>
          </cell>
          <cell r="E95" t="str">
            <v>Dangaliro - Mkulumimba</v>
          </cell>
          <cell r="F95" t="str">
            <v>S115</v>
          </cell>
          <cell r="G95">
            <v>3</v>
          </cell>
          <cell r="H95">
            <v>15.4</v>
          </cell>
          <cell r="I95">
            <v>6</v>
          </cell>
          <cell r="J95" t="str">
            <v>F</v>
          </cell>
          <cell r="K95" t="str">
            <v>DOWA</v>
          </cell>
        </row>
        <row r="96">
          <cell r="A96" t="str">
            <v>RS 231</v>
          </cell>
          <cell r="B96">
            <v>53</v>
          </cell>
          <cell r="C96" t="str">
            <v>C</v>
          </cell>
          <cell r="D96" t="str">
            <v>T</v>
          </cell>
          <cell r="E96" t="str">
            <v>Mkulumimba - Bua River Bridge</v>
          </cell>
          <cell r="F96" t="str">
            <v>S115</v>
          </cell>
          <cell r="G96">
            <v>4</v>
          </cell>
          <cell r="H96">
            <v>13</v>
          </cell>
          <cell r="I96">
            <v>6</v>
          </cell>
          <cell r="J96" t="str">
            <v>F</v>
          </cell>
          <cell r="K96" t="str">
            <v>DOWA &amp; LILONGWE</v>
          </cell>
        </row>
        <row r="97">
          <cell r="A97" t="str">
            <v>RS 263</v>
          </cell>
          <cell r="B97">
            <v>85</v>
          </cell>
          <cell r="C97" t="str">
            <v>C</v>
          </cell>
          <cell r="D97" t="str">
            <v>T</v>
          </cell>
          <cell r="E97" t="str">
            <v>Kamphata - Nkhoma</v>
          </cell>
          <cell r="F97" t="str">
            <v>S121</v>
          </cell>
          <cell r="G97">
            <v>99</v>
          </cell>
          <cell r="H97">
            <v>16</v>
          </cell>
          <cell r="I97">
            <v>6</v>
          </cell>
          <cell r="J97" t="str">
            <v>F</v>
          </cell>
          <cell r="K97" t="str">
            <v>Contains RS 273 &amp; 265 (Part of T373)</v>
          </cell>
          <cell r="L97" t="str">
            <v>Section not used in Study</v>
          </cell>
        </row>
        <row r="98">
          <cell r="A98" t="str">
            <v>RS 273</v>
          </cell>
          <cell r="B98">
            <v>95</v>
          </cell>
          <cell r="C98" t="str">
            <v>C</v>
          </cell>
          <cell r="D98" t="str">
            <v>T</v>
          </cell>
          <cell r="E98" t="str">
            <v>Chamadenga - Kamphata</v>
          </cell>
          <cell r="F98" t="str">
            <v>S121</v>
          </cell>
          <cell r="G98">
            <v>8</v>
          </cell>
          <cell r="H98">
            <v>9.1</v>
          </cell>
          <cell r="I98">
            <v>6</v>
          </cell>
          <cell r="J98" t="str">
            <v>F</v>
          </cell>
          <cell r="K98" t="str">
            <v>LILONGWE</v>
          </cell>
        </row>
        <row r="99">
          <cell r="A99" t="str">
            <v>RS 265</v>
          </cell>
          <cell r="B99">
            <v>87</v>
          </cell>
          <cell r="C99" t="str">
            <v>C</v>
          </cell>
          <cell r="D99" t="str">
            <v>F</v>
          </cell>
          <cell r="E99" t="str">
            <v>Chamadenga - Katete River</v>
          </cell>
          <cell r="F99" t="str">
            <v>T373</v>
          </cell>
          <cell r="G99">
            <v>1</v>
          </cell>
          <cell r="H99">
            <v>6.3</v>
          </cell>
          <cell r="I99">
            <v>6</v>
          </cell>
          <cell r="J99" t="str">
            <v>F</v>
          </cell>
          <cell r="K99" t="str">
            <v>LILONGWE</v>
          </cell>
          <cell r="L99" t="str">
            <v>Changed designation from S121 to T373</v>
          </cell>
        </row>
        <row r="100">
          <cell r="A100" t="str">
            <v>RS 244</v>
          </cell>
          <cell r="B100">
            <v>66</v>
          </cell>
          <cell r="C100" t="str">
            <v>C</v>
          </cell>
          <cell r="D100" t="str">
            <v>T</v>
          </cell>
          <cell r="E100" t="str">
            <v>Santhe T.C. - Bua River</v>
          </cell>
          <cell r="F100" t="str">
            <v>S117</v>
          </cell>
          <cell r="G100">
            <v>2</v>
          </cell>
          <cell r="H100">
            <v>6.5</v>
          </cell>
          <cell r="I100" t="str">
            <v>F</v>
          </cell>
          <cell r="J100" t="str">
            <v>KASUNGU</v>
          </cell>
          <cell r="K100" t="str">
            <v>Contained within  RS 246</v>
          </cell>
          <cell r="L100" t="str">
            <v>Section not used in Study</v>
          </cell>
        </row>
        <row r="101">
          <cell r="A101" t="str">
            <v>RS 246</v>
          </cell>
          <cell r="B101">
            <v>68</v>
          </cell>
          <cell r="C101" t="str">
            <v>C</v>
          </cell>
          <cell r="D101" t="str">
            <v>T</v>
          </cell>
          <cell r="E101" t="str">
            <v>Bua River - Chilobwe - Mbabzi</v>
          </cell>
          <cell r="F101" t="str">
            <v>S117</v>
          </cell>
          <cell r="G101">
            <v>3</v>
          </cell>
          <cell r="H101">
            <v>93</v>
          </cell>
          <cell r="I101" t="str">
            <v>F</v>
          </cell>
          <cell r="J101" t="str">
            <v>LL &amp; MC &amp; KU</v>
          </cell>
          <cell r="K101" t="str">
            <v>LILONGWE/MCHINJI/KASUNGU</v>
          </cell>
        </row>
        <row r="102">
          <cell r="A102" t="str">
            <v>RS 287</v>
          </cell>
          <cell r="B102">
            <v>109</v>
          </cell>
          <cell r="C102" t="str">
            <v>C</v>
          </cell>
          <cell r="D102" t="str">
            <v>T</v>
          </cell>
          <cell r="E102" t="str">
            <v>Sitima - Diamphwe River</v>
          </cell>
          <cell r="F102" t="str">
            <v>S124</v>
          </cell>
          <cell r="G102">
            <v>99</v>
          </cell>
          <cell r="H102">
            <v>6.1</v>
          </cell>
          <cell r="I102">
            <v>6</v>
          </cell>
          <cell r="J102" t="str">
            <v>F</v>
          </cell>
          <cell r="K102" t="str">
            <v>Contains RS 661,284,286,288</v>
          </cell>
          <cell r="L102" t="str">
            <v>Section not used in Study</v>
          </cell>
        </row>
        <row r="103">
          <cell r="A103" t="str">
            <v>RS 661</v>
          </cell>
          <cell r="B103">
            <v>483</v>
          </cell>
          <cell r="C103" t="str">
            <v>C</v>
          </cell>
          <cell r="D103" t="str">
            <v>T</v>
          </cell>
          <cell r="E103" t="str">
            <v>Sitima - Kambalanje</v>
          </cell>
          <cell r="F103" t="str">
            <v>S124</v>
          </cell>
          <cell r="G103">
            <v>8</v>
          </cell>
          <cell r="H103">
            <v>1.9</v>
          </cell>
          <cell r="I103">
            <v>6</v>
          </cell>
          <cell r="J103" t="str">
            <v>F</v>
          </cell>
          <cell r="K103" t="str">
            <v>LILONGWE</v>
          </cell>
          <cell r="L103" t="str">
            <v>Changed designation from D198 to S124</v>
          </cell>
        </row>
        <row r="104">
          <cell r="A104" t="str">
            <v>RS 284</v>
          </cell>
          <cell r="B104">
            <v>106</v>
          </cell>
          <cell r="C104" t="str">
            <v>C</v>
          </cell>
          <cell r="D104" t="str">
            <v>T</v>
          </cell>
          <cell r="E104" t="str">
            <v>Kambalanje - Chisendera</v>
          </cell>
          <cell r="F104" t="str">
            <v>S124</v>
          </cell>
          <cell r="G104">
            <v>9</v>
          </cell>
          <cell r="H104">
            <v>7.5</v>
          </cell>
          <cell r="I104">
            <v>6</v>
          </cell>
          <cell r="J104" t="str">
            <v>F</v>
          </cell>
          <cell r="K104" t="str">
            <v>LILONGWE</v>
          </cell>
        </row>
        <row r="105">
          <cell r="A105" t="str">
            <v>RS 286</v>
          </cell>
          <cell r="B105">
            <v>108</v>
          </cell>
          <cell r="C105" t="str">
            <v>C</v>
          </cell>
          <cell r="D105" t="str">
            <v>T</v>
          </cell>
          <cell r="E105" t="str">
            <v>Chisendera - Mlozesi</v>
          </cell>
          <cell r="F105" t="str">
            <v>S124</v>
          </cell>
          <cell r="G105">
            <v>10</v>
          </cell>
          <cell r="H105">
            <v>4.9000000000000004</v>
          </cell>
          <cell r="I105">
            <v>6</v>
          </cell>
          <cell r="J105" t="str">
            <v>F</v>
          </cell>
          <cell r="K105" t="str">
            <v>LILONGWE</v>
          </cell>
        </row>
        <row r="106">
          <cell r="A106" t="str">
            <v>RS 288</v>
          </cell>
          <cell r="B106">
            <v>110</v>
          </cell>
          <cell r="C106" t="str">
            <v>C</v>
          </cell>
          <cell r="D106" t="str">
            <v>T</v>
          </cell>
          <cell r="E106" t="str">
            <v>Mlozesi - Diamphwe River</v>
          </cell>
          <cell r="F106" t="str">
            <v>S124</v>
          </cell>
          <cell r="G106">
            <v>11</v>
          </cell>
          <cell r="H106">
            <v>4.5</v>
          </cell>
          <cell r="I106">
            <v>6</v>
          </cell>
          <cell r="J106" t="str">
            <v>F</v>
          </cell>
          <cell r="K106" t="str">
            <v>LILONGWE</v>
          </cell>
        </row>
        <row r="107">
          <cell r="A107" t="str">
            <v>RS 316</v>
          </cell>
          <cell r="B107">
            <v>138</v>
          </cell>
          <cell r="C107" t="str">
            <v>S</v>
          </cell>
          <cell r="D107" t="str">
            <v>T</v>
          </cell>
          <cell r="E107" t="str">
            <v>Ngabu - Lalanje River</v>
          </cell>
          <cell r="F107" t="str">
            <v>M01</v>
          </cell>
          <cell r="G107">
            <v>99</v>
          </cell>
          <cell r="H107">
            <v>17.399999999999999</v>
          </cell>
          <cell r="I107">
            <v>3</v>
          </cell>
          <cell r="J107" t="str">
            <v>F</v>
          </cell>
          <cell r="K107" t="str">
            <v>Same as RS 097</v>
          </cell>
          <cell r="L107" t="str">
            <v>Section not used in Study</v>
          </cell>
        </row>
        <row r="108">
          <cell r="A108" t="str">
            <v>RS 097</v>
          </cell>
          <cell r="B108">
            <v>97</v>
          </cell>
          <cell r="C108" t="str">
            <v>S</v>
          </cell>
          <cell r="D108" t="str">
            <v>T</v>
          </cell>
          <cell r="E108" t="str">
            <v>Ngabu - Lalanje River</v>
          </cell>
          <cell r="F108" t="str">
            <v>M01</v>
          </cell>
          <cell r="G108">
            <v>50</v>
          </cell>
          <cell r="H108">
            <v>17.399999999999999</v>
          </cell>
          <cell r="I108">
            <v>10</v>
          </cell>
          <cell r="J108" t="str">
            <v>F</v>
          </cell>
          <cell r="K108" t="str">
            <v>CHIKWAWA</v>
          </cell>
        </row>
        <row r="109">
          <cell r="A109" t="str">
            <v>RS 319</v>
          </cell>
          <cell r="B109">
            <v>141</v>
          </cell>
          <cell r="C109" t="str">
            <v>S</v>
          </cell>
          <cell r="D109" t="str">
            <v>T</v>
          </cell>
          <cell r="E109" t="str">
            <v>Bango - Mirale Police Post</v>
          </cell>
          <cell r="F109" t="str">
            <v>M01</v>
          </cell>
          <cell r="G109">
            <v>99</v>
          </cell>
          <cell r="H109">
            <v>11.4</v>
          </cell>
          <cell r="I109">
            <v>9</v>
          </cell>
          <cell r="J109" t="str">
            <v>R</v>
          </cell>
          <cell r="K109" t="str">
            <v>Same as RS 104</v>
          </cell>
          <cell r="L109" t="str">
            <v>Section not used in Study</v>
          </cell>
        </row>
        <row r="110">
          <cell r="A110" t="str">
            <v>RS 104</v>
          </cell>
          <cell r="B110">
            <v>104</v>
          </cell>
          <cell r="C110" t="str">
            <v>S</v>
          </cell>
          <cell r="D110" t="str">
            <v>T</v>
          </cell>
          <cell r="E110" t="str">
            <v>Bango - Mirale Police Post</v>
          </cell>
          <cell r="F110" t="str">
            <v>M01</v>
          </cell>
          <cell r="G110">
            <v>42</v>
          </cell>
          <cell r="H110">
            <v>11.4</v>
          </cell>
          <cell r="I110">
            <v>9</v>
          </cell>
          <cell r="J110" t="str">
            <v>R</v>
          </cell>
          <cell r="K110" t="str">
            <v>BLANTYRE</v>
          </cell>
        </row>
        <row r="111">
          <cell r="A111" t="str">
            <v>RS 330</v>
          </cell>
          <cell r="B111">
            <v>152</v>
          </cell>
          <cell r="C111" t="str">
            <v>S</v>
          </cell>
          <cell r="D111" t="str">
            <v>T</v>
          </cell>
          <cell r="E111" t="str">
            <v>Losa - Luwanje</v>
          </cell>
          <cell r="F111" t="str">
            <v>M04</v>
          </cell>
          <cell r="G111">
            <v>99</v>
          </cell>
          <cell r="H111">
            <v>15.6</v>
          </cell>
          <cell r="I111">
            <v>9</v>
          </cell>
          <cell r="J111" t="str">
            <v>R</v>
          </cell>
          <cell r="K111" t="str">
            <v>Contains RS 758 &amp; 838</v>
          </cell>
          <cell r="L111" t="str">
            <v>Section not used in Study</v>
          </cell>
        </row>
        <row r="112">
          <cell r="A112" t="str">
            <v>RS 758</v>
          </cell>
          <cell r="B112">
            <v>580</v>
          </cell>
          <cell r="C112" t="str">
            <v>S</v>
          </cell>
          <cell r="D112" t="str">
            <v>T</v>
          </cell>
          <cell r="E112" t="str">
            <v>Losa - Thuchila River Bridge</v>
          </cell>
          <cell r="F112" t="str">
            <v>M04</v>
          </cell>
          <cell r="G112">
            <v>4</v>
          </cell>
          <cell r="H112">
            <v>8.6999999999999993</v>
          </cell>
          <cell r="I112">
            <v>9</v>
          </cell>
          <cell r="J112" t="str">
            <v>F</v>
          </cell>
          <cell r="K112" t="str">
            <v>MULANJE</v>
          </cell>
          <cell r="L112" t="str">
            <v>Changed designation from T413  to M04</v>
          </cell>
        </row>
        <row r="113">
          <cell r="A113" t="str">
            <v>RS 838</v>
          </cell>
          <cell r="B113" t="str">
            <v>n.a.</v>
          </cell>
          <cell r="C113" t="str">
            <v>S</v>
          </cell>
          <cell r="D113" t="str">
            <v>T</v>
          </cell>
          <cell r="E113" t="str">
            <v>Thuchila River Bridge - Luwanje T.C.</v>
          </cell>
          <cell r="F113" t="str">
            <v>M04</v>
          </cell>
          <cell r="G113">
            <v>5</v>
          </cell>
          <cell r="H113">
            <v>6.9</v>
          </cell>
          <cell r="I113">
            <v>9</v>
          </cell>
          <cell r="J113" t="str">
            <v>R</v>
          </cell>
          <cell r="K113" t="str">
            <v>MULANJE</v>
          </cell>
          <cell r="L113" t="str">
            <v xml:space="preserve">New section part of RS 330 </v>
          </cell>
        </row>
        <row r="114">
          <cell r="A114" t="str">
            <v>RS 352</v>
          </cell>
          <cell r="B114">
            <v>174</v>
          </cell>
          <cell r="C114" t="str">
            <v>S</v>
          </cell>
          <cell r="D114" t="str">
            <v>T</v>
          </cell>
          <cell r="E114" t="str">
            <v>Matope - Singwa</v>
          </cell>
          <cell r="F114" t="str">
            <v>S131</v>
          </cell>
          <cell r="G114">
            <v>99</v>
          </cell>
          <cell r="H114">
            <v>18.7</v>
          </cell>
          <cell r="I114">
            <v>8</v>
          </cell>
          <cell r="J114" t="str">
            <v>R</v>
          </cell>
          <cell r="K114" t="str">
            <v>Contains RS 355 &amp; 845</v>
          </cell>
          <cell r="L114" t="str">
            <v>Section not used in Study</v>
          </cell>
        </row>
        <row r="115">
          <cell r="A115" t="str">
            <v>RS 355</v>
          </cell>
          <cell r="B115">
            <v>177</v>
          </cell>
          <cell r="C115" t="str">
            <v>S</v>
          </cell>
          <cell r="D115" t="str">
            <v>T</v>
          </cell>
          <cell r="E115" t="str">
            <v>Matope - Ntaja</v>
          </cell>
          <cell r="F115" t="str">
            <v>S131</v>
          </cell>
          <cell r="G115">
            <v>5</v>
          </cell>
          <cell r="H115">
            <v>7.5</v>
          </cell>
          <cell r="I115">
            <v>8</v>
          </cell>
          <cell r="J115" t="str">
            <v>R</v>
          </cell>
          <cell r="K115" t="str">
            <v>MACHINGA</v>
          </cell>
        </row>
        <row r="116">
          <cell r="A116" t="str">
            <v>RS 845</v>
          </cell>
          <cell r="B116" t="str">
            <v>n.a.</v>
          </cell>
          <cell r="C116" t="str">
            <v>S</v>
          </cell>
          <cell r="D116" t="str">
            <v>T</v>
          </cell>
          <cell r="E116" t="str">
            <v>Ntaja - Singwa</v>
          </cell>
          <cell r="F116" t="str">
            <v>S131</v>
          </cell>
          <cell r="G116">
            <v>6</v>
          </cell>
          <cell r="H116">
            <v>11.2</v>
          </cell>
          <cell r="I116">
            <v>8</v>
          </cell>
          <cell r="J116" t="str">
            <v>R</v>
          </cell>
          <cell r="K116" t="str">
            <v>MACHINGA</v>
          </cell>
          <cell r="L116" t="str">
            <v>New section added to cover original RS 352</v>
          </cell>
        </row>
        <row r="117">
          <cell r="A117" t="str">
            <v>RS 375</v>
          </cell>
          <cell r="B117">
            <v>197</v>
          </cell>
          <cell r="C117" t="str">
            <v>S</v>
          </cell>
          <cell r="D117" t="str">
            <v>T</v>
          </cell>
          <cell r="E117" t="str">
            <v>Mwanza River - Phwadzi River</v>
          </cell>
          <cell r="F117" t="str">
            <v>S136</v>
          </cell>
          <cell r="G117">
            <v>99</v>
          </cell>
          <cell r="H117">
            <v>12.1</v>
          </cell>
          <cell r="I117">
            <v>9</v>
          </cell>
          <cell r="J117" t="str">
            <v>R</v>
          </cell>
          <cell r="K117" t="str">
            <v>Contained within RS377</v>
          </cell>
          <cell r="L117" t="str">
            <v>Section not used in Study</v>
          </cell>
        </row>
        <row r="118">
          <cell r="A118" t="str">
            <v>RS 377</v>
          </cell>
          <cell r="B118">
            <v>199</v>
          </cell>
          <cell r="C118" t="str">
            <v>S</v>
          </cell>
          <cell r="D118" t="str">
            <v>T</v>
          </cell>
          <cell r="E118" t="str">
            <v>Mwanza River - Nkhongono</v>
          </cell>
          <cell r="F118" t="str">
            <v>S136</v>
          </cell>
          <cell r="G118">
            <v>8</v>
          </cell>
          <cell r="H118">
            <v>16.399999999999999</v>
          </cell>
          <cell r="I118">
            <v>9</v>
          </cell>
          <cell r="J118" t="str">
            <v>F</v>
          </cell>
          <cell r="K118" t="str">
            <v>CHIKWAWA</v>
          </cell>
        </row>
        <row r="119">
          <cell r="A119" t="str">
            <v>RS 410</v>
          </cell>
          <cell r="B119">
            <v>232</v>
          </cell>
          <cell r="C119" t="str">
            <v>S</v>
          </cell>
          <cell r="D119" t="str">
            <v>T</v>
          </cell>
          <cell r="E119" t="str">
            <v>Zomba - Kuchawe</v>
          </cell>
          <cell r="F119" t="str">
            <v>UD</v>
          </cell>
          <cell r="G119">
            <v>99</v>
          </cell>
          <cell r="H119">
            <v>8.9</v>
          </cell>
          <cell r="I119">
            <v>9</v>
          </cell>
          <cell r="J119" t="str">
            <v>H</v>
          </cell>
          <cell r="K119" t="str">
            <v>Contains RS 176 &amp; 417.</v>
          </cell>
          <cell r="L119" t="str">
            <v>Section not used in Study</v>
          </cell>
        </row>
        <row r="120">
          <cell r="A120" t="str">
            <v>RS 176</v>
          </cell>
          <cell r="B120">
            <v>176</v>
          </cell>
          <cell r="C120" t="str">
            <v>S</v>
          </cell>
          <cell r="D120" t="str">
            <v>U</v>
          </cell>
          <cell r="E120" t="str">
            <v>Kuchawe Road (up road)</v>
          </cell>
          <cell r="F120" t="str">
            <v>Urban</v>
          </cell>
          <cell r="G120">
            <v>22</v>
          </cell>
          <cell r="H120">
            <v>15</v>
          </cell>
          <cell r="I120" t="str">
            <v>C</v>
          </cell>
          <cell r="J120" t="str">
            <v>H</v>
          </cell>
          <cell r="K120" t="str">
            <v>ZOMBA CITY &amp; ZOMBA</v>
          </cell>
        </row>
        <row r="121">
          <cell r="A121" t="str">
            <v>RS 417</v>
          </cell>
          <cell r="B121">
            <v>239</v>
          </cell>
          <cell r="C121" t="str">
            <v>S</v>
          </cell>
          <cell r="D121" t="str">
            <v>T</v>
          </cell>
          <cell r="E121" t="str">
            <v>Kuchawe - Zomba City Boundary (down road)</v>
          </cell>
          <cell r="F121" t="str">
            <v>UD</v>
          </cell>
          <cell r="G121">
            <v>6</v>
          </cell>
          <cell r="H121">
            <v>5.9</v>
          </cell>
          <cell r="I121" t="str">
            <v>C</v>
          </cell>
          <cell r="J121" t="str">
            <v>H</v>
          </cell>
          <cell r="K121" t="str">
            <v xml:space="preserve">ZOMBA </v>
          </cell>
        </row>
        <row r="122">
          <cell r="A122" t="str">
            <v>RS 465</v>
          </cell>
          <cell r="B122">
            <v>287</v>
          </cell>
          <cell r="C122" t="str">
            <v>N</v>
          </cell>
          <cell r="D122" t="str">
            <v>F</v>
          </cell>
          <cell r="E122" t="str">
            <v>Mabulabo - Kasungu Border</v>
          </cell>
          <cell r="F122" t="str">
            <v>T327</v>
          </cell>
          <cell r="G122">
            <v>99</v>
          </cell>
          <cell r="H122">
            <v>3.9</v>
          </cell>
          <cell r="I122">
            <v>4</v>
          </cell>
          <cell r="J122" t="str">
            <v>R</v>
          </cell>
          <cell r="K122" t="str">
            <v xml:space="preserve">Contained within RS 529. </v>
          </cell>
          <cell r="L122" t="str">
            <v>Section not used in Study</v>
          </cell>
        </row>
        <row r="123">
          <cell r="A123" t="str">
            <v>RS 529</v>
          </cell>
          <cell r="B123">
            <v>351</v>
          </cell>
          <cell r="C123" t="str">
            <v>C</v>
          </cell>
          <cell r="D123" t="str">
            <v>F</v>
          </cell>
          <cell r="E123" t="str">
            <v>Kalula - Mabulabo</v>
          </cell>
          <cell r="F123" t="str">
            <v>T327</v>
          </cell>
          <cell r="G123">
            <v>1</v>
          </cell>
          <cell r="H123">
            <v>12.5</v>
          </cell>
          <cell r="I123">
            <v>4</v>
          </cell>
          <cell r="J123" t="str">
            <v>R</v>
          </cell>
          <cell r="K123" t="str">
            <v>KASUNGU/MZIMBA</v>
          </cell>
        </row>
        <row r="124">
          <cell r="A124" t="str">
            <v>RS 468</v>
          </cell>
          <cell r="B124">
            <v>290</v>
          </cell>
          <cell r="C124" t="str">
            <v>N</v>
          </cell>
          <cell r="D124" t="str">
            <v>F</v>
          </cell>
          <cell r="E124" t="str">
            <v>Davide Kameme-Adamu</v>
          </cell>
          <cell r="F124" t="str">
            <v>D002</v>
          </cell>
          <cell r="G124">
            <v>99</v>
          </cell>
          <cell r="H124">
            <v>10</v>
          </cell>
          <cell r="I124" t="str">
            <v>F</v>
          </cell>
          <cell r="J124" t="str">
            <v>CHITIPA</v>
          </cell>
          <cell r="K124" t="str">
            <v>Contiained within RS 444</v>
          </cell>
          <cell r="L124" t="str">
            <v>Section not used in Study</v>
          </cell>
        </row>
        <row r="125">
          <cell r="A125" t="str">
            <v>RS 444</v>
          </cell>
          <cell r="B125">
            <v>266</v>
          </cell>
          <cell r="C125" t="str">
            <v>N</v>
          </cell>
          <cell r="D125" t="str">
            <v>F</v>
          </cell>
          <cell r="E125" t="str">
            <v>Fikolo Mkisi - Winston Kmeme</v>
          </cell>
          <cell r="F125" t="str">
            <v>D002</v>
          </cell>
          <cell r="G125">
            <v>1</v>
          </cell>
          <cell r="H125">
            <v>24.8</v>
          </cell>
          <cell r="I125">
            <v>1</v>
          </cell>
          <cell r="J125" t="str">
            <v>CHITIPA</v>
          </cell>
          <cell r="K125" t="str">
            <v>CHITIPA</v>
          </cell>
          <cell r="L125" t="str">
            <v>Changed designation from T301 to D2</v>
          </cell>
        </row>
        <row r="126">
          <cell r="A126" t="str">
            <v>RS 519</v>
          </cell>
          <cell r="B126">
            <v>341</v>
          </cell>
          <cell r="C126" t="str">
            <v>N</v>
          </cell>
          <cell r="D126" t="str">
            <v>T</v>
          </cell>
          <cell r="E126" t="str">
            <v>Enukweni - Embombeni</v>
          </cell>
          <cell r="F126" t="str">
            <v>M01</v>
          </cell>
          <cell r="G126">
            <v>99</v>
          </cell>
          <cell r="H126">
            <v>14.9</v>
          </cell>
          <cell r="I126">
            <v>3</v>
          </cell>
          <cell r="J126" t="str">
            <v>F&amp;H</v>
          </cell>
          <cell r="K126" t="str">
            <v>Contained in RS 3</v>
          </cell>
          <cell r="L126" t="str">
            <v>Section not used in Study</v>
          </cell>
        </row>
        <row r="127">
          <cell r="A127" t="str">
            <v>RS 003</v>
          </cell>
          <cell r="B127" t="str">
            <v>3</v>
          </cell>
          <cell r="C127" t="str">
            <v>N</v>
          </cell>
          <cell r="D127" t="str">
            <v>T</v>
          </cell>
          <cell r="E127" t="str">
            <v>Luzi River - Mzuzu - Champhoyo - Mtangatanga</v>
          </cell>
          <cell r="F127" t="str">
            <v>M01</v>
          </cell>
          <cell r="G127">
            <v>3</v>
          </cell>
          <cell r="H127">
            <v>107.5</v>
          </cell>
          <cell r="I127" t="str">
            <v>F</v>
          </cell>
          <cell r="J127" t="str">
            <v>RUMPHI &amp; MZIMBA</v>
          </cell>
          <cell r="K127" t="str">
            <v>RUMPHI &amp; MZIMBA</v>
          </cell>
        </row>
        <row r="128">
          <cell r="A128" t="str">
            <v>RS 543</v>
          </cell>
          <cell r="B128">
            <v>365</v>
          </cell>
          <cell r="C128" t="str">
            <v>C</v>
          </cell>
          <cell r="D128" t="str">
            <v>F</v>
          </cell>
          <cell r="E128" t="str">
            <v>Ngombe - junction D82</v>
          </cell>
          <cell r="F128" t="str">
            <v>T340</v>
          </cell>
          <cell r="G128">
            <v>99</v>
          </cell>
          <cell r="H128">
            <v>23</v>
          </cell>
          <cell r="I128">
            <v>5</v>
          </cell>
          <cell r="J128" t="str">
            <v>F</v>
          </cell>
          <cell r="K128" t="str">
            <v>Link does not exist</v>
          </cell>
          <cell r="L128" t="str">
            <v>Not used in Study</v>
          </cell>
        </row>
        <row r="129">
          <cell r="A129" t="str">
            <v>RS 670</v>
          </cell>
          <cell r="B129">
            <v>492</v>
          </cell>
          <cell r="C129" t="str">
            <v>C</v>
          </cell>
          <cell r="D129" t="str">
            <v>F</v>
          </cell>
          <cell r="E129" t="str">
            <v>Nakura - junction S124</v>
          </cell>
          <cell r="F129" t="str">
            <v>T364</v>
          </cell>
          <cell r="G129">
            <v>99</v>
          </cell>
          <cell r="H129">
            <v>10</v>
          </cell>
          <cell r="I129">
            <v>6</v>
          </cell>
          <cell r="J129" t="str">
            <v>FL</v>
          </cell>
          <cell r="K129" t="str">
            <v xml:space="preserve">Contains RS 669, 597 &amp; 566 </v>
          </cell>
          <cell r="L129" t="str">
            <v>Section not used in Study</v>
          </cell>
        </row>
        <row r="130">
          <cell r="A130" t="str">
            <v>RS 669</v>
          </cell>
          <cell r="B130">
            <v>491</v>
          </cell>
          <cell r="C130" t="str">
            <v>C</v>
          </cell>
          <cell r="D130" t="str">
            <v>F</v>
          </cell>
          <cell r="E130" t="str">
            <v>Nakula - Kakoma</v>
          </cell>
          <cell r="F130" t="str">
            <v>T364</v>
          </cell>
          <cell r="G130">
            <v>3</v>
          </cell>
          <cell r="H130">
            <v>8.4</v>
          </cell>
          <cell r="I130" t="str">
            <v>FL</v>
          </cell>
          <cell r="J130" t="str">
            <v>LILONGWE</v>
          </cell>
          <cell r="K130" t="str">
            <v>LILONGWE</v>
          </cell>
          <cell r="L130" t="str">
            <v>Changed designation from UDX to T364</v>
          </cell>
        </row>
        <row r="131">
          <cell r="A131" t="str">
            <v>RS 597</v>
          </cell>
          <cell r="B131">
            <v>419</v>
          </cell>
          <cell r="C131" t="str">
            <v>C</v>
          </cell>
          <cell r="D131" t="str">
            <v>F</v>
          </cell>
          <cell r="E131" t="str">
            <v>Kakoma - Njoka</v>
          </cell>
          <cell r="F131" t="str">
            <v>T364</v>
          </cell>
          <cell r="G131">
            <v>4</v>
          </cell>
          <cell r="H131">
            <v>11.9</v>
          </cell>
          <cell r="I131" t="str">
            <v>FL</v>
          </cell>
          <cell r="J131" t="str">
            <v>LILONGWE</v>
          </cell>
          <cell r="K131" t="str">
            <v>LILONGWE</v>
          </cell>
        </row>
        <row r="132">
          <cell r="A132" t="str">
            <v>RS 566</v>
          </cell>
          <cell r="B132">
            <v>388</v>
          </cell>
          <cell r="C132" t="str">
            <v>C</v>
          </cell>
          <cell r="D132" t="str">
            <v>F</v>
          </cell>
          <cell r="E132" t="str">
            <v>Njoka - Malingunde (junction S124)</v>
          </cell>
          <cell r="F132" t="str">
            <v>T345</v>
          </cell>
          <cell r="G132">
            <v>4</v>
          </cell>
          <cell r="H132">
            <v>9.6999999999999993</v>
          </cell>
          <cell r="I132" t="str">
            <v>F</v>
          </cell>
          <cell r="J132" t="str">
            <v>LILONGWE</v>
          </cell>
          <cell r="K132" t="str">
            <v>LILONGWE</v>
          </cell>
        </row>
        <row r="133">
          <cell r="A133" t="str">
            <v>RS 671</v>
          </cell>
          <cell r="B133">
            <v>493</v>
          </cell>
          <cell r="C133" t="str">
            <v>C</v>
          </cell>
          <cell r="D133" t="str">
            <v>F</v>
          </cell>
          <cell r="E133" t="str">
            <v>North Ngodzi River - Lake Malawi</v>
          </cell>
          <cell r="F133" t="str">
            <v>PR58</v>
          </cell>
          <cell r="G133">
            <v>1</v>
          </cell>
          <cell r="H133">
            <v>8</v>
          </cell>
          <cell r="I133">
            <v>7</v>
          </cell>
          <cell r="J133" t="str">
            <v>F</v>
          </cell>
          <cell r="K133" t="str">
            <v>SALIMA</v>
          </cell>
          <cell r="L133" t="str">
            <v>Can not locate.  Section not used in Sudy</v>
          </cell>
        </row>
        <row r="134">
          <cell r="A134" t="str">
            <v>RS 672</v>
          </cell>
          <cell r="B134">
            <v>494</v>
          </cell>
          <cell r="C134" t="str">
            <v>C</v>
          </cell>
          <cell r="D134" t="str">
            <v>F</v>
          </cell>
          <cell r="E134" t="str">
            <v>junction T357 - West Chelani</v>
          </cell>
          <cell r="F134" t="str">
            <v>PR92</v>
          </cell>
          <cell r="G134">
            <v>1</v>
          </cell>
          <cell r="H134">
            <v>11.5</v>
          </cell>
          <cell r="I134">
            <v>7</v>
          </cell>
          <cell r="J134" t="str">
            <v>F</v>
          </cell>
          <cell r="K134" t="str">
            <v>SALMA</v>
          </cell>
          <cell r="L134" t="str">
            <v>Can not locate.  Section not used in Sudy</v>
          </cell>
        </row>
        <row r="135">
          <cell r="A135" t="str">
            <v>RS 698</v>
          </cell>
          <cell r="B135">
            <v>520</v>
          </cell>
          <cell r="C135" t="str">
            <v>S</v>
          </cell>
          <cell r="D135" t="str">
            <v>F</v>
          </cell>
          <cell r="E135" t="str">
            <v>Maundani- Machina</v>
          </cell>
          <cell r="F135" t="str">
            <v>T392</v>
          </cell>
          <cell r="G135">
            <v>99</v>
          </cell>
          <cell r="H135">
            <v>12</v>
          </cell>
          <cell r="I135" t="str">
            <v>H</v>
          </cell>
          <cell r="J135" t="str">
            <v>Same as RS 696</v>
          </cell>
          <cell r="K135" t="str">
            <v>Same as RS 696</v>
          </cell>
          <cell r="L135" t="str">
            <v>Section not used in Study</v>
          </cell>
        </row>
        <row r="136">
          <cell r="A136" t="str">
            <v>RS 696</v>
          </cell>
          <cell r="B136">
            <v>518</v>
          </cell>
          <cell r="C136" t="str">
            <v>S</v>
          </cell>
          <cell r="D136" t="str">
            <v>F</v>
          </cell>
          <cell r="E136" t="str">
            <v>Maundani - Machina</v>
          </cell>
          <cell r="F136" t="str">
            <v>T392</v>
          </cell>
          <cell r="G136">
            <v>2</v>
          </cell>
          <cell r="H136">
            <v>17</v>
          </cell>
          <cell r="I136" t="str">
            <v>H</v>
          </cell>
          <cell r="J136" t="str">
            <v>MANGOCHI</v>
          </cell>
          <cell r="K136" t="str">
            <v>MANGOCHI</v>
          </cell>
        </row>
        <row r="137">
          <cell r="A137" t="str">
            <v>RS 790</v>
          </cell>
          <cell r="B137">
            <v>612</v>
          </cell>
          <cell r="C137" t="str">
            <v>S</v>
          </cell>
          <cell r="D137" t="str">
            <v>F</v>
          </cell>
          <cell r="E137" t="str">
            <v>Namikalango River - Ngabu</v>
          </cell>
          <cell r="F137" t="str">
            <v>T424</v>
          </cell>
          <cell r="G137">
            <v>99</v>
          </cell>
          <cell r="H137">
            <v>10</v>
          </cell>
          <cell r="I137">
            <v>10</v>
          </cell>
          <cell r="J137" t="str">
            <v>H</v>
          </cell>
          <cell r="K137" t="str">
            <v>Same as RS 785</v>
          </cell>
          <cell r="L137" t="str">
            <v>Section not used in Study</v>
          </cell>
        </row>
        <row r="138">
          <cell r="A138" t="str">
            <v>RS 785</v>
          </cell>
          <cell r="B138">
            <v>607</v>
          </cell>
          <cell r="C138" t="str">
            <v>S</v>
          </cell>
          <cell r="D138" t="str">
            <v>F</v>
          </cell>
          <cell r="E138" t="str">
            <v>Namikalango River - Ngabu</v>
          </cell>
          <cell r="F138" t="str">
            <v>T424</v>
          </cell>
          <cell r="G138">
            <v>2</v>
          </cell>
          <cell r="H138">
            <v>7.1</v>
          </cell>
          <cell r="I138">
            <v>10</v>
          </cell>
          <cell r="J138" t="str">
            <v>FL</v>
          </cell>
          <cell r="K138" t="str">
            <v>CHIKWAWA</v>
          </cell>
        </row>
        <row r="139">
          <cell r="A139" t="str">
            <v>RS 800</v>
          </cell>
          <cell r="B139">
            <v>622</v>
          </cell>
          <cell r="C139" t="str">
            <v>S</v>
          </cell>
          <cell r="D139" t="str">
            <v>F</v>
          </cell>
          <cell r="E139" t="str">
            <v>Mwanza Admarc - West Chipondeni</v>
          </cell>
          <cell r="F139" t="str">
            <v>S135</v>
          </cell>
          <cell r="G139">
            <v>99</v>
          </cell>
          <cell r="H139">
            <v>21</v>
          </cell>
          <cell r="I139">
            <v>9</v>
          </cell>
          <cell r="J139" t="str">
            <v>F</v>
          </cell>
          <cell r="K139" t="str">
            <v>Contians RS 362, 363 &amp; 364</v>
          </cell>
          <cell r="L139" t="str">
            <v>Changed designation frim D287 to S135. Not used in Study</v>
          </cell>
        </row>
        <row r="140">
          <cell r="A140" t="str">
            <v>RS 362</v>
          </cell>
          <cell r="B140">
            <v>184</v>
          </cell>
          <cell r="C140" t="str">
            <v>S</v>
          </cell>
          <cell r="D140" t="str">
            <v>T</v>
          </cell>
          <cell r="E140" t="str">
            <v>Chipondeni - Kunenekude</v>
          </cell>
          <cell r="F140" t="str">
            <v>S135</v>
          </cell>
          <cell r="G140">
            <v>9</v>
          </cell>
          <cell r="H140">
            <v>5.5</v>
          </cell>
          <cell r="I140" t="str">
            <v>H</v>
          </cell>
          <cell r="J140" t="str">
            <v>MWANZA</v>
          </cell>
          <cell r="K140" t="str">
            <v>MWANZA</v>
          </cell>
        </row>
        <row r="141">
          <cell r="A141" t="str">
            <v>RS 363</v>
          </cell>
          <cell r="B141">
            <v>185</v>
          </cell>
          <cell r="C141" t="str">
            <v>S</v>
          </cell>
          <cell r="D141" t="str">
            <v>T</v>
          </cell>
          <cell r="E141" t="str">
            <v>Kunenekude - Mwanza Admarc</v>
          </cell>
          <cell r="F141" t="str">
            <v>S135</v>
          </cell>
          <cell r="G141">
            <v>10</v>
          </cell>
          <cell r="H141">
            <v>12</v>
          </cell>
          <cell r="I141" t="str">
            <v>H</v>
          </cell>
          <cell r="J141" t="str">
            <v>MWANZA</v>
          </cell>
          <cell r="K141" t="str">
            <v>MWANZA</v>
          </cell>
        </row>
        <row r="142">
          <cell r="A142" t="str">
            <v>RS 364</v>
          </cell>
          <cell r="B142">
            <v>186</v>
          </cell>
          <cell r="C142" t="str">
            <v>S</v>
          </cell>
          <cell r="D142" t="str">
            <v>T</v>
          </cell>
          <cell r="E142" t="str">
            <v>Mwanza Admarc - Liwonde Village (junction M6)</v>
          </cell>
          <cell r="F142" t="str">
            <v>S135</v>
          </cell>
          <cell r="G142">
            <v>11</v>
          </cell>
          <cell r="H142">
            <v>3.8</v>
          </cell>
          <cell r="I142">
            <v>0</v>
          </cell>
          <cell r="J142">
            <v>0</v>
          </cell>
          <cell r="K142" t="str">
            <v>MWANZA</v>
          </cell>
        </row>
      </sheetData>
      <sheetData sheetId="3" refreshError="1">
        <row r="1">
          <cell r="A1">
            <v>0</v>
          </cell>
          <cell r="B1">
            <v>0</v>
          </cell>
          <cell r="C1">
            <v>0</v>
          </cell>
          <cell r="D1">
            <v>0</v>
          </cell>
          <cell r="E1">
            <v>0</v>
          </cell>
          <cell r="F1">
            <v>0</v>
          </cell>
          <cell r="G1">
            <v>0</v>
          </cell>
          <cell r="H1">
            <v>0</v>
          </cell>
          <cell r="I1">
            <v>0</v>
          </cell>
          <cell r="J1">
            <v>0</v>
          </cell>
          <cell r="K1">
            <v>0</v>
          </cell>
          <cell r="L1">
            <v>0</v>
          </cell>
          <cell r="W1" t="str">
            <v>Origional</v>
          </cell>
          <cell r="X1">
            <v>0</v>
          </cell>
          <cell r="Y1">
            <v>0</v>
          </cell>
          <cell r="Z1">
            <v>0</v>
          </cell>
          <cell r="AA1">
            <v>0</v>
          </cell>
          <cell r="AB1">
            <v>0</v>
          </cell>
          <cell r="AC1">
            <v>0</v>
          </cell>
          <cell r="AD1">
            <v>0</v>
          </cell>
          <cell r="AE1" t="str">
            <v>Treatment 1</v>
          </cell>
          <cell r="AF1">
            <v>0</v>
          </cell>
          <cell r="AG1">
            <v>0</v>
          </cell>
          <cell r="AH1">
            <v>0</v>
          </cell>
          <cell r="AI1" t="str">
            <v>Treatment 2</v>
          </cell>
          <cell r="AJ1">
            <v>0</v>
          </cell>
          <cell r="AK1">
            <v>0</v>
          </cell>
          <cell r="AL1">
            <v>0</v>
          </cell>
          <cell r="AM1">
            <v>0</v>
          </cell>
          <cell r="AN1">
            <v>0</v>
          </cell>
          <cell r="BO1" t="str">
            <v>HDM III INPUT DATA</v>
          </cell>
          <cell r="BP1">
            <v>0</v>
          </cell>
          <cell r="BQ1">
            <v>0</v>
          </cell>
          <cell r="BR1" t="str">
            <v>x</v>
          </cell>
          <cell r="BS1">
            <v>0</v>
          </cell>
          <cell r="BT1" t="str">
            <v>x</v>
          </cell>
          <cell r="BU1">
            <v>0</v>
          </cell>
          <cell r="BV1">
            <v>0</v>
          </cell>
          <cell r="BW1">
            <v>1</v>
          </cell>
          <cell r="BX1">
            <v>2</v>
          </cell>
          <cell r="BY1">
            <v>3</v>
          </cell>
          <cell r="BZ1">
            <v>4</v>
          </cell>
          <cell r="CA1">
            <v>5</v>
          </cell>
          <cell r="CB1">
            <v>6</v>
          </cell>
          <cell r="CC1">
            <v>7</v>
          </cell>
          <cell r="CD1" t="str">
            <v>x</v>
          </cell>
          <cell r="CE1" t="str">
            <v>x</v>
          </cell>
          <cell r="CF1" t="str">
            <v>x</v>
          </cell>
          <cell r="CG1">
            <v>8</v>
          </cell>
          <cell r="CH1">
            <v>9</v>
          </cell>
          <cell r="CI1">
            <v>0</v>
          </cell>
          <cell r="CJ1">
            <v>10</v>
          </cell>
          <cell r="CK1" t="str">
            <v xml:space="preserve">IRI change </v>
          </cell>
          <cell r="CL1">
            <v>0</v>
          </cell>
          <cell r="CM1">
            <v>0</v>
          </cell>
          <cell r="CN1">
            <v>0</v>
          </cell>
          <cell r="CO1">
            <v>0</v>
          </cell>
          <cell r="CP1">
            <v>0</v>
          </cell>
          <cell r="CQ1" t="str">
            <v>x</v>
          </cell>
          <cell r="CR1">
            <v>11</v>
          </cell>
          <cell r="CS1">
            <v>0</v>
          </cell>
          <cell r="CT1">
            <v>12</v>
          </cell>
          <cell r="CU1">
            <v>13</v>
          </cell>
          <cell r="CV1">
            <v>14</v>
          </cell>
          <cell r="CW1">
            <v>15</v>
          </cell>
          <cell r="CX1">
            <v>16</v>
          </cell>
          <cell r="CY1" t="str">
            <v>x</v>
          </cell>
          <cell r="CZ1" t="str">
            <v>x</v>
          </cell>
          <cell r="DA1" t="str">
            <v>x</v>
          </cell>
          <cell r="DB1">
            <v>0</v>
          </cell>
          <cell r="DC1">
            <v>17</v>
          </cell>
          <cell r="DD1">
            <v>18</v>
          </cell>
          <cell r="DE1">
            <v>19</v>
          </cell>
          <cell r="DF1">
            <v>20</v>
          </cell>
          <cell r="DG1">
            <v>21</v>
          </cell>
          <cell r="DH1">
            <v>22</v>
          </cell>
          <cell r="DI1">
            <v>23</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Terrain</v>
          </cell>
          <cell r="J2" t="str">
            <v>District</v>
          </cell>
          <cell r="K2" t="str">
            <v>Map sheet No.</v>
          </cell>
          <cell r="L2" t="str">
            <v>Comments</v>
          </cell>
          <cell r="W2" t="str">
            <v>Year constructed</v>
          </cell>
          <cell r="X2" t="str">
            <v>Surface type</v>
          </cell>
          <cell r="Y2" t="str">
            <v>Base thickness</v>
          </cell>
          <cell r="Z2" t="str">
            <v>Base type</v>
          </cell>
          <cell r="AA2" t="str">
            <v>Sub base thick</v>
          </cell>
          <cell r="AB2" t="str">
            <v>Sub base type</v>
          </cell>
          <cell r="AC2" t="str">
            <v>Sub grade CBR</v>
          </cell>
          <cell r="AD2" t="str">
            <v>Basis of data</v>
          </cell>
          <cell r="AE2" t="str">
            <v>Year treated</v>
          </cell>
          <cell r="AF2" t="str">
            <v>Treatment type</v>
          </cell>
          <cell r="AG2" t="str">
            <v>Surface type</v>
          </cell>
          <cell r="AH2" t="str">
            <v>Surface thickness</v>
          </cell>
          <cell r="AI2" t="str">
            <v>Year treated</v>
          </cell>
          <cell r="AJ2" t="str">
            <v>Treatment type</v>
          </cell>
          <cell r="AK2" t="str">
            <v>Surface type</v>
          </cell>
          <cell r="AL2" t="str">
            <v>Surface thickness</v>
          </cell>
          <cell r="AM2" t="str">
            <v>HDM surface code</v>
          </cell>
          <cell r="AN2" t="str">
            <v>Comments</v>
          </cell>
          <cell r="BO2" t="str">
            <v>Road Section No.</v>
          </cell>
          <cell r="BP2" t="str">
            <v>Length (km)</v>
          </cell>
          <cell r="BQ2" t="str">
            <v>Bitumen width (m)</v>
          </cell>
          <cell r="BR2" t="str">
            <v>Terrain</v>
          </cell>
          <cell r="BS2" t="str">
            <v>Surface type (field)</v>
          </cell>
          <cell r="BT2" t="str">
            <v>Gravel (% length)</v>
          </cell>
          <cell r="BU2" t="str">
            <v>Current surf. type</v>
          </cell>
          <cell r="BV2" t="str">
            <v>Prev. surface type</v>
          </cell>
          <cell r="BW2" t="str">
            <v>HDM surface code</v>
          </cell>
          <cell r="BX2" t="str">
            <v>Current surf. thick</v>
          </cell>
          <cell r="BY2" t="str">
            <v>Prev. surface thick</v>
          </cell>
          <cell r="BZ2" t="str">
            <v>Base mat'l code</v>
          </cell>
          <cell r="CA2" t="str">
            <v>Subgrade CBR</v>
          </cell>
          <cell r="CB2" t="str">
            <v>Structural No.</v>
          </cell>
          <cell r="CC2" t="str">
            <v>Roughness (IRI)</v>
          </cell>
          <cell r="CD2" t="str">
            <v xml:space="preserve">All cracks (%area) </v>
          </cell>
          <cell r="CE2" t="str">
            <v>Wide c'ks (%area)</v>
          </cell>
          <cell r="CF2" t="str">
            <v>Wide crack &gt;15%</v>
          </cell>
          <cell r="CG2" t="str">
            <v>All crack (end 98)</v>
          </cell>
          <cell r="CH2" t="str">
            <v>Wide c'ks (end 98)</v>
          </cell>
          <cell r="CI2" t="str">
            <v>Pothole /km</v>
          </cell>
          <cell r="CJ2" t="str">
            <v>Pothole (%area)</v>
          </cell>
          <cell r="CK2" t="str">
            <v>Delta minASPm</v>
          </cell>
          <cell r="CL2" t="str">
            <v>Delta CRXm</v>
          </cell>
          <cell r="CM2" t="str">
            <v>Delta IRIm</v>
          </cell>
          <cell r="CN2" t="str">
            <v>Min Delta IRIm</v>
          </cell>
          <cell r="CO2" t="str">
            <v>Patch /km</v>
          </cell>
          <cell r="CP2" t="str">
            <v>Patch (%area)</v>
          </cell>
          <cell r="CQ2" t="str">
            <v>IRI after patch</v>
          </cell>
          <cell r="CR2" t="str">
            <v xml:space="preserve">Ravelling (%area) </v>
          </cell>
          <cell r="CS2" t="str">
            <v>Ruts rating</v>
          </cell>
          <cell r="CT2" t="str">
            <v>Mean rut (mm)</v>
          </cell>
          <cell r="CU2" t="str">
            <v>S.D. rut (mm)</v>
          </cell>
          <cell r="CV2" t="str">
            <v>Surface age (yrs)</v>
          </cell>
          <cell r="CW2" t="str">
            <v xml:space="preserve">Const. Age (yrs) </v>
          </cell>
          <cell r="CX2" t="str">
            <v>Previous wide c'ks</v>
          </cell>
          <cell r="CY2" t="str">
            <v>Edge break rating</v>
          </cell>
          <cell r="CZ2" t="str">
            <v>Shoulder rating</v>
          </cell>
          <cell r="DA2" t="str">
            <v>Side drain rating</v>
          </cell>
          <cell r="DB2" t="str">
            <v>ADT total</v>
          </cell>
          <cell r="DC2" t="str">
            <v>ADT car</v>
          </cell>
          <cell r="DD2" t="str">
            <v>ADT pickup</v>
          </cell>
          <cell r="DE2" t="str">
            <v>ADT bus</v>
          </cell>
          <cell r="DF2" t="str">
            <v>ADT light truck</v>
          </cell>
          <cell r="DG2" t="str">
            <v>ADT med. Truck</v>
          </cell>
          <cell r="DH2" t="str">
            <v>ADT heavy truck</v>
          </cell>
          <cell r="DI2" t="str">
            <v>ADT artic truck</v>
          </cell>
        </row>
        <row r="3">
          <cell r="A3" t="str">
            <v>RS 839</v>
          </cell>
          <cell r="B3" t="str">
            <v>n.a</v>
          </cell>
          <cell r="C3" t="str">
            <v>N</v>
          </cell>
          <cell r="D3" t="str">
            <v>T</v>
          </cell>
          <cell r="E3" t="str">
            <v>Songwe - Karonga</v>
          </cell>
          <cell r="F3" t="str">
            <v>M01</v>
          </cell>
          <cell r="G3">
            <v>1</v>
          </cell>
          <cell r="H3">
            <v>43</v>
          </cell>
          <cell r="I3" t="str">
            <v>F</v>
          </cell>
          <cell r="J3" t="str">
            <v>KARONGA</v>
          </cell>
          <cell r="K3">
            <v>1</v>
          </cell>
          <cell r="L3" t="str">
            <v>Part of RS1</v>
          </cell>
          <cell r="W3">
            <v>92</v>
          </cell>
          <cell r="X3" t="str">
            <v>DS</v>
          </cell>
          <cell r="Y3">
            <v>150</v>
          </cell>
          <cell r="Z3" t="str">
            <v>SB</v>
          </cell>
          <cell r="AA3">
            <v>100</v>
          </cell>
          <cell r="AB3" t="str">
            <v>GR</v>
          </cell>
          <cell r="AC3">
            <v>12</v>
          </cell>
          <cell r="AD3" t="str">
            <v>VR</v>
          </cell>
          <cell r="AE3">
            <v>0</v>
          </cell>
          <cell r="AF3">
            <v>0</v>
          </cell>
          <cell r="AG3">
            <v>0</v>
          </cell>
          <cell r="AH3">
            <v>0</v>
          </cell>
          <cell r="AI3">
            <v>0</v>
          </cell>
          <cell r="AJ3">
            <v>0</v>
          </cell>
          <cell r="AK3">
            <v>0</v>
          </cell>
          <cell r="AL3">
            <v>0</v>
          </cell>
          <cell r="AM3">
            <v>1</v>
          </cell>
          <cell r="AN3" t="str">
            <v>never resealed</v>
          </cell>
          <cell r="BO3" t="str">
            <v>RS 839</v>
          </cell>
          <cell r="BP3">
            <v>43</v>
          </cell>
          <cell r="BQ3">
            <v>6.7</v>
          </cell>
          <cell r="BR3" t="str">
            <v>F</v>
          </cell>
          <cell r="BS3" t="str">
            <v>C</v>
          </cell>
          <cell r="BT3">
            <v>11</v>
          </cell>
          <cell r="BU3" t="str">
            <v>DS</v>
          </cell>
          <cell r="BV3">
            <v>0</v>
          </cell>
          <cell r="BW3">
            <v>1</v>
          </cell>
          <cell r="BX3">
            <v>15</v>
          </cell>
          <cell r="BY3" t="str">
            <v xml:space="preserve"> </v>
          </cell>
          <cell r="BZ3">
            <v>1</v>
          </cell>
          <cell r="CA3">
            <v>12</v>
          </cell>
          <cell r="CB3">
            <v>1.177</v>
          </cell>
          <cell r="CC3">
            <v>3.85</v>
          </cell>
          <cell r="CD3">
            <v>12.5</v>
          </cell>
          <cell r="CE3">
            <v>2</v>
          </cell>
          <cell r="CF3">
            <v>0</v>
          </cell>
          <cell r="CG3">
            <v>12.5</v>
          </cell>
          <cell r="CH3">
            <v>2</v>
          </cell>
          <cell r="CI3">
            <v>0</v>
          </cell>
          <cell r="CJ3">
            <v>0</v>
          </cell>
          <cell r="CK3">
            <v>0</v>
          </cell>
          <cell r="CL3">
            <v>0</v>
          </cell>
          <cell r="CM3">
            <v>0</v>
          </cell>
          <cell r="CN3">
            <v>0</v>
          </cell>
          <cell r="CO3">
            <v>0</v>
          </cell>
          <cell r="CP3">
            <v>0</v>
          </cell>
          <cell r="CQ3">
            <v>3.85</v>
          </cell>
          <cell r="CR3">
            <v>0</v>
          </cell>
          <cell r="CS3">
            <v>1</v>
          </cell>
          <cell r="CT3">
            <v>0</v>
          </cell>
          <cell r="CU3">
            <v>0</v>
          </cell>
          <cell r="CV3">
            <v>6</v>
          </cell>
          <cell r="CW3">
            <v>6</v>
          </cell>
          <cell r="CX3" t="str">
            <v xml:space="preserve"> </v>
          </cell>
          <cell r="CY3">
            <v>1</v>
          </cell>
          <cell r="CZ3">
            <v>1</v>
          </cell>
          <cell r="DA3">
            <v>1</v>
          </cell>
          <cell r="DB3">
            <v>220</v>
          </cell>
          <cell r="DC3">
            <v>104</v>
          </cell>
          <cell r="DD3">
            <v>58</v>
          </cell>
          <cell r="DE3">
            <v>17</v>
          </cell>
          <cell r="DF3">
            <v>26</v>
          </cell>
          <cell r="DG3">
            <v>5</v>
          </cell>
          <cell r="DH3">
            <v>3</v>
          </cell>
          <cell r="DI3">
            <v>11</v>
          </cell>
        </row>
        <row r="4">
          <cell r="A4" t="str">
            <v>RS 840</v>
          </cell>
          <cell r="B4" t="str">
            <v>n.a</v>
          </cell>
          <cell r="C4" t="str">
            <v>N</v>
          </cell>
          <cell r="D4" t="str">
            <v>T</v>
          </cell>
          <cell r="E4" t="str">
            <v>Karonga - Chitimba River</v>
          </cell>
          <cell r="F4" t="str">
            <v>M01</v>
          </cell>
          <cell r="G4">
            <v>2</v>
          </cell>
          <cell r="H4">
            <v>77</v>
          </cell>
          <cell r="I4" t="str">
            <v>F</v>
          </cell>
          <cell r="J4" t="str">
            <v>KARONGA</v>
          </cell>
          <cell r="K4">
            <v>1</v>
          </cell>
          <cell r="L4" t="str">
            <v>Part of RS1</v>
          </cell>
          <cell r="W4">
            <v>79</v>
          </cell>
          <cell r="X4" t="str">
            <v>DS</v>
          </cell>
          <cell r="Y4">
            <v>150</v>
          </cell>
          <cell r="Z4" t="str">
            <v>SB</v>
          </cell>
          <cell r="AA4">
            <v>100</v>
          </cell>
          <cell r="AB4" t="str">
            <v>GR</v>
          </cell>
          <cell r="AC4">
            <v>12</v>
          </cell>
          <cell r="AD4" t="str">
            <v>VR</v>
          </cell>
          <cell r="AE4">
            <v>0</v>
          </cell>
          <cell r="AF4">
            <v>0</v>
          </cell>
          <cell r="AG4">
            <v>0</v>
          </cell>
          <cell r="AH4">
            <v>0</v>
          </cell>
          <cell r="AI4">
            <v>0</v>
          </cell>
          <cell r="AJ4">
            <v>0</v>
          </cell>
          <cell r="AK4">
            <v>0</v>
          </cell>
          <cell r="AL4">
            <v>0</v>
          </cell>
          <cell r="AM4">
            <v>1</v>
          </cell>
          <cell r="AN4" t="str">
            <v>never resealed</v>
          </cell>
          <cell r="BO4" t="str">
            <v>RS 840</v>
          </cell>
          <cell r="BP4">
            <v>77</v>
          </cell>
          <cell r="BQ4">
            <v>6.7</v>
          </cell>
          <cell r="BR4" t="str">
            <v>F</v>
          </cell>
          <cell r="BS4" t="str">
            <v>C</v>
          </cell>
          <cell r="BT4">
            <v>11</v>
          </cell>
          <cell r="BU4" t="str">
            <v>DS</v>
          </cell>
          <cell r="BV4">
            <v>0</v>
          </cell>
          <cell r="BW4">
            <v>1</v>
          </cell>
          <cell r="BX4">
            <v>15</v>
          </cell>
          <cell r="BY4" t="str">
            <v xml:space="preserve"> </v>
          </cell>
          <cell r="BZ4">
            <v>1</v>
          </cell>
          <cell r="CA4">
            <v>12</v>
          </cell>
          <cell r="CB4">
            <v>1.177</v>
          </cell>
          <cell r="CC4">
            <v>5.36</v>
          </cell>
          <cell r="CD4">
            <v>40</v>
          </cell>
          <cell r="CE4">
            <v>30</v>
          </cell>
          <cell r="CF4">
            <v>15</v>
          </cell>
          <cell r="CG4">
            <v>25</v>
          </cell>
          <cell r="CH4">
            <v>15</v>
          </cell>
          <cell r="CI4">
            <v>100</v>
          </cell>
          <cell r="CJ4">
            <v>0.29850746268656719</v>
          </cell>
          <cell r="CK4">
            <v>10</v>
          </cell>
          <cell r="CL4">
            <v>15</v>
          </cell>
          <cell r="CM4">
            <v>0.31197474167623418</v>
          </cell>
          <cell r="CN4">
            <v>0.31197474167623418</v>
          </cell>
          <cell r="CO4">
            <v>0</v>
          </cell>
          <cell r="CP4">
            <v>0</v>
          </cell>
          <cell r="CQ4">
            <v>5.6719747416762347</v>
          </cell>
          <cell r="CR4">
            <v>0</v>
          </cell>
          <cell r="CS4">
            <v>1.1000000000000001</v>
          </cell>
          <cell r="CT4">
            <v>0.50000000000000044</v>
          </cell>
          <cell r="CU4">
            <v>0.20000000000000018</v>
          </cell>
          <cell r="CV4">
            <v>19</v>
          </cell>
          <cell r="CW4">
            <v>19</v>
          </cell>
          <cell r="CX4" t="str">
            <v xml:space="preserve"> </v>
          </cell>
          <cell r="CY4">
            <v>2.5</v>
          </cell>
          <cell r="CZ4">
            <v>1.8</v>
          </cell>
          <cell r="DA4">
            <v>1.3</v>
          </cell>
          <cell r="DB4">
            <v>220</v>
          </cell>
          <cell r="DC4">
            <v>104</v>
          </cell>
          <cell r="DD4">
            <v>58</v>
          </cell>
          <cell r="DE4">
            <v>17</v>
          </cell>
          <cell r="DF4">
            <v>26</v>
          </cell>
          <cell r="DG4">
            <v>5</v>
          </cell>
          <cell r="DH4">
            <v>3</v>
          </cell>
          <cell r="DI4">
            <v>11</v>
          </cell>
        </row>
        <row r="5">
          <cell r="A5" t="str">
            <v>RS 002</v>
          </cell>
          <cell r="B5" t="str">
            <v>2</v>
          </cell>
          <cell r="C5" t="str">
            <v>N</v>
          </cell>
          <cell r="D5" t="str">
            <v>T</v>
          </cell>
          <cell r="E5" t="str">
            <v>Chitimba River - Luzi River</v>
          </cell>
          <cell r="F5" t="str">
            <v>M01</v>
          </cell>
          <cell r="G5">
            <v>2</v>
          </cell>
          <cell r="H5">
            <v>52</v>
          </cell>
          <cell r="I5" t="str">
            <v>R</v>
          </cell>
          <cell r="J5" t="str">
            <v>MZIMBA</v>
          </cell>
          <cell r="K5">
            <v>2</v>
          </cell>
          <cell r="L5">
            <v>0</v>
          </cell>
          <cell r="W5">
            <v>75</v>
          </cell>
          <cell r="X5" t="str">
            <v>ST</v>
          </cell>
          <cell r="Y5">
            <v>150</v>
          </cell>
          <cell r="Z5" t="str">
            <v>GR</v>
          </cell>
          <cell r="AA5">
            <v>100</v>
          </cell>
          <cell r="AB5" t="str">
            <v>GR</v>
          </cell>
          <cell r="AC5">
            <v>12</v>
          </cell>
          <cell r="AD5" t="str">
            <v>VR</v>
          </cell>
          <cell r="AE5">
            <v>98</v>
          </cell>
          <cell r="AF5" t="str">
            <v>SR</v>
          </cell>
          <cell r="AG5" t="str">
            <v>ST</v>
          </cell>
          <cell r="AH5">
            <v>10</v>
          </cell>
          <cell r="AI5">
            <v>0</v>
          </cell>
          <cell r="AJ5">
            <v>0</v>
          </cell>
          <cell r="AK5">
            <v>0</v>
          </cell>
          <cell r="AL5">
            <v>0</v>
          </cell>
          <cell r="AM5">
            <v>4</v>
          </cell>
          <cell r="AN5" t="str">
            <v>To be resealed 1998</v>
          </cell>
          <cell r="BO5" t="str">
            <v>RS 002</v>
          </cell>
          <cell r="BP5">
            <v>52</v>
          </cell>
          <cell r="BQ5">
            <v>6</v>
          </cell>
          <cell r="BR5" t="str">
            <v>R</v>
          </cell>
          <cell r="BS5" t="str">
            <v>C</v>
          </cell>
          <cell r="BT5">
            <v>7</v>
          </cell>
          <cell r="BU5" t="str">
            <v>ST</v>
          </cell>
          <cell r="BV5" t="str">
            <v>ST</v>
          </cell>
          <cell r="BW5">
            <v>4</v>
          </cell>
          <cell r="BX5">
            <v>10</v>
          </cell>
          <cell r="BY5">
            <v>10</v>
          </cell>
          <cell r="BZ5">
            <v>1</v>
          </cell>
          <cell r="CA5">
            <v>12</v>
          </cell>
          <cell r="CB5">
            <v>1.085</v>
          </cell>
          <cell r="CC5">
            <v>4.6900000000000004</v>
          </cell>
          <cell r="CD5" t="str">
            <v>To be re-sealed 1998</v>
          </cell>
          <cell r="CE5">
            <v>0</v>
          </cell>
          <cell r="CF5">
            <v>0</v>
          </cell>
          <cell r="CG5">
            <v>0</v>
          </cell>
          <cell r="CH5">
            <v>0</v>
          </cell>
          <cell r="CI5">
            <v>0</v>
          </cell>
          <cell r="CJ5">
            <v>0</v>
          </cell>
          <cell r="CK5">
            <v>0</v>
          </cell>
          <cell r="CL5">
            <v>0</v>
          </cell>
          <cell r="CM5">
            <v>0</v>
          </cell>
          <cell r="CN5">
            <v>0</v>
          </cell>
          <cell r="CO5">
            <v>0</v>
          </cell>
          <cell r="CP5">
            <v>0</v>
          </cell>
          <cell r="CQ5">
            <v>0</v>
          </cell>
          <cell r="CR5">
            <v>0</v>
          </cell>
          <cell r="CS5">
            <v>1.3</v>
          </cell>
          <cell r="CT5">
            <v>0</v>
          </cell>
          <cell r="CU5">
            <v>0</v>
          </cell>
          <cell r="CV5">
            <v>0</v>
          </cell>
          <cell r="CW5">
            <v>0</v>
          </cell>
          <cell r="CX5" t="str">
            <v xml:space="preserve"> </v>
          </cell>
          <cell r="CY5">
            <v>2.5</v>
          </cell>
          <cell r="CZ5">
            <v>1.5</v>
          </cell>
          <cell r="DA5">
            <v>1.6</v>
          </cell>
          <cell r="DB5">
            <v>300</v>
          </cell>
          <cell r="DC5">
            <v>141</v>
          </cell>
          <cell r="DD5">
            <v>78</v>
          </cell>
          <cell r="DE5">
            <v>23</v>
          </cell>
          <cell r="DF5">
            <v>35</v>
          </cell>
          <cell r="DG5">
            <v>6</v>
          </cell>
          <cell r="DH5">
            <v>3</v>
          </cell>
          <cell r="DI5">
            <v>15</v>
          </cell>
        </row>
        <row r="6">
          <cell r="A6" t="str">
            <v>RS 003</v>
          </cell>
          <cell r="B6" t="str">
            <v>3</v>
          </cell>
          <cell r="C6" t="str">
            <v>N</v>
          </cell>
          <cell r="D6" t="str">
            <v>T</v>
          </cell>
          <cell r="E6" t="str">
            <v>Luzi River - Mzuzu  - Mtangatanga</v>
          </cell>
          <cell r="F6" t="str">
            <v>M01</v>
          </cell>
          <cell r="G6">
            <v>3</v>
          </cell>
          <cell r="H6">
            <v>107.5</v>
          </cell>
          <cell r="I6" t="str">
            <v>F</v>
          </cell>
          <cell r="J6" t="str">
            <v>RUMPHI &amp; MZIMBA</v>
          </cell>
          <cell r="K6">
            <v>3</v>
          </cell>
          <cell r="L6">
            <v>0</v>
          </cell>
          <cell r="W6">
            <v>86</v>
          </cell>
          <cell r="X6" t="str">
            <v>DS</v>
          </cell>
          <cell r="Y6">
            <v>150</v>
          </cell>
          <cell r="Z6" t="str">
            <v>SB</v>
          </cell>
          <cell r="AA6">
            <v>100</v>
          </cell>
          <cell r="AB6" t="str">
            <v>GR</v>
          </cell>
          <cell r="AC6">
            <v>13</v>
          </cell>
          <cell r="AD6" t="str">
            <v>VR</v>
          </cell>
          <cell r="AE6">
            <v>98</v>
          </cell>
          <cell r="AF6" t="str">
            <v>SR</v>
          </cell>
          <cell r="AG6" t="str">
            <v>ST</v>
          </cell>
          <cell r="AH6">
            <v>10</v>
          </cell>
          <cell r="AI6">
            <v>0</v>
          </cell>
          <cell r="AJ6">
            <v>0</v>
          </cell>
          <cell r="AK6">
            <v>0</v>
          </cell>
          <cell r="AL6">
            <v>0</v>
          </cell>
          <cell r="AM6">
            <v>4</v>
          </cell>
          <cell r="AN6" t="str">
            <v>To be resealed 1998</v>
          </cell>
          <cell r="BO6" t="str">
            <v>RS 003</v>
          </cell>
          <cell r="BP6">
            <v>107.5</v>
          </cell>
          <cell r="BQ6">
            <v>6.7</v>
          </cell>
          <cell r="BR6" t="str">
            <v>F</v>
          </cell>
          <cell r="BS6" t="str">
            <v>C</v>
          </cell>
          <cell r="BT6">
            <v>0</v>
          </cell>
          <cell r="BU6" t="str">
            <v>ST</v>
          </cell>
          <cell r="BV6" t="str">
            <v>DS</v>
          </cell>
          <cell r="BW6">
            <v>4</v>
          </cell>
          <cell r="BX6">
            <v>10</v>
          </cell>
          <cell r="BY6">
            <v>15</v>
          </cell>
          <cell r="BZ6">
            <v>1</v>
          </cell>
          <cell r="CA6">
            <v>13</v>
          </cell>
          <cell r="CB6">
            <v>1.3540000000000001</v>
          </cell>
          <cell r="CC6">
            <v>4.1399999999999997</v>
          </cell>
          <cell r="CD6" t="str">
            <v>To be re-sealed 1998</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1.3</v>
          </cell>
          <cell r="CT6">
            <v>0</v>
          </cell>
          <cell r="CU6">
            <v>0</v>
          </cell>
          <cell r="CV6">
            <v>0</v>
          </cell>
          <cell r="CW6">
            <v>0</v>
          </cell>
          <cell r="CX6">
            <v>0</v>
          </cell>
          <cell r="CY6">
            <v>2</v>
          </cell>
          <cell r="CZ6">
            <v>1.8</v>
          </cell>
          <cell r="DA6">
            <v>1</v>
          </cell>
          <cell r="DB6">
            <v>450</v>
          </cell>
          <cell r="DC6">
            <v>212</v>
          </cell>
          <cell r="DD6">
            <v>117</v>
          </cell>
          <cell r="DE6">
            <v>34</v>
          </cell>
          <cell r="DF6">
            <v>52</v>
          </cell>
          <cell r="DG6">
            <v>9</v>
          </cell>
          <cell r="DH6">
            <v>5</v>
          </cell>
          <cell r="DI6">
            <v>23</v>
          </cell>
        </row>
        <row r="7">
          <cell r="A7" t="str">
            <v>RS 004</v>
          </cell>
          <cell r="B7" t="str">
            <v>4</v>
          </cell>
          <cell r="C7" t="str">
            <v>N</v>
          </cell>
          <cell r="D7" t="str">
            <v>T</v>
          </cell>
          <cell r="E7" t="str">
            <v>Mtangatanga - Jenda</v>
          </cell>
          <cell r="F7" t="str">
            <v>M01</v>
          </cell>
          <cell r="G7">
            <v>4</v>
          </cell>
          <cell r="H7">
            <v>62.1</v>
          </cell>
          <cell r="I7" t="str">
            <v>R</v>
          </cell>
          <cell r="J7" t="str">
            <v>MZIMBA</v>
          </cell>
          <cell r="K7">
            <v>4</v>
          </cell>
          <cell r="L7">
            <v>0</v>
          </cell>
          <cell r="W7">
            <v>86</v>
          </cell>
          <cell r="X7" t="str">
            <v>DS</v>
          </cell>
          <cell r="Y7">
            <v>150</v>
          </cell>
          <cell r="Z7" t="str">
            <v>SB</v>
          </cell>
          <cell r="AA7">
            <v>100</v>
          </cell>
          <cell r="AB7" t="str">
            <v>GR</v>
          </cell>
          <cell r="AC7">
            <v>13</v>
          </cell>
          <cell r="AD7" t="str">
            <v>VR</v>
          </cell>
          <cell r="AE7">
            <v>0</v>
          </cell>
          <cell r="AF7">
            <v>0</v>
          </cell>
          <cell r="AG7">
            <v>0</v>
          </cell>
          <cell r="AH7">
            <v>0</v>
          </cell>
          <cell r="AI7">
            <v>0</v>
          </cell>
          <cell r="AJ7">
            <v>0</v>
          </cell>
          <cell r="AK7">
            <v>0</v>
          </cell>
          <cell r="AL7">
            <v>0</v>
          </cell>
          <cell r="AM7">
            <v>1</v>
          </cell>
          <cell r="AN7" t="str">
            <v>never resealed</v>
          </cell>
          <cell r="BO7" t="str">
            <v>RS 004</v>
          </cell>
          <cell r="BP7">
            <v>62.1</v>
          </cell>
          <cell r="BQ7">
            <v>6</v>
          </cell>
          <cell r="BR7" t="str">
            <v>R</v>
          </cell>
          <cell r="BS7" t="str">
            <v>C</v>
          </cell>
          <cell r="BT7">
            <v>0</v>
          </cell>
          <cell r="BU7" t="str">
            <v>DS</v>
          </cell>
          <cell r="BV7">
            <v>0</v>
          </cell>
          <cell r="BW7">
            <v>1</v>
          </cell>
          <cell r="BX7">
            <v>15</v>
          </cell>
          <cell r="BY7" t="str">
            <v xml:space="preserve"> </v>
          </cell>
          <cell r="BZ7">
            <v>1</v>
          </cell>
          <cell r="CA7">
            <v>13</v>
          </cell>
          <cell r="CB7">
            <v>1.177</v>
          </cell>
          <cell r="CC7">
            <v>4.3</v>
          </cell>
          <cell r="CD7">
            <v>29</v>
          </cell>
          <cell r="CE7">
            <v>23</v>
          </cell>
          <cell r="CF7">
            <v>8</v>
          </cell>
          <cell r="CG7">
            <v>21</v>
          </cell>
          <cell r="CH7">
            <v>15</v>
          </cell>
          <cell r="CI7">
            <v>1.1000000000000001</v>
          </cell>
          <cell r="CJ7">
            <v>3.666666666666667E-3</v>
          </cell>
          <cell r="CK7">
            <v>8.0036666666666658</v>
          </cell>
          <cell r="CL7">
            <v>8</v>
          </cell>
          <cell r="CM7">
            <v>0.13434461538461537</v>
          </cell>
          <cell r="CN7">
            <v>0.13434461538461537</v>
          </cell>
          <cell r="CO7">
            <v>0</v>
          </cell>
          <cell r="CP7">
            <v>0</v>
          </cell>
          <cell r="CQ7">
            <v>4.4343446153846156</v>
          </cell>
          <cell r="CR7">
            <v>0</v>
          </cell>
          <cell r="CS7">
            <v>1.2</v>
          </cell>
          <cell r="CT7">
            <v>0.99999999999999978</v>
          </cell>
          <cell r="CU7">
            <v>0.39999999999999991</v>
          </cell>
          <cell r="CV7">
            <v>12</v>
          </cell>
          <cell r="CW7">
            <v>12</v>
          </cell>
          <cell r="CX7" t="str">
            <v xml:space="preserve"> </v>
          </cell>
          <cell r="CY7">
            <v>1.3</v>
          </cell>
          <cell r="CZ7">
            <v>1.5</v>
          </cell>
          <cell r="DA7">
            <v>1</v>
          </cell>
          <cell r="DB7">
            <v>300</v>
          </cell>
          <cell r="DC7">
            <v>141</v>
          </cell>
          <cell r="DD7">
            <v>78</v>
          </cell>
          <cell r="DE7">
            <v>23</v>
          </cell>
          <cell r="DF7">
            <v>35</v>
          </cell>
          <cell r="DG7">
            <v>6</v>
          </cell>
          <cell r="DH7">
            <v>3</v>
          </cell>
          <cell r="DI7">
            <v>15</v>
          </cell>
        </row>
        <row r="8">
          <cell r="A8" t="str">
            <v>RS 031</v>
          </cell>
          <cell r="B8">
            <v>31</v>
          </cell>
          <cell r="C8" t="str">
            <v>C</v>
          </cell>
          <cell r="D8" t="str">
            <v>T</v>
          </cell>
          <cell r="E8" t="str">
            <v>Jenda - Chimaliro Forest Camp</v>
          </cell>
          <cell r="F8" t="str">
            <v>M01</v>
          </cell>
          <cell r="G8">
            <v>5</v>
          </cell>
          <cell r="H8">
            <v>11.6</v>
          </cell>
          <cell r="I8" t="str">
            <v>F</v>
          </cell>
          <cell r="J8" t="str">
            <v>KASUNGU</v>
          </cell>
          <cell r="K8">
            <v>4</v>
          </cell>
          <cell r="L8">
            <v>0</v>
          </cell>
          <cell r="W8">
            <v>83</v>
          </cell>
          <cell r="X8" t="str">
            <v>DS</v>
          </cell>
          <cell r="Y8">
            <v>150</v>
          </cell>
          <cell r="Z8" t="str">
            <v>SB</v>
          </cell>
          <cell r="AA8">
            <v>100</v>
          </cell>
          <cell r="AB8" t="str">
            <v>GR</v>
          </cell>
          <cell r="AC8">
            <v>9</v>
          </cell>
          <cell r="AD8" t="str">
            <v>VR</v>
          </cell>
          <cell r="AE8">
            <v>0</v>
          </cell>
          <cell r="AF8">
            <v>0</v>
          </cell>
          <cell r="AG8">
            <v>0</v>
          </cell>
          <cell r="AH8">
            <v>0</v>
          </cell>
          <cell r="AI8">
            <v>0</v>
          </cell>
          <cell r="AJ8">
            <v>0</v>
          </cell>
          <cell r="AK8">
            <v>0</v>
          </cell>
          <cell r="AL8">
            <v>0</v>
          </cell>
          <cell r="AM8">
            <v>1</v>
          </cell>
          <cell r="AN8" t="str">
            <v>never resealed</v>
          </cell>
          <cell r="BO8" t="str">
            <v>RS 031</v>
          </cell>
          <cell r="BP8">
            <v>11.6</v>
          </cell>
          <cell r="BQ8">
            <v>6</v>
          </cell>
          <cell r="BR8" t="str">
            <v>F</v>
          </cell>
          <cell r="BS8" t="str">
            <v>C</v>
          </cell>
          <cell r="BT8">
            <v>0</v>
          </cell>
          <cell r="BU8" t="str">
            <v>DS</v>
          </cell>
          <cell r="BV8">
            <v>0</v>
          </cell>
          <cell r="BW8">
            <v>1</v>
          </cell>
          <cell r="BX8">
            <v>15</v>
          </cell>
          <cell r="BY8" t="str">
            <v xml:space="preserve"> </v>
          </cell>
          <cell r="BZ8">
            <v>1</v>
          </cell>
          <cell r="CA8">
            <v>9</v>
          </cell>
          <cell r="CB8">
            <v>1.177</v>
          </cell>
          <cell r="CC8">
            <v>3.23</v>
          </cell>
          <cell r="CD8">
            <v>20</v>
          </cell>
          <cell r="CE8">
            <v>15</v>
          </cell>
          <cell r="CF8">
            <v>0</v>
          </cell>
          <cell r="CG8">
            <v>20</v>
          </cell>
          <cell r="CH8">
            <v>15</v>
          </cell>
          <cell r="CI8">
            <v>1.5</v>
          </cell>
          <cell r="CJ8">
            <v>5.000000000000001E-3</v>
          </cell>
          <cell r="CK8">
            <v>5.000000000000001E-3</v>
          </cell>
          <cell r="CL8">
            <v>0</v>
          </cell>
          <cell r="CM8">
            <v>1.9384615384615391E-3</v>
          </cell>
          <cell r="CN8">
            <v>1.9384615384615391E-3</v>
          </cell>
          <cell r="CO8">
            <v>0</v>
          </cell>
          <cell r="CP8">
            <v>0</v>
          </cell>
          <cell r="CQ8">
            <v>3.2319384615384616</v>
          </cell>
          <cell r="CR8">
            <v>0</v>
          </cell>
          <cell r="CS8">
            <v>1.1000000000000001</v>
          </cell>
          <cell r="CT8">
            <v>0.50000000000000044</v>
          </cell>
          <cell r="CU8">
            <v>0.20000000000000018</v>
          </cell>
          <cell r="CV8">
            <v>15</v>
          </cell>
          <cell r="CW8">
            <v>15</v>
          </cell>
          <cell r="CX8" t="str">
            <v xml:space="preserve"> </v>
          </cell>
          <cell r="CY8">
            <v>1.2</v>
          </cell>
          <cell r="CZ8">
            <v>1.5</v>
          </cell>
          <cell r="DA8">
            <v>1</v>
          </cell>
          <cell r="DB8">
            <v>600</v>
          </cell>
          <cell r="DC8">
            <v>282</v>
          </cell>
          <cell r="DD8">
            <v>156</v>
          </cell>
          <cell r="DE8">
            <v>45</v>
          </cell>
          <cell r="DF8">
            <v>69</v>
          </cell>
          <cell r="DG8">
            <v>12</v>
          </cell>
          <cell r="DH8">
            <v>6</v>
          </cell>
          <cell r="DI8">
            <v>30</v>
          </cell>
        </row>
        <row r="9">
          <cell r="A9" t="str">
            <v>RS 022</v>
          </cell>
          <cell r="B9">
            <v>22</v>
          </cell>
          <cell r="C9" t="str">
            <v>C</v>
          </cell>
          <cell r="D9" t="str">
            <v>T</v>
          </cell>
          <cell r="E9" t="str">
            <v>Chimaliro Forest Camp - Chatoloma</v>
          </cell>
          <cell r="F9" t="str">
            <v>M01</v>
          </cell>
          <cell r="G9">
            <v>7</v>
          </cell>
          <cell r="H9">
            <v>26.6</v>
          </cell>
          <cell r="I9" t="str">
            <v>R</v>
          </cell>
          <cell r="J9" t="str">
            <v>KASUNGU</v>
          </cell>
          <cell r="K9">
            <v>4</v>
          </cell>
          <cell r="L9">
            <v>0</v>
          </cell>
          <cell r="W9">
            <v>83</v>
          </cell>
          <cell r="X9" t="str">
            <v>DS</v>
          </cell>
          <cell r="Y9">
            <v>150</v>
          </cell>
          <cell r="Z9" t="str">
            <v>GR</v>
          </cell>
          <cell r="AA9">
            <v>100</v>
          </cell>
          <cell r="AB9" t="str">
            <v>GR</v>
          </cell>
          <cell r="AC9">
            <v>14</v>
          </cell>
          <cell r="AD9" t="str">
            <v>VR</v>
          </cell>
          <cell r="AE9">
            <v>0</v>
          </cell>
          <cell r="AF9">
            <v>0</v>
          </cell>
          <cell r="AG9">
            <v>0</v>
          </cell>
          <cell r="AH9">
            <v>0</v>
          </cell>
          <cell r="AI9">
            <v>0</v>
          </cell>
          <cell r="AJ9">
            <v>0</v>
          </cell>
          <cell r="AK9">
            <v>0</v>
          </cell>
          <cell r="AL9">
            <v>0</v>
          </cell>
          <cell r="AM9">
            <v>1</v>
          </cell>
          <cell r="AN9" t="str">
            <v>never resealed</v>
          </cell>
          <cell r="BO9" t="str">
            <v>RS 022</v>
          </cell>
          <cell r="BP9">
            <v>26.6</v>
          </cell>
          <cell r="BQ9">
            <v>6</v>
          </cell>
          <cell r="BR9" t="str">
            <v>R</v>
          </cell>
          <cell r="BS9" t="str">
            <v>C</v>
          </cell>
          <cell r="BT9">
            <v>0</v>
          </cell>
          <cell r="BU9" t="str">
            <v>DS</v>
          </cell>
          <cell r="BV9">
            <v>0</v>
          </cell>
          <cell r="BW9">
            <v>1</v>
          </cell>
          <cell r="BX9">
            <v>15</v>
          </cell>
          <cell r="BY9" t="str">
            <v xml:space="preserve"> </v>
          </cell>
          <cell r="BZ9">
            <v>1</v>
          </cell>
          <cell r="CA9">
            <v>14</v>
          </cell>
          <cell r="CB9">
            <v>1.077</v>
          </cell>
          <cell r="CC9">
            <v>3.6480386194450714</v>
          </cell>
          <cell r="CD9">
            <v>12</v>
          </cell>
          <cell r="CE9">
            <v>10</v>
          </cell>
          <cell r="CF9">
            <v>0</v>
          </cell>
          <cell r="CG9">
            <v>12</v>
          </cell>
          <cell r="CH9">
            <v>10</v>
          </cell>
          <cell r="CI9">
            <v>1.2</v>
          </cell>
          <cell r="CJ9">
            <v>4.0000000000000001E-3</v>
          </cell>
          <cell r="CK9">
            <v>4.0000000000000001E-3</v>
          </cell>
          <cell r="CL9">
            <v>0</v>
          </cell>
          <cell r="CM9">
            <v>1.5507692307692308E-3</v>
          </cell>
          <cell r="CN9">
            <v>1.5507692307692308E-3</v>
          </cell>
          <cell r="CO9">
            <v>0</v>
          </cell>
          <cell r="CP9">
            <v>0</v>
          </cell>
          <cell r="CQ9">
            <v>3.6495893886758406</v>
          </cell>
          <cell r="CR9">
            <v>0</v>
          </cell>
          <cell r="CS9">
            <v>1.1000000000000001</v>
          </cell>
          <cell r="CT9">
            <v>0.50000000000000044</v>
          </cell>
          <cell r="CU9">
            <v>0.20000000000000018</v>
          </cell>
          <cell r="CV9">
            <v>15</v>
          </cell>
          <cell r="CW9">
            <v>15</v>
          </cell>
          <cell r="CX9" t="str">
            <v xml:space="preserve"> </v>
          </cell>
          <cell r="CY9">
            <v>1.1000000000000001</v>
          </cell>
          <cell r="CZ9">
            <v>1.5</v>
          </cell>
          <cell r="DA9">
            <v>1</v>
          </cell>
          <cell r="DB9">
            <v>600</v>
          </cell>
          <cell r="DC9">
            <v>282</v>
          </cell>
          <cell r="DD9">
            <v>156</v>
          </cell>
          <cell r="DE9">
            <v>45</v>
          </cell>
          <cell r="DF9">
            <v>69</v>
          </cell>
          <cell r="DG9">
            <v>12</v>
          </cell>
          <cell r="DH9">
            <v>6</v>
          </cell>
          <cell r="DI9">
            <v>30</v>
          </cell>
        </row>
        <row r="10">
          <cell r="A10" t="str">
            <v>RS 035</v>
          </cell>
          <cell r="B10">
            <v>35</v>
          </cell>
          <cell r="C10" t="str">
            <v>C</v>
          </cell>
          <cell r="D10" t="str">
            <v>T</v>
          </cell>
          <cell r="E10" t="str">
            <v>Chatoloma - Mphomwa</v>
          </cell>
          <cell r="F10" t="str">
            <v>M01</v>
          </cell>
          <cell r="G10">
            <v>8</v>
          </cell>
          <cell r="H10">
            <v>23</v>
          </cell>
          <cell r="I10" t="str">
            <v>F</v>
          </cell>
          <cell r="J10" t="str">
            <v>KASUNGU</v>
          </cell>
          <cell r="K10">
            <v>5</v>
          </cell>
          <cell r="L10">
            <v>0</v>
          </cell>
          <cell r="W10">
            <v>83</v>
          </cell>
          <cell r="X10" t="str">
            <v>DS</v>
          </cell>
          <cell r="Y10">
            <v>150</v>
          </cell>
          <cell r="Z10" t="str">
            <v>GR</v>
          </cell>
          <cell r="AA10">
            <v>100</v>
          </cell>
          <cell r="AB10" t="str">
            <v>GR</v>
          </cell>
          <cell r="AC10">
            <v>14</v>
          </cell>
          <cell r="AD10" t="str">
            <v>VR</v>
          </cell>
          <cell r="AE10">
            <v>0</v>
          </cell>
          <cell r="AF10">
            <v>0</v>
          </cell>
          <cell r="AG10">
            <v>0</v>
          </cell>
          <cell r="AH10">
            <v>0</v>
          </cell>
          <cell r="AI10">
            <v>0</v>
          </cell>
          <cell r="AJ10">
            <v>0</v>
          </cell>
          <cell r="AK10">
            <v>0</v>
          </cell>
          <cell r="AL10">
            <v>0</v>
          </cell>
          <cell r="AM10">
            <v>1</v>
          </cell>
          <cell r="AN10" t="str">
            <v>never resealed</v>
          </cell>
          <cell r="BO10" t="str">
            <v>RS 035</v>
          </cell>
          <cell r="BP10">
            <v>23</v>
          </cell>
          <cell r="BQ10">
            <v>6</v>
          </cell>
          <cell r="BR10" t="str">
            <v>F</v>
          </cell>
          <cell r="BS10" t="str">
            <v>C</v>
          </cell>
          <cell r="BT10">
            <v>0</v>
          </cell>
          <cell r="BU10" t="str">
            <v>DS</v>
          </cell>
          <cell r="BV10">
            <v>0</v>
          </cell>
          <cell r="BW10">
            <v>1</v>
          </cell>
          <cell r="BX10">
            <v>15</v>
          </cell>
          <cell r="BY10" t="str">
            <v xml:space="preserve"> </v>
          </cell>
          <cell r="BZ10">
            <v>1</v>
          </cell>
          <cell r="CA10">
            <v>14</v>
          </cell>
          <cell r="CB10">
            <v>1.077</v>
          </cell>
          <cell r="CC10">
            <v>3.305719648093842</v>
          </cell>
          <cell r="CD10">
            <v>45</v>
          </cell>
          <cell r="CE10">
            <v>32</v>
          </cell>
          <cell r="CF10">
            <v>17</v>
          </cell>
          <cell r="CG10">
            <v>28</v>
          </cell>
          <cell r="CH10">
            <v>15</v>
          </cell>
          <cell r="CI10">
            <v>0.9</v>
          </cell>
          <cell r="CJ10">
            <v>3.0000000000000005E-3</v>
          </cell>
          <cell r="CK10">
            <v>10</v>
          </cell>
          <cell r="CL10">
            <v>17</v>
          </cell>
          <cell r="CM10">
            <v>0.21359461538461538</v>
          </cell>
          <cell r="CN10">
            <v>0.21359461538461538</v>
          </cell>
          <cell r="CO10">
            <v>0</v>
          </cell>
          <cell r="CP10">
            <v>0</v>
          </cell>
          <cell r="CQ10">
            <v>3.5193142634784573</v>
          </cell>
          <cell r="CR10">
            <v>0</v>
          </cell>
          <cell r="CS10">
            <v>1.2</v>
          </cell>
          <cell r="CT10">
            <v>0.99999999999999978</v>
          </cell>
          <cell r="CU10">
            <v>0.39999999999999991</v>
          </cell>
          <cell r="CV10">
            <v>15</v>
          </cell>
          <cell r="CW10">
            <v>15</v>
          </cell>
          <cell r="CX10" t="str">
            <v xml:space="preserve"> </v>
          </cell>
          <cell r="CY10">
            <v>1.5</v>
          </cell>
          <cell r="CZ10">
            <v>1.5</v>
          </cell>
          <cell r="DA10">
            <v>1</v>
          </cell>
          <cell r="DB10">
            <v>600</v>
          </cell>
          <cell r="DC10">
            <v>282</v>
          </cell>
          <cell r="DD10">
            <v>156</v>
          </cell>
          <cell r="DE10">
            <v>45</v>
          </cell>
          <cell r="DF10">
            <v>69</v>
          </cell>
          <cell r="DG10">
            <v>12</v>
          </cell>
          <cell r="DH10">
            <v>6</v>
          </cell>
          <cell r="DI10">
            <v>30</v>
          </cell>
        </row>
        <row r="11">
          <cell r="A11" t="str">
            <v>RS 026</v>
          </cell>
          <cell r="B11">
            <v>26</v>
          </cell>
          <cell r="C11" t="str">
            <v>C</v>
          </cell>
          <cell r="D11" t="str">
            <v>T</v>
          </cell>
          <cell r="E11" t="str">
            <v>Kasungu Boma - Bua River</v>
          </cell>
          <cell r="F11" t="str">
            <v>M01</v>
          </cell>
          <cell r="G11">
            <v>9</v>
          </cell>
          <cell r="H11">
            <v>31.6</v>
          </cell>
          <cell r="I11" t="str">
            <v>F</v>
          </cell>
          <cell r="J11" t="str">
            <v>KASUNGU</v>
          </cell>
          <cell r="K11">
            <v>5</v>
          </cell>
          <cell r="L11">
            <v>0</v>
          </cell>
          <cell r="W11">
            <v>80</v>
          </cell>
          <cell r="X11" t="str">
            <v>DS</v>
          </cell>
          <cell r="Y11">
            <v>150</v>
          </cell>
          <cell r="Z11" t="str">
            <v>GR</v>
          </cell>
          <cell r="AA11">
            <v>100</v>
          </cell>
          <cell r="AB11" t="str">
            <v>GR</v>
          </cell>
          <cell r="AC11">
            <v>14</v>
          </cell>
          <cell r="AD11" t="str">
            <v>VR</v>
          </cell>
          <cell r="AE11">
            <v>0</v>
          </cell>
          <cell r="AF11">
            <v>0</v>
          </cell>
          <cell r="AG11">
            <v>0</v>
          </cell>
          <cell r="AH11">
            <v>0</v>
          </cell>
          <cell r="AI11">
            <v>0</v>
          </cell>
          <cell r="AJ11">
            <v>0</v>
          </cell>
          <cell r="AK11">
            <v>0</v>
          </cell>
          <cell r="AL11">
            <v>0</v>
          </cell>
          <cell r="AM11">
            <v>1</v>
          </cell>
          <cell r="AN11" t="str">
            <v>never resealed</v>
          </cell>
          <cell r="BO11" t="str">
            <v>RS 026</v>
          </cell>
          <cell r="BP11">
            <v>31.6</v>
          </cell>
          <cell r="BQ11">
            <v>6</v>
          </cell>
          <cell r="BR11" t="str">
            <v>F</v>
          </cell>
          <cell r="BS11" t="str">
            <v>C</v>
          </cell>
          <cell r="BT11">
            <v>0</v>
          </cell>
          <cell r="BU11" t="str">
            <v>DS</v>
          </cell>
          <cell r="BV11">
            <v>0</v>
          </cell>
          <cell r="BW11">
            <v>1</v>
          </cell>
          <cell r="BX11">
            <v>15</v>
          </cell>
          <cell r="BY11" t="str">
            <v xml:space="preserve"> </v>
          </cell>
          <cell r="BZ11">
            <v>1</v>
          </cell>
          <cell r="CA11">
            <v>14</v>
          </cell>
          <cell r="CB11">
            <v>1.077</v>
          </cell>
          <cell r="CC11">
            <v>4.4826839518657096</v>
          </cell>
          <cell r="CD11">
            <v>57</v>
          </cell>
          <cell r="CE11">
            <v>26</v>
          </cell>
          <cell r="CF11">
            <v>11</v>
          </cell>
          <cell r="CG11">
            <v>46</v>
          </cell>
          <cell r="CH11">
            <v>15</v>
          </cell>
          <cell r="CI11">
            <v>7.9</v>
          </cell>
          <cell r="CJ11">
            <v>2.6333333333333337E-2</v>
          </cell>
          <cell r="CK11">
            <v>10</v>
          </cell>
          <cell r="CL11">
            <v>11</v>
          </cell>
          <cell r="CM11">
            <v>0.18271512820512822</v>
          </cell>
          <cell r="CN11">
            <v>0.18271512820512822</v>
          </cell>
          <cell r="CO11">
            <v>0</v>
          </cell>
          <cell r="CP11">
            <v>0</v>
          </cell>
          <cell r="CQ11">
            <v>4.6653990800708378</v>
          </cell>
          <cell r="CR11">
            <v>0</v>
          </cell>
          <cell r="CS11">
            <v>2.5</v>
          </cell>
          <cell r="CT11">
            <v>10</v>
          </cell>
          <cell r="CU11">
            <v>4</v>
          </cell>
          <cell r="CV11">
            <v>18</v>
          </cell>
          <cell r="CW11">
            <v>18</v>
          </cell>
          <cell r="CX11" t="str">
            <v xml:space="preserve"> </v>
          </cell>
          <cell r="CY11">
            <v>2.1</v>
          </cell>
          <cell r="CZ11">
            <v>1.5</v>
          </cell>
          <cell r="DA11">
            <v>1</v>
          </cell>
          <cell r="DB11">
            <v>600</v>
          </cell>
          <cell r="DC11">
            <v>282</v>
          </cell>
          <cell r="DD11">
            <v>156</v>
          </cell>
          <cell r="DE11">
            <v>45</v>
          </cell>
          <cell r="DF11">
            <v>69</v>
          </cell>
          <cell r="DG11">
            <v>12</v>
          </cell>
          <cell r="DH11">
            <v>6</v>
          </cell>
          <cell r="DI11">
            <v>30</v>
          </cell>
        </row>
        <row r="12">
          <cell r="A12" t="str">
            <v>RS 011</v>
          </cell>
          <cell r="B12">
            <v>11</v>
          </cell>
          <cell r="C12" t="str">
            <v>C</v>
          </cell>
          <cell r="D12" t="str">
            <v>T</v>
          </cell>
          <cell r="E12" t="str">
            <v>Bua river - Madisi</v>
          </cell>
          <cell r="F12" t="str">
            <v>M01</v>
          </cell>
          <cell r="G12">
            <v>10</v>
          </cell>
          <cell r="H12">
            <v>17.100000000000001</v>
          </cell>
          <cell r="I12" t="str">
            <v>F</v>
          </cell>
          <cell r="J12" t="str">
            <v>DOWA</v>
          </cell>
          <cell r="K12">
            <v>5</v>
          </cell>
          <cell r="L12">
            <v>0</v>
          </cell>
          <cell r="W12">
            <v>80</v>
          </cell>
          <cell r="X12" t="str">
            <v>DS</v>
          </cell>
          <cell r="Y12">
            <v>150</v>
          </cell>
          <cell r="Z12" t="str">
            <v>GR</v>
          </cell>
          <cell r="AA12">
            <v>100</v>
          </cell>
          <cell r="AB12" t="str">
            <v>GR</v>
          </cell>
          <cell r="AC12">
            <v>14</v>
          </cell>
          <cell r="AD12" t="str">
            <v>VR</v>
          </cell>
          <cell r="AE12">
            <v>87</v>
          </cell>
          <cell r="AF12" t="str">
            <v>RC</v>
          </cell>
          <cell r="AG12" t="str">
            <v>ST</v>
          </cell>
          <cell r="AH12">
            <v>15</v>
          </cell>
          <cell r="AI12">
            <v>0</v>
          </cell>
          <cell r="AJ12">
            <v>0</v>
          </cell>
          <cell r="AK12">
            <v>0</v>
          </cell>
          <cell r="AL12">
            <v>0</v>
          </cell>
          <cell r="AM12">
            <v>1</v>
          </cell>
          <cell r="AN12" t="str">
            <v>5km reseal</v>
          </cell>
          <cell r="BO12" t="str">
            <v>RS 011</v>
          </cell>
          <cell r="BP12">
            <v>17.100000000000001</v>
          </cell>
          <cell r="BQ12">
            <v>6.7</v>
          </cell>
          <cell r="BR12" t="str">
            <v>F</v>
          </cell>
          <cell r="BS12" t="str">
            <v>C</v>
          </cell>
          <cell r="BT12">
            <v>0</v>
          </cell>
          <cell r="BU12" t="str">
            <v>ST</v>
          </cell>
          <cell r="BV12">
            <v>0</v>
          </cell>
          <cell r="BW12">
            <v>1</v>
          </cell>
          <cell r="BX12">
            <v>10</v>
          </cell>
          <cell r="BY12" t="str">
            <v xml:space="preserve"> </v>
          </cell>
          <cell r="BZ12">
            <v>1</v>
          </cell>
          <cell r="CA12">
            <v>14</v>
          </cell>
          <cell r="CB12">
            <v>1.254</v>
          </cell>
          <cell r="CC12">
            <v>4.8099999999999996</v>
          </cell>
          <cell r="CD12">
            <v>64</v>
          </cell>
          <cell r="CE12">
            <v>41</v>
          </cell>
          <cell r="CF12">
            <v>26</v>
          </cell>
          <cell r="CG12">
            <v>38</v>
          </cell>
          <cell r="CH12">
            <v>15</v>
          </cell>
          <cell r="CI12">
            <v>13.6</v>
          </cell>
          <cell r="CJ12">
            <v>4.0597014925373133E-2</v>
          </cell>
          <cell r="CK12">
            <v>10</v>
          </cell>
          <cell r="CL12">
            <v>26</v>
          </cell>
          <cell r="CM12">
            <v>0.2873331802525832</v>
          </cell>
          <cell r="CN12">
            <v>0.2873331802525832</v>
          </cell>
          <cell r="CO12">
            <v>0</v>
          </cell>
          <cell r="CP12">
            <v>0</v>
          </cell>
          <cell r="CQ12">
            <v>5.0973331802525825</v>
          </cell>
          <cell r="CR12">
            <v>0</v>
          </cell>
          <cell r="CS12">
            <v>2.5</v>
          </cell>
          <cell r="CT12">
            <v>10</v>
          </cell>
          <cell r="CU12">
            <v>4</v>
          </cell>
          <cell r="CV12">
            <v>11</v>
          </cell>
          <cell r="CW12">
            <v>11</v>
          </cell>
          <cell r="CX12" t="str">
            <v xml:space="preserve"> </v>
          </cell>
          <cell r="CY12">
            <v>2</v>
          </cell>
          <cell r="CZ12">
            <v>2</v>
          </cell>
          <cell r="DA12">
            <v>1</v>
          </cell>
          <cell r="DB12">
            <v>600</v>
          </cell>
          <cell r="DC12">
            <v>282</v>
          </cell>
          <cell r="DD12">
            <v>156</v>
          </cell>
          <cell r="DE12">
            <v>45</v>
          </cell>
          <cell r="DF12">
            <v>69</v>
          </cell>
          <cell r="DG12">
            <v>12</v>
          </cell>
          <cell r="DH12">
            <v>6</v>
          </cell>
          <cell r="DI12">
            <v>30</v>
          </cell>
        </row>
        <row r="13">
          <cell r="A13" t="str">
            <v>RS 014</v>
          </cell>
          <cell r="B13">
            <v>14</v>
          </cell>
          <cell r="C13" t="str">
            <v>C</v>
          </cell>
          <cell r="D13" t="str">
            <v>T</v>
          </cell>
          <cell r="E13" t="str">
            <v>Madisi - Mponela</v>
          </cell>
          <cell r="F13" t="str">
            <v>M01</v>
          </cell>
          <cell r="G13">
            <v>11</v>
          </cell>
          <cell r="H13">
            <v>21</v>
          </cell>
          <cell r="I13" t="str">
            <v>F</v>
          </cell>
          <cell r="J13" t="str">
            <v>DOWA</v>
          </cell>
          <cell r="K13">
            <v>5</v>
          </cell>
          <cell r="L13">
            <v>0</v>
          </cell>
          <cell r="W13">
            <v>80</v>
          </cell>
          <cell r="X13" t="str">
            <v>DS</v>
          </cell>
          <cell r="Y13">
            <v>150</v>
          </cell>
          <cell r="Z13" t="str">
            <v>GR</v>
          </cell>
          <cell r="AA13">
            <v>100</v>
          </cell>
          <cell r="AB13" t="str">
            <v>GR</v>
          </cell>
          <cell r="AC13">
            <v>14</v>
          </cell>
          <cell r="AD13" t="str">
            <v>VR</v>
          </cell>
          <cell r="AE13">
            <v>87</v>
          </cell>
          <cell r="AF13" t="str">
            <v>RC</v>
          </cell>
          <cell r="AG13" t="str">
            <v>ST</v>
          </cell>
          <cell r="AH13">
            <v>15</v>
          </cell>
          <cell r="AI13">
            <v>0</v>
          </cell>
          <cell r="AJ13">
            <v>0</v>
          </cell>
          <cell r="AK13">
            <v>0</v>
          </cell>
          <cell r="AL13">
            <v>0</v>
          </cell>
          <cell r="AM13">
            <v>1</v>
          </cell>
          <cell r="AN13" t="str">
            <v>5km reseal</v>
          </cell>
          <cell r="BO13" t="str">
            <v>RS 014</v>
          </cell>
          <cell r="BP13">
            <v>21</v>
          </cell>
          <cell r="BQ13">
            <v>6.7</v>
          </cell>
          <cell r="BR13" t="str">
            <v>F</v>
          </cell>
          <cell r="BS13" t="str">
            <v>C</v>
          </cell>
          <cell r="BT13">
            <v>0</v>
          </cell>
          <cell r="BU13" t="str">
            <v>ST</v>
          </cell>
          <cell r="BV13">
            <v>0</v>
          </cell>
          <cell r="BW13">
            <v>1</v>
          </cell>
          <cell r="BX13">
            <v>10</v>
          </cell>
          <cell r="BY13" t="str">
            <v xml:space="preserve"> </v>
          </cell>
          <cell r="BZ13">
            <v>1</v>
          </cell>
          <cell r="CA13">
            <v>14</v>
          </cell>
          <cell r="CB13">
            <v>1.254</v>
          </cell>
          <cell r="CC13">
            <v>6.474208051186352</v>
          </cell>
          <cell r="CD13">
            <v>32.5</v>
          </cell>
          <cell r="CE13">
            <v>13</v>
          </cell>
          <cell r="CF13">
            <v>0</v>
          </cell>
          <cell r="CG13">
            <v>32.5</v>
          </cell>
          <cell r="CH13">
            <v>13</v>
          </cell>
          <cell r="CI13">
            <v>5.9</v>
          </cell>
          <cell r="CJ13">
            <v>1.7611940298507465E-2</v>
          </cell>
          <cell r="CK13">
            <v>1.7611940298507465E-2</v>
          </cell>
          <cell r="CL13">
            <v>0</v>
          </cell>
          <cell r="CM13">
            <v>6.8280137772675099E-3</v>
          </cell>
          <cell r="CN13">
            <v>6.8280137772675099E-3</v>
          </cell>
          <cell r="CO13">
            <v>0</v>
          </cell>
          <cell r="CP13">
            <v>0</v>
          </cell>
          <cell r="CQ13">
            <v>6.4810360649636198</v>
          </cell>
          <cell r="CR13">
            <v>0</v>
          </cell>
          <cell r="CS13">
            <v>1.5</v>
          </cell>
          <cell r="CT13">
            <v>2.5</v>
          </cell>
          <cell r="CU13">
            <v>1</v>
          </cell>
          <cell r="CV13">
            <v>11</v>
          </cell>
          <cell r="CW13">
            <v>11</v>
          </cell>
          <cell r="CX13" t="str">
            <v xml:space="preserve"> </v>
          </cell>
          <cell r="CY13">
            <v>2</v>
          </cell>
          <cell r="CZ13">
            <v>1.8</v>
          </cell>
          <cell r="DA13">
            <v>1</v>
          </cell>
          <cell r="DB13">
            <v>600</v>
          </cell>
          <cell r="DC13">
            <v>282</v>
          </cell>
          <cell r="DD13">
            <v>156</v>
          </cell>
          <cell r="DE13">
            <v>45</v>
          </cell>
          <cell r="DF13">
            <v>69</v>
          </cell>
          <cell r="DG13">
            <v>12</v>
          </cell>
          <cell r="DH13">
            <v>6</v>
          </cell>
          <cell r="DI13">
            <v>30</v>
          </cell>
        </row>
        <row r="14">
          <cell r="A14" t="str">
            <v>RS 017</v>
          </cell>
          <cell r="B14">
            <v>17</v>
          </cell>
          <cell r="C14" t="str">
            <v>C</v>
          </cell>
          <cell r="D14" t="str">
            <v>T</v>
          </cell>
          <cell r="E14" t="str">
            <v>Mponela - Senga</v>
          </cell>
          <cell r="F14" t="str">
            <v>M01</v>
          </cell>
          <cell r="G14">
            <v>12</v>
          </cell>
          <cell r="H14">
            <v>17.2</v>
          </cell>
          <cell r="I14" t="str">
            <v>R</v>
          </cell>
          <cell r="J14" t="str">
            <v>DOWA</v>
          </cell>
          <cell r="K14" t="str">
            <v>5,6</v>
          </cell>
          <cell r="L14">
            <v>0</v>
          </cell>
          <cell r="W14">
            <v>80</v>
          </cell>
          <cell r="X14" t="str">
            <v>DS</v>
          </cell>
          <cell r="Y14">
            <v>100</v>
          </cell>
          <cell r="Z14" t="str">
            <v>GR</v>
          </cell>
          <cell r="AA14">
            <v>150</v>
          </cell>
          <cell r="AB14" t="str">
            <v>GR</v>
          </cell>
          <cell r="AC14">
            <v>14</v>
          </cell>
          <cell r="AD14" t="str">
            <v>VR</v>
          </cell>
          <cell r="AE14">
            <v>0</v>
          </cell>
          <cell r="AF14">
            <v>0</v>
          </cell>
          <cell r="AG14">
            <v>0</v>
          </cell>
          <cell r="AH14">
            <v>0</v>
          </cell>
          <cell r="AI14">
            <v>0</v>
          </cell>
          <cell r="AJ14">
            <v>0</v>
          </cell>
          <cell r="AK14">
            <v>0</v>
          </cell>
          <cell r="AL14">
            <v>0</v>
          </cell>
          <cell r="AM14">
            <v>1</v>
          </cell>
          <cell r="AN14" t="str">
            <v>never resealed</v>
          </cell>
          <cell r="BO14" t="str">
            <v>RS 017</v>
          </cell>
          <cell r="BP14">
            <v>17.2</v>
          </cell>
          <cell r="BQ14">
            <v>6</v>
          </cell>
          <cell r="BR14" t="str">
            <v>R</v>
          </cell>
          <cell r="BS14" t="str">
            <v>C</v>
          </cell>
          <cell r="BT14">
            <v>0</v>
          </cell>
          <cell r="BU14" t="str">
            <v>DS</v>
          </cell>
          <cell r="BV14">
            <v>0</v>
          </cell>
          <cell r="BW14">
            <v>1</v>
          </cell>
          <cell r="BX14">
            <v>15</v>
          </cell>
          <cell r="BY14" t="str">
            <v xml:space="preserve"> </v>
          </cell>
          <cell r="BZ14">
            <v>1</v>
          </cell>
          <cell r="CA14">
            <v>14</v>
          </cell>
          <cell r="CB14">
            <v>1.5270000000000001</v>
          </cell>
          <cell r="CC14">
            <v>3.8169610948191601</v>
          </cell>
          <cell r="CD14">
            <v>43</v>
          </cell>
          <cell r="CE14">
            <v>30</v>
          </cell>
          <cell r="CF14">
            <v>15</v>
          </cell>
          <cell r="CG14">
            <v>28</v>
          </cell>
          <cell r="CH14">
            <v>15</v>
          </cell>
          <cell r="CI14">
            <v>10.4</v>
          </cell>
          <cell r="CJ14">
            <v>3.4666666666666665E-2</v>
          </cell>
          <cell r="CK14">
            <v>10</v>
          </cell>
          <cell r="CL14">
            <v>15</v>
          </cell>
          <cell r="CM14">
            <v>0.21232410256410256</v>
          </cell>
          <cell r="CN14">
            <v>0.21232410256410256</v>
          </cell>
          <cell r="CO14">
            <v>0</v>
          </cell>
          <cell r="CP14">
            <v>0</v>
          </cell>
          <cell r="CQ14">
            <v>4.0292851973832624</v>
          </cell>
          <cell r="CR14">
            <v>0</v>
          </cell>
          <cell r="CS14">
            <v>1.5</v>
          </cell>
          <cell r="CT14">
            <v>2.5</v>
          </cell>
          <cell r="CU14">
            <v>1</v>
          </cell>
          <cell r="CV14">
            <v>18</v>
          </cell>
          <cell r="CW14">
            <v>18</v>
          </cell>
          <cell r="CX14" t="str">
            <v xml:space="preserve"> </v>
          </cell>
          <cell r="CY14">
            <v>2.5</v>
          </cell>
          <cell r="CZ14">
            <v>2</v>
          </cell>
          <cell r="DA14">
            <v>1</v>
          </cell>
          <cell r="DB14">
            <v>400</v>
          </cell>
          <cell r="DC14">
            <v>188</v>
          </cell>
          <cell r="DD14">
            <v>104</v>
          </cell>
          <cell r="DE14">
            <v>30</v>
          </cell>
          <cell r="DF14">
            <v>46</v>
          </cell>
          <cell r="DG14">
            <v>8</v>
          </cell>
          <cell r="DH14">
            <v>4</v>
          </cell>
          <cell r="DI14">
            <v>20</v>
          </cell>
        </row>
        <row r="15">
          <cell r="A15" t="str">
            <v>RS 013</v>
          </cell>
          <cell r="B15">
            <v>13</v>
          </cell>
          <cell r="C15" t="str">
            <v>C</v>
          </cell>
          <cell r="D15" t="str">
            <v>T</v>
          </cell>
          <cell r="E15" t="str">
            <v>Senga - Othambwe</v>
          </cell>
          <cell r="F15" t="str">
            <v>M01</v>
          </cell>
          <cell r="G15">
            <v>13</v>
          </cell>
          <cell r="H15">
            <v>9.5</v>
          </cell>
          <cell r="I15" t="str">
            <v>F</v>
          </cell>
          <cell r="J15" t="str">
            <v>LILONGWE</v>
          </cell>
          <cell r="K15">
            <v>6</v>
          </cell>
          <cell r="L15">
            <v>0</v>
          </cell>
          <cell r="W15">
            <v>80</v>
          </cell>
          <cell r="X15" t="str">
            <v>DS</v>
          </cell>
          <cell r="Y15">
            <v>150</v>
          </cell>
          <cell r="Z15" t="str">
            <v>GR</v>
          </cell>
          <cell r="AA15">
            <v>100</v>
          </cell>
          <cell r="AB15" t="str">
            <v>GR</v>
          </cell>
          <cell r="AC15">
            <v>14</v>
          </cell>
          <cell r="AD15" t="str">
            <v>VR</v>
          </cell>
          <cell r="AE15">
            <v>87</v>
          </cell>
          <cell r="AF15" t="str">
            <v>RC</v>
          </cell>
          <cell r="AG15" t="str">
            <v>ST</v>
          </cell>
          <cell r="AH15">
            <v>15</v>
          </cell>
          <cell r="AI15">
            <v>0</v>
          </cell>
          <cell r="AJ15">
            <v>0</v>
          </cell>
          <cell r="AK15">
            <v>0</v>
          </cell>
          <cell r="AL15">
            <v>0</v>
          </cell>
          <cell r="AM15">
            <v>1</v>
          </cell>
          <cell r="AN15">
            <v>0</v>
          </cell>
          <cell r="BO15" t="str">
            <v>RS 013</v>
          </cell>
          <cell r="BP15">
            <v>9.5</v>
          </cell>
          <cell r="BQ15">
            <v>6</v>
          </cell>
          <cell r="BR15" t="str">
            <v>F</v>
          </cell>
          <cell r="BS15" t="str">
            <v>C</v>
          </cell>
          <cell r="BT15">
            <v>0</v>
          </cell>
          <cell r="BU15" t="str">
            <v>ST</v>
          </cell>
          <cell r="BV15">
            <v>0</v>
          </cell>
          <cell r="BW15">
            <v>1</v>
          </cell>
          <cell r="BX15">
            <v>10</v>
          </cell>
          <cell r="BY15" t="str">
            <v xml:space="preserve"> </v>
          </cell>
          <cell r="BZ15">
            <v>1</v>
          </cell>
          <cell r="CA15">
            <v>14</v>
          </cell>
          <cell r="CB15">
            <v>1.254</v>
          </cell>
          <cell r="CC15">
            <v>4.34</v>
          </cell>
          <cell r="CD15">
            <v>75</v>
          </cell>
          <cell r="CE15">
            <v>45</v>
          </cell>
          <cell r="CF15">
            <v>30</v>
          </cell>
          <cell r="CG15">
            <v>45</v>
          </cell>
          <cell r="CH15">
            <v>15</v>
          </cell>
          <cell r="CI15">
            <v>6.2</v>
          </cell>
          <cell r="CJ15">
            <v>2.066666666666667E-2</v>
          </cell>
          <cell r="CK15">
            <v>10</v>
          </cell>
          <cell r="CL15">
            <v>30</v>
          </cell>
          <cell r="CM15">
            <v>0.30626717948717946</v>
          </cell>
          <cell r="CN15">
            <v>0.30626717948717946</v>
          </cell>
          <cell r="CO15">
            <v>0</v>
          </cell>
          <cell r="CP15">
            <v>0</v>
          </cell>
          <cell r="CQ15">
            <v>4.6462671794871797</v>
          </cell>
          <cell r="CR15">
            <v>0</v>
          </cell>
          <cell r="CS15">
            <v>1</v>
          </cell>
          <cell r="CT15">
            <v>0</v>
          </cell>
          <cell r="CU15">
            <v>0</v>
          </cell>
          <cell r="CV15">
            <v>11</v>
          </cell>
          <cell r="CW15">
            <v>11</v>
          </cell>
          <cell r="CX15" t="str">
            <v xml:space="preserve"> </v>
          </cell>
          <cell r="CY15">
            <v>2</v>
          </cell>
          <cell r="CZ15">
            <v>1.8</v>
          </cell>
          <cell r="DA15">
            <v>1</v>
          </cell>
          <cell r="DB15">
            <v>400</v>
          </cell>
          <cell r="DC15">
            <v>188</v>
          </cell>
          <cell r="DD15">
            <v>104</v>
          </cell>
          <cell r="DE15">
            <v>30</v>
          </cell>
          <cell r="DF15">
            <v>46</v>
          </cell>
          <cell r="DG15">
            <v>8</v>
          </cell>
          <cell r="DH15">
            <v>4</v>
          </cell>
          <cell r="DI15">
            <v>20</v>
          </cell>
        </row>
        <row r="16">
          <cell r="A16" t="str">
            <v>RS 024</v>
          </cell>
          <cell r="B16">
            <v>24</v>
          </cell>
          <cell r="C16" t="str">
            <v>C</v>
          </cell>
          <cell r="D16" t="str">
            <v>T</v>
          </cell>
          <cell r="E16" t="str">
            <v>Othambwe - Lumbadzi River Bridge</v>
          </cell>
          <cell r="F16" t="str">
            <v>M01</v>
          </cell>
          <cell r="G16">
            <v>14</v>
          </cell>
          <cell r="H16">
            <v>5.7</v>
          </cell>
          <cell r="I16" t="str">
            <v>F</v>
          </cell>
          <cell r="J16" t="str">
            <v>LILONGWE</v>
          </cell>
          <cell r="K16">
            <v>6</v>
          </cell>
          <cell r="L16">
            <v>0</v>
          </cell>
          <cell r="W16">
            <v>80</v>
          </cell>
          <cell r="X16" t="str">
            <v>DS</v>
          </cell>
          <cell r="Y16">
            <v>150</v>
          </cell>
          <cell r="Z16" t="str">
            <v>GR</v>
          </cell>
          <cell r="AA16">
            <v>100</v>
          </cell>
          <cell r="AB16" t="str">
            <v>GR</v>
          </cell>
          <cell r="AC16">
            <v>14</v>
          </cell>
          <cell r="AD16" t="str">
            <v>VR</v>
          </cell>
          <cell r="AE16">
            <v>87</v>
          </cell>
          <cell r="AF16" t="str">
            <v>RC</v>
          </cell>
          <cell r="AG16" t="str">
            <v>ST</v>
          </cell>
          <cell r="AH16">
            <v>15</v>
          </cell>
          <cell r="AI16">
            <v>0</v>
          </cell>
          <cell r="AJ16">
            <v>0</v>
          </cell>
          <cell r="AK16">
            <v>0</v>
          </cell>
          <cell r="AL16">
            <v>0</v>
          </cell>
          <cell r="AM16">
            <v>1</v>
          </cell>
          <cell r="AN16">
            <v>0</v>
          </cell>
          <cell r="BO16" t="str">
            <v>RS 024</v>
          </cell>
          <cell r="BP16">
            <v>5.7</v>
          </cell>
          <cell r="BQ16">
            <v>6</v>
          </cell>
          <cell r="BR16" t="str">
            <v>F</v>
          </cell>
          <cell r="BS16" t="str">
            <v>C</v>
          </cell>
          <cell r="BT16">
            <v>0</v>
          </cell>
          <cell r="BU16" t="str">
            <v>ST</v>
          </cell>
          <cell r="BV16">
            <v>0</v>
          </cell>
          <cell r="BW16">
            <v>1</v>
          </cell>
          <cell r="BX16">
            <v>10</v>
          </cell>
          <cell r="BY16" t="str">
            <v xml:space="preserve"> </v>
          </cell>
          <cell r="BZ16">
            <v>1</v>
          </cell>
          <cell r="CA16">
            <v>14</v>
          </cell>
          <cell r="CB16">
            <v>1.254</v>
          </cell>
          <cell r="CC16">
            <v>4</v>
          </cell>
          <cell r="CD16">
            <v>75</v>
          </cell>
          <cell r="CE16">
            <v>45</v>
          </cell>
          <cell r="CF16">
            <v>30</v>
          </cell>
          <cell r="CG16">
            <v>45</v>
          </cell>
          <cell r="CH16">
            <v>15</v>
          </cell>
          <cell r="CI16">
            <v>6.2</v>
          </cell>
          <cell r="CJ16">
            <v>2.066666666666667E-2</v>
          </cell>
          <cell r="CK16">
            <v>10</v>
          </cell>
          <cell r="CL16">
            <v>30</v>
          </cell>
          <cell r="CM16">
            <v>0.30626717948717946</v>
          </cell>
          <cell r="CN16">
            <v>0.30626717948717946</v>
          </cell>
          <cell r="CO16">
            <v>0</v>
          </cell>
          <cell r="CP16">
            <v>0</v>
          </cell>
          <cell r="CQ16">
            <v>4.3062671794871799</v>
          </cell>
          <cell r="CR16">
            <v>0</v>
          </cell>
          <cell r="CS16">
            <v>1</v>
          </cell>
          <cell r="CT16">
            <v>0</v>
          </cell>
          <cell r="CU16">
            <v>0</v>
          </cell>
          <cell r="CV16">
            <v>11</v>
          </cell>
          <cell r="CW16">
            <v>11</v>
          </cell>
          <cell r="CX16" t="str">
            <v xml:space="preserve"> </v>
          </cell>
          <cell r="CY16">
            <v>2</v>
          </cell>
          <cell r="CZ16">
            <v>1.8</v>
          </cell>
          <cell r="DA16">
            <v>1</v>
          </cell>
          <cell r="DB16">
            <v>500</v>
          </cell>
          <cell r="DC16">
            <v>235</v>
          </cell>
          <cell r="DD16">
            <v>130</v>
          </cell>
          <cell r="DE16">
            <v>38</v>
          </cell>
          <cell r="DF16">
            <v>58</v>
          </cell>
          <cell r="DG16">
            <v>10</v>
          </cell>
          <cell r="DH16">
            <v>5</v>
          </cell>
          <cell r="DI16">
            <v>25</v>
          </cell>
        </row>
        <row r="17">
          <cell r="A17" t="str">
            <v>RS 020</v>
          </cell>
          <cell r="B17">
            <v>20</v>
          </cell>
          <cell r="C17" t="str">
            <v>C</v>
          </cell>
          <cell r="D17" t="str">
            <v>T</v>
          </cell>
          <cell r="E17" t="str">
            <v>Lumbadzi River Bridge -  Chitsame</v>
          </cell>
          <cell r="F17" t="str">
            <v>M01</v>
          </cell>
          <cell r="G17">
            <v>15</v>
          </cell>
          <cell r="H17">
            <v>33</v>
          </cell>
          <cell r="I17" t="str">
            <v>F</v>
          </cell>
          <cell r="J17" t="str">
            <v>LILONGWE</v>
          </cell>
          <cell r="K17">
            <v>6</v>
          </cell>
          <cell r="L17">
            <v>0</v>
          </cell>
          <cell r="W17">
            <v>71</v>
          </cell>
          <cell r="X17" t="str">
            <v>DS</v>
          </cell>
          <cell r="Y17">
            <v>150</v>
          </cell>
          <cell r="Z17" t="str">
            <v>GR</v>
          </cell>
          <cell r="AA17">
            <v>100</v>
          </cell>
          <cell r="AB17" t="str">
            <v>CG</v>
          </cell>
          <cell r="AC17">
            <v>14</v>
          </cell>
          <cell r="AD17" t="str">
            <v>VR</v>
          </cell>
          <cell r="AE17">
            <v>87</v>
          </cell>
          <cell r="AF17" t="str">
            <v>AO</v>
          </cell>
          <cell r="AG17" t="str">
            <v>AC</v>
          </cell>
          <cell r="AH17">
            <v>40</v>
          </cell>
          <cell r="AI17">
            <v>0</v>
          </cell>
          <cell r="AJ17">
            <v>0</v>
          </cell>
          <cell r="AK17">
            <v>0</v>
          </cell>
          <cell r="AL17">
            <v>0</v>
          </cell>
          <cell r="AM17">
            <v>6</v>
          </cell>
          <cell r="AN17">
            <v>0</v>
          </cell>
          <cell r="BO17" t="str">
            <v>RS 020</v>
          </cell>
          <cell r="BP17">
            <v>33</v>
          </cell>
          <cell r="BQ17">
            <v>6.7</v>
          </cell>
          <cell r="BR17" t="str">
            <v>F</v>
          </cell>
          <cell r="BS17" t="str">
            <v>C</v>
          </cell>
          <cell r="BT17">
            <v>0</v>
          </cell>
          <cell r="BU17" t="str">
            <v>AC</v>
          </cell>
          <cell r="BV17" t="str">
            <v>DS</v>
          </cell>
          <cell r="BW17">
            <v>6</v>
          </cell>
          <cell r="BX17">
            <v>40</v>
          </cell>
          <cell r="BY17">
            <v>15</v>
          </cell>
          <cell r="BZ17">
            <v>1</v>
          </cell>
          <cell r="CA17">
            <v>14</v>
          </cell>
          <cell r="CB17">
            <v>1.629</v>
          </cell>
          <cell r="CC17">
            <v>2.0467220474540122</v>
          </cell>
          <cell r="CD17">
            <v>28</v>
          </cell>
          <cell r="CE17">
            <v>6</v>
          </cell>
          <cell r="CF17">
            <v>0</v>
          </cell>
          <cell r="CG17">
            <v>28</v>
          </cell>
          <cell r="CH17">
            <v>6</v>
          </cell>
          <cell r="CI17">
            <v>1</v>
          </cell>
          <cell r="CJ17">
            <v>2.9850746268656717E-3</v>
          </cell>
          <cell r="CK17">
            <v>2.9850746268656717E-3</v>
          </cell>
          <cell r="CL17">
            <v>0</v>
          </cell>
          <cell r="CM17">
            <v>1.1572904707233065E-3</v>
          </cell>
          <cell r="CN17">
            <v>1.1572904707233065E-3</v>
          </cell>
          <cell r="CO17">
            <v>0</v>
          </cell>
          <cell r="CP17">
            <v>0</v>
          </cell>
          <cell r="CQ17">
            <v>2.0478793379247353</v>
          </cell>
          <cell r="CR17">
            <v>0</v>
          </cell>
          <cell r="CS17">
            <v>1</v>
          </cell>
          <cell r="CT17">
            <v>0</v>
          </cell>
          <cell r="CU17">
            <v>0</v>
          </cell>
          <cell r="CV17">
            <v>11</v>
          </cell>
          <cell r="CW17">
            <v>27</v>
          </cell>
          <cell r="CX17">
            <v>54</v>
          </cell>
          <cell r="CY17">
            <v>1.5</v>
          </cell>
          <cell r="CZ17">
            <v>2</v>
          </cell>
          <cell r="DA17">
            <v>1.2</v>
          </cell>
          <cell r="DB17">
            <v>575</v>
          </cell>
          <cell r="DC17">
            <v>271</v>
          </cell>
          <cell r="DD17">
            <v>150</v>
          </cell>
          <cell r="DE17">
            <v>44</v>
          </cell>
          <cell r="DF17">
            <v>67</v>
          </cell>
          <cell r="DG17">
            <v>12</v>
          </cell>
          <cell r="DH17">
            <v>6</v>
          </cell>
          <cell r="DI17">
            <v>29</v>
          </cell>
        </row>
        <row r="18">
          <cell r="A18" t="str">
            <v>RS 028</v>
          </cell>
          <cell r="B18">
            <v>28</v>
          </cell>
          <cell r="C18" t="str">
            <v>C</v>
          </cell>
          <cell r="D18" t="str">
            <v>T</v>
          </cell>
          <cell r="E18" t="str">
            <v>Chitsime - Kamchere</v>
          </cell>
          <cell r="F18" t="str">
            <v>M01</v>
          </cell>
          <cell r="G18">
            <v>16</v>
          </cell>
          <cell r="H18">
            <v>8.8000000000000007</v>
          </cell>
          <cell r="I18" t="str">
            <v>F</v>
          </cell>
          <cell r="J18" t="str">
            <v>LILONGWE</v>
          </cell>
          <cell r="K18">
            <v>6</v>
          </cell>
          <cell r="L18">
            <v>0</v>
          </cell>
          <cell r="W18">
            <v>71</v>
          </cell>
          <cell r="X18" t="str">
            <v>AC</v>
          </cell>
          <cell r="Y18">
            <v>125</v>
          </cell>
          <cell r="Z18" t="str">
            <v>SB</v>
          </cell>
          <cell r="AA18">
            <v>100</v>
          </cell>
          <cell r="AB18" t="str">
            <v>GR</v>
          </cell>
          <cell r="AC18">
            <v>4</v>
          </cell>
          <cell r="AD18" t="str">
            <v>VR</v>
          </cell>
          <cell r="AE18">
            <v>87</v>
          </cell>
          <cell r="AF18" t="str">
            <v>AO</v>
          </cell>
          <cell r="AG18" t="str">
            <v>AC</v>
          </cell>
          <cell r="AH18">
            <v>40</v>
          </cell>
          <cell r="AI18">
            <v>0</v>
          </cell>
          <cell r="AJ18">
            <v>0</v>
          </cell>
          <cell r="AK18">
            <v>0</v>
          </cell>
          <cell r="AL18">
            <v>0</v>
          </cell>
          <cell r="AM18">
            <v>6</v>
          </cell>
          <cell r="AN18">
            <v>0</v>
          </cell>
          <cell r="BO18" t="str">
            <v>RS 028</v>
          </cell>
          <cell r="BP18">
            <v>8.8000000000000007</v>
          </cell>
          <cell r="BQ18">
            <v>6.7</v>
          </cell>
          <cell r="BR18" t="str">
            <v>F</v>
          </cell>
          <cell r="BS18" t="str">
            <v>C</v>
          </cell>
          <cell r="BT18">
            <v>0</v>
          </cell>
          <cell r="BU18" t="str">
            <v>AC</v>
          </cell>
          <cell r="BV18" t="str">
            <v>AC</v>
          </cell>
          <cell r="BW18">
            <v>6</v>
          </cell>
          <cell r="BX18">
            <v>40</v>
          </cell>
          <cell r="BY18">
            <v>40</v>
          </cell>
          <cell r="BZ18">
            <v>1</v>
          </cell>
          <cell r="CA18">
            <v>4</v>
          </cell>
          <cell r="CB18">
            <v>2.1040000000000001</v>
          </cell>
          <cell r="CC18">
            <v>2.8208711632453571</v>
          </cell>
          <cell r="CD18">
            <v>80</v>
          </cell>
          <cell r="CE18">
            <v>40</v>
          </cell>
          <cell r="CF18">
            <v>25</v>
          </cell>
          <cell r="CG18">
            <v>55</v>
          </cell>
          <cell r="CH18">
            <v>15</v>
          </cell>
          <cell r="CI18">
            <v>1.6</v>
          </cell>
          <cell r="CJ18">
            <v>4.7761194029850755E-3</v>
          </cell>
          <cell r="CK18">
            <v>10</v>
          </cell>
          <cell r="CL18">
            <v>25</v>
          </cell>
          <cell r="CM18">
            <v>0.26718851894374285</v>
          </cell>
          <cell r="CN18">
            <v>0.26718851894374285</v>
          </cell>
          <cell r="CO18">
            <v>0</v>
          </cell>
          <cell r="CP18">
            <v>0</v>
          </cell>
          <cell r="CQ18">
            <v>3.0880596821891002</v>
          </cell>
          <cell r="CR18">
            <v>0</v>
          </cell>
          <cell r="CS18">
            <v>1</v>
          </cell>
          <cell r="CT18">
            <v>0</v>
          </cell>
          <cell r="CU18">
            <v>0</v>
          </cell>
          <cell r="CV18">
            <v>11</v>
          </cell>
          <cell r="CW18">
            <v>27</v>
          </cell>
          <cell r="CX18">
            <v>54</v>
          </cell>
          <cell r="CY18">
            <v>1.5</v>
          </cell>
          <cell r="CZ18">
            <v>2</v>
          </cell>
          <cell r="DA18">
            <v>2</v>
          </cell>
          <cell r="DB18">
            <v>1000</v>
          </cell>
          <cell r="DC18">
            <v>470</v>
          </cell>
          <cell r="DD18">
            <v>260</v>
          </cell>
          <cell r="DE18">
            <v>75</v>
          </cell>
          <cell r="DF18">
            <v>115</v>
          </cell>
          <cell r="DG18">
            <v>20</v>
          </cell>
          <cell r="DH18">
            <v>10</v>
          </cell>
          <cell r="DI18">
            <v>50</v>
          </cell>
        </row>
        <row r="19">
          <cell r="A19" t="str">
            <v>RS 012</v>
          </cell>
          <cell r="B19">
            <v>12</v>
          </cell>
          <cell r="C19" t="str">
            <v>C</v>
          </cell>
          <cell r="D19" t="str">
            <v>T</v>
          </cell>
          <cell r="E19" t="str">
            <v>Kamchere - Kalumba T/Off</v>
          </cell>
          <cell r="F19" t="str">
            <v>M01</v>
          </cell>
          <cell r="G19">
            <v>17</v>
          </cell>
          <cell r="H19">
            <v>13.4</v>
          </cell>
          <cell r="I19" t="str">
            <v>F</v>
          </cell>
          <cell r="J19" t="str">
            <v>LILONGWE</v>
          </cell>
          <cell r="K19">
            <v>6</v>
          </cell>
          <cell r="L19">
            <v>0</v>
          </cell>
          <cell r="W19">
            <v>71</v>
          </cell>
          <cell r="X19" t="str">
            <v>DS</v>
          </cell>
          <cell r="Y19">
            <v>125</v>
          </cell>
          <cell r="Z19" t="str">
            <v>SB</v>
          </cell>
          <cell r="AA19">
            <v>100</v>
          </cell>
          <cell r="AB19" t="str">
            <v>GR</v>
          </cell>
          <cell r="AC19">
            <v>4</v>
          </cell>
          <cell r="AD19" t="str">
            <v>VR</v>
          </cell>
          <cell r="AE19">
            <v>81</v>
          </cell>
          <cell r="AF19" t="str">
            <v>AO</v>
          </cell>
          <cell r="AG19" t="str">
            <v>AC</v>
          </cell>
          <cell r="AH19">
            <v>40</v>
          </cell>
          <cell r="AI19">
            <v>87</v>
          </cell>
          <cell r="AJ19" t="str">
            <v>AO</v>
          </cell>
          <cell r="AK19" t="str">
            <v>AC</v>
          </cell>
          <cell r="AL19">
            <v>40</v>
          </cell>
          <cell r="AM19">
            <v>6</v>
          </cell>
          <cell r="AN19" t="str">
            <v>spot AO</v>
          </cell>
          <cell r="BO19" t="str">
            <v>RS 012</v>
          </cell>
          <cell r="BP19">
            <v>13.4</v>
          </cell>
          <cell r="BQ19">
            <v>6.7</v>
          </cell>
          <cell r="BR19" t="str">
            <v>F</v>
          </cell>
          <cell r="BS19" t="str">
            <v>C</v>
          </cell>
          <cell r="BT19">
            <v>0</v>
          </cell>
          <cell r="BU19" t="str">
            <v>AC</v>
          </cell>
          <cell r="BV19" t="str">
            <v>AO</v>
          </cell>
          <cell r="BW19">
            <v>6</v>
          </cell>
          <cell r="BX19">
            <v>40</v>
          </cell>
          <cell r="BY19">
            <v>40</v>
          </cell>
          <cell r="BZ19">
            <v>1</v>
          </cell>
          <cell r="CA19">
            <v>4</v>
          </cell>
          <cell r="CB19">
            <v>1.7290000000000001</v>
          </cell>
          <cell r="CC19">
            <v>2.7216531769305963</v>
          </cell>
          <cell r="CD19">
            <v>70</v>
          </cell>
          <cell r="CE19">
            <v>35</v>
          </cell>
          <cell r="CF19">
            <v>20</v>
          </cell>
          <cell r="CG19">
            <v>50</v>
          </cell>
          <cell r="CH19">
            <v>15</v>
          </cell>
          <cell r="CI19">
            <v>2</v>
          </cell>
          <cell r="CJ19">
            <v>5.9701492537313433E-3</v>
          </cell>
          <cell r="CK19">
            <v>10</v>
          </cell>
          <cell r="CL19">
            <v>20</v>
          </cell>
          <cell r="CM19">
            <v>0.23456257175660158</v>
          </cell>
          <cell r="CN19">
            <v>0.23456257175660158</v>
          </cell>
          <cell r="CO19">
            <v>0</v>
          </cell>
          <cell r="CP19">
            <v>0</v>
          </cell>
          <cell r="CQ19">
            <v>2.9562157486871978</v>
          </cell>
          <cell r="CR19">
            <v>0</v>
          </cell>
          <cell r="CS19">
            <v>1</v>
          </cell>
          <cell r="CT19">
            <v>0</v>
          </cell>
          <cell r="CU19">
            <v>0</v>
          </cell>
          <cell r="CV19">
            <v>11</v>
          </cell>
          <cell r="CW19">
            <v>27</v>
          </cell>
          <cell r="CX19">
            <v>54</v>
          </cell>
          <cell r="CY19">
            <v>1.5</v>
          </cell>
          <cell r="CZ19">
            <v>1.8</v>
          </cell>
          <cell r="DA19">
            <v>1.8</v>
          </cell>
          <cell r="DB19">
            <v>600</v>
          </cell>
          <cell r="DC19">
            <v>282</v>
          </cell>
          <cell r="DD19">
            <v>156</v>
          </cell>
          <cell r="DE19">
            <v>45</v>
          </cell>
          <cell r="DF19">
            <v>69</v>
          </cell>
          <cell r="DG19">
            <v>12</v>
          </cell>
          <cell r="DH19">
            <v>6</v>
          </cell>
          <cell r="DI19">
            <v>30</v>
          </cell>
        </row>
        <row r="20">
          <cell r="A20" t="str">
            <v>RS 037</v>
          </cell>
          <cell r="B20">
            <v>37</v>
          </cell>
          <cell r="C20" t="str">
            <v>C</v>
          </cell>
          <cell r="D20" t="str">
            <v>T</v>
          </cell>
          <cell r="E20" t="str">
            <v>Kalumba T/Off - Diamphwe River Bridge</v>
          </cell>
          <cell r="F20" t="str">
            <v>M01</v>
          </cell>
          <cell r="G20">
            <v>18</v>
          </cell>
          <cell r="H20">
            <v>18.7</v>
          </cell>
          <cell r="I20" t="str">
            <v>F</v>
          </cell>
          <cell r="J20" t="str">
            <v>LILONGWE</v>
          </cell>
          <cell r="K20">
            <v>6</v>
          </cell>
          <cell r="L20">
            <v>0</v>
          </cell>
          <cell r="W20">
            <v>71</v>
          </cell>
          <cell r="X20" t="str">
            <v>AC</v>
          </cell>
          <cell r="Y20">
            <v>125</v>
          </cell>
          <cell r="Z20" t="str">
            <v>SB</v>
          </cell>
          <cell r="AA20">
            <v>100</v>
          </cell>
          <cell r="AB20" t="str">
            <v>GR</v>
          </cell>
          <cell r="AC20">
            <v>4</v>
          </cell>
          <cell r="AD20" t="str">
            <v>VR</v>
          </cell>
          <cell r="AE20">
            <v>0</v>
          </cell>
          <cell r="AF20">
            <v>0</v>
          </cell>
          <cell r="AG20">
            <v>0</v>
          </cell>
          <cell r="AH20">
            <v>0</v>
          </cell>
          <cell r="AI20">
            <v>0</v>
          </cell>
          <cell r="AJ20">
            <v>0</v>
          </cell>
          <cell r="AK20">
            <v>0</v>
          </cell>
          <cell r="AL20">
            <v>0</v>
          </cell>
          <cell r="AM20">
            <v>2</v>
          </cell>
          <cell r="AN20" t="str">
            <v>spot AO</v>
          </cell>
          <cell r="BO20" t="str">
            <v>RS 037</v>
          </cell>
          <cell r="BP20">
            <v>18.7</v>
          </cell>
          <cell r="BQ20">
            <v>6.7</v>
          </cell>
          <cell r="BR20" t="str">
            <v>F</v>
          </cell>
          <cell r="BS20" t="str">
            <v>C</v>
          </cell>
          <cell r="BT20">
            <v>0</v>
          </cell>
          <cell r="BU20" t="str">
            <v>AC</v>
          </cell>
          <cell r="BV20">
            <v>0</v>
          </cell>
          <cell r="BW20">
            <v>2</v>
          </cell>
          <cell r="BX20">
            <v>40</v>
          </cell>
          <cell r="BY20" t="str">
            <v xml:space="preserve"> </v>
          </cell>
          <cell r="BZ20">
            <v>1</v>
          </cell>
          <cell r="CA20">
            <v>4</v>
          </cell>
          <cell r="CB20">
            <v>1.552</v>
          </cell>
          <cell r="CC20">
            <v>3.3922299120234607</v>
          </cell>
          <cell r="CD20">
            <v>80</v>
          </cell>
          <cell r="CE20">
            <v>45</v>
          </cell>
          <cell r="CF20">
            <v>30</v>
          </cell>
          <cell r="CG20">
            <v>50</v>
          </cell>
          <cell r="CH20">
            <v>15</v>
          </cell>
          <cell r="CI20">
            <v>5</v>
          </cell>
          <cell r="CJ20">
            <v>1.4925373134328358E-2</v>
          </cell>
          <cell r="CK20">
            <v>10</v>
          </cell>
          <cell r="CL20">
            <v>30</v>
          </cell>
          <cell r="CM20">
            <v>0.30409873708381169</v>
          </cell>
          <cell r="CN20">
            <v>0.30409873708381169</v>
          </cell>
          <cell r="CO20">
            <v>0</v>
          </cell>
          <cell r="CP20">
            <v>0</v>
          </cell>
          <cell r="CQ20">
            <v>3.6963286491072722</v>
          </cell>
          <cell r="CR20">
            <v>0</v>
          </cell>
          <cell r="CS20">
            <v>1</v>
          </cell>
          <cell r="CT20">
            <v>0</v>
          </cell>
          <cell r="CU20">
            <v>0</v>
          </cell>
          <cell r="CV20">
            <v>27</v>
          </cell>
          <cell r="CW20">
            <v>27</v>
          </cell>
          <cell r="CX20" t="str">
            <v xml:space="preserve"> </v>
          </cell>
          <cell r="CY20">
            <v>2</v>
          </cell>
          <cell r="CZ20">
            <v>1.5</v>
          </cell>
          <cell r="DA20">
            <v>1.5</v>
          </cell>
          <cell r="DB20">
            <v>600</v>
          </cell>
          <cell r="DC20">
            <v>282</v>
          </cell>
          <cell r="DD20">
            <v>156</v>
          </cell>
          <cell r="DE20">
            <v>45</v>
          </cell>
          <cell r="DF20">
            <v>69</v>
          </cell>
          <cell r="DG20">
            <v>12</v>
          </cell>
          <cell r="DH20">
            <v>6</v>
          </cell>
          <cell r="DI20">
            <v>30</v>
          </cell>
        </row>
        <row r="21">
          <cell r="A21" t="str">
            <v>RS 025</v>
          </cell>
          <cell r="B21">
            <v>25</v>
          </cell>
          <cell r="C21" t="str">
            <v>C</v>
          </cell>
          <cell r="D21" t="str">
            <v>T</v>
          </cell>
          <cell r="E21" t="str">
            <v>Diamphwe River - Junction S126</v>
          </cell>
          <cell r="F21" t="str">
            <v>M01</v>
          </cell>
          <cell r="G21">
            <v>19</v>
          </cell>
          <cell r="H21">
            <v>5.4</v>
          </cell>
          <cell r="I21" t="str">
            <v>R</v>
          </cell>
          <cell r="J21" t="str">
            <v>DEDZA</v>
          </cell>
          <cell r="K21">
            <v>6</v>
          </cell>
          <cell r="L21">
            <v>0</v>
          </cell>
          <cell r="W21">
            <v>71</v>
          </cell>
          <cell r="X21" t="str">
            <v>DS</v>
          </cell>
          <cell r="Y21">
            <v>150</v>
          </cell>
          <cell r="Z21" t="str">
            <v>GR</v>
          </cell>
          <cell r="AA21">
            <v>100</v>
          </cell>
          <cell r="AB21" t="str">
            <v>GR</v>
          </cell>
          <cell r="AC21">
            <v>14</v>
          </cell>
          <cell r="AD21" t="str">
            <v>VR</v>
          </cell>
          <cell r="AE21">
            <v>0</v>
          </cell>
          <cell r="AF21">
            <v>0</v>
          </cell>
          <cell r="AG21">
            <v>0</v>
          </cell>
          <cell r="AH21">
            <v>0</v>
          </cell>
          <cell r="AI21">
            <v>0</v>
          </cell>
          <cell r="AJ21">
            <v>0</v>
          </cell>
          <cell r="AK21">
            <v>0</v>
          </cell>
          <cell r="AL21">
            <v>0</v>
          </cell>
          <cell r="AM21">
            <v>1</v>
          </cell>
          <cell r="AN21" t="str">
            <v>spot AO</v>
          </cell>
          <cell r="BO21" t="str">
            <v>RS 025</v>
          </cell>
          <cell r="BP21">
            <v>5.4</v>
          </cell>
          <cell r="BQ21">
            <v>6.7</v>
          </cell>
          <cell r="BR21" t="str">
            <v>R</v>
          </cell>
          <cell r="BS21" t="str">
            <v>C</v>
          </cell>
          <cell r="BT21">
            <v>0</v>
          </cell>
          <cell r="BU21" t="str">
            <v>DS</v>
          </cell>
          <cell r="BV21">
            <v>0</v>
          </cell>
          <cell r="BW21">
            <v>1</v>
          </cell>
          <cell r="BX21">
            <v>15</v>
          </cell>
          <cell r="BY21" t="str">
            <v xml:space="preserve"> </v>
          </cell>
          <cell r="BZ21">
            <v>1</v>
          </cell>
          <cell r="CA21">
            <v>14</v>
          </cell>
          <cell r="CB21">
            <v>1.077</v>
          </cell>
          <cell r="CC21">
            <v>4.9865603128054747</v>
          </cell>
          <cell r="CD21">
            <v>80</v>
          </cell>
          <cell r="CE21">
            <v>50</v>
          </cell>
          <cell r="CF21">
            <v>35</v>
          </cell>
          <cell r="CG21">
            <v>45</v>
          </cell>
          <cell r="CH21">
            <v>15</v>
          </cell>
          <cell r="CI21">
            <v>117</v>
          </cell>
          <cell r="CJ21">
            <v>0.34925373134328364</v>
          </cell>
          <cell r="CK21">
            <v>10</v>
          </cell>
          <cell r="CL21">
            <v>35</v>
          </cell>
          <cell r="CM21">
            <v>0.4634489092996556</v>
          </cell>
          <cell r="CN21">
            <v>0.4634489092996556</v>
          </cell>
          <cell r="CO21">
            <v>0</v>
          </cell>
          <cell r="CP21">
            <v>0</v>
          </cell>
          <cell r="CQ21">
            <v>5.4500092221051304</v>
          </cell>
          <cell r="CR21">
            <v>80</v>
          </cell>
          <cell r="CS21">
            <v>1</v>
          </cell>
          <cell r="CT21">
            <v>0</v>
          </cell>
          <cell r="CU21">
            <v>0</v>
          </cell>
          <cell r="CV21">
            <v>27</v>
          </cell>
          <cell r="CW21">
            <v>27</v>
          </cell>
          <cell r="CX21" t="str">
            <v xml:space="preserve"> </v>
          </cell>
          <cell r="CY21">
            <v>2</v>
          </cell>
          <cell r="CZ21">
            <v>1.5</v>
          </cell>
          <cell r="DA21">
            <v>1.5</v>
          </cell>
          <cell r="DB21">
            <v>600</v>
          </cell>
          <cell r="DC21">
            <v>282</v>
          </cell>
          <cell r="DD21">
            <v>156</v>
          </cell>
          <cell r="DE21">
            <v>45</v>
          </cell>
          <cell r="DF21">
            <v>69</v>
          </cell>
          <cell r="DG21">
            <v>12</v>
          </cell>
          <cell r="DH21">
            <v>6</v>
          </cell>
          <cell r="DI21">
            <v>30</v>
          </cell>
        </row>
        <row r="22">
          <cell r="A22" t="str">
            <v>RS 010</v>
          </cell>
          <cell r="B22">
            <v>10</v>
          </cell>
          <cell r="C22" t="str">
            <v>C</v>
          </cell>
          <cell r="D22" t="str">
            <v>T</v>
          </cell>
          <cell r="E22" t="str">
            <v>Junction S126 - Linthipe</v>
          </cell>
          <cell r="F22" t="str">
            <v>M01</v>
          </cell>
          <cell r="G22">
            <v>20</v>
          </cell>
          <cell r="H22">
            <v>8.1</v>
          </cell>
          <cell r="I22" t="str">
            <v>R</v>
          </cell>
          <cell r="J22" t="str">
            <v>DEDZA</v>
          </cell>
          <cell r="K22">
            <v>6</v>
          </cell>
          <cell r="L22">
            <v>0</v>
          </cell>
          <cell r="W22">
            <v>71</v>
          </cell>
          <cell r="X22" t="str">
            <v>DS</v>
          </cell>
          <cell r="Y22">
            <v>125</v>
          </cell>
          <cell r="Z22" t="str">
            <v>SB</v>
          </cell>
          <cell r="AA22">
            <v>100</v>
          </cell>
          <cell r="AB22" t="str">
            <v>GR</v>
          </cell>
          <cell r="AC22">
            <v>4</v>
          </cell>
          <cell r="AD22" t="str">
            <v>VR</v>
          </cell>
          <cell r="AE22">
            <v>0</v>
          </cell>
          <cell r="AF22">
            <v>0</v>
          </cell>
          <cell r="AG22">
            <v>0</v>
          </cell>
          <cell r="AH22">
            <v>0</v>
          </cell>
          <cell r="AI22">
            <v>0</v>
          </cell>
          <cell r="AJ22">
            <v>0</v>
          </cell>
          <cell r="AK22">
            <v>0</v>
          </cell>
          <cell r="AL22">
            <v>0</v>
          </cell>
          <cell r="AM22">
            <v>1</v>
          </cell>
          <cell r="AN22" t="str">
            <v>never resealed</v>
          </cell>
          <cell r="BO22" t="str">
            <v>RS 010</v>
          </cell>
          <cell r="BP22">
            <v>8.1</v>
          </cell>
          <cell r="BQ22">
            <v>6.7</v>
          </cell>
          <cell r="BR22" t="str">
            <v>R</v>
          </cell>
          <cell r="BS22" t="str">
            <v>C</v>
          </cell>
          <cell r="BT22">
            <v>0</v>
          </cell>
          <cell r="BU22" t="str">
            <v>DS</v>
          </cell>
          <cell r="BV22">
            <v>0</v>
          </cell>
          <cell r="BW22">
            <v>1</v>
          </cell>
          <cell r="BX22">
            <v>15</v>
          </cell>
          <cell r="BY22" t="str">
            <v xml:space="preserve"> </v>
          </cell>
          <cell r="BZ22">
            <v>1</v>
          </cell>
          <cell r="CA22">
            <v>4</v>
          </cell>
          <cell r="CB22">
            <v>1.177</v>
          </cell>
          <cell r="CC22">
            <v>3.09</v>
          </cell>
          <cell r="CD22">
            <v>10</v>
          </cell>
          <cell r="CE22">
            <v>7</v>
          </cell>
          <cell r="CF22">
            <v>0</v>
          </cell>
          <cell r="CG22">
            <v>10</v>
          </cell>
          <cell r="CH22">
            <v>7</v>
          </cell>
          <cell r="CI22">
            <v>0.5</v>
          </cell>
          <cell r="CJ22">
            <v>1.4925373134328358E-3</v>
          </cell>
          <cell r="CK22">
            <v>1.4925373134328358E-3</v>
          </cell>
          <cell r="CL22">
            <v>0</v>
          </cell>
          <cell r="CM22">
            <v>5.7864523536165326E-4</v>
          </cell>
          <cell r="CN22">
            <v>5.7864523536165326E-4</v>
          </cell>
          <cell r="CO22">
            <v>0</v>
          </cell>
          <cell r="CP22">
            <v>0</v>
          </cell>
          <cell r="CQ22">
            <v>3.0905786452353614</v>
          </cell>
          <cell r="CR22">
            <v>20</v>
          </cell>
          <cell r="CS22">
            <v>1</v>
          </cell>
          <cell r="CT22">
            <v>0</v>
          </cell>
          <cell r="CU22">
            <v>0</v>
          </cell>
          <cell r="CV22">
            <v>27</v>
          </cell>
          <cell r="CW22">
            <v>27</v>
          </cell>
          <cell r="CX22" t="str">
            <v xml:space="preserve"> </v>
          </cell>
          <cell r="CY22">
            <v>2</v>
          </cell>
          <cell r="CZ22">
            <v>1.5</v>
          </cell>
          <cell r="DA22">
            <v>1.5</v>
          </cell>
          <cell r="DB22">
            <v>600</v>
          </cell>
          <cell r="DC22">
            <v>282</v>
          </cell>
          <cell r="DD22">
            <v>156</v>
          </cell>
          <cell r="DE22">
            <v>45</v>
          </cell>
          <cell r="DF22">
            <v>69</v>
          </cell>
          <cell r="DG22">
            <v>12</v>
          </cell>
          <cell r="DH22">
            <v>6</v>
          </cell>
          <cell r="DI22">
            <v>30</v>
          </cell>
        </row>
        <row r="23">
          <cell r="A23" t="str">
            <v>RS 038</v>
          </cell>
          <cell r="B23">
            <v>38</v>
          </cell>
          <cell r="C23" t="str">
            <v>C</v>
          </cell>
          <cell r="D23" t="str">
            <v>T</v>
          </cell>
          <cell r="E23" t="str">
            <v>Linthipe - Chimbiya</v>
          </cell>
          <cell r="F23" t="str">
            <v>M01</v>
          </cell>
          <cell r="G23">
            <v>21</v>
          </cell>
          <cell r="H23">
            <v>6.3</v>
          </cell>
          <cell r="I23" t="str">
            <v>R</v>
          </cell>
          <cell r="J23" t="str">
            <v>LILONGWE</v>
          </cell>
          <cell r="K23">
            <v>6</v>
          </cell>
          <cell r="L23">
            <v>0</v>
          </cell>
          <cell r="W23">
            <v>71</v>
          </cell>
          <cell r="X23" t="str">
            <v>AC</v>
          </cell>
          <cell r="Y23">
            <v>125</v>
          </cell>
          <cell r="Z23" t="str">
            <v>SB</v>
          </cell>
          <cell r="AA23">
            <v>100</v>
          </cell>
          <cell r="AB23" t="str">
            <v>GR</v>
          </cell>
          <cell r="AC23">
            <v>4</v>
          </cell>
          <cell r="AD23" t="str">
            <v>VR</v>
          </cell>
          <cell r="AE23">
            <v>86</v>
          </cell>
          <cell r="AF23" t="str">
            <v>AO</v>
          </cell>
          <cell r="AG23" t="str">
            <v>AC</v>
          </cell>
          <cell r="AH23">
            <v>40</v>
          </cell>
          <cell r="AI23">
            <v>0</v>
          </cell>
          <cell r="AJ23">
            <v>0</v>
          </cell>
          <cell r="AK23">
            <v>0</v>
          </cell>
          <cell r="AL23">
            <v>0</v>
          </cell>
          <cell r="AM23">
            <v>6</v>
          </cell>
          <cell r="AN23">
            <v>0</v>
          </cell>
          <cell r="BO23" t="str">
            <v>RS 038</v>
          </cell>
          <cell r="BP23">
            <v>6.3</v>
          </cell>
          <cell r="BQ23">
            <v>6</v>
          </cell>
          <cell r="BR23" t="str">
            <v>R</v>
          </cell>
          <cell r="BS23" t="str">
            <v>C</v>
          </cell>
          <cell r="BT23">
            <v>0</v>
          </cell>
          <cell r="BU23" t="str">
            <v>AC</v>
          </cell>
          <cell r="BV23" t="str">
            <v>AC</v>
          </cell>
          <cell r="BW23">
            <v>6</v>
          </cell>
          <cell r="BX23">
            <v>40</v>
          </cell>
          <cell r="BY23">
            <v>40</v>
          </cell>
          <cell r="BZ23">
            <v>1</v>
          </cell>
          <cell r="CA23">
            <v>4</v>
          </cell>
          <cell r="CB23">
            <v>2.1040000000000001</v>
          </cell>
          <cell r="CC23">
            <v>3.53</v>
          </cell>
          <cell r="CD23">
            <v>50</v>
          </cell>
          <cell r="CE23">
            <v>20</v>
          </cell>
          <cell r="CF23">
            <v>5</v>
          </cell>
          <cell r="CG23">
            <v>45</v>
          </cell>
          <cell r="CH23">
            <v>15</v>
          </cell>
          <cell r="CI23">
            <v>0.7</v>
          </cell>
          <cell r="CJ23">
            <v>2.3333333333333331E-3</v>
          </cell>
          <cell r="CK23">
            <v>5.0023333333333335</v>
          </cell>
          <cell r="CL23">
            <v>5</v>
          </cell>
          <cell r="CM23">
            <v>8.3981538461538455E-2</v>
          </cell>
          <cell r="CN23">
            <v>8.3981538461538455E-2</v>
          </cell>
          <cell r="CO23">
            <v>0</v>
          </cell>
          <cell r="CP23">
            <v>0</v>
          </cell>
          <cell r="CQ23">
            <v>3.6139815384615384</v>
          </cell>
          <cell r="CR23">
            <v>10</v>
          </cell>
          <cell r="CS23">
            <v>1</v>
          </cell>
          <cell r="CT23">
            <v>0</v>
          </cell>
          <cell r="CU23">
            <v>0</v>
          </cell>
          <cell r="CV23">
            <v>12</v>
          </cell>
          <cell r="CW23">
            <v>27</v>
          </cell>
          <cell r="CX23">
            <v>54</v>
          </cell>
          <cell r="CY23">
            <v>1.5</v>
          </cell>
          <cell r="CZ23">
            <v>1.5</v>
          </cell>
          <cell r="DA23">
            <v>1.5</v>
          </cell>
          <cell r="DB23">
            <v>600</v>
          </cell>
          <cell r="DC23">
            <v>282</v>
          </cell>
          <cell r="DD23">
            <v>156</v>
          </cell>
          <cell r="DE23">
            <v>45</v>
          </cell>
          <cell r="DF23">
            <v>69</v>
          </cell>
          <cell r="DG23">
            <v>12</v>
          </cell>
          <cell r="DH23">
            <v>6</v>
          </cell>
          <cell r="DI23">
            <v>30</v>
          </cell>
        </row>
        <row r="24">
          <cell r="A24" t="str">
            <v>RS 023</v>
          </cell>
          <cell r="B24">
            <v>23</v>
          </cell>
          <cell r="C24" t="str">
            <v>C</v>
          </cell>
          <cell r="D24" t="str">
            <v>T</v>
          </cell>
          <cell r="E24" t="str">
            <v>Chimbiya - Zuze</v>
          </cell>
          <cell r="F24" t="str">
            <v>M01</v>
          </cell>
          <cell r="G24">
            <v>22</v>
          </cell>
          <cell r="H24">
            <v>31.8</v>
          </cell>
          <cell r="I24" t="str">
            <v>H</v>
          </cell>
          <cell r="J24" t="str">
            <v>DEDZA</v>
          </cell>
          <cell r="K24">
            <v>6</v>
          </cell>
          <cell r="L24">
            <v>0</v>
          </cell>
          <cell r="W24">
            <v>71</v>
          </cell>
          <cell r="X24" t="str">
            <v>AC</v>
          </cell>
          <cell r="Y24">
            <v>125</v>
          </cell>
          <cell r="Z24" t="str">
            <v>SB</v>
          </cell>
          <cell r="AA24">
            <v>150</v>
          </cell>
          <cell r="AB24" t="str">
            <v>GR</v>
          </cell>
          <cell r="AC24">
            <v>4</v>
          </cell>
          <cell r="AD24" t="str">
            <v>VR</v>
          </cell>
          <cell r="AE24">
            <v>81</v>
          </cell>
          <cell r="AF24" t="str">
            <v>SS</v>
          </cell>
          <cell r="AG24" t="str">
            <v>SS</v>
          </cell>
          <cell r="AH24">
            <v>5</v>
          </cell>
          <cell r="AI24">
            <v>86</v>
          </cell>
          <cell r="AJ24" t="str">
            <v>AO</v>
          </cell>
          <cell r="AK24" t="str">
            <v>AC</v>
          </cell>
          <cell r="AL24">
            <v>40</v>
          </cell>
          <cell r="AM24">
            <v>6</v>
          </cell>
          <cell r="AN24">
            <v>0</v>
          </cell>
          <cell r="BO24" t="str">
            <v>RS 023</v>
          </cell>
          <cell r="BP24">
            <v>31.8</v>
          </cell>
          <cell r="BQ24">
            <v>6</v>
          </cell>
          <cell r="BR24" t="str">
            <v>H</v>
          </cell>
          <cell r="BS24" t="str">
            <v>S</v>
          </cell>
          <cell r="BT24">
            <v>0</v>
          </cell>
          <cell r="BU24" t="str">
            <v>AC</v>
          </cell>
          <cell r="BV24" t="str">
            <v>AO</v>
          </cell>
          <cell r="BW24">
            <v>6</v>
          </cell>
          <cell r="BX24">
            <v>40</v>
          </cell>
          <cell r="BY24">
            <v>40</v>
          </cell>
          <cell r="BZ24">
            <v>1</v>
          </cell>
          <cell r="CA24">
            <v>4</v>
          </cell>
          <cell r="CB24">
            <v>2.6040000000000001</v>
          </cell>
          <cell r="CC24">
            <v>2.5019690693008183</v>
          </cell>
          <cell r="CD24">
            <v>10</v>
          </cell>
          <cell r="CE24">
            <v>7</v>
          </cell>
          <cell r="CF24">
            <v>0</v>
          </cell>
          <cell r="CG24">
            <v>10</v>
          </cell>
          <cell r="CH24">
            <v>7</v>
          </cell>
          <cell r="CI24">
            <v>0.3</v>
          </cell>
          <cell r="CJ24">
            <v>1E-3</v>
          </cell>
          <cell r="CK24">
            <v>1E-3</v>
          </cell>
          <cell r="CL24">
            <v>0</v>
          </cell>
          <cell r="CM24">
            <v>3.876923076923077E-4</v>
          </cell>
          <cell r="CN24">
            <v>3.876923076923077E-4</v>
          </cell>
          <cell r="CO24">
            <v>0</v>
          </cell>
          <cell r="CP24">
            <v>0</v>
          </cell>
          <cell r="CQ24">
            <v>2.5023567616085107</v>
          </cell>
          <cell r="CR24">
            <v>5</v>
          </cell>
          <cell r="CS24">
            <v>1</v>
          </cell>
          <cell r="CT24">
            <v>0</v>
          </cell>
          <cell r="CU24">
            <v>0</v>
          </cell>
          <cell r="CV24">
            <v>12</v>
          </cell>
          <cell r="CW24">
            <v>27</v>
          </cell>
          <cell r="CX24">
            <v>54</v>
          </cell>
          <cell r="CY24">
            <v>2</v>
          </cell>
          <cell r="CZ24">
            <v>2</v>
          </cell>
          <cell r="DA24">
            <v>2</v>
          </cell>
          <cell r="DB24">
            <v>600</v>
          </cell>
          <cell r="DC24">
            <v>282</v>
          </cell>
          <cell r="DD24">
            <v>156</v>
          </cell>
          <cell r="DE24">
            <v>45</v>
          </cell>
          <cell r="DF24">
            <v>69</v>
          </cell>
          <cell r="DG24">
            <v>12</v>
          </cell>
          <cell r="DH24">
            <v>6</v>
          </cell>
          <cell r="DI24">
            <v>30</v>
          </cell>
        </row>
        <row r="25">
          <cell r="A25" t="str">
            <v>RS 033</v>
          </cell>
          <cell r="B25">
            <v>33</v>
          </cell>
          <cell r="C25" t="str">
            <v>C</v>
          </cell>
          <cell r="D25" t="str">
            <v>T</v>
          </cell>
          <cell r="E25" t="str">
            <v>Dauya - Kapesi</v>
          </cell>
          <cell r="F25" t="str">
            <v>M01</v>
          </cell>
          <cell r="G25">
            <v>23</v>
          </cell>
          <cell r="H25">
            <v>12.5</v>
          </cell>
          <cell r="I25" t="str">
            <v>F</v>
          </cell>
          <cell r="J25" t="str">
            <v>DEDZA</v>
          </cell>
          <cell r="K25">
            <v>7</v>
          </cell>
          <cell r="L25">
            <v>0</v>
          </cell>
          <cell r="W25">
            <v>71</v>
          </cell>
          <cell r="X25" t="str">
            <v>AC</v>
          </cell>
          <cell r="Y25">
            <v>125</v>
          </cell>
          <cell r="Z25" t="str">
            <v>SB</v>
          </cell>
          <cell r="AA25">
            <v>100</v>
          </cell>
          <cell r="AB25" t="str">
            <v>GR</v>
          </cell>
          <cell r="AC25">
            <v>4</v>
          </cell>
          <cell r="AD25" t="str">
            <v>VR</v>
          </cell>
          <cell r="AE25">
            <v>81</v>
          </cell>
          <cell r="AF25" t="str">
            <v>AO</v>
          </cell>
          <cell r="AG25" t="str">
            <v>AC</v>
          </cell>
          <cell r="AH25">
            <v>40</v>
          </cell>
          <cell r="AI25">
            <v>87</v>
          </cell>
          <cell r="AJ25" t="str">
            <v>AO</v>
          </cell>
          <cell r="AK25" t="str">
            <v>AC</v>
          </cell>
          <cell r="AL25">
            <v>40</v>
          </cell>
          <cell r="AM25">
            <v>6</v>
          </cell>
          <cell r="AN25">
            <v>0</v>
          </cell>
          <cell r="BO25" t="str">
            <v>RS 033</v>
          </cell>
          <cell r="BP25">
            <v>12.5</v>
          </cell>
          <cell r="BQ25">
            <v>6</v>
          </cell>
          <cell r="BR25" t="str">
            <v>F</v>
          </cell>
          <cell r="BS25" t="str">
            <v>C</v>
          </cell>
          <cell r="BT25">
            <v>0</v>
          </cell>
          <cell r="BU25" t="str">
            <v>AC</v>
          </cell>
          <cell r="BV25" t="str">
            <v>AO</v>
          </cell>
          <cell r="BW25">
            <v>6</v>
          </cell>
          <cell r="BX25">
            <v>40</v>
          </cell>
          <cell r="BY25">
            <v>40</v>
          </cell>
          <cell r="BZ25">
            <v>1</v>
          </cell>
          <cell r="CA25">
            <v>4</v>
          </cell>
          <cell r="CB25">
            <v>2.1040000000000001</v>
          </cell>
          <cell r="CC25">
            <v>2.7620246334310852</v>
          </cell>
          <cell r="CD25">
            <v>20</v>
          </cell>
          <cell r="CE25">
            <v>8</v>
          </cell>
          <cell r="CF25">
            <v>0</v>
          </cell>
          <cell r="CG25">
            <v>20</v>
          </cell>
          <cell r="CH25">
            <v>8</v>
          </cell>
          <cell r="CI25">
            <v>0.1</v>
          </cell>
          <cell r="CJ25">
            <v>3.3333333333333343E-4</v>
          </cell>
          <cell r="CK25">
            <v>3.3333333333333343E-4</v>
          </cell>
          <cell r="CL25">
            <v>0</v>
          </cell>
          <cell r="CM25">
            <v>1.2923076923076926E-4</v>
          </cell>
          <cell r="CN25">
            <v>1.2923076923076926E-4</v>
          </cell>
          <cell r="CO25">
            <v>0</v>
          </cell>
          <cell r="CP25">
            <v>0</v>
          </cell>
          <cell r="CQ25">
            <v>2.7621538642003158</v>
          </cell>
          <cell r="CR25">
            <v>0</v>
          </cell>
          <cell r="CS25">
            <v>1</v>
          </cell>
          <cell r="CT25">
            <v>0</v>
          </cell>
          <cell r="CU25">
            <v>0</v>
          </cell>
          <cell r="CV25">
            <v>11</v>
          </cell>
          <cell r="CW25">
            <v>27</v>
          </cell>
          <cell r="CX25">
            <v>54</v>
          </cell>
          <cell r="CY25">
            <v>3</v>
          </cell>
          <cell r="CZ25">
            <v>2</v>
          </cell>
          <cell r="DA25">
            <v>1.5</v>
          </cell>
          <cell r="DB25">
            <v>600</v>
          </cell>
          <cell r="DC25">
            <v>282</v>
          </cell>
          <cell r="DD25">
            <v>156</v>
          </cell>
          <cell r="DE25">
            <v>45</v>
          </cell>
          <cell r="DF25">
            <v>69</v>
          </cell>
          <cell r="DG25">
            <v>12</v>
          </cell>
          <cell r="DH25">
            <v>6</v>
          </cell>
          <cell r="DI25">
            <v>30</v>
          </cell>
        </row>
        <row r="26">
          <cell r="A26" t="str">
            <v>RS 034</v>
          </cell>
          <cell r="B26">
            <v>34</v>
          </cell>
          <cell r="C26" t="str">
            <v>C</v>
          </cell>
          <cell r="D26" t="str">
            <v>T</v>
          </cell>
          <cell r="E26" t="str">
            <v>Nkutu - Bembeke</v>
          </cell>
          <cell r="F26" t="str">
            <v>M01</v>
          </cell>
          <cell r="G26">
            <v>24</v>
          </cell>
          <cell r="H26">
            <v>9</v>
          </cell>
          <cell r="I26" t="str">
            <v>H</v>
          </cell>
          <cell r="J26" t="str">
            <v>DEDZA</v>
          </cell>
          <cell r="K26">
            <v>7</v>
          </cell>
          <cell r="L26">
            <v>0</v>
          </cell>
          <cell r="W26">
            <v>71</v>
          </cell>
          <cell r="X26" t="str">
            <v>AC</v>
          </cell>
          <cell r="Y26">
            <v>125</v>
          </cell>
          <cell r="Z26" t="str">
            <v>SB</v>
          </cell>
          <cell r="AA26">
            <v>150</v>
          </cell>
          <cell r="AB26" t="str">
            <v>GR</v>
          </cell>
          <cell r="AC26">
            <v>10</v>
          </cell>
          <cell r="AD26" t="str">
            <v>VR</v>
          </cell>
          <cell r="AE26">
            <v>0</v>
          </cell>
          <cell r="AF26">
            <v>0</v>
          </cell>
          <cell r="AG26">
            <v>0</v>
          </cell>
          <cell r="AH26">
            <v>0</v>
          </cell>
          <cell r="AI26">
            <v>0</v>
          </cell>
          <cell r="AJ26">
            <v>0</v>
          </cell>
          <cell r="AK26">
            <v>0</v>
          </cell>
          <cell r="AL26">
            <v>0</v>
          </cell>
          <cell r="AM26">
            <v>2</v>
          </cell>
          <cell r="AN26" t="str">
            <v>never resealed</v>
          </cell>
          <cell r="BO26" t="str">
            <v>RS 034</v>
          </cell>
          <cell r="BP26">
            <v>9</v>
          </cell>
          <cell r="BQ26">
            <v>6</v>
          </cell>
          <cell r="BR26" t="str">
            <v>H</v>
          </cell>
          <cell r="BS26" t="str">
            <v>C</v>
          </cell>
          <cell r="BT26">
            <v>0</v>
          </cell>
          <cell r="BU26" t="str">
            <v>AC</v>
          </cell>
          <cell r="BV26">
            <v>0</v>
          </cell>
          <cell r="BW26">
            <v>2</v>
          </cell>
          <cell r="BX26">
            <v>40</v>
          </cell>
          <cell r="BY26" t="str">
            <v xml:space="preserve"> </v>
          </cell>
          <cell r="BZ26">
            <v>1</v>
          </cell>
          <cell r="CA26">
            <v>10</v>
          </cell>
          <cell r="CB26">
            <v>2.052</v>
          </cell>
          <cell r="CC26">
            <v>2.8482416422287393</v>
          </cell>
          <cell r="CD26">
            <v>40</v>
          </cell>
          <cell r="CE26">
            <v>18</v>
          </cell>
          <cell r="CF26">
            <v>3</v>
          </cell>
          <cell r="CG26">
            <v>37</v>
          </cell>
          <cell r="CH26">
            <v>15</v>
          </cell>
          <cell r="CI26">
            <v>2.2999999999999998</v>
          </cell>
          <cell r="CJ26">
            <v>7.6666666666666654E-3</v>
          </cell>
          <cell r="CK26">
            <v>3.0076666666666667</v>
          </cell>
          <cell r="CL26">
            <v>3</v>
          </cell>
          <cell r="CM26">
            <v>5.2818461538461543E-2</v>
          </cell>
          <cell r="CN26">
            <v>5.2818461538461543E-2</v>
          </cell>
          <cell r="CO26">
            <v>0</v>
          </cell>
          <cell r="CP26">
            <v>0</v>
          </cell>
          <cell r="CQ26">
            <v>2.9010601037672008</v>
          </cell>
          <cell r="CR26">
            <v>0</v>
          </cell>
          <cell r="CS26">
            <v>1</v>
          </cell>
          <cell r="CT26">
            <v>0</v>
          </cell>
          <cell r="CU26">
            <v>0</v>
          </cell>
          <cell r="CV26">
            <v>27</v>
          </cell>
          <cell r="CW26">
            <v>27</v>
          </cell>
          <cell r="CX26" t="str">
            <v xml:space="preserve"> </v>
          </cell>
          <cell r="CY26">
            <v>2</v>
          </cell>
          <cell r="CZ26">
            <v>2</v>
          </cell>
          <cell r="DA26">
            <v>1.5</v>
          </cell>
          <cell r="DB26">
            <v>400</v>
          </cell>
          <cell r="DC26">
            <v>188</v>
          </cell>
          <cell r="DD26">
            <v>104</v>
          </cell>
          <cell r="DE26">
            <v>30</v>
          </cell>
          <cell r="DF26">
            <v>46</v>
          </cell>
          <cell r="DG26">
            <v>8</v>
          </cell>
          <cell r="DH26">
            <v>4</v>
          </cell>
          <cell r="DI26">
            <v>20</v>
          </cell>
        </row>
        <row r="27">
          <cell r="A27" t="str">
            <v>RS 030</v>
          </cell>
          <cell r="B27">
            <v>30</v>
          </cell>
          <cell r="C27" t="str">
            <v>C</v>
          </cell>
          <cell r="D27" t="str">
            <v>T</v>
          </cell>
          <cell r="E27" t="str">
            <v>Nkutu - Masasa</v>
          </cell>
          <cell r="F27" t="str">
            <v>M01</v>
          </cell>
          <cell r="G27">
            <v>25</v>
          </cell>
          <cell r="H27">
            <v>2.8</v>
          </cell>
          <cell r="I27" t="str">
            <v>H</v>
          </cell>
          <cell r="J27" t="str">
            <v>DEDZA</v>
          </cell>
          <cell r="K27">
            <v>7</v>
          </cell>
          <cell r="L27">
            <v>0</v>
          </cell>
          <cell r="W27">
            <v>71</v>
          </cell>
          <cell r="X27" t="str">
            <v>AC</v>
          </cell>
          <cell r="Y27">
            <v>125</v>
          </cell>
          <cell r="Z27" t="str">
            <v>SB</v>
          </cell>
          <cell r="AA27">
            <v>150</v>
          </cell>
          <cell r="AB27" t="str">
            <v>GR</v>
          </cell>
          <cell r="AC27">
            <v>10</v>
          </cell>
          <cell r="AD27" t="str">
            <v>VR</v>
          </cell>
          <cell r="AE27">
            <v>0</v>
          </cell>
          <cell r="AF27">
            <v>0</v>
          </cell>
          <cell r="AG27">
            <v>0</v>
          </cell>
          <cell r="AH27">
            <v>0</v>
          </cell>
          <cell r="AI27">
            <v>0</v>
          </cell>
          <cell r="AJ27">
            <v>0</v>
          </cell>
          <cell r="AK27">
            <v>0</v>
          </cell>
          <cell r="AL27">
            <v>0</v>
          </cell>
          <cell r="AM27">
            <v>2</v>
          </cell>
          <cell r="AN27" t="str">
            <v>never resealed</v>
          </cell>
          <cell r="BO27" t="str">
            <v>RS 030</v>
          </cell>
          <cell r="BP27">
            <v>2.8</v>
          </cell>
          <cell r="BQ27">
            <v>6</v>
          </cell>
          <cell r="BR27" t="str">
            <v>H</v>
          </cell>
          <cell r="BS27" t="str">
            <v>C</v>
          </cell>
          <cell r="BT27">
            <v>0</v>
          </cell>
          <cell r="BU27" t="str">
            <v>AC</v>
          </cell>
          <cell r="BV27">
            <v>0</v>
          </cell>
          <cell r="BW27">
            <v>2</v>
          </cell>
          <cell r="BX27">
            <v>40</v>
          </cell>
          <cell r="BY27" t="str">
            <v xml:space="preserve"> </v>
          </cell>
          <cell r="BZ27">
            <v>1</v>
          </cell>
          <cell r="CA27">
            <v>10</v>
          </cell>
          <cell r="CB27">
            <v>2.052</v>
          </cell>
          <cell r="CC27">
            <v>3.8643706744868038</v>
          </cell>
          <cell r="CD27">
            <v>80</v>
          </cell>
          <cell r="CE27">
            <v>56</v>
          </cell>
          <cell r="CF27">
            <v>41</v>
          </cell>
          <cell r="CG27">
            <v>39</v>
          </cell>
          <cell r="CH27">
            <v>15</v>
          </cell>
          <cell r="CI27">
            <v>3.1</v>
          </cell>
          <cell r="CJ27">
            <v>1.0333333333333335E-2</v>
          </cell>
          <cell r="CK27">
            <v>10</v>
          </cell>
          <cell r="CL27">
            <v>41</v>
          </cell>
          <cell r="CM27">
            <v>0.37513358974358968</v>
          </cell>
          <cell r="CN27">
            <v>0.37513358974358968</v>
          </cell>
          <cell r="CO27">
            <v>0</v>
          </cell>
          <cell r="CP27">
            <v>0</v>
          </cell>
          <cell r="CQ27">
            <v>4.2395042642303933</v>
          </cell>
          <cell r="CR27">
            <v>0</v>
          </cell>
          <cell r="CS27">
            <v>1</v>
          </cell>
          <cell r="CT27">
            <v>0</v>
          </cell>
          <cell r="CU27">
            <v>0</v>
          </cell>
          <cell r="CV27">
            <v>27</v>
          </cell>
          <cell r="CW27">
            <v>27</v>
          </cell>
          <cell r="CX27" t="str">
            <v xml:space="preserve"> </v>
          </cell>
          <cell r="CY27">
            <v>2</v>
          </cell>
          <cell r="CZ27">
            <v>2</v>
          </cell>
          <cell r="DA27">
            <v>1.5</v>
          </cell>
          <cell r="DB27">
            <v>400</v>
          </cell>
          <cell r="DC27">
            <v>188</v>
          </cell>
          <cell r="DD27">
            <v>104</v>
          </cell>
          <cell r="DE27">
            <v>30</v>
          </cell>
          <cell r="DF27">
            <v>46</v>
          </cell>
          <cell r="DG27">
            <v>8</v>
          </cell>
          <cell r="DH27">
            <v>4</v>
          </cell>
          <cell r="DI27">
            <v>20</v>
          </cell>
        </row>
        <row r="28">
          <cell r="A28" t="str">
            <v>RS 015</v>
          </cell>
          <cell r="B28">
            <v>15</v>
          </cell>
          <cell r="C28" t="str">
            <v>C</v>
          </cell>
          <cell r="D28" t="str">
            <v>T</v>
          </cell>
          <cell r="E28" t="str">
            <v>Masasa - Kalitsilo</v>
          </cell>
          <cell r="F28" t="str">
            <v>M01</v>
          </cell>
          <cell r="G28">
            <v>26</v>
          </cell>
          <cell r="H28">
            <v>20.9</v>
          </cell>
          <cell r="I28" t="str">
            <v>R</v>
          </cell>
          <cell r="J28" t="str">
            <v>NTCHEU</v>
          </cell>
          <cell r="K28">
            <v>8</v>
          </cell>
          <cell r="L28">
            <v>0</v>
          </cell>
          <cell r="W28">
            <v>71</v>
          </cell>
          <cell r="X28" t="str">
            <v>DS</v>
          </cell>
          <cell r="Y28">
            <v>150</v>
          </cell>
          <cell r="Z28" t="str">
            <v>SB</v>
          </cell>
          <cell r="AA28">
            <v>125</v>
          </cell>
          <cell r="AB28" t="str">
            <v>GR</v>
          </cell>
          <cell r="AC28">
            <v>10</v>
          </cell>
          <cell r="AD28" t="str">
            <v>VR</v>
          </cell>
          <cell r="AE28">
            <v>0</v>
          </cell>
          <cell r="AF28">
            <v>0</v>
          </cell>
          <cell r="AG28">
            <v>0</v>
          </cell>
          <cell r="AH28">
            <v>0</v>
          </cell>
          <cell r="AI28">
            <v>0</v>
          </cell>
          <cell r="AJ28">
            <v>0</v>
          </cell>
          <cell r="AK28">
            <v>0</v>
          </cell>
          <cell r="AL28">
            <v>0</v>
          </cell>
          <cell r="AM28">
            <v>1</v>
          </cell>
          <cell r="AN28" t="str">
            <v>never resealed</v>
          </cell>
          <cell r="BO28" t="str">
            <v>RS 015</v>
          </cell>
          <cell r="BP28">
            <v>20.9</v>
          </cell>
          <cell r="BQ28">
            <v>6</v>
          </cell>
          <cell r="BR28" t="str">
            <v>R</v>
          </cell>
          <cell r="BS28" t="str">
            <v>C</v>
          </cell>
          <cell r="BT28">
            <v>0</v>
          </cell>
          <cell r="BU28" t="str">
            <v>DS</v>
          </cell>
          <cell r="BV28">
            <v>0</v>
          </cell>
          <cell r="BW28">
            <v>1</v>
          </cell>
          <cell r="BX28">
            <v>15</v>
          </cell>
          <cell r="BY28" t="str">
            <v xml:space="preserve"> </v>
          </cell>
          <cell r="BZ28">
            <v>1</v>
          </cell>
          <cell r="CA28">
            <v>10</v>
          </cell>
          <cell r="CB28">
            <v>1.427</v>
          </cell>
          <cell r="CC28">
            <v>3.3221936863895123</v>
          </cell>
          <cell r="CD28">
            <v>95</v>
          </cell>
          <cell r="CE28">
            <v>86</v>
          </cell>
          <cell r="CF28">
            <v>71</v>
          </cell>
          <cell r="CG28">
            <v>24</v>
          </cell>
          <cell r="CH28">
            <v>15</v>
          </cell>
          <cell r="CI28">
            <v>18.7</v>
          </cell>
          <cell r="CJ28">
            <v>6.2333333333333338E-2</v>
          </cell>
          <cell r="CK28">
            <v>10</v>
          </cell>
          <cell r="CL28">
            <v>71</v>
          </cell>
          <cell r="CM28">
            <v>0.59323512820512814</v>
          </cell>
          <cell r="CN28">
            <v>0.59323512820512814</v>
          </cell>
          <cell r="CO28">
            <v>0</v>
          </cell>
          <cell r="CP28">
            <v>0</v>
          </cell>
          <cell r="CQ28">
            <v>3.9154288145946405</v>
          </cell>
          <cell r="CR28">
            <v>5</v>
          </cell>
          <cell r="CS28">
            <v>1</v>
          </cell>
          <cell r="CT28">
            <v>0</v>
          </cell>
          <cell r="CU28">
            <v>0</v>
          </cell>
          <cell r="CV28">
            <v>27</v>
          </cell>
          <cell r="CW28">
            <v>27</v>
          </cell>
          <cell r="CX28" t="str">
            <v xml:space="preserve"> </v>
          </cell>
          <cell r="CY28">
            <v>2</v>
          </cell>
          <cell r="CZ28">
            <v>2</v>
          </cell>
          <cell r="DA28">
            <v>1.3</v>
          </cell>
          <cell r="DB28">
            <v>400</v>
          </cell>
          <cell r="DC28">
            <v>188</v>
          </cell>
          <cell r="DD28">
            <v>104</v>
          </cell>
          <cell r="DE28">
            <v>30</v>
          </cell>
          <cell r="DF28">
            <v>46</v>
          </cell>
          <cell r="DG28">
            <v>8</v>
          </cell>
          <cell r="DH28">
            <v>4</v>
          </cell>
          <cell r="DI28">
            <v>20</v>
          </cell>
        </row>
        <row r="29">
          <cell r="A29" t="str">
            <v>RS 027</v>
          </cell>
          <cell r="B29">
            <v>27</v>
          </cell>
          <cell r="C29" t="str">
            <v>C</v>
          </cell>
          <cell r="D29" t="str">
            <v>T</v>
          </cell>
          <cell r="E29" t="str">
            <v>Kalitsilo - Mlangeni</v>
          </cell>
          <cell r="F29" t="str">
            <v>M01</v>
          </cell>
          <cell r="G29">
            <v>27</v>
          </cell>
          <cell r="H29">
            <v>14.7</v>
          </cell>
          <cell r="I29" t="str">
            <v>R</v>
          </cell>
          <cell r="J29" t="str">
            <v>DEDZA</v>
          </cell>
          <cell r="K29">
            <v>8</v>
          </cell>
          <cell r="L29">
            <v>0</v>
          </cell>
          <cell r="W29">
            <v>71</v>
          </cell>
          <cell r="X29" t="str">
            <v>AC</v>
          </cell>
          <cell r="Y29">
            <v>125</v>
          </cell>
          <cell r="Z29" t="str">
            <v>SB</v>
          </cell>
          <cell r="AA29">
            <v>150</v>
          </cell>
          <cell r="AB29" t="str">
            <v>GR</v>
          </cell>
          <cell r="AC29">
            <v>10</v>
          </cell>
          <cell r="AD29" t="str">
            <v>VR</v>
          </cell>
          <cell r="AE29">
            <v>0</v>
          </cell>
          <cell r="AF29">
            <v>0</v>
          </cell>
          <cell r="AG29">
            <v>0</v>
          </cell>
          <cell r="AH29">
            <v>0</v>
          </cell>
          <cell r="AI29">
            <v>0</v>
          </cell>
          <cell r="AJ29">
            <v>0</v>
          </cell>
          <cell r="AK29">
            <v>0</v>
          </cell>
          <cell r="AL29">
            <v>0</v>
          </cell>
          <cell r="AM29">
            <v>2</v>
          </cell>
          <cell r="AN29" t="str">
            <v>never resealed</v>
          </cell>
          <cell r="BO29" t="str">
            <v>RS 027</v>
          </cell>
          <cell r="BP29">
            <v>14.7</v>
          </cell>
          <cell r="BQ29">
            <v>6</v>
          </cell>
          <cell r="BR29" t="str">
            <v>R</v>
          </cell>
          <cell r="BS29" t="str">
            <v>C</v>
          </cell>
          <cell r="BT29">
            <v>0</v>
          </cell>
          <cell r="BU29" t="str">
            <v>AC</v>
          </cell>
          <cell r="BV29">
            <v>0</v>
          </cell>
          <cell r="BW29">
            <v>2</v>
          </cell>
          <cell r="BX29">
            <v>40</v>
          </cell>
          <cell r="BY29" t="str">
            <v xml:space="preserve"> </v>
          </cell>
          <cell r="BZ29">
            <v>1</v>
          </cell>
          <cell r="CA29">
            <v>10</v>
          </cell>
          <cell r="CB29">
            <v>2.052</v>
          </cell>
          <cell r="CC29">
            <v>3.1289903053303436</v>
          </cell>
          <cell r="CD29">
            <v>50</v>
          </cell>
          <cell r="CE29">
            <v>15</v>
          </cell>
          <cell r="CF29">
            <v>0</v>
          </cell>
          <cell r="CG29">
            <v>50</v>
          </cell>
          <cell r="CH29">
            <v>15</v>
          </cell>
          <cell r="CI29">
            <v>17.5</v>
          </cell>
          <cell r="CJ29">
            <v>5.8333333333333341E-2</v>
          </cell>
          <cell r="CK29">
            <v>5.8333333333333341E-2</v>
          </cell>
          <cell r="CL29">
            <v>0</v>
          </cell>
          <cell r="CM29">
            <v>2.2615384615384617E-2</v>
          </cell>
          <cell r="CN29">
            <v>2.2615384615384617E-2</v>
          </cell>
          <cell r="CO29">
            <v>0</v>
          </cell>
          <cell r="CP29">
            <v>0</v>
          </cell>
          <cell r="CQ29">
            <v>3.1516056899457281</v>
          </cell>
          <cell r="CR29">
            <v>0</v>
          </cell>
          <cell r="CS29">
            <v>1</v>
          </cell>
          <cell r="CT29">
            <v>0</v>
          </cell>
          <cell r="CU29">
            <v>0</v>
          </cell>
          <cell r="CV29">
            <v>27</v>
          </cell>
          <cell r="CW29">
            <v>27</v>
          </cell>
          <cell r="CX29" t="str">
            <v xml:space="preserve"> </v>
          </cell>
          <cell r="CY29">
            <v>1.8</v>
          </cell>
          <cell r="CZ29">
            <v>1.5</v>
          </cell>
          <cell r="DA29">
            <v>1.5</v>
          </cell>
          <cell r="DB29">
            <v>400</v>
          </cell>
          <cell r="DC29">
            <v>188</v>
          </cell>
          <cell r="DD29">
            <v>104</v>
          </cell>
          <cell r="DE29">
            <v>30</v>
          </cell>
          <cell r="DF29">
            <v>46</v>
          </cell>
          <cell r="DG29">
            <v>8</v>
          </cell>
          <cell r="DH29">
            <v>4</v>
          </cell>
          <cell r="DI29">
            <v>20</v>
          </cell>
        </row>
        <row r="30">
          <cell r="A30" t="str">
            <v>RS 032</v>
          </cell>
          <cell r="B30">
            <v>32</v>
          </cell>
          <cell r="C30" t="str">
            <v>C</v>
          </cell>
          <cell r="D30" t="str">
            <v>T</v>
          </cell>
          <cell r="E30" t="str">
            <v>Mlangeni - Biriwiri</v>
          </cell>
          <cell r="F30" t="str">
            <v>M01</v>
          </cell>
          <cell r="G30">
            <v>28</v>
          </cell>
          <cell r="H30">
            <v>13.1</v>
          </cell>
          <cell r="I30" t="str">
            <v>R</v>
          </cell>
          <cell r="J30" t="str">
            <v>NTCHEU</v>
          </cell>
          <cell r="K30">
            <v>8</v>
          </cell>
          <cell r="L30">
            <v>0</v>
          </cell>
          <cell r="W30">
            <v>71</v>
          </cell>
          <cell r="X30" t="str">
            <v>AC</v>
          </cell>
          <cell r="Y30">
            <v>125</v>
          </cell>
          <cell r="Z30" t="str">
            <v>SB</v>
          </cell>
          <cell r="AA30">
            <v>150</v>
          </cell>
          <cell r="AB30" t="str">
            <v>GR</v>
          </cell>
          <cell r="AC30">
            <v>10</v>
          </cell>
          <cell r="AD30" t="str">
            <v>VR</v>
          </cell>
          <cell r="AE30">
            <v>0</v>
          </cell>
          <cell r="AF30">
            <v>0</v>
          </cell>
          <cell r="AG30">
            <v>0</v>
          </cell>
          <cell r="AH30">
            <v>0</v>
          </cell>
          <cell r="AI30">
            <v>0</v>
          </cell>
          <cell r="AJ30">
            <v>0</v>
          </cell>
          <cell r="AK30">
            <v>0</v>
          </cell>
          <cell r="AL30">
            <v>0</v>
          </cell>
          <cell r="AM30">
            <v>2</v>
          </cell>
          <cell r="AN30" t="str">
            <v>never resealed</v>
          </cell>
          <cell r="BO30" t="str">
            <v>RS 032</v>
          </cell>
          <cell r="BP30">
            <v>13.1</v>
          </cell>
          <cell r="BQ30">
            <v>6</v>
          </cell>
          <cell r="BR30" t="str">
            <v>R</v>
          </cell>
          <cell r="BS30" t="str">
            <v>C</v>
          </cell>
          <cell r="BT30">
            <v>0</v>
          </cell>
          <cell r="BU30" t="str">
            <v>AC</v>
          </cell>
          <cell r="BV30">
            <v>0</v>
          </cell>
          <cell r="BW30">
            <v>2</v>
          </cell>
          <cell r="BX30">
            <v>40</v>
          </cell>
          <cell r="BY30" t="str">
            <v xml:space="preserve"> </v>
          </cell>
          <cell r="BZ30">
            <v>1</v>
          </cell>
          <cell r="CA30">
            <v>10</v>
          </cell>
          <cell r="CB30">
            <v>2.052</v>
          </cell>
          <cell r="CC30">
            <v>2.21</v>
          </cell>
          <cell r="CD30">
            <v>50</v>
          </cell>
          <cell r="CE30">
            <v>30</v>
          </cell>
          <cell r="CF30">
            <v>15</v>
          </cell>
          <cell r="CG30">
            <v>35</v>
          </cell>
          <cell r="CH30">
            <v>15</v>
          </cell>
          <cell r="CI30">
            <v>0</v>
          </cell>
          <cell r="CJ30">
            <v>0</v>
          </cell>
          <cell r="CK30">
            <v>10</v>
          </cell>
          <cell r="CL30">
            <v>15</v>
          </cell>
          <cell r="CM30">
            <v>0.19923076923076921</v>
          </cell>
          <cell r="CN30">
            <v>0.19923076923076921</v>
          </cell>
          <cell r="CO30">
            <v>0</v>
          </cell>
          <cell r="CP30">
            <v>0</v>
          </cell>
          <cell r="CQ30">
            <v>2.4092307692307693</v>
          </cell>
          <cell r="CR30">
            <v>0</v>
          </cell>
          <cell r="CS30">
            <v>1</v>
          </cell>
          <cell r="CT30">
            <v>0</v>
          </cell>
          <cell r="CU30">
            <v>0</v>
          </cell>
          <cell r="CV30">
            <v>27</v>
          </cell>
          <cell r="CW30">
            <v>27</v>
          </cell>
          <cell r="CX30" t="str">
            <v xml:space="preserve"> </v>
          </cell>
          <cell r="CY30">
            <v>1.5</v>
          </cell>
          <cell r="CZ30">
            <v>1.5</v>
          </cell>
          <cell r="DA30">
            <v>1.5</v>
          </cell>
          <cell r="DB30">
            <v>400</v>
          </cell>
          <cell r="DC30">
            <v>188</v>
          </cell>
          <cell r="DD30">
            <v>104</v>
          </cell>
          <cell r="DE30">
            <v>30</v>
          </cell>
          <cell r="DF30">
            <v>46</v>
          </cell>
          <cell r="DG30">
            <v>8</v>
          </cell>
          <cell r="DH30">
            <v>4</v>
          </cell>
          <cell r="DI30">
            <v>20</v>
          </cell>
        </row>
        <row r="31">
          <cell r="A31" t="str">
            <v>RS 021</v>
          </cell>
          <cell r="B31">
            <v>21</v>
          </cell>
          <cell r="C31" t="str">
            <v>C</v>
          </cell>
          <cell r="D31" t="str">
            <v>T</v>
          </cell>
          <cell r="E31" t="str">
            <v>Biriwiri - Ntcheu</v>
          </cell>
          <cell r="F31" t="str">
            <v>M01</v>
          </cell>
          <cell r="G31">
            <v>29</v>
          </cell>
          <cell r="H31">
            <v>6.7</v>
          </cell>
          <cell r="I31" t="str">
            <v>F</v>
          </cell>
          <cell r="J31" t="str">
            <v>NTCHEU</v>
          </cell>
          <cell r="K31">
            <v>8</v>
          </cell>
          <cell r="L31">
            <v>0</v>
          </cell>
          <cell r="W31">
            <v>71</v>
          </cell>
          <cell r="X31" t="str">
            <v>DS</v>
          </cell>
          <cell r="Y31">
            <v>125</v>
          </cell>
          <cell r="Z31" t="str">
            <v>SB</v>
          </cell>
          <cell r="AA31">
            <v>150</v>
          </cell>
          <cell r="AB31" t="str">
            <v>GR</v>
          </cell>
          <cell r="AC31">
            <v>10</v>
          </cell>
          <cell r="AD31" t="str">
            <v>VR</v>
          </cell>
          <cell r="AE31">
            <v>0</v>
          </cell>
          <cell r="AF31">
            <v>0</v>
          </cell>
          <cell r="AG31">
            <v>0</v>
          </cell>
          <cell r="AH31">
            <v>0</v>
          </cell>
          <cell r="AI31">
            <v>0</v>
          </cell>
          <cell r="AJ31">
            <v>0</v>
          </cell>
          <cell r="AK31">
            <v>0</v>
          </cell>
          <cell r="AL31">
            <v>0</v>
          </cell>
          <cell r="AM31">
            <v>1</v>
          </cell>
          <cell r="AN31" t="str">
            <v>never resealed</v>
          </cell>
          <cell r="BO31" t="str">
            <v>RS 021</v>
          </cell>
          <cell r="BP31">
            <v>6.7</v>
          </cell>
          <cell r="BQ31">
            <v>6</v>
          </cell>
          <cell r="BR31" t="str">
            <v>F</v>
          </cell>
          <cell r="BS31" t="str">
            <v>C</v>
          </cell>
          <cell r="BT31">
            <v>0</v>
          </cell>
          <cell r="BU31" t="str">
            <v>DS</v>
          </cell>
          <cell r="BV31">
            <v>0</v>
          </cell>
          <cell r="BW31">
            <v>1</v>
          </cell>
          <cell r="BX31">
            <v>15</v>
          </cell>
          <cell r="BY31" t="str">
            <v xml:space="preserve"> </v>
          </cell>
          <cell r="BZ31">
            <v>1</v>
          </cell>
          <cell r="CA31">
            <v>10</v>
          </cell>
          <cell r="CB31">
            <v>1.677</v>
          </cell>
          <cell r="CC31">
            <v>2.4494146627565985</v>
          </cell>
          <cell r="CD31">
            <v>40</v>
          </cell>
          <cell r="CE31">
            <v>5</v>
          </cell>
          <cell r="CF31">
            <v>0</v>
          </cell>
          <cell r="CG31">
            <v>40</v>
          </cell>
          <cell r="CH31">
            <v>5</v>
          </cell>
          <cell r="CI31">
            <v>0.4</v>
          </cell>
          <cell r="CJ31">
            <v>1.3333333333333337E-3</v>
          </cell>
          <cell r="CK31">
            <v>1.3333333333333337E-3</v>
          </cell>
          <cell r="CL31">
            <v>0</v>
          </cell>
          <cell r="CM31">
            <v>5.1692307692307704E-4</v>
          </cell>
          <cell r="CN31">
            <v>5.1692307692307704E-4</v>
          </cell>
          <cell r="CO31">
            <v>0</v>
          </cell>
          <cell r="CP31">
            <v>0</v>
          </cell>
          <cell r="CQ31">
            <v>2.4499315858335216</v>
          </cell>
          <cell r="CR31">
            <v>0</v>
          </cell>
          <cell r="CS31">
            <v>1</v>
          </cell>
          <cell r="CT31">
            <v>0</v>
          </cell>
          <cell r="CU31">
            <v>0</v>
          </cell>
          <cell r="CV31">
            <v>27</v>
          </cell>
          <cell r="CW31">
            <v>27</v>
          </cell>
          <cell r="CX31" t="str">
            <v xml:space="preserve"> </v>
          </cell>
          <cell r="CY31">
            <v>2</v>
          </cell>
          <cell r="CZ31">
            <v>1.5</v>
          </cell>
          <cell r="DA31">
            <v>1.5</v>
          </cell>
          <cell r="DB31">
            <v>400</v>
          </cell>
          <cell r="DC31">
            <v>188</v>
          </cell>
          <cell r="DD31">
            <v>104</v>
          </cell>
          <cell r="DE31">
            <v>30</v>
          </cell>
          <cell r="DF31">
            <v>46</v>
          </cell>
          <cell r="DG31">
            <v>8</v>
          </cell>
          <cell r="DH31">
            <v>4</v>
          </cell>
          <cell r="DI31">
            <v>20</v>
          </cell>
        </row>
        <row r="32">
          <cell r="A32" t="str">
            <v>RS 019</v>
          </cell>
          <cell r="B32">
            <v>19</v>
          </cell>
          <cell r="C32" t="str">
            <v>C</v>
          </cell>
          <cell r="D32" t="str">
            <v>T</v>
          </cell>
          <cell r="E32" t="str">
            <v>Ntcheu - Bemvu</v>
          </cell>
          <cell r="F32" t="str">
            <v>M01</v>
          </cell>
          <cell r="G32">
            <v>30</v>
          </cell>
          <cell r="H32">
            <v>11.8</v>
          </cell>
          <cell r="I32" t="str">
            <v>F</v>
          </cell>
          <cell r="J32" t="str">
            <v>NTCHEU</v>
          </cell>
          <cell r="K32">
            <v>8</v>
          </cell>
          <cell r="L32">
            <v>0</v>
          </cell>
          <cell r="W32">
            <v>71</v>
          </cell>
          <cell r="X32" t="str">
            <v>DS</v>
          </cell>
          <cell r="Y32">
            <v>125</v>
          </cell>
          <cell r="Z32" t="str">
            <v>SB</v>
          </cell>
          <cell r="AA32">
            <v>150</v>
          </cell>
          <cell r="AB32" t="str">
            <v>CG</v>
          </cell>
          <cell r="AC32">
            <v>10</v>
          </cell>
          <cell r="AD32" t="str">
            <v>VR</v>
          </cell>
          <cell r="AE32">
            <v>89</v>
          </cell>
          <cell r="AF32" t="str">
            <v>AO</v>
          </cell>
          <cell r="AG32" t="str">
            <v>AC</v>
          </cell>
          <cell r="AH32">
            <v>50</v>
          </cell>
          <cell r="AI32">
            <v>0</v>
          </cell>
          <cell r="AJ32">
            <v>0</v>
          </cell>
          <cell r="AK32">
            <v>0</v>
          </cell>
          <cell r="AL32">
            <v>0</v>
          </cell>
          <cell r="AM32">
            <v>7</v>
          </cell>
          <cell r="AN32">
            <v>0</v>
          </cell>
          <cell r="BO32" t="str">
            <v>RS 019</v>
          </cell>
          <cell r="BP32">
            <v>11.8</v>
          </cell>
          <cell r="BQ32">
            <v>6</v>
          </cell>
          <cell r="BR32" t="str">
            <v>F</v>
          </cell>
          <cell r="BS32" t="str">
            <v>C</v>
          </cell>
          <cell r="BT32">
            <v>0</v>
          </cell>
          <cell r="BU32" t="str">
            <v>AC</v>
          </cell>
          <cell r="BV32" t="str">
            <v>DS</v>
          </cell>
          <cell r="BW32">
            <v>7</v>
          </cell>
          <cell r="BX32">
            <v>40</v>
          </cell>
          <cell r="BY32">
            <v>15</v>
          </cell>
          <cell r="BZ32">
            <v>1</v>
          </cell>
          <cell r="CA32">
            <v>10</v>
          </cell>
          <cell r="CB32">
            <v>2.2290000000000001</v>
          </cell>
          <cell r="CC32">
            <v>2.2000000000000002</v>
          </cell>
          <cell r="CD32">
            <v>70</v>
          </cell>
          <cell r="CE32">
            <v>4</v>
          </cell>
          <cell r="CF32">
            <v>0</v>
          </cell>
          <cell r="CG32">
            <v>70</v>
          </cell>
          <cell r="CH32">
            <v>4</v>
          </cell>
          <cell r="CI32">
            <v>0.5</v>
          </cell>
          <cell r="CJ32">
            <v>1.6666666666666668E-3</v>
          </cell>
          <cell r="CK32">
            <v>1.6666666666666668E-3</v>
          </cell>
          <cell r="CL32">
            <v>0</v>
          </cell>
          <cell r="CM32">
            <v>6.4615384615384621E-4</v>
          </cell>
          <cell r="CN32">
            <v>6.4615384615384621E-4</v>
          </cell>
          <cell r="CO32">
            <v>0</v>
          </cell>
          <cell r="CP32">
            <v>0</v>
          </cell>
          <cell r="CQ32">
            <v>2.2006461538461539</v>
          </cell>
          <cell r="CR32">
            <v>0</v>
          </cell>
          <cell r="CS32">
            <v>1</v>
          </cell>
          <cell r="CT32">
            <v>0</v>
          </cell>
          <cell r="CU32">
            <v>0</v>
          </cell>
          <cell r="CV32">
            <v>9</v>
          </cell>
          <cell r="CW32">
            <v>27</v>
          </cell>
          <cell r="CX32">
            <v>54</v>
          </cell>
          <cell r="CY32">
            <v>1.5</v>
          </cell>
          <cell r="CZ32">
            <v>1.3</v>
          </cell>
          <cell r="DA32">
            <v>1.3</v>
          </cell>
          <cell r="DB32">
            <v>440</v>
          </cell>
          <cell r="DC32">
            <v>207</v>
          </cell>
          <cell r="DD32">
            <v>115</v>
          </cell>
          <cell r="DE32">
            <v>33</v>
          </cell>
          <cell r="DF32">
            <v>51</v>
          </cell>
          <cell r="DG32">
            <v>9</v>
          </cell>
          <cell r="DH32">
            <v>5</v>
          </cell>
          <cell r="DI32">
            <v>22</v>
          </cell>
        </row>
        <row r="33">
          <cell r="A33" t="str">
            <v>RS 029</v>
          </cell>
          <cell r="B33">
            <v>29</v>
          </cell>
          <cell r="C33" t="str">
            <v>C</v>
          </cell>
          <cell r="D33" t="str">
            <v>T</v>
          </cell>
          <cell r="E33" t="str">
            <v>Bemvu - Njereza</v>
          </cell>
          <cell r="F33" t="str">
            <v>M01</v>
          </cell>
          <cell r="G33">
            <v>31</v>
          </cell>
          <cell r="H33">
            <v>8.8000000000000007</v>
          </cell>
          <cell r="I33" t="str">
            <v>R</v>
          </cell>
          <cell r="J33" t="str">
            <v>NTCHEU</v>
          </cell>
          <cell r="K33">
            <v>8</v>
          </cell>
          <cell r="L33">
            <v>0</v>
          </cell>
          <cell r="W33">
            <v>71</v>
          </cell>
          <cell r="X33" t="str">
            <v>AC</v>
          </cell>
          <cell r="Y33">
            <v>125</v>
          </cell>
          <cell r="Z33" t="str">
            <v>SB</v>
          </cell>
          <cell r="AA33">
            <v>150</v>
          </cell>
          <cell r="AB33" t="str">
            <v>GR</v>
          </cell>
          <cell r="AC33">
            <v>10</v>
          </cell>
          <cell r="AD33" t="str">
            <v>VR</v>
          </cell>
          <cell r="AE33">
            <v>89</v>
          </cell>
          <cell r="AF33" t="str">
            <v>AO</v>
          </cell>
          <cell r="AG33" t="str">
            <v>AC</v>
          </cell>
          <cell r="AH33">
            <v>50</v>
          </cell>
          <cell r="AI33">
            <v>0</v>
          </cell>
          <cell r="AJ33">
            <v>0</v>
          </cell>
          <cell r="AK33">
            <v>0</v>
          </cell>
          <cell r="AL33">
            <v>0</v>
          </cell>
          <cell r="AM33">
            <v>6</v>
          </cell>
          <cell r="AN33">
            <v>0</v>
          </cell>
          <cell r="BO33" t="str">
            <v>RS 029</v>
          </cell>
          <cell r="BP33">
            <v>8.8000000000000007</v>
          </cell>
          <cell r="BQ33">
            <v>6</v>
          </cell>
          <cell r="BR33" t="str">
            <v>R</v>
          </cell>
          <cell r="BS33" t="str">
            <v>C</v>
          </cell>
          <cell r="BT33">
            <v>0</v>
          </cell>
          <cell r="BU33" t="str">
            <v>AC</v>
          </cell>
          <cell r="BV33" t="str">
            <v>AC</v>
          </cell>
          <cell r="BW33">
            <v>6</v>
          </cell>
          <cell r="BX33">
            <v>40</v>
          </cell>
          <cell r="BY33">
            <v>40</v>
          </cell>
          <cell r="BZ33">
            <v>1</v>
          </cell>
          <cell r="CA33">
            <v>10</v>
          </cell>
          <cell r="CB33">
            <v>2.6040000000000001</v>
          </cell>
          <cell r="CC33">
            <v>2.3115847507331377</v>
          </cell>
          <cell r="CD33">
            <v>1</v>
          </cell>
          <cell r="CE33">
            <v>0</v>
          </cell>
          <cell r="CF33">
            <v>0</v>
          </cell>
          <cell r="CG33">
            <v>1</v>
          </cell>
          <cell r="CH33">
            <v>0</v>
          </cell>
          <cell r="CI33">
            <v>0</v>
          </cell>
          <cell r="CJ33">
            <v>0</v>
          </cell>
          <cell r="CK33">
            <v>0</v>
          </cell>
          <cell r="CL33">
            <v>0</v>
          </cell>
          <cell r="CM33">
            <v>0</v>
          </cell>
          <cell r="CN33">
            <v>0</v>
          </cell>
          <cell r="CO33">
            <v>0</v>
          </cell>
          <cell r="CP33">
            <v>0</v>
          </cell>
          <cell r="CQ33">
            <v>2.3115847507331377</v>
          </cell>
          <cell r="CR33">
            <v>0</v>
          </cell>
          <cell r="CS33">
            <v>1</v>
          </cell>
          <cell r="CT33">
            <v>0</v>
          </cell>
          <cell r="CU33">
            <v>0</v>
          </cell>
          <cell r="CV33">
            <v>9</v>
          </cell>
          <cell r="CW33">
            <v>27</v>
          </cell>
          <cell r="CX33">
            <v>54</v>
          </cell>
          <cell r="CY33">
            <v>1.1000000000000001</v>
          </cell>
          <cell r="CZ33">
            <v>1.2</v>
          </cell>
          <cell r="DA33">
            <v>1.1000000000000001</v>
          </cell>
          <cell r="DB33">
            <v>440</v>
          </cell>
          <cell r="DC33">
            <v>207</v>
          </cell>
          <cell r="DD33">
            <v>115</v>
          </cell>
          <cell r="DE33">
            <v>33</v>
          </cell>
          <cell r="DF33">
            <v>51</v>
          </cell>
          <cell r="DG33">
            <v>9</v>
          </cell>
          <cell r="DH33">
            <v>5</v>
          </cell>
          <cell r="DI33">
            <v>22</v>
          </cell>
        </row>
        <row r="34">
          <cell r="A34" t="str">
            <v>RS 016</v>
          </cell>
          <cell r="B34">
            <v>16</v>
          </cell>
          <cell r="C34" t="str">
            <v>C</v>
          </cell>
          <cell r="D34" t="str">
            <v>T</v>
          </cell>
          <cell r="E34" t="str">
            <v>Njereza - Balaka Market</v>
          </cell>
          <cell r="F34" t="str">
            <v>M01</v>
          </cell>
          <cell r="G34">
            <v>32</v>
          </cell>
          <cell r="H34">
            <v>12</v>
          </cell>
          <cell r="I34" t="str">
            <v>R</v>
          </cell>
          <cell r="J34" t="str">
            <v>NTCHEU</v>
          </cell>
          <cell r="K34">
            <v>8</v>
          </cell>
          <cell r="L34">
            <v>0</v>
          </cell>
          <cell r="W34">
            <v>71</v>
          </cell>
          <cell r="X34" t="str">
            <v>DS</v>
          </cell>
          <cell r="Y34">
            <v>150</v>
          </cell>
          <cell r="Z34" t="str">
            <v>SB</v>
          </cell>
          <cell r="AA34">
            <v>125</v>
          </cell>
          <cell r="AB34" t="str">
            <v>GR</v>
          </cell>
          <cell r="AC34">
            <v>10</v>
          </cell>
          <cell r="AD34" t="str">
            <v>VR</v>
          </cell>
          <cell r="AE34">
            <v>89</v>
          </cell>
          <cell r="AF34" t="str">
            <v>AO</v>
          </cell>
          <cell r="AG34" t="str">
            <v>AC</v>
          </cell>
          <cell r="AH34">
            <v>50</v>
          </cell>
          <cell r="AI34">
            <v>0</v>
          </cell>
          <cell r="AJ34">
            <v>0</v>
          </cell>
          <cell r="AK34">
            <v>0</v>
          </cell>
          <cell r="AL34">
            <v>0</v>
          </cell>
          <cell r="AM34">
            <v>7</v>
          </cell>
          <cell r="AN34">
            <v>0</v>
          </cell>
          <cell r="BO34" t="str">
            <v>RS 016</v>
          </cell>
          <cell r="BP34">
            <v>12</v>
          </cell>
          <cell r="BQ34">
            <v>6</v>
          </cell>
          <cell r="BR34" t="str">
            <v>R</v>
          </cell>
          <cell r="BS34" t="str">
            <v>S</v>
          </cell>
          <cell r="BT34">
            <v>0</v>
          </cell>
          <cell r="BU34" t="str">
            <v>AC</v>
          </cell>
          <cell r="BV34" t="str">
            <v>DS</v>
          </cell>
          <cell r="BW34">
            <v>7</v>
          </cell>
          <cell r="BX34">
            <v>40</v>
          </cell>
          <cell r="BY34">
            <v>15</v>
          </cell>
          <cell r="BZ34">
            <v>1</v>
          </cell>
          <cell r="CA34">
            <v>10</v>
          </cell>
          <cell r="CB34">
            <v>1.9790000000000001</v>
          </cell>
          <cell r="CC34">
            <v>1.8983616102372702</v>
          </cell>
          <cell r="CD34">
            <v>0</v>
          </cell>
          <cell r="CE34">
            <v>0</v>
          </cell>
          <cell r="CF34">
            <v>0</v>
          </cell>
          <cell r="CG34">
            <v>0</v>
          </cell>
          <cell r="CH34">
            <v>0</v>
          </cell>
          <cell r="CI34">
            <v>0</v>
          </cell>
          <cell r="CJ34">
            <v>0</v>
          </cell>
          <cell r="CK34">
            <v>0</v>
          </cell>
          <cell r="CL34">
            <v>0</v>
          </cell>
          <cell r="CM34">
            <v>0</v>
          </cell>
          <cell r="CN34">
            <v>0</v>
          </cell>
          <cell r="CO34">
            <v>0</v>
          </cell>
          <cell r="CP34">
            <v>0</v>
          </cell>
          <cell r="CQ34">
            <v>1.8983616102372702</v>
          </cell>
          <cell r="CR34">
            <v>0</v>
          </cell>
          <cell r="CS34">
            <v>1</v>
          </cell>
          <cell r="CT34">
            <v>0</v>
          </cell>
          <cell r="CU34">
            <v>0</v>
          </cell>
          <cell r="CV34">
            <v>9</v>
          </cell>
          <cell r="CW34">
            <v>27</v>
          </cell>
          <cell r="CX34">
            <v>54</v>
          </cell>
          <cell r="CY34">
            <v>1.1000000000000001</v>
          </cell>
          <cell r="CZ34">
            <v>1.2</v>
          </cell>
          <cell r="DA34">
            <v>1.1000000000000001</v>
          </cell>
          <cell r="DB34">
            <v>400</v>
          </cell>
          <cell r="DC34">
            <v>188</v>
          </cell>
          <cell r="DD34">
            <v>104</v>
          </cell>
          <cell r="DE34">
            <v>30</v>
          </cell>
          <cell r="DF34">
            <v>46</v>
          </cell>
          <cell r="DG34">
            <v>8</v>
          </cell>
          <cell r="DH34">
            <v>4</v>
          </cell>
          <cell r="DI34">
            <v>20</v>
          </cell>
        </row>
        <row r="35">
          <cell r="A35" t="str">
            <v>RS 036</v>
          </cell>
          <cell r="B35">
            <v>36</v>
          </cell>
          <cell r="C35" t="str">
            <v>C</v>
          </cell>
          <cell r="D35" t="str">
            <v>T</v>
          </cell>
          <cell r="E35" t="str">
            <v>Balaka Market - Chingeni</v>
          </cell>
          <cell r="F35" t="str">
            <v>M01</v>
          </cell>
          <cell r="G35">
            <v>33</v>
          </cell>
          <cell r="H35">
            <v>4.7</v>
          </cell>
          <cell r="I35" t="str">
            <v>F</v>
          </cell>
          <cell r="J35" t="str">
            <v>MACHINGA</v>
          </cell>
          <cell r="K35">
            <v>8</v>
          </cell>
          <cell r="L35">
            <v>0</v>
          </cell>
          <cell r="W35">
            <v>71</v>
          </cell>
          <cell r="X35" t="str">
            <v>AC</v>
          </cell>
          <cell r="Y35">
            <v>125</v>
          </cell>
          <cell r="Z35" t="str">
            <v>SB</v>
          </cell>
          <cell r="AA35">
            <v>150</v>
          </cell>
          <cell r="AB35" t="str">
            <v>GR</v>
          </cell>
          <cell r="AC35">
            <v>10</v>
          </cell>
          <cell r="AD35" t="str">
            <v>VR</v>
          </cell>
          <cell r="AE35">
            <v>89</v>
          </cell>
          <cell r="AF35" t="str">
            <v>AO</v>
          </cell>
          <cell r="AG35" t="str">
            <v>AC</v>
          </cell>
          <cell r="AH35">
            <v>50</v>
          </cell>
          <cell r="AI35">
            <v>0</v>
          </cell>
          <cell r="AJ35">
            <v>0</v>
          </cell>
          <cell r="AK35">
            <v>0</v>
          </cell>
          <cell r="AL35">
            <v>0</v>
          </cell>
          <cell r="AM35">
            <v>6</v>
          </cell>
          <cell r="AN35">
            <v>0</v>
          </cell>
          <cell r="BO35" t="str">
            <v>RS 036</v>
          </cell>
          <cell r="BP35">
            <v>4.7</v>
          </cell>
          <cell r="BQ35">
            <v>6</v>
          </cell>
          <cell r="BR35" t="str">
            <v>F</v>
          </cell>
          <cell r="BS35" t="str">
            <v>C</v>
          </cell>
          <cell r="BT35">
            <v>0</v>
          </cell>
          <cell r="BU35" t="str">
            <v>AC</v>
          </cell>
          <cell r="BV35" t="str">
            <v>AC</v>
          </cell>
          <cell r="BW35">
            <v>6</v>
          </cell>
          <cell r="BX35">
            <v>40</v>
          </cell>
          <cell r="BY35">
            <v>40</v>
          </cell>
          <cell r="BZ35">
            <v>1</v>
          </cell>
          <cell r="CA35">
            <v>10</v>
          </cell>
          <cell r="CB35">
            <v>2.6040000000000001</v>
          </cell>
          <cell r="CC35">
            <v>3.05</v>
          </cell>
          <cell r="CD35">
            <v>60</v>
          </cell>
          <cell r="CE35">
            <v>25</v>
          </cell>
          <cell r="CF35">
            <v>10</v>
          </cell>
          <cell r="CG35">
            <v>50</v>
          </cell>
          <cell r="CH35">
            <v>15</v>
          </cell>
          <cell r="CI35">
            <v>0.3</v>
          </cell>
          <cell r="CJ35">
            <v>1E-3</v>
          </cell>
          <cell r="CK35">
            <v>10</v>
          </cell>
          <cell r="CL35">
            <v>10</v>
          </cell>
          <cell r="CM35">
            <v>0.16653153846153848</v>
          </cell>
          <cell r="CN35">
            <v>0.16653153846153848</v>
          </cell>
          <cell r="CO35">
            <v>0</v>
          </cell>
          <cell r="CP35">
            <v>0</v>
          </cell>
          <cell r="CQ35">
            <v>3.2165315384615383</v>
          </cell>
          <cell r="CR35">
            <v>10</v>
          </cell>
          <cell r="CS35">
            <v>1</v>
          </cell>
          <cell r="CT35">
            <v>0</v>
          </cell>
          <cell r="CU35">
            <v>0</v>
          </cell>
          <cell r="CV35">
            <v>9</v>
          </cell>
          <cell r="CW35">
            <v>27</v>
          </cell>
          <cell r="CX35">
            <v>54</v>
          </cell>
          <cell r="CY35">
            <v>2</v>
          </cell>
          <cell r="CZ35">
            <v>1.5</v>
          </cell>
          <cell r="DA35">
            <v>1.3</v>
          </cell>
          <cell r="DB35">
            <v>500</v>
          </cell>
          <cell r="DC35">
            <v>235</v>
          </cell>
          <cell r="DD35">
            <v>130</v>
          </cell>
          <cell r="DE35">
            <v>38</v>
          </cell>
          <cell r="DF35">
            <v>58</v>
          </cell>
          <cell r="DG35">
            <v>10</v>
          </cell>
          <cell r="DH35">
            <v>5</v>
          </cell>
          <cell r="DI35">
            <v>25</v>
          </cell>
        </row>
        <row r="36">
          <cell r="A36" t="str">
            <v>RS 018</v>
          </cell>
          <cell r="B36">
            <v>18</v>
          </cell>
          <cell r="C36" t="str">
            <v>C</v>
          </cell>
          <cell r="D36" t="str">
            <v>T</v>
          </cell>
          <cell r="E36" t="str">
            <v>Chingeni - Senzani</v>
          </cell>
          <cell r="F36" t="str">
            <v>M01</v>
          </cell>
          <cell r="G36">
            <v>34</v>
          </cell>
          <cell r="H36">
            <v>14.8</v>
          </cell>
          <cell r="I36" t="str">
            <v>R</v>
          </cell>
          <cell r="J36" t="str">
            <v>NTCHEU</v>
          </cell>
          <cell r="K36">
            <v>8</v>
          </cell>
          <cell r="L36">
            <v>0</v>
          </cell>
          <cell r="W36">
            <v>89</v>
          </cell>
          <cell r="X36" t="str">
            <v>DS</v>
          </cell>
          <cell r="Y36">
            <v>200</v>
          </cell>
          <cell r="Z36" t="str">
            <v>SB</v>
          </cell>
          <cell r="AA36">
            <v>200</v>
          </cell>
          <cell r="AB36" t="str">
            <v>GR</v>
          </cell>
          <cell r="AC36">
            <v>16</v>
          </cell>
          <cell r="AD36" t="str">
            <v>VR</v>
          </cell>
          <cell r="AE36">
            <v>0</v>
          </cell>
          <cell r="AF36">
            <v>0</v>
          </cell>
          <cell r="AG36">
            <v>0</v>
          </cell>
          <cell r="AH36">
            <v>0</v>
          </cell>
          <cell r="AI36">
            <v>0</v>
          </cell>
          <cell r="AJ36">
            <v>0</v>
          </cell>
          <cell r="AK36">
            <v>0</v>
          </cell>
          <cell r="AL36">
            <v>0</v>
          </cell>
          <cell r="AM36">
            <v>1</v>
          </cell>
          <cell r="AN36" t="str">
            <v>never resealed</v>
          </cell>
          <cell r="BO36" t="str">
            <v>RS 018</v>
          </cell>
          <cell r="BP36">
            <v>14.8</v>
          </cell>
          <cell r="BQ36">
            <v>6</v>
          </cell>
          <cell r="BR36" t="str">
            <v>R</v>
          </cell>
          <cell r="BS36" t="str">
            <v>C</v>
          </cell>
          <cell r="BT36">
            <v>0</v>
          </cell>
          <cell r="BU36" t="str">
            <v>DS</v>
          </cell>
          <cell r="BV36">
            <v>0</v>
          </cell>
          <cell r="BW36">
            <v>1</v>
          </cell>
          <cell r="BX36">
            <v>15</v>
          </cell>
          <cell r="BY36" t="str">
            <v xml:space="preserve"> </v>
          </cell>
          <cell r="BZ36">
            <v>1</v>
          </cell>
          <cell r="CA36">
            <v>16</v>
          </cell>
          <cell r="CB36">
            <v>2.177</v>
          </cell>
          <cell r="CC36">
            <v>2.9262475073313787</v>
          </cell>
          <cell r="CD36">
            <v>0</v>
          </cell>
          <cell r="CE36">
            <v>0</v>
          </cell>
          <cell r="CF36">
            <v>0</v>
          </cell>
          <cell r="CG36">
            <v>0</v>
          </cell>
          <cell r="CH36">
            <v>0</v>
          </cell>
          <cell r="CI36">
            <v>0.9</v>
          </cell>
          <cell r="CJ36">
            <v>3.0000000000000005E-3</v>
          </cell>
          <cell r="CK36">
            <v>3.0000000000000005E-3</v>
          </cell>
          <cell r="CL36">
            <v>0</v>
          </cell>
          <cell r="CM36">
            <v>1.1630769230769234E-3</v>
          </cell>
          <cell r="CN36">
            <v>1.1630769230769234E-3</v>
          </cell>
          <cell r="CO36">
            <v>0</v>
          </cell>
          <cell r="CP36">
            <v>0</v>
          </cell>
          <cell r="CQ36">
            <v>2.9274105842544556</v>
          </cell>
          <cell r="CR36">
            <v>0</v>
          </cell>
          <cell r="CS36">
            <v>1</v>
          </cell>
          <cell r="CT36">
            <v>0</v>
          </cell>
          <cell r="CU36">
            <v>0</v>
          </cell>
          <cell r="CV36">
            <v>9</v>
          </cell>
          <cell r="CW36">
            <v>9</v>
          </cell>
          <cell r="CX36" t="str">
            <v xml:space="preserve"> </v>
          </cell>
          <cell r="CY36">
            <v>1.5</v>
          </cell>
          <cell r="CZ36">
            <v>1.3</v>
          </cell>
          <cell r="DA36">
            <v>1.1000000000000001</v>
          </cell>
          <cell r="DB36">
            <v>400</v>
          </cell>
          <cell r="DC36">
            <v>188</v>
          </cell>
          <cell r="DD36">
            <v>104</v>
          </cell>
          <cell r="DE36">
            <v>30</v>
          </cell>
          <cell r="DF36">
            <v>46</v>
          </cell>
          <cell r="DG36">
            <v>8</v>
          </cell>
          <cell r="DH36">
            <v>4</v>
          </cell>
          <cell r="DI36">
            <v>20</v>
          </cell>
        </row>
        <row r="37">
          <cell r="A37" t="str">
            <v>RS 105</v>
          </cell>
          <cell r="B37">
            <v>105</v>
          </cell>
          <cell r="C37" t="str">
            <v>S</v>
          </cell>
          <cell r="D37" t="str">
            <v>T</v>
          </cell>
          <cell r="E37" t="str">
            <v>Senzani - Lipaluwa River</v>
          </cell>
          <cell r="F37" t="str">
            <v>M01</v>
          </cell>
          <cell r="G37">
            <v>35</v>
          </cell>
          <cell r="H37">
            <v>26.8</v>
          </cell>
          <cell r="I37" t="str">
            <v>F</v>
          </cell>
          <cell r="J37" t="str">
            <v>NTCHEU</v>
          </cell>
          <cell r="K37">
            <v>8</v>
          </cell>
          <cell r="L37">
            <v>0</v>
          </cell>
          <cell r="W37">
            <v>89</v>
          </cell>
          <cell r="X37" t="str">
            <v>DS</v>
          </cell>
          <cell r="Y37">
            <v>200</v>
          </cell>
          <cell r="Z37" t="str">
            <v>SB</v>
          </cell>
          <cell r="AA37">
            <v>150</v>
          </cell>
          <cell r="AB37" t="str">
            <v>GR</v>
          </cell>
          <cell r="AC37">
            <v>5</v>
          </cell>
          <cell r="AD37" t="str">
            <v>VR</v>
          </cell>
          <cell r="AE37">
            <v>0</v>
          </cell>
          <cell r="AF37">
            <v>0</v>
          </cell>
          <cell r="AG37">
            <v>0</v>
          </cell>
          <cell r="AH37">
            <v>0</v>
          </cell>
          <cell r="AI37">
            <v>0</v>
          </cell>
          <cell r="AJ37">
            <v>0</v>
          </cell>
          <cell r="AK37">
            <v>0</v>
          </cell>
          <cell r="AL37">
            <v>0</v>
          </cell>
          <cell r="AM37">
            <v>1</v>
          </cell>
          <cell r="AN37" t="str">
            <v>never resealed</v>
          </cell>
          <cell r="BO37" t="str">
            <v>RS 105</v>
          </cell>
          <cell r="BP37">
            <v>26.8</v>
          </cell>
          <cell r="BQ37">
            <v>6</v>
          </cell>
          <cell r="BR37" t="str">
            <v>F</v>
          </cell>
          <cell r="BS37" t="str">
            <v>C</v>
          </cell>
          <cell r="BT37">
            <v>0</v>
          </cell>
          <cell r="BU37" t="str">
            <v>DS</v>
          </cell>
          <cell r="BV37">
            <v>0</v>
          </cell>
          <cell r="BW37">
            <v>1</v>
          </cell>
          <cell r="BX37">
            <v>15</v>
          </cell>
          <cell r="BY37" t="str">
            <v xml:space="preserve"> </v>
          </cell>
          <cell r="BZ37">
            <v>1</v>
          </cell>
          <cell r="CA37">
            <v>5</v>
          </cell>
          <cell r="CB37">
            <v>1.677</v>
          </cell>
          <cell r="CC37">
            <v>3.31</v>
          </cell>
          <cell r="CD37">
            <v>2.5</v>
          </cell>
          <cell r="CE37">
            <v>0</v>
          </cell>
          <cell r="CF37">
            <v>0</v>
          </cell>
          <cell r="CG37">
            <v>2.5</v>
          </cell>
          <cell r="CH37">
            <v>0</v>
          </cell>
          <cell r="CI37">
            <v>1.1000000000000001</v>
          </cell>
          <cell r="CJ37">
            <v>3.666666666666667E-3</v>
          </cell>
          <cell r="CK37">
            <v>3.666666666666667E-3</v>
          </cell>
          <cell r="CL37">
            <v>0</v>
          </cell>
          <cell r="CM37">
            <v>1.4215384615384617E-3</v>
          </cell>
          <cell r="CN37">
            <v>1.4215384615384617E-3</v>
          </cell>
          <cell r="CO37">
            <v>0</v>
          </cell>
          <cell r="CP37">
            <v>0</v>
          </cell>
          <cell r="CQ37">
            <v>3.3114215384615386</v>
          </cell>
          <cell r="CR37">
            <v>0</v>
          </cell>
          <cell r="CS37">
            <v>1</v>
          </cell>
          <cell r="CT37">
            <v>0</v>
          </cell>
          <cell r="CU37">
            <v>0</v>
          </cell>
          <cell r="CV37">
            <v>9</v>
          </cell>
          <cell r="CW37">
            <v>9</v>
          </cell>
          <cell r="CX37" t="str">
            <v xml:space="preserve"> </v>
          </cell>
          <cell r="CY37">
            <v>1.1000000000000001</v>
          </cell>
          <cell r="CZ37">
            <v>1.2</v>
          </cell>
          <cell r="DA37">
            <v>1.1000000000000001</v>
          </cell>
          <cell r="DB37">
            <v>400</v>
          </cell>
          <cell r="DC37">
            <v>188</v>
          </cell>
          <cell r="DD37">
            <v>104</v>
          </cell>
          <cell r="DE37">
            <v>30</v>
          </cell>
          <cell r="DF37">
            <v>46</v>
          </cell>
          <cell r="DG37">
            <v>8</v>
          </cell>
          <cell r="DH37">
            <v>4</v>
          </cell>
          <cell r="DI37">
            <v>20</v>
          </cell>
        </row>
        <row r="38">
          <cell r="A38" t="str">
            <v>RS 094</v>
          </cell>
          <cell r="B38">
            <v>94</v>
          </cell>
          <cell r="C38" t="str">
            <v>S</v>
          </cell>
          <cell r="D38" t="str">
            <v>T</v>
          </cell>
          <cell r="E38" t="str">
            <v>Matope - Chigaru</v>
          </cell>
          <cell r="F38" t="str">
            <v>M01</v>
          </cell>
          <cell r="G38">
            <v>36</v>
          </cell>
          <cell r="H38">
            <v>4.9000000000000004</v>
          </cell>
          <cell r="I38" t="str">
            <v>R</v>
          </cell>
          <cell r="J38" t="str">
            <v>BLANTYRE</v>
          </cell>
          <cell r="K38">
            <v>9</v>
          </cell>
          <cell r="L38">
            <v>0</v>
          </cell>
          <cell r="W38">
            <v>89</v>
          </cell>
          <cell r="X38" t="str">
            <v>DS</v>
          </cell>
          <cell r="Y38">
            <v>200</v>
          </cell>
          <cell r="Z38" t="str">
            <v>SB</v>
          </cell>
          <cell r="AA38">
            <v>150</v>
          </cell>
          <cell r="AB38" t="str">
            <v>GR</v>
          </cell>
          <cell r="AC38">
            <v>5</v>
          </cell>
          <cell r="AD38" t="str">
            <v>VR</v>
          </cell>
          <cell r="AE38">
            <v>0</v>
          </cell>
          <cell r="AF38">
            <v>0</v>
          </cell>
          <cell r="AG38">
            <v>0</v>
          </cell>
          <cell r="AH38">
            <v>0</v>
          </cell>
          <cell r="AI38">
            <v>0</v>
          </cell>
          <cell r="AJ38">
            <v>0</v>
          </cell>
          <cell r="AK38">
            <v>0</v>
          </cell>
          <cell r="AL38">
            <v>0</v>
          </cell>
          <cell r="AM38">
            <v>1</v>
          </cell>
          <cell r="AN38" t="str">
            <v>never resealed</v>
          </cell>
          <cell r="BO38" t="str">
            <v>RS 094</v>
          </cell>
          <cell r="BP38">
            <v>4.9000000000000004</v>
          </cell>
          <cell r="BQ38">
            <v>6</v>
          </cell>
          <cell r="BR38" t="str">
            <v>R</v>
          </cell>
          <cell r="BS38" t="str">
            <v>C</v>
          </cell>
          <cell r="BT38">
            <v>0</v>
          </cell>
          <cell r="BU38" t="str">
            <v>DS</v>
          </cell>
          <cell r="BV38">
            <v>0</v>
          </cell>
          <cell r="BW38">
            <v>1</v>
          </cell>
          <cell r="BX38">
            <v>15</v>
          </cell>
          <cell r="BY38" t="str">
            <v xml:space="preserve"> </v>
          </cell>
          <cell r="BZ38">
            <v>1</v>
          </cell>
          <cell r="CA38">
            <v>5</v>
          </cell>
          <cell r="CB38">
            <v>1.677</v>
          </cell>
          <cell r="CC38">
            <v>2.868769501466276</v>
          </cell>
          <cell r="CD38">
            <v>0</v>
          </cell>
          <cell r="CE38">
            <v>0</v>
          </cell>
          <cell r="CF38">
            <v>0</v>
          </cell>
          <cell r="CG38">
            <v>0</v>
          </cell>
          <cell r="CH38">
            <v>0</v>
          </cell>
          <cell r="CI38">
            <v>0.21</v>
          </cell>
          <cell r="CJ38">
            <v>7.000000000000001E-4</v>
          </cell>
          <cell r="CK38">
            <v>7.000000000000001E-4</v>
          </cell>
          <cell r="CL38">
            <v>0</v>
          </cell>
          <cell r="CM38">
            <v>2.7138461538461539E-4</v>
          </cell>
          <cell r="CN38">
            <v>2.7138461538461539E-4</v>
          </cell>
          <cell r="CO38">
            <v>0</v>
          </cell>
          <cell r="CP38">
            <v>0</v>
          </cell>
          <cell r="CQ38">
            <v>2.8690408860816605</v>
          </cell>
          <cell r="CR38">
            <v>0</v>
          </cell>
          <cell r="CS38">
            <v>1</v>
          </cell>
          <cell r="CT38">
            <v>0</v>
          </cell>
          <cell r="CU38">
            <v>0</v>
          </cell>
          <cell r="CV38">
            <v>9</v>
          </cell>
          <cell r="CW38">
            <v>9</v>
          </cell>
          <cell r="CX38" t="str">
            <v xml:space="preserve"> </v>
          </cell>
          <cell r="CY38">
            <v>1.1000000000000001</v>
          </cell>
          <cell r="CZ38">
            <v>1.2</v>
          </cell>
          <cell r="DA38">
            <v>1</v>
          </cell>
          <cell r="DB38">
            <v>400</v>
          </cell>
          <cell r="DC38">
            <v>188</v>
          </cell>
          <cell r="DD38">
            <v>104</v>
          </cell>
          <cell r="DE38">
            <v>30</v>
          </cell>
          <cell r="DF38">
            <v>46</v>
          </cell>
          <cell r="DG38">
            <v>8</v>
          </cell>
          <cell r="DH38">
            <v>4</v>
          </cell>
          <cell r="DI38">
            <v>20</v>
          </cell>
        </row>
        <row r="39">
          <cell r="A39" t="str">
            <v>RS 090</v>
          </cell>
          <cell r="B39">
            <v>90</v>
          </cell>
          <cell r="C39" t="str">
            <v>S</v>
          </cell>
          <cell r="D39" t="str">
            <v>T</v>
          </cell>
          <cell r="E39" t="str">
            <v>Chigaru - Ndeka</v>
          </cell>
          <cell r="F39" t="str">
            <v>M01</v>
          </cell>
          <cell r="G39">
            <v>37</v>
          </cell>
          <cell r="H39">
            <v>12</v>
          </cell>
          <cell r="I39" t="str">
            <v>R</v>
          </cell>
          <cell r="J39" t="str">
            <v>BLANTYRE</v>
          </cell>
          <cell r="K39">
            <v>9</v>
          </cell>
          <cell r="L39">
            <v>0</v>
          </cell>
          <cell r="W39">
            <v>87</v>
          </cell>
          <cell r="X39" t="str">
            <v>DS</v>
          </cell>
          <cell r="Y39">
            <v>200</v>
          </cell>
          <cell r="Z39" t="str">
            <v>GR</v>
          </cell>
          <cell r="AA39">
            <v>200</v>
          </cell>
          <cell r="AB39" t="str">
            <v>GR</v>
          </cell>
          <cell r="AC39">
            <v>16</v>
          </cell>
          <cell r="AD39" t="str">
            <v>VR</v>
          </cell>
          <cell r="AE39">
            <v>0</v>
          </cell>
          <cell r="AF39">
            <v>0</v>
          </cell>
          <cell r="AG39">
            <v>0</v>
          </cell>
          <cell r="AH39">
            <v>0</v>
          </cell>
          <cell r="AI39">
            <v>0</v>
          </cell>
          <cell r="AJ39">
            <v>0</v>
          </cell>
          <cell r="AK39">
            <v>0</v>
          </cell>
          <cell r="AL39">
            <v>0</v>
          </cell>
          <cell r="AM39">
            <v>1</v>
          </cell>
          <cell r="AN39" t="str">
            <v>never resealed</v>
          </cell>
          <cell r="BO39" t="str">
            <v>RS 090</v>
          </cell>
          <cell r="BP39">
            <v>12</v>
          </cell>
          <cell r="BQ39">
            <v>6.7</v>
          </cell>
          <cell r="BR39" t="str">
            <v>R</v>
          </cell>
          <cell r="BS39" t="str">
            <v>C</v>
          </cell>
          <cell r="BT39">
            <v>0</v>
          </cell>
          <cell r="BU39" t="str">
            <v>DS</v>
          </cell>
          <cell r="BV39">
            <v>0</v>
          </cell>
          <cell r="BW39">
            <v>1</v>
          </cell>
          <cell r="BX39">
            <v>15</v>
          </cell>
          <cell r="BY39" t="str">
            <v xml:space="preserve"> </v>
          </cell>
          <cell r="BZ39">
            <v>1</v>
          </cell>
          <cell r="CA39">
            <v>16</v>
          </cell>
          <cell r="CB39">
            <v>1.9770000000000001</v>
          </cell>
          <cell r="CC39">
            <v>3.1605583577712615</v>
          </cell>
          <cell r="CD39">
            <v>40</v>
          </cell>
          <cell r="CE39">
            <v>12</v>
          </cell>
          <cell r="CF39">
            <v>0</v>
          </cell>
          <cell r="CG39">
            <v>40</v>
          </cell>
          <cell r="CH39">
            <v>12</v>
          </cell>
          <cell r="CI39">
            <v>0.67</v>
          </cell>
          <cell r="CJ39">
            <v>2E-3</v>
          </cell>
          <cell r="CK39">
            <v>2E-3</v>
          </cell>
          <cell r="CL39">
            <v>0</v>
          </cell>
          <cell r="CM39">
            <v>7.7538461538461539E-4</v>
          </cell>
          <cell r="CN39">
            <v>7.7538461538461539E-4</v>
          </cell>
          <cell r="CO39">
            <v>0</v>
          </cell>
          <cell r="CP39">
            <v>0</v>
          </cell>
          <cell r="CQ39">
            <v>3.1613337423866459</v>
          </cell>
          <cell r="CR39">
            <v>10</v>
          </cell>
          <cell r="CS39">
            <v>1</v>
          </cell>
          <cell r="CT39">
            <v>0</v>
          </cell>
          <cell r="CU39">
            <v>0</v>
          </cell>
          <cell r="CV39">
            <v>11</v>
          </cell>
          <cell r="CW39">
            <v>11</v>
          </cell>
          <cell r="CX39" t="str">
            <v xml:space="preserve"> </v>
          </cell>
          <cell r="CY39">
            <v>2</v>
          </cell>
          <cell r="CZ39">
            <v>2</v>
          </cell>
          <cell r="DA39">
            <v>1</v>
          </cell>
          <cell r="DB39">
            <v>400</v>
          </cell>
          <cell r="DC39">
            <v>188</v>
          </cell>
          <cell r="DD39">
            <v>104</v>
          </cell>
          <cell r="DE39">
            <v>30</v>
          </cell>
          <cell r="DF39">
            <v>46</v>
          </cell>
          <cell r="DG39">
            <v>8</v>
          </cell>
          <cell r="DH39">
            <v>4</v>
          </cell>
          <cell r="DI39">
            <v>20</v>
          </cell>
        </row>
        <row r="40">
          <cell r="A40" t="str">
            <v>RS 098</v>
          </cell>
          <cell r="B40">
            <v>98</v>
          </cell>
          <cell r="C40" t="str">
            <v>S</v>
          </cell>
          <cell r="D40" t="str">
            <v>T</v>
          </cell>
          <cell r="E40" t="str">
            <v>Ndeka - Lirangwe</v>
          </cell>
          <cell r="F40" t="str">
            <v>M01</v>
          </cell>
          <cell r="G40">
            <v>38</v>
          </cell>
          <cell r="H40">
            <v>10.9</v>
          </cell>
          <cell r="I40" t="str">
            <v>R</v>
          </cell>
          <cell r="J40" t="str">
            <v>BLANTYRE</v>
          </cell>
          <cell r="K40">
            <v>9</v>
          </cell>
          <cell r="L40">
            <v>0</v>
          </cell>
          <cell r="W40">
            <v>89</v>
          </cell>
          <cell r="X40" t="str">
            <v>DS</v>
          </cell>
          <cell r="Y40">
            <v>200</v>
          </cell>
          <cell r="Z40" t="str">
            <v>SB</v>
          </cell>
          <cell r="AA40">
            <v>150</v>
          </cell>
          <cell r="AB40" t="str">
            <v>GR</v>
          </cell>
          <cell r="AC40">
            <v>5</v>
          </cell>
          <cell r="AD40" t="str">
            <v>VR</v>
          </cell>
          <cell r="AE40">
            <v>0</v>
          </cell>
          <cell r="AF40">
            <v>0</v>
          </cell>
          <cell r="AG40">
            <v>0</v>
          </cell>
          <cell r="AH40">
            <v>0</v>
          </cell>
          <cell r="AI40">
            <v>0</v>
          </cell>
          <cell r="AJ40">
            <v>0</v>
          </cell>
          <cell r="AK40">
            <v>0</v>
          </cell>
          <cell r="AL40">
            <v>0</v>
          </cell>
          <cell r="AM40">
            <v>1</v>
          </cell>
          <cell r="AN40" t="str">
            <v>never resealed</v>
          </cell>
          <cell r="BO40" t="str">
            <v>RS 098</v>
          </cell>
          <cell r="BP40">
            <v>10.9</v>
          </cell>
          <cell r="BQ40">
            <v>6.7</v>
          </cell>
          <cell r="BR40" t="str">
            <v>R</v>
          </cell>
          <cell r="BS40" t="str">
            <v>C</v>
          </cell>
          <cell r="BT40">
            <v>0</v>
          </cell>
          <cell r="BU40" t="str">
            <v>DS</v>
          </cell>
          <cell r="BV40">
            <v>0</v>
          </cell>
          <cell r="BW40">
            <v>1</v>
          </cell>
          <cell r="BX40">
            <v>15</v>
          </cell>
          <cell r="BY40" t="str">
            <v xml:space="preserve"> </v>
          </cell>
          <cell r="BZ40">
            <v>1</v>
          </cell>
          <cell r="CA40">
            <v>5</v>
          </cell>
          <cell r="CB40">
            <v>1.677</v>
          </cell>
          <cell r="CC40">
            <v>3.1</v>
          </cell>
          <cell r="CD40">
            <v>20</v>
          </cell>
          <cell r="CE40">
            <v>0</v>
          </cell>
          <cell r="CF40">
            <v>0</v>
          </cell>
          <cell r="CG40">
            <v>20</v>
          </cell>
          <cell r="CH40">
            <v>0</v>
          </cell>
          <cell r="CI40">
            <v>0.2</v>
          </cell>
          <cell r="CJ40">
            <v>5.9701492537313444E-4</v>
          </cell>
          <cell r="CK40">
            <v>5.9701492537313444E-4</v>
          </cell>
          <cell r="CL40">
            <v>0</v>
          </cell>
          <cell r="CM40">
            <v>2.3145809414466134E-4</v>
          </cell>
          <cell r="CN40">
            <v>2.3145809414466134E-4</v>
          </cell>
          <cell r="CO40">
            <v>0</v>
          </cell>
          <cell r="CP40">
            <v>0</v>
          </cell>
          <cell r="CQ40">
            <v>3.1002314580941448</v>
          </cell>
          <cell r="CR40">
            <v>15</v>
          </cell>
          <cell r="CS40">
            <v>1</v>
          </cell>
          <cell r="CT40">
            <v>0</v>
          </cell>
          <cell r="CU40">
            <v>0</v>
          </cell>
          <cell r="CV40">
            <v>9</v>
          </cell>
          <cell r="CW40">
            <v>9</v>
          </cell>
          <cell r="CX40" t="str">
            <v xml:space="preserve"> </v>
          </cell>
          <cell r="CY40">
            <v>2</v>
          </cell>
          <cell r="CZ40">
            <v>2</v>
          </cell>
          <cell r="DA40">
            <v>1.3</v>
          </cell>
          <cell r="DB40">
            <v>600</v>
          </cell>
          <cell r="DC40">
            <v>282</v>
          </cell>
          <cell r="DD40">
            <v>156</v>
          </cell>
          <cell r="DE40">
            <v>45</v>
          </cell>
          <cell r="DF40">
            <v>69</v>
          </cell>
          <cell r="DG40">
            <v>12</v>
          </cell>
          <cell r="DH40">
            <v>6</v>
          </cell>
          <cell r="DI40">
            <v>30</v>
          </cell>
        </row>
        <row r="41">
          <cell r="A41" t="str">
            <v>RS 096</v>
          </cell>
          <cell r="B41">
            <v>96</v>
          </cell>
          <cell r="C41" t="str">
            <v>S</v>
          </cell>
          <cell r="D41" t="str">
            <v>T</v>
          </cell>
          <cell r="E41" t="str">
            <v>Lirangwe - Chirimba</v>
          </cell>
          <cell r="F41" t="str">
            <v>M01</v>
          </cell>
          <cell r="G41">
            <v>39</v>
          </cell>
          <cell r="H41">
            <v>22.5</v>
          </cell>
          <cell r="I41" t="str">
            <v>R</v>
          </cell>
          <cell r="J41" t="str">
            <v>BLANTYRE</v>
          </cell>
          <cell r="K41">
            <v>9</v>
          </cell>
          <cell r="L41">
            <v>0</v>
          </cell>
          <cell r="W41">
            <v>89</v>
          </cell>
          <cell r="X41" t="str">
            <v>DS</v>
          </cell>
          <cell r="Y41">
            <v>200</v>
          </cell>
          <cell r="Z41" t="str">
            <v>SB</v>
          </cell>
          <cell r="AA41">
            <v>150</v>
          </cell>
          <cell r="AB41" t="str">
            <v>GR</v>
          </cell>
          <cell r="AC41">
            <v>5</v>
          </cell>
          <cell r="AD41" t="str">
            <v>VR</v>
          </cell>
          <cell r="AE41">
            <v>0</v>
          </cell>
          <cell r="AF41">
            <v>0</v>
          </cell>
          <cell r="AG41">
            <v>0</v>
          </cell>
          <cell r="AH41">
            <v>0</v>
          </cell>
          <cell r="AI41">
            <v>0</v>
          </cell>
          <cell r="AJ41">
            <v>0</v>
          </cell>
          <cell r="AK41">
            <v>0</v>
          </cell>
          <cell r="AL41">
            <v>0</v>
          </cell>
          <cell r="AM41">
            <v>1</v>
          </cell>
          <cell r="AN41" t="str">
            <v>never resealed</v>
          </cell>
          <cell r="BO41" t="str">
            <v>RS 096</v>
          </cell>
          <cell r="BP41">
            <v>22.5</v>
          </cell>
          <cell r="BQ41">
            <v>6.7</v>
          </cell>
          <cell r="BR41" t="str">
            <v>R</v>
          </cell>
          <cell r="BS41" t="str">
            <v>C</v>
          </cell>
          <cell r="BT41">
            <v>0</v>
          </cell>
          <cell r="BU41" t="str">
            <v>DS</v>
          </cell>
          <cell r="BV41">
            <v>0</v>
          </cell>
          <cell r="BW41">
            <v>1</v>
          </cell>
          <cell r="BX41">
            <v>15</v>
          </cell>
          <cell r="BY41" t="str">
            <v xml:space="preserve"> </v>
          </cell>
          <cell r="BZ41">
            <v>1</v>
          </cell>
          <cell r="CA41">
            <v>5</v>
          </cell>
          <cell r="CB41">
            <v>1.677</v>
          </cell>
          <cell r="CC41">
            <v>3.0335055718475079</v>
          </cell>
          <cell r="CD41">
            <v>60</v>
          </cell>
          <cell r="CE41">
            <v>12</v>
          </cell>
          <cell r="CF41">
            <v>0</v>
          </cell>
          <cell r="CG41">
            <v>60</v>
          </cell>
          <cell r="CH41">
            <v>12</v>
          </cell>
          <cell r="CI41">
            <v>2</v>
          </cell>
          <cell r="CJ41">
            <v>5.9701492537313433E-3</v>
          </cell>
          <cell r="CK41">
            <v>5.9701492537313433E-3</v>
          </cell>
          <cell r="CL41">
            <v>0</v>
          </cell>
          <cell r="CM41">
            <v>2.3145809414466131E-3</v>
          </cell>
          <cell r="CN41">
            <v>2.3145809414466131E-3</v>
          </cell>
          <cell r="CO41">
            <v>0</v>
          </cell>
          <cell r="CP41">
            <v>0</v>
          </cell>
          <cell r="CQ41">
            <v>3.0358201527889546</v>
          </cell>
          <cell r="CR41">
            <v>5</v>
          </cell>
          <cell r="CS41">
            <v>1</v>
          </cell>
          <cell r="CT41">
            <v>0</v>
          </cell>
          <cell r="CU41">
            <v>0</v>
          </cell>
          <cell r="CV41">
            <v>9</v>
          </cell>
          <cell r="CW41">
            <v>9</v>
          </cell>
          <cell r="CX41" t="str">
            <v xml:space="preserve"> </v>
          </cell>
          <cell r="CY41">
            <v>1.5</v>
          </cell>
          <cell r="CZ41">
            <v>2</v>
          </cell>
          <cell r="DA41">
            <v>2</v>
          </cell>
          <cell r="DB41">
            <v>600</v>
          </cell>
          <cell r="DC41">
            <v>282</v>
          </cell>
          <cell r="DD41">
            <v>156</v>
          </cell>
          <cell r="DE41">
            <v>45</v>
          </cell>
          <cell r="DF41">
            <v>69</v>
          </cell>
          <cell r="DG41">
            <v>12</v>
          </cell>
          <cell r="DH41">
            <v>6</v>
          </cell>
          <cell r="DI41">
            <v>30</v>
          </cell>
        </row>
        <row r="42">
          <cell r="A42" t="str">
            <v>RS 095</v>
          </cell>
          <cell r="B42">
            <v>95</v>
          </cell>
          <cell r="C42" t="str">
            <v>S</v>
          </cell>
          <cell r="D42" t="str">
            <v>T</v>
          </cell>
          <cell r="E42" t="str">
            <v>Chirimba - Blantyre</v>
          </cell>
          <cell r="F42" t="str">
            <v>M01</v>
          </cell>
          <cell r="G42">
            <v>40</v>
          </cell>
          <cell r="H42">
            <v>10.4</v>
          </cell>
          <cell r="I42" t="str">
            <v>R</v>
          </cell>
          <cell r="J42" t="str">
            <v>BLANTYRE</v>
          </cell>
          <cell r="K42">
            <v>9</v>
          </cell>
          <cell r="L42">
            <v>0</v>
          </cell>
          <cell r="W42">
            <v>89</v>
          </cell>
          <cell r="X42" t="str">
            <v>DS</v>
          </cell>
          <cell r="Y42">
            <v>200</v>
          </cell>
          <cell r="Z42" t="str">
            <v>SB</v>
          </cell>
          <cell r="AA42">
            <v>150</v>
          </cell>
          <cell r="AB42" t="str">
            <v>GR</v>
          </cell>
          <cell r="AC42">
            <v>5</v>
          </cell>
          <cell r="AD42" t="str">
            <v>VR</v>
          </cell>
          <cell r="AE42">
            <v>0</v>
          </cell>
          <cell r="AF42">
            <v>0</v>
          </cell>
          <cell r="AG42">
            <v>0</v>
          </cell>
          <cell r="AH42">
            <v>0</v>
          </cell>
          <cell r="AI42">
            <v>0</v>
          </cell>
          <cell r="AJ42">
            <v>0</v>
          </cell>
          <cell r="AK42">
            <v>0</v>
          </cell>
          <cell r="AL42">
            <v>0</v>
          </cell>
          <cell r="AM42">
            <v>1</v>
          </cell>
          <cell r="AN42" t="str">
            <v>never resealed</v>
          </cell>
          <cell r="BO42" t="str">
            <v>RS 095</v>
          </cell>
          <cell r="BP42">
            <v>10.4</v>
          </cell>
          <cell r="BQ42">
            <v>6.7</v>
          </cell>
          <cell r="BR42" t="str">
            <v>R</v>
          </cell>
          <cell r="BS42" t="str">
            <v>C</v>
          </cell>
          <cell r="BT42">
            <v>0</v>
          </cell>
          <cell r="BU42" t="str">
            <v>DS</v>
          </cell>
          <cell r="BV42">
            <v>0</v>
          </cell>
          <cell r="BW42">
            <v>1</v>
          </cell>
          <cell r="BX42">
            <v>15</v>
          </cell>
          <cell r="BY42" t="str">
            <v xml:space="preserve"> </v>
          </cell>
          <cell r="BZ42">
            <v>1</v>
          </cell>
          <cell r="CA42">
            <v>5</v>
          </cell>
          <cell r="CB42">
            <v>1.677</v>
          </cell>
          <cell r="CC42">
            <v>4.1772032258064513</v>
          </cell>
          <cell r="CD42">
            <v>75</v>
          </cell>
          <cell r="CE42">
            <v>38</v>
          </cell>
          <cell r="CF42">
            <v>23</v>
          </cell>
          <cell r="CG42">
            <v>52</v>
          </cell>
          <cell r="CH42">
            <v>15</v>
          </cell>
          <cell r="CI42">
            <v>2.5</v>
          </cell>
          <cell r="CJ42">
            <v>7.462686567164179E-3</v>
          </cell>
          <cell r="CK42">
            <v>10</v>
          </cell>
          <cell r="CL42">
            <v>23</v>
          </cell>
          <cell r="CM42">
            <v>0.25497244546498277</v>
          </cell>
          <cell r="CN42">
            <v>0.25497244546498277</v>
          </cell>
          <cell r="CO42">
            <v>0</v>
          </cell>
          <cell r="CP42">
            <v>0</v>
          </cell>
          <cell r="CQ42">
            <v>4.432175671271434</v>
          </cell>
          <cell r="CR42">
            <v>5</v>
          </cell>
          <cell r="CS42">
            <v>1</v>
          </cell>
          <cell r="CT42">
            <v>0</v>
          </cell>
          <cell r="CU42">
            <v>0</v>
          </cell>
          <cell r="CV42">
            <v>9</v>
          </cell>
          <cell r="CW42">
            <v>9</v>
          </cell>
          <cell r="CX42" t="str">
            <v xml:space="preserve"> </v>
          </cell>
          <cell r="CY42">
            <v>3</v>
          </cell>
          <cell r="CZ42">
            <v>2.8</v>
          </cell>
          <cell r="DA42">
            <v>1.1000000000000001</v>
          </cell>
          <cell r="DB42">
            <v>900</v>
          </cell>
          <cell r="DC42">
            <v>423</v>
          </cell>
          <cell r="DD42">
            <v>234</v>
          </cell>
          <cell r="DE42">
            <v>68</v>
          </cell>
          <cell r="DF42">
            <v>104</v>
          </cell>
          <cell r="DG42">
            <v>18</v>
          </cell>
          <cell r="DH42">
            <v>9</v>
          </cell>
          <cell r="DI42">
            <v>45</v>
          </cell>
        </row>
        <row r="43">
          <cell r="A43" t="str">
            <v>RS 092</v>
          </cell>
          <cell r="B43">
            <v>92</v>
          </cell>
          <cell r="C43" t="str">
            <v>S</v>
          </cell>
          <cell r="D43" t="str">
            <v>T</v>
          </cell>
          <cell r="E43" t="str">
            <v>Blantyre - Bango</v>
          </cell>
          <cell r="F43" t="str">
            <v>M01</v>
          </cell>
          <cell r="G43">
            <v>41</v>
          </cell>
          <cell r="H43">
            <v>7.4</v>
          </cell>
          <cell r="I43" t="str">
            <v>R</v>
          </cell>
          <cell r="J43" t="str">
            <v>BLANTYRE</v>
          </cell>
          <cell r="K43">
            <v>10</v>
          </cell>
          <cell r="L43">
            <v>0</v>
          </cell>
          <cell r="W43">
            <v>80</v>
          </cell>
          <cell r="X43" t="str">
            <v>DS</v>
          </cell>
          <cell r="Y43">
            <v>150</v>
          </cell>
          <cell r="Z43" t="str">
            <v>SB</v>
          </cell>
          <cell r="AA43">
            <v>150</v>
          </cell>
          <cell r="AB43" t="str">
            <v>GR</v>
          </cell>
          <cell r="AC43">
            <v>12</v>
          </cell>
          <cell r="AD43" t="str">
            <v>VR</v>
          </cell>
          <cell r="AE43">
            <v>0</v>
          </cell>
          <cell r="AF43">
            <v>0</v>
          </cell>
          <cell r="AG43">
            <v>0</v>
          </cell>
          <cell r="AH43">
            <v>0</v>
          </cell>
          <cell r="AI43">
            <v>0</v>
          </cell>
          <cell r="AJ43">
            <v>0</v>
          </cell>
          <cell r="AK43">
            <v>0</v>
          </cell>
          <cell r="AL43">
            <v>0</v>
          </cell>
          <cell r="AM43">
            <v>1</v>
          </cell>
          <cell r="AN43" t="str">
            <v>never resealed</v>
          </cell>
          <cell r="BO43" t="str">
            <v>RS 092</v>
          </cell>
          <cell r="BP43">
            <v>7.4</v>
          </cell>
          <cell r="BQ43">
            <v>6</v>
          </cell>
          <cell r="BR43" t="str">
            <v>R</v>
          </cell>
          <cell r="BS43" t="str">
            <v>C</v>
          </cell>
          <cell r="BT43">
            <v>0</v>
          </cell>
          <cell r="BU43" t="str">
            <v>DS</v>
          </cell>
          <cell r="BV43">
            <v>0</v>
          </cell>
          <cell r="BW43">
            <v>1</v>
          </cell>
          <cell r="BX43">
            <v>15</v>
          </cell>
          <cell r="BY43" t="str">
            <v xml:space="preserve"> </v>
          </cell>
          <cell r="BZ43">
            <v>1</v>
          </cell>
          <cell r="CA43">
            <v>12</v>
          </cell>
          <cell r="CB43">
            <v>1.677</v>
          </cell>
          <cell r="CC43">
            <v>5.69</v>
          </cell>
          <cell r="CD43">
            <v>85</v>
          </cell>
          <cell r="CE43">
            <v>51</v>
          </cell>
          <cell r="CF43">
            <v>36</v>
          </cell>
          <cell r="CG43">
            <v>49</v>
          </cell>
          <cell r="CH43">
            <v>15</v>
          </cell>
          <cell r="CI43">
            <v>600</v>
          </cell>
          <cell r="CJ43">
            <v>2</v>
          </cell>
          <cell r="CK43">
            <v>10</v>
          </cell>
          <cell r="CL43">
            <v>36</v>
          </cell>
          <cell r="CM43">
            <v>1.0935384615384616</v>
          </cell>
          <cell r="CN43">
            <v>1.0935384615384616</v>
          </cell>
          <cell r="CO43">
            <v>0</v>
          </cell>
          <cell r="CP43">
            <v>0</v>
          </cell>
          <cell r="CQ43">
            <v>6.7835384615384617</v>
          </cell>
          <cell r="CR43">
            <v>0</v>
          </cell>
          <cell r="CS43">
            <v>1</v>
          </cell>
          <cell r="CT43">
            <v>0</v>
          </cell>
          <cell r="CU43">
            <v>0</v>
          </cell>
          <cell r="CV43">
            <v>18</v>
          </cell>
          <cell r="CW43">
            <v>18</v>
          </cell>
          <cell r="CX43" t="str">
            <v xml:space="preserve"> </v>
          </cell>
          <cell r="CY43">
            <v>3</v>
          </cell>
          <cell r="CZ43">
            <v>3</v>
          </cell>
          <cell r="DA43">
            <v>2</v>
          </cell>
          <cell r="DB43">
            <v>500</v>
          </cell>
          <cell r="DC43">
            <v>235</v>
          </cell>
          <cell r="DD43">
            <v>130</v>
          </cell>
          <cell r="DE43">
            <v>38</v>
          </cell>
          <cell r="DF43">
            <v>58</v>
          </cell>
          <cell r="DG43">
            <v>10</v>
          </cell>
          <cell r="DH43">
            <v>5</v>
          </cell>
          <cell r="DI43">
            <v>25</v>
          </cell>
        </row>
        <row r="44">
          <cell r="A44" t="str">
            <v>RS 104</v>
          </cell>
          <cell r="B44">
            <v>104</v>
          </cell>
          <cell r="C44" t="str">
            <v>S</v>
          </cell>
          <cell r="D44" t="str">
            <v>T</v>
          </cell>
          <cell r="E44" t="str">
            <v>Bango - Mirale Police Post</v>
          </cell>
          <cell r="F44" t="str">
            <v>M01</v>
          </cell>
          <cell r="G44">
            <v>42</v>
          </cell>
          <cell r="H44">
            <v>11.4</v>
          </cell>
          <cell r="I44" t="str">
            <v>R</v>
          </cell>
          <cell r="J44" t="str">
            <v>BLANTYRE</v>
          </cell>
          <cell r="K44">
            <v>9</v>
          </cell>
          <cell r="L44">
            <v>0</v>
          </cell>
          <cell r="W44">
            <v>80</v>
          </cell>
          <cell r="X44" t="str">
            <v>DS</v>
          </cell>
          <cell r="Y44">
            <v>150</v>
          </cell>
          <cell r="Z44" t="str">
            <v>SB</v>
          </cell>
          <cell r="AA44">
            <v>100</v>
          </cell>
          <cell r="AB44" t="str">
            <v>GR</v>
          </cell>
          <cell r="AC44">
            <v>12</v>
          </cell>
          <cell r="AD44" t="str">
            <v>VR</v>
          </cell>
          <cell r="AE44">
            <v>0</v>
          </cell>
          <cell r="AF44">
            <v>0</v>
          </cell>
          <cell r="AG44">
            <v>0</v>
          </cell>
          <cell r="AH44">
            <v>0</v>
          </cell>
          <cell r="AI44">
            <v>0</v>
          </cell>
          <cell r="AJ44">
            <v>0</v>
          </cell>
          <cell r="AK44">
            <v>0</v>
          </cell>
          <cell r="AL44">
            <v>0</v>
          </cell>
          <cell r="AM44">
            <v>1</v>
          </cell>
          <cell r="AN44" t="str">
            <v>never resealed</v>
          </cell>
          <cell r="BO44" t="str">
            <v>RS 104</v>
          </cell>
          <cell r="BP44">
            <v>11.4</v>
          </cell>
          <cell r="BQ44">
            <v>6</v>
          </cell>
          <cell r="BR44" t="str">
            <v>R</v>
          </cell>
          <cell r="BS44" t="str">
            <v>C</v>
          </cell>
          <cell r="BT44">
            <v>0</v>
          </cell>
          <cell r="BU44" t="str">
            <v>DS</v>
          </cell>
          <cell r="BV44">
            <v>0</v>
          </cell>
          <cell r="BW44">
            <v>1</v>
          </cell>
          <cell r="BX44">
            <v>15</v>
          </cell>
          <cell r="BY44" t="str">
            <v xml:space="preserve"> </v>
          </cell>
          <cell r="BZ44">
            <v>1</v>
          </cell>
          <cell r="CA44">
            <v>12</v>
          </cell>
          <cell r="CB44">
            <v>1.177</v>
          </cell>
          <cell r="CC44">
            <v>5.1370979472140768</v>
          </cell>
          <cell r="CD44">
            <v>90</v>
          </cell>
          <cell r="CE44">
            <v>55</v>
          </cell>
          <cell r="CF44">
            <v>40</v>
          </cell>
          <cell r="CG44">
            <v>50</v>
          </cell>
          <cell r="CH44">
            <v>15</v>
          </cell>
          <cell r="CI44">
            <v>25</v>
          </cell>
          <cell r="CJ44">
            <v>8.3333333333333343E-2</v>
          </cell>
          <cell r="CK44">
            <v>10</v>
          </cell>
          <cell r="CL44">
            <v>40</v>
          </cell>
          <cell r="CM44">
            <v>0.39608974358974353</v>
          </cell>
          <cell r="CN44">
            <v>0.39608974358974353</v>
          </cell>
          <cell r="CO44">
            <v>0</v>
          </cell>
          <cell r="CP44">
            <v>0</v>
          </cell>
          <cell r="CQ44">
            <v>5.5331876908038202</v>
          </cell>
          <cell r="CR44">
            <v>60</v>
          </cell>
          <cell r="CS44">
            <v>1</v>
          </cell>
          <cell r="CT44">
            <v>0</v>
          </cell>
          <cell r="CU44">
            <v>0</v>
          </cell>
          <cell r="CV44">
            <v>18</v>
          </cell>
          <cell r="CW44">
            <v>18</v>
          </cell>
          <cell r="CX44" t="str">
            <v xml:space="preserve"> </v>
          </cell>
          <cell r="CY44">
            <v>2</v>
          </cell>
          <cell r="CZ44">
            <v>2</v>
          </cell>
          <cell r="DA44">
            <v>2</v>
          </cell>
          <cell r="DB44">
            <v>400</v>
          </cell>
          <cell r="DC44">
            <v>188</v>
          </cell>
          <cell r="DD44">
            <v>104</v>
          </cell>
          <cell r="DE44">
            <v>30</v>
          </cell>
          <cell r="DF44">
            <v>46</v>
          </cell>
          <cell r="DG44">
            <v>8</v>
          </cell>
          <cell r="DH44">
            <v>4</v>
          </cell>
          <cell r="DI44">
            <v>20</v>
          </cell>
        </row>
        <row r="45">
          <cell r="A45" t="str">
            <v>RS 093</v>
          </cell>
          <cell r="B45">
            <v>93</v>
          </cell>
          <cell r="C45" t="str">
            <v>S</v>
          </cell>
          <cell r="D45" t="str">
            <v>T</v>
          </cell>
          <cell r="E45" t="str">
            <v>Mirale Police Post - Madziabango</v>
          </cell>
          <cell r="F45" t="str">
            <v>M01</v>
          </cell>
          <cell r="G45">
            <v>43</v>
          </cell>
          <cell r="H45">
            <v>7.9</v>
          </cell>
          <cell r="I45" t="str">
            <v>R</v>
          </cell>
          <cell r="J45" t="str">
            <v>BLANTYRE</v>
          </cell>
          <cell r="K45">
            <v>9</v>
          </cell>
          <cell r="L45">
            <v>0</v>
          </cell>
          <cell r="W45">
            <v>80</v>
          </cell>
          <cell r="X45" t="str">
            <v>DS</v>
          </cell>
          <cell r="Y45">
            <v>150</v>
          </cell>
          <cell r="Z45" t="str">
            <v>SB</v>
          </cell>
          <cell r="AA45">
            <v>150</v>
          </cell>
          <cell r="AB45" t="str">
            <v>GR</v>
          </cell>
          <cell r="AC45">
            <v>12</v>
          </cell>
          <cell r="AD45" t="str">
            <v>VR</v>
          </cell>
          <cell r="AE45">
            <v>0</v>
          </cell>
          <cell r="AF45">
            <v>0</v>
          </cell>
          <cell r="AG45">
            <v>0</v>
          </cell>
          <cell r="AH45">
            <v>0</v>
          </cell>
          <cell r="AI45">
            <v>0</v>
          </cell>
          <cell r="AJ45">
            <v>0</v>
          </cell>
          <cell r="AK45">
            <v>0</v>
          </cell>
          <cell r="AL45">
            <v>0</v>
          </cell>
          <cell r="AM45">
            <v>1</v>
          </cell>
          <cell r="AN45" t="str">
            <v>never resealed</v>
          </cell>
          <cell r="BO45" t="str">
            <v>RS 093</v>
          </cell>
          <cell r="BP45">
            <v>7.9</v>
          </cell>
          <cell r="BQ45">
            <v>6</v>
          </cell>
          <cell r="BR45" t="str">
            <v>R</v>
          </cell>
          <cell r="BS45" t="str">
            <v>C</v>
          </cell>
          <cell r="BT45">
            <v>0</v>
          </cell>
          <cell r="BU45" t="str">
            <v>DS</v>
          </cell>
          <cell r="BV45">
            <v>0</v>
          </cell>
          <cell r="BW45">
            <v>1</v>
          </cell>
          <cell r="BX45">
            <v>15</v>
          </cell>
          <cell r="BY45" t="str">
            <v xml:space="preserve"> </v>
          </cell>
          <cell r="BZ45">
            <v>1</v>
          </cell>
          <cell r="CA45">
            <v>12</v>
          </cell>
          <cell r="CB45">
            <v>1.677</v>
          </cell>
          <cell r="CC45">
            <v>6.7552300377042318</v>
          </cell>
          <cell r="CD45">
            <v>85</v>
          </cell>
          <cell r="CE45">
            <v>50</v>
          </cell>
          <cell r="CF45">
            <v>35</v>
          </cell>
          <cell r="CG45">
            <v>50</v>
          </cell>
          <cell r="CH45">
            <v>15</v>
          </cell>
          <cell r="CI45">
            <v>24</v>
          </cell>
          <cell r="CJ45">
            <v>8.0000000000000016E-2</v>
          </cell>
          <cell r="CK45">
            <v>10</v>
          </cell>
          <cell r="CL45">
            <v>35</v>
          </cell>
          <cell r="CM45">
            <v>0.36175384615384615</v>
          </cell>
          <cell r="CN45">
            <v>0.36175384615384615</v>
          </cell>
          <cell r="CO45">
            <v>0</v>
          </cell>
          <cell r="CP45">
            <v>0</v>
          </cell>
          <cell r="CQ45">
            <v>7.1169838838580777</v>
          </cell>
          <cell r="CR45">
            <v>55</v>
          </cell>
          <cell r="CS45">
            <v>1</v>
          </cell>
          <cell r="CT45">
            <v>0</v>
          </cell>
          <cell r="CU45">
            <v>0</v>
          </cell>
          <cell r="CV45">
            <v>18</v>
          </cell>
          <cell r="CW45">
            <v>18</v>
          </cell>
          <cell r="CX45" t="str">
            <v xml:space="preserve"> </v>
          </cell>
          <cell r="CY45">
            <v>1.8</v>
          </cell>
          <cell r="CZ45">
            <v>2</v>
          </cell>
          <cell r="DA45">
            <v>1.8</v>
          </cell>
          <cell r="DB45">
            <v>400</v>
          </cell>
          <cell r="DC45">
            <v>188</v>
          </cell>
          <cell r="DD45">
            <v>104</v>
          </cell>
          <cell r="DE45">
            <v>30</v>
          </cell>
          <cell r="DF45">
            <v>46</v>
          </cell>
          <cell r="DG45">
            <v>8</v>
          </cell>
          <cell r="DH45">
            <v>4</v>
          </cell>
          <cell r="DI45">
            <v>20</v>
          </cell>
        </row>
        <row r="46">
          <cell r="A46" t="str">
            <v>RS 106</v>
          </cell>
          <cell r="B46">
            <v>106</v>
          </cell>
          <cell r="C46" t="str">
            <v>S</v>
          </cell>
          <cell r="D46" t="str">
            <v>T</v>
          </cell>
          <cell r="E46" t="str">
            <v>Madziabango - Thabwa</v>
          </cell>
          <cell r="F46" t="str">
            <v>M01</v>
          </cell>
          <cell r="G46">
            <v>44</v>
          </cell>
          <cell r="H46">
            <v>11.7</v>
          </cell>
          <cell r="I46" t="str">
            <v>H</v>
          </cell>
          <cell r="J46" t="str">
            <v>CHIKWAWA</v>
          </cell>
          <cell r="K46">
            <v>9</v>
          </cell>
          <cell r="L46">
            <v>0</v>
          </cell>
          <cell r="W46">
            <v>80</v>
          </cell>
          <cell r="X46" t="str">
            <v>DS</v>
          </cell>
          <cell r="Y46">
            <v>150</v>
          </cell>
          <cell r="Z46" t="str">
            <v>SB</v>
          </cell>
          <cell r="AA46">
            <v>100</v>
          </cell>
          <cell r="AB46" t="str">
            <v>GR</v>
          </cell>
          <cell r="AC46">
            <v>12</v>
          </cell>
          <cell r="AD46" t="str">
            <v>VR</v>
          </cell>
          <cell r="AE46">
            <v>0</v>
          </cell>
          <cell r="AF46">
            <v>0</v>
          </cell>
          <cell r="AG46">
            <v>0</v>
          </cell>
          <cell r="AH46">
            <v>0</v>
          </cell>
          <cell r="AI46">
            <v>0</v>
          </cell>
          <cell r="AJ46">
            <v>0</v>
          </cell>
          <cell r="AK46">
            <v>0</v>
          </cell>
          <cell r="AL46">
            <v>0</v>
          </cell>
          <cell r="AM46">
            <v>1</v>
          </cell>
          <cell r="AN46" t="str">
            <v>never resealed</v>
          </cell>
          <cell r="BO46" t="str">
            <v>RS 106</v>
          </cell>
          <cell r="BP46">
            <v>11.7</v>
          </cell>
          <cell r="BQ46">
            <v>6</v>
          </cell>
          <cell r="BR46" t="str">
            <v>H</v>
          </cell>
          <cell r="BS46" t="str">
            <v>C</v>
          </cell>
          <cell r="BT46">
            <v>0</v>
          </cell>
          <cell r="BU46" t="str">
            <v>DS</v>
          </cell>
          <cell r="BV46">
            <v>0</v>
          </cell>
          <cell r="BW46">
            <v>1</v>
          </cell>
          <cell r="BX46">
            <v>15</v>
          </cell>
          <cell r="BY46" t="str">
            <v xml:space="preserve"> </v>
          </cell>
          <cell r="BZ46">
            <v>1</v>
          </cell>
          <cell r="CA46">
            <v>12</v>
          </cell>
          <cell r="CB46">
            <v>1.177</v>
          </cell>
          <cell r="CC46">
            <v>6.6103543854972013</v>
          </cell>
          <cell r="CD46">
            <v>80</v>
          </cell>
          <cell r="CE46">
            <v>50</v>
          </cell>
          <cell r="CF46">
            <v>35</v>
          </cell>
          <cell r="CG46">
            <v>45</v>
          </cell>
          <cell r="CH46">
            <v>15</v>
          </cell>
          <cell r="CI46">
            <v>23</v>
          </cell>
          <cell r="CJ46">
            <v>7.6666666666666675E-2</v>
          </cell>
          <cell r="CK46">
            <v>10</v>
          </cell>
          <cell r="CL46">
            <v>35</v>
          </cell>
          <cell r="CM46">
            <v>0.36049487179487183</v>
          </cell>
          <cell r="CN46">
            <v>0.36049487179487183</v>
          </cell>
          <cell r="CO46">
            <v>0</v>
          </cell>
          <cell r="CP46">
            <v>0</v>
          </cell>
          <cell r="CQ46">
            <v>6.9708492572920733</v>
          </cell>
          <cell r="CR46">
            <v>50</v>
          </cell>
          <cell r="CS46">
            <v>1</v>
          </cell>
          <cell r="CT46">
            <v>0</v>
          </cell>
          <cell r="CU46">
            <v>0</v>
          </cell>
          <cell r="CV46">
            <v>18</v>
          </cell>
          <cell r="CW46">
            <v>18</v>
          </cell>
          <cell r="CX46" t="str">
            <v xml:space="preserve"> </v>
          </cell>
          <cell r="CY46">
            <v>1.5</v>
          </cell>
          <cell r="CZ46">
            <v>2</v>
          </cell>
          <cell r="DA46">
            <v>1.3</v>
          </cell>
          <cell r="DB46">
            <v>300</v>
          </cell>
          <cell r="DC46">
            <v>141</v>
          </cell>
          <cell r="DD46">
            <v>78</v>
          </cell>
          <cell r="DE46">
            <v>23</v>
          </cell>
          <cell r="DF46">
            <v>35</v>
          </cell>
          <cell r="DG46">
            <v>6</v>
          </cell>
          <cell r="DH46">
            <v>3</v>
          </cell>
          <cell r="DI46">
            <v>15</v>
          </cell>
        </row>
        <row r="47">
          <cell r="A47" t="str">
            <v>RS 102</v>
          </cell>
          <cell r="B47">
            <v>102</v>
          </cell>
          <cell r="C47" t="str">
            <v>S</v>
          </cell>
          <cell r="D47" t="str">
            <v>T</v>
          </cell>
          <cell r="E47" t="str">
            <v>Thabwa - Chikwawa</v>
          </cell>
          <cell r="F47" t="str">
            <v>M01</v>
          </cell>
          <cell r="G47">
            <v>45</v>
          </cell>
          <cell r="H47">
            <v>8.3000000000000007</v>
          </cell>
          <cell r="I47" t="str">
            <v>F</v>
          </cell>
          <cell r="J47" t="str">
            <v>CHIKWAWA</v>
          </cell>
          <cell r="K47">
            <v>9</v>
          </cell>
          <cell r="L47">
            <v>0</v>
          </cell>
          <cell r="W47">
            <v>80</v>
          </cell>
          <cell r="X47" t="str">
            <v>DS</v>
          </cell>
          <cell r="Y47">
            <v>150</v>
          </cell>
          <cell r="Z47" t="str">
            <v>SB</v>
          </cell>
          <cell r="AA47">
            <v>100</v>
          </cell>
          <cell r="AB47" t="str">
            <v>GR</v>
          </cell>
          <cell r="AC47">
            <v>12</v>
          </cell>
          <cell r="AD47" t="str">
            <v>VR</v>
          </cell>
          <cell r="AE47">
            <v>0</v>
          </cell>
          <cell r="AF47">
            <v>0</v>
          </cell>
          <cell r="AG47">
            <v>0</v>
          </cell>
          <cell r="AH47">
            <v>0</v>
          </cell>
          <cell r="AI47">
            <v>0</v>
          </cell>
          <cell r="AJ47">
            <v>0</v>
          </cell>
          <cell r="AK47">
            <v>0</v>
          </cell>
          <cell r="AL47">
            <v>0</v>
          </cell>
          <cell r="AM47">
            <v>1</v>
          </cell>
          <cell r="AN47" t="str">
            <v>never resealed</v>
          </cell>
          <cell r="BO47" t="str">
            <v>RS 102</v>
          </cell>
          <cell r="BP47">
            <v>8.3000000000000007</v>
          </cell>
          <cell r="BQ47">
            <v>6</v>
          </cell>
          <cell r="BR47" t="str">
            <v>F</v>
          </cell>
          <cell r="BS47" t="str">
            <v>C</v>
          </cell>
          <cell r="BT47">
            <v>0</v>
          </cell>
          <cell r="BU47" t="str">
            <v>DS</v>
          </cell>
          <cell r="BV47">
            <v>0</v>
          </cell>
          <cell r="BW47">
            <v>1</v>
          </cell>
          <cell r="BX47">
            <v>15</v>
          </cell>
          <cell r="BY47" t="str">
            <v xml:space="preserve"> </v>
          </cell>
          <cell r="BZ47">
            <v>1</v>
          </cell>
          <cell r="CA47">
            <v>12</v>
          </cell>
          <cell r="CB47">
            <v>1.177</v>
          </cell>
          <cell r="CC47">
            <v>8.3274964809384162</v>
          </cell>
          <cell r="CD47">
            <v>99</v>
          </cell>
          <cell r="CE47">
            <v>80</v>
          </cell>
          <cell r="CF47">
            <v>65</v>
          </cell>
          <cell r="CG47">
            <v>34</v>
          </cell>
          <cell r="CH47">
            <v>15</v>
          </cell>
          <cell r="CI47">
            <v>85</v>
          </cell>
          <cell r="CJ47">
            <v>0.28333333333333333</v>
          </cell>
          <cell r="CK47">
            <v>10</v>
          </cell>
          <cell r="CL47">
            <v>65</v>
          </cell>
          <cell r="CM47">
            <v>0.63701282051282049</v>
          </cell>
          <cell r="CN47">
            <v>0.63701282051282049</v>
          </cell>
          <cell r="CO47">
            <v>0</v>
          </cell>
          <cell r="CP47">
            <v>0</v>
          </cell>
          <cell r="CQ47">
            <v>8.9645093014512369</v>
          </cell>
          <cell r="CR47">
            <v>75</v>
          </cell>
          <cell r="CS47">
            <v>1</v>
          </cell>
          <cell r="CT47">
            <v>0</v>
          </cell>
          <cell r="CU47">
            <v>0</v>
          </cell>
          <cell r="CV47">
            <v>18</v>
          </cell>
          <cell r="CW47">
            <v>18</v>
          </cell>
          <cell r="CX47" t="str">
            <v xml:space="preserve"> </v>
          </cell>
          <cell r="CY47">
            <v>1.2</v>
          </cell>
          <cell r="CZ47">
            <v>2</v>
          </cell>
          <cell r="DA47">
            <v>1.1000000000000001</v>
          </cell>
          <cell r="DB47">
            <v>500</v>
          </cell>
          <cell r="DC47">
            <v>235</v>
          </cell>
          <cell r="DD47">
            <v>130</v>
          </cell>
          <cell r="DE47">
            <v>38</v>
          </cell>
          <cell r="DF47">
            <v>58</v>
          </cell>
          <cell r="DG47">
            <v>10</v>
          </cell>
          <cell r="DH47">
            <v>5</v>
          </cell>
          <cell r="DI47">
            <v>25</v>
          </cell>
        </row>
        <row r="48">
          <cell r="A48" t="str">
            <v>RS 101</v>
          </cell>
          <cell r="B48">
            <v>101</v>
          </cell>
          <cell r="C48" t="str">
            <v>S</v>
          </cell>
          <cell r="D48" t="str">
            <v>T</v>
          </cell>
          <cell r="E48" t="str">
            <v>Chikwawa - Lengwe T/Off</v>
          </cell>
          <cell r="F48" t="str">
            <v>M01</v>
          </cell>
          <cell r="G48">
            <v>46</v>
          </cell>
          <cell r="H48">
            <v>18.7</v>
          </cell>
          <cell r="I48" t="str">
            <v>F</v>
          </cell>
          <cell r="J48" t="str">
            <v>CHIKWAWA</v>
          </cell>
          <cell r="K48">
            <v>9</v>
          </cell>
          <cell r="L48">
            <v>0</v>
          </cell>
          <cell r="W48">
            <v>78</v>
          </cell>
          <cell r="X48" t="str">
            <v>SA</v>
          </cell>
          <cell r="Y48">
            <v>60</v>
          </cell>
          <cell r="Z48" t="str">
            <v>SB</v>
          </cell>
          <cell r="AA48">
            <v>150</v>
          </cell>
          <cell r="AB48" t="str">
            <v>GR</v>
          </cell>
          <cell r="AC48">
            <v>6</v>
          </cell>
          <cell r="AD48" t="str">
            <v>VR</v>
          </cell>
          <cell r="AE48">
            <v>83</v>
          </cell>
          <cell r="AF48" t="str">
            <v>RC</v>
          </cell>
          <cell r="AG48" t="str">
            <v>ST</v>
          </cell>
          <cell r="AH48">
            <v>15</v>
          </cell>
          <cell r="AI48">
            <v>98</v>
          </cell>
          <cell r="AJ48" t="str">
            <v>RC</v>
          </cell>
          <cell r="AK48" t="str">
            <v>DS</v>
          </cell>
          <cell r="AL48">
            <v>15</v>
          </cell>
          <cell r="AM48">
            <v>1</v>
          </cell>
          <cell r="AN48" t="str">
            <v>under reconstuction</v>
          </cell>
          <cell r="BO48" t="str">
            <v>RS 101</v>
          </cell>
          <cell r="BP48">
            <v>18.7</v>
          </cell>
          <cell r="BQ48" t="str">
            <v>n.a.</v>
          </cell>
          <cell r="BR48" t="str">
            <v>F</v>
          </cell>
          <cell r="BS48" t="str">
            <v>n.a.</v>
          </cell>
          <cell r="BT48">
            <v>0</v>
          </cell>
          <cell r="BU48" t="str">
            <v>DS</v>
          </cell>
          <cell r="BV48">
            <v>0</v>
          </cell>
          <cell r="BW48">
            <v>1</v>
          </cell>
          <cell r="BX48">
            <v>15</v>
          </cell>
          <cell r="BY48" t="str">
            <v xml:space="preserve"> </v>
          </cell>
          <cell r="BZ48">
            <v>1</v>
          </cell>
          <cell r="CA48">
            <v>6</v>
          </cell>
          <cell r="CB48">
            <v>1.6850000000000001</v>
          </cell>
          <cell r="CC48" t="str">
            <v>Under reconstruction 1998</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 xml:space="preserve"> </v>
          </cell>
          <cell r="CY48" t="str">
            <v>n.a.</v>
          </cell>
          <cell r="CZ48" t="str">
            <v>n.a.</v>
          </cell>
          <cell r="DA48" t="str">
            <v>n.a.</v>
          </cell>
          <cell r="DB48">
            <v>300</v>
          </cell>
          <cell r="DC48">
            <v>141</v>
          </cell>
          <cell r="DD48">
            <v>78</v>
          </cell>
          <cell r="DE48">
            <v>23</v>
          </cell>
          <cell r="DF48">
            <v>35</v>
          </cell>
          <cell r="DG48">
            <v>6</v>
          </cell>
          <cell r="DH48">
            <v>3</v>
          </cell>
          <cell r="DI48">
            <v>15</v>
          </cell>
        </row>
        <row r="49">
          <cell r="A49" t="str">
            <v>RS 103</v>
          </cell>
          <cell r="B49">
            <v>103</v>
          </cell>
          <cell r="C49" t="str">
            <v>S</v>
          </cell>
          <cell r="D49" t="str">
            <v>T</v>
          </cell>
          <cell r="E49" t="str">
            <v>Lengwe T/Off - Nchalo</v>
          </cell>
          <cell r="F49" t="str">
            <v>M01</v>
          </cell>
          <cell r="G49">
            <v>47</v>
          </cell>
          <cell r="H49">
            <v>8.5</v>
          </cell>
          <cell r="I49" t="str">
            <v>F</v>
          </cell>
          <cell r="J49" t="str">
            <v>CHIKWAWA</v>
          </cell>
          <cell r="K49">
            <v>9</v>
          </cell>
          <cell r="L49">
            <v>0</v>
          </cell>
          <cell r="W49">
            <v>78</v>
          </cell>
          <cell r="X49" t="str">
            <v>SA</v>
          </cell>
          <cell r="Y49">
            <v>60</v>
          </cell>
          <cell r="Z49" t="str">
            <v>SB</v>
          </cell>
          <cell r="AA49">
            <v>150</v>
          </cell>
          <cell r="AB49" t="str">
            <v>GR</v>
          </cell>
          <cell r="AC49">
            <v>6</v>
          </cell>
          <cell r="AD49" t="str">
            <v>VR</v>
          </cell>
          <cell r="AE49">
            <v>83</v>
          </cell>
          <cell r="AF49" t="str">
            <v>RC</v>
          </cell>
          <cell r="AG49" t="str">
            <v>ST</v>
          </cell>
          <cell r="AH49">
            <v>15</v>
          </cell>
          <cell r="AI49">
            <v>98</v>
          </cell>
          <cell r="AJ49" t="str">
            <v>RC</v>
          </cell>
          <cell r="AK49" t="str">
            <v>DS</v>
          </cell>
          <cell r="AL49">
            <v>15</v>
          </cell>
          <cell r="AM49">
            <v>1</v>
          </cell>
          <cell r="AN49" t="str">
            <v>under reconstuction</v>
          </cell>
          <cell r="BO49" t="str">
            <v>RS 103</v>
          </cell>
          <cell r="BP49">
            <v>8.5</v>
          </cell>
          <cell r="BQ49" t="str">
            <v>n.a.</v>
          </cell>
          <cell r="BR49" t="str">
            <v>F</v>
          </cell>
          <cell r="BS49" t="str">
            <v>n.a.</v>
          </cell>
          <cell r="BT49">
            <v>0</v>
          </cell>
          <cell r="BU49" t="str">
            <v>DS</v>
          </cell>
          <cell r="BV49">
            <v>0</v>
          </cell>
          <cell r="BW49">
            <v>1</v>
          </cell>
          <cell r="BX49">
            <v>15</v>
          </cell>
          <cell r="BY49" t="str">
            <v xml:space="preserve"> </v>
          </cell>
          <cell r="BZ49">
            <v>1</v>
          </cell>
          <cell r="CA49">
            <v>6</v>
          </cell>
          <cell r="CB49">
            <v>1.6850000000000001</v>
          </cell>
          <cell r="CC49" t="str">
            <v>Under reconstruction 1998</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 xml:space="preserve"> </v>
          </cell>
          <cell r="CY49" t="str">
            <v>n.a.</v>
          </cell>
          <cell r="CZ49" t="str">
            <v>n.a.</v>
          </cell>
          <cell r="DA49" t="str">
            <v>n.a.</v>
          </cell>
          <cell r="DB49">
            <v>300</v>
          </cell>
          <cell r="DC49">
            <v>141</v>
          </cell>
          <cell r="DD49">
            <v>78</v>
          </cell>
          <cell r="DE49">
            <v>23</v>
          </cell>
          <cell r="DF49">
            <v>35</v>
          </cell>
          <cell r="DG49">
            <v>6</v>
          </cell>
          <cell r="DH49">
            <v>3</v>
          </cell>
          <cell r="DI49">
            <v>15</v>
          </cell>
        </row>
        <row r="50">
          <cell r="A50" t="str">
            <v>RS 099</v>
          </cell>
          <cell r="B50">
            <v>99</v>
          </cell>
          <cell r="C50" t="str">
            <v>S</v>
          </cell>
          <cell r="D50" t="str">
            <v>T</v>
          </cell>
          <cell r="E50" t="str">
            <v>Nchalo - Gama</v>
          </cell>
          <cell r="F50" t="str">
            <v>M01</v>
          </cell>
          <cell r="G50">
            <v>48</v>
          </cell>
          <cell r="H50">
            <v>16.899999999999999</v>
          </cell>
          <cell r="I50" t="str">
            <v>F</v>
          </cell>
          <cell r="J50" t="str">
            <v>CHIKWAWA</v>
          </cell>
          <cell r="K50">
            <v>10</v>
          </cell>
          <cell r="L50">
            <v>0</v>
          </cell>
          <cell r="W50">
            <v>78</v>
          </cell>
          <cell r="X50" t="str">
            <v>SA</v>
          </cell>
          <cell r="Y50">
            <v>60</v>
          </cell>
          <cell r="Z50" t="str">
            <v>SB</v>
          </cell>
          <cell r="AA50">
            <v>150</v>
          </cell>
          <cell r="AB50" t="str">
            <v>GR</v>
          </cell>
          <cell r="AC50">
            <v>6</v>
          </cell>
          <cell r="AD50" t="str">
            <v>VR</v>
          </cell>
          <cell r="AE50">
            <v>83</v>
          </cell>
          <cell r="AF50" t="str">
            <v>RC</v>
          </cell>
          <cell r="AG50" t="str">
            <v>ST</v>
          </cell>
          <cell r="AH50">
            <v>15</v>
          </cell>
          <cell r="AI50">
            <v>98</v>
          </cell>
          <cell r="AJ50" t="str">
            <v>RC</v>
          </cell>
          <cell r="AK50" t="str">
            <v>DS</v>
          </cell>
          <cell r="AL50">
            <v>15</v>
          </cell>
          <cell r="AM50">
            <v>1</v>
          </cell>
          <cell r="AN50" t="str">
            <v>under reconstuction</v>
          </cell>
          <cell r="BO50" t="str">
            <v>RS 099</v>
          </cell>
          <cell r="BP50">
            <v>16.899999999999999</v>
          </cell>
          <cell r="BQ50" t="str">
            <v>n.a.</v>
          </cell>
          <cell r="BR50" t="str">
            <v>F</v>
          </cell>
          <cell r="BS50" t="str">
            <v>n.a.</v>
          </cell>
          <cell r="BT50">
            <v>0</v>
          </cell>
          <cell r="BU50" t="str">
            <v>DS</v>
          </cell>
          <cell r="BV50">
            <v>0</v>
          </cell>
          <cell r="BW50">
            <v>1</v>
          </cell>
          <cell r="BX50">
            <v>15</v>
          </cell>
          <cell r="BY50" t="str">
            <v xml:space="preserve"> </v>
          </cell>
          <cell r="BZ50">
            <v>1</v>
          </cell>
          <cell r="CA50">
            <v>6</v>
          </cell>
          <cell r="CB50">
            <v>1.6850000000000001</v>
          </cell>
          <cell r="CC50" t="str">
            <v>Under reconstruction 1998</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 xml:space="preserve"> </v>
          </cell>
          <cell r="CY50" t="str">
            <v>n.a.</v>
          </cell>
          <cell r="CZ50" t="str">
            <v>n.a.</v>
          </cell>
          <cell r="DA50" t="str">
            <v>n.a.</v>
          </cell>
          <cell r="DB50">
            <v>300</v>
          </cell>
          <cell r="DC50">
            <v>141</v>
          </cell>
          <cell r="DD50">
            <v>78</v>
          </cell>
          <cell r="DE50">
            <v>23</v>
          </cell>
          <cell r="DF50">
            <v>35</v>
          </cell>
          <cell r="DG50">
            <v>6</v>
          </cell>
          <cell r="DH50">
            <v>3</v>
          </cell>
          <cell r="DI50">
            <v>15</v>
          </cell>
        </row>
        <row r="51">
          <cell r="A51" t="str">
            <v>RS 100</v>
          </cell>
          <cell r="B51">
            <v>100</v>
          </cell>
          <cell r="C51" t="str">
            <v>S</v>
          </cell>
          <cell r="D51" t="str">
            <v>T</v>
          </cell>
          <cell r="E51" t="str">
            <v>Gama - Ngabu</v>
          </cell>
          <cell r="F51" t="str">
            <v>M01</v>
          </cell>
          <cell r="G51">
            <v>49</v>
          </cell>
          <cell r="H51">
            <v>7</v>
          </cell>
          <cell r="I51" t="str">
            <v>R</v>
          </cell>
          <cell r="J51" t="str">
            <v>CHIKWAWA</v>
          </cell>
          <cell r="K51">
            <v>10</v>
          </cell>
          <cell r="L51">
            <v>0</v>
          </cell>
          <cell r="W51">
            <v>78</v>
          </cell>
          <cell r="X51" t="str">
            <v>SA</v>
          </cell>
          <cell r="Y51">
            <v>60</v>
          </cell>
          <cell r="Z51" t="str">
            <v>SB</v>
          </cell>
          <cell r="AA51">
            <v>150</v>
          </cell>
          <cell r="AB51" t="str">
            <v>GR</v>
          </cell>
          <cell r="AC51">
            <v>6</v>
          </cell>
          <cell r="AD51" t="str">
            <v>VR</v>
          </cell>
          <cell r="AE51">
            <v>83</v>
          </cell>
          <cell r="AF51" t="str">
            <v>RC</v>
          </cell>
          <cell r="AG51" t="str">
            <v>ST</v>
          </cell>
          <cell r="AH51">
            <v>15</v>
          </cell>
          <cell r="AI51">
            <v>0</v>
          </cell>
          <cell r="AJ51">
            <v>0</v>
          </cell>
          <cell r="AK51">
            <v>0</v>
          </cell>
          <cell r="AL51">
            <v>0</v>
          </cell>
          <cell r="AM51">
            <v>1</v>
          </cell>
          <cell r="AN51">
            <v>0</v>
          </cell>
          <cell r="BO51" t="str">
            <v>RS 100</v>
          </cell>
          <cell r="BP51">
            <v>7</v>
          </cell>
          <cell r="BQ51" t="str">
            <v>n.a.</v>
          </cell>
          <cell r="BR51" t="str">
            <v>R</v>
          </cell>
          <cell r="BS51" t="str">
            <v>n.a.</v>
          </cell>
          <cell r="BT51">
            <v>0</v>
          </cell>
          <cell r="BU51" t="str">
            <v>ST</v>
          </cell>
          <cell r="BV51">
            <v>0</v>
          </cell>
          <cell r="BW51">
            <v>1</v>
          </cell>
          <cell r="BX51">
            <v>10</v>
          </cell>
          <cell r="BY51" t="str">
            <v xml:space="preserve"> </v>
          </cell>
          <cell r="BZ51">
            <v>1</v>
          </cell>
          <cell r="CA51">
            <v>6</v>
          </cell>
          <cell r="CB51">
            <v>1.6850000000000001</v>
          </cell>
          <cell r="CC51" t="str">
            <v>Under reconstruction 1998</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 xml:space="preserve"> </v>
          </cell>
          <cell r="CY51" t="str">
            <v>n.a.</v>
          </cell>
          <cell r="CZ51" t="str">
            <v>n.a.</v>
          </cell>
          <cell r="DA51" t="str">
            <v>n.a.</v>
          </cell>
          <cell r="DB51">
            <v>300</v>
          </cell>
          <cell r="DC51">
            <v>141</v>
          </cell>
          <cell r="DD51">
            <v>78</v>
          </cell>
          <cell r="DE51">
            <v>23</v>
          </cell>
          <cell r="DF51">
            <v>35</v>
          </cell>
          <cell r="DG51">
            <v>6</v>
          </cell>
          <cell r="DH51">
            <v>3</v>
          </cell>
          <cell r="DI51">
            <v>15</v>
          </cell>
        </row>
        <row r="52">
          <cell r="A52" t="str">
            <v>RS 097</v>
          </cell>
          <cell r="B52">
            <v>97</v>
          </cell>
          <cell r="C52" t="str">
            <v>S</v>
          </cell>
          <cell r="D52" t="str">
            <v>T</v>
          </cell>
          <cell r="E52" t="str">
            <v>Ngabu - Lalanje River</v>
          </cell>
          <cell r="F52" t="str">
            <v>M01</v>
          </cell>
          <cell r="G52">
            <v>50</v>
          </cell>
          <cell r="H52">
            <v>17.399999999999999</v>
          </cell>
          <cell r="I52" t="str">
            <v>F</v>
          </cell>
          <cell r="J52" t="str">
            <v>CHIKWAWA</v>
          </cell>
          <cell r="K52">
            <v>10</v>
          </cell>
          <cell r="L52">
            <v>0</v>
          </cell>
          <cell r="W52">
            <v>78</v>
          </cell>
          <cell r="X52" t="str">
            <v>SA</v>
          </cell>
          <cell r="Y52">
            <v>60</v>
          </cell>
          <cell r="Z52" t="str">
            <v>SB</v>
          </cell>
          <cell r="AA52">
            <v>150</v>
          </cell>
          <cell r="AB52" t="str">
            <v>GR</v>
          </cell>
          <cell r="AC52">
            <v>6</v>
          </cell>
          <cell r="AD52" t="str">
            <v>VR</v>
          </cell>
          <cell r="AE52">
            <v>83</v>
          </cell>
          <cell r="AF52" t="str">
            <v>RC</v>
          </cell>
          <cell r="AG52" t="str">
            <v>ST</v>
          </cell>
          <cell r="AH52">
            <v>15</v>
          </cell>
          <cell r="AI52">
            <v>0</v>
          </cell>
          <cell r="AJ52">
            <v>0</v>
          </cell>
          <cell r="AK52">
            <v>0</v>
          </cell>
          <cell r="AL52">
            <v>0</v>
          </cell>
          <cell r="AM52">
            <v>1</v>
          </cell>
          <cell r="AN52">
            <v>0</v>
          </cell>
          <cell r="BO52" t="str">
            <v>RS 097</v>
          </cell>
          <cell r="BP52">
            <v>17.399999999999999</v>
          </cell>
          <cell r="BQ52">
            <v>6</v>
          </cell>
          <cell r="BR52" t="str">
            <v>F</v>
          </cell>
          <cell r="BS52" t="str">
            <v>C</v>
          </cell>
          <cell r="BT52">
            <v>25</v>
          </cell>
          <cell r="BU52" t="str">
            <v>ST</v>
          </cell>
          <cell r="BV52">
            <v>0</v>
          </cell>
          <cell r="BW52">
            <v>1</v>
          </cell>
          <cell r="BX52">
            <v>10</v>
          </cell>
          <cell r="BY52" t="str">
            <v xml:space="preserve"> </v>
          </cell>
          <cell r="BZ52">
            <v>1</v>
          </cell>
          <cell r="CA52">
            <v>6</v>
          </cell>
          <cell r="CB52">
            <v>1.6850000000000001</v>
          </cell>
          <cell r="CC52">
            <v>7</v>
          </cell>
          <cell r="CD52">
            <v>80</v>
          </cell>
          <cell r="CE52">
            <v>65</v>
          </cell>
          <cell r="CF52">
            <v>50</v>
          </cell>
          <cell r="CG52">
            <v>30</v>
          </cell>
          <cell r="CH52">
            <v>15</v>
          </cell>
          <cell r="CI52">
            <v>95</v>
          </cell>
          <cell r="CJ52">
            <v>0.31666666666666665</v>
          </cell>
          <cell r="CK52">
            <v>10</v>
          </cell>
          <cell r="CL52">
            <v>50</v>
          </cell>
          <cell r="CM52">
            <v>0.55037179487179477</v>
          </cell>
          <cell r="CN52">
            <v>0.55037179487179477</v>
          </cell>
          <cell r="CO52">
            <v>0</v>
          </cell>
          <cell r="CP52">
            <v>0</v>
          </cell>
          <cell r="CQ52">
            <v>7.5503717948717952</v>
          </cell>
          <cell r="CR52">
            <v>50</v>
          </cell>
          <cell r="CS52">
            <v>1</v>
          </cell>
          <cell r="CT52">
            <v>0</v>
          </cell>
          <cell r="CU52">
            <v>0</v>
          </cell>
          <cell r="CV52">
            <v>15</v>
          </cell>
          <cell r="CW52">
            <v>15</v>
          </cell>
          <cell r="CX52" t="str">
            <v xml:space="preserve"> </v>
          </cell>
          <cell r="CY52">
            <v>2</v>
          </cell>
          <cell r="CZ52">
            <v>2</v>
          </cell>
          <cell r="DA52">
            <v>2</v>
          </cell>
          <cell r="DB52">
            <v>200</v>
          </cell>
          <cell r="DC52">
            <v>94</v>
          </cell>
          <cell r="DD52">
            <v>52</v>
          </cell>
          <cell r="DE52">
            <v>15</v>
          </cell>
          <cell r="DF52">
            <v>23</v>
          </cell>
          <cell r="DG52">
            <v>4</v>
          </cell>
          <cell r="DH52">
            <v>2</v>
          </cell>
          <cell r="DI52">
            <v>10</v>
          </cell>
        </row>
        <row r="53">
          <cell r="A53" t="str">
            <v>RS 091</v>
          </cell>
          <cell r="B53">
            <v>91</v>
          </cell>
          <cell r="C53" t="str">
            <v>S</v>
          </cell>
          <cell r="D53" t="str">
            <v>T</v>
          </cell>
          <cell r="E53" t="str">
            <v>Lalanje River - Thangadzi River</v>
          </cell>
          <cell r="F53" t="str">
            <v>M01</v>
          </cell>
          <cell r="G53">
            <v>51</v>
          </cell>
          <cell r="H53">
            <v>9.1999999999999993</v>
          </cell>
          <cell r="I53" t="str">
            <v>H</v>
          </cell>
          <cell r="J53" t="str">
            <v>CHIKWAWA</v>
          </cell>
          <cell r="K53">
            <v>10</v>
          </cell>
          <cell r="L53">
            <v>0</v>
          </cell>
          <cell r="W53">
            <v>76</v>
          </cell>
          <cell r="X53" t="str">
            <v>SA</v>
          </cell>
          <cell r="Y53">
            <v>60</v>
          </cell>
          <cell r="Z53" t="str">
            <v>SB</v>
          </cell>
          <cell r="AA53">
            <v>150</v>
          </cell>
          <cell r="AB53" t="str">
            <v>GR</v>
          </cell>
          <cell r="AC53">
            <v>6</v>
          </cell>
          <cell r="AD53" t="str">
            <v>VR</v>
          </cell>
          <cell r="AE53">
            <v>83</v>
          </cell>
          <cell r="AF53" t="str">
            <v>RC</v>
          </cell>
          <cell r="AG53" t="str">
            <v>ST</v>
          </cell>
          <cell r="AH53">
            <v>15</v>
          </cell>
          <cell r="AI53">
            <v>0</v>
          </cell>
          <cell r="AJ53">
            <v>0</v>
          </cell>
          <cell r="AK53">
            <v>0</v>
          </cell>
          <cell r="AL53">
            <v>0</v>
          </cell>
          <cell r="AM53">
            <v>1</v>
          </cell>
          <cell r="AN53">
            <v>0</v>
          </cell>
          <cell r="BO53" t="str">
            <v>RS 091</v>
          </cell>
          <cell r="BP53">
            <v>9.1999999999999993</v>
          </cell>
          <cell r="BQ53">
            <v>6</v>
          </cell>
          <cell r="BR53" t="str">
            <v>H</v>
          </cell>
          <cell r="BS53" t="str">
            <v>C</v>
          </cell>
          <cell r="BT53">
            <v>25</v>
          </cell>
          <cell r="BU53" t="str">
            <v>ST</v>
          </cell>
          <cell r="BV53">
            <v>0</v>
          </cell>
          <cell r="BW53">
            <v>1</v>
          </cell>
          <cell r="BX53">
            <v>10</v>
          </cell>
          <cell r="BY53" t="str">
            <v xml:space="preserve"> </v>
          </cell>
          <cell r="BZ53">
            <v>1</v>
          </cell>
          <cell r="CA53">
            <v>6</v>
          </cell>
          <cell r="CB53">
            <v>1.6850000000000001</v>
          </cell>
          <cell r="CC53">
            <v>7</v>
          </cell>
          <cell r="CD53">
            <v>85</v>
          </cell>
          <cell r="CE53">
            <v>70</v>
          </cell>
          <cell r="CF53">
            <v>55</v>
          </cell>
          <cell r="CG53">
            <v>30</v>
          </cell>
          <cell r="CH53">
            <v>15</v>
          </cell>
          <cell r="CI53">
            <v>105</v>
          </cell>
          <cell r="CJ53">
            <v>0.35000000000000003</v>
          </cell>
          <cell r="CK53">
            <v>10</v>
          </cell>
          <cell r="CL53">
            <v>55</v>
          </cell>
          <cell r="CM53">
            <v>0.59603846153846152</v>
          </cell>
          <cell r="CN53">
            <v>0.59603846153846152</v>
          </cell>
          <cell r="CO53">
            <v>0</v>
          </cell>
          <cell r="CP53">
            <v>0</v>
          </cell>
          <cell r="CQ53">
            <v>7.5960384615384617</v>
          </cell>
          <cell r="CR53">
            <v>50</v>
          </cell>
          <cell r="CS53">
            <v>1</v>
          </cell>
          <cell r="CT53">
            <v>0</v>
          </cell>
          <cell r="CU53">
            <v>0</v>
          </cell>
          <cell r="CV53">
            <v>15</v>
          </cell>
          <cell r="CW53">
            <v>15</v>
          </cell>
          <cell r="CX53" t="str">
            <v xml:space="preserve"> </v>
          </cell>
          <cell r="CY53">
            <v>2</v>
          </cell>
          <cell r="CZ53">
            <v>2</v>
          </cell>
          <cell r="DA53">
            <v>2</v>
          </cell>
          <cell r="DB53">
            <v>200</v>
          </cell>
          <cell r="DC53">
            <v>94</v>
          </cell>
          <cell r="DD53">
            <v>52</v>
          </cell>
          <cell r="DE53">
            <v>15</v>
          </cell>
          <cell r="DF53">
            <v>23</v>
          </cell>
          <cell r="DG53">
            <v>4</v>
          </cell>
          <cell r="DH53">
            <v>2</v>
          </cell>
          <cell r="DI53">
            <v>10</v>
          </cell>
        </row>
        <row r="54">
          <cell r="A54" t="str">
            <v>RS 315</v>
          </cell>
          <cell r="B54">
            <v>137</v>
          </cell>
          <cell r="C54" t="str">
            <v>S</v>
          </cell>
          <cell r="D54" t="str">
            <v>T</v>
          </cell>
          <cell r="E54" t="str">
            <v>Thangadzi River - Bangula</v>
          </cell>
          <cell r="F54" t="str">
            <v>M01</v>
          </cell>
          <cell r="G54">
            <v>52</v>
          </cell>
          <cell r="H54">
            <v>5.2</v>
          </cell>
          <cell r="I54" t="str">
            <v>F</v>
          </cell>
          <cell r="J54" t="str">
            <v>NSANJE</v>
          </cell>
          <cell r="K54">
            <v>10</v>
          </cell>
          <cell r="L54">
            <v>0</v>
          </cell>
          <cell r="W54">
            <v>76</v>
          </cell>
          <cell r="X54" t="str">
            <v>SA</v>
          </cell>
          <cell r="Y54">
            <v>60</v>
          </cell>
          <cell r="Z54" t="str">
            <v>SB</v>
          </cell>
          <cell r="AA54">
            <v>150</v>
          </cell>
          <cell r="AB54" t="str">
            <v>GR</v>
          </cell>
          <cell r="AC54">
            <v>6</v>
          </cell>
          <cell r="AD54" t="str">
            <v>VR</v>
          </cell>
          <cell r="AE54">
            <v>83</v>
          </cell>
          <cell r="AF54" t="str">
            <v>RC</v>
          </cell>
          <cell r="AG54" t="str">
            <v>ST</v>
          </cell>
          <cell r="AH54">
            <v>15</v>
          </cell>
          <cell r="AI54">
            <v>0</v>
          </cell>
          <cell r="AJ54">
            <v>0</v>
          </cell>
          <cell r="AK54">
            <v>0</v>
          </cell>
          <cell r="AL54">
            <v>0</v>
          </cell>
          <cell r="AM54">
            <v>1</v>
          </cell>
          <cell r="AN54">
            <v>0</v>
          </cell>
          <cell r="BO54" t="str">
            <v>RS 315</v>
          </cell>
          <cell r="BP54">
            <v>5.2</v>
          </cell>
          <cell r="BQ54">
            <v>6</v>
          </cell>
          <cell r="BR54" t="str">
            <v>H</v>
          </cell>
          <cell r="BS54" t="str">
            <v>C</v>
          </cell>
          <cell r="BT54">
            <v>25</v>
          </cell>
          <cell r="BU54" t="str">
            <v>ST</v>
          </cell>
          <cell r="BV54">
            <v>0</v>
          </cell>
          <cell r="BW54">
            <v>1</v>
          </cell>
          <cell r="BX54">
            <v>10</v>
          </cell>
          <cell r="BY54" t="str">
            <v xml:space="preserve"> </v>
          </cell>
          <cell r="BZ54">
            <v>1</v>
          </cell>
          <cell r="CA54">
            <v>6</v>
          </cell>
          <cell r="CB54">
            <v>1.6850000000000001</v>
          </cell>
          <cell r="CC54">
            <v>7</v>
          </cell>
          <cell r="CD54">
            <v>85</v>
          </cell>
          <cell r="CE54">
            <v>70</v>
          </cell>
          <cell r="CF54">
            <v>55</v>
          </cell>
          <cell r="CG54">
            <v>30</v>
          </cell>
          <cell r="CH54">
            <v>15</v>
          </cell>
          <cell r="CI54">
            <v>105</v>
          </cell>
          <cell r="CJ54">
            <v>0.35000000000000003</v>
          </cell>
          <cell r="CK54">
            <v>10</v>
          </cell>
          <cell r="CL54">
            <v>55</v>
          </cell>
          <cell r="CM54">
            <v>0.59603846153846152</v>
          </cell>
          <cell r="CN54">
            <v>0.59603846153846152</v>
          </cell>
          <cell r="CO54">
            <v>0</v>
          </cell>
          <cell r="CP54">
            <v>0</v>
          </cell>
          <cell r="CQ54">
            <v>7.5960384615384617</v>
          </cell>
          <cell r="CR54">
            <v>50</v>
          </cell>
          <cell r="CS54">
            <v>1</v>
          </cell>
          <cell r="CT54">
            <v>0</v>
          </cell>
          <cell r="CU54">
            <v>0</v>
          </cell>
          <cell r="CV54">
            <v>15</v>
          </cell>
          <cell r="CW54">
            <v>15</v>
          </cell>
          <cell r="CX54" t="str">
            <v xml:space="preserve"> </v>
          </cell>
          <cell r="CY54">
            <v>2</v>
          </cell>
          <cell r="CZ54">
            <v>2</v>
          </cell>
          <cell r="DA54">
            <v>2</v>
          </cell>
          <cell r="DB54">
            <v>220</v>
          </cell>
          <cell r="DC54">
            <v>104</v>
          </cell>
          <cell r="DD54">
            <v>58</v>
          </cell>
          <cell r="DE54">
            <v>17</v>
          </cell>
          <cell r="DF54">
            <v>26</v>
          </cell>
          <cell r="DG54">
            <v>5</v>
          </cell>
          <cell r="DH54">
            <v>3</v>
          </cell>
          <cell r="DI54">
            <v>11</v>
          </cell>
        </row>
        <row r="55">
          <cell r="A55" t="str">
            <v>RS 115</v>
          </cell>
          <cell r="B55">
            <v>115</v>
          </cell>
          <cell r="C55" t="str">
            <v>S</v>
          </cell>
          <cell r="D55" t="str">
            <v>T</v>
          </cell>
          <cell r="E55" t="str">
            <v>Limbe - Chigumula</v>
          </cell>
          <cell r="F55" t="str">
            <v>M02</v>
          </cell>
          <cell r="G55">
            <v>1</v>
          </cell>
          <cell r="H55">
            <v>9.4</v>
          </cell>
          <cell r="I55" t="str">
            <v>R</v>
          </cell>
          <cell r="J55" t="str">
            <v>BLANTYRE</v>
          </cell>
          <cell r="K55">
            <v>9</v>
          </cell>
          <cell r="L55">
            <v>0</v>
          </cell>
          <cell r="W55">
            <v>60</v>
          </cell>
          <cell r="X55" t="str">
            <v>GM</v>
          </cell>
          <cell r="Y55">
            <v>150</v>
          </cell>
          <cell r="Z55" t="str">
            <v>SB</v>
          </cell>
          <cell r="AA55">
            <v>125</v>
          </cell>
          <cell r="AB55" t="str">
            <v>GR</v>
          </cell>
          <cell r="AC55">
            <v>12</v>
          </cell>
          <cell r="AD55" t="str">
            <v>VR</v>
          </cell>
          <cell r="AE55">
            <v>99</v>
          </cell>
          <cell r="AF55" t="str">
            <v>RC</v>
          </cell>
          <cell r="AG55" t="str">
            <v>ST</v>
          </cell>
          <cell r="AH55">
            <v>15</v>
          </cell>
          <cell r="AI55">
            <v>0</v>
          </cell>
          <cell r="AJ55">
            <v>0</v>
          </cell>
          <cell r="AK55">
            <v>0</v>
          </cell>
          <cell r="AL55">
            <v>0</v>
          </cell>
          <cell r="AM55">
            <v>1</v>
          </cell>
          <cell r="AN55" t="str">
            <v>reconstruct 1999</v>
          </cell>
          <cell r="BO55" t="str">
            <v>RS 115</v>
          </cell>
          <cell r="BP55">
            <v>9.4</v>
          </cell>
          <cell r="BQ55">
            <v>3</v>
          </cell>
          <cell r="BR55" t="str">
            <v>R</v>
          </cell>
          <cell r="BS55" t="str">
            <v>C</v>
          </cell>
          <cell r="BT55">
            <v>0</v>
          </cell>
          <cell r="BU55" t="str">
            <v>ST</v>
          </cell>
          <cell r="BV55">
            <v>0</v>
          </cell>
          <cell r="BW55">
            <v>1</v>
          </cell>
          <cell r="BX55">
            <v>10</v>
          </cell>
          <cell r="BY55" t="str">
            <v xml:space="preserve"> </v>
          </cell>
          <cell r="BZ55">
            <v>1</v>
          </cell>
          <cell r="CA55">
            <v>12</v>
          </cell>
          <cell r="CB55">
            <v>1.9</v>
          </cell>
          <cell r="CC55" t="str">
            <v>To be reconstructed 1999</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-1</v>
          </cell>
          <cell r="CW55">
            <v>-1</v>
          </cell>
          <cell r="CX55" t="str">
            <v xml:space="preserve"> </v>
          </cell>
          <cell r="CY55">
            <v>3</v>
          </cell>
          <cell r="CZ55">
            <v>2</v>
          </cell>
          <cell r="DA55">
            <v>1.5</v>
          </cell>
          <cell r="DB55">
            <v>1700</v>
          </cell>
          <cell r="DC55">
            <v>799</v>
          </cell>
          <cell r="DD55">
            <v>442</v>
          </cell>
          <cell r="DE55">
            <v>128</v>
          </cell>
          <cell r="DF55">
            <v>196</v>
          </cell>
          <cell r="DG55">
            <v>34</v>
          </cell>
          <cell r="DH55">
            <v>17</v>
          </cell>
          <cell r="DI55">
            <v>85</v>
          </cell>
        </row>
        <row r="56">
          <cell r="A56" t="str">
            <v>RS 112</v>
          </cell>
          <cell r="B56">
            <v>112</v>
          </cell>
          <cell r="C56" t="str">
            <v>S</v>
          </cell>
          <cell r="D56" t="str">
            <v>T</v>
          </cell>
          <cell r="E56" t="str">
            <v>Chigumula - Nantipwili River</v>
          </cell>
          <cell r="F56" t="str">
            <v>M02</v>
          </cell>
          <cell r="G56">
            <v>2</v>
          </cell>
          <cell r="H56">
            <v>2.6</v>
          </cell>
          <cell r="I56" t="str">
            <v>R</v>
          </cell>
          <cell r="J56" t="str">
            <v>BLANTYRE</v>
          </cell>
          <cell r="K56">
            <v>9</v>
          </cell>
          <cell r="L56">
            <v>0</v>
          </cell>
          <cell r="W56">
            <v>60</v>
          </cell>
          <cell r="X56" t="str">
            <v>GM</v>
          </cell>
          <cell r="Y56">
            <v>150</v>
          </cell>
          <cell r="Z56" t="str">
            <v>SB</v>
          </cell>
          <cell r="AA56">
            <v>125</v>
          </cell>
          <cell r="AB56" t="str">
            <v>GR</v>
          </cell>
          <cell r="AC56">
            <v>12</v>
          </cell>
          <cell r="AD56" t="str">
            <v>VR</v>
          </cell>
          <cell r="AE56">
            <v>99</v>
          </cell>
          <cell r="AF56" t="str">
            <v>RC</v>
          </cell>
          <cell r="AG56" t="str">
            <v>ST</v>
          </cell>
          <cell r="AH56">
            <v>15</v>
          </cell>
          <cell r="AI56">
            <v>0</v>
          </cell>
          <cell r="AJ56">
            <v>0</v>
          </cell>
          <cell r="AK56">
            <v>0</v>
          </cell>
          <cell r="AL56">
            <v>0</v>
          </cell>
          <cell r="AM56">
            <v>1</v>
          </cell>
          <cell r="AN56" t="str">
            <v>reconstruct 1999</v>
          </cell>
          <cell r="BO56" t="str">
            <v>RS 112</v>
          </cell>
          <cell r="BP56">
            <v>2.6</v>
          </cell>
          <cell r="BQ56" t="str">
            <v>n.a.</v>
          </cell>
          <cell r="BR56" t="str">
            <v>R</v>
          </cell>
          <cell r="BS56" t="str">
            <v>X</v>
          </cell>
          <cell r="BT56">
            <v>80</v>
          </cell>
          <cell r="BU56" t="str">
            <v>ST</v>
          </cell>
          <cell r="BV56">
            <v>0</v>
          </cell>
          <cell r="BW56">
            <v>1</v>
          </cell>
          <cell r="BX56">
            <v>10</v>
          </cell>
          <cell r="BY56" t="str">
            <v xml:space="preserve"> </v>
          </cell>
          <cell r="BZ56">
            <v>1</v>
          </cell>
          <cell r="CA56">
            <v>12</v>
          </cell>
          <cell r="CB56">
            <v>1.9</v>
          </cell>
          <cell r="CC56" t="str">
            <v>Bitumen surface removed. To be re-constructed 1999</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-1</v>
          </cell>
          <cell r="CW56">
            <v>-1</v>
          </cell>
          <cell r="CX56" t="str">
            <v xml:space="preserve"> </v>
          </cell>
          <cell r="CY56" t="str">
            <v>n.a.</v>
          </cell>
          <cell r="CZ56" t="str">
            <v>n.a.</v>
          </cell>
          <cell r="DA56">
            <v>1.5</v>
          </cell>
          <cell r="DB56">
            <v>1600</v>
          </cell>
          <cell r="DC56">
            <v>752</v>
          </cell>
          <cell r="DD56">
            <v>416</v>
          </cell>
          <cell r="DE56">
            <v>120</v>
          </cell>
          <cell r="DF56">
            <v>184</v>
          </cell>
          <cell r="DG56">
            <v>32</v>
          </cell>
          <cell r="DH56">
            <v>16</v>
          </cell>
          <cell r="DI56">
            <v>80</v>
          </cell>
        </row>
        <row r="57">
          <cell r="A57" t="str">
            <v>RS 110</v>
          </cell>
          <cell r="B57">
            <v>110</v>
          </cell>
          <cell r="C57" t="str">
            <v>S</v>
          </cell>
          <cell r="D57" t="str">
            <v>T</v>
          </cell>
          <cell r="E57" t="str">
            <v>Bvumbwe - Thunga</v>
          </cell>
          <cell r="F57" t="str">
            <v>M02</v>
          </cell>
          <cell r="G57">
            <v>3</v>
          </cell>
          <cell r="H57">
            <v>9.3000000000000007</v>
          </cell>
          <cell r="I57" t="str">
            <v>F</v>
          </cell>
          <cell r="J57" t="str">
            <v>THYOLO</v>
          </cell>
          <cell r="K57">
            <v>9</v>
          </cell>
          <cell r="L57">
            <v>0</v>
          </cell>
          <cell r="W57">
            <v>60</v>
          </cell>
          <cell r="X57" t="str">
            <v>GM</v>
          </cell>
          <cell r="Y57">
            <v>150</v>
          </cell>
          <cell r="Z57" t="str">
            <v>SB</v>
          </cell>
          <cell r="AA57">
            <v>125</v>
          </cell>
          <cell r="AB57" t="str">
            <v>GR</v>
          </cell>
          <cell r="AC57">
            <v>12</v>
          </cell>
          <cell r="AD57" t="str">
            <v>VR</v>
          </cell>
          <cell r="AE57">
            <v>99</v>
          </cell>
          <cell r="AF57" t="str">
            <v>RC</v>
          </cell>
          <cell r="AG57" t="str">
            <v>ST</v>
          </cell>
          <cell r="AH57">
            <v>15</v>
          </cell>
          <cell r="AI57">
            <v>0</v>
          </cell>
          <cell r="AJ57">
            <v>0</v>
          </cell>
          <cell r="AK57">
            <v>0</v>
          </cell>
          <cell r="AL57">
            <v>0</v>
          </cell>
          <cell r="AM57">
            <v>1</v>
          </cell>
          <cell r="AN57" t="str">
            <v>reconstruct 1999</v>
          </cell>
          <cell r="BO57" t="str">
            <v>RS 110</v>
          </cell>
          <cell r="BP57">
            <v>9.3000000000000007</v>
          </cell>
          <cell r="BQ57" t="str">
            <v>n.a.</v>
          </cell>
          <cell r="BR57" t="str">
            <v>F</v>
          </cell>
          <cell r="BS57" t="str">
            <v>X</v>
          </cell>
          <cell r="BT57">
            <v>80</v>
          </cell>
          <cell r="BU57" t="str">
            <v>ST</v>
          </cell>
          <cell r="BV57">
            <v>0</v>
          </cell>
          <cell r="BW57">
            <v>1</v>
          </cell>
          <cell r="BX57">
            <v>10</v>
          </cell>
          <cell r="BY57" t="str">
            <v xml:space="preserve"> </v>
          </cell>
          <cell r="BZ57">
            <v>1</v>
          </cell>
          <cell r="CA57">
            <v>12</v>
          </cell>
          <cell r="CB57">
            <v>1.9</v>
          </cell>
          <cell r="CC57" t="str">
            <v>Bitumen surface removed. To be re-constructed 1999</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-1</v>
          </cell>
          <cell r="CW57">
            <v>-1</v>
          </cell>
          <cell r="CX57" t="str">
            <v xml:space="preserve"> </v>
          </cell>
          <cell r="CY57" t="str">
            <v>n.a.</v>
          </cell>
          <cell r="CZ57" t="str">
            <v>n.a.</v>
          </cell>
          <cell r="DA57">
            <v>1.5</v>
          </cell>
          <cell r="DB57">
            <v>1000</v>
          </cell>
          <cell r="DC57">
            <v>470</v>
          </cell>
          <cell r="DD57">
            <v>260</v>
          </cell>
          <cell r="DE57">
            <v>75</v>
          </cell>
          <cell r="DF57">
            <v>115</v>
          </cell>
          <cell r="DG57">
            <v>20</v>
          </cell>
          <cell r="DH57">
            <v>10</v>
          </cell>
          <cell r="DI57">
            <v>50</v>
          </cell>
        </row>
        <row r="58">
          <cell r="A58" t="str">
            <v>RS 117</v>
          </cell>
          <cell r="B58">
            <v>117</v>
          </cell>
          <cell r="C58" t="str">
            <v>S</v>
          </cell>
          <cell r="D58" t="str">
            <v>T</v>
          </cell>
          <cell r="E58" t="str">
            <v>Thunga - Thyolo</v>
          </cell>
          <cell r="F58" t="str">
            <v>M02</v>
          </cell>
          <cell r="G58">
            <v>4</v>
          </cell>
          <cell r="H58">
            <v>12</v>
          </cell>
          <cell r="I58" t="str">
            <v>H</v>
          </cell>
          <cell r="J58" t="str">
            <v>THYOLO</v>
          </cell>
          <cell r="K58">
            <v>9</v>
          </cell>
          <cell r="L58">
            <v>0</v>
          </cell>
          <cell r="W58">
            <v>60</v>
          </cell>
          <cell r="X58" t="str">
            <v>GM</v>
          </cell>
          <cell r="Y58">
            <v>150</v>
          </cell>
          <cell r="Z58" t="str">
            <v>SB</v>
          </cell>
          <cell r="AA58">
            <v>125</v>
          </cell>
          <cell r="AB58" t="str">
            <v>GR</v>
          </cell>
          <cell r="AC58">
            <v>12</v>
          </cell>
          <cell r="AD58" t="str">
            <v>VR</v>
          </cell>
          <cell r="AE58">
            <v>99</v>
          </cell>
          <cell r="AF58" t="str">
            <v>RC</v>
          </cell>
          <cell r="AG58" t="str">
            <v>ST</v>
          </cell>
          <cell r="AH58">
            <v>15</v>
          </cell>
          <cell r="AI58">
            <v>0</v>
          </cell>
          <cell r="AJ58">
            <v>0</v>
          </cell>
          <cell r="AK58">
            <v>0</v>
          </cell>
          <cell r="AL58">
            <v>0</v>
          </cell>
          <cell r="AM58">
            <v>1</v>
          </cell>
          <cell r="AN58" t="str">
            <v>reconstruct 1999</v>
          </cell>
          <cell r="BO58" t="str">
            <v>RS 117</v>
          </cell>
          <cell r="BP58">
            <v>12</v>
          </cell>
          <cell r="BQ58">
            <v>3.5</v>
          </cell>
          <cell r="BR58" t="str">
            <v>H</v>
          </cell>
          <cell r="BS58" t="str">
            <v>C</v>
          </cell>
          <cell r="BT58">
            <v>0</v>
          </cell>
          <cell r="BU58" t="str">
            <v>ST</v>
          </cell>
          <cell r="BV58">
            <v>0</v>
          </cell>
          <cell r="BW58">
            <v>1</v>
          </cell>
          <cell r="BX58">
            <v>10</v>
          </cell>
          <cell r="BY58" t="str">
            <v xml:space="preserve"> </v>
          </cell>
          <cell r="BZ58">
            <v>1</v>
          </cell>
          <cell r="CA58">
            <v>12</v>
          </cell>
          <cell r="CB58">
            <v>1.9</v>
          </cell>
          <cell r="CC58" t="str">
            <v>To be reconstructed 1999</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t="str">
            <v>recon 99</v>
          </cell>
          <cell r="CW58">
            <v>0</v>
          </cell>
          <cell r="CX58">
            <v>0</v>
          </cell>
          <cell r="CY58">
            <v>3</v>
          </cell>
          <cell r="CZ58">
            <v>2</v>
          </cell>
          <cell r="DA58">
            <v>1.5</v>
          </cell>
          <cell r="DB58">
            <v>935</v>
          </cell>
          <cell r="DC58">
            <v>440</v>
          </cell>
          <cell r="DD58">
            <v>244</v>
          </cell>
          <cell r="DE58">
            <v>71</v>
          </cell>
          <cell r="DF58">
            <v>108</v>
          </cell>
          <cell r="DG58">
            <v>19</v>
          </cell>
          <cell r="DH58">
            <v>10</v>
          </cell>
          <cell r="DI58">
            <v>47</v>
          </cell>
        </row>
        <row r="59">
          <cell r="A59" t="str">
            <v>RS 109</v>
          </cell>
          <cell r="B59">
            <v>109</v>
          </cell>
          <cell r="C59" t="str">
            <v>S</v>
          </cell>
          <cell r="D59" t="str">
            <v>T</v>
          </cell>
          <cell r="E59" t="str">
            <v>Thyolo - Thuchila River</v>
          </cell>
          <cell r="F59" t="str">
            <v>M02</v>
          </cell>
          <cell r="G59">
            <v>5</v>
          </cell>
          <cell r="H59">
            <v>22.7</v>
          </cell>
          <cell r="I59" t="str">
            <v>H</v>
          </cell>
          <cell r="J59" t="str">
            <v>THYOLO</v>
          </cell>
          <cell r="K59">
            <v>9</v>
          </cell>
          <cell r="L59">
            <v>0</v>
          </cell>
          <cell r="W59">
            <v>60</v>
          </cell>
          <cell r="X59" t="str">
            <v>GM</v>
          </cell>
          <cell r="Y59">
            <v>150</v>
          </cell>
          <cell r="Z59" t="str">
            <v>SB</v>
          </cell>
          <cell r="AA59">
            <v>125</v>
          </cell>
          <cell r="AB59" t="str">
            <v>GR</v>
          </cell>
          <cell r="AC59">
            <v>12</v>
          </cell>
          <cell r="AD59" t="str">
            <v>VR</v>
          </cell>
          <cell r="AE59">
            <v>98</v>
          </cell>
          <cell r="AF59" t="str">
            <v>RC</v>
          </cell>
          <cell r="AG59" t="str">
            <v>ST</v>
          </cell>
          <cell r="AH59">
            <v>15</v>
          </cell>
          <cell r="AI59">
            <v>0</v>
          </cell>
          <cell r="AJ59">
            <v>0</v>
          </cell>
          <cell r="AK59">
            <v>0</v>
          </cell>
          <cell r="AL59">
            <v>0</v>
          </cell>
          <cell r="AM59">
            <v>1</v>
          </cell>
          <cell r="AN59" t="str">
            <v>reconstructed 1998</v>
          </cell>
          <cell r="BO59" t="str">
            <v>RS 109</v>
          </cell>
          <cell r="BP59">
            <v>22.7</v>
          </cell>
          <cell r="BQ59" t="str">
            <v>n.a.</v>
          </cell>
          <cell r="BR59" t="str">
            <v>H</v>
          </cell>
          <cell r="BS59" t="str">
            <v>n.a.</v>
          </cell>
          <cell r="BT59">
            <v>0</v>
          </cell>
          <cell r="BU59" t="str">
            <v>ST</v>
          </cell>
          <cell r="BV59">
            <v>0</v>
          </cell>
          <cell r="BW59">
            <v>1</v>
          </cell>
          <cell r="BX59">
            <v>10</v>
          </cell>
          <cell r="BY59" t="str">
            <v xml:space="preserve"> </v>
          </cell>
          <cell r="BZ59">
            <v>1</v>
          </cell>
          <cell r="CA59">
            <v>12</v>
          </cell>
          <cell r="CB59">
            <v>1.9</v>
          </cell>
          <cell r="CC59" t="str">
            <v>Under reconstruction 1998</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 xml:space="preserve"> </v>
          </cell>
          <cell r="CY59" t="str">
            <v>n.a.</v>
          </cell>
          <cell r="CZ59" t="str">
            <v>n.a.</v>
          </cell>
          <cell r="DA59" t="str">
            <v>n.a.</v>
          </cell>
          <cell r="DB59">
            <v>935</v>
          </cell>
          <cell r="DC59">
            <v>440</v>
          </cell>
          <cell r="DD59">
            <v>244</v>
          </cell>
          <cell r="DE59">
            <v>71</v>
          </cell>
          <cell r="DF59">
            <v>108</v>
          </cell>
          <cell r="DG59">
            <v>19</v>
          </cell>
          <cell r="DH59">
            <v>10</v>
          </cell>
          <cell r="DI59">
            <v>47</v>
          </cell>
        </row>
        <row r="60">
          <cell r="A60" t="str">
            <v>RS 111</v>
          </cell>
          <cell r="B60">
            <v>111</v>
          </cell>
          <cell r="C60" t="str">
            <v>S</v>
          </cell>
          <cell r="D60" t="str">
            <v>T</v>
          </cell>
          <cell r="E60" t="str">
            <v>Luchenza - Luwanje</v>
          </cell>
          <cell r="F60" t="str">
            <v>M02</v>
          </cell>
          <cell r="G60">
            <v>6</v>
          </cell>
          <cell r="H60">
            <v>11</v>
          </cell>
          <cell r="I60" t="str">
            <v>R</v>
          </cell>
          <cell r="J60" t="str">
            <v>MULANJE</v>
          </cell>
          <cell r="K60">
            <v>9</v>
          </cell>
          <cell r="L60">
            <v>0</v>
          </cell>
          <cell r="W60">
            <v>60</v>
          </cell>
          <cell r="X60" t="str">
            <v>GM</v>
          </cell>
          <cell r="Y60">
            <v>150</v>
          </cell>
          <cell r="Z60" t="str">
            <v>SB</v>
          </cell>
          <cell r="AA60">
            <v>125</v>
          </cell>
          <cell r="AB60" t="str">
            <v>GR</v>
          </cell>
          <cell r="AC60">
            <v>12</v>
          </cell>
          <cell r="AD60" t="str">
            <v>VR</v>
          </cell>
          <cell r="AE60">
            <v>98</v>
          </cell>
          <cell r="AF60" t="str">
            <v>RC</v>
          </cell>
          <cell r="AG60" t="str">
            <v>ST</v>
          </cell>
          <cell r="AH60">
            <v>15</v>
          </cell>
          <cell r="AI60">
            <v>0</v>
          </cell>
          <cell r="AJ60">
            <v>0</v>
          </cell>
          <cell r="AK60">
            <v>0</v>
          </cell>
          <cell r="AL60">
            <v>0</v>
          </cell>
          <cell r="AM60">
            <v>1</v>
          </cell>
          <cell r="AN60" t="str">
            <v>reconstructed 1998</v>
          </cell>
          <cell r="BO60" t="str">
            <v>RS 111</v>
          </cell>
          <cell r="BP60">
            <v>11</v>
          </cell>
          <cell r="BQ60" t="str">
            <v>n.a.</v>
          </cell>
          <cell r="BR60" t="str">
            <v>R</v>
          </cell>
          <cell r="BS60" t="str">
            <v>n.a.</v>
          </cell>
          <cell r="BT60">
            <v>0</v>
          </cell>
          <cell r="BU60" t="str">
            <v>ST</v>
          </cell>
          <cell r="BV60">
            <v>0</v>
          </cell>
          <cell r="BW60">
            <v>1</v>
          </cell>
          <cell r="BX60">
            <v>10</v>
          </cell>
          <cell r="BY60" t="str">
            <v xml:space="preserve"> </v>
          </cell>
          <cell r="BZ60">
            <v>1</v>
          </cell>
          <cell r="CA60">
            <v>12</v>
          </cell>
          <cell r="CB60">
            <v>1.9</v>
          </cell>
          <cell r="CC60" t="str">
            <v>Under reconstruction 1998</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 xml:space="preserve"> </v>
          </cell>
          <cell r="CY60" t="str">
            <v>n.a.</v>
          </cell>
          <cell r="CZ60" t="str">
            <v>n.a.</v>
          </cell>
          <cell r="DA60" t="str">
            <v>n.a.</v>
          </cell>
          <cell r="DB60">
            <v>400</v>
          </cell>
          <cell r="DC60">
            <v>188</v>
          </cell>
          <cell r="DD60">
            <v>104</v>
          </cell>
          <cell r="DE60">
            <v>30</v>
          </cell>
          <cell r="DF60">
            <v>46</v>
          </cell>
          <cell r="DG60">
            <v>8</v>
          </cell>
          <cell r="DH60">
            <v>4</v>
          </cell>
          <cell r="DI60">
            <v>20</v>
          </cell>
        </row>
        <row r="61">
          <cell r="A61" t="str">
            <v>RS 108</v>
          </cell>
          <cell r="B61">
            <v>108</v>
          </cell>
          <cell r="C61" t="str">
            <v>S</v>
          </cell>
          <cell r="D61" t="str">
            <v>T</v>
          </cell>
          <cell r="E61" t="str">
            <v>Luwanje - Chitakale</v>
          </cell>
          <cell r="F61" t="str">
            <v>M02</v>
          </cell>
          <cell r="G61">
            <v>7</v>
          </cell>
          <cell r="H61">
            <v>9.5</v>
          </cell>
          <cell r="I61" t="str">
            <v>F</v>
          </cell>
          <cell r="J61" t="str">
            <v>MULANJE</v>
          </cell>
          <cell r="K61">
            <v>9</v>
          </cell>
          <cell r="L61">
            <v>0</v>
          </cell>
          <cell r="W61">
            <v>60</v>
          </cell>
          <cell r="X61" t="str">
            <v>GM</v>
          </cell>
          <cell r="Y61">
            <v>150</v>
          </cell>
          <cell r="Z61" t="str">
            <v>SB</v>
          </cell>
          <cell r="AA61">
            <v>125</v>
          </cell>
          <cell r="AB61" t="str">
            <v>GR</v>
          </cell>
          <cell r="AC61">
            <v>12</v>
          </cell>
          <cell r="AD61" t="str">
            <v>VR</v>
          </cell>
          <cell r="AE61">
            <v>98</v>
          </cell>
          <cell r="AF61" t="str">
            <v>RC</v>
          </cell>
          <cell r="AG61" t="str">
            <v>ST</v>
          </cell>
          <cell r="AH61">
            <v>15</v>
          </cell>
          <cell r="AI61">
            <v>0</v>
          </cell>
          <cell r="AJ61">
            <v>0</v>
          </cell>
          <cell r="AK61">
            <v>0</v>
          </cell>
          <cell r="AL61">
            <v>0</v>
          </cell>
          <cell r="AM61">
            <v>1</v>
          </cell>
          <cell r="AN61" t="str">
            <v>reconstruct 1998</v>
          </cell>
          <cell r="BO61" t="str">
            <v>RS 108</v>
          </cell>
          <cell r="BP61">
            <v>9.5</v>
          </cell>
          <cell r="BQ61" t="str">
            <v>n.a.</v>
          </cell>
          <cell r="BR61" t="str">
            <v>F</v>
          </cell>
          <cell r="BS61" t="str">
            <v>n.a.</v>
          </cell>
          <cell r="BT61">
            <v>0</v>
          </cell>
          <cell r="BU61" t="str">
            <v>ST</v>
          </cell>
          <cell r="BV61">
            <v>0</v>
          </cell>
          <cell r="BW61">
            <v>1</v>
          </cell>
          <cell r="BX61">
            <v>10</v>
          </cell>
          <cell r="BY61" t="str">
            <v xml:space="preserve"> </v>
          </cell>
          <cell r="BZ61">
            <v>1</v>
          </cell>
          <cell r="CA61">
            <v>12</v>
          </cell>
          <cell r="CB61">
            <v>1.9</v>
          </cell>
          <cell r="CC61" t="str">
            <v>Under reconstruction 1998</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 xml:space="preserve"> </v>
          </cell>
          <cell r="CY61" t="str">
            <v>n.a.</v>
          </cell>
          <cell r="CZ61" t="str">
            <v>n.a.</v>
          </cell>
          <cell r="DA61" t="str">
            <v>n.a.</v>
          </cell>
          <cell r="DB61">
            <v>400</v>
          </cell>
          <cell r="DC61">
            <v>188</v>
          </cell>
          <cell r="DD61">
            <v>104</v>
          </cell>
          <cell r="DE61">
            <v>30</v>
          </cell>
          <cell r="DF61">
            <v>46</v>
          </cell>
          <cell r="DG61">
            <v>8</v>
          </cell>
          <cell r="DH61">
            <v>4</v>
          </cell>
          <cell r="DI61">
            <v>20</v>
          </cell>
        </row>
        <row r="62">
          <cell r="A62" t="str">
            <v>RS 114</v>
          </cell>
          <cell r="B62">
            <v>114</v>
          </cell>
          <cell r="C62" t="str">
            <v>S</v>
          </cell>
          <cell r="D62" t="str">
            <v>T</v>
          </cell>
          <cell r="E62" t="str">
            <v>Chitakale - Chanunkha River</v>
          </cell>
          <cell r="F62" t="str">
            <v>M02</v>
          </cell>
          <cell r="G62">
            <v>8</v>
          </cell>
          <cell r="H62">
            <v>10</v>
          </cell>
          <cell r="I62" t="str">
            <v>F</v>
          </cell>
          <cell r="J62" t="str">
            <v>MULANJE</v>
          </cell>
          <cell r="K62">
            <v>9</v>
          </cell>
          <cell r="L62">
            <v>0</v>
          </cell>
          <cell r="W62">
            <v>60</v>
          </cell>
          <cell r="X62" t="str">
            <v>GM</v>
          </cell>
          <cell r="Y62">
            <v>150</v>
          </cell>
          <cell r="Z62" t="str">
            <v>SB</v>
          </cell>
          <cell r="AA62">
            <v>125</v>
          </cell>
          <cell r="AB62" t="str">
            <v>GR</v>
          </cell>
          <cell r="AC62">
            <v>12</v>
          </cell>
          <cell r="AD62" t="str">
            <v>VR</v>
          </cell>
          <cell r="AE62">
            <v>98</v>
          </cell>
          <cell r="AF62" t="str">
            <v>RC</v>
          </cell>
          <cell r="AG62" t="str">
            <v>ST</v>
          </cell>
          <cell r="AH62">
            <v>15</v>
          </cell>
          <cell r="AI62">
            <v>0</v>
          </cell>
          <cell r="AJ62">
            <v>0</v>
          </cell>
          <cell r="AK62">
            <v>0</v>
          </cell>
          <cell r="AL62">
            <v>0</v>
          </cell>
          <cell r="AM62">
            <v>1</v>
          </cell>
          <cell r="AN62" t="str">
            <v>reconstruct 1998</v>
          </cell>
          <cell r="BO62" t="str">
            <v>RS 114</v>
          </cell>
          <cell r="BP62">
            <v>10</v>
          </cell>
          <cell r="BQ62" t="str">
            <v>n.a.</v>
          </cell>
          <cell r="BR62" t="str">
            <v>F</v>
          </cell>
          <cell r="BS62" t="str">
            <v>n.a.</v>
          </cell>
          <cell r="BT62">
            <v>0</v>
          </cell>
          <cell r="BU62" t="str">
            <v>ST</v>
          </cell>
          <cell r="BV62">
            <v>0</v>
          </cell>
          <cell r="BW62">
            <v>1</v>
          </cell>
          <cell r="BX62">
            <v>10</v>
          </cell>
          <cell r="BY62" t="str">
            <v xml:space="preserve"> </v>
          </cell>
          <cell r="BZ62">
            <v>1</v>
          </cell>
          <cell r="CA62">
            <v>12</v>
          </cell>
          <cell r="CB62">
            <v>1.9</v>
          </cell>
          <cell r="CC62" t="str">
            <v>Under reconstruction 1998</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 xml:space="preserve"> </v>
          </cell>
          <cell r="CY62" t="str">
            <v>n.a.</v>
          </cell>
          <cell r="CZ62" t="str">
            <v>n.a.</v>
          </cell>
          <cell r="DA62" t="str">
            <v>n.a.</v>
          </cell>
          <cell r="DB62">
            <v>350</v>
          </cell>
          <cell r="DC62">
            <v>165</v>
          </cell>
          <cell r="DD62">
            <v>91</v>
          </cell>
          <cell r="DE62">
            <v>27</v>
          </cell>
          <cell r="DF62">
            <v>41</v>
          </cell>
          <cell r="DG62">
            <v>7</v>
          </cell>
          <cell r="DH62">
            <v>4</v>
          </cell>
          <cell r="DI62">
            <v>18</v>
          </cell>
        </row>
        <row r="63">
          <cell r="A63" t="str">
            <v>RS 118</v>
          </cell>
          <cell r="B63">
            <v>118</v>
          </cell>
          <cell r="C63" t="str">
            <v>S</v>
          </cell>
          <cell r="D63" t="str">
            <v>T</v>
          </cell>
          <cell r="E63" t="str">
            <v>Chanunkha River - Mimosa</v>
          </cell>
          <cell r="F63" t="str">
            <v>M02</v>
          </cell>
          <cell r="G63">
            <v>9</v>
          </cell>
          <cell r="H63">
            <v>7.5</v>
          </cell>
          <cell r="I63" t="str">
            <v>R</v>
          </cell>
          <cell r="J63" t="str">
            <v>MULANJE</v>
          </cell>
          <cell r="K63">
            <v>9</v>
          </cell>
          <cell r="L63">
            <v>0</v>
          </cell>
          <cell r="W63">
            <v>60</v>
          </cell>
          <cell r="X63" t="str">
            <v>GM</v>
          </cell>
          <cell r="Y63">
            <v>150</v>
          </cell>
          <cell r="Z63" t="str">
            <v>SB</v>
          </cell>
          <cell r="AA63">
            <v>125</v>
          </cell>
          <cell r="AB63" t="str">
            <v>GR</v>
          </cell>
          <cell r="AC63">
            <v>12</v>
          </cell>
          <cell r="AD63" t="str">
            <v>VR</v>
          </cell>
          <cell r="AE63">
            <v>98</v>
          </cell>
          <cell r="AF63" t="str">
            <v>RC</v>
          </cell>
          <cell r="AG63" t="str">
            <v>ST</v>
          </cell>
          <cell r="AH63">
            <v>15</v>
          </cell>
          <cell r="AI63">
            <v>0</v>
          </cell>
          <cell r="AJ63">
            <v>0</v>
          </cell>
          <cell r="AK63">
            <v>0</v>
          </cell>
          <cell r="AL63">
            <v>0</v>
          </cell>
          <cell r="AM63">
            <v>1</v>
          </cell>
          <cell r="AN63" t="str">
            <v>reconstruct 1998</v>
          </cell>
          <cell r="BO63" t="str">
            <v>RS 118</v>
          </cell>
          <cell r="BP63">
            <v>7.5</v>
          </cell>
          <cell r="BQ63" t="str">
            <v>n.a.</v>
          </cell>
          <cell r="BR63" t="str">
            <v>R</v>
          </cell>
          <cell r="BS63" t="str">
            <v>n.a.</v>
          </cell>
          <cell r="BT63">
            <v>0</v>
          </cell>
          <cell r="BU63" t="str">
            <v>ST</v>
          </cell>
          <cell r="BV63">
            <v>0</v>
          </cell>
          <cell r="BW63">
            <v>1</v>
          </cell>
          <cell r="BX63">
            <v>10</v>
          </cell>
          <cell r="BY63" t="str">
            <v xml:space="preserve"> </v>
          </cell>
          <cell r="BZ63">
            <v>1</v>
          </cell>
          <cell r="CA63">
            <v>12</v>
          </cell>
          <cell r="CB63">
            <v>1.9</v>
          </cell>
          <cell r="CC63" t="str">
            <v>Under reconstruction 1998</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 xml:space="preserve"> </v>
          </cell>
          <cell r="CY63" t="str">
            <v>n.a.</v>
          </cell>
          <cell r="CZ63" t="str">
            <v>n.a.</v>
          </cell>
          <cell r="DA63" t="str">
            <v>n.a.</v>
          </cell>
          <cell r="DB63">
            <v>350</v>
          </cell>
          <cell r="DC63">
            <v>165</v>
          </cell>
          <cell r="DD63">
            <v>91</v>
          </cell>
          <cell r="DE63">
            <v>27</v>
          </cell>
          <cell r="DF63">
            <v>41</v>
          </cell>
          <cell r="DG63">
            <v>7</v>
          </cell>
          <cell r="DH63">
            <v>4</v>
          </cell>
          <cell r="DI63">
            <v>18</v>
          </cell>
        </row>
        <row r="64">
          <cell r="A64" t="str">
            <v>RS 113</v>
          </cell>
          <cell r="B64">
            <v>113</v>
          </cell>
          <cell r="C64" t="str">
            <v>S</v>
          </cell>
          <cell r="D64" t="str">
            <v>T</v>
          </cell>
          <cell r="E64" t="str">
            <v>Mimosa - Muloza International Border</v>
          </cell>
          <cell r="F64" t="str">
            <v>M02</v>
          </cell>
          <cell r="G64">
            <v>10</v>
          </cell>
          <cell r="H64">
            <v>14.2</v>
          </cell>
          <cell r="I64" t="str">
            <v>R</v>
          </cell>
          <cell r="J64" t="str">
            <v>MULANJE</v>
          </cell>
          <cell r="K64">
            <v>9</v>
          </cell>
          <cell r="L64">
            <v>0</v>
          </cell>
          <cell r="W64">
            <v>60</v>
          </cell>
          <cell r="X64" t="str">
            <v>GM</v>
          </cell>
          <cell r="Y64">
            <v>150</v>
          </cell>
          <cell r="Z64" t="str">
            <v>SB</v>
          </cell>
          <cell r="AA64">
            <v>125</v>
          </cell>
          <cell r="AB64" t="str">
            <v>GR</v>
          </cell>
          <cell r="AC64">
            <v>12</v>
          </cell>
          <cell r="AD64" t="str">
            <v>VR</v>
          </cell>
          <cell r="AE64">
            <v>98</v>
          </cell>
          <cell r="AF64" t="str">
            <v>RC</v>
          </cell>
          <cell r="AG64" t="str">
            <v>ST</v>
          </cell>
          <cell r="AH64">
            <v>15</v>
          </cell>
          <cell r="AI64">
            <v>0</v>
          </cell>
          <cell r="AJ64">
            <v>0</v>
          </cell>
          <cell r="AK64">
            <v>0</v>
          </cell>
          <cell r="AL64">
            <v>0</v>
          </cell>
          <cell r="AM64">
            <v>1</v>
          </cell>
          <cell r="AN64" t="str">
            <v>reconstruct 1998</v>
          </cell>
          <cell r="BO64" t="str">
            <v>RS 113</v>
          </cell>
          <cell r="BP64">
            <v>14.2</v>
          </cell>
          <cell r="BQ64" t="str">
            <v>n.a.</v>
          </cell>
          <cell r="BR64" t="str">
            <v>R</v>
          </cell>
          <cell r="BS64" t="str">
            <v>n.a.</v>
          </cell>
          <cell r="BT64">
            <v>0</v>
          </cell>
          <cell r="BU64" t="str">
            <v>ST</v>
          </cell>
          <cell r="BV64">
            <v>0</v>
          </cell>
          <cell r="BW64">
            <v>1</v>
          </cell>
          <cell r="BX64">
            <v>10</v>
          </cell>
          <cell r="BY64" t="str">
            <v xml:space="preserve"> </v>
          </cell>
          <cell r="BZ64">
            <v>1</v>
          </cell>
          <cell r="CA64">
            <v>12</v>
          </cell>
          <cell r="CB64">
            <v>1.9</v>
          </cell>
          <cell r="CC64" t="str">
            <v>Under reconstruction 1998</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 xml:space="preserve"> </v>
          </cell>
          <cell r="CY64" t="str">
            <v>n.a.</v>
          </cell>
          <cell r="CZ64" t="str">
            <v>n.a.</v>
          </cell>
          <cell r="DA64" t="str">
            <v>n.a.</v>
          </cell>
          <cell r="DB64">
            <v>200</v>
          </cell>
          <cell r="DC64">
            <v>94</v>
          </cell>
          <cell r="DD64">
            <v>52</v>
          </cell>
          <cell r="DE64">
            <v>15</v>
          </cell>
          <cell r="DF64">
            <v>23</v>
          </cell>
          <cell r="DG64">
            <v>4</v>
          </cell>
          <cell r="DH64">
            <v>2</v>
          </cell>
          <cell r="DI64">
            <v>10</v>
          </cell>
        </row>
        <row r="65">
          <cell r="A65" t="str">
            <v>RS 123</v>
          </cell>
          <cell r="B65">
            <v>123</v>
          </cell>
          <cell r="C65" t="str">
            <v>S</v>
          </cell>
          <cell r="D65" t="str">
            <v>T</v>
          </cell>
          <cell r="E65" t="str">
            <v>Chinkombero (BBC Post) - Mbulumbuzi</v>
          </cell>
          <cell r="F65" t="str">
            <v>M03</v>
          </cell>
          <cell r="G65">
            <v>1</v>
          </cell>
          <cell r="H65">
            <v>12.4</v>
          </cell>
          <cell r="I65" t="str">
            <v>F</v>
          </cell>
          <cell r="J65" t="str">
            <v>CHIRADZULU</v>
          </cell>
          <cell r="K65">
            <v>9</v>
          </cell>
          <cell r="L65">
            <v>0</v>
          </cell>
          <cell r="W65">
            <v>50</v>
          </cell>
          <cell r="X65" t="str">
            <v>GM</v>
          </cell>
          <cell r="Y65">
            <v>150</v>
          </cell>
          <cell r="Z65" t="str">
            <v>SB</v>
          </cell>
          <cell r="AA65">
            <v>150</v>
          </cell>
          <cell r="AB65" t="str">
            <v>GR</v>
          </cell>
          <cell r="AC65">
            <v>15</v>
          </cell>
          <cell r="AD65" t="str">
            <v>VR</v>
          </cell>
          <cell r="AE65">
            <v>87</v>
          </cell>
          <cell r="AF65" t="str">
            <v>SR</v>
          </cell>
          <cell r="AG65" t="str">
            <v>ST</v>
          </cell>
          <cell r="AH65">
            <v>10</v>
          </cell>
          <cell r="AI65">
            <v>96</v>
          </cell>
          <cell r="AJ65" t="str">
            <v>SS</v>
          </cell>
          <cell r="AK65" t="str">
            <v>SS</v>
          </cell>
          <cell r="AL65">
            <v>5</v>
          </cell>
          <cell r="AM65">
            <v>3</v>
          </cell>
          <cell r="AN65">
            <v>0</v>
          </cell>
          <cell r="BO65" t="str">
            <v>RS 123</v>
          </cell>
          <cell r="BP65">
            <v>12.4</v>
          </cell>
          <cell r="BQ65">
            <v>6</v>
          </cell>
          <cell r="BR65" t="str">
            <v>F</v>
          </cell>
          <cell r="BS65" t="str">
            <v>S</v>
          </cell>
          <cell r="BT65">
            <v>0</v>
          </cell>
          <cell r="BU65" t="str">
            <v>SS</v>
          </cell>
          <cell r="BV65" t="str">
            <v>SR</v>
          </cell>
          <cell r="BW65">
            <v>3</v>
          </cell>
          <cell r="BX65">
            <v>5</v>
          </cell>
          <cell r="BY65">
            <v>10</v>
          </cell>
          <cell r="BZ65">
            <v>1</v>
          </cell>
          <cell r="CA65">
            <v>15</v>
          </cell>
          <cell r="CB65">
            <v>2.15</v>
          </cell>
          <cell r="CC65">
            <v>6.2166767262063463</v>
          </cell>
          <cell r="CD65">
            <v>50</v>
          </cell>
          <cell r="CE65">
            <v>8</v>
          </cell>
          <cell r="CF65">
            <v>0</v>
          </cell>
          <cell r="CG65">
            <v>50</v>
          </cell>
          <cell r="CH65">
            <v>8</v>
          </cell>
          <cell r="CI65">
            <v>5</v>
          </cell>
          <cell r="CJ65">
            <v>1.6666666666666666E-2</v>
          </cell>
          <cell r="CK65">
            <v>1.6666666666666666E-2</v>
          </cell>
          <cell r="CL65">
            <v>0</v>
          </cell>
          <cell r="CM65">
            <v>6.4615384615384621E-3</v>
          </cell>
          <cell r="CN65">
            <v>6.4615384615384621E-3</v>
          </cell>
          <cell r="CO65">
            <v>0</v>
          </cell>
          <cell r="CP65">
            <v>0</v>
          </cell>
          <cell r="CQ65">
            <v>6.2231382646678846</v>
          </cell>
          <cell r="CR65">
            <v>0</v>
          </cell>
          <cell r="CS65">
            <v>1</v>
          </cell>
          <cell r="CT65">
            <v>0</v>
          </cell>
          <cell r="CU65">
            <v>0</v>
          </cell>
          <cell r="CV65">
            <v>2</v>
          </cell>
          <cell r="CW65">
            <v>48</v>
          </cell>
          <cell r="CX65">
            <v>96</v>
          </cell>
          <cell r="CY65">
            <v>2.5</v>
          </cell>
          <cell r="CZ65">
            <v>1.7</v>
          </cell>
          <cell r="DA65">
            <v>1.7</v>
          </cell>
          <cell r="DB65">
            <v>1400</v>
          </cell>
          <cell r="DC65">
            <v>658</v>
          </cell>
          <cell r="DD65">
            <v>364</v>
          </cell>
          <cell r="DE65">
            <v>105</v>
          </cell>
          <cell r="DF65">
            <v>161</v>
          </cell>
          <cell r="DG65">
            <v>28</v>
          </cell>
          <cell r="DH65">
            <v>14</v>
          </cell>
          <cell r="DI65">
            <v>70</v>
          </cell>
        </row>
        <row r="66">
          <cell r="A66" t="str">
            <v>RS 124</v>
          </cell>
          <cell r="B66">
            <v>124</v>
          </cell>
          <cell r="C66" t="str">
            <v>S</v>
          </cell>
          <cell r="D66" t="str">
            <v>T</v>
          </cell>
          <cell r="E66" t="str">
            <v>Mbulumbuzi - Magomero</v>
          </cell>
          <cell r="F66" t="str">
            <v>M03</v>
          </cell>
          <cell r="G66">
            <v>2</v>
          </cell>
          <cell r="H66">
            <v>11.5</v>
          </cell>
          <cell r="I66" t="str">
            <v>H</v>
          </cell>
          <cell r="J66" t="str">
            <v>CHIRADZULU</v>
          </cell>
          <cell r="K66">
            <v>9</v>
          </cell>
          <cell r="L66">
            <v>0</v>
          </cell>
          <cell r="W66">
            <v>50</v>
          </cell>
          <cell r="X66" t="str">
            <v>GM</v>
          </cell>
          <cell r="Y66">
            <v>150</v>
          </cell>
          <cell r="Z66" t="str">
            <v>SB</v>
          </cell>
          <cell r="AA66">
            <v>150</v>
          </cell>
          <cell r="AB66" t="str">
            <v>GR</v>
          </cell>
          <cell r="AC66">
            <v>15</v>
          </cell>
          <cell r="AD66" t="str">
            <v>VR</v>
          </cell>
          <cell r="AE66">
            <v>87</v>
          </cell>
          <cell r="AF66" t="str">
            <v>SR</v>
          </cell>
          <cell r="AG66" t="str">
            <v>ST</v>
          </cell>
          <cell r="AH66">
            <v>10</v>
          </cell>
          <cell r="AI66">
            <v>96</v>
          </cell>
          <cell r="AJ66" t="str">
            <v>SS</v>
          </cell>
          <cell r="AK66" t="str">
            <v>SS</v>
          </cell>
          <cell r="AL66">
            <v>5</v>
          </cell>
          <cell r="AM66">
            <v>3</v>
          </cell>
          <cell r="AN66">
            <v>0</v>
          </cell>
          <cell r="BO66" t="str">
            <v>RS 124</v>
          </cell>
          <cell r="BP66">
            <v>11.5</v>
          </cell>
          <cell r="BQ66">
            <v>6</v>
          </cell>
          <cell r="BR66" t="str">
            <v>H</v>
          </cell>
          <cell r="BS66" t="str">
            <v>S</v>
          </cell>
          <cell r="BT66">
            <v>0</v>
          </cell>
          <cell r="BU66" t="str">
            <v>SS</v>
          </cell>
          <cell r="BV66" t="str">
            <v>SR</v>
          </cell>
          <cell r="BW66">
            <v>3</v>
          </cell>
          <cell r="BX66">
            <v>5</v>
          </cell>
          <cell r="BY66">
            <v>10</v>
          </cell>
          <cell r="BZ66">
            <v>1</v>
          </cell>
          <cell r="CA66">
            <v>15</v>
          </cell>
          <cell r="CB66">
            <v>2.15</v>
          </cell>
          <cell r="CC66">
            <v>5.0605850173287124</v>
          </cell>
          <cell r="CD66">
            <v>40</v>
          </cell>
          <cell r="CE66">
            <v>2</v>
          </cell>
          <cell r="CF66">
            <v>0</v>
          </cell>
          <cell r="CG66">
            <v>40</v>
          </cell>
          <cell r="CH66">
            <v>2</v>
          </cell>
          <cell r="CI66">
            <v>0.7</v>
          </cell>
          <cell r="CJ66">
            <v>2.3333333333333331E-3</v>
          </cell>
          <cell r="CK66">
            <v>2.3333333333333331E-3</v>
          </cell>
          <cell r="CL66">
            <v>0</v>
          </cell>
          <cell r="CM66">
            <v>9.0461538461538446E-4</v>
          </cell>
          <cell r="CN66">
            <v>9.0461538461538446E-4</v>
          </cell>
          <cell r="CO66">
            <v>0</v>
          </cell>
          <cell r="CP66">
            <v>0</v>
          </cell>
          <cell r="CQ66">
            <v>5.0614896327133279</v>
          </cell>
          <cell r="CR66">
            <v>0</v>
          </cell>
          <cell r="CS66">
            <v>1</v>
          </cell>
          <cell r="CT66">
            <v>0</v>
          </cell>
          <cell r="CU66">
            <v>0</v>
          </cell>
          <cell r="CV66">
            <v>2</v>
          </cell>
          <cell r="CW66">
            <v>48</v>
          </cell>
          <cell r="CX66">
            <v>96</v>
          </cell>
          <cell r="CY66">
            <v>2.2999999999999998</v>
          </cell>
          <cell r="CZ66">
            <v>1.5</v>
          </cell>
          <cell r="DA66">
            <v>1.7</v>
          </cell>
          <cell r="DB66">
            <v>1300</v>
          </cell>
          <cell r="DC66">
            <v>611</v>
          </cell>
          <cell r="DD66">
            <v>338</v>
          </cell>
          <cell r="DE66">
            <v>98</v>
          </cell>
          <cell r="DF66">
            <v>150</v>
          </cell>
          <cell r="DG66">
            <v>26</v>
          </cell>
          <cell r="DH66">
            <v>13</v>
          </cell>
          <cell r="DI66">
            <v>65</v>
          </cell>
        </row>
        <row r="67">
          <cell r="A67" t="str">
            <v>RS 126</v>
          </cell>
          <cell r="B67">
            <v>126</v>
          </cell>
          <cell r="C67" t="str">
            <v>S</v>
          </cell>
          <cell r="D67" t="str">
            <v>T</v>
          </cell>
          <cell r="E67" t="str">
            <v>Namadzi River-Zomba South T'ship Boundary</v>
          </cell>
          <cell r="F67" t="str">
            <v>M03</v>
          </cell>
          <cell r="G67">
            <v>3</v>
          </cell>
          <cell r="H67">
            <v>13.3</v>
          </cell>
          <cell r="I67" t="str">
            <v>R</v>
          </cell>
          <cell r="J67" t="str">
            <v>ZOMBA</v>
          </cell>
          <cell r="K67">
            <v>9</v>
          </cell>
          <cell r="L67">
            <v>0</v>
          </cell>
          <cell r="W67">
            <v>50</v>
          </cell>
          <cell r="X67" t="str">
            <v>GM</v>
          </cell>
          <cell r="Y67">
            <v>150</v>
          </cell>
          <cell r="Z67" t="str">
            <v>SB</v>
          </cell>
          <cell r="AA67">
            <v>150</v>
          </cell>
          <cell r="AB67" t="str">
            <v>GR</v>
          </cell>
          <cell r="AC67">
            <v>15</v>
          </cell>
          <cell r="AD67" t="str">
            <v>VR</v>
          </cell>
          <cell r="AE67">
            <v>87</v>
          </cell>
          <cell r="AF67" t="str">
            <v>SR</v>
          </cell>
          <cell r="AG67" t="str">
            <v>ST</v>
          </cell>
          <cell r="AH67">
            <v>10</v>
          </cell>
          <cell r="AI67">
            <v>96</v>
          </cell>
          <cell r="AJ67" t="str">
            <v>SS</v>
          </cell>
          <cell r="AK67" t="str">
            <v>SS</v>
          </cell>
          <cell r="AL67">
            <v>5</v>
          </cell>
          <cell r="AM67">
            <v>3</v>
          </cell>
          <cell r="AN67">
            <v>0</v>
          </cell>
          <cell r="BO67" t="str">
            <v>RS 126</v>
          </cell>
          <cell r="BP67">
            <v>13.3</v>
          </cell>
          <cell r="BQ67">
            <v>6</v>
          </cell>
          <cell r="BR67" t="str">
            <v>R</v>
          </cell>
          <cell r="BS67" t="str">
            <v>S</v>
          </cell>
          <cell r="BT67">
            <v>0</v>
          </cell>
          <cell r="BU67" t="str">
            <v>SS</v>
          </cell>
          <cell r="BV67" t="str">
            <v>SR</v>
          </cell>
          <cell r="BW67">
            <v>3</v>
          </cell>
          <cell r="BX67">
            <v>5</v>
          </cell>
          <cell r="BY67">
            <v>10</v>
          </cell>
          <cell r="BZ67">
            <v>1</v>
          </cell>
          <cell r="CA67">
            <v>15</v>
          </cell>
          <cell r="CB67">
            <v>2.15</v>
          </cell>
          <cell r="CC67">
            <v>5.78</v>
          </cell>
          <cell r="CD67">
            <v>50</v>
          </cell>
          <cell r="CE67">
            <v>5</v>
          </cell>
          <cell r="CF67">
            <v>0</v>
          </cell>
          <cell r="CG67">
            <v>50</v>
          </cell>
          <cell r="CH67">
            <v>5</v>
          </cell>
          <cell r="CI67">
            <v>0.3</v>
          </cell>
          <cell r="CJ67">
            <v>1E-3</v>
          </cell>
          <cell r="CK67">
            <v>1E-3</v>
          </cell>
          <cell r="CL67">
            <v>0</v>
          </cell>
          <cell r="CM67">
            <v>3.876923076923077E-4</v>
          </cell>
          <cell r="CN67">
            <v>3.876923076923077E-4</v>
          </cell>
          <cell r="CO67">
            <v>0</v>
          </cell>
          <cell r="CP67">
            <v>0</v>
          </cell>
          <cell r="CQ67">
            <v>5.7803876923076922</v>
          </cell>
          <cell r="CR67">
            <v>0</v>
          </cell>
          <cell r="CS67">
            <v>1</v>
          </cell>
          <cell r="CT67">
            <v>0</v>
          </cell>
          <cell r="CU67">
            <v>0</v>
          </cell>
          <cell r="CV67">
            <v>2</v>
          </cell>
          <cell r="CW67">
            <v>48</v>
          </cell>
          <cell r="CX67">
            <v>96</v>
          </cell>
          <cell r="CY67">
            <v>2.5</v>
          </cell>
          <cell r="CZ67">
            <v>3</v>
          </cell>
          <cell r="DA67">
            <v>1.5</v>
          </cell>
          <cell r="DB67">
            <v>1300</v>
          </cell>
          <cell r="DC67">
            <v>611</v>
          </cell>
          <cell r="DD67">
            <v>338</v>
          </cell>
          <cell r="DE67">
            <v>98</v>
          </cell>
          <cell r="DF67">
            <v>150</v>
          </cell>
          <cell r="DG67">
            <v>26</v>
          </cell>
          <cell r="DH67">
            <v>13</v>
          </cell>
          <cell r="DI67">
            <v>65</v>
          </cell>
        </row>
        <row r="68">
          <cell r="A68" t="str">
            <v>RS 121</v>
          </cell>
          <cell r="B68">
            <v>121</v>
          </cell>
          <cell r="C68" t="str">
            <v>S</v>
          </cell>
          <cell r="D68" t="str">
            <v>T</v>
          </cell>
          <cell r="E68" t="str">
            <v>Zomba South Township Boundary-Zomba.</v>
          </cell>
          <cell r="F68" t="str">
            <v>M03</v>
          </cell>
          <cell r="G68">
            <v>4</v>
          </cell>
          <cell r="H68">
            <v>4.5</v>
          </cell>
          <cell r="I68" t="str">
            <v>R</v>
          </cell>
          <cell r="J68" t="str">
            <v>ZOMBA CITY</v>
          </cell>
          <cell r="K68">
            <v>9</v>
          </cell>
          <cell r="L68">
            <v>0</v>
          </cell>
          <cell r="W68">
            <v>50</v>
          </cell>
          <cell r="X68" t="str">
            <v>GM</v>
          </cell>
          <cell r="Y68">
            <v>150</v>
          </cell>
          <cell r="Z68" t="str">
            <v>SB</v>
          </cell>
          <cell r="AA68">
            <v>150</v>
          </cell>
          <cell r="AB68" t="str">
            <v>GR</v>
          </cell>
          <cell r="AC68">
            <v>15</v>
          </cell>
          <cell r="AD68" t="str">
            <v>VR</v>
          </cell>
          <cell r="AE68">
            <v>87</v>
          </cell>
          <cell r="AF68" t="str">
            <v>SR</v>
          </cell>
          <cell r="AG68" t="str">
            <v>ST</v>
          </cell>
          <cell r="AH68">
            <v>10</v>
          </cell>
          <cell r="AI68">
            <v>96</v>
          </cell>
          <cell r="AJ68" t="str">
            <v>SS</v>
          </cell>
          <cell r="AK68" t="str">
            <v>SS</v>
          </cell>
          <cell r="AL68">
            <v>5</v>
          </cell>
          <cell r="AM68">
            <v>3</v>
          </cell>
          <cell r="AN68">
            <v>0</v>
          </cell>
          <cell r="BO68" t="str">
            <v>RS 121</v>
          </cell>
          <cell r="BP68">
            <v>4.5</v>
          </cell>
          <cell r="BQ68">
            <v>6.7</v>
          </cell>
          <cell r="BR68" t="str">
            <v>R</v>
          </cell>
          <cell r="BS68" t="str">
            <v>C</v>
          </cell>
          <cell r="BT68">
            <v>0</v>
          </cell>
          <cell r="BU68" t="str">
            <v>SS</v>
          </cell>
          <cell r="BV68" t="str">
            <v>SR</v>
          </cell>
          <cell r="BW68">
            <v>3</v>
          </cell>
          <cell r="BX68">
            <v>5</v>
          </cell>
          <cell r="BY68">
            <v>10</v>
          </cell>
          <cell r="BZ68">
            <v>1</v>
          </cell>
          <cell r="CA68">
            <v>15</v>
          </cell>
          <cell r="CB68">
            <v>2.15</v>
          </cell>
          <cell r="CC68">
            <v>6.83</v>
          </cell>
          <cell r="CD68">
            <v>20</v>
          </cell>
          <cell r="CE68">
            <v>10</v>
          </cell>
          <cell r="CF68">
            <v>0</v>
          </cell>
          <cell r="CG68">
            <v>20</v>
          </cell>
          <cell r="CH68">
            <v>10</v>
          </cell>
          <cell r="CI68">
            <v>0.1</v>
          </cell>
          <cell r="CJ68">
            <v>2.9850746268656722E-4</v>
          </cell>
          <cell r="CK68">
            <v>2.9850746268656722E-4</v>
          </cell>
          <cell r="CL68">
            <v>0</v>
          </cell>
          <cell r="CM68">
            <v>1.1572904707233067E-4</v>
          </cell>
          <cell r="CN68">
            <v>1.1572904707233067E-4</v>
          </cell>
          <cell r="CO68">
            <v>0</v>
          </cell>
          <cell r="CP68">
            <v>0</v>
          </cell>
          <cell r="CQ68">
            <v>6.8301157290470726</v>
          </cell>
          <cell r="CR68">
            <v>0</v>
          </cell>
          <cell r="CS68">
            <v>1</v>
          </cell>
          <cell r="CT68">
            <v>0</v>
          </cell>
          <cell r="CU68">
            <v>0</v>
          </cell>
          <cell r="CV68">
            <v>2</v>
          </cell>
          <cell r="CW68">
            <v>48</v>
          </cell>
          <cell r="CX68">
            <v>96</v>
          </cell>
          <cell r="CY68">
            <v>1.5</v>
          </cell>
          <cell r="CZ68">
            <v>1.5</v>
          </cell>
          <cell r="DA68">
            <v>1</v>
          </cell>
          <cell r="DB68">
            <v>2500</v>
          </cell>
          <cell r="DC68">
            <v>1175</v>
          </cell>
          <cell r="DD68">
            <v>650</v>
          </cell>
          <cell r="DE68">
            <v>188</v>
          </cell>
          <cell r="DF68">
            <v>288</v>
          </cell>
          <cell r="DG68">
            <v>50</v>
          </cell>
          <cell r="DH68">
            <v>25</v>
          </cell>
          <cell r="DI68">
            <v>125</v>
          </cell>
        </row>
        <row r="69">
          <cell r="A69" t="str">
            <v>RS 127</v>
          </cell>
          <cell r="B69">
            <v>127</v>
          </cell>
          <cell r="C69" t="str">
            <v>S</v>
          </cell>
          <cell r="D69" t="str">
            <v>T</v>
          </cell>
          <cell r="E69" t="str">
            <v>Zomba - Mwandakale</v>
          </cell>
          <cell r="F69" t="str">
            <v>M03</v>
          </cell>
          <cell r="G69">
            <v>5</v>
          </cell>
          <cell r="H69">
            <v>4.0999999999999996</v>
          </cell>
          <cell r="I69" t="str">
            <v>H</v>
          </cell>
          <cell r="J69" t="str">
            <v>ZOMBA CITY</v>
          </cell>
          <cell r="K69">
            <v>9</v>
          </cell>
          <cell r="L69">
            <v>0</v>
          </cell>
          <cell r="W69">
            <v>71</v>
          </cell>
          <cell r="X69" t="str">
            <v>SA</v>
          </cell>
          <cell r="Y69">
            <v>125</v>
          </cell>
          <cell r="Z69" t="str">
            <v>SB</v>
          </cell>
          <cell r="AA69">
            <v>150</v>
          </cell>
          <cell r="AB69" t="str">
            <v>GR</v>
          </cell>
          <cell r="AC69">
            <v>14</v>
          </cell>
          <cell r="AD69" t="str">
            <v>VR</v>
          </cell>
          <cell r="AE69">
            <v>0</v>
          </cell>
          <cell r="AF69">
            <v>0</v>
          </cell>
          <cell r="AG69">
            <v>0</v>
          </cell>
          <cell r="AH69">
            <v>0</v>
          </cell>
          <cell r="AI69">
            <v>0</v>
          </cell>
          <cell r="AJ69">
            <v>0</v>
          </cell>
          <cell r="AK69">
            <v>0</v>
          </cell>
          <cell r="AL69">
            <v>0</v>
          </cell>
          <cell r="AM69">
            <v>2</v>
          </cell>
          <cell r="AN69" t="str">
            <v>never resealed</v>
          </cell>
          <cell r="BO69" t="str">
            <v>RS 127</v>
          </cell>
          <cell r="BP69">
            <v>4.0999999999999996</v>
          </cell>
          <cell r="BQ69">
            <v>6.7</v>
          </cell>
          <cell r="BR69" t="str">
            <v>H</v>
          </cell>
          <cell r="BS69" t="str">
            <v>A</v>
          </cell>
          <cell r="BT69">
            <v>0</v>
          </cell>
          <cell r="BU69" t="str">
            <v>SA</v>
          </cell>
          <cell r="BV69">
            <v>0</v>
          </cell>
          <cell r="BW69">
            <v>2</v>
          </cell>
          <cell r="BX69">
            <v>10</v>
          </cell>
          <cell r="BY69" t="str">
            <v xml:space="preserve"> </v>
          </cell>
          <cell r="BZ69">
            <v>1</v>
          </cell>
          <cell r="CA69">
            <v>14</v>
          </cell>
          <cell r="CB69">
            <v>1.508</v>
          </cell>
          <cell r="CC69">
            <v>8.69</v>
          </cell>
          <cell r="CD69">
            <v>20</v>
          </cell>
          <cell r="CE69">
            <v>10</v>
          </cell>
          <cell r="CF69">
            <v>0</v>
          </cell>
          <cell r="CG69">
            <v>20</v>
          </cell>
          <cell r="CH69">
            <v>10</v>
          </cell>
          <cell r="CI69">
            <v>0.1</v>
          </cell>
          <cell r="CJ69">
            <v>2.9850746268656722E-4</v>
          </cell>
          <cell r="CK69">
            <v>2.9850746268656722E-4</v>
          </cell>
          <cell r="CL69">
            <v>0</v>
          </cell>
          <cell r="CM69">
            <v>1.1572904707233067E-4</v>
          </cell>
          <cell r="CN69">
            <v>1.1572904707233067E-4</v>
          </cell>
          <cell r="CO69">
            <v>0</v>
          </cell>
          <cell r="CP69">
            <v>0</v>
          </cell>
          <cell r="CQ69">
            <v>8.6901157290470721</v>
          </cell>
          <cell r="CR69">
            <v>0</v>
          </cell>
          <cell r="CS69">
            <v>1</v>
          </cell>
          <cell r="CT69">
            <v>0</v>
          </cell>
          <cell r="CU69">
            <v>0</v>
          </cell>
          <cell r="CV69">
            <v>27</v>
          </cell>
          <cell r="CW69">
            <v>27</v>
          </cell>
          <cell r="CX69" t="str">
            <v xml:space="preserve"> </v>
          </cell>
          <cell r="CY69">
            <v>1.5</v>
          </cell>
          <cell r="CZ69">
            <v>1.5</v>
          </cell>
          <cell r="DA69">
            <v>1</v>
          </cell>
          <cell r="DB69">
            <v>3000</v>
          </cell>
          <cell r="DC69">
            <v>1410</v>
          </cell>
          <cell r="DD69">
            <v>780</v>
          </cell>
          <cell r="DE69">
            <v>225</v>
          </cell>
          <cell r="DF69">
            <v>345</v>
          </cell>
          <cell r="DG69">
            <v>60</v>
          </cell>
          <cell r="DH69">
            <v>30</v>
          </cell>
          <cell r="DI69">
            <v>150</v>
          </cell>
        </row>
        <row r="70">
          <cell r="A70" t="str">
            <v>RS 130</v>
          </cell>
          <cell r="B70">
            <v>130</v>
          </cell>
          <cell r="C70" t="str">
            <v>S</v>
          </cell>
          <cell r="D70" t="str">
            <v>T</v>
          </cell>
          <cell r="E70" t="str">
            <v>Jokala - Likwenu River Bridge</v>
          </cell>
          <cell r="F70" t="str">
            <v>M03</v>
          </cell>
          <cell r="G70">
            <v>6</v>
          </cell>
          <cell r="H70">
            <v>23.6</v>
          </cell>
          <cell r="I70" t="str">
            <v>R</v>
          </cell>
          <cell r="J70" t="str">
            <v>ZOMBA</v>
          </cell>
          <cell r="K70">
            <v>8</v>
          </cell>
          <cell r="L70">
            <v>0</v>
          </cell>
          <cell r="W70">
            <v>71</v>
          </cell>
          <cell r="X70" t="str">
            <v>SA</v>
          </cell>
          <cell r="Y70">
            <v>125</v>
          </cell>
          <cell r="Z70" t="str">
            <v>SB</v>
          </cell>
          <cell r="AA70">
            <v>150</v>
          </cell>
          <cell r="AB70" t="str">
            <v>GR</v>
          </cell>
          <cell r="AC70">
            <v>14</v>
          </cell>
          <cell r="AD70" t="str">
            <v>VR</v>
          </cell>
          <cell r="AE70">
            <v>0</v>
          </cell>
          <cell r="AF70">
            <v>0</v>
          </cell>
          <cell r="AG70">
            <v>0</v>
          </cell>
          <cell r="AH70">
            <v>0</v>
          </cell>
          <cell r="AI70">
            <v>0</v>
          </cell>
          <cell r="AJ70">
            <v>0</v>
          </cell>
          <cell r="AK70">
            <v>0</v>
          </cell>
          <cell r="AL70">
            <v>0</v>
          </cell>
          <cell r="AM70">
            <v>2</v>
          </cell>
          <cell r="AN70" t="str">
            <v>never resealed</v>
          </cell>
          <cell r="BO70" t="str">
            <v>RS 130</v>
          </cell>
          <cell r="BP70">
            <v>23.6</v>
          </cell>
          <cell r="BQ70">
            <v>6</v>
          </cell>
          <cell r="BR70" t="str">
            <v>R</v>
          </cell>
          <cell r="BS70" t="str">
            <v>S</v>
          </cell>
          <cell r="BT70">
            <v>0</v>
          </cell>
          <cell r="BU70" t="str">
            <v>SA</v>
          </cell>
          <cell r="BV70">
            <v>0</v>
          </cell>
          <cell r="BW70">
            <v>2</v>
          </cell>
          <cell r="BX70">
            <v>10</v>
          </cell>
          <cell r="BY70" t="str">
            <v xml:space="preserve"> </v>
          </cell>
          <cell r="BZ70">
            <v>1</v>
          </cell>
          <cell r="CA70">
            <v>14</v>
          </cell>
          <cell r="CB70">
            <v>1.508</v>
          </cell>
          <cell r="CC70">
            <v>2.92</v>
          </cell>
          <cell r="CD70">
            <v>85</v>
          </cell>
          <cell r="CE70">
            <v>51</v>
          </cell>
          <cell r="CF70">
            <v>36</v>
          </cell>
          <cell r="CG70">
            <v>49</v>
          </cell>
          <cell r="CH70">
            <v>15</v>
          </cell>
          <cell r="CI70">
            <v>0.2</v>
          </cell>
          <cell r="CJ70">
            <v>6.6666666666666686E-4</v>
          </cell>
          <cell r="CK70">
            <v>10</v>
          </cell>
          <cell r="CL70">
            <v>36</v>
          </cell>
          <cell r="CM70">
            <v>0.33840564102564102</v>
          </cell>
          <cell r="CN70">
            <v>0.33840564102564102</v>
          </cell>
          <cell r="CO70">
            <v>0</v>
          </cell>
          <cell r="CP70">
            <v>0</v>
          </cell>
          <cell r="CQ70">
            <v>3.2584056410256408</v>
          </cell>
          <cell r="CR70">
            <v>0</v>
          </cell>
          <cell r="CS70">
            <v>1</v>
          </cell>
          <cell r="CT70">
            <v>0</v>
          </cell>
          <cell r="CU70">
            <v>0</v>
          </cell>
          <cell r="CV70">
            <v>27</v>
          </cell>
          <cell r="CW70">
            <v>27</v>
          </cell>
          <cell r="CX70" t="str">
            <v xml:space="preserve"> </v>
          </cell>
          <cell r="CY70">
            <v>1.5</v>
          </cell>
          <cell r="CZ70">
            <v>1.5</v>
          </cell>
          <cell r="DA70">
            <v>1.1000000000000001</v>
          </cell>
          <cell r="DB70">
            <v>1100</v>
          </cell>
          <cell r="DC70">
            <v>517</v>
          </cell>
          <cell r="DD70">
            <v>286</v>
          </cell>
          <cell r="DE70">
            <v>83</v>
          </cell>
          <cell r="DF70">
            <v>127</v>
          </cell>
          <cell r="DG70">
            <v>22</v>
          </cell>
          <cell r="DH70">
            <v>11</v>
          </cell>
          <cell r="DI70">
            <v>55</v>
          </cell>
        </row>
        <row r="71">
          <cell r="A71" t="str">
            <v>RS 128</v>
          </cell>
          <cell r="B71">
            <v>128</v>
          </cell>
          <cell r="C71" t="str">
            <v>S</v>
          </cell>
          <cell r="D71" t="str">
            <v>T</v>
          </cell>
          <cell r="E71" t="str">
            <v>Likwenu River Bridge - Mpilisi</v>
          </cell>
          <cell r="F71" t="str">
            <v>M03</v>
          </cell>
          <cell r="G71">
            <v>7</v>
          </cell>
          <cell r="H71">
            <v>15.4</v>
          </cell>
          <cell r="I71" t="str">
            <v>H</v>
          </cell>
          <cell r="J71" t="str">
            <v>MACHINGA</v>
          </cell>
          <cell r="K71">
            <v>8</v>
          </cell>
          <cell r="L71">
            <v>0</v>
          </cell>
          <cell r="W71">
            <v>71</v>
          </cell>
          <cell r="X71" t="str">
            <v>SA</v>
          </cell>
          <cell r="Y71">
            <v>125</v>
          </cell>
          <cell r="Z71" t="str">
            <v>SB</v>
          </cell>
          <cell r="AA71">
            <v>150</v>
          </cell>
          <cell r="AB71" t="str">
            <v>GR</v>
          </cell>
          <cell r="AC71">
            <v>14</v>
          </cell>
          <cell r="AD71" t="str">
            <v>VR</v>
          </cell>
          <cell r="AE71">
            <v>0</v>
          </cell>
          <cell r="AF71">
            <v>0</v>
          </cell>
          <cell r="AG71">
            <v>0</v>
          </cell>
          <cell r="AH71">
            <v>0</v>
          </cell>
          <cell r="AI71">
            <v>0</v>
          </cell>
          <cell r="AJ71">
            <v>0</v>
          </cell>
          <cell r="AK71">
            <v>0</v>
          </cell>
          <cell r="AL71">
            <v>0</v>
          </cell>
          <cell r="AM71">
            <v>2</v>
          </cell>
          <cell r="AN71" t="str">
            <v>never resealed</v>
          </cell>
          <cell r="BO71" t="str">
            <v>RS 128</v>
          </cell>
          <cell r="BP71">
            <v>15.4</v>
          </cell>
          <cell r="BQ71">
            <v>6</v>
          </cell>
          <cell r="BR71" t="str">
            <v>H</v>
          </cell>
          <cell r="BS71" t="str">
            <v>S</v>
          </cell>
          <cell r="BT71">
            <v>0</v>
          </cell>
          <cell r="BU71" t="str">
            <v>SA</v>
          </cell>
          <cell r="BV71">
            <v>0</v>
          </cell>
          <cell r="BW71">
            <v>2</v>
          </cell>
          <cell r="BX71">
            <v>10</v>
          </cell>
          <cell r="BY71" t="str">
            <v xml:space="preserve"> </v>
          </cell>
          <cell r="BZ71">
            <v>1</v>
          </cell>
          <cell r="CA71">
            <v>14</v>
          </cell>
          <cell r="CB71">
            <v>1.508</v>
          </cell>
          <cell r="CC71">
            <v>2.9890041055718477</v>
          </cell>
          <cell r="CD71">
            <v>80</v>
          </cell>
          <cell r="CE71">
            <v>16</v>
          </cell>
          <cell r="CF71">
            <v>1</v>
          </cell>
          <cell r="CG71">
            <v>79</v>
          </cell>
          <cell r="CH71">
            <v>15</v>
          </cell>
          <cell r="CI71">
            <v>3</v>
          </cell>
          <cell r="CJ71">
            <v>1.0000000000000002E-2</v>
          </cell>
          <cell r="CK71">
            <v>1.01</v>
          </cell>
          <cell r="CL71">
            <v>1</v>
          </cell>
          <cell r="CM71">
            <v>2.0492307692307695E-2</v>
          </cell>
          <cell r="CN71">
            <v>2.0492307692307695E-2</v>
          </cell>
          <cell r="CO71">
            <v>0</v>
          </cell>
          <cell r="CP71">
            <v>0</v>
          </cell>
          <cell r="CQ71">
            <v>3.0094964132641553</v>
          </cell>
          <cell r="CR71">
            <v>0</v>
          </cell>
          <cell r="CS71">
            <v>1</v>
          </cell>
          <cell r="CT71">
            <v>0</v>
          </cell>
          <cell r="CU71">
            <v>0</v>
          </cell>
          <cell r="CV71">
            <v>27</v>
          </cell>
          <cell r="CW71">
            <v>27</v>
          </cell>
          <cell r="CX71" t="str">
            <v xml:space="preserve"> </v>
          </cell>
          <cell r="CY71">
            <v>1.2</v>
          </cell>
          <cell r="CZ71">
            <v>1.5</v>
          </cell>
          <cell r="DA71">
            <v>1.1000000000000001</v>
          </cell>
          <cell r="DB71">
            <v>1100</v>
          </cell>
          <cell r="DC71">
            <v>517</v>
          </cell>
          <cell r="DD71">
            <v>286</v>
          </cell>
          <cell r="DE71">
            <v>83</v>
          </cell>
          <cell r="DF71">
            <v>127</v>
          </cell>
          <cell r="DG71">
            <v>22</v>
          </cell>
          <cell r="DH71">
            <v>11</v>
          </cell>
          <cell r="DI71">
            <v>55</v>
          </cell>
        </row>
        <row r="72">
          <cell r="A72" t="str">
            <v>RS 119</v>
          </cell>
          <cell r="B72">
            <v>119</v>
          </cell>
          <cell r="C72" t="str">
            <v>S</v>
          </cell>
          <cell r="D72" t="str">
            <v>T</v>
          </cell>
          <cell r="E72" t="str">
            <v>Mpilisi - M'manga</v>
          </cell>
          <cell r="F72" t="str">
            <v>M03</v>
          </cell>
          <cell r="G72">
            <v>8</v>
          </cell>
          <cell r="H72">
            <v>12.5</v>
          </cell>
          <cell r="I72" t="str">
            <v>R</v>
          </cell>
          <cell r="J72" t="str">
            <v>MACHINGA</v>
          </cell>
          <cell r="K72">
            <v>8</v>
          </cell>
          <cell r="L72">
            <v>0</v>
          </cell>
          <cell r="W72">
            <v>71</v>
          </cell>
          <cell r="X72" t="str">
            <v>SA</v>
          </cell>
          <cell r="Y72">
            <v>125</v>
          </cell>
          <cell r="Z72" t="str">
            <v>SB</v>
          </cell>
          <cell r="AA72">
            <v>150</v>
          </cell>
          <cell r="AB72" t="str">
            <v>GR</v>
          </cell>
          <cell r="AC72">
            <v>14</v>
          </cell>
          <cell r="AD72" t="str">
            <v>VR</v>
          </cell>
          <cell r="AE72">
            <v>0</v>
          </cell>
          <cell r="AF72">
            <v>0</v>
          </cell>
          <cell r="AG72">
            <v>0</v>
          </cell>
          <cell r="AH72">
            <v>0</v>
          </cell>
          <cell r="AI72">
            <v>0</v>
          </cell>
          <cell r="AJ72">
            <v>0</v>
          </cell>
          <cell r="AK72">
            <v>0</v>
          </cell>
          <cell r="AL72">
            <v>0</v>
          </cell>
          <cell r="AM72">
            <v>2</v>
          </cell>
          <cell r="AN72" t="str">
            <v>never resealed</v>
          </cell>
          <cell r="BO72" t="str">
            <v>RS 119</v>
          </cell>
          <cell r="BP72">
            <v>12.5</v>
          </cell>
          <cell r="BQ72">
            <v>6</v>
          </cell>
          <cell r="BR72" t="str">
            <v>R</v>
          </cell>
          <cell r="BS72" t="str">
            <v>S</v>
          </cell>
          <cell r="BT72">
            <v>0</v>
          </cell>
          <cell r="BU72" t="str">
            <v>SA</v>
          </cell>
          <cell r="BV72">
            <v>0</v>
          </cell>
          <cell r="BW72">
            <v>2</v>
          </cell>
          <cell r="BX72">
            <v>10</v>
          </cell>
          <cell r="BY72" t="str">
            <v xml:space="preserve"> </v>
          </cell>
          <cell r="BZ72">
            <v>1</v>
          </cell>
          <cell r="CA72">
            <v>14</v>
          </cell>
          <cell r="CB72">
            <v>1.508</v>
          </cell>
          <cell r="CC72">
            <v>4.49</v>
          </cell>
          <cell r="CD72">
            <v>90</v>
          </cell>
          <cell r="CE72">
            <v>45</v>
          </cell>
          <cell r="CF72">
            <v>30</v>
          </cell>
          <cell r="CG72">
            <v>60</v>
          </cell>
          <cell r="CH72">
            <v>15</v>
          </cell>
          <cell r="CI72">
            <v>48</v>
          </cell>
          <cell r="CJ72">
            <v>0.16000000000000003</v>
          </cell>
          <cell r="CK72">
            <v>10</v>
          </cell>
          <cell r="CL72">
            <v>30</v>
          </cell>
          <cell r="CM72">
            <v>0.35889230769230773</v>
          </cell>
          <cell r="CN72">
            <v>0.35889230769230773</v>
          </cell>
          <cell r="CO72">
            <v>0</v>
          </cell>
          <cell r="CP72">
            <v>0</v>
          </cell>
          <cell r="CQ72">
            <v>4.8488923076923083</v>
          </cell>
          <cell r="CR72">
            <v>30</v>
          </cell>
          <cell r="CS72">
            <v>1</v>
          </cell>
          <cell r="CT72">
            <v>0</v>
          </cell>
          <cell r="CU72">
            <v>0</v>
          </cell>
          <cell r="CV72">
            <v>27</v>
          </cell>
          <cell r="CW72">
            <v>27</v>
          </cell>
          <cell r="CX72" t="str">
            <v xml:space="preserve"> </v>
          </cell>
          <cell r="CY72">
            <v>1.5</v>
          </cell>
          <cell r="CZ72">
            <v>2</v>
          </cell>
          <cell r="DA72">
            <v>1.5</v>
          </cell>
          <cell r="DB72">
            <v>1000</v>
          </cell>
          <cell r="DC72">
            <v>470</v>
          </cell>
          <cell r="DD72">
            <v>260</v>
          </cell>
          <cell r="DE72">
            <v>75</v>
          </cell>
          <cell r="DF72">
            <v>115</v>
          </cell>
          <cell r="DG72">
            <v>20</v>
          </cell>
          <cell r="DH72">
            <v>10</v>
          </cell>
          <cell r="DI72">
            <v>50</v>
          </cell>
        </row>
        <row r="73">
          <cell r="A73" t="str">
            <v>RS 131</v>
          </cell>
          <cell r="B73">
            <v>131</v>
          </cell>
          <cell r="C73" t="str">
            <v>S</v>
          </cell>
          <cell r="D73" t="str">
            <v>T</v>
          </cell>
          <cell r="E73" t="str">
            <v>M'manga - Chibwana.</v>
          </cell>
          <cell r="F73" t="str">
            <v>M03</v>
          </cell>
          <cell r="G73">
            <v>9</v>
          </cell>
          <cell r="H73">
            <v>9.6999999999999993</v>
          </cell>
          <cell r="I73" t="str">
            <v>F</v>
          </cell>
          <cell r="J73" t="str">
            <v>MACHINGA</v>
          </cell>
          <cell r="K73">
            <v>8</v>
          </cell>
          <cell r="L73">
            <v>0</v>
          </cell>
          <cell r="W73">
            <v>74</v>
          </cell>
          <cell r="X73" t="str">
            <v>SA</v>
          </cell>
          <cell r="Y73">
            <v>125</v>
          </cell>
          <cell r="Z73" t="str">
            <v>SB</v>
          </cell>
          <cell r="AA73">
            <v>150</v>
          </cell>
          <cell r="AB73" t="str">
            <v>GR</v>
          </cell>
          <cell r="AC73">
            <v>14</v>
          </cell>
          <cell r="AD73" t="str">
            <v>VR</v>
          </cell>
          <cell r="AE73">
            <v>86</v>
          </cell>
          <cell r="AF73" t="str">
            <v>SR</v>
          </cell>
          <cell r="AG73" t="str">
            <v>ST</v>
          </cell>
          <cell r="AH73">
            <v>10</v>
          </cell>
          <cell r="AI73">
            <v>0</v>
          </cell>
          <cell r="AJ73">
            <v>0</v>
          </cell>
          <cell r="AK73">
            <v>0</v>
          </cell>
          <cell r="AL73">
            <v>0</v>
          </cell>
          <cell r="AM73">
            <v>5</v>
          </cell>
          <cell r="AN73">
            <v>0</v>
          </cell>
          <cell r="BO73" t="str">
            <v>RS 131</v>
          </cell>
          <cell r="BP73">
            <v>9.6999999999999993</v>
          </cell>
          <cell r="BQ73">
            <v>6</v>
          </cell>
          <cell r="BR73" t="str">
            <v>F</v>
          </cell>
          <cell r="BS73" t="str">
            <v>C</v>
          </cell>
          <cell r="BT73">
            <v>0</v>
          </cell>
          <cell r="BU73" t="str">
            <v>ST</v>
          </cell>
          <cell r="BV73" t="str">
            <v>SA</v>
          </cell>
          <cell r="BW73">
            <v>5</v>
          </cell>
          <cell r="BX73">
            <v>10</v>
          </cell>
          <cell r="BY73">
            <v>10</v>
          </cell>
          <cell r="BZ73">
            <v>1</v>
          </cell>
          <cell r="CA73">
            <v>14</v>
          </cell>
          <cell r="CB73">
            <v>1.6850000000000001</v>
          </cell>
          <cell r="CC73">
            <v>6.21</v>
          </cell>
          <cell r="CD73">
            <v>80</v>
          </cell>
          <cell r="CE73">
            <v>75</v>
          </cell>
          <cell r="CF73">
            <v>60</v>
          </cell>
          <cell r="CG73">
            <v>20</v>
          </cell>
          <cell r="CH73">
            <v>15</v>
          </cell>
          <cell r="CI73">
            <v>950</v>
          </cell>
          <cell r="CJ73">
            <v>3.166666666666667</v>
          </cell>
          <cell r="CK73">
            <v>10</v>
          </cell>
          <cell r="CL73">
            <v>60</v>
          </cell>
          <cell r="CM73">
            <v>1.6929487179487179</v>
          </cell>
          <cell r="CN73">
            <v>1.6929487179487179</v>
          </cell>
          <cell r="CO73">
            <v>0</v>
          </cell>
          <cell r="CP73">
            <v>0</v>
          </cell>
          <cell r="CQ73">
            <v>7.9029487179487177</v>
          </cell>
          <cell r="CR73">
            <v>90</v>
          </cell>
          <cell r="CS73">
            <v>1</v>
          </cell>
          <cell r="CT73">
            <v>0</v>
          </cell>
          <cell r="CU73">
            <v>0</v>
          </cell>
          <cell r="CV73">
            <v>12</v>
          </cell>
          <cell r="CW73">
            <v>24</v>
          </cell>
          <cell r="CX73">
            <v>48</v>
          </cell>
          <cell r="CY73">
            <v>2</v>
          </cell>
          <cell r="CZ73">
            <v>2</v>
          </cell>
          <cell r="DA73">
            <v>1.2</v>
          </cell>
          <cell r="DB73">
            <v>300</v>
          </cell>
          <cell r="DC73">
            <v>141</v>
          </cell>
          <cell r="DD73">
            <v>78</v>
          </cell>
          <cell r="DE73">
            <v>23</v>
          </cell>
          <cell r="DF73">
            <v>35</v>
          </cell>
          <cell r="DG73">
            <v>6</v>
          </cell>
          <cell r="DH73">
            <v>3</v>
          </cell>
          <cell r="DI73">
            <v>15</v>
          </cell>
        </row>
        <row r="74">
          <cell r="A74" t="str">
            <v>RS 125</v>
          </cell>
          <cell r="B74">
            <v>125</v>
          </cell>
          <cell r="C74" t="str">
            <v>S</v>
          </cell>
          <cell r="D74" t="str">
            <v>T</v>
          </cell>
          <cell r="E74" t="str">
            <v xml:space="preserve">Chibwana - Hoba. </v>
          </cell>
          <cell r="F74" t="str">
            <v>M03</v>
          </cell>
          <cell r="G74">
            <v>10</v>
          </cell>
          <cell r="H74">
            <v>10.8</v>
          </cell>
          <cell r="I74" t="str">
            <v>F</v>
          </cell>
          <cell r="J74" t="str">
            <v>MACHINGA</v>
          </cell>
          <cell r="K74">
            <v>8</v>
          </cell>
          <cell r="L74">
            <v>0</v>
          </cell>
          <cell r="W74">
            <v>74</v>
          </cell>
          <cell r="X74" t="str">
            <v>DS</v>
          </cell>
          <cell r="Y74">
            <v>150</v>
          </cell>
          <cell r="Z74" t="str">
            <v>SB</v>
          </cell>
          <cell r="AA74">
            <v>100</v>
          </cell>
          <cell r="AB74" t="str">
            <v>GR</v>
          </cell>
          <cell r="AC74">
            <v>6</v>
          </cell>
          <cell r="AD74" t="str">
            <v>VR</v>
          </cell>
          <cell r="AE74">
            <v>86</v>
          </cell>
          <cell r="AF74" t="str">
            <v>SR</v>
          </cell>
          <cell r="AG74" t="str">
            <v>ST</v>
          </cell>
          <cell r="AH74">
            <v>10</v>
          </cell>
          <cell r="AI74">
            <v>96</v>
          </cell>
          <cell r="AJ74" t="str">
            <v>SS</v>
          </cell>
          <cell r="AK74" t="str">
            <v>SS</v>
          </cell>
          <cell r="AL74">
            <v>5</v>
          </cell>
          <cell r="AM74">
            <v>3</v>
          </cell>
          <cell r="AN74">
            <v>0</v>
          </cell>
          <cell r="BO74" t="str">
            <v>RS 125</v>
          </cell>
          <cell r="BP74">
            <v>10.8</v>
          </cell>
          <cell r="BQ74">
            <v>6</v>
          </cell>
          <cell r="BR74" t="str">
            <v>F</v>
          </cell>
          <cell r="BS74" t="str">
            <v>S</v>
          </cell>
          <cell r="BT74">
            <v>0</v>
          </cell>
          <cell r="BU74" t="str">
            <v>SS</v>
          </cell>
          <cell r="BV74" t="str">
            <v>SR</v>
          </cell>
          <cell r="BW74">
            <v>3</v>
          </cell>
          <cell r="BX74">
            <v>5</v>
          </cell>
          <cell r="BY74">
            <v>10</v>
          </cell>
          <cell r="BZ74">
            <v>1</v>
          </cell>
          <cell r="CA74">
            <v>6</v>
          </cell>
          <cell r="CB74">
            <v>1.3540000000000001</v>
          </cell>
          <cell r="CC74">
            <v>5.78</v>
          </cell>
          <cell r="CD74">
            <v>60</v>
          </cell>
          <cell r="CE74">
            <v>6</v>
          </cell>
          <cell r="CF74">
            <v>0</v>
          </cell>
          <cell r="CG74">
            <v>60</v>
          </cell>
          <cell r="CH74">
            <v>6</v>
          </cell>
          <cell r="CI74">
            <v>76</v>
          </cell>
          <cell r="CJ74">
            <v>0.25333333333333335</v>
          </cell>
          <cell r="CK74">
            <v>0.25333333333333335</v>
          </cell>
          <cell r="CL74">
            <v>0</v>
          </cell>
          <cell r="CM74">
            <v>9.8215384615384621E-2</v>
          </cell>
          <cell r="CN74">
            <v>9.8215384615384621E-2</v>
          </cell>
          <cell r="CO74">
            <v>0</v>
          </cell>
          <cell r="CP74">
            <v>0</v>
          </cell>
          <cell r="CQ74">
            <v>5.8782153846153848</v>
          </cell>
          <cell r="CR74">
            <v>70</v>
          </cell>
          <cell r="CS74">
            <v>1</v>
          </cell>
          <cell r="CT74">
            <v>0</v>
          </cell>
          <cell r="CU74">
            <v>0</v>
          </cell>
          <cell r="CV74">
            <v>2</v>
          </cell>
          <cell r="CW74">
            <v>24</v>
          </cell>
          <cell r="CX74">
            <v>48</v>
          </cell>
          <cell r="CY74">
            <v>1.5</v>
          </cell>
          <cell r="CZ74">
            <v>2</v>
          </cell>
          <cell r="DA74">
            <v>1.2</v>
          </cell>
          <cell r="DB74">
            <v>300</v>
          </cell>
          <cell r="DC74">
            <v>141</v>
          </cell>
          <cell r="DD74">
            <v>78</v>
          </cell>
          <cell r="DE74">
            <v>23</v>
          </cell>
          <cell r="DF74">
            <v>35</v>
          </cell>
          <cell r="DG74">
            <v>6</v>
          </cell>
          <cell r="DH74">
            <v>3</v>
          </cell>
          <cell r="DI74">
            <v>15</v>
          </cell>
        </row>
        <row r="75">
          <cell r="A75" t="str">
            <v>RS 120</v>
          </cell>
          <cell r="B75">
            <v>120</v>
          </cell>
          <cell r="C75" t="str">
            <v>S</v>
          </cell>
          <cell r="D75" t="str">
            <v>T</v>
          </cell>
          <cell r="E75" t="str">
            <v>Hoba - Mpale River</v>
          </cell>
          <cell r="F75" t="str">
            <v>M03</v>
          </cell>
          <cell r="G75">
            <v>11</v>
          </cell>
          <cell r="H75">
            <v>14.6</v>
          </cell>
          <cell r="I75" t="str">
            <v>F</v>
          </cell>
          <cell r="J75" t="str">
            <v>MACHINGA</v>
          </cell>
          <cell r="K75">
            <v>8</v>
          </cell>
          <cell r="L75">
            <v>0</v>
          </cell>
          <cell r="W75">
            <v>74</v>
          </cell>
          <cell r="X75" t="str">
            <v>DS</v>
          </cell>
          <cell r="Y75">
            <v>150</v>
          </cell>
          <cell r="Z75" t="str">
            <v>SB</v>
          </cell>
          <cell r="AA75">
            <v>100</v>
          </cell>
          <cell r="AB75" t="str">
            <v>GR</v>
          </cell>
          <cell r="AC75">
            <v>6</v>
          </cell>
          <cell r="AD75" t="str">
            <v>VR</v>
          </cell>
          <cell r="AE75">
            <v>86</v>
          </cell>
          <cell r="AF75" t="str">
            <v>SR</v>
          </cell>
          <cell r="AG75" t="str">
            <v>ST</v>
          </cell>
          <cell r="AH75">
            <v>10</v>
          </cell>
          <cell r="AI75">
            <v>96</v>
          </cell>
          <cell r="AJ75" t="str">
            <v>SS</v>
          </cell>
          <cell r="AK75" t="str">
            <v>SS</v>
          </cell>
          <cell r="AL75">
            <v>5</v>
          </cell>
          <cell r="AM75">
            <v>3</v>
          </cell>
          <cell r="AN75">
            <v>0</v>
          </cell>
          <cell r="BO75" t="str">
            <v>RS 120</v>
          </cell>
          <cell r="BP75">
            <v>14.6</v>
          </cell>
          <cell r="BQ75">
            <v>6</v>
          </cell>
          <cell r="BR75" t="str">
            <v>F</v>
          </cell>
          <cell r="BS75" t="str">
            <v>S</v>
          </cell>
          <cell r="BT75">
            <v>0</v>
          </cell>
          <cell r="BU75" t="str">
            <v>SS</v>
          </cell>
          <cell r="BV75" t="str">
            <v>SR</v>
          </cell>
          <cell r="BW75">
            <v>3</v>
          </cell>
          <cell r="BX75">
            <v>5</v>
          </cell>
          <cell r="BY75">
            <v>10</v>
          </cell>
          <cell r="BZ75">
            <v>1</v>
          </cell>
          <cell r="CA75">
            <v>6</v>
          </cell>
          <cell r="CB75">
            <v>1.3540000000000001</v>
          </cell>
          <cell r="CC75">
            <v>4.87</v>
          </cell>
          <cell r="CD75">
            <v>20</v>
          </cell>
          <cell r="CE75">
            <v>0</v>
          </cell>
          <cell r="CF75">
            <v>0</v>
          </cell>
          <cell r="CG75">
            <v>20</v>
          </cell>
          <cell r="CH75">
            <v>0</v>
          </cell>
          <cell r="CI75">
            <v>3</v>
          </cell>
          <cell r="CJ75">
            <v>1.0000000000000002E-2</v>
          </cell>
          <cell r="CK75">
            <v>1.0000000000000002E-2</v>
          </cell>
          <cell r="CL75">
            <v>0</v>
          </cell>
          <cell r="CM75">
            <v>3.8769230769230782E-3</v>
          </cell>
          <cell r="CN75">
            <v>3.8769230769230782E-3</v>
          </cell>
          <cell r="CO75">
            <v>0</v>
          </cell>
          <cell r="CP75">
            <v>0</v>
          </cell>
          <cell r="CQ75">
            <v>4.8738769230769234</v>
          </cell>
          <cell r="CR75">
            <v>0</v>
          </cell>
          <cell r="CS75">
            <v>1</v>
          </cell>
          <cell r="CT75">
            <v>0</v>
          </cell>
          <cell r="CU75">
            <v>0</v>
          </cell>
          <cell r="CV75">
            <v>2</v>
          </cell>
          <cell r="CW75">
            <v>24</v>
          </cell>
          <cell r="CX75">
            <v>48</v>
          </cell>
          <cell r="CY75">
            <v>1.2</v>
          </cell>
          <cell r="CZ75">
            <v>1.5</v>
          </cell>
          <cell r="DA75">
            <v>1.1000000000000001</v>
          </cell>
          <cell r="DB75">
            <v>300</v>
          </cell>
          <cell r="DC75">
            <v>141</v>
          </cell>
          <cell r="DD75">
            <v>78</v>
          </cell>
          <cell r="DE75">
            <v>23</v>
          </cell>
          <cell r="DF75">
            <v>35</v>
          </cell>
          <cell r="DG75">
            <v>6</v>
          </cell>
          <cell r="DH75">
            <v>3</v>
          </cell>
          <cell r="DI75">
            <v>15</v>
          </cell>
        </row>
        <row r="76">
          <cell r="A76" t="str">
            <v>RS 129</v>
          </cell>
          <cell r="B76">
            <v>129</v>
          </cell>
          <cell r="C76" t="str">
            <v>S</v>
          </cell>
          <cell r="D76" t="str">
            <v>T</v>
          </cell>
          <cell r="E76" t="str">
            <v>Mpale River - Nkungulu</v>
          </cell>
          <cell r="F76" t="str">
            <v>M03</v>
          </cell>
          <cell r="G76">
            <v>12</v>
          </cell>
          <cell r="H76">
            <v>13</v>
          </cell>
          <cell r="I76" t="str">
            <v>R</v>
          </cell>
          <cell r="J76" t="str">
            <v>MACHINGA &amp; MANGOCHI</v>
          </cell>
          <cell r="K76">
            <v>8</v>
          </cell>
          <cell r="L76">
            <v>0</v>
          </cell>
          <cell r="W76">
            <v>74</v>
          </cell>
          <cell r="X76" t="str">
            <v>DS</v>
          </cell>
          <cell r="Y76">
            <v>150</v>
          </cell>
          <cell r="Z76" t="str">
            <v>SB</v>
          </cell>
          <cell r="AA76">
            <v>100</v>
          </cell>
          <cell r="AB76" t="str">
            <v>GR</v>
          </cell>
          <cell r="AC76">
            <v>6</v>
          </cell>
          <cell r="AD76" t="str">
            <v>VR</v>
          </cell>
          <cell r="AE76">
            <v>86</v>
          </cell>
          <cell r="AF76" t="str">
            <v>SR</v>
          </cell>
          <cell r="AG76" t="str">
            <v>ST</v>
          </cell>
          <cell r="AH76">
            <v>10</v>
          </cell>
          <cell r="AI76">
            <v>96</v>
          </cell>
          <cell r="AJ76" t="str">
            <v>SS</v>
          </cell>
          <cell r="AK76" t="str">
            <v>SS</v>
          </cell>
          <cell r="AL76">
            <v>5</v>
          </cell>
          <cell r="AM76">
            <v>3</v>
          </cell>
          <cell r="AN76">
            <v>0</v>
          </cell>
          <cell r="BO76" t="str">
            <v>RS 129</v>
          </cell>
          <cell r="BP76">
            <v>13</v>
          </cell>
          <cell r="BQ76">
            <v>6</v>
          </cell>
          <cell r="BR76" t="str">
            <v>R</v>
          </cell>
          <cell r="BS76" t="str">
            <v>S</v>
          </cell>
          <cell r="BT76">
            <v>0</v>
          </cell>
          <cell r="BU76" t="str">
            <v>SS</v>
          </cell>
          <cell r="BV76" t="str">
            <v>SR</v>
          </cell>
          <cell r="BW76">
            <v>3</v>
          </cell>
          <cell r="BX76">
            <v>5</v>
          </cell>
          <cell r="BY76">
            <v>10</v>
          </cell>
          <cell r="BZ76">
            <v>1</v>
          </cell>
          <cell r="CA76">
            <v>6</v>
          </cell>
          <cell r="CB76">
            <v>1.3540000000000001</v>
          </cell>
          <cell r="CC76">
            <v>3.2750301575393848</v>
          </cell>
          <cell r="CD76">
            <v>70</v>
          </cell>
          <cell r="CE76">
            <v>15</v>
          </cell>
          <cell r="CF76">
            <v>0</v>
          </cell>
          <cell r="CG76">
            <v>70</v>
          </cell>
          <cell r="CH76">
            <v>15</v>
          </cell>
          <cell r="CI76">
            <v>11</v>
          </cell>
          <cell r="CJ76">
            <v>3.6666666666666667E-2</v>
          </cell>
          <cell r="CK76">
            <v>3.6666666666666667E-2</v>
          </cell>
          <cell r="CL76">
            <v>0</v>
          </cell>
          <cell r="CM76">
            <v>1.4215384615384618E-2</v>
          </cell>
          <cell r="CN76">
            <v>1.4215384615384618E-2</v>
          </cell>
          <cell r="CO76">
            <v>0</v>
          </cell>
          <cell r="CP76">
            <v>0</v>
          </cell>
          <cell r="CQ76">
            <v>3.2892455421547693</v>
          </cell>
          <cell r="CR76">
            <v>10</v>
          </cell>
          <cell r="CS76">
            <v>1</v>
          </cell>
          <cell r="CT76">
            <v>0</v>
          </cell>
          <cell r="CU76">
            <v>0</v>
          </cell>
          <cell r="CV76">
            <v>2</v>
          </cell>
          <cell r="CW76">
            <v>24</v>
          </cell>
          <cell r="CX76">
            <v>48</v>
          </cell>
          <cell r="CY76">
            <v>1.2</v>
          </cell>
          <cell r="CZ76">
            <v>1.5</v>
          </cell>
          <cell r="DA76">
            <v>1.1000000000000001</v>
          </cell>
          <cell r="DB76">
            <v>300</v>
          </cell>
          <cell r="DC76">
            <v>141</v>
          </cell>
          <cell r="DD76">
            <v>78</v>
          </cell>
          <cell r="DE76">
            <v>23</v>
          </cell>
          <cell r="DF76">
            <v>35</v>
          </cell>
          <cell r="DG76">
            <v>6</v>
          </cell>
          <cell r="DH76">
            <v>3</v>
          </cell>
          <cell r="DI76">
            <v>15</v>
          </cell>
        </row>
        <row r="77">
          <cell r="A77" t="str">
            <v>RS 321</v>
          </cell>
          <cell r="B77">
            <v>143</v>
          </cell>
          <cell r="C77" t="str">
            <v>S</v>
          </cell>
          <cell r="D77" t="str">
            <v>T</v>
          </cell>
          <cell r="E77" t="str">
            <v>Nkungulu - Mangochi</v>
          </cell>
          <cell r="F77" t="str">
            <v>M03</v>
          </cell>
          <cell r="G77">
            <v>13</v>
          </cell>
          <cell r="H77">
            <v>21.3</v>
          </cell>
          <cell r="I77" t="str">
            <v>F</v>
          </cell>
          <cell r="J77" t="str">
            <v>MANGOCHI</v>
          </cell>
          <cell r="K77">
            <v>8</v>
          </cell>
          <cell r="L77">
            <v>0</v>
          </cell>
          <cell r="W77">
            <v>74</v>
          </cell>
          <cell r="X77" t="str">
            <v>DS</v>
          </cell>
          <cell r="Y77">
            <v>100</v>
          </cell>
          <cell r="Z77" t="str">
            <v>SB</v>
          </cell>
          <cell r="AA77">
            <v>100</v>
          </cell>
          <cell r="AB77" t="str">
            <v>GR</v>
          </cell>
          <cell r="AC77">
            <v>6</v>
          </cell>
          <cell r="AD77" t="str">
            <v>VR</v>
          </cell>
          <cell r="AE77">
            <v>0</v>
          </cell>
          <cell r="AF77">
            <v>0</v>
          </cell>
          <cell r="AG77">
            <v>0</v>
          </cell>
          <cell r="AH77">
            <v>0</v>
          </cell>
          <cell r="AI77">
            <v>0</v>
          </cell>
          <cell r="AJ77">
            <v>0</v>
          </cell>
          <cell r="AK77">
            <v>0</v>
          </cell>
          <cell r="AL77">
            <v>0</v>
          </cell>
          <cell r="AM77">
            <v>1</v>
          </cell>
          <cell r="AN77" t="str">
            <v>never resealed</v>
          </cell>
          <cell r="BO77" t="str">
            <v>RS 321</v>
          </cell>
          <cell r="BP77">
            <v>21.3</v>
          </cell>
          <cell r="BQ77">
            <v>6</v>
          </cell>
          <cell r="BR77" t="str">
            <v>F</v>
          </cell>
          <cell r="BS77" t="str">
            <v>C</v>
          </cell>
          <cell r="BT77">
            <v>0</v>
          </cell>
          <cell r="BU77" t="str">
            <v>DS</v>
          </cell>
          <cell r="BV77">
            <v>0</v>
          </cell>
          <cell r="BW77">
            <v>1</v>
          </cell>
          <cell r="BX77">
            <v>15</v>
          </cell>
          <cell r="BY77" t="str">
            <v xml:space="preserve"> </v>
          </cell>
          <cell r="BZ77">
            <v>1</v>
          </cell>
          <cell r="CA77">
            <v>6</v>
          </cell>
          <cell r="CB77">
            <v>1.177</v>
          </cell>
          <cell r="CC77">
            <v>4.2485348973607042</v>
          </cell>
          <cell r="CD77">
            <v>97</v>
          </cell>
          <cell r="CE77">
            <v>68</v>
          </cell>
          <cell r="CF77">
            <v>53</v>
          </cell>
          <cell r="CG77">
            <v>44</v>
          </cell>
          <cell r="CH77">
            <v>15</v>
          </cell>
          <cell r="CI77">
            <v>4.5</v>
          </cell>
          <cell r="CJ77">
            <v>1.5000000000000001E-2</v>
          </cell>
          <cell r="CK77">
            <v>10</v>
          </cell>
          <cell r="CL77">
            <v>53</v>
          </cell>
          <cell r="CM77">
            <v>0.45628076923076921</v>
          </cell>
          <cell r="CN77">
            <v>0.45628076923076921</v>
          </cell>
          <cell r="CO77">
            <v>0</v>
          </cell>
          <cell r="CP77">
            <v>0</v>
          </cell>
          <cell r="CQ77">
            <v>4.7048156665914735</v>
          </cell>
          <cell r="CR77">
            <v>20</v>
          </cell>
          <cell r="CS77">
            <v>1</v>
          </cell>
          <cell r="CT77">
            <v>0</v>
          </cell>
          <cell r="CU77">
            <v>0</v>
          </cell>
          <cell r="CV77">
            <v>24</v>
          </cell>
          <cell r="CW77">
            <v>24</v>
          </cell>
          <cell r="CX77" t="str">
            <v xml:space="preserve"> </v>
          </cell>
          <cell r="CY77">
            <v>2</v>
          </cell>
          <cell r="CZ77">
            <v>1.8</v>
          </cell>
          <cell r="DA77">
            <v>1.5</v>
          </cell>
          <cell r="DB77">
            <v>300</v>
          </cell>
          <cell r="DC77">
            <v>141</v>
          </cell>
          <cell r="DD77">
            <v>78</v>
          </cell>
          <cell r="DE77">
            <v>23</v>
          </cell>
          <cell r="DF77">
            <v>35</v>
          </cell>
          <cell r="DG77">
            <v>6</v>
          </cell>
          <cell r="DH77">
            <v>3</v>
          </cell>
          <cell r="DI77">
            <v>15</v>
          </cell>
        </row>
        <row r="78">
          <cell r="A78" t="str">
            <v>RS 322</v>
          </cell>
          <cell r="B78">
            <v>144</v>
          </cell>
          <cell r="C78" t="str">
            <v>S</v>
          </cell>
          <cell r="D78" t="str">
            <v>T</v>
          </cell>
          <cell r="E78" t="str">
            <v>Mangochi - Chingo</v>
          </cell>
          <cell r="F78" t="str">
            <v>M03</v>
          </cell>
          <cell r="G78">
            <v>14</v>
          </cell>
          <cell r="H78">
            <v>6</v>
          </cell>
          <cell r="I78" t="str">
            <v>R</v>
          </cell>
          <cell r="J78" t="str">
            <v>MANGOCHI</v>
          </cell>
          <cell r="K78">
            <v>8</v>
          </cell>
          <cell r="L78">
            <v>0</v>
          </cell>
          <cell r="W78">
            <v>81</v>
          </cell>
          <cell r="X78" t="str">
            <v>ST</v>
          </cell>
          <cell r="Y78">
            <v>150</v>
          </cell>
          <cell r="Z78" t="str">
            <v>SB</v>
          </cell>
          <cell r="AA78">
            <v>150</v>
          </cell>
          <cell r="AB78" t="str">
            <v>GR</v>
          </cell>
          <cell r="AC78">
            <v>6</v>
          </cell>
          <cell r="AD78" t="str">
            <v>VR</v>
          </cell>
          <cell r="AE78">
            <v>0</v>
          </cell>
          <cell r="AF78">
            <v>0</v>
          </cell>
          <cell r="AG78">
            <v>0</v>
          </cell>
          <cell r="AH78">
            <v>0</v>
          </cell>
          <cell r="AI78">
            <v>0</v>
          </cell>
          <cell r="AJ78">
            <v>0</v>
          </cell>
          <cell r="AK78">
            <v>0</v>
          </cell>
          <cell r="AL78">
            <v>0</v>
          </cell>
          <cell r="AM78">
            <v>1</v>
          </cell>
          <cell r="AN78" t="str">
            <v>never resealed</v>
          </cell>
          <cell r="BO78" t="str">
            <v>RS 322</v>
          </cell>
          <cell r="BP78">
            <v>6</v>
          </cell>
          <cell r="BQ78">
            <v>6</v>
          </cell>
          <cell r="BR78" t="str">
            <v>R</v>
          </cell>
          <cell r="BS78" t="str">
            <v>C</v>
          </cell>
          <cell r="BT78">
            <v>30</v>
          </cell>
          <cell r="BU78" t="str">
            <v>ST</v>
          </cell>
          <cell r="BV78">
            <v>0</v>
          </cell>
          <cell r="BW78">
            <v>1</v>
          </cell>
          <cell r="BX78">
            <v>10</v>
          </cell>
          <cell r="BY78" t="str">
            <v xml:space="preserve"> </v>
          </cell>
          <cell r="BZ78">
            <v>1</v>
          </cell>
          <cell r="CA78">
            <v>6</v>
          </cell>
          <cell r="CB78">
            <v>1.508</v>
          </cell>
          <cell r="CC78">
            <v>8</v>
          </cell>
          <cell r="CD78">
            <v>95</v>
          </cell>
          <cell r="CE78">
            <v>80</v>
          </cell>
          <cell r="CF78">
            <v>65</v>
          </cell>
          <cell r="CG78">
            <v>30</v>
          </cell>
          <cell r="CH78">
            <v>15</v>
          </cell>
          <cell r="CI78">
            <v>8</v>
          </cell>
          <cell r="CJ78">
            <v>2.6666666666666668E-2</v>
          </cell>
          <cell r="CK78">
            <v>10</v>
          </cell>
          <cell r="CL78">
            <v>65</v>
          </cell>
          <cell r="CM78">
            <v>0.5400717948717948</v>
          </cell>
          <cell r="CN78">
            <v>0.5400717948717948</v>
          </cell>
          <cell r="CO78">
            <v>0</v>
          </cell>
          <cell r="CP78">
            <v>0</v>
          </cell>
          <cell r="CQ78">
            <v>8.5400717948717944</v>
          </cell>
          <cell r="CR78">
            <v>20</v>
          </cell>
          <cell r="CS78">
            <v>1</v>
          </cell>
          <cell r="CT78">
            <v>0</v>
          </cell>
          <cell r="CU78">
            <v>0</v>
          </cell>
          <cell r="CV78">
            <v>17</v>
          </cell>
          <cell r="CW78">
            <v>17</v>
          </cell>
          <cell r="CX78" t="str">
            <v xml:space="preserve"> </v>
          </cell>
          <cell r="CY78">
            <v>2</v>
          </cell>
          <cell r="CZ78">
            <v>2</v>
          </cell>
          <cell r="DA78">
            <v>1.5</v>
          </cell>
          <cell r="DB78">
            <v>250</v>
          </cell>
          <cell r="DC78">
            <v>118</v>
          </cell>
          <cell r="DD78">
            <v>65</v>
          </cell>
          <cell r="DE78">
            <v>19</v>
          </cell>
          <cell r="DF78">
            <v>29</v>
          </cell>
          <cell r="DG78">
            <v>5</v>
          </cell>
          <cell r="DH78">
            <v>3</v>
          </cell>
          <cell r="DI78">
            <v>13</v>
          </cell>
        </row>
        <row r="79">
          <cell r="A79" t="str">
            <v>RS 324</v>
          </cell>
          <cell r="B79">
            <v>146</v>
          </cell>
          <cell r="C79" t="str">
            <v>S</v>
          </cell>
          <cell r="D79" t="str">
            <v>T</v>
          </cell>
          <cell r="E79" t="str">
            <v>Chingo - Mbalula</v>
          </cell>
          <cell r="F79" t="str">
            <v>M03</v>
          </cell>
          <cell r="G79">
            <v>15</v>
          </cell>
          <cell r="H79">
            <v>6</v>
          </cell>
          <cell r="I79" t="str">
            <v>R</v>
          </cell>
          <cell r="J79" t="str">
            <v>MANGOCHI</v>
          </cell>
          <cell r="K79">
            <v>7</v>
          </cell>
          <cell r="L79">
            <v>0</v>
          </cell>
          <cell r="W79">
            <v>81</v>
          </cell>
          <cell r="X79" t="str">
            <v>ST</v>
          </cell>
          <cell r="Y79">
            <v>150</v>
          </cell>
          <cell r="Z79" t="str">
            <v>SB</v>
          </cell>
          <cell r="AA79">
            <v>150</v>
          </cell>
          <cell r="AB79" t="str">
            <v>GR</v>
          </cell>
          <cell r="AC79">
            <v>6</v>
          </cell>
          <cell r="AD79" t="str">
            <v>VR</v>
          </cell>
          <cell r="AE79">
            <v>0</v>
          </cell>
          <cell r="AF79">
            <v>0</v>
          </cell>
          <cell r="AG79">
            <v>0</v>
          </cell>
          <cell r="AH79">
            <v>0</v>
          </cell>
          <cell r="AI79">
            <v>0</v>
          </cell>
          <cell r="AJ79">
            <v>0</v>
          </cell>
          <cell r="AK79">
            <v>0</v>
          </cell>
          <cell r="AL79">
            <v>0</v>
          </cell>
          <cell r="AM79">
            <v>1</v>
          </cell>
          <cell r="AN79" t="str">
            <v>never resealed</v>
          </cell>
          <cell r="BO79" t="str">
            <v>RS 324</v>
          </cell>
          <cell r="BP79">
            <v>6</v>
          </cell>
          <cell r="BQ79">
            <v>6</v>
          </cell>
          <cell r="BR79" t="str">
            <v>R</v>
          </cell>
          <cell r="BS79" t="str">
            <v>C</v>
          </cell>
          <cell r="BT79">
            <v>0</v>
          </cell>
          <cell r="BU79" t="str">
            <v>ST</v>
          </cell>
          <cell r="BV79">
            <v>0</v>
          </cell>
          <cell r="BW79">
            <v>1</v>
          </cell>
          <cell r="BX79">
            <v>10</v>
          </cell>
          <cell r="BY79" t="str">
            <v xml:space="preserve"> </v>
          </cell>
          <cell r="BZ79">
            <v>1</v>
          </cell>
          <cell r="CA79">
            <v>6</v>
          </cell>
          <cell r="CB79">
            <v>1.508</v>
          </cell>
          <cell r="CC79">
            <v>8</v>
          </cell>
          <cell r="CD79">
            <v>85</v>
          </cell>
          <cell r="CE79">
            <v>60</v>
          </cell>
          <cell r="CF79">
            <v>45</v>
          </cell>
          <cell r="CG79">
            <v>40</v>
          </cell>
          <cell r="CH79">
            <v>15</v>
          </cell>
          <cell r="CI79">
            <v>10</v>
          </cell>
          <cell r="CJ79">
            <v>3.3333333333333333E-2</v>
          </cell>
          <cell r="CK79">
            <v>10</v>
          </cell>
          <cell r="CL79">
            <v>45</v>
          </cell>
          <cell r="CM79">
            <v>0.41028205128205131</v>
          </cell>
          <cell r="CN79">
            <v>0.41028205128205131</v>
          </cell>
          <cell r="CO79">
            <v>0</v>
          </cell>
          <cell r="CP79">
            <v>0</v>
          </cell>
          <cell r="CQ79">
            <v>8.4102820512820511</v>
          </cell>
          <cell r="CR79">
            <v>20</v>
          </cell>
          <cell r="CS79">
            <v>1</v>
          </cell>
          <cell r="CT79">
            <v>0</v>
          </cell>
          <cell r="CU79">
            <v>0</v>
          </cell>
          <cell r="CV79">
            <v>17</v>
          </cell>
          <cell r="CW79">
            <v>17</v>
          </cell>
          <cell r="CX79" t="str">
            <v xml:space="preserve"> </v>
          </cell>
          <cell r="CY79">
            <v>2</v>
          </cell>
          <cell r="CZ79">
            <v>2</v>
          </cell>
          <cell r="DA79">
            <v>1.5</v>
          </cell>
          <cell r="DB79">
            <v>250</v>
          </cell>
          <cell r="DC79">
            <v>118</v>
          </cell>
          <cell r="DD79">
            <v>65</v>
          </cell>
          <cell r="DE79">
            <v>19</v>
          </cell>
          <cell r="DF79">
            <v>29</v>
          </cell>
          <cell r="DG79">
            <v>5</v>
          </cell>
          <cell r="DH79">
            <v>3</v>
          </cell>
          <cell r="DI79">
            <v>13</v>
          </cell>
        </row>
        <row r="80">
          <cell r="A80" t="str">
            <v>RS 326</v>
          </cell>
          <cell r="B80">
            <v>148</v>
          </cell>
          <cell r="C80" t="str">
            <v>S</v>
          </cell>
          <cell r="D80" t="str">
            <v>T</v>
          </cell>
          <cell r="E80" t="str">
            <v>Chowe - Matola</v>
          </cell>
          <cell r="F80" t="str">
            <v>M03</v>
          </cell>
          <cell r="G80">
            <v>17</v>
          </cell>
          <cell r="H80">
            <v>4.7</v>
          </cell>
          <cell r="I80" t="str">
            <v>R</v>
          </cell>
          <cell r="J80" t="str">
            <v>MANGOCHI</v>
          </cell>
          <cell r="K80">
            <v>7</v>
          </cell>
          <cell r="L80">
            <v>0</v>
          </cell>
          <cell r="W80">
            <v>81</v>
          </cell>
          <cell r="X80" t="str">
            <v>ST</v>
          </cell>
          <cell r="Y80">
            <v>150</v>
          </cell>
          <cell r="Z80" t="str">
            <v>SB</v>
          </cell>
          <cell r="AA80">
            <v>150</v>
          </cell>
          <cell r="AB80" t="str">
            <v>GR</v>
          </cell>
          <cell r="AC80">
            <v>6</v>
          </cell>
          <cell r="AD80" t="str">
            <v>VR</v>
          </cell>
          <cell r="AE80">
            <v>0</v>
          </cell>
          <cell r="AF80">
            <v>0</v>
          </cell>
          <cell r="AG80">
            <v>0</v>
          </cell>
          <cell r="AH80">
            <v>0</v>
          </cell>
          <cell r="AI80">
            <v>0</v>
          </cell>
          <cell r="AJ80">
            <v>0</v>
          </cell>
          <cell r="AK80">
            <v>0</v>
          </cell>
          <cell r="AL80">
            <v>0</v>
          </cell>
          <cell r="AM80">
            <v>1</v>
          </cell>
          <cell r="AN80" t="str">
            <v>never resealed</v>
          </cell>
          <cell r="BO80" t="str">
            <v>RS 326</v>
          </cell>
          <cell r="BP80">
            <v>4.7</v>
          </cell>
          <cell r="BQ80">
            <v>6</v>
          </cell>
          <cell r="BR80" t="str">
            <v>R</v>
          </cell>
          <cell r="BS80" t="str">
            <v>C</v>
          </cell>
          <cell r="BT80">
            <v>0</v>
          </cell>
          <cell r="BU80" t="str">
            <v>ST</v>
          </cell>
          <cell r="BV80">
            <v>0</v>
          </cell>
          <cell r="BW80">
            <v>1</v>
          </cell>
          <cell r="BX80">
            <v>10</v>
          </cell>
          <cell r="BY80" t="str">
            <v xml:space="preserve"> </v>
          </cell>
          <cell r="BZ80">
            <v>1</v>
          </cell>
          <cell r="CA80">
            <v>6</v>
          </cell>
          <cell r="CB80">
            <v>1.508</v>
          </cell>
          <cell r="CC80">
            <v>8</v>
          </cell>
          <cell r="CD80">
            <v>90</v>
          </cell>
          <cell r="CE80">
            <v>75</v>
          </cell>
          <cell r="CF80">
            <v>60</v>
          </cell>
          <cell r="CG80">
            <v>30</v>
          </cell>
          <cell r="CH80">
            <v>15</v>
          </cell>
          <cell r="CI80">
            <v>5</v>
          </cell>
          <cell r="CJ80">
            <v>1.6666666666666666E-2</v>
          </cell>
          <cell r="CK80">
            <v>10</v>
          </cell>
          <cell r="CL80">
            <v>60</v>
          </cell>
          <cell r="CM80">
            <v>0.50321794871794867</v>
          </cell>
          <cell r="CN80">
            <v>0.50321794871794867</v>
          </cell>
          <cell r="CO80">
            <v>0</v>
          </cell>
          <cell r="CP80">
            <v>0</v>
          </cell>
          <cell r="CQ80">
            <v>8.503217948717948</v>
          </cell>
          <cell r="CR80">
            <v>20</v>
          </cell>
          <cell r="CS80">
            <v>1</v>
          </cell>
          <cell r="CT80">
            <v>0</v>
          </cell>
          <cell r="CU80">
            <v>0</v>
          </cell>
          <cell r="CV80">
            <v>17</v>
          </cell>
          <cell r="CW80">
            <v>17</v>
          </cell>
          <cell r="CX80" t="str">
            <v xml:space="preserve"> </v>
          </cell>
          <cell r="CY80">
            <v>2</v>
          </cell>
          <cell r="CZ80">
            <v>2</v>
          </cell>
          <cell r="DA80">
            <v>1.5</v>
          </cell>
          <cell r="DB80">
            <v>120</v>
          </cell>
          <cell r="DC80">
            <v>57</v>
          </cell>
          <cell r="DD80">
            <v>32</v>
          </cell>
          <cell r="DE80">
            <v>9</v>
          </cell>
          <cell r="DF80">
            <v>14</v>
          </cell>
          <cell r="DG80">
            <v>3</v>
          </cell>
          <cell r="DH80">
            <v>2</v>
          </cell>
          <cell r="DI80">
            <v>6</v>
          </cell>
        </row>
        <row r="81">
          <cell r="A81" t="str">
            <v>RS 107</v>
          </cell>
          <cell r="B81">
            <v>107</v>
          </cell>
          <cell r="C81" t="str">
            <v>S</v>
          </cell>
          <cell r="D81" t="str">
            <v>T</v>
          </cell>
          <cell r="E81" t="str">
            <v>Limbe - Gogomwa</v>
          </cell>
          <cell r="F81" t="str">
            <v>M04</v>
          </cell>
          <cell r="G81">
            <v>1</v>
          </cell>
          <cell r="H81">
            <v>5.6</v>
          </cell>
          <cell r="I81" t="str">
            <v>R</v>
          </cell>
          <cell r="J81" t="str">
            <v>BLANTYRE</v>
          </cell>
          <cell r="K81">
            <v>9</v>
          </cell>
          <cell r="L81" t="str">
            <v>Changed designation from M2 to M4</v>
          </cell>
          <cell r="W81">
            <v>58</v>
          </cell>
          <cell r="X81" t="str">
            <v>ST</v>
          </cell>
          <cell r="Y81">
            <v>400</v>
          </cell>
          <cell r="Z81" t="str">
            <v>SB</v>
          </cell>
          <cell r="AA81">
            <v>125</v>
          </cell>
          <cell r="AB81" t="str">
            <v>GR</v>
          </cell>
          <cell r="AC81">
            <v>19</v>
          </cell>
          <cell r="AD81" t="str">
            <v>VR</v>
          </cell>
          <cell r="AE81">
            <v>0</v>
          </cell>
          <cell r="AF81">
            <v>0</v>
          </cell>
          <cell r="AG81">
            <v>0</v>
          </cell>
          <cell r="AH81">
            <v>0</v>
          </cell>
          <cell r="AI81">
            <v>0</v>
          </cell>
          <cell r="AJ81">
            <v>0</v>
          </cell>
          <cell r="AK81">
            <v>0</v>
          </cell>
          <cell r="AL81">
            <v>0</v>
          </cell>
          <cell r="AM81">
            <v>1</v>
          </cell>
          <cell r="AN81" t="str">
            <v>bitumen removed 4km</v>
          </cell>
          <cell r="BO81" t="str">
            <v>RS 107</v>
          </cell>
          <cell r="BP81">
            <v>5.6</v>
          </cell>
          <cell r="BQ81">
            <v>6</v>
          </cell>
          <cell r="BR81" t="str">
            <v>R</v>
          </cell>
          <cell r="BS81" t="str">
            <v>C</v>
          </cell>
          <cell r="BT81">
            <v>70</v>
          </cell>
          <cell r="BU81" t="str">
            <v>ST</v>
          </cell>
          <cell r="BV81">
            <v>0</v>
          </cell>
          <cell r="BW81">
            <v>1</v>
          </cell>
          <cell r="BX81">
            <v>10</v>
          </cell>
          <cell r="BY81" t="str">
            <v xml:space="preserve"> </v>
          </cell>
          <cell r="BZ81">
            <v>1</v>
          </cell>
          <cell r="CA81">
            <v>19</v>
          </cell>
          <cell r="CB81">
            <v>1.258</v>
          </cell>
          <cell r="CC81">
            <v>7.976293094129149</v>
          </cell>
          <cell r="CD81">
            <v>95</v>
          </cell>
          <cell r="CE81">
            <v>80</v>
          </cell>
          <cell r="CF81">
            <v>65</v>
          </cell>
          <cell r="CG81">
            <v>30</v>
          </cell>
          <cell r="CH81">
            <v>15</v>
          </cell>
          <cell r="CI81">
            <v>6</v>
          </cell>
          <cell r="CJ81">
            <v>2.0000000000000004E-2</v>
          </cell>
          <cell r="CK81">
            <v>10</v>
          </cell>
          <cell r="CL81">
            <v>65</v>
          </cell>
          <cell r="CM81">
            <v>0.53755384615384616</v>
          </cell>
          <cell r="CN81">
            <v>0.53755384615384616</v>
          </cell>
          <cell r="CO81">
            <v>0</v>
          </cell>
          <cell r="CP81">
            <v>0</v>
          </cell>
          <cell r="CQ81">
            <v>8.5138469402829955</v>
          </cell>
          <cell r="CR81">
            <v>20</v>
          </cell>
          <cell r="CS81">
            <v>1</v>
          </cell>
          <cell r="CT81">
            <v>0</v>
          </cell>
          <cell r="CU81">
            <v>0</v>
          </cell>
          <cell r="CV81">
            <v>40</v>
          </cell>
          <cell r="CW81">
            <v>40</v>
          </cell>
          <cell r="CX81" t="str">
            <v xml:space="preserve"> </v>
          </cell>
          <cell r="CY81">
            <v>2</v>
          </cell>
          <cell r="CZ81">
            <v>2</v>
          </cell>
          <cell r="DA81">
            <v>1.5</v>
          </cell>
          <cell r="DB81">
            <v>900</v>
          </cell>
          <cell r="DC81">
            <v>423</v>
          </cell>
          <cell r="DD81">
            <v>234</v>
          </cell>
          <cell r="DE81">
            <v>68</v>
          </cell>
          <cell r="DF81">
            <v>104</v>
          </cell>
          <cell r="DG81">
            <v>18</v>
          </cell>
          <cell r="DH81">
            <v>9</v>
          </cell>
          <cell r="DI81">
            <v>45</v>
          </cell>
        </row>
        <row r="82">
          <cell r="A82" t="str">
            <v>RS 331</v>
          </cell>
          <cell r="B82">
            <v>153</v>
          </cell>
          <cell r="C82" t="str">
            <v>S</v>
          </cell>
          <cell r="D82" t="str">
            <v>T</v>
          </cell>
          <cell r="E82" t="str">
            <v>Gogomwa - Mikolongwe</v>
          </cell>
          <cell r="F82" t="str">
            <v>M04</v>
          </cell>
          <cell r="G82">
            <v>2</v>
          </cell>
          <cell r="H82">
            <v>11.9</v>
          </cell>
          <cell r="I82" t="str">
            <v>H</v>
          </cell>
          <cell r="J82" t="str">
            <v>CHIRADZULU</v>
          </cell>
          <cell r="K82">
            <v>9</v>
          </cell>
          <cell r="L82">
            <v>0</v>
          </cell>
          <cell r="W82">
            <v>58</v>
          </cell>
          <cell r="X82" t="str">
            <v>ST</v>
          </cell>
          <cell r="Y82">
            <v>400</v>
          </cell>
          <cell r="Z82" t="str">
            <v>SB</v>
          </cell>
          <cell r="AA82">
            <v>125</v>
          </cell>
          <cell r="AB82" t="str">
            <v>GR</v>
          </cell>
          <cell r="AC82">
            <v>19</v>
          </cell>
          <cell r="AD82" t="str">
            <v>VR</v>
          </cell>
          <cell r="AE82">
            <v>0</v>
          </cell>
          <cell r="AF82">
            <v>0</v>
          </cell>
          <cell r="AG82">
            <v>0</v>
          </cell>
          <cell r="AH82">
            <v>0</v>
          </cell>
          <cell r="AI82">
            <v>0</v>
          </cell>
          <cell r="AJ82">
            <v>0</v>
          </cell>
          <cell r="AK82">
            <v>0</v>
          </cell>
          <cell r="AL82">
            <v>0</v>
          </cell>
          <cell r="AM82">
            <v>1</v>
          </cell>
          <cell r="AN82" t="str">
            <v>never resealed</v>
          </cell>
          <cell r="BO82" t="str">
            <v>RS 331</v>
          </cell>
          <cell r="BP82">
            <v>11.9</v>
          </cell>
          <cell r="BQ82" t="str">
            <v>n.a.</v>
          </cell>
          <cell r="BR82" t="str">
            <v>H</v>
          </cell>
          <cell r="BS82">
            <v>0</v>
          </cell>
          <cell r="BT82">
            <v>100</v>
          </cell>
          <cell r="BU82" t="str">
            <v>ST</v>
          </cell>
          <cell r="BV82">
            <v>0</v>
          </cell>
          <cell r="BW82">
            <v>1</v>
          </cell>
          <cell r="BX82">
            <v>10</v>
          </cell>
          <cell r="BY82" t="str">
            <v xml:space="preserve"> </v>
          </cell>
          <cell r="BZ82">
            <v>1</v>
          </cell>
          <cell r="CA82">
            <v>0</v>
          </cell>
          <cell r="CB82">
            <v>0</v>
          </cell>
          <cell r="CC82" t="str">
            <v>bitumen surface removed</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t="str">
            <v>n.a.</v>
          </cell>
          <cell r="CZ82" t="str">
            <v>n.a.</v>
          </cell>
          <cell r="DA82">
            <v>1.5</v>
          </cell>
          <cell r="DB82">
            <v>880</v>
          </cell>
          <cell r="DC82">
            <v>414</v>
          </cell>
          <cell r="DD82">
            <v>229</v>
          </cell>
          <cell r="DE82">
            <v>66</v>
          </cell>
          <cell r="DF82">
            <v>102</v>
          </cell>
          <cell r="DG82">
            <v>18</v>
          </cell>
          <cell r="DH82">
            <v>9</v>
          </cell>
          <cell r="DI82">
            <v>44</v>
          </cell>
        </row>
        <row r="83">
          <cell r="A83" t="str">
            <v>RS 005</v>
          </cell>
          <cell r="B83" t="str">
            <v>5</v>
          </cell>
          <cell r="C83" t="str">
            <v>N</v>
          </cell>
          <cell r="D83" t="str">
            <v>T</v>
          </cell>
          <cell r="E83" t="str">
            <v>Mzuzu - Nkhata Bay t/off (Kalwe)</v>
          </cell>
          <cell r="F83" t="str">
            <v>M05</v>
          </cell>
          <cell r="G83">
            <v>1</v>
          </cell>
          <cell r="H83">
            <v>45</v>
          </cell>
          <cell r="I83" t="str">
            <v>F</v>
          </cell>
          <cell r="J83" t="str">
            <v>MZIMBA &amp; NKHAT BAY</v>
          </cell>
          <cell r="K83">
            <v>3</v>
          </cell>
          <cell r="L83">
            <v>0</v>
          </cell>
          <cell r="W83">
            <v>75</v>
          </cell>
          <cell r="X83" t="str">
            <v>ST</v>
          </cell>
          <cell r="Y83">
            <v>150</v>
          </cell>
          <cell r="Z83" t="str">
            <v>SG</v>
          </cell>
          <cell r="AA83">
            <v>100</v>
          </cell>
          <cell r="AB83" t="str">
            <v>GR</v>
          </cell>
          <cell r="AC83">
            <v>7</v>
          </cell>
          <cell r="AD83" t="str">
            <v>VR</v>
          </cell>
          <cell r="AE83">
            <v>0</v>
          </cell>
          <cell r="AF83">
            <v>0</v>
          </cell>
          <cell r="AG83">
            <v>0</v>
          </cell>
          <cell r="AH83">
            <v>0</v>
          </cell>
          <cell r="AI83">
            <v>0</v>
          </cell>
          <cell r="AJ83">
            <v>0</v>
          </cell>
          <cell r="AK83">
            <v>0</v>
          </cell>
          <cell r="AL83">
            <v>0</v>
          </cell>
          <cell r="AM83">
            <v>1</v>
          </cell>
          <cell r="AN83" t="str">
            <v>never resealed</v>
          </cell>
          <cell r="BO83" t="str">
            <v>RS 005</v>
          </cell>
          <cell r="BP83">
            <v>45</v>
          </cell>
          <cell r="BQ83">
            <v>6</v>
          </cell>
          <cell r="BR83" t="str">
            <v>F</v>
          </cell>
          <cell r="BS83" t="str">
            <v>C</v>
          </cell>
          <cell r="BT83">
            <v>0</v>
          </cell>
          <cell r="BU83" t="str">
            <v>ST</v>
          </cell>
          <cell r="BV83">
            <v>0</v>
          </cell>
          <cell r="BW83">
            <v>1</v>
          </cell>
          <cell r="BX83">
            <v>10</v>
          </cell>
          <cell r="BY83" t="str">
            <v xml:space="preserve"> </v>
          </cell>
          <cell r="BZ83">
            <v>2</v>
          </cell>
          <cell r="CA83">
            <v>7</v>
          </cell>
          <cell r="CB83">
            <v>1.36</v>
          </cell>
          <cell r="CC83">
            <v>6.6040586284683052</v>
          </cell>
          <cell r="CD83">
            <v>36</v>
          </cell>
          <cell r="CE83">
            <v>23</v>
          </cell>
          <cell r="CF83">
            <v>8</v>
          </cell>
          <cell r="CG83">
            <v>28</v>
          </cell>
          <cell r="CH83">
            <v>15</v>
          </cell>
          <cell r="CI83">
            <v>8.6999999999999993</v>
          </cell>
          <cell r="CJ83">
            <v>2.9000000000000001E-2</v>
          </cell>
          <cell r="CK83">
            <v>8.0289999999999999</v>
          </cell>
          <cell r="CL83">
            <v>8</v>
          </cell>
          <cell r="CM83">
            <v>0.14416615384615386</v>
          </cell>
          <cell r="CN83">
            <v>0.14416615384615386</v>
          </cell>
          <cell r="CO83">
            <v>0</v>
          </cell>
          <cell r="CP83">
            <v>0</v>
          </cell>
          <cell r="CQ83">
            <v>6.748224782314459</v>
          </cell>
          <cell r="CR83">
            <v>0</v>
          </cell>
          <cell r="CS83">
            <v>1</v>
          </cell>
          <cell r="CT83">
            <v>0</v>
          </cell>
          <cell r="CU83">
            <v>0</v>
          </cell>
          <cell r="CV83">
            <v>23</v>
          </cell>
          <cell r="CW83">
            <v>23</v>
          </cell>
          <cell r="CX83" t="str">
            <v xml:space="preserve"> </v>
          </cell>
          <cell r="CY83">
            <v>2</v>
          </cell>
          <cell r="CZ83">
            <v>2</v>
          </cell>
          <cell r="DA83">
            <v>2</v>
          </cell>
          <cell r="DB83">
            <v>400</v>
          </cell>
          <cell r="DC83">
            <v>188</v>
          </cell>
          <cell r="DD83">
            <v>104</v>
          </cell>
          <cell r="DE83">
            <v>30</v>
          </cell>
          <cell r="DF83">
            <v>46</v>
          </cell>
          <cell r="DG83">
            <v>8</v>
          </cell>
          <cell r="DH83">
            <v>4</v>
          </cell>
          <cell r="DI83">
            <v>20</v>
          </cell>
        </row>
        <row r="84">
          <cell r="A84" t="str">
            <v>RS 007</v>
          </cell>
          <cell r="B84" t="str">
            <v>7</v>
          </cell>
          <cell r="C84" t="str">
            <v>N</v>
          </cell>
          <cell r="D84" t="str">
            <v>T</v>
          </cell>
          <cell r="E84" t="str">
            <v>Nkhata Bay t/off (Kalwe) - Dwambazi River</v>
          </cell>
          <cell r="F84" t="str">
            <v>M05</v>
          </cell>
          <cell r="G84">
            <v>2</v>
          </cell>
          <cell r="H84">
            <v>82</v>
          </cell>
          <cell r="I84" t="str">
            <v>R</v>
          </cell>
          <cell r="J84" t="str">
            <v>NKHATA BAY</v>
          </cell>
          <cell r="K84" t="str">
            <v>3,4</v>
          </cell>
          <cell r="L84">
            <v>0</v>
          </cell>
          <cell r="W84">
            <v>94</v>
          </cell>
          <cell r="X84" t="str">
            <v>DS</v>
          </cell>
          <cell r="Y84">
            <v>150</v>
          </cell>
          <cell r="Z84" t="str">
            <v>SB</v>
          </cell>
          <cell r="AA84">
            <v>225</v>
          </cell>
          <cell r="AB84" t="str">
            <v>GR</v>
          </cell>
          <cell r="AC84">
            <v>22</v>
          </cell>
          <cell r="AD84" t="str">
            <v>VR</v>
          </cell>
          <cell r="AE84">
            <v>0</v>
          </cell>
          <cell r="AF84">
            <v>0</v>
          </cell>
          <cell r="AG84">
            <v>0</v>
          </cell>
          <cell r="AH84">
            <v>0</v>
          </cell>
          <cell r="AI84">
            <v>0</v>
          </cell>
          <cell r="AJ84">
            <v>0</v>
          </cell>
          <cell r="AK84">
            <v>0</v>
          </cell>
          <cell r="AL84">
            <v>0</v>
          </cell>
          <cell r="AM84">
            <v>1</v>
          </cell>
          <cell r="AN84" t="str">
            <v>never resealed</v>
          </cell>
          <cell r="BO84" t="str">
            <v>RS 007</v>
          </cell>
          <cell r="BP84">
            <v>82</v>
          </cell>
          <cell r="BQ84">
            <v>6</v>
          </cell>
          <cell r="BR84" t="str">
            <v>R</v>
          </cell>
          <cell r="BS84" t="str">
            <v>C</v>
          </cell>
          <cell r="BT84">
            <v>0</v>
          </cell>
          <cell r="BU84" t="str">
            <v>DS</v>
          </cell>
          <cell r="BV84">
            <v>0</v>
          </cell>
          <cell r="BW84">
            <v>1</v>
          </cell>
          <cell r="BX84">
            <v>15</v>
          </cell>
          <cell r="BY84" t="str">
            <v xml:space="preserve"> </v>
          </cell>
          <cell r="BZ84">
            <v>1</v>
          </cell>
          <cell r="CA84">
            <v>22</v>
          </cell>
          <cell r="CB84">
            <v>2.427</v>
          </cell>
          <cell r="CC84">
            <v>3.7143049448882604</v>
          </cell>
          <cell r="CD84">
            <v>0</v>
          </cell>
          <cell r="CE84">
            <v>0</v>
          </cell>
          <cell r="CF84">
            <v>0</v>
          </cell>
          <cell r="CG84">
            <v>0</v>
          </cell>
          <cell r="CH84">
            <v>0</v>
          </cell>
          <cell r="CI84">
            <v>1.9</v>
          </cell>
          <cell r="CJ84">
            <v>6.3333333333333332E-3</v>
          </cell>
          <cell r="CK84">
            <v>6.3333333333333332E-3</v>
          </cell>
          <cell r="CL84">
            <v>0</v>
          </cell>
          <cell r="CM84">
            <v>2.4553846153846158E-3</v>
          </cell>
          <cell r="CN84">
            <v>2.4553846153846158E-3</v>
          </cell>
          <cell r="CO84">
            <v>0</v>
          </cell>
          <cell r="CP84">
            <v>0</v>
          </cell>
          <cell r="CQ84">
            <v>3.7167603295036451</v>
          </cell>
          <cell r="CR84">
            <v>0</v>
          </cell>
          <cell r="CS84">
            <v>1</v>
          </cell>
          <cell r="CT84">
            <v>0</v>
          </cell>
          <cell r="CU84">
            <v>0</v>
          </cell>
          <cell r="CV84">
            <v>4</v>
          </cell>
          <cell r="CW84">
            <v>4</v>
          </cell>
          <cell r="CX84" t="str">
            <v xml:space="preserve"> </v>
          </cell>
          <cell r="CY84">
            <v>1.8</v>
          </cell>
          <cell r="CZ84">
            <v>1.1000000000000001</v>
          </cell>
          <cell r="DA84">
            <v>1.1000000000000001</v>
          </cell>
          <cell r="DB84">
            <v>300</v>
          </cell>
          <cell r="DC84">
            <v>141</v>
          </cell>
          <cell r="DD84">
            <v>78</v>
          </cell>
          <cell r="DE84">
            <v>23</v>
          </cell>
          <cell r="DF84">
            <v>35</v>
          </cell>
          <cell r="DG84">
            <v>6</v>
          </cell>
          <cell r="DH84">
            <v>3</v>
          </cell>
          <cell r="DI84">
            <v>15</v>
          </cell>
        </row>
        <row r="85">
          <cell r="A85" t="str">
            <v>RS 047</v>
          </cell>
          <cell r="B85">
            <v>47</v>
          </cell>
          <cell r="C85" t="str">
            <v>C</v>
          </cell>
          <cell r="D85" t="str">
            <v>T</v>
          </cell>
          <cell r="E85" t="str">
            <v>Dwambazi River - Lawrence Kachulu</v>
          </cell>
          <cell r="F85" t="str">
            <v>M05</v>
          </cell>
          <cell r="G85">
            <v>3</v>
          </cell>
          <cell r="H85">
            <v>16.5</v>
          </cell>
          <cell r="I85" t="str">
            <v>F</v>
          </cell>
          <cell r="J85" t="str">
            <v>NKHATA BAY</v>
          </cell>
          <cell r="K85">
            <v>4</v>
          </cell>
          <cell r="L85">
            <v>0</v>
          </cell>
          <cell r="W85">
            <v>94</v>
          </cell>
          <cell r="X85" t="str">
            <v>DS</v>
          </cell>
          <cell r="Y85">
            <v>150</v>
          </cell>
          <cell r="Z85" t="str">
            <v>SB</v>
          </cell>
          <cell r="AA85">
            <v>225</v>
          </cell>
          <cell r="AB85" t="str">
            <v>GR</v>
          </cell>
          <cell r="AC85">
            <v>22</v>
          </cell>
          <cell r="AD85" t="str">
            <v>VR</v>
          </cell>
          <cell r="AE85">
            <v>0</v>
          </cell>
          <cell r="AF85">
            <v>0</v>
          </cell>
          <cell r="AG85">
            <v>0</v>
          </cell>
          <cell r="AH85">
            <v>0</v>
          </cell>
          <cell r="AI85">
            <v>0</v>
          </cell>
          <cell r="AJ85">
            <v>0</v>
          </cell>
          <cell r="AK85">
            <v>0</v>
          </cell>
          <cell r="AL85">
            <v>0</v>
          </cell>
          <cell r="AM85">
            <v>1</v>
          </cell>
          <cell r="AN85" t="str">
            <v>never resealed</v>
          </cell>
          <cell r="BO85" t="str">
            <v>RS 047</v>
          </cell>
          <cell r="BP85">
            <v>16.5</v>
          </cell>
          <cell r="BQ85">
            <v>6</v>
          </cell>
          <cell r="BR85" t="str">
            <v>F</v>
          </cell>
          <cell r="BS85" t="str">
            <v>C</v>
          </cell>
          <cell r="BT85">
            <v>0</v>
          </cell>
          <cell r="BU85" t="str">
            <v>DS</v>
          </cell>
          <cell r="BV85">
            <v>0</v>
          </cell>
          <cell r="BW85">
            <v>1</v>
          </cell>
          <cell r="BX85">
            <v>15</v>
          </cell>
          <cell r="BY85" t="str">
            <v xml:space="preserve"> </v>
          </cell>
          <cell r="BZ85">
            <v>1</v>
          </cell>
          <cell r="CA85">
            <v>22</v>
          </cell>
          <cell r="CB85">
            <v>2.427</v>
          </cell>
          <cell r="CC85">
            <v>3.5804019550342137</v>
          </cell>
          <cell r="CD85">
            <v>0</v>
          </cell>
          <cell r="CE85">
            <v>0</v>
          </cell>
          <cell r="CF85">
            <v>0</v>
          </cell>
          <cell r="CG85">
            <v>0</v>
          </cell>
          <cell r="CH85">
            <v>0</v>
          </cell>
          <cell r="CI85">
            <v>0</v>
          </cell>
          <cell r="CJ85">
            <v>0</v>
          </cell>
          <cell r="CK85">
            <v>0</v>
          </cell>
          <cell r="CL85">
            <v>0</v>
          </cell>
          <cell r="CM85">
            <v>0</v>
          </cell>
          <cell r="CN85">
            <v>0</v>
          </cell>
          <cell r="CO85">
            <v>0</v>
          </cell>
          <cell r="CP85">
            <v>0</v>
          </cell>
          <cell r="CQ85">
            <v>3.5804019550342137</v>
          </cell>
          <cell r="CR85">
            <v>0</v>
          </cell>
          <cell r="CS85">
            <v>1</v>
          </cell>
          <cell r="CT85">
            <v>0</v>
          </cell>
          <cell r="CU85">
            <v>0</v>
          </cell>
          <cell r="CV85">
            <v>4</v>
          </cell>
          <cell r="CW85">
            <v>4</v>
          </cell>
          <cell r="CX85" t="str">
            <v xml:space="preserve"> </v>
          </cell>
          <cell r="CY85">
            <v>1</v>
          </cell>
          <cell r="CZ85">
            <v>1</v>
          </cell>
          <cell r="DA85">
            <v>1</v>
          </cell>
          <cell r="DB85">
            <v>300</v>
          </cell>
          <cell r="DC85">
            <v>141</v>
          </cell>
          <cell r="DD85">
            <v>78</v>
          </cell>
          <cell r="DE85">
            <v>23</v>
          </cell>
          <cell r="DF85">
            <v>35</v>
          </cell>
          <cell r="DG85">
            <v>6</v>
          </cell>
          <cell r="DH85">
            <v>3</v>
          </cell>
          <cell r="DI85">
            <v>15</v>
          </cell>
        </row>
        <row r="86">
          <cell r="A86" t="str">
            <v>RS 052</v>
          </cell>
          <cell r="B86">
            <v>52</v>
          </cell>
          <cell r="C86" t="str">
            <v>C</v>
          </cell>
          <cell r="D86" t="str">
            <v>T</v>
          </cell>
          <cell r="E86" t="str">
            <v>Lawrence Kachulu - Chamulala</v>
          </cell>
          <cell r="F86" t="str">
            <v>M05</v>
          </cell>
          <cell r="G86">
            <v>4</v>
          </cell>
          <cell r="H86">
            <v>12.7</v>
          </cell>
          <cell r="I86" t="str">
            <v>F</v>
          </cell>
          <cell r="J86" t="str">
            <v>NKHOTA KOTA</v>
          </cell>
          <cell r="K86">
            <v>4</v>
          </cell>
          <cell r="L86">
            <v>0</v>
          </cell>
          <cell r="W86">
            <v>94</v>
          </cell>
          <cell r="X86" t="str">
            <v>DS</v>
          </cell>
          <cell r="Y86">
            <v>150</v>
          </cell>
          <cell r="Z86" t="str">
            <v>SB</v>
          </cell>
          <cell r="AA86">
            <v>225</v>
          </cell>
          <cell r="AB86" t="str">
            <v>GR</v>
          </cell>
          <cell r="AC86">
            <v>22</v>
          </cell>
          <cell r="AD86" t="str">
            <v>VR</v>
          </cell>
          <cell r="AE86">
            <v>0</v>
          </cell>
          <cell r="AF86">
            <v>0</v>
          </cell>
          <cell r="AG86">
            <v>0</v>
          </cell>
          <cell r="AH86">
            <v>0</v>
          </cell>
          <cell r="AI86">
            <v>0</v>
          </cell>
          <cell r="AJ86">
            <v>0</v>
          </cell>
          <cell r="AK86">
            <v>0</v>
          </cell>
          <cell r="AL86">
            <v>0</v>
          </cell>
          <cell r="AM86">
            <v>1</v>
          </cell>
          <cell r="AN86" t="str">
            <v>never resealed</v>
          </cell>
          <cell r="BO86" t="str">
            <v>RS 052</v>
          </cell>
          <cell r="BP86">
            <v>12.7</v>
          </cell>
          <cell r="BQ86">
            <v>6</v>
          </cell>
          <cell r="BR86" t="str">
            <v>F</v>
          </cell>
          <cell r="BS86" t="str">
            <v>C</v>
          </cell>
          <cell r="BT86">
            <v>0</v>
          </cell>
          <cell r="BU86" t="str">
            <v>DS</v>
          </cell>
          <cell r="BV86">
            <v>0</v>
          </cell>
          <cell r="BW86">
            <v>1</v>
          </cell>
          <cell r="BX86">
            <v>15</v>
          </cell>
          <cell r="BY86" t="str">
            <v xml:space="preserve"> </v>
          </cell>
          <cell r="BZ86">
            <v>1</v>
          </cell>
          <cell r="CA86">
            <v>22</v>
          </cell>
          <cell r="CB86">
            <v>2.427</v>
          </cell>
          <cell r="CC86">
            <v>5.75</v>
          </cell>
          <cell r="CD86">
            <v>0</v>
          </cell>
          <cell r="CE86">
            <v>0</v>
          </cell>
          <cell r="CF86">
            <v>0</v>
          </cell>
          <cell r="CG86">
            <v>0</v>
          </cell>
          <cell r="CH86">
            <v>0</v>
          </cell>
          <cell r="CI86">
            <v>0.12</v>
          </cell>
          <cell r="CJ86">
            <v>3.9999999999999996E-4</v>
          </cell>
          <cell r="CK86">
            <v>3.9999999999999996E-4</v>
          </cell>
          <cell r="CL86">
            <v>0</v>
          </cell>
          <cell r="CM86">
            <v>1.5507692307692309E-4</v>
          </cell>
          <cell r="CN86">
            <v>1.5507692307692309E-4</v>
          </cell>
          <cell r="CO86">
            <v>0</v>
          </cell>
          <cell r="CP86">
            <v>0</v>
          </cell>
          <cell r="CQ86">
            <v>5.7501550769230771</v>
          </cell>
          <cell r="CR86">
            <v>0</v>
          </cell>
          <cell r="CS86">
            <v>1</v>
          </cell>
          <cell r="CT86">
            <v>0</v>
          </cell>
          <cell r="CU86">
            <v>0</v>
          </cell>
          <cell r="CV86">
            <v>4</v>
          </cell>
          <cell r="CW86">
            <v>4</v>
          </cell>
          <cell r="CX86" t="str">
            <v xml:space="preserve"> </v>
          </cell>
          <cell r="CY86">
            <v>1</v>
          </cell>
          <cell r="CZ86">
            <v>1</v>
          </cell>
          <cell r="DA86">
            <v>1</v>
          </cell>
          <cell r="DB86">
            <v>300</v>
          </cell>
          <cell r="DC86">
            <v>141</v>
          </cell>
          <cell r="DD86">
            <v>78</v>
          </cell>
          <cell r="DE86">
            <v>23</v>
          </cell>
          <cell r="DF86">
            <v>35</v>
          </cell>
          <cell r="DG86">
            <v>6</v>
          </cell>
          <cell r="DH86">
            <v>3</v>
          </cell>
          <cell r="DI86">
            <v>15</v>
          </cell>
        </row>
        <row r="87">
          <cell r="A87" t="str">
            <v>RS 048</v>
          </cell>
          <cell r="B87">
            <v>48</v>
          </cell>
          <cell r="C87" t="str">
            <v>C</v>
          </cell>
          <cell r="D87" t="str">
            <v>T</v>
          </cell>
          <cell r="E87" t="str">
            <v>Chamulala - Dwangwa River</v>
          </cell>
          <cell r="F87" t="str">
            <v>M05</v>
          </cell>
          <cell r="G87">
            <v>5</v>
          </cell>
          <cell r="H87">
            <v>10.199999999999999</v>
          </cell>
          <cell r="I87" t="str">
            <v>F</v>
          </cell>
          <cell r="J87" t="str">
            <v>NKHOTA KOTA</v>
          </cell>
          <cell r="K87">
            <v>4</v>
          </cell>
          <cell r="L87">
            <v>0</v>
          </cell>
          <cell r="W87">
            <v>94</v>
          </cell>
          <cell r="X87" t="str">
            <v>DS</v>
          </cell>
          <cell r="Y87">
            <v>150</v>
          </cell>
          <cell r="Z87" t="str">
            <v>SB</v>
          </cell>
          <cell r="AA87">
            <v>225</v>
          </cell>
          <cell r="AB87" t="str">
            <v>GR</v>
          </cell>
          <cell r="AC87">
            <v>22</v>
          </cell>
          <cell r="AD87" t="str">
            <v>VR</v>
          </cell>
          <cell r="AE87">
            <v>0</v>
          </cell>
          <cell r="AF87">
            <v>0</v>
          </cell>
          <cell r="AG87">
            <v>0</v>
          </cell>
          <cell r="AH87">
            <v>0</v>
          </cell>
          <cell r="AI87">
            <v>0</v>
          </cell>
          <cell r="AJ87">
            <v>0</v>
          </cell>
          <cell r="AK87">
            <v>0</v>
          </cell>
          <cell r="AL87">
            <v>0</v>
          </cell>
          <cell r="AM87">
            <v>1</v>
          </cell>
          <cell r="AN87" t="str">
            <v>never resealed</v>
          </cell>
          <cell r="BO87" t="str">
            <v>RS 048</v>
          </cell>
          <cell r="BP87">
            <v>10.199999999999999</v>
          </cell>
          <cell r="BQ87">
            <v>6.7</v>
          </cell>
          <cell r="BR87" t="str">
            <v>F</v>
          </cell>
          <cell r="BS87" t="str">
            <v>S</v>
          </cell>
          <cell r="BT87">
            <v>0</v>
          </cell>
          <cell r="BU87" t="str">
            <v>DS</v>
          </cell>
          <cell r="BV87">
            <v>0</v>
          </cell>
          <cell r="BW87">
            <v>1</v>
          </cell>
          <cell r="BX87">
            <v>15</v>
          </cell>
          <cell r="BY87" t="str">
            <v xml:space="preserve"> </v>
          </cell>
          <cell r="BZ87">
            <v>1</v>
          </cell>
          <cell r="CA87">
            <v>22</v>
          </cell>
          <cell r="CB87">
            <v>2.427</v>
          </cell>
          <cell r="CC87">
            <v>5</v>
          </cell>
          <cell r="CD87">
            <v>0</v>
          </cell>
          <cell r="CE87">
            <v>0</v>
          </cell>
          <cell r="CF87">
            <v>0</v>
          </cell>
          <cell r="CG87">
            <v>0</v>
          </cell>
          <cell r="CH87">
            <v>0</v>
          </cell>
          <cell r="CI87">
            <v>0.1</v>
          </cell>
          <cell r="CJ87">
            <v>2.9850746268656722E-4</v>
          </cell>
          <cell r="CK87">
            <v>2.9850746268656722E-4</v>
          </cell>
          <cell r="CL87">
            <v>0</v>
          </cell>
          <cell r="CM87">
            <v>1.1572904707233067E-4</v>
          </cell>
          <cell r="CN87">
            <v>1.1572904707233067E-4</v>
          </cell>
          <cell r="CO87">
            <v>0</v>
          </cell>
          <cell r="CP87">
            <v>0</v>
          </cell>
          <cell r="CQ87">
            <v>5.0001157290470726</v>
          </cell>
          <cell r="CR87">
            <v>0</v>
          </cell>
          <cell r="CS87">
            <v>1</v>
          </cell>
          <cell r="CT87">
            <v>0</v>
          </cell>
          <cell r="CU87">
            <v>0</v>
          </cell>
          <cell r="CV87">
            <v>4</v>
          </cell>
          <cell r="CW87">
            <v>4</v>
          </cell>
          <cell r="CX87" t="str">
            <v xml:space="preserve"> </v>
          </cell>
          <cell r="CY87">
            <v>1.5</v>
          </cell>
          <cell r="CZ87">
            <v>1</v>
          </cell>
          <cell r="DA87">
            <v>1</v>
          </cell>
          <cell r="DB87">
            <v>300</v>
          </cell>
          <cell r="DC87">
            <v>141</v>
          </cell>
          <cell r="DD87">
            <v>78</v>
          </cell>
          <cell r="DE87">
            <v>23</v>
          </cell>
          <cell r="DF87">
            <v>35</v>
          </cell>
          <cell r="DG87">
            <v>6</v>
          </cell>
          <cell r="DH87">
            <v>3</v>
          </cell>
          <cell r="DI87">
            <v>15</v>
          </cell>
        </row>
        <row r="88">
          <cell r="A88" t="str">
            <v>RS 062</v>
          </cell>
          <cell r="B88">
            <v>62</v>
          </cell>
          <cell r="C88" t="str">
            <v>C</v>
          </cell>
          <cell r="D88" t="str">
            <v>T</v>
          </cell>
          <cell r="E88" t="str">
            <v>Dwangwa River- Musejere River</v>
          </cell>
          <cell r="F88" t="str">
            <v>M05</v>
          </cell>
          <cell r="G88">
            <v>6</v>
          </cell>
          <cell r="H88">
            <v>28.1</v>
          </cell>
          <cell r="I88" t="str">
            <v>F</v>
          </cell>
          <cell r="J88" t="str">
            <v>NKHOTA KOTA</v>
          </cell>
          <cell r="K88">
            <v>4</v>
          </cell>
          <cell r="L88">
            <v>0</v>
          </cell>
          <cell r="W88">
            <v>81</v>
          </cell>
          <cell r="X88" t="str">
            <v>ST</v>
          </cell>
          <cell r="Y88">
            <v>150</v>
          </cell>
          <cell r="Z88" t="str">
            <v>SB</v>
          </cell>
          <cell r="AA88">
            <v>225</v>
          </cell>
          <cell r="AB88" t="str">
            <v>GR</v>
          </cell>
          <cell r="AC88">
            <v>22</v>
          </cell>
          <cell r="AD88" t="str">
            <v>VR</v>
          </cell>
          <cell r="AE88">
            <v>93</v>
          </cell>
          <cell r="AF88" t="str">
            <v>SR</v>
          </cell>
          <cell r="AG88" t="str">
            <v>ST</v>
          </cell>
          <cell r="AH88">
            <v>10</v>
          </cell>
          <cell r="AI88">
            <v>0</v>
          </cell>
          <cell r="AJ88">
            <v>0</v>
          </cell>
          <cell r="AK88">
            <v>0</v>
          </cell>
          <cell r="AL88">
            <v>0</v>
          </cell>
          <cell r="AM88">
            <v>4</v>
          </cell>
          <cell r="AN88">
            <v>0</v>
          </cell>
          <cell r="BO88" t="str">
            <v>RS 062</v>
          </cell>
          <cell r="BP88">
            <v>28.1</v>
          </cell>
          <cell r="BQ88">
            <v>5.5</v>
          </cell>
          <cell r="BR88" t="str">
            <v>F</v>
          </cell>
          <cell r="BS88" t="str">
            <v>C</v>
          </cell>
          <cell r="BT88">
            <v>0</v>
          </cell>
          <cell r="BU88" t="str">
            <v>ST</v>
          </cell>
          <cell r="BV88" t="str">
            <v>ST</v>
          </cell>
          <cell r="BW88">
            <v>4</v>
          </cell>
          <cell r="BX88">
            <v>10</v>
          </cell>
          <cell r="BY88">
            <v>10</v>
          </cell>
          <cell r="BZ88">
            <v>1</v>
          </cell>
          <cell r="CA88">
            <v>22</v>
          </cell>
          <cell r="CB88">
            <v>2.4350000000000001</v>
          </cell>
          <cell r="CC88">
            <v>4.9400000000000004</v>
          </cell>
          <cell r="CD88">
            <v>0</v>
          </cell>
          <cell r="CE88">
            <v>0</v>
          </cell>
          <cell r="CF88">
            <v>0</v>
          </cell>
          <cell r="CG88">
            <v>0</v>
          </cell>
          <cell r="CH88">
            <v>0</v>
          </cell>
          <cell r="CI88">
            <v>1.4</v>
          </cell>
          <cell r="CJ88">
            <v>5.0909090909090904E-3</v>
          </cell>
          <cell r="CK88">
            <v>5.0909090909090904E-3</v>
          </cell>
          <cell r="CL88">
            <v>0</v>
          </cell>
          <cell r="CM88">
            <v>1.9737062937062936E-3</v>
          </cell>
          <cell r="CN88">
            <v>1.9737062937062936E-3</v>
          </cell>
          <cell r="CO88">
            <v>0</v>
          </cell>
          <cell r="CP88">
            <v>0</v>
          </cell>
          <cell r="CQ88">
            <v>4.941973706293707</v>
          </cell>
          <cell r="CR88">
            <v>0</v>
          </cell>
          <cell r="CS88">
            <v>1</v>
          </cell>
          <cell r="CT88">
            <v>0</v>
          </cell>
          <cell r="CU88">
            <v>0</v>
          </cell>
          <cell r="CV88">
            <v>5</v>
          </cell>
          <cell r="CW88">
            <v>17</v>
          </cell>
          <cell r="CX88">
            <v>34</v>
          </cell>
          <cell r="CY88">
            <v>2</v>
          </cell>
          <cell r="CZ88">
            <v>1.5</v>
          </cell>
          <cell r="DA88">
            <v>1.5</v>
          </cell>
          <cell r="DB88">
            <v>300</v>
          </cell>
          <cell r="DC88">
            <v>141</v>
          </cell>
          <cell r="DD88">
            <v>78</v>
          </cell>
          <cell r="DE88">
            <v>23</v>
          </cell>
          <cell r="DF88">
            <v>35</v>
          </cell>
          <cell r="DG88">
            <v>6</v>
          </cell>
          <cell r="DH88">
            <v>3</v>
          </cell>
          <cell r="DI88">
            <v>15</v>
          </cell>
        </row>
        <row r="89">
          <cell r="A89" t="str">
            <v>RS 043</v>
          </cell>
          <cell r="B89">
            <v>43</v>
          </cell>
          <cell r="C89" t="str">
            <v>C</v>
          </cell>
          <cell r="D89" t="str">
            <v>T</v>
          </cell>
          <cell r="E89" t="str">
            <v>Musenjere River- Bua River</v>
          </cell>
          <cell r="F89" t="str">
            <v>M05</v>
          </cell>
          <cell r="G89">
            <v>7</v>
          </cell>
          <cell r="H89">
            <v>14.7</v>
          </cell>
          <cell r="I89" t="str">
            <v>R</v>
          </cell>
          <cell r="J89" t="str">
            <v>NKHOTA KOTA</v>
          </cell>
          <cell r="K89">
            <v>5</v>
          </cell>
          <cell r="L89">
            <v>0</v>
          </cell>
          <cell r="W89">
            <v>81</v>
          </cell>
          <cell r="X89" t="str">
            <v>ST</v>
          </cell>
          <cell r="Y89">
            <v>150</v>
          </cell>
          <cell r="Z89" t="str">
            <v>SB</v>
          </cell>
          <cell r="AA89">
            <v>225</v>
          </cell>
          <cell r="AB89" t="str">
            <v>GR</v>
          </cell>
          <cell r="AC89">
            <v>22</v>
          </cell>
          <cell r="AD89" t="str">
            <v>VR</v>
          </cell>
          <cell r="AE89">
            <v>93</v>
          </cell>
          <cell r="AF89" t="str">
            <v>SR</v>
          </cell>
          <cell r="AG89" t="str">
            <v>ST</v>
          </cell>
          <cell r="AH89">
            <v>10</v>
          </cell>
          <cell r="AI89">
            <v>0</v>
          </cell>
          <cell r="AJ89">
            <v>0</v>
          </cell>
          <cell r="AK89">
            <v>0</v>
          </cell>
          <cell r="AL89">
            <v>0</v>
          </cell>
          <cell r="AM89">
            <v>4</v>
          </cell>
          <cell r="AN89">
            <v>0</v>
          </cell>
          <cell r="BO89" t="str">
            <v>RS 043</v>
          </cell>
          <cell r="BP89">
            <v>14.7</v>
          </cell>
          <cell r="BQ89">
            <v>5.5</v>
          </cell>
          <cell r="BR89" t="str">
            <v>R</v>
          </cell>
          <cell r="BS89" t="str">
            <v>C</v>
          </cell>
          <cell r="BT89">
            <v>0</v>
          </cell>
          <cell r="BU89" t="str">
            <v>ST</v>
          </cell>
          <cell r="BV89" t="str">
            <v>ST</v>
          </cell>
          <cell r="BW89">
            <v>4</v>
          </cell>
          <cell r="BX89">
            <v>10</v>
          </cell>
          <cell r="BY89">
            <v>10</v>
          </cell>
          <cell r="BZ89">
            <v>1</v>
          </cell>
          <cell r="CA89">
            <v>22</v>
          </cell>
          <cell r="CB89">
            <v>2.4350000000000001</v>
          </cell>
          <cell r="CC89">
            <v>4.7440662477307649</v>
          </cell>
          <cell r="CD89">
            <v>37</v>
          </cell>
          <cell r="CE89">
            <v>10</v>
          </cell>
          <cell r="CF89">
            <v>0</v>
          </cell>
          <cell r="CG89">
            <v>37</v>
          </cell>
          <cell r="CH89">
            <v>10</v>
          </cell>
          <cell r="CI89">
            <v>1.8</v>
          </cell>
          <cell r="CJ89">
            <v>6.5454545454545461E-3</v>
          </cell>
          <cell r="CK89">
            <v>6.5454545454545461E-3</v>
          </cell>
          <cell r="CL89">
            <v>0</v>
          </cell>
          <cell r="CM89">
            <v>2.537622377622378E-3</v>
          </cell>
          <cell r="CN89">
            <v>2.537622377622378E-3</v>
          </cell>
          <cell r="CO89">
            <v>0</v>
          </cell>
          <cell r="CP89">
            <v>0</v>
          </cell>
          <cell r="CQ89">
            <v>4.7466038701083875</v>
          </cell>
          <cell r="CR89">
            <v>0</v>
          </cell>
          <cell r="CS89">
            <v>1</v>
          </cell>
          <cell r="CT89">
            <v>0</v>
          </cell>
          <cell r="CU89">
            <v>0</v>
          </cell>
          <cell r="CV89">
            <v>5</v>
          </cell>
          <cell r="CW89">
            <v>17</v>
          </cell>
          <cell r="CX89">
            <v>34</v>
          </cell>
          <cell r="CY89">
            <v>2</v>
          </cell>
          <cell r="CZ89">
            <v>1</v>
          </cell>
          <cell r="DA89">
            <v>1.3</v>
          </cell>
          <cell r="DB89">
            <v>300</v>
          </cell>
          <cell r="DC89">
            <v>141</v>
          </cell>
          <cell r="DD89">
            <v>78</v>
          </cell>
          <cell r="DE89">
            <v>23</v>
          </cell>
          <cell r="DF89">
            <v>35</v>
          </cell>
          <cell r="DG89">
            <v>6</v>
          </cell>
          <cell r="DH89">
            <v>3</v>
          </cell>
          <cell r="DI89">
            <v>15</v>
          </cell>
        </row>
        <row r="90">
          <cell r="A90" t="str">
            <v>RS 066</v>
          </cell>
          <cell r="B90">
            <v>66</v>
          </cell>
          <cell r="C90" t="str">
            <v>C</v>
          </cell>
          <cell r="D90" t="str">
            <v>T</v>
          </cell>
          <cell r="E90" t="str">
            <v>Bua River - Nkhota-kota</v>
          </cell>
          <cell r="F90" t="str">
            <v>M05</v>
          </cell>
          <cell r="G90">
            <v>8</v>
          </cell>
          <cell r="H90">
            <v>14.8</v>
          </cell>
          <cell r="I90" t="str">
            <v>F</v>
          </cell>
          <cell r="J90" t="str">
            <v>NKHOTA KOTA</v>
          </cell>
          <cell r="K90">
            <v>5</v>
          </cell>
          <cell r="L90">
            <v>0</v>
          </cell>
          <cell r="W90">
            <v>81</v>
          </cell>
          <cell r="X90" t="str">
            <v>ST</v>
          </cell>
          <cell r="Y90">
            <v>150</v>
          </cell>
          <cell r="Z90" t="str">
            <v>SB</v>
          </cell>
          <cell r="AA90">
            <v>225</v>
          </cell>
          <cell r="AB90" t="str">
            <v>GR</v>
          </cell>
          <cell r="AC90">
            <v>22</v>
          </cell>
          <cell r="AD90" t="str">
            <v>VR</v>
          </cell>
          <cell r="AE90">
            <v>93</v>
          </cell>
          <cell r="AF90" t="str">
            <v>SR</v>
          </cell>
          <cell r="AG90" t="str">
            <v>ST</v>
          </cell>
          <cell r="AH90">
            <v>10</v>
          </cell>
          <cell r="AI90">
            <v>0</v>
          </cell>
          <cell r="AJ90">
            <v>0</v>
          </cell>
          <cell r="AK90">
            <v>0</v>
          </cell>
          <cell r="AL90">
            <v>0</v>
          </cell>
          <cell r="AM90">
            <v>4</v>
          </cell>
          <cell r="AN90">
            <v>0</v>
          </cell>
          <cell r="BO90" t="str">
            <v>RS 066</v>
          </cell>
          <cell r="BP90">
            <v>14.8</v>
          </cell>
          <cell r="BQ90">
            <v>5.5</v>
          </cell>
          <cell r="BR90" t="str">
            <v>F</v>
          </cell>
          <cell r="BS90" t="str">
            <v>C</v>
          </cell>
          <cell r="BT90">
            <v>0</v>
          </cell>
          <cell r="BU90" t="str">
            <v>ST</v>
          </cell>
          <cell r="BV90" t="str">
            <v>ST</v>
          </cell>
          <cell r="BW90">
            <v>4</v>
          </cell>
          <cell r="BX90">
            <v>10</v>
          </cell>
          <cell r="BY90">
            <v>10</v>
          </cell>
          <cell r="BZ90">
            <v>1</v>
          </cell>
          <cell r="CA90">
            <v>22</v>
          </cell>
          <cell r="CB90">
            <v>2.4350000000000001</v>
          </cell>
          <cell r="CC90">
            <v>5.3031239438852342</v>
          </cell>
          <cell r="CD90">
            <v>27</v>
          </cell>
          <cell r="CE90">
            <v>19</v>
          </cell>
          <cell r="CF90">
            <v>4</v>
          </cell>
          <cell r="CG90">
            <v>23</v>
          </cell>
          <cell r="CH90">
            <v>15</v>
          </cell>
          <cell r="CI90">
            <v>2.6</v>
          </cell>
          <cell r="CJ90">
            <v>9.4545454545454551E-3</v>
          </cell>
          <cell r="CK90">
            <v>4.0094545454545454</v>
          </cell>
          <cell r="CL90">
            <v>4</v>
          </cell>
          <cell r="CM90">
            <v>7.0126993006993002E-2</v>
          </cell>
          <cell r="CN90">
            <v>7.0126993006993002E-2</v>
          </cell>
          <cell r="CO90">
            <v>0</v>
          </cell>
          <cell r="CP90">
            <v>0</v>
          </cell>
          <cell r="CQ90">
            <v>5.3732509368922274</v>
          </cell>
          <cell r="CR90">
            <v>0</v>
          </cell>
          <cell r="CS90">
            <v>1</v>
          </cell>
          <cell r="CT90">
            <v>0</v>
          </cell>
          <cell r="CU90">
            <v>0</v>
          </cell>
          <cell r="CV90">
            <v>5</v>
          </cell>
          <cell r="CW90">
            <v>17</v>
          </cell>
          <cell r="CX90">
            <v>34</v>
          </cell>
          <cell r="CY90">
            <v>2</v>
          </cell>
          <cell r="CZ90">
            <v>1.2</v>
          </cell>
          <cell r="DA90">
            <v>1.1000000000000001</v>
          </cell>
          <cell r="DB90">
            <v>300</v>
          </cell>
          <cell r="DC90">
            <v>141</v>
          </cell>
          <cell r="DD90">
            <v>78</v>
          </cell>
          <cell r="DE90">
            <v>23</v>
          </cell>
          <cell r="DF90">
            <v>35</v>
          </cell>
          <cell r="DG90">
            <v>6</v>
          </cell>
          <cell r="DH90">
            <v>3</v>
          </cell>
          <cell r="DI90">
            <v>15</v>
          </cell>
        </row>
        <row r="91">
          <cell r="A91" t="str">
            <v>RS 050</v>
          </cell>
          <cell r="B91">
            <v>50</v>
          </cell>
          <cell r="C91" t="str">
            <v>C</v>
          </cell>
          <cell r="D91" t="str">
            <v>T</v>
          </cell>
          <cell r="E91" t="str">
            <v>Km 11.6-Km 18.3 (Nkhota-kota - Chia)</v>
          </cell>
          <cell r="F91" t="str">
            <v>M05</v>
          </cell>
          <cell r="G91">
            <v>10</v>
          </cell>
          <cell r="H91">
            <v>6.7</v>
          </cell>
          <cell r="I91" t="str">
            <v>F</v>
          </cell>
          <cell r="J91" t="str">
            <v>NKHOTA KOTA</v>
          </cell>
          <cell r="K91">
            <v>5</v>
          </cell>
          <cell r="L91">
            <v>0</v>
          </cell>
          <cell r="W91">
            <v>81</v>
          </cell>
          <cell r="X91" t="str">
            <v>DS</v>
          </cell>
          <cell r="Y91">
            <v>200</v>
          </cell>
          <cell r="Z91" t="str">
            <v>SB</v>
          </cell>
          <cell r="AA91">
            <v>100</v>
          </cell>
          <cell r="AB91" t="str">
            <v>GR</v>
          </cell>
          <cell r="AC91">
            <v>4</v>
          </cell>
          <cell r="AD91" t="str">
            <v>VR</v>
          </cell>
          <cell r="AE91">
            <v>93</v>
          </cell>
          <cell r="AF91" t="str">
            <v>SR</v>
          </cell>
          <cell r="AG91" t="str">
            <v>ST</v>
          </cell>
          <cell r="AH91">
            <v>10</v>
          </cell>
          <cell r="AI91">
            <v>0</v>
          </cell>
          <cell r="AJ91">
            <v>0</v>
          </cell>
          <cell r="AK91">
            <v>0</v>
          </cell>
          <cell r="AL91">
            <v>0</v>
          </cell>
          <cell r="AM91">
            <v>4</v>
          </cell>
          <cell r="AN91">
            <v>0</v>
          </cell>
          <cell r="BO91" t="str">
            <v>RS 050</v>
          </cell>
          <cell r="BP91">
            <v>6.7</v>
          </cell>
          <cell r="BQ91">
            <v>5.5</v>
          </cell>
          <cell r="BR91" t="str">
            <v>F</v>
          </cell>
          <cell r="BS91" t="str">
            <v>C</v>
          </cell>
          <cell r="BT91">
            <v>0</v>
          </cell>
          <cell r="BU91" t="str">
            <v>ST</v>
          </cell>
          <cell r="BV91" t="str">
            <v>DS</v>
          </cell>
          <cell r="BW91">
            <v>4</v>
          </cell>
          <cell r="BX91">
            <v>10</v>
          </cell>
          <cell r="BY91">
            <v>15</v>
          </cell>
          <cell r="BZ91">
            <v>1</v>
          </cell>
          <cell r="CA91">
            <v>4</v>
          </cell>
          <cell r="CB91">
            <v>1.3540000000000001</v>
          </cell>
          <cell r="CC91">
            <v>4.8691634262704078</v>
          </cell>
          <cell r="CD91">
            <v>34</v>
          </cell>
          <cell r="CE91">
            <v>22</v>
          </cell>
          <cell r="CF91">
            <v>7</v>
          </cell>
          <cell r="CG91">
            <v>27</v>
          </cell>
          <cell r="CH91">
            <v>15</v>
          </cell>
          <cell r="CI91">
            <v>3.1</v>
          </cell>
          <cell r="CJ91">
            <v>1.1272727272727275E-2</v>
          </cell>
          <cell r="CK91">
            <v>7.0112727272727273</v>
          </cell>
          <cell r="CL91">
            <v>7</v>
          </cell>
          <cell r="CM91">
            <v>0.12067804195804198</v>
          </cell>
          <cell r="CN91">
            <v>0.12067804195804198</v>
          </cell>
          <cell r="CO91">
            <v>0</v>
          </cell>
          <cell r="CP91">
            <v>0</v>
          </cell>
          <cell r="CQ91">
            <v>4.98984146822845</v>
          </cell>
          <cell r="CR91">
            <v>0</v>
          </cell>
          <cell r="CS91">
            <v>1.4</v>
          </cell>
          <cell r="CT91">
            <v>1.9999999999999996</v>
          </cell>
          <cell r="CU91">
            <v>0.79999999999999982</v>
          </cell>
          <cell r="CV91">
            <v>5</v>
          </cell>
          <cell r="CW91">
            <v>17</v>
          </cell>
          <cell r="CX91">
            <v>34</v>
          </cell>
          <cell r="CY91">
            <v>2</v>
          </cell>
          <cell r="CZ91">
            <v>1.2</v>
          </cell>
          <cell r="DA91">
            <v>1.1000000000000001</v>
          </cell>
          <cell r="DB91">
            <v>250</v>
          </cell>
          <cell r="DC91">
            <v>118</v>
          </cell>
          <cell r="DD91">
            <v>65</v>
          </cell>
          <cell r="DE91">
            <v>19</v>
          </cell>
          <cell r="DF91">
            <v>29</v>
          </cell>
          <cell r="DG91">
            <v>5</v>
          </cell>
          <cell r="DH91">
            <v>3</v>
          </cell>
          <cell r="DI91">
            <v>13</v>
          </cell>
        </row>
        <row r="92">
          <cell r="A92" t="str">
            <v>RS 054</v>
          </cell>
          <cell r="B92">
            <v>54</v>
          </cell>
          <cell r="C92" t="str">
            <v>C</v>
          </cell>
          <cell r="D92" t="str">
            <v>T</v>
          </cell>
          <cell r="E92" t="str">
            <v>Km 18.3 - Chia River</v>
          </cell>
          <cell r="F92" t="str">
            <v>M05</v>
          </cell>
          <cell r="G92">
            <v>11</v>
          </cell>
          <cell r="H92">
            <v>5.4</v>
          </cell>
          <cell r="I92" t="str">
            <v>F</v>
          </cell>
          <cell r="J92" t="str">
            <v>NKHOTA KOTA</v>
          </cell>
          <cell r="K92">
            <v>5</v>
          </cell>
          <cell r="L92">
            <v>0</v>
          </cell>
          <cell r="W92">
            <v>78</v>
          </cell>
          <cell r="X92" t="str">
            <v>ST</v>
          </cell>
          <cell r="Y92">
            <v>150</v>
          </cell>
          <cell r="Z92" t="str">
            <v>SB</v>
          </cell>
          <cell r="AA92">
            <v>225</v>
          </cell>
          <cell r="AB92" t="str">
            <v>GR</v>
          </cell>
          <cell r="AC92">
            <v>22</v>
          </cell>
          <cell r="AD92" t="str">
            <v>VR</v>
          </cell>
          <cell r="AE92">
            <v>93</v>
          </cell>
          <cell r="AF92" t="str">
            <v>SR</v>
          </cell>
          <cell r="AG92" t="str">
            <v>ST</v>
          </cell>
          <cell r="AH92">
            <v>10</v>
          </cell>
          <cell r="AI92">
            <v>0</v>
          </cell>
          <cell r="AJ92">
            <v>0</v>
          </cell>
          <cell r="AK92">
            <v>0</v>
          </cell>
          <cell r="AL92">
            <v>0</v>
          </cell>
          <cell r="AM92">
            <v>4</v>
          </cell>
          <cell r="AN92">
            <v>0</v>
          </cell>
          <cell r="BO92" t="str">
            <v>RS 054</v>
          </cell>
          <cell r="BP92">
            <v>5.4</v>
          </cell>
          <cell r="BQ92">
            <v>5.5</v>
          </cell>
          <cell r="BR92" t="str">
            <v>F</v>
          </cell>
          <cell r="BS92" t="str">
            <v>C</v>
          </cell>
          <cell r="BT92">
            <v>0</v>
          </cell>
          <cell r="BU92" t="str">
            <v>ST</v>
          </cell>
          <cell r="BV92" t="str">
            <v>ST</v>
          </cell>
          <cell r="BW92">
            <v>4</v>
          </cell>
          <cell r="BX92">
            <v>10</v>
          </cell>
          <cell r="BY92">
            <v>10</v>
          </cell>
          <cell r="BZ92">
            <v>1</v>
          </cell>
          <cell r="CA92">
            <v>22</v>
          </cell>
          <cell r="CB92">
            <v>2.4350000000000001</v>
          </cell>
          <cell r="CC92">
            <v>6.2855176278918226</v>
          </cell>
          <cell r="CD92">
            <v>90</v>
          </cell>
          <cell r="CE92">
            <v>65</v>
          </cell>
          <cell r="CF92">
            <v>50</v>
          </cell>
          <cell r="CG92">
            <v>40</v>
          </cell>
          <cell r="CH92">
            <v>15</v>
          </cell>
          <cell r="CI92">
            <v>1.2</v>
          </cell>
          <cell r="CJ92">
            <v>4.3636363636363638E-3</v>
          </cell>
          <cell r="CK92">
            <v>10</v>
          </cell>
          <cell r="CL92">
            <v>50</v>
          </cell>
          <cell r="CM92">
            <v>0.43241734265734261</v>
          </cell>
          <cell r="CN92">
            <v>0.43241734265734261</v>
          </cell>
          <cell r="CO92">
            <v>0</v>
          </cell>
          <cell r="CP92">
            <v>0</v>
          </cell>
          <cell r="CQ92">
            <v>6.7179349705491651</v>
          </cell>
          <cell r="CR92">
            <v>0</v>
          </cell>
          <cell r="CS92">
            <v>3</v>
          </cell>
          <cell r="CT92">
            <v>15</v>
          </cell>
          <cell r="CU92">
            <v>6</v>
          </cell>
          <cell r="CV92">
            <v>5</v>
          </cell>
          <cell r="CW92">
            <v>20</v>
          </cell>
          <cell r="CX92">
            <v>40</v>
          </cell>
          <cell r="CY92">
            <v>2</v>
          </cell>
          <cell r="CZ92">
            <v>1</v>
          </cell>
          <cell r="DA92">
            <v>1</v>
          </cell>
          <cell r="DB92">
            <v>250</v>
          </cell>
          <cell r="DC92">
            <v>118</v>
          </cell>
          <cell r="DD92">
            <v>65</v>
          </cell>
          <cell r="DE92">
            <v>19</v>
          </cell>
          <cell r="DF92">
            <v>29</v>
          </cell>
          <cell r="DG92">
            <v>5</v>
          </cell>
          <cell r="DH92">
            <v>3</v>
          </cell>
          <cell r="DI92">
            <v>13</v>
          </cell>
        </row>
        <row r="93">
          <cell r="A93" t="str">
            <v>RS 053</v>
          </cell>
          <cell r="B93">
            <v>53</v>
          </cell>
          <cell r="C93" t="str">
            <v>C</v>
          </cell>
          <cell r="D93" t="str">
            <v>T</v>
          </cell>
          <cell r="E93" t="str">
            <v>Chia River-Benga</v>
          </cell>
          <cell r="F93" t="str">
            <v>M05</v>
          </cell>
          <cell r="G93">
            <v>12</v>
          </cell>
          <cell r="H93">
            <v>29.4</v>
          </cell>
          <cell r="I93" t="str">
            <v>F</v>
          </cell>
          <cell r="J93" t="str">
            <v>NKHOTA KOTA</v>
          </cell>
          <cell r="K93">
            <v>5</v>
          </cell>
          <cell r="L93">
            <v>0</v>
          </cell>
          <cell r="W93">
            <v>78</v>
          </cell>
          <cell r="X93" t="str">
            <v>ST</v>
          </cell>
          <cell r="Y93">
            <v>150</v>
          </cell>
          <cell r="Z93" t="str">
            <v>SB</v>
          </cell>
          <cell r="AA93">
            <v>225</v>
          </cell>
          <cell r="AB93" t="str">
            <v>GR</v>
          </cell>
          <cell r="AC93">
            <v>22</v>
          </cell>
          <cell r="AD93" t="str">
            <v>VR</v>
          </cell>
          <cell r="AE93">
            <v>93</v>
          </cell>
          <cell r="AF93" t="str">
            <v>SR</v>
          </cell>
          <cell r="AG93" t="str">
            <v>ST</v>
          </cell>
          <cell r="AH93">
            <v>10</v>
          </cell>
          <cell r="AI93">
            <v>0</v>
          </cell>
          <cell r="AJ93">
            <v>0</v>
          </cell>
          <cell r="AK93">
            <v>0</v>
          </cell>
          <cell r="AL93">
            <v>0</v>
          </cell>
          <cell r="AM93">
            <v>4</v>
          </cell>
          <cell r="AN93" t="str">
            <v>10km reconstructed 1993</v>
          </cell>
          <cell r="BO93" t="str">
            <v>RS 053</v>
          </cell>
          <cell r="BP93">
            <v>29.4</v>
          </cell>
          <cell r="BQ93">
            <v>6</v>
          </cell>
          <cell r="BR93" t="str">
            <v>F</v>
          </cell>
          <cell r="BS93" t="str">
            <v>C</v>
          </cell>
          <cell r="BT93">
            <v>0</v>
          </cell>
          <cell r="BU93" t="str">
            <v>ST</v>
          </cell>
          <cell r="BV93" t="str">
            <v>ST</v>
          </cell>
          <cell r="BW93">
            <v>4</v>
          </cell>
          <cell r="BX93">
            <v>10</v>
          </cell>
          <cell r="BY93">
            <v>10</v>
          </cell>
          <cell r="BZ93">
            <v>1</v>
          </cell>
          <cell r="CA93">
            <v>22</v>
          </cell>
          <cell r="CB93">
            <v>2.4350000000000001</v>
          </cell>
          <cell r="CC93">
            <v>4.63</v>
          </cell>
          <cell r="CD93">
            <v>16</v>
          </cell>
          <cell r="CE93">
            <v>13</v>
          </cell>
          <cell r="CF93">
            <v>0</v>
          </cell>
          <cell r="CG93">
            <v>16</v>
          </cell>
          <cell r="CH93">
            <v>13</v>
          </cell>
          <cell r="CI93">
            <v>4.0999999999999996</v>
          </cell>
          <cell r="CJ93">
            <v>1.3666666666666667E-2</v>
          </cell>
          <cell r="CK93">
            <v>1.3666666666666667E-2</v>
          </cell>
          <cell r="CL93">
            <v>0</v>
          </cell>
          <cell r="CM93">
            <v>5.2984615384615383E-3</v>
          </cell>
          <cell r="CN93">
            <v>5.2984615384615383E-3</v>
          </cell>
          <cell r="CO93">
            <v>0</v>
          </cell>
          <cell r="CP93">
            <v>0</v>
          </cell>
          <cell r="CQ93">
            <v>4.6352984615384614</v>
          </cell>
          <cell r="CR93">
            <v>0</v>
          </cell>
          <cell r="CS93">
            <v>1.3</v>
          </cell>
          <cell r="CT93">
            <v>1.5000000000000002</v>
          </cell>
          <cell r="CU93">
            <v>0.60000000000000009</v>
          </cell>
          <cell r="CV93">
            <v>5</v>
          </cell>
          <cell r="CW93">
            <v>20</v>
          </cell>
          <cell r="CX93">
            <v>40</v>
          </cell>
          <cell r="CY93">
            <v>2</v>
          </cell>
          <cell r="CZ93">
            <v>1.2</v>
          </cell>
          <cell r="DA93">
            <v>1</v>
          </cell>
          <cell r="DB93">
            <v>250</v>
          </cell>
          <cell r="DC93">
            <v>118</v>
          </cell>
          <cell r="DD93">
            <v>65</v>
          </cell>
          <cell r="DE93">
            <v>19</v>
          </cell>
          <cell r="DF93">
            <v>29</v>
          </cell>
          <cell r="DG93">
            <v>5</v>
          </cell>
          <cell r="DH93">
            <v>3</v>
          </cell>
          <cell r="DI93">
            <v>13</v>
          </cell>
        </row>
        <row r="94">
          <cell r="A94" t="str">
            <v>RS 061</v>
          </cell>
          <cell r="B94">
            <v>61</v>
          </cell>
          <cell r="C94" t="str">
            <v>C</v>
          </cell>
          <cell r="D94" t="str">
            <v>T</v>
          </cell>
          <cell r="E94" t="str">
            <v>Benga-Kachisoka</v>
          </cell>
          <cell r="F94" t="str">
            <v>M05</v>
          </cell>
          <cell r="G94">
            <v>13</v>
          </cell>
          <cell r="H94">
            <v>2.7</v>
          </cell>
          <cell r="I94" t="str">
            <v>F</v>
          </cell>
          <cell r="J94" t="str">
            <v>NKHOTAKOTA</v>
          </cell>
          <cell r="K94">
            <v>5</v>
          </cell>
          <cell r="L94">
            <v>0</v>
          </cell>
          <cell r="W94">
            <v>83</v>
          </cell>
          <cell r="X94" t="str">
            <v>DS</v>
          </cell>
          <cell r="Y94">
            <v>200</v>
          </cell>
          <cell r="Z94" t="str">
            <v>SB</v>
          </cell>
          <cell r="AA94">
            <v>100</v>
          </cell>
          <cell r="AB94" t="str">
            <v>GR</v>
          </cell>
          <cell r="AC94">
            <v>4</v>
          </cell>
          <cell r="AD94" t="str">
            <v>VR</v>
          </cell>
          <cell r="AE94">
            <v>0</v>
          </cell>
          <cell r="AF94">
            <v>0</v>
          </cell>
          <cell r="AG94">
            <v>0</v>
          </cell>
          <cell r="AH94">
            <v>0</v>
          </cell>
          <cell r="AI94">
            <v>0</v>
          </cell>
          <cell r="AJ94">
            <v>0</v>
          </cell>
          <cell r="AK94">
            <v>0</v>
          </cell>
          <cell r="AL94">
            <v>0</v>
          </cell>
          <cell r="AM94">
            <v>1</v>
          </cell>
          <cell r="AN94" t="str">
            <v>never resealed</v>
          </cell>
          <cell r="BO94" t="str">
            <v>RS 061</v>
          </cell>
          <cell r="BP94">
            <v>2.7</v>
          </cell>
          <cell r="BQ94">
            <v>6</v>
          </cell>
          <cell r="BR94" t="str">
            <v>F</v>
          </cell>
          <cell r="BS94" t="str">
            <v>C</v>
          </cell>
          <cell r="BT94">
            <v>0</v>
          </cell>
          <cell r="BU94" t="str">
            <v>DS</v>
          </cell>
          <cell r="BV94">
            <v>0</v>
          </cell>
          <cell r="BW94">
            <v>1</v>
          </cell>
          <cell r="BX94">
            <v>15</v>
          </cell>
          <cell r="BY94" t="str">
            <v xml:space="preserve"> </v>
          </cell>
          <cell r="BZ94">
            <v>1</v>
          </cell>
          <cell r="CA94">
            <v>4</v>
          </cell>
          <cell r="CB94">
            <v>1.177</v>
          </cell>
          <cell r="CC94">
            <v>4.9512067774519402</v>
          </cell>
          <cell r="CD94">
            <v>34</v>
          </cell>
          <cell r="CE94">
            <v>19</v>
          </cell>
          <cell r="CF94">
            <v>4</v>
          </cell>
          <cell r="CG94">
            <v>30</v>
          </cell>
          <cell r="CH94">
            <v>15</v>
          </cell>
          <cell r="CI94">
            <v>1.9</v>
          </cell>
          <cell r="CJ94">
            <v>6.3333333333333332E-3</v>
          </cell>
          <cell r="CK94">
            <v>4.0063333333333331</v>
          </cell>
          <cell r="CL94">
            <v>4</v>
          </cell>
          <cell r="CM94">
            <v>6.891692307692307E-2</v>
          </cell>
          <cell r="CN94">
            <v>6.891692307692307E-2</v>
          </cell>
          <cell r="CO94">
            <v>0</v>
          </cell>
          <cell r="CP94">
            <v>0</v>
          </cell>
          <cell r="CQ94">
            <v>5.0201237005288633</v>
          </cell>
          <cell r="CR94">
            <v>0</v>
          </cell>
          <cell r="CS94">
            <v>1.5</v>
          </cell>
          <cell r="CT94">
            <v>2.5</v>
          </cell>
          <cell r="CU94">
            <v>1</v>
          </cell>
          <cell r="CV94">
            <v>15</v>
          </cell>
          <cell r="CW94">
            <v>15</v>
          </cell>
          <cell r="CX94" t="str">
            <v xml:space="preserve"> </v>
          </cell>
          <cell r="CY94">
            <v>2</v>
          </cell>
          <cell r="CZ94">
            <v>1</v>
          </cell>
          <cell r="DA94">
            <v>1</v>
          </cell>
          <cell r="DB94">
            <v>250</v>
          </cell>
          <cell r="DC94">
            <v>118</v>
          </cell>
          <cell r="DD94">
            <v>65</v>
          </cell>
          <cell r="DE94">
            <v>19</v>
          </cell>
          <cell r="DF94">
            <v>29</v>
          </cell>
          <cell r="DG94">
            <v>5</v>
          </cell>
          <cell r="DH94">
            <v>3</v>
          </cell>
          <cell r="DI94">
            <v>13</v>
          </cell>
        </row>
        <row r="95">
          <cell r="A95" t="str">
            <v>RS 042</v>
          </cell>
          <cell r="B95">
            <v>42</v>
          </cell>
          <cell r="C95" t="str">
            <v>C</v>
          </cell>
          <cell r="D95" t="str">
            <v>T</v>
          </cell>
          <cell r="E95" t="str">
            <v>Chirua River Bridge - Thavite River Bridge</v>
          </cell>
          <cell r="F95" t="str">
            <v>M05</v>
          </cell>
          <cell r="G95">
            <v>14</v>
          </cell>
          <cell r="H95">
            <v>6</v>
          </cell>
          <cell r="I95" t="str">
            <v>F</v>
          </cell>
          <cell r="J95" t="str">
            <v>SALIMA</v>
          </cell>
          <cell r="K95">
            <v>5</v>
          </cell>
          <cell r="L95">
            <v>0</v>
          </cell>
          <cell r="W95">
            <v>83</v>
          </cell>
          <cell r="X95" t="str">
            <v>ST</v>
          </cell>
          <cell r="Y95">
            <v>150</v>
          </cell>
          <cell r="Z95" t="str">
            <v>GR</v>
          </cell>
          <cell r="AA95">
            <v>100</v>
          </cell>
          <cell r="AB95" t="str">
            <v>GR</v>
          </cell>
          <cell r="AC95">
            <v>8</v>
          </cell>
          <cell r="AD95" t="str">
            <v>VR</v>
          </cell>
          <cell r="AE95">
            <v>0</v>
          </cell>
          <cell r="AF95">
            <v>0</v>
          </cell>
          <cell r="AG95">
            <v>0</v>
          </cell>
          <cell r="AH95">
            <v>0</v>
          </cell>
          <cell r="AI95">
            <v>0</v>
          </cell>
          <cell r="AJ95">
            <v>0</v>
          </cell>
          <cell r="AK95">
            <v>0</v>
          </cell>
          <cell r="AL95">
            <v>0</v>
          </cell>
          <cell r="AM95">
            <v>1</v>
          </cell>
          <cell r="AN95" t="str">
            <v>never resealed</v>
          </cell>
          <cell r="BO95" t="str">
            <v>RS 042</v>
          </cell>
          <cell r="BP95">
            <v>6</v>
          </cell>
          <cell r="BQ95">
            <v>6</v>
          </cell>
          <cell r="BR95" t="str">
            <v>F</v>
          </cell>
          <cell r="BS95" t="str">
            <v>C</v>
          </cell>
          <cell r="BT95">
            <v>0</v>
          </cell>
          <cell r="BU95" t="str">
            <v>ST</v>
          </cell>
          <cell r="BV95">
            <v>0</v>
          </cell>
          <cell r="BW95">
            <v>1</v>
          </cell>
          <cell r="BX95">
            <v>10</v>
          </cell>
          <cell r="BY95" t="str">
            <v xml:space="preserve"> </v>
          </cell>
          <cell r="BZ95">
            <v>1</v>
          </cell>
          <cell r="CA95">
            <v>8</v>
          </cell>
          <cell r="CB95">
            <v>0.90800000000000003</v>
          </cell>
          <cell r="CC95">
            <v>4.5999999999999996</v>
          </cell>
          <cell r="CD95">
            <v>95</v>
          </cell>
          <cell r="CE95">
            <v>76</v>
          </cell>
          <cell r="CF95">
            <v>61</v>
          </cell>
          <cell r="CG95">
            <v>34</v>
          </cell>
          <cell r="CH95">
            <v>15</v>
          </cell>
          <cell r="CI95">
            <v>1.6</v>
          </cell>
          <cell r="CJ95">
            <v>5.3333333333333349E-3</v>
          </cell>
          <cell r="CK95">
            <v>10</v>
          </cell>
          <cell r="CL95">
            <v>61</v>
          </cell>
          <cell r="CM95">
            <v>0.50555282051282047</v>
          </cell>
          <cell r="CN95">
            <v>0.50555282051282047</v>
          </cell>
          <cell r="CO95">
            <v>0</v>
          </cell>
          <cell r="CP95">
            <v>0</v>
          </cell>
          <cell r="CQ95">
            <v>5.1055528205128198</v>
          </cell>
          <cell r="CR95">
            <v>0</v>
          </cell>
          <cell r="CS95">
            <v>1</v>
          </cell>
          <cell r="CT95">
            <v>0</v>
          </cell>
          <cell r="CU95">
            <v>0</v>
          </cell>
          <cell r="CV95">
            <v>15</v>
          </cell>
          <cell r="CW95">
            <v>15</v>
          </cell>
          <cell r="CX95" t="str">
            <v xml:space="preserve"> </v>
          </cell>
          <cell r="CY95">
            <v>2</v>
          </cell>
          <cell r="CZ95">
            <v>1</v>
          </cell>
          <cell r="DA95">
            <v>1</v>
          </cell>
          <cell r="DB95">
            <v>150</v>
          </cell>
          <cell r="DC95">
            <v>71</v>
          </cell>
          <cell r="DD95">
            <v>39</v>
          </cell>
          <cell r="DE95">
            <v>12</v>
          </cell>
          <cell r="DF95">
            <v>18</v>
          </cell>
          <cell r="DG95">
            <v>3</v>
          </cell>
          <cell r="DH95">
            <v>2</v>
          </cell>
          <cell r="DI95">
            <v>8</v>
          </cell>
        </row>
        <row r="96">
          <cell r="A96" t="str">
            <v>RS 058</v>
          </cell>
          <cell r="B96">
            <v>58</v>
          </cell>
          <cell r="C96" t="str">
            <v>C</v>
          </cell>
          <cell r="D96" t="str">
            <v>T</v>
          </cell>
          <cell r="E96" t="str">
            <v>Thavite River Bridge - Kamphatenga</v>
          </cell>
          <cell r="F96" t="str">
            <v>M05</v>
          </cell>
          <cell r="G96">
            <v>15</v>
          </cell>
          <cell r="H96">
            <v>32.5</v>
          </cell>
          <cell r="I96" t="str">
            <v>F</v>
          </cell>
          <cell r="J96" t="str">
            <v>SALIMA</v>
          </cell>
          <cell r="K96">
            <v>7</v>
          </cell>
          <cell r="L96">
            <v>0</v>
          </cell>
          <cell r="W96">
            <v>83</v>
          </cell>
          <cell r="X96" t="str">
            <v>DS</v>
          </cell>
          <cell r="Y96">
            <v>200</v>
          </cell>
          <cell r="Z96" t="str">
            <v>SB</v>
          </cell>
          <cell r="AA96">
            <v>100</v>
          </cell>
          <cell r="AB96" t="str">
            <v>GR</v>
          </cell>
          <cell r="AC96">
            <v>4</v>
          </cell>
          <cell r="AD96" t="str">
            <v>VR</v>
          </cell>
          <cell r="AE96">
            <v>0</v>
          </cell>
          <cell r="AF96">
            <v>0</v>
          </cell>
          <cell r="AG96">
            <v>0</v>
          </cell>
          <cell r="AH96">
            <v>0</v>
          </cell>
          <cell r="AI96">
            <v>0</v>
          </cell>
          <cell r="AJ96">
            <v>0</v>
          </cell>
          <cell r="AK96">
            <v>0</v>
          </cell>
          <cell r="AL96">
            <v>0</v>
          </cell>
          <cell r="AM96">
            <v>1</v>
          </cell>
          <cell r="AN96" t="str">
            <v>never resealed</v>
          </cell>
          <cell r="BO96" t="str">
            <v>RS 058</v>
          </cell>
          <cell r="BP96">
            <v>32.5</v>
          </cell>
          <cell r="BQ96">
            <v>6</v>
          </cell>
          <cell r="BR96" t="str">
            <v>F</v>
          </cell>
          <cell r="BS96" t="str">
            <v>C</v>
          </cell>
          <cell r="BT96">
            <v>0</v>
          </cell>
          <cell r="BU96" t="str">
            <v>DS</v>
          </cell>
          <cell r="BV96">
            <v>0</v>
          </cell>
          <cell r="BW96">
            <v>1</v>
          </cell>
          <cell r="BX96">
            <v>15</v>
          </cell>
          <cell r="BY96" t="str">
            <v xml:space="preserve"> </v>
          </cell>
          <cell r="BZ96">
            <v>1</v>
          </cell>
          <cell r="CA96">
            <v>4</v>
          </cell>
          <cell r="CB96">
            <v>1.177</v>
          </cell>
          <cell r="CC96">
            <v>4.6480611775321456</v>
          </cell>
          <cell r="CD96">
            <v>45</v>
          </cell>
          <cell r="CE96">
            <v>35</v>
          </cell>
          <cell r="CF96">
            <v>20</v>
          </cell>
          <cell r="CG96">
            <v>25</v>
          </cell>
          <cell r="CH96">
            <v>15</v>
          </cell>
          <cell r="CI96">
            <v>2.8</v>
          </cell>
          <cell r="CJ96">
            <v>9.3333333333333324E-3</v>
          </cell>
          <cell r="CK96">
            <v>10</v>
          </cell>
          <cell r="CL96">
            <v>20</v>
          </cell>
          <cell r="CM96">
            <v>0.23583282051282048</v>
          </cell>
          <cell r="CN96">
            <v>0.23583282051282048</v>
          </cell>
          <cell r="CO96">
            <v>0</v>
          </cell>
          <cell r="CP96">
            <v>0</v>
          </cell>
          <cell r="CQ96">
            <v>4.8838939980449663</v>
          </cell>
          <cell r="CR96">
            <v>0</v>
          </cell>
          <cell r="CS96">
            <v>1</v>
          </cell>
          <cell r="CT96">
            <v>0</v>
          </cell>
          <cell r="CU96">
            <v>0</v>
          </cell>
          <cell r="CV96">
            <v>15</v>
          </cell>
          <cell r="CW96">
            <v>15</v>
          </cell>
          <cell r="CX96" t="str">
            <v xml:space="preserve"> </v>
          </cell>
          <cell r="CY96">
            <v>2</v>
          </cell>
          <cell r="CZ96">
            <v>1</v>
          </cell>
          <cell r="DA96">
            <v>1</v>
          </cell>
          <cell r="DB96">
            <v>150</v>
          </cell>
          <cell r="DC96">
            <v>71</v>
          </cell>
          <cell r="DD96">
            <v>39</v>
          </cell>
          <cell r="DE96">
            <v>12</v>
          </cell>
          <cell r="DF96">
            <v>18</v>
          </cell>
          <cell r="DG96">
            <v>3</v>
          </cell>
          <cell r="DH96">
            <v>2</v>
          </cell>
          <cell r="DI96">
            <v>8</v>
          </cell>
        </row>
        <row r="97">
          <cell r="A97" t="str">
            <v>RS 044</v>
          </cell>
          <cell r="B97">
            <v>44</v>
          </cell>
          <cell r="C97" t="str">
            <v>C</v>
          </cell>
          <cell r="D97" t="str">
            <v>T</v>
          </cell>
          <cell r="E97" t="str">
            <v>Kaphatenga - junction S122</v>
          </cell>
          <cell r="F97" t="str">
            <v>M05</v>
          </cell>
          <cell r="G97">
            <v>16</v>
          </cell>
          <cell r="H97">
            <v>4.8</v>
          </cell>
          <cell r="I97" t="str">
            <v>F</v>
          </cell>
          <cell r="J97" t="str">
            <v>SALIMA</v>
          </cell>
          <cell r="K97">
            <v>7</v>
          </cell>
          <cell r="L97" t="str">
            <v>Changed junction road designation from M5</v>
          </cell>
          <cell r="W97">
            <v>83</v>
          </cell>
          <cell r="X97" t="str">
            <v>ST</v>
          </cell>
          <cell r="Y97">
            <v>200</v>
          </cell>
          <cell r="Z97" t="str">
            <v>SB</v>
          </cell>
          <cell r="AA97">
            <v>100</v>
          </cell>
          <cell r="AB97" t="str">
            <v>GR</v>
          </cell>
          <cell r="AC97">
            <v>4</v>
          </cell>
          <cell r="AD97" t="str">
            <v>VR</v>
          </cell>
          <cell r="AE97">
            <v>0</v>
          </cell>
          <cell r="AF97">
            <v>0</v>
          </cell>
          <cell r="AG97">
            <v>0</v>
          </cell>
          <cell r="AH97">
            <v>0</v>
          </cell>
          <cell r="AI97">
            <v>0</v>
          </cell>
          <cell r="AJ97">
            <v>0</v>
          </cell>
          <cell r="AK97">
            <v>0</v>
          </cell>
          <cell r="AL97">
            <v>0</v>
          </cell>
          <cell r="AM97">
            <v>1</v>
          </cell>
          <cell r="AN97" t="str">
            <v>never resealed</v>
          </cell>
          <cell r="BO97" t="str">
            <v>RS 044</v>
          </cell>
          <cell r="BP97">
            <v>4.8</v>
          </cell>
          <cell r="BQ97">
            <v>6</v>
          </cell>
          <cell r="BR97" t="str">
            <v>F</v>
          </cell>
          <cell r="BS97" t="str">
            <v>C</v>
          </cell>
          <cell r="BT97">
            <v>0</v>
          </cell>
          <cell r="BU97" t="str">
            <v>ST</v>
          </cell>
          <cell r="BV97">
            <v>0</v>
          </cell>
          <cell r="BW97">
            <v>1</v>
          </cell>
          <cell r="BX97">
            <v>10</v>
          </cell>
          <cell r="BY97" t="str">
            <v xml:space="preserve"> </v>
          </cell>
          <cell r="BZ97">
            <v>1</v>
          </cell>
          <cell r="CA97">
            <v>4</v>
          </cell>
          <cell r="CB97">
            <v>1.008</v>
          </cell>
          <cell r="CC97">
            <v>4.5464554518794991</v>
          </cell>
          <cell r="CD97">
            <v>0</v>
          </cell>
          <cell r="CE97">
            <v>0</v>
          </cell>
          <cell r="CF97">
            <v>0</v>
          </cell>
          <cell r="CG97">
            <v>0</v>
          </cell>
          <cell r="CH97">
            <v>0</v>
          </cell>
          <cell r="CI97">
            <v>0.5</v>
          </cell>
          <cell r="CJ97">
            <v>1.6666666666666668E-3</v>
          </cell>
          <cell r="CK97">
            <v>1.6666666666666668E-3</v>
          </cell>
          <cell r="CL97">
            <v>0</v>
          </cell>
          <cell r="CM97">
            <v>6.4615384615384621E-4</v>
          </cell>
          <cell r="CN97">
            <v>6.4615384615384621E-4</v>
          </cell>
          <cell r="CO97">
            <v>0</v>
          </cell>
          <cell r="CP97">
            <v>0</v>
          </cell>
          <cell r="CQ97">
            <v>4.5471016057256533</v>
          </cell>
          <cell r="CR97">
            <v>0</v>
          </cell>
          <cell r="CS97">
            <v>1</v>
          </cell>
          <cell r="CT97">
            <v>0</v>
          </cell>
          <cell r="CU97">
            <v>0</v>
          </cell>
          <cell r="CV97">
            <v>15</v>
          </cell>
          <cell r="CW97">
            <v>15</v>
          </cell>
          <cell r="CX97" t="str">
            <v xml:space="preserve"> </v>
          </cell>
          <cell r="CY97">
            <v>2</v>
          </cell>
          <cell r="CZ97">
            <v>1</v>
          </cell>
          <cell r="DA97">
            <v>1</v>
          </cell>
          <cell r="DB97">
            <v>320</v>
          </cell>
          <cell r="DC97">
            <v>151</v>
          </cell>
          <cell r="DD97">
            <v>84</v>
          </cell>
          <cell r="DE97">
            <v>24</v>
          </cell>
          <cell r="DF97">
            <v>37</v>
          </cell>
          <cell r="DG97">
            <v>7</v>
          </cell>
          <cell r="DH97">
            <v>4</v>
          </cell>
          <cell r="DI97">
            <v>16</v>
          </cell>
        </row>
        <row r="98">
          <cell r="A98" t="str">
            <v>RS 051</v>
          </cell>
          <cell r="B98">
            <v>51</v>
          </cell>
          <cell r="C98" t="str">
            <v>C</v>
          </cell>
          <cell r="D98" t="str">
            <v>T</v>
          </cell>
          <cell r="E98" t="str">
            <v>Junction S122 - Linthipe River</v>
          </cell>
          <cell r="F98" t="str">
            <v>M05</v>
          </cell>
          <cell r="G98">
            <v>17</v>
          </cell>
          <cell r="H98">
            <v>1.9</v>
          </cell>
          <cell r="I98" t="str">
            <v>F</v>
          </cell>
          <cell r="J98" t="str">
            <v>SALIMA</v>
          </cell>
          <cell r="K98">
            <v>7</v>
          </cell>
          <cell r="L98">
            <v>0</v>
          </cell>
          <cell r="W98">
            <v>81</v>
          </cell>
          <cell r="X98" t="str">
            <v>DS</v>
          </cell>
          <cell r="Y98">
            <v>150</v>
          </cell>
          <cell r="Z98" t="str">
            <v>SB</v>
          </cell>
          <cell r="AA98">
            <v>100</v>
          </cell>
          <cell r="AB98" t="str">
            <v>GR</v>
          </cell>
          <cell r="AC98">
            <v>8</v>
          </cell>
          <cell r="AD98" t="str">
            <v>VR</v>
          </cell>
          <cell r="AE98">
            <v>94</v>
          </cell>
          <cell r="AF98" t="str">
            <v>RC</v>
          </cell>
          <cell r="AG98" t="str">
            <v>ST</v>
          </cell>
          <cell r="AH98">
            <v>15</v>
          </cell>
          <cell r="AI98">
            <v>0</v>
          </cell>
          <cell r="AJ98">
            <v>0</v>
          </cell>
          <cell r="AK98">
            <v>0</v>
          </cell>
          <cell r="AL98">
            <v>0</v>
          </cell>
          <cell r="AM98">
            <v>1</v>
          </cell>
          <cell r="AN98">
            <v>0</v>
          </cell>
          <cell r="BO98" t="str">
            <v>RS 051</v>
          </cell>
          <cell r="BP98">
            <v>1.9</v>
          </cell>
          <cell r="BQ98">
            <v>6</v>
          </cell>
          <cell r="BR98" t="str">
            <v>F</v>
          </cell>
          <cell r="BS98" t="str">
            <v>C</v>
          </cell>
          <cell r="BT98">
            <v>0</v>
          </cell>
          <cell r="BU98" t="str">
            <v>ST</v>
          </cell>
          <cell r="BV98">
            <v>0</v>
          </cell>
          <cell r="BW98">
            <v>1</v>
          </cell>
          <cell r="BX98">
            <v>10</v>
          </cell>
          <cell r="BY98" t="str">
            <v xml:space="preserve"> </v>
          </cell>
          <cell r="BZ98">
            <v>1</v>
          </cell>
          <cell r="CA98">
            <v>8</v>
          </cell>
          <cell r="CB98">
            <v>1.3540000000000001</v>
          </cell>
          <cell r="CC98">
            <v>5.7</v>
          </cell>
          <cell r="CD98">
            <v>0</v>
          </cell>
          <cell r="CE98">
            <v>0</v>
          </cell>
          <cell r="CF98">
            <v>0</v>
          </cell>
          <cell r="CG98">
            <v>0</v>
          </cell>
          <cell r="CH98">
            <v>0</v>
          </cell>
          <cell r="CI98">
            <v>0</v>
          </cell>
          <cell r="CJ98">
            <v>0</v>
          </cell>
          <cell r="CK98">
            <v>0</v>
          </cell>
          <cell r="CL98">
            <v>0</v>
          </cell>
          <cell r="CM98">
            <v>0</v>
          </cell>
          <cell r="CN98">
            <v>0</v>
          </cell>
          <cell r="CO98">
            <v>0</v>
          </cell>
          <cell r="CP98">
            <v>0</v>
          </cell>
          <cell r="CQ98">
            <v>5.7</v>
          </cell>
          <cell r="CR98">
            <v>0</v>
          </cell>
          <cell r="CS98">
            <v>1</v>
          </cell>
          <cell r="CT98">
            <v>0</v>
          </cell>
          <cell r="CU98">
            <v>0</v>
          </cell>
          <cell r="CV98">
            <v>4</v>
          </cell>
          <cell r="CW98">
            <v>4</v>
          </cell>
          <cell r="CX98" t="str">
            <v xml:space="preserve"> </v>
          </cell>
          <cell r="CY98">
            <v>2</v>
          </cell>
          <cell r="CZ98">
            <v>1</v>
          </cell>
          <cell r="DA98">
            <v>1</v>
          </cell>
          <cell r="DB98">
            <v>300</v>
          </cell>
          <cell r="DC98">
            <v>141</v>
          </cell>
          <cell r="DD98">
            <v>78</v>
          </cell>
          <cell r="DE98">
            <v>23</v>
          </cell>
          <cell r="DF98">
            <v>35</v>
          </cell>
          <cell r="DG98">
            <v>6</v>
          </cell>
          <cell r="DH98">
            <v>3</v>
          </cell>
          <cell r="DI98">
            <v>15</v>
          </cell>
        </row>
        <row r="99">
          <cell r="A99" t="str">
            <v>RS 067</v>
          </cell>
          <cell r="B99">
            <v>67</v>
          </cell>
          <cell r="C99" t="str">
            <v>C</v>
          </cell>
          <cell r="D99" t="str">
            <v>T</v>
          </cell>
          <cell r="E99" t="str">
            <v>Linthipe River - Luwadzi River Bridge</v>
          </cell>
          <cell r="F99" t="str">
            <v>M05</v>
          </cell>
          <cell r="G99">
            <v>18</v>
          </cell>
          <cell r="H99">
            <v>20.8</v>
          </cell>
          <cell r="I99" t="str">
            <v>F</v>
          </cell>
          <cell r="J99" t="str">
            <v>SALIMA</v>
          </cell>
          <cell r="K99">
            <v>7</v>
          </cell>
          <cell r="L99">
            <v>0</v>
          </cell>
          <cell r="W99">
            <v>81</v>
          </cell>
          <cell r="X99" t="str">
            <v>DS</v>
          </cell>
          <cell r="Y99">
            <v>150</v>
          </cell>
          <cell r="Z99" t="str">
            <v>SB</v>
          </cell>
          <cell r="AA99">
            <v>100</v>
          </cell>
          <cell r="AB99" t="str">
            <v>GR</v>
          </cell>
          <cell r="AC99">
            <v>8</v>
          </cell>
          <cell r="AD99" t="str">
            <v>VR</v>
          </cell>
          <cell r="AE99">
            <v>94</v>
          </cell>
          <cell r="AF99" t="str">
            <v>RC</v>
          </cell>
          <cell r="AG99" t="str">
            <v>ST</v>
          </cell>
          <cell r="AH99">
            <v>15</v>
          </cell>
          <cell r="AI99">
            <v>0</v>
          </cell>
          <cell r="AJ99">
            <v>0</v>
          </cell>
          <cell r="AK99">
            <v>0</v>
          </cell>
          <cell r="AL99">
            <v>0</v>
          </cell>
          <cell r="AM99">
            <v>1</v>
          </cell>
          <cell r="AN99">
            <v>0</v>
          </cell>
          <cell r="BO99" t="str">
            <v>RS 067</v>
          </cell>
          <cell r="BP99">
            <v>20.8</v>
          </cell>
          <cell r="BQ99">
            <v>6.7</v>
          </cell>
          <cell r="BR99" t="str">
            <v>F</v>
          </cell>
          <cell r="BS99" t="str">
            <v>S</v>
          </cell>
          <cell r="BT99">
            <v>0</v>
          </cell>
          <cell r="BU99" t="str">
            <v>ST</v>
          </cell>
          <cell r="BV99">
            <v>0</v>
          </cell>
          <cell r="BW99">
            <v>1</v>
          </cell>
          <cell r="BX99">
            <v>10</v>
          </cell>
          <cell r="BY99" t="str">
            <v xml:space="preserve"> </v>
          </cell>
          <cell r="BZ99">
            <v>1</v>
          </cell>
          <cell r="CA99">
            <v>8</v>
          </cell>
          <cell r="CB99">
            <v>1.3540000000000001</v>
          </cell>
          <cell r="CC99">
            <v>2.96</v>
          </cell>
          <cell r="CD99">
            <v>10</v>
          </cell>
          <cell r="CE99">
            <v>0.5</v>
          </cell>
          <cell r="CF99">
            <v>0</v>
          </cell>
          <cell r="CG99">
            <v>10</v>
          </cell>
          <cell r="CH99">
            <v>0.5</v>
          </cell>
          <cell r="CI99">
            <v>0.1</v>
          </cell>
          <cell r="CJ99">
            <v>2.9850746268656722E-4</v>
          </cell>
          <cell r="CK99">
            <v>2.9850746268656722E-4</v>
          </cell>
          <cell r="CL99">
            <v>0</v>
          </cell>
          <cell r="CM99">
            <v>1.1572904707233067E-4</v>
          </cell>
          <cell r="CN99">
            <v>1.1572904707233067E-4</v>
          </cell>
          <cell r="CO99">
            <v>0</v>
          </cell>
          <cell r="CP99">
            <v>0</v>
          </cell>
          <cell r="CQ99">
            <v>2.9601157290470721</v>
          </cell>
          <cell r="CR99">
            <v>0</v>
          </cell>
          <cell r="CS99">
            <v>1</v>
          </cell>
          <cell r="CT99">
            <v>0</v>
          </cell>
          <cell r="CU99">
            <v>0</v>
          </cell>
          <cell r="CV99">
            <v>4</v>
          </cell>
          <cell r="CW99">
            <v>4</v>
          </cell>
          <cell r="CX99" t="str">
            <v xml:space="preserve"> </v>
          </cell>
          <cell r="CY99">
            <v>2</v>
          </cell>
          <cell r="CZ99">
            <v>1</v>
          </cell>
          <cell r="DA99">
            <v>1</v>
          </cell>
          <cell r="DB99">
            <v>300</v>
          </cell>
          <cell r="DC99">
            <v>141</v>
          </cell>
          <cell r="DD99">
            <v>78</v>
          </cell>
          <cell r="DE99">
            <v>23</v>
          </cell>
          <cell r="DF99">
            <v>35</v>
          </cell>
          <cell r="DG99">
            <v>6</v>
          </cell>
          <cell r="DH99">
            <v>3</v>
          </cell>
          <cell r="DI99">
            <v>15</v>
          </cell>
        </row>
        <row r="100">
          <cell r="A100" t="str">
            <v>RS 064</v>
          </cell>
          <cell r="B100">
            <v>64</v>
          </cell>
          <cell r="C100" t="str">
            <v>C</v>
          </cell>
          <cell r="D100" t="str">
            <v>T</v>
          </cell>
          <cell r="E100" t="str">
            <v>Luwadzi River Bridge - Ngodzi River Bridge</v>
          </cell>
          <cell r="F100" t="str">
            <v>M05</v>
          </cell>
          <cell r="G100">
            <v>19</v>
          </cell>
          <cell r="H100">
            <v>15.8</v>
          </cell>
          <cell r="I100" t="str">
            <v>F</v>
          </cell>
          <cell r="J100" t="str">
            <v>SALIMA</v>
          </cell>
          <cell r="K100">
            <v>7</v>
          </cell>
          <cell r="L100">
            <v>0</v>
          </cell>
          <cell r="W100">
            <v>81</v>
          </cell>
          <cell r="X100" t="str">
            <v>DS</v>
          </cell>
          <cell r="Y100">
            <v>150</v>
          </cell>
          <cell r="Z100" t="str">
            <v>SB</v>
          </cell>
          <cell r="AA100">
            <v>100</v>
          </cell>
          <cell r="AB100" t="str">
            <v>GR</v>
          </cell>
          <cell r="AC100">
            <v>8</v>
          </cell>
          <cell r="AD100" t="str">
            <v>VR</v>
          </cell>
          <cell r="AE100">
            <v>94</v>
          </cell>
          <cell r="AF100" t="str">
            <v>RC</v>
          </cell>
          <cell r="AG100" t="str">
            <v>ST</v>
          </cell>
          <cell r="AH100">
            <v>15</v>
          </cell>
          <cell r="AI100">
            <v>0</v>
          </cell>
          <cell r="AJ100">
            <v>0</v>
          </cell>
          <cell r="AK100">
            <v>0</v>
          </cell>
          <cell r="AL100">
            <v>0</v>
          </cell>
          <cell r="AM100">
            <v>1</v>
          </cell>
          <cell r="AN100">
            <v>0</v>
          </cell>
          <cell r="BO100" t="str">
            <v>RS 064</v>
          </cell>
          <cell r="BP100">
            <v>15.8</v>
          </cell>
          <cell r="BQ100">
            <v>6.7</v>
          </cell>
          <cell r="BR100" t="str">
            <v>F</v>
          </cell>
          <cell r="BS100" t="str">
            <v>S</v>
          </cell>
          <cell r="BT100">
            <v>0</v>
          </cell>
          <cell r="BU100" t="str">
            <v>ST</v>
          </cell>
          <cell r="BV100">
            <v>0</v>
          </cell>
          <cell r="BW100">
            <v>1</v>
          </cell>
          <cell r="BX100">
            <v>10</v>
          </cell>
          <cell r="BY100" t="str">
            <v xml:space="preserve"> </v>
          </cell>
          <cell r="BZ100">
            <v>1</v>
          </cell>
          <cell r="CA100">
            <v>8</v>
          </cell>
          <cell r="CB100">
            <v>1.3540000000000001</v>
          </cell>
          <cell r="CC100">
            <v>3.7884175953079184</v>
          </cell>
          <cell r="CD100">
            <v>10</v>
          </cell>
          <cell r="CE100">
            <v>0</v>
          </cell>
          <cell r="CF100">
            <v>0</v>
          </cell>
          <cell r="CG100">
            <v>10</v>
          </cell>
          <cell r="CH100">
            <v>0</v>
          </cell>
          <cell r="CI100">
            <v>0</v>
          </cell>
          <cell r="CJ100">
            <v>0</v>
          </cell>
          <cell r="CK100">
            <v>0</v>
          </cell>
          <cell r="CL100">
            <v>0</v>
          </cell>
          <cell r="CM100">
            <v>0</v>
          </cell>
          <cell r="CN100">
            <v>0</v>
          </cell>
          <cell r="CO100">
            <v>0</v>
          </cell>
          <cell r="CP100">
            <v>0</v>
          </cell>
          <cell r="CQ100">
            <v>3.7884175953079184</v>
          </cell>
          <cell r="CR100">
            <v>0</v>
          </cell>
          <cell r="CS100">
            <v>1</v>
          </cell>
          <cell r="CT100">
            <v>0</v>
          </cell>
          <cell r="CU100">
            <v>0</v>
          </cell>
          <cell r="CV100">
            <v>4</v>
          </cell>
          <cell r="CW100">
            <v>4</v>
          </cell>
          <cell r="CX100" t="str">
            <v xml:space="preserve"> </v>
          </cell>
          <cell r="CY100">
            <v>1.2</v>
          </cell>
          <cell r="CZ100">
            <v>1.2</v>
          </cell>
          <cell r="DA100">
            <v>1.1000000000000001</v>
          </cell>
          <cell r="DB100">
            <v>300</v>
          </cell>
          <cell r="DC100">
            <v>141</v>
          </cell>
          <cell r="DD100">
            <v>78</v>
          </cell>
          <cell r="DE100">
            <v>23</v>
          </cell>
          <cell r="DF100">
            <v>35</v>
          </cell>
          <cell r="DG100">
            <v>6</v>
          </cell>
          <cell r="DH100">
            <v>3</v>
          </cell>
          <cell r="DI100">
            <v>15</v>
          </cell>
        </row>
        <row r="101">
          <cell r="A101" t="str">
            <v>RS 059</v>
          </cell>
          <cell r="B101">
            <v>59</v>
          </cell>
          <cell r="C101" t="str">
            <v>C</v>
          </cell>
          <cell r="D101" t="str">
            <v>T</v>
          </cell>
          <cell r="E101" t="str">
            <v>Ngodzi River Bridge - Mtakataka</v>
          </cell>
          <cell r="F101" t="str">
            <v>M05</v>
          </cell>
          <cell r="G101">
            <v>20</v>
          </cell>
          <cell r="H101">
            <v>14.3</v>
          </cell>
          <cell r="I101" t="str">
            <v>F</v>
          </cell>
          <cell r="J101" t="str">
            <v>SALIMA</v>
          </cell>
          <cell r="K101">
            <v>7</v>
          </cell>
          <cell r="L101">
            <v>0</v>
          </cell>
          <cell r="W101">
            <v>81</v>
          </cell>
          <cell r="X101" t="str">
            <v>DS</v>
          </cell>
          <cell r="Y101">
            <v>150</v>
          </cell>
          <cell r="Z101" t="str">
            <v>SB</v>
          </cell>
          <cell r="AA101">
            <v>100</v>
          </cell>
          <cell r="AB101" t="str">
            <v>GR</v>
          </cell>
          <cell r="AC101">
            <v>8</v>
          </cell>
          <cell r="AD101" t="str">
            <v>VR</v>
          </cell>
          <cell r="AE101">
            <v>94</v>
          </cell>
          <cell r="AF101" t="str">
            <v>RC</v>
          </cell>
          <cell r="AG101" t="str">
            <v>ST</v>
          </cell>
          <cell r="AH101">
            <v>15</v>
          </cell>
          <cell r="AI101">
            <v>0</v>
          </cell>
          <cell r="AJ101">
            <v>0</v>
          </cell>
          <cell r="AK101">
            <v>0</v>
          </cell>
          <cell r="AL101">
            <v>0</v>
          </cell>
          <cell r="AM101">
            <v>1</v>
          </cell>
          <cell r="AN101">
            <v>0</v>
          </cell>
          <cell r="BO101" t="str">
            <v>RS 059</v>
          </cell>
          <cell r="BP101">
            <v>14.3</v>
          </cell>
          <cell r="BQ101">
            <v>6.7</v>
          </cell>
          <cell r="BR101" t="str">
            <v>F</v>
          </cell>
          <cell r="BS101" t="str">
            <v>S</v>
          </cell>
          <cell r="BT101">
            <v>0</v>
          </cell>
          <cell r="BU101" t="str">
            <v>ST</v>
          </cell>
          <cell r="BV101">
            <v>0</v>
          </cell>
          <cell r="BW101">
            <v>1</v>
          </cell>
          <cell r="BX101">
            <v>10</v>
          </cell>
          <cell r="BY101" t="str">
            <v xml:space="preserve"> </v>
          </cell>
          <cell r="BZ101">
            <v>1</v>
          </cell>
          <cell r="CA101">
            <v>8</v>
          </cell>
          <cell r="CB101">
            <v>1.3540000000000001</v>
          </cell>
          <cell r="CC101">
            <v>5.0676190390254909</v>
          </cell>
          <cell r="CD101">
            <v>10</v>
          </cell>
          <cell r="CE101">
            <v>1</v>
          </cell>
          <cell r="CF101">
            <v>0</v>
          </cell>
          <cell r="CG101">
            <v>10</v>
          </cell>
          <cell r="CH101">
            <v>1</v>
          </cell>
          <cell r="CI101">
            <v>0</v>
          </cell>
          <cell r="CJ101">
            <v>0</v>
          </cell>
          <cell r="CK101">
            <v>0</v>
          </cell>
          <cell r="CL101">
            <v>0</v>
          </cell>
          <cell r="CM101">
            <v>0</v>
          </cell>
          <cell r="CN101">
            <v>0</v>
          </cell>
          <cell r="CO101">
            <v>0</v>
          </cell>
          <cell r="CP101">
            <v>0</v>
          </cell>
          <cell r="CQ101">
            <v>5.0676190390254909</v>
          </cell>
          <cell r="CR101">
            <v>0</v>
          </cell>
          <cell r="CS101">
            <v>1</v>
          </cell>
          <cell r="CT101">
            <v>0</v>
          </cell>
          <cell r="CU101">
            <v>0</v>
          </cell>
          <cell r="CV101">
            <v>4</v>
          </cell>
          <cell r="CW101">
            <v>4</v>
          </cell>
          <cell r="CX101" t="str">
            <v xml:space="preserve"> </v>
          </cell>
          <cell r="CY101">
            <v>1.5</v>
          </cell>
          <cell r="CZ101">
            <v>1.2</v>
          </cell>
          <cell r="DA101">
            <v>1.1000000000000001</v>
          </cell>
          <cell r="DB101">
            <v>160</v>
          </cell>
          <cell r="DC101">
            <v>76</v>
          </cell>
          <cell r="DD101">
            <v>42</v>
          </cell>
          <cell r="DE101">
            <v>12</v>
          </cell>
          <cell r="DF101">
            <v>19</v>
          </cell>
          <cell r="DG101">
            <v>4</v>
          </cell>
          <cell r="DH101">
            <v>2</v>
          </cell>
          <cell r="DI101">
            <v>8</v>
          </cell>
        </row>
        <row r="102">
          <cell r="A102" t="str">
            <v>RS 063</v>
          </cell>
          <cell r="B102">
            <v>63</v>
          </cell>
          <cell r="C102" t="str">
            <v>C</v>
          </cell>
          <cell r="D102" t="str">
            <v>T</v>
          </cell>
          <cell r="E102" t="str">
            <v>Mtakataka - Golomoti</v>
          </cell>
          <cell r="F102" t="str">
            <v>M05</v>
          </cell>
          <cell r="G102">
            <v>21</v>
          </cell>
          <cell r="H102">
            <v>25.5</v>
          </cell>
          <cell r="I102" t="str">
            <v>F</v>
          </cell>
          <cell r="J102" t="str">
            <v>DEDZA</v>
          </cell>
          <cell r="K102">
            <v>7</v>
          </cell>
          <cell r="L102">
            <v>0</v>
          </cell>
          <cell r="W102">
            <v>81</v>
          </cell>
          <cell r="X102" t="str">
            <v>DS</v>
          </cell>
          <cell r="Y102">
            <v>150</v>
          </cell>
          <cell r="Z102" t="str">
            <v>SB</v>
          </cell>
          <cell r="AA102">
            <v>100</v>
          </cell>
          <cell r="AB102" t="str">
            <v>GR</v>
          </cell>
          <cell r="AC102">
            <v>8</v>
          </cell>
          <cell r="AD102" t="str">
            <v>VR</v>
          </cell>
          <cell r="AE102">
            <v>94</v>
          </cell>
          <cell r="AF102" t="str">
            <v>RC</v>
          </cell>
          <cell r="AG102" t="str">
            <v>ST</v>
          </cell>
          <cell r="AH102">
            <v>15</v>
          </cell>
          <cell r="AI102">
            <v>0</v>
          </cell>
          <cell r="AJ102">
            <v>0</v>
          </cell>
          <cell r="AK102">
            <v>0</v>
          </cell>
          <cell r="AL102">
            <v>0</v>
          </cell>
          <cell r="AM102">
            <v>1</v>
          </cell>
          <cell r="AN102">
            <v>0</v>
          </cell>
          <cell r="BO102" t="str">
            <v>RS 063</v>
          </cell>
          <cell r="BP102">
            <v>25.5</v>
          </cell>
          <cell r="BQ102">
            <v>6.7</v>
          </cell>
          <cell r="BR102" t="str">
            <v>F</v>
          </cell>
          <cell r="BS102" t="str">
            <v>S</v>
          </cell>
          <cell r="BT102">
            <v>0</v>
          </cell>
          <cell r="BU102" t="str">
            <v>ST</v>
          </cell>
          <cell r="BV102">
            <v>0</v>
          </cell>
          <cell r="BW102">
            <v>1</v>
          </cell>
          <cell r="BX102">
            <v>10</v>
          </cell>
          <cell r="BY102" t="str">
            <v xml:space="preserve"> </v>
          </cell>
          <cell r="BZ102">
            <v>1</v>
          </cell>
          <cell r="CA102">
            <v>8</v>
          </cell>
          <cell r="CB102">
            <v>1.3540000000000001</v>
          </cell>
          <cell r="CC102">
            <v>4.04</v>
          </cell>
          <cell r="CD102">
            <v>1</v>
          </cell>
          <cell r="CE102">
            <v>0</v>
          </cell>
          <cell r="CF102">
            <v>0</v>
          </cell>
          <cell r="CG102">
            <v>1</v>
          </cell>
          <cell r="CH102">
            <v>0</v>
          </cell>
          <cell r="CI102">
            <v>0</v>
          </cell>
          <cell r="CJ102">
            <v>0</v>
          </cell>
          <cell r="CK102">
            <v>0</v>
          </cell>
          <cell r="CL102">
            <v>0</v>
          </cell>
          <cell r="CM102">
            <v>0</v>
          </cell>
          <cell r="CN102">
            <v>0</v>
          </cell>
          <cell r="CO102">
            <v>0</v>
          </cell>
          <cell r="CP102">
            <v>0</v>
          </cell>
          <cell r="CQ102">
            <v>4.04</v>
          </cell>
          <cell r="CR102">
            <v>0</v>
          </cell>
          <cell r="CS102">
            <v>1</v>
          </cell>
          <cell r="CT102">
            <v>0</v>
          </cell>
          <cell r="CU102">
            <v>0</v>
          </cell>
          <cell r="CV102">
            <v>4</v>
          </cell>
          <cell r="CW102">
            <v>4</v>
          </cell>
          <cell r="CX102" t="str">
            <v xml:space="preserve"> </v>
          </cell>
          <cell r="CY102">
            <v>1.2</v>
          </cell>
          <cell r="CZ102">
            <v>1.2</v>
          </cell>
          <cell r="DA102">
            <v>1.1000000000000001</v>
          </cell>
          <cell r="DB102">
            <v>120</v>
          </cell>
          <cell r="DC102">
            <v>57</v>
          </cell>
          <cell r="DD102">
            <v>32</v>
          </cell>
          <cell r="DE102">
            <v>9</v>
          </cell>
          <cell r="DF102">
            <v>14</v>
          </cell>
          <cell r="DG102">
            <v>3</v>
          </cell>
          <cell r="DH102">
            <v>2</v>
          </cell>
          <cell r="DI102">
            <v>6</v>
          </cell>
        </row>
        <row r="103">
          <cell r="A103" t="str">
            <v>RS 055</v>
          </cell>
          <cell r="B103">
            <v>55</v>
          </cell>
          <cell r="C103" t="str">
            <v>C</v>
          </cell>
          <cell r="D103" t="str">
            <v>T</v>
          </cell>
          <cell r="E103" t="str">
            <v>Golomoti - Kasinje</v>
          </cell>
          <cell r="F103" t="str">
            <v>M05</v>
          </cell>
          <cell r="G103">
            <v>22</v>
          </cell>
          <cell r="H103">
            <v>14.4</v>
          </cell>
          <cell r="I103" t="str">
            <v>F</v>
          </cell>
          <cell r="J103" t="str">
            <v>NTCHEU</v>
          </cell>
          <cell r="K103">
            <v>8</v>
          </cell>
          <cell r="L103">
            <v>0</v>
          </cell>
          <cell r="W103">
            <v>81</v>
          </cell>
          <cell r="X103" t="str">
            <v>DS</v>
          </cell>
          <cell r="Y103">
            <v>150</v>
          </cell>
          <cell r="Z103" t="str">
            <v>SB</v>
          </cell>
          <cell r="AA103">
            <v>100</v>
          </cell>
          <cell r="AB103" t="str">
            <v>GR</v>
          </cell>
          <cell r="AC103">
            <v>8</v>
          </cell>
          <cell r="AD103" t="str">
            <v>VR</v>
          </cell>
          <cell r="AE103">
            <v>94</v>
          </cell>
          <cell r="AF103" t="str">
            <v>RC</v>
          </cell>
          <cell r="AG103" t="str">
            <v>ST</v>
          </cell>
          <cell r="AH103">
            <v>15</v>
          </cell>
          <cell r="AI103">
            <v>0</v>
          </cell>
          <cell r="AJ103">
            <v>0</v>
          </cell>
          <cell r="AK103">
            <v>0</v>
          </cell>
          <cell r="AL103">
            <v>0</v>
          </cell>
          <cell r="AM103">
            <v>1</v>
          </cell>
          <cell r="AN103">
            <v>0</v>
          </cell>
          <cell r="BO103" t="str">
            <v>RS 055</v>
          </cell>
          <cell r="BP103">
            <v>14.4</v>
          </cell>
          <cell r="BQ103">
            <v>6.7</v>
          </cell>
          <cell r="BR103" t="str">
            <v>F</v>
          </cell>
          <cell r="BS103" t="str">
            <v>S</v>
          </cell>
          <cell r="BT103">
            <v>0</v>
          </cell>
          <cell r="BU103" t="str">
            <v>ST</v>
          </cell>
          <cell r="BV103">
            <v>0</v>
          </cell>
          <cell r="BW103">
            <v>1</v>
          </cell>
          <cell r="BX103">
            <v>10</v>
          </cell>
          <cell r="BY103" t="str">
            <v xml:space="preserve"> </v>
          </cell>
          <cell r="BZ103">
            <v>1</v>
          </cell>
          <cell r="CA103">
            <v>8</v>
          </cell>
          <cell r="CB103">
            <v>1.3540000000000001</v>
          </cell>
          <cell r="CC103">
            <v>3.9922750281976094</v>
          </cell>
          <cell r="CD103">
            <v>5</v>
          </cell>
          <cell r="CE103">
            <v>0</v>
          </cell>
          <cell r="CF103">
            <v>0</v>
          </cell>
          <cell r="CG103">
            <v>5</v>
          </cell>
          <cell r="CH103">
            <v>0</v>
          </cell>
          <cell r="CI103">
            <v>0</v>
          </cell>
          <cell r="CJ103">
            <v>0</v>
          </cell>
          <cell r="CK103">
            <v>0</v>
          </cell>
          <cell r="CL103">
            <v>0</v>
          </cell>
          <cell r="CM103">
            <v>0</v>
          </cell>
          <cell r="CN103">
            <v>0</v>
          </cell>
          <cell r="CO103">
            <v>0</v>
          </cell>
          <cell r="CP103">
            <v>0</v>
          </cell>
          <cell r="CQ103">
            <v>3.9922750281976094</v>
          </cell>
          <cell r="CR103">
            <v>0</v>
          </cell>
          <cell r="CS103">
            <v>1</v>
          </cell>
          <cell r="CT103">
            <v>0</v>
          </cell>
          <cell r="CU103">
            <v>0</v>
          </cell>
          <cell r="CV103">
            <v>4</v>
          </cell>
          <cell r="CW103">
            <v>4</v>
          </cell>
          <cell r="CX103" t="str">
            <v xml:space="preserve"> </v>
          </cell>
          <cell r="CY103">
            <v>1.2</v>
          </cell>
          <cell r="CZ103">
            <v>2</v>
          </cell>
          <cell r="DA103">
            <v>1.1000000000000001</v>
          </cell>
          <cell r="DB103">
            <v>100</v>
          </cell>
          <cell r="DC103">
            <v>47</v>
          </cell>
          <cell r="DD103">
            <v>26</v>
          </cell>
          <cell r="DE103">
            <v>8</v>
          </cell>
          <cell r="DF103">
            <v>12</v>
          </cell>
          <cell r="DG103">
            <v>2</v>
          </cell>
          <cell r="DH103">
            <v>1</v>
          </cell>
          <cell r="DI103">
            <v>5</v>
          </cell>
        </row>
        <row r="104">
          <cell r="A104" t="str">
            <v>RS 041</v>
          </cell>
          <cell r="B104">
            <v>41</v>
          </cell>
          <cell r="C104" t="str">
            <v>C</v>
          </cell>
          <cell r="D104" t="str">
            <v>T</v>
          </cell>
          <cell r="E104" t="str">
            <v>Kasinje - Sharpevale</v>
          </cell>
          <cell r="F104" t="str">
            <v>M05</v>
          </cell>
          <cell r="G104">
            <v>23</v>
          </cell>
          <cell r="H104">
            <v>10.5</v>
          </cell>
          <cell r="I104" t="str">
            <v>F</v>
          </cell>
          <cell r="J104" t="str">
            <v>NTCHEU</v>
          </cell>
          <cell r="K104">
            <v>8</v>
          </cell>
          <cell r="L104">
            <v>0</v>
          </cell>
          <cell r="W104">
            <v>81</v>
          </cell>
          <cell r="X104" t="str">
            <v>DS</v>
          </cell>
          <cell r="Y104">
            <v>150</v>
          </cell>
          <cell r="Z104" t="str">
            <v>SB</v>
          </cell>
          <cell r="AA104">
            <v>100</v>
          </cell>
          <cell r="AB104" t="str">
            <v>GR</v>
          </cell>
          <cell r="AC104">
            <v>8</v>
          </cell>
          <cell r="AD104" t="str">
            <v>VR</v>
          </cell>
          <cell r="AE104">
            <v>94</v>
          </cell>
          <cell r="AF104" t="str">
            <v>RC</v>
          </cell>
          <cell r="AG104" t="str">
            <v>ST</v>
          </cell>
          <cell r="AH104">
            <v>15</v>
          </cell>
          <cell r="AI104">
            <v>0</v>
          </cell>
          <cell r="AJ104">
            <v>0</v>
          </cell>
          <cell r="AK104">
            <v>0</v>
          </cell>
          <cell r="AL104">
            <v>0</v>
          </cell>
          <cell r="AM104">
            <v>1</v>
          </cell>
          <cell r="AN104">
            <v>0</v>
          </cell>
          <cell r="BO104" t="str">
            <v>RS 041</v>
          </cell>
          <cell r="BP104">
            <v>10.5</v>
          </cell>
          <cell r="BQ104">
            <v>6.7</v>
          </cell>
          <cell r="BR104" t="str">
            <v>F</v>
          </cell>
          <cell r="BS104" t="str">
            <v>S</v>
          </cell>
          <cell r="BT104">
            <v>0</v>
          </cell>
          <cell r="BU104" t="str">
            <v>ST</v>
          </cell>
          <cell r="BV104">
            <v>0</v>
          </cell>
          <cell r="BW104">
            <v>1</v>
          </cell>
          <cell r="BX104">
            <v>10</v>
          </cell>
          <cell r="BY104" t="str">
            <v xml:space="preserve"> </v>
          </cell>
          <cell r="BZ104">
            <v>1</v>
          </cell>
          <cell r="CA104">
            <v>8</v>
          </cell>
          <cell r="CB104">
            <v>1.3540000000000001</v>
          </cell>
          <cell r="CC104">
            <v>3.6602325187357452</v>
          </cell>
          <cell r="CD104">
            <v>1</v>
          </cell>
          <cell r="CE104">
            <v>0</v>
          </cell>
          <cell r="CF104">
            <v>0</v>
          </cell>
          <cell r="CG104">
            <v>1</v>
          </cell>
          <cell r="CH104">
            <v>0</v>
          </cell>
          <cell r="CI104">
            <v>0.1</v>
          </cell>
          <cell r="CJ104">
            <v>2.9850746268656722E-4</v>
          </cell>
          <cell r="CK104">
            <v>2.9850746268656722E-4</v>
          </cell>
          <cell r="CL104">
            <v>0</v>
          </cell>
          <cell r="CM104">
            <v>1.1572904707233067E-4</v>
          </cell>
          <cell r="CN104">
            <v>1.1572904707233067E-4</v>
          </cell>
          <cell r="CO104">
            <v>0</v>
          </cell>
          <cell r="CP104">
            <v>0</v>
          </cell>
          <cell r="CQ104">
            <v>3.6603482477828173</v>
          </cell>
          <cell r="CR104">
            <v>0</v>
          </cell>
          <cell r="CS104">
            <v>1</v>
          </cell>
          <cell r="CT104">
            <v>0</v>
          </cell>
          <cell r="CU104">
            <v>0</v>
          </cell>
          <cell r="CV104">
            <v>4</v>
          </cell>
          <cell r="CW104">
            <v>4</v>
          </cell>
          <cell r="CX104" t="str">
            <v xml:space="preserve"> </v>
          </cell>
          <cell r="CY104">
            <v>1.2</v>
          </cell>
          <cell r="CZ104">
            <v>1.1000000000000001</v>
          </cell>
          <cell r="DA104">
            <v>1.2</v>
          </cell>
          <cell r="DB104">
            <v>110</v>
          </cell>
          <cell r="DC104">
            <v>52</v>
          </cell>
          <cell r="DD104">
            <v>29</v>
          </cell>
          <cell r="DE104">
            <v>9</v>
          </cell>
          <cell r="DF104">
            <v>13</v>
          </cell>
          <cell r="DG104">
            <v>3</v>
          </cell>
          <cell r="DH104">
            <v>2</v>
          </cell>
          <cell r="DI104">
            <v>6</v>
          </cell>
        </row>
        <row r="105">
          <cell r="A105" t="str">
            <v>RS 046</v>
          </cell>
          <cell r="B105">
            <v>46</v>
          </cell>
          <cell r="C105" t="str">
            <v>C</v>
          </cell>
          <cell r="D105" t="str">
            <v>T</v>
          </cell>
          <cell r="E105" t="str">
            <v>Sharpevale - Bilila</v>
          </cell>
          <cell r="F105" t="str">
            <v>M05</v>
          </cell>
          <cell r="G105">
            <v>24</v>
          </cell>
          <cell r="H105">
            <v>28.3</v>
          </cell>
          <cell r="I105" t="str">
            <v>R</v>
          </cell>
          <cell r="J105" t="str">
            <v>NTCHEU</v>
          </cell>
          <cell r="K105">
            <v>8</v>
          </cell>
          <cell r="L105">
            <v>0</v>
          </cell>
          <cell r="W105">
            <v>81</v>
          </cell>
          <cell r="X105" t="str">
            <v>DS</v>
          </cell>
          <cell r="Y105">
            <v>150</v>
          </cell>
          <cell r="Z105" t="str">
            <v>SB</v>
          </cell>
          <cell r="AA105">
            <v>100</v>
          </cell>
          <cell r="AB105" t="str">
            <v>GR</v>
          </cell>
          <cell r="AC105">
            <v>8</v>
          </cell>
          <cell r="AD105" t="str">
            <v>VR</v>
          </cell>
          <cell r="AE105">
            <v>94</v>
          </cell>
          <cell r="AF105" t="str">
            <v>RC</v>
          </cell>
          <cell r="AG105" t="str">
            <v>ST</v>
          </cell>
          <cell r="AH105">
            <v>15</v>
          </cell>
          <cell r="AI105">
            <v>0</v>
          </cell>
          <cell r="AJ105">
            <v>0</v>
          </cell>
          <cell r="AK105">
            <v>0</v>
          </cell>
          <cell r="AL105">
            <v>0</v>
          </cell>
          <cell r="AM105">
            <v>1</v>
          </cell>
          <cell r="AN105">
            <v>0</v>
          </cell>
          <cell r="BO105" t="str">
            <v>RS 046</v>
          </cell>
          <cell r="BP105">
            <v>28.3</v>
          </cell>
          <cell r="BQ105">
            <v>6.7</v>
          </cell>
          <cell r="BR105" t="str">
            <v>R</v>
          </cell>
          <cell r="BS105" t="str">
            <v>S</v>
          </cell>
          <cell r="BT105">
            <v>0</v>
          </cell>
          <cell r="BU105" t="str">
            <v>ST</v>
          </cell>
          <cell r="BV105">
            <v>0</v>
          </cell>
          <cell r="BW105">
            <v>1</v>
          </cell>
          <cell r="BX105">
            <v>10</v>
          </cell>
          <cell r="BY105" t="str">
            <v xml:space="preserve"> </v>
          </cell>
          <cell r="BZ105">
            <v>1</v>
          </cell>
          <cell r="CA105">
            <v>8</v>
          </cell>
          <cell r="CB105">
            <v>1.3540000000000001</v>
          </cell>
          <cell r="CC105">
            <v>3.6</v>
          </cell>
          <cell r="CD105">
            <v>1</v>
          </cell>
          <cell r="CE105">
            <v>0</v>
          </cell>
          <cell r="CF105">
            <v>0</v>
          </cell>
          <cell r="CG105">
            <v>1</v>
          </cell>
          <cell r="CH105">
            <v>0</v>
          </cell>
          <cell r="CI105">
            <v>0</v>
          </cell>
          <cell r="CJ105">
            <v>0</v>
          </cell>
          <cell r="CK105">
            <v>0</v>
          </cell>
          <cell r="CL105">
            <v>0</v>
          </cell>
          <cell r="CM105">
            <v>0</v>
          </cell>
          <cell r="CN105">
            <v>0</v>
          </cell>
          <cell r="CO105">
            <v>0</v>
          </cell>
          <cell r="CP105">
            <v>0</v>
          </cell>
          <cell r="CQ105">
            <v>3.6</v>
          </cell>
          <cell r="CR105">
            <v>0</v>
          </cell>
          <cell r="CS105">
            <v>1</v>
          </cell>
          <cell r="CT105">
            <v>0</v>
          </cell>
          <cell r="CU105">
            <v>0</v>
          </cell>
          <cell r="CV105">
            <v>4</v>
          </cell>
          <cell r="CW105">
            <v>4</v>
          </cell>
          <cell r="CX105" t="str">
            <v xml:space="preserve"> </v>
          </cell>
          <cell r="CY105">
            <v>1.2</v>
          </cell>
          <cell r="CZ105">
            <v>1.2</v>
          </cell>
          <cell r="DA105">
            <v>1.2</v>
          </cell>
          <cell r="DB105">
            <v>110</v>
          </cell>
          <cell r="DC105">
            <v>52</v>
          </cell>
          <cell r="DD105">
            <v>29</v>
          </cell>
          <cell r="DE105">
            <v>9</v>
          </cell>
          <cell r="DF105">
            <v>13</v>
          </cell>
          <cell r="DG105">
            <v>3</v>
          </cell>
          <cell r="DH105">
            <v>2</v>
          </cell>
          <cell r="DI105">
            <v>6</v>
          </cell>
        </row>
        <row r="106">
          <cell r="A106" t="str">
            <v>RS 065</v>
          </cell>
          <cell r="B106">
            <v>65</v>
          </cell>
          <cell r="C106" t="str">
            <v>C</v>
          </cell>
          <cell r="D106" t="str">
            <v>T</v>
          </cell>
          <cell r="E106" t="str">
            <v>Bilila - Linengwe River</v>
          </cell>
          <cell r="F106" t="str">
            <v>M05</v>
          </cell>
          <cell r="G106">
            <v>25</v>
          </cell>
          <cell r="H106">
            <v>5.2</v>
          </cell>
          <cell r="I106" t="str">
            <v>F</v>
          </cell>
          <cell r="J106" t="str">
            <v>NTCHEU</v>
          </cell>
          <cell r="K106">
            <v>8</v>
          </cell>
          <cell r="L106">
            <v>0</v>
          </cell>
          <cell r="W106">
            <v>81</v>
          </cell>
          <cell r="X106" t="str">
            <v>DS</v>
          </cell>
          <cell r="Y106">
            <v>150</v>
          </cell>
          <cell r="Z106" t="str">
            <v>SB</v>
          </cell>
          <cell r="AA106">
            <v>100</v>
          </cell>
          <cell r="AB106" t="str">
            <v>GR</v>
          </cell>
          <cell r="AC106">
            <v>8</v>
          </cell>
          <cell r="AD106" t="str">
            <v>VR</v>
          </cell>
          <cell r="AE106">
            <v>94</v>
          </cell>
          <cell r="AF106" t="str">
            <v>RC</v>
          </cell>
          <cell r="AG106" t="str">
            <v>ST</v>
          </cell>
          <cell r="AH106">
            <v>15</v>
          </cell>
          <cell r="AI106">
            <v>0</v>
          </cell>
          <cell r="AJ106">
            <v>0</v>
          </cell>
          <cell r="AK106">
            <v>0</v>
          </cell>
          <cell r="AL106">
            <v>0</v>
          </cell>
          <cell r="AM106">
            <v>1</v>
          </cell>
          <cell r="AN106">
            <v>0</v>
          </cell>
          <cell r="BO106" t="str">
            <v>RS 065</v>
          </cell>
          <cell r="BP106">
            <v>5.2</v>
          </cell>
          <cell r="BQ106">
            <v>6.7</v>
          </cell>
          <cell r="BR106" t="str">
            <v>F</v>
          </cell>
          <cell r="BS106" t="str">
            <v>S</v>
          </cell>
          <cell r="BT106">
            <v>0</v>
          </cell>
          <cell r="BU106" t="str">
            <v>ST</v>
          </cell>
          <cell r="BV106">
            <v>0</v>
          </cell>
          <cell r="BW106">
            <v>1</v>
          </cell>
          <cell r="BX106">
            <v>10</v>
          </cell>
          <cell r="BY106" t="str">
            <v xml:space="preserve"> </v>
          </cell>
          <cell r="BZ106">
            <v>1</v>
          </cell>
          <cell r="CA106">
            <v>8</v>
          </cell>
          <cell r="CB106">
            <v>1.3540000000000001</v>
          </cell>
          <cell r="CC106">
            <v>3.6077724340175958</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3.6077724340175958</v>
          </cell>
          <cell r="CR106">
            <v>0</v>
          </cell>
          <cell r="CS106">
            <v>1</v>
          </cell>
          <cell r="CT106">
            <v>0</v>
          </cell>
          <cell r="CU106">
            <v>0</v>
          </cell>
          <cell r="CV106">
            <v>4</v>
          </cell>
          <cell r="CW106">
            <v>4</v>
          </cell>
          <cell r="CX106" t="str">
            <v xml:space="preserve"> </v>
          </cell>
          <cell r="CY106">
            <v>1.2</v>
          </cell>
          <cell r="CZ106">
            <v>1.2</v>
          </cell>
          <cell r="DA106">
            <v>1.2</v>
          </cell>
          <cell r="DB106">
            <v>120</v>
          </cell>
          <cell r="DC106">
            <v>57</v>
          </cell>
          <cell r="DD106">
            <v>32</v>
          </cell>
          <cell r="DE106">
            <v>9</v>
          </cell>
          <cell r="DF106">
            <v>14</v>
          </cell>
          <cell r="DG106">
            <v>3</v>
          </cell>
          <cell r="DH106">
            <v>2</v>
          </cell>
          <cell r="DI106">
            <v>6</v>
          </cell>
        </row>
        <row r="107">
          <cell r="A107" t="str">
            <v>RS 056</v>
          </cell>
          <cell r="B107">
            <v>56</v>
          </cell>
          <cell r="C107" t="str">
            <v>C</v>
          </cell>
          <cell r="D107" t="str">
            <v>T</v>
          </cell>
          <cell r="E107" t="str">
            <v>Linengwe River - Balaka Market (junction M1)</v>
          </cell>
          <cell r="F107" t="str">
            <v>M05</v>
          </cell>
          <cell r="G107">
            <v>26</v>
          </cell>
          <cell r="H107">
            <v>7.4</v>
          </cell>
          <cell r="I107" t="str">
            <v>F</v>
          </cell>
          <cell r="J107" t="str">
            <v>NTCHEU</v>
          </cell>
          <cell r="K107">
            <v>8</v>
          </cell>
          <cell r="L107">
            <v>0</v>
          </cell>
          <cell r="W107">
            <v>81</v>
          </cell>
          <cell r="X107" t="str">
            <v>DS</v>
          </cell>
          <cell r="Y107">
            <v>150</v>
          </cell>
          <cell r="Z107" t="str">
            <v>SB</v>
          </cell>
          <cell r="AA107">
            <v>100</v>
          </cell>
          <cell r="AB107" t="str">
            <v>GR</v>
          </cell>
          <cell r="AC107">
            <v>8</v>
          </cell>
          <cell r="AD107" t="str">
            <v>VR</v>
          </cell>
          <cell r="AE107">
            <v>94</v>
          </cell>
          <cell r="AF107" t="str">
            <v>RC</v>
          </cell>
          <cell r="AG107" t="str">
            <v>ST</v>
          </cell>
          <cell r="AH107">
            <v>15</v>
          </cell>
          <cell r="AI107">
            <v>0</v>
          </cell>
          <cell r="AJ107">
            <v>0</v>
          </cell>
          <cell r="AK107">
            <v>0</v>
          </cell>
          <cell r="AL107">
            <v>0</v>
          </cell>
          <cell r="AM107">
            <v>1</v>
          </cell>
          <cell r="AN107">
            <v>0</v>
          </cell>
          <cell r="BO107" t="str">
            <v>RS 056</v>
          </cell>
          <cell r="BP107">
            <v>7.4</v>
          </cell>
          <cell r="BQ107">
            <v>6.7</v>
          </cell>
          <cell r="BR107" t="str">
            <v>F</v>
          </cell>
          <cell r="BS107" t="str">
            <v>S</v>
          </cell>
          <cell r="BT107">
            <v>0</v>
          </cell>
          <cell r="BU107" t="str">
            <v>ST</v>
          </cell>
          <cell r="BV107">
            <v>0</v>
          </cell>
          <cell r="BW107">
            <v>1</v>
          </cell>
          <cell r="BX107">
            <v>10</v>
          </cell>
          <cell r="BY107" t="str">
            <v xml:space="preserve"> </v>
          </cell>
          <cell r="BZ107">
            <v>1</v>
          </cell>
          <cell r="CA107">
            <v>8</v>
          </cell>
          <cell r="CB107">
            <v>1.3540000000000001</v>
          </cell>
          <cell r="CC107">
            <v>4.129522189638319</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4.129522189638319</v>
          </cell>
          <cell r="CR107">
            <v>0</v>
          </cell>
          <cell r="CS107">
            <v>1</v>
          </cell>
          <cell r="CT107">
            <v>0</v>
          </cell>
          <cell r="CU107">
            <v>0</v>
          </cell>
          <cell r="CV107">
            <v>4</v>
          </cell>
          <cell r="CW107">
            <v>4</v>
          </cell>
          <cell r="CX107" t="str">
            <v xml:space="preserve"> </v>
          </cell>
          <cell r="CY107">
            <v>1.2</v>
          </cell>
          <cell r="CZ107">
            <v>1.2</v>
          </cell>
          <cell r="DA107">
            <v>1.2</v>
          </cell>
          <cell r="DB107">
            <v>120</v>
          </cell>
          <cell r="DC107">
            <v>57</v>
          </cell>
          <cell r="DD107">
            <v>32</v>
          </cell>
          <cell r="DE107">
            <v>9</v>
          </cell>
          <cell r="DF107">
            <v>14</v>
          </cell>
          <cell r="DG107">
            <v>3</v>
          </cell>
          <cell r="DH107">
            <v>2</v>
          </cell>
          <cell r="DI107">
            <v>6</v>
          </cell>
        </row>
        <row r="108">
          <cell r="A108" t="str">
            <v>RS 135</v>
          </cell>
          <cell r="B108">
            <v>135</v>
          </cell>
          <cell r="C108" t="str">
            <v>S</v>
          </cell>
          <cell r="D108" t="str">
            <v>T</v>
          </cell>
          <cell r="E108" t="str">
            <v>Zobwe - Mwanza</v>
          </cell>
          <cell r="F108" t="str">
            <v>M06</v>
          </cell>
          <cell r="G108">
            <v>1</v>
          </cell>
          <cell r="H108">
            <v>11.1</v>
          </cell>
          <cell r="I108" t="str">
            <v>H</v>
          </cell>
          <cell r="J108" t="str">
            <v>MWANZA</v>
          </cell>
          <cell r="K108">
            <v>9</v>
          </cell>
          <cell r="L108">
            <v>0</v>
          </cell>
          <cell r="W108">
            <v>87</v>
          </cell>
          <cell r="X108" t="str">
            <v>DS</v>
          </cell>
          <cell r="Y108">
            <v>200</v>
          </cell>
          <cell r="Z108" t="str">
            <v>SB</v>
          </cell>
          <cell r="AA108">
            <v>150</v>
          </cell>
          <cell r="AB108" t="str">
            <v>SB</v>
          </cell>
          <cell r="AC108">
            <v>17</v>
          </cell>
          <cell r="AD108" t="str">
            <v>VR</v>
          </cell>
          <cell r="AE108">
            <v>0</v>
          </cell>
          <cell r="AF108">
            <v>0</v>
          </cell>
          <cell r="AG108">
            <v>0</v>
          </cell>
          <cell r="AH108">
            <v>0</v>
          </cell>
          <cell r="AI108">
            <v>0</v>
          </cell>
          <cell r="AJ108">
            <v>0</v>
          </cell>
          <cell r="AK108">
            <v>0</v>
          </cell>
          <cell r="AL108">
            <v>0</v>
          </cell>
          <cell r="AM108">
            <v>1</v>
          </cell>
          <cell r="AN108" t="str">
            <v>never resealed</v>
          </cell>
          <cell r="BO108" t="str">
            <v>RS 135</v>
          </cell>
          <cell r="BP108">
            <v>11.1</v>
          </cell>
          <cell r="BQ108">
            <v>6</v>
          </cell>
          <cell r="BR108" t="str">
            <v>H</v>
          </cell>
          <cell r="BS108" t="str">
            <v>C</v>
          </cell>
          <cell r="BT108">
            <v>0</v>
          </cell>
          <cell r="BU108" t="str">
            <v>DS</v>
          </cell>
          <cell r="BV108">
            <v>0</v>
          </cell>
          <cell r="BW108">
            <v>1</v>
          </cell>
          <cell r="BX108">
            <v>15</v>
          </cell>
          <cell r="BY108" t="str">
            <v xml:space="preserve"> </v>
          </cell>
          <cell r="BZ108">
            <v>1</v>
          </cell>
          <cell r="CA108">
            <v>17</v>
          </cell>
          <cell r="CB108">
            <v>1.677</v>
          </cell>
          <cell r="CC108">
            <v>3.3421592375366567</v>
          </cell>
          <cell r="CD108">
            <v>70</v>
          </cell>
          <cell r="CE108">
            <v>35</v>
          </cell>
          <cell r="CF108">
            <v>20</v>
          </cell>
          <cell r="CG108">
            <v>50</v>
          </cell>
          <cell r="CH108">
            <v>15</v>
          </cell>
          <cell r="CI108">
            <v>4.2</v>
          </cell>
          <cell r="CJ108">
            <v>1.4000000000000002E-2</v>
          </cell>
          <cell r="CK108">
            <v>10</v>
          </cell>
          <cell r="CL108">
            <v>20</v>
          </cell>
          <cell r="CM108">
            <v>0.2375953846153846</v>
          </cell>
          <cell r="CN108">
            <v>0.2375953846153846</v>
          </cell>
          <cell r="CO108">
            <v>0</v>
          </cell>
          <cell r="CP108">
            <v>0</v>
          </cell>
          <cell r="CQ108">
            <v>3.5797546221520413</v>
          </cell>
          <cell r="CR108">
            <v>10</v>
          </cell>
          <cell r="CS108">
            <v>1</v>
          </cell>
          <cell r="CT108">
            <v>0</v>
          </cell>
          <cell r="CU108">
            <v>0</v>
          </cell>
          <cell r="CV108">
            <v>11</v>
          </cell>
          <cell r="CW108">
            <v>11</v>
          </cell>
          <cell r="CX108" t="str">
            <v xml:space="preserve"> </v>
          </cell>
          <cell r="CY108">
            <v>2</v>
          </cell>
          <cell r="CZ108">
            <v>2.5</v>
          </cell>
          <cell r="DA108">
            <v>1.1000000000000001</v>
          </cell>
          <cell r="DB108">
            <v>200</v>
          </cell>
          <cell r="DC108">
            <v>94</v>
          </cell>
          <cell r="DD108">
            <v>52</v>
          </cell>
          <cell r="DE108">
            <v>15</v>
          </cell>
          <cell r="DF108">
            <v>23</v>
          </cell>
          <cell r="DG108">
            <v>4</v>
          </cell>
          <cell r="DH108">
            <v>2</v>
          </cell>
          <cell r="DI108">
            <v>10</v>
          </cell>
        </row>
        <row r="109">
          <cell r="A109" t="str">
            <v>RS 134</v>
          </cell>
          <cell r="B109">
            <v>134</v>
          </cell>
          <cell r="C109" t="str">
            <v>S</v>
          </cell>
          <cell r="D109" t="str">
            <v>T</v>
          </cell>
          <cell r="E109" t="str">
            <v>Mwanza - Moffati</v>
          </cell>
          <cell r="F109" t="str">
            <v>M06</v>
          </cell>
          <cell r="G109">
            <v>2</v>
          </cell>
          <cell r="H109">
            <v>6</v>
          </cell>
          <cell r="I109" t="str">
            <v>H</v>
          </cell>
          <cell r="J109" t="str">
            <v>MWANZA</v>
          </cell>
          <cell r="K109">
            <v>9</v>
          </cell>
          <cell r="L109">
            <v>0</v>
          </cell>
          <cell r="W109">
            <v>87</v>
          </cell>
          <cell r="X109" t="str">
            <v>DS</v>
          </cell>
          <cell r="Y109">
            <v>200</v>
          </cell>
          <cell r="Z109" t="str">
            <v>SB</v>
          </cell>
          <cell r="AA109">
            <v>150</v>
          </cell>
          <cell r="AB109" t="str">
            <v>SB</v>
          </cell>
          <cell r="AC109">
            <v>17</v>
          </cell>
          <cell r="AD109" t="str">
            <v>VR</v>
          </cell>
          <cell r="AE109">
            <v>0</v>
          </cell>
          <cell r="AF109">
            <v>0</v>
          </cell>
          <cell r="AG109">
            <v>0</v>
          </cell>
          <cell r="AH109">
            <v>0</v>
          </cell>
          <cell r="AI109">
            <v>0</v>
          </cell>
          <cell r="AJ109">
            <v>0</v>
          </cell>
          <cell r="AK109">
            <v>0</v>
          </cell>
          <cell r="AL109">
            <v>0</v>
          </cell>
          <cell r="AM109">
            <v>1</v>
          </cell>
          <cell r="AN109" t="str">
            <v>never resealed</v>
          </cell>
          <cell r="BO109" t="str">
            <v>RS 134</v>
          </cell>
          <cell r="BP109">
            <v>6</v>
          </cell>
          <cell r="BQ109">
            <v>6</v>
          </cell>
          <cell r="BR109" t="str">
            <v>H</v>
          </cell>
          <cell r="BS109" t="str">
            <v>C</v>
          </cell>
          <cell r="BT109">
            <v>0</v>
          </cell>
          <cell r="BU109" t="str">
            <v>DS</v>
          </cell>
          <cell r="BV109">
            <v>0</v>
          </cell>
          <cell r="BW109">
            <v>1</v>
          </cell>
          <cell r="BX109">
            <v>15</v>
          </cell>
          <cell r="BY109" t="str">
            <v xml:space="preserve"> </v>
          </cell>
          <cell r="BZ109">
            <v>1</v>
          </cell>
          <cell r="CA109">
            <v>17</v>
          </cell>
          <cell r="CB109">
            <v>1.677</v>
          </cell>
          <cell r="CC109">
            <v>3.1339210166177911</v>
          </cell>
          <cell r="CD109">
            <v>0</v>
          </cell>
          <cell r="CE109">
            <v>0</v>
          </cell>
          <cell r="CF109">
            <v>0</v>
          </cell>
          <cell r="CG109">
            <v>0</v>
          </cell>
          <cell r="CH109">
            <v>0</v>
          </cell>
          <cell r="CI109">
            <v>0.5</v>
          </cell>
          <cell r="CJ109">
            <v>1.6666666666666668E-3</v>
          </cell>
          <cell r="CK109">
            <v>1.6666666666666668E-3</v>
          </cell>
          <cell r="CL109">
            <v>0</v>
          </cell>
          <cell r="CM109">
            <v>6.4615384615384621E-4</v>
          </cell>
          <cell r="CN109">
            <v>6.4615384615384621E-4</v>
          </cell>
          <cell r="CO109">
            <v>0</v>
          </cell>
          <cell r="CP109">
            <v>0</v>
          </cell>
          <cell r="CQ109">
            <v>3.1345671704639448</v>
          </cell>
          <cell r="CR109">
            <v>0</v>
          </cell>
          <cell r="CS109">
            <v>1</v>
          </cell>
          <cell r="CT109">
            <v>0</v>
          </cell>
          <cell r="CU109">
            <v>0</v>
          </cell>
          <cell r="CV109">
            <v>11</v>
          </cell>
          <cell r="CW109">
            <v>11</v>
          </cell>
          <cell r="CX109" t="str">
            <v xml:space="preserve"> </v>
          </cell>
          <cell r="CY109">
            <v>1.2</v>
          </cell>
          <cell r="CZ109">
            <v>1.5</v>
          </cell>
          <cell r="DA109">
            <v>1.1000000000000001</v>
          </cell>
          <cell r="DB109">
            <v>200</v>
          </cell>
          <cell r="DC109">
            <v>94</v>
          </cell>
          <cell r="DD109">
            <v>52</v>
          </cell>
          <cell r="DE109">
            <v>15</v>
          </cell>
          <cell r="DF109">
            <v>23</v>
          </cell>
          <cell r="DG109">
            <v>4</v>
          </cell>
          <cell r="DH109">
            <v>2</v>
          </cell>
          <cell r="DI109">
            <v>10</v>
          </cell>
        </row>
        <row r="110">
          <cell r="A110" t="str">
            <v>RS 133</v>
          </cell>
          <cell r="B110">
            <v>133</v>
          </cell>
          <cell r="C110" t="str">
            <v>S</v>
          </cell>
          <cell r="D110" t="str">
            <v>T</v>
          </cell>
          <cell r="E110" t="str">
            <v>Moffati - Zaka</v>
          </cell>
          <cell r="F110" t="str">
            <v>M06</v>
          </cell>
          <cell r="G110">
            <v>3</v>
          </cell>
          <cell r="H110">
            <v>9.3000000000000007</v>
          </cell>
          <cell r="I110" t="str">
            <v>R</v>
          </cell>
          <cell r="J110" t="str">
            <v>MWANZA</v>
          </cell>
          <cell r="K110">
            <v>9</v>
          </cell>
          <cell r="L110">
            <v>0</v>
          </cell>
          <cell r="W110">
            <v>87</v>
          </cell>
          <cell r="X110" t="str">
            <v>DS</v>
          </cell>
          <cell r="Y110">
            <v>200</v>
          </cell>
          <cell r="Z110" t="str">
            <v>SB</v>
          </cell>
          <cell r="AA110">
            <v>150</v>
          </cell>
          <cell r="AB110" t="str">
            <v>SB</v>
          </cell>
          <cell r="AC110">
            <v>17</v>
          </cell>
          <cell r="AD110" t="str">
            <v>VR</v>
          </cell>
          <cell r="AE110">
            <v>0</v>
          </cell>
          <cell r="AF110">
            <v>0</v>
          </cell>
          <cell r="AG110">
            <v>0</v>
          </cell>
          <cell r="AH110">
            <v>0</v>
          </cell>
          <cell r="AI110">
            <v>0</v>
          </cell>
          <cell r="AJ110">
            <v>0</v>
          </cell>
          <cell r="AK110">
            <v>0</v>
          </cell>
          <cell r="AL110">
            <v>0</v>
          </cell>
          <cell r="AM110">
            <v>1</v>
          </cell>
          <cell r="AN110" t="str">
            <v>never resealed</v>
          </cell>
          <cell r="BO110" t="str">
            <v>RS 133</v>
          </cell>
          <cell r="BP110">
            <v>9.3000000000000007</v>
          </cell>
          <cell r="BQ110">
            <v>6</v>
          </cell>
          <cell r="BR110" t="str">
            <v>R</v>
          </cell>
          <cell r="BS110" t="str">
            <v>C</v>
          </cell>
          <cell r="BT110">
            <v>0</v>
          </cell>
          <cell r="BU110" t="str">
            <v>DS</v>
          </cell>
          <cell r="BV110">
            <v>0</v>
          </cell>
          <cell r="BW110">
            <v>1</v>
          </cell>
          <cell r="BX110">
            <v>15</v>
          </cell>
          <cell r="BY110" t="str">
            <v xml:space="preserve"> </v>
          </cell>
          <cell r="BZ110">
            <v>1</v>
          </cell>
          <cell r="CA110">
            <v>17</v>
          </cell>
          <cell r="CB110">
            <v>1.677</v>
          </cell>
          <cell r="CC110">
            <v>3.3008809384164226</v>
          </cell>
          <cell r="CD110">
            <v>1</v>
          </cell>
          <cell r="CE110">
            <v>0</v>
          </cell>
          <cell r="CF110">
            <v>0</v>
          </cell>
          <cell r="CG110">
            <v>1</v>
          </cell>
          <cell r="CH110">
            <v>0</v>
          </cell>
          <cell r="CI110">
            <v>0.2</v>
          </cell>
          <cell r="CJ110">
            <v>6.6666666666666686E-4</v>
          </cell>
          <cell r="CK110">
            <v>6.6666666666666686E-4</v>
          </cell>
          <cell r="CL110">
            <v>0</v>
          </cell>
          <cell r="CM110">
            <v>2.5846153846153852E-4</v>
          </cell>
          <cell r="CN110">
            <v>2.5846153846153852E-4</v>
          </cell>
          <cell r="CO110">
            <v>0</v>
          </cell>
          <cell r="CP110">
            <v>0</v>
          </cell>
          <cell r="CQ110">
            <v>3.3011393999548839</v>
          </cell>
          <cell r="CR110">
            <v>1</v>
          </cell>
          <cell r="CS110">
            <v>1</v>
          </cell>
          <cell r="CT110">
            <v>0</v>
          </cell>
          <cell r="CU110">
            <v>0</v>
          </cell>
          <cell r="CV110">
            <v>11</v>
          </cell>
          <cell r="CW110">
            <v>11</v>
          </cell>
          <cell r="CX110" t="str">
            <v xml:space="preserve"> </v>
          </cell>
          <cell r="CY110">
            <v>1.2</v>
          </cell>
          <cell r="CZ110">
            <v>1.2</v>
          </cell>
          <cell r="DA110">
            <v>1.3</v>
          </cell>
          <cell r="DB110">
            <v>400</v>
          </cell>
          <cell r="DC110">
            <v>188</v>
          </cell>
          <cell r="DD110">
            <v>104</v>
          </cell>
          <cell r="DE110">
            <v>30</v>
          </cell>
          <cell r="DF110">
            <v>46</v>
          </cell>
          <cell r="DG110">
            <v>8</v>
          </cell>
          <cell r="DH110">
            <v>4</v>
          </cell>
          <cell r="DI110">
            <v>20</v>
          </cell>
        </row>
        <row r="111">
          <cell r="A111" t="str">
            <v>RS 136</v>
          </cell>
          <cell r="B111">
            <v>136</v>
          </cell>
          <cell r="C111" t="str">
            <v>S</v>
          </cell>
          <cell r="D111" t="str">
            <v>T</v>
          </cell>
          <cell r="E111" t="str">
            <v>Zaka - Lisungwi River</v>
          </cell>
          <cell r="F111" t="str">
            <v>M06</v>
          </cell>
          <cell r="G111">
            <v>4</v>
          </cell>
          <cell r="H111">
            <v>13.2</v>
          </cell>
          <cell r="I111" t="str">
            <v>R</v>
          </cell>
          <cell r="J111" t="str">
            <v>MWANZA</v>
          </cell>
          <cell r="K111">
            <v>9</v>
          </cell>
          <cell r="L111">
            <v>0</v>
          </cell>
          <cell r="W111">
            <v>87</v>
          </cell>
          <cell r="X111" t="str">
            <v>DS</v>
          </cell>
          <cell r="Y111">
            <v>200</v>
          </cell>
          <cell r="Z111" t="str">
            <v>SB</v>
          </cell>
          <cell r="AA111">
            <v>150</v>
          </cell>
          <cell r="AB111" t="str">
            <v>SB</v>
          </cell>
          <cell r="AC111">
            <v>17</v>
          </cell>
          <cell r="AD111" t="str">
            <v>VR</v>
          </cell>
          <cell r="AE111">
            <v>0</v>
          </cell>
          <cell r="AF111">
            <v>0</v>
          </cell>
          <cell r="AG111">
            <v>0</v>
          </cell>
          <cell r="AH111">
            <v>0</v>
          </cell>
          <cell r="AI111">
            <v>0</v>
          </cell>
          <cell r="AJ111">
            <v>0</v>
          </cell>
          <cell r="AK111">
            <v>0</v>
          </cell>
          <cell r="AL111">
            <v>0</v>
          </cell>
          <cell r="AM111">
            <v>1</v>
          </cell>
          <cell r="AN111" t="str">
            <v>never resealed</v>
          </cell>
          <cell r="BO111" t="str">
            <v>RS 136</v>
          </cell>
          <cell r="BP111">
            <v>13.2</v>
          </cell>
          <cell r="BQ111">
            <v>6</v>
          </cell>
          <cell r="BR111" t="str">
            <v>R</v>
          </cell>
          <cell r="BS111" t="str">
            <v>C</v>
          </cell>
          <cell r="BT111">
            <v>0</v>
          </cell>
          <cell r="BU111" t="str">
            <v>DS</v>
          </cell>
          <cell r="BV111">
            <v>0</v>
          </cell>
          <cell r="BW111">
            <v>1</v>
          </cell>
          <cell r="BX111">
            <v>15</v>
          </cell>
          <cell r="BY111" t="str">
            <v xml:space="preserve"> </v>
          </cell>
          <cell r="BZ111">
            <v>1</v>
          </cell>
          <cell r="CA111">
            <v>17</v>
          </cell>
          <cell r="CB111">
            <v>1.677</v>
          </cell>
          <cell r="CC111">
            <v>3.1440294321514268</v>
          </cell>
          <cell r="CD111">
            <v>0</v>
          </cell>
          <cell r="CE111">
            <v>0</v>
          </cell>
          <cell r="CF111">
            <v>0</v>
          </cell>
          <cell r="CG111">
            <v>0</v>
          </cell>
          <cell r="CH111">
            <v>0</v>
          </cell>
          <cell r="CI111">
            <v>0.3</v>
          </cell>
          <cell r="CJ111">
            <v>1E-3</v>
          </cell>
          <cell r="CK111">
            <v>1E-3</v>
          </cell>
          <cell r="CL111">
            <v>0</v>
          </cell>
          <cell r="CM111">
            <v>3.876923076923077E-4</v>
          </cell>
          <cell r="CN111">
            <v>3.876923076923077E-4</v>
          </cell>
          <cell r="CO111">
            <v>0</v>
          </cell>
          <cell r="CP111">
            <v>0</v>
          </cell>
          <cell r="CQ111">
            <v>3.1444171244591193</v>
          </cell>
          <cell r="CR111">
            <v>0</v>
          </cell>
          <cell r="CS111">
            <v>1</v>
          </cell>
          <cell r="CT111">
            <v>0</v>
          </cell>
          <cell r="CU111">
            <v>0</v>
          </cell>
          <cell r="CV111">
            <v>11</v>
          </cell>
          <cell r="CW111">
            <v>11</v>
          </cell>
          <cell r="CX111" t="str">
            <v xml:space="preserve"> </v>
          </cell>
          <cell r="CY111">
            <v>1.2</v>
          </cell>
          <cell r="CZ111">
            <v>1.2</v>
          </cell>
          <cell r="DA111">
            <v>1.2</v>
          </cell>
          <cell r="DB111">
            <v>400</v>
          </cell>
          <cell r="DC111">
            <v>188</v>
          </cell>
          <cell r="DD111">
            <v>104</v>
          </cell>
          <cell r="DE111">
            <v>30</v>
          </cell>
          <cell r="DF111">
            <v>46</v>
          </cell>
          <cell r="DG111">
            <v>8</v>
          </cell>
          <cell r="DH111">
            <v>4</v>
          </cell>
          <cell r="DI111">
            <v>20</v>
          </cell>
        </row>
        <row r="112">
          <cell r="A112" t="str">
            <v>RS 132</v>
          </cell>
          <cell r="B112">
            <v>132</v>
          </cell>
          <cell r="C112" t="str">
            <v>S</v>
          </cell>
          <cell r="D112" t="str">
            <v>T</v>
          </cell>
          <cell r="E112" t="str">
            <v>Ndeka - Nachimbeya Rapids</v>
          </cell>
          <cell r="F112" t="str">
            <v>M06</v>
          </cell>
          <cell r="G112">
            <v>5</v>
          </cell>
          <cell r="H112">
            <v>9.1999999999999993</v>
          </cell>
          <cell r="I112" t="str">
            <v>F</v>
          </cell>
          <cell r="J112" t="str">
            <v>BLANTYRE</v>
          </cell>
          <cell r="K112">
            <v>9</v>
          </cell>
          <cell r="L112">
            <v>0</v>
          </cell>
          <cell r="W112">
            <v>89</v>
          </cell>
          <cell r="X112" t="str">
            <v>DS</v>
          </cell>
          <cell r="Y112">
            <v>150</v>
          </cell>
          <cell r="Z112" t="str">
            <v>SB</v>
          </cell>
          <cell r="AA112">
            <v>100</v>
          </cell>
          <cell r="AB112" t="str">
            <v>GR</v>
          </cell>
          <cell r="AC112">
            <v>12</v>
          </cell>
          <cell r="AD112" t="str">
            <v>VR</v>
          </cell>
          <cell r="AE112">
            <v>0</v>
          </cell>
          <cell r="AF112">
            <v>0</v>
          </cell>
          <cell r="AG112">
            <v>0</v>
          </cell>
          <cell r="AH112">
            <v>0</v>
          </cell>
          <cell r="AI112">
            <v>0</v>
          </cell>
          <cell r="AJ112">
            <v>0</v>
          </cell>
          <cell r="AK112">
            <v>0</v>
          </cell>
          <cell r="AL112">
            <v>0</v>
          </cell>
          <cell r="AM112">
            <v>1</v>
          </cell>
          <cell r="AN112" t="str">
            <v>never resealed</v>
          </cell>
          <cell r="BO112" t="str">
            <v>RS 132</v>
          </cell>
          <cell r="BP112">
            <v>9.1999999999999993</v>
          </cell>
          <cell r="BQ112">
            <v>6</v>
          </cell>
          <cell r="BR112" t="str">
            <v>F</v>
          </cell>
          <cell r="BS112" t="str">
            <v>C</v>
          </cell>
          <cell r="BT112">
            <v>0</v>
          </cell>
          <cell r="BU112" t="str">
            <v>DS</v>
          </cell>
          <cell r="BV112">
            <v>0</v>
          </cell>
          <cell r="BW112">
            <v>1</v>
          </cell>
          <cell r="BX112">
            <v>15</v>
          </cell>
          <cell r="BY112" t="str">
            <v xml:space="preserve"> </v>
          </cell>
          <cell r="BZ112">
            <v>1</v>
          </cell>
          <cell r="CA112">
            <v>12</v>
          </cell>
          <cell r="CB112">
            <v>1.177</v>
          </cell>
          <cell r="CC112">
            <v>3.385588545799552</v>
          </cell>
          <cell r="CD112">
            <v>0</v>
          </cell>
          <cell r="CE112">
            <v>0</v>
          </cell>
          <cell r="CF112">
            <v>0</v>
          </cell>
          <cell r="CG112">
            <v>0</v>
          </cell>
          <cell r="CH112">
            <v>0</v>
          </cell>
          <cell r="CI112">
            <v>0.2</v>
          </cell>
          <cell r="CJ112">
            <v>6.6666666666666686E-4</v>
          </cell>
          <cell r="CK112">
            <v>6.6666666666666686E-4</v>
          </cell>
          <cell r="CL112">
            <v>0</v>
          </cell>
          <cell r="CM112">
            <v>2.5846153846153852E-4</v>
          </cell>
          <cell r="CN112">
            <v>2.5846153846153852E-4</v>
          </cell>
          <cell r="CO112">
            <v>0</v>
          </cell>
          <cell r="CP112">
            <v>0</v>
          </cell>
          <cell r="CQ112">
            <v>3.3858470073380134</v>
          </cell>
          <cell r="CR112">
            <v>0</v>
          </cell>
          <cell r="CS112">
            <v>1</v>
          </cell>
          <cell r="CT112">
            <v>0</v>
          </cell>
          <cell r="CU112">
            <v>0</v>
          </cell>
          <cell r="CV112">
            <v>9</v>
          </cell>
          <cell r="CW112">
            <v>9</v>
          </cell>
          <cell r="CX112" t="str">
            <v xml:space="preserve"> </v>
          </cell>
          <cell r="CY112">
            <v>1.2</v>
          </cell>
          <cell r="CZ112">
            <v>1.2</v>
          </cell>
          <cell r="DA112">
            <v>1.2</v>
          </cell>
          <cell r="DB112">
            <v>430</v>
          </cell>
          <cell r="DC112">
            <v>203</v>
          </cell>
          <cell r="DD112">
            <v>112</v>
          </cell>
          <cell r="DE112">
            <v>33</v>
          </cell>
          <cell r="DF112">
            <v>50</v>
          </cell>
          <cell r="DG112">
            <v>9</v>
          </cell>
          <cell r="DH112">
            <v>5</v>
          </cell>
          <cell r="DI112">
            <v>22</v>
          </cell>
        </row>
        <row r="113">
          <cell r="A113" t="str">
            <v>RS 140</v>
          </cell>
          <cell r="B113">
            <v>140</v>
          </cell>
          <cell r="C113" t="str">
            <v>S</v>
          </cell>
          <cell r="D113" t="str">
            <v>T</v>
          </cell>
          <cell r="E113" t="str">
            <v>Chingeni - Liwawadzi River</v>
          </cell>
          <cell r="F113" t="str">
            <v>M08</v>
          </cell>
          <cell r="G113">
            <v>1</v>
          </cell>
          <cell r="H113">
            <v>16.100000000000001</v>
          </cell>
          <cell r="I113" t="str">
            <v>F</v>
          </cell>
          <cell r="J113" t="str">
            <v>MACHINGA</v>
          </cell>
          <cell r="K113">
            <v>8</v>
          </cell>
          <cell r="L113">
            <v>0</v>
          </cell>
          <cell r="W113">
            <v>71</v>
          </cell>
          <cell r="X113" t="str">
            <v>SA</v>
          </cell>
          <cell r="Y113">
            <v>125</v>
          </cell>
          <cell r="Z113" t="str">
            <v>SB</v>
          </cell>
          <cell r="AA113">
            <v>150</v>
          </cell>
          <cell r="AB113" t="str">
            <v>GR</v>
          </cell>
          <cell r="AC113">
            <v>14</v>
          </cell>
          <cell r="AD113" t="str">
            <v>VR</v>
          </cell>
          <cell r="AE113">
            <v>0</v>
          </cell>
          <cell r="AF113">
            <v>0</v>
          </cell>
          <cell r="AG113">
            <v>0</v>
          </cell>
          <cell r="AH113">
            <v>0</v>
          </cell>
          <cell r="AI113">
            <v>0</v>
          </cell>
          <cell r="AJ113">
            <v>0</v>
          </cell>
          <cell r="AK113">
            <v>0</v>
          </cell>
          <cell r="AL113">
            <v>0</v>
          </cell>
          <cell r="AM113">
            <v>2</v>
          </cell>
          <cell r="AN113" t="str">
            <v>some bitumen removed</v>
          </cell>
          <cell r="BO113" t="str">
            <v>RS 140</v>
          </cell>
          <cell r="BP113">
            <v>16.100000000000001</v>
          </cell>
          <cell r="BQ113">
            <v>6</v>
          </cell>
          <cell r="BR113" t="str">
            <v>F</v>
          </cell>
          <cell r="BS113" t="str">
            <v>C</v>
          </cell>
          <cell r="BT113">
            <v>35</v>
          </cell>
          <cell r="BU113" t="str">
            <v>SA</v>
          </cell>
          <cell r="BV113">
            <v>0</v>
          </cell>
          <cell r="BW113">
            <v>2</v>
          </cell>
          <cell r="BX113">
            <v>10</v>
          </cell>
          <cell r="BY113" t="str">
            <v xml:space="preserve"> </v>
          </cell>
          <cell r="BZ113">
            <v>1</v>
          </cell>
          <cell r="CA113">
            <v>14</v>
          </cell>
          <cell r="CB113">
            <v>1.508</v>
          </cell>
          <cell r="CC113">
            <v>4.3889715216682958</v>
          </cell>
          <cell r="CD113">
            <v>70</v>
          </cell>
          <cell r="CE113">
            <v>21</v>
          </cell>
          <cell r="CF113">
            <v>6</v>
          </cell>
          <cell r="CG113">
            <v>64</v>
          </cell>
          <cell r="CH113">
            <v>15</v>
          </cell>
          <cell r="CI113">
            <v>1.5</v>
          </cell>
          <cell r="CJ113">
            <v>5.000000000000001E-3</v>
          </cell>
          <cell r="CK113">
            <v>6.0049999999999999</v>
          </cell>
          <cell r="CL113">
            <v>6</v>
          </cell>
          <cell r="CM113">
            <v>0.10163076923076925</v>
          </cell>
          <cell r="CN113">
            <v>0.10163076923076925</v>
          </cell>
          <cell r="CO113">
            <v>0</v>
          </cell>
          <cell r="CP113">
            <v>0</v>
          </cell>
          <cell r="CQ113">
            <v>4.4906022908990648</v>
          </cell>
          <cell r="CR113">
            <v>0</v>
          </cell>
          <cell r="CS113">
            <v>1</v>
          </cell>
          <cell r="CT113">
            <v>0</v>
          </cell>
          <cell r="CU113">
            <v>0</v>
          </cell>
          <cell r="CV113">
            <v>27</v>
          </cell>
          <cell r="CW113">
            <v>27</v>
          </cell>
          <cell r="CX113" t="str">
            <v xml:space="preserve"> </v>
          </cell>
          <cell r="CY113">
            <v>1.5</v>
          </cell>
          <cell r="CZ113">
            <v>2</v>
          </cell>
          <cell r="DA113">
            <v>1.5</v>
          </cell>
          <cell r="DB113">
            <v>230</v>
          </cell>
          <cell r="DC113">
            <v>109</v>
          </cell>
          <cell r="DD113">
            <v>60</v>
          </cell>
          <cell r="DE113">
            <v>18</v>
          </cell>
          <cell r="DF113">
            <v>27</v>
          </cell>
          <cell r="DG113">
            <v>5</v>
          </cell>
          <cell r="DH113">
            <v>3</v>
          </cell>
          <cell r="DI113">
            <v>12</v>
          </cell>
        </row>
        <row r="114">
          <cell r="A114" t="str">
            <v>RS 137</v>
          </cell>
          <cell r="B114">
            <v>137</v>
          </cell>
          <cell r="C114" t="str">
            <v>S</v>
          </cell>
          <cell r="D114" t="str">
            <v>T</v>
          </cell>
          <cell r="E114" t="str">
            <v>Liwawadzi River - Chimwaliro River</v>
          </cell>
          <cell r="F114" t="str">
            <v>M08</v>
          </cell>
          <cell r="G114">
            <v>2</v>
          </cell>
          <cell r="H114">
            <v>8.8000000000000007</v>
          </cell>
          <cell r="I114" t="str">
            <v>R</v>
          </cell>
          <cell r="J114" t="str">
            <v>MACHINGA</v>
          </cell>
          <cell r="K114">
            <v>8</v>
          </cell>
          <cell r="L114">
            <v>0</v>
          </cell>
          <cell r="W114">
            <v>71</v>
          </cell>
          <cell r="X114" t="str">
            <v>SA</v>
          </cell>
          <cell r="Y114">
            <v>125</v>
          </cell>
          <cell r="Z114" t="str">
            <v>SB</v>
          </cell>
          <cell r="AA114">
            <v>150</v>
          </cell>
          <cell r="AB114" t="str">
            <v>GR</v>
          </cell>
          <cell r="AC114">
            <v>14</v>
          </cell>
          <cell r="AD114" t="str">
            <v>VR</v>
          </cell>
          <cell r="AE114">
            <v>0</v>
          </cell>
          <cell r="AF114">
            <v>0</v>
          </cell>
          <cell r="AG114">
            <v>0</v>
          </cell>
          <cell r="AH114">
            <v>0</v>
          </cell>
          <cell r="AI114">
            <v>0</v>
          </cell>
          <cell r="AJ114">
            <v>0</v>
          </cell>
          <cell r="AK114">
            <v>0</v>
          </cell>
          <cell r="AL114">
            <v>0</v>
          </cell>
          <cell r="AM114">
            <v>2</v>
          </cell>
          <cell r="AN114" t="str">
            <v>some bitumen removed</v>
          </cell>
          <cell r="BO114" t="str">
            <v>RS 137</v>
          </cell>
          <cell r="BP114">
            <v>8.8000000000000007</v>
          </cell>
          <cell r="BQ114" t="str">
            <v>n.a.</v>
          </cell>
          <cell r="BR114" t="str">
            <v>R</v>
          </cell>
          <cell r="BS114" t="str">
            <v>X</v>
          </cell>
          <cell r="BT114">
            <v>60</v>
          </cell>
          <cell r="BU114" t="str">
            <v>SA</v>
          </cell>
          <cell r="BV114">
            <v>0</v>
          </cell>
          <cell r="BW114">
            <v>2</v>
          </cell>
          <cell r="BX114">
            <v>10</v>
          </cell>
          <cell r="BY114" t="str">
            <v xml:space="preserve"> </v>
          </cell>
          <cell r="BZ114">
            <v>1</v>
          </cell>
          <cell r="CA114">
            <v>14</v>
          </cell>
          <cell r="CB114">
            <v>1.508</v>
          </cell>
          <cell r="CC114" t="str">
            <v>bitumen surface removed</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27</v>
          </cell>
          <cell r="CW114">
            <v>27</v>
          </cell>
          <cell r="CX114" t="str">
            <v xml:space="preserve"> </v>
          </cell>
          <cell r="CY114" t="str">
            <v>n.a.</v>
          </cell>
          <cell r="CZ114" t="str">
            <v>n.a.</v>
          </cell>
          <cell r="DA114">
            <v>1.5</v>
          </cell>
          <cell r="DB114">
            <v>260</v>
          </cell>
          <cell r="DC114">
            <v>123</v>
          </cell>
          <cell r="DD114">
            <v>68</v>
          </cell>
          <cell r="DE114">
            <v>20</v>
          </cell>
          <cell r="DF114">
            <v>30</v>
          </cell>
          <cell r="DG114">
            <v>6</v>
          </cell>
          <cell r="DH114">
            <v>3</v>
          </cell>
          <cell r="DI114">
            <v>13</v>
          </cell>
        </row>
        <row r="115">
          <cell r="A115" t="str">
            <v>RS 138</v>
          </cell>
          <cell r="B115">
            <v>138</v>
          </cell>
          <cell r="C115" t="str">
            <v>S</v>
          </cell>
          <cell r="D115" t="str">
            <v>T</v>
          </cell>
          <cell r="E115" t="str">
            <v>Chimwaliro River - M'manga</v>
          </cell>
          <cell r="F115" t="str">
            <v>M08</v>
          </cell>
          <cell r="G115">
            <v>3</v>
          </cell>
          <cell r="H115">
            <v>10.199999999999999</v>
          </cell>
          <cell r="I115" t="str">
            <v>F</v>
          </cell>
          <cell r="J115" t="str">
            <v>MACHINGA</v>
          </cell>
          <cell r="K115">
            <v>8</v>
          </cell>
          <cell r="L115">
            <v>0</v>
          </cell>
          <cell r="W115">
            <v>71</v>
          </cell>
          <cell r="X115" t="str">
            <v>SA</v>
          </cell>
          <cell r="Y115">
            <v>125</v>
          </cell>
          <cell r="Z115" t="str">
            <v>SB</v>
          </cell>
          <cell r="AA115">
            <v>150</v>
          </cell>
          <cell r="AB115" t="str">
            <v>GR</v>
          </cell>
          <cell r="AC115">
            <v>14</v>
          </cell>
          <cell r="AD115" t="str">
            <v>VR</v>
          </cell>
          <cell r="AE115">
            <v>0</v>
          </cell>
          <cell r="AF115">
            <v>0</v>
          </cell>
          <cell r="AG115">
            <v>0</v>
          </cell>
          <cell r="AH115">
            <v>0</v>
          </cell>
          <cell r="AI115">
            <v>0</v>
          </cell>
          <cell r="AJ115">
            <v>0</v>
          </cell>
          <cell r="AK115">
            <v>0</v>
          </cell>
          <cell r="AL115">
            <v>0</v>
          </cell>
          <cell r="AM115">
            <v>2</v>
          </cell>
          <cell r="AN115" t="str">
            <v>some bitumen removed</v>
          </cell>
          <cell r="BO115" t="str">
            <v>RS 138</v>
          </cell>
          <cell r="BP115">
            <v>10.199999999999999</v>
          </cell>
          <cell r="BQ115" t="str">
            <v>n.a.</v>
          </cell>
          <cell r="BR115" t="str">
            <v>F</v>
          </cell>
          <cell r="BS115" t="str">
            <v>X</v>
          </cell>
          <cell r="BT115">
            <v>60</v>
          </cell>
          <cell r="BU115" t="str">
            <v>SA</v>
          </cell>
          <cell r="BV115">
            <v>0</v>
          </cell>
          <cell r="BW115">
            <v>2</v>
          </cell>
          <cell r="BX115">
            <v>10</v>
          </cell>
          <cell r="BY115" t="str">
            <v xml:space="preserve"> </v>
          </cell>
          <cell r="BZ115">
            <v>1</v>
          </cell>
          <cell r="CA115">
            <v>14</v>
          </cell>
          <cell r="CB115">
            <v>1.508</v>
          </cell>
          <cell r="CC115" t="str">
            <v>bitumen surface removed</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27</v>
          </cell>
          <cell r="CW115">
            <v>27</v>
          </cell>
          <cell r="CX115" t="str">
            <v xml:space="preserve"> </v>
          </cell>
          <cell r="CY115" t="str">
            <v>n.a.</v>
          </cell>
          <cell r="CZ115" t="str">
            <v>n.a.</v>
          </cell>
          <cell r="DA115">
            <v>1.5</v>
          </cell>
          <cell r="DB115">
            <v>230</v>
          </cell>
          <cell r="DC115">
            <v>109</v>
          </cell>
          <cell r="DD115">
            <v>60</v>
          </cell>
          <cell r="DE115">
            <v>18</v>
          </cell>
          <cell r="DF115">
            <v>27</v>
          </cell>
          <cell r="DG115">
            <v>5</v>
          </cell>
          <cell r="DH115">
            <v>3</v>
          </cell>
          <cell r="DI115">
            <v>12</v>
          </cell>
        </row>
        <row r="116">
          <cell r="A116" t="str">
            <v>RS 071</v>
          </cell>
          <cell r="B116">
            <v>71</v>
          </cell>
          <cell r="C116" t="str">
            <v>C</v>
          </cell>
          <cell r="D116" t="str">
            <v>T</v>
          </cell>
          <cell r="E116" t="str">
            <v>Mua - Kamwendo</v>
          </cell>
          <cell r="F116" t="str">
            <v>M10</v>
          </cell>
          <cell r="G116">
            <v>1</v>
          </cell>
          <cell r="H116">
            <v>8.9</v>
          </cell>
          <cell r="I116" t="str">
            <v>F</v>
          </cell>
          <cell r="J116" t="str">
            <v>DEDZA</v>
          </cell>
          <cell r="K116">
            <v>7</v>
          </cell>
          <cell r="L116">
            <v>0</v>
          </cell>
          <cell r="W116">
            <v>74</v>
          </cell>
          <cell r="X116" t="str">
            <v>DS</v>
          </cell>
          <cell r="Y116">
            <v>150</v>
          </cell>
          <cell r="Z116" t="str">
            <v>SB</v>
          </cell>
          <cell r="AA116">
            <v>100</v>
          </cell>
          <cell r="AB116" t="str">
            <v>GR</v>
          </cell>
          <cell r="AC116">
            <v>8</v>
          </cell>
          <cell r="AD116" t="str">
            <v>VR</v>
          </cell>
          <cell r="AE116">
            <v>0</v>
          </cell>
          <cell r="AF116">
            <v>0</v>
          </cell>
          <cell r="AG116">
            <v>0</v>
          </cell>
          <cell r="AH116">
            <v>0</v>
          </cell>
          <cell r="AI116">
            <v>0</v>
          </cell>
          <cell r="AJ116">
            <v>0</v>
          </cell>
          <cell r="AK116">
            <v>0</v>
          </cell>
          <cell r="AL116">
            <v>0</v>
          </cell>
          <cell r="AM116">
            <v>1</v>
          </cell>
          <cell r="AN116" t="str">
            <v>bitumen removed</v>
          </cell>
          <cell r="BO116" t="str">
            <v>RS 071</v>
          </cell>
          <cell r="BP116">
            <v>8.9</v>
          </cell>
          <cell r="BQ116" t="str">
            <v>n.a.</v>
          </cell>
          <cell r="BR116" t="str">
            <v>F</v>
          </cell>
          <cell r="BS116" t="str">
            <v>X</v>
          </cell>
          <cell r="BT116">
            <v>90</v>
          </cell>
          <cell r="BU116" t="str">
            <v>DS</v>
          </cell>
          <cell r="BV116">
            <v>0</v>
          </cell>
          <cell r="BW116">
            <v>1</v>
          </cell>
          <cell r="BX116">
            <v>15</v>
          </cell>
          <cell r="BY116" t="str">
            <v xml:space="preserve"> </v>
          </cell>
          <cell r="BZ116">
            <v>1</v>
          </cell>
          <cell r="CA116">
            <v>8</v>
          </cell>
          <cell r="CB116">
            <v>1.177</v>
          </cell>
          <cell r="CC116" t="str">
            <v>bitumen surface removed</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24</v>
          </cell>
          <cell r="CW116">
            <v>24</v>
          </cell>
          <cell r="CX116" t="str">
            <v xml:space="preserve"> </v>
          </cell>
          <cell r="CY116" t="str">
            <v>n.a.</v>
          </cell>
          <cell r="CZ116" t="str">
            <v>n.a.</v>
          </cell>
          <cell r="DA116">
            <v>2</v>
          </cell>
          <cell r="DB116">
            <v>60</v>
          </cell>
          <cell r="DC116">
            <v>29</v>
          </cell>
          <cell r="DD116">
            <v>16</v>
          </cell>
          <cell r="DE116">
            <v>5</v>
          </cell>
          <cell r="DF116">
            <v>7</v>
          </cell>
          <cell r="DG116">
            <v>2</v>
          </cell>
          <cell r="DH116">
            <v>1</v>
          </cell>
          <cell r="DI116">
            <v>3</v>
          </cell>
        </row>
        <row r="117">
          <cell r="A117" t="str">
            <v>RS 070</v>
          </cell>
          <cell r="B117">
            <v>70</v>
          </cell>
          <cell r="C117" t="str">
            <v>C</v>
          </cell>
          <cell r="D117" t="str">
            <v>T</v>
          </cell>
          <cell r="E117" t="str">
            <v>Kamwendo - Malambalala</v>
          </cell>
          <cell r="F117" t="str">
            <v>M10</v>
          </cell>
          <cell r="G117">
            <v>2</v>
          </cell>
          <cell r="H117">
            <v>2.9</v>
          </cell>
          <cell r="I117" t="str">
            <v>F</v>
          </cell>
          <cell r="J117" t="str">
            <v>DEDZA</v>
          </cell>
          <cell r="K117">
            <v>7</v>
          </cell>
          <cell r="L117">
            <v>0</v>
          </cell>
          <cell r="W117">
            <v>74</v>
          </cell>
          <cell r="X117" t="str">
            <v>DS</v>
          </cell>
          <cell r="Y117">
            <v>150</v>
          </cell>
          <cell r="Z117" t="str">
            <v>SB</v>
          </cell>
          <cell r="AA117">
            <v>100</v>
          </cell>
          <cell r="AB117" t="str">
            <v>GR</v>
          </cell>
          <cell r="AC117">
            <v>8</v>
          </cell>
          <cell r="AD117" t="str">
            <v>VR</v>
          </cell>
          <cell r="AE117">
            <v>0</v>
          </cell>
          <cell r="AF117">
            <v>0</v>
          </cell>
          <cell r="AG117">
            <v>0</v>
          </cell>
          <cell r="AH117">
            <v>0</v>
          </cell>
          <cell r="AI117">
            <v>0</v>
          </cell>
          <cell r="AJ117">
            <v>0</v>
          </cell>
          <cell r="AK117">
            <v>0</v>
          </cell>
          <cell r="AL117">
            <v>0</v>
          </cell>
          <cell r="AM117">
            <v>1</v>
          </cell>
          <cell r="AN117" t="str">
            <v>bitumen removed</v>
          </cell>
          <cell r="BO117" t="str">
            <v>RS 070</v>
          </cell>
          <cell r="BP117">
            <v>2.9</v>
          </cell>
          <cell r="BQ117" t="str">
            <v>n.a.</v>
          </cell>
          <cell r="BR117" t="str">
            <v>F</v>
          </cell>
          <cell r="BS117" t="str">
            <v>X</v>
          </cell>
          <cell r="BT117">
            <v>90</v>
          </cell>
          <cell r="BU117" t="str">
            <v>DS</v>
          </cell>
          <cell r="BV117">
            <v>0</v>
          </cell>
          <cell r="BW117">
            <v>1</v>
          </cell>
          <cell r="BX117">
            <v>15</v>
          </cell>
          <cell r="BY117" t="str">
            <v xml:space="preserve"> </v>
          </cell>
          <cell r="BZ117">
            <v>1</v>
          </cell>
          <cell r="CA117">
            <v>8</v>
          </cell>
          <cell r="CB117">
            <v>1.177</v>
          </cell>
          <cell r="CC117" t="str">
            <v>bitumen surface removed</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24</v>
          </cell>
          <cell r="CW117">
            <v>24</v>
          </cell>
          <cell r="CX117" t="str">
            <v xml:space="preserve"> </v>
          </cell>
          <cell r="CY117" t="str">
            <v>n.a.</v>
          </cell>
          <cell r="CZ117" t="str">
            <v>n.a.</v>
          </cell>
          <cell r="DA117">
            <v>2</v>
          </cell>
          <cell r="DB117">
            <v>60</v>
          </cell>
          <cell r="DC117">
            <v>29</v>
          </cell>
          <cell r="DD117">
            <v>16</v>
          </cell>
          <cell r="DE117">
            <v>5</v>
          </cell>
          <cell r="DF117">
            <v>7</v>
          </cell>
          <cell r="DG117">
            <v>2</v>
          </cell>
          <cell r="DH117">
            <v>1</v>
          </cell>
          <cell r="DI117">
            <v>3</v>
          </cell>
        </row>
        <row r="118">
          <cell r="A118" t="str">
            <v>RS 072</v>
          </cell>
          <cell r="B118">
            <v>72</v>
          </cell>
          <cell r="C118" t="str">
            <v>C</v>
          </cell>
          <cell r="D118" t="str">
            <v>T</v>
          </cell>
          <cell r="E118" t="str">
            <v>Malambalala - Bwanje River</v>
          </cell>
          <cell r="F118" t="str">
            <v>M10</v>
          </cell>
          <cell r="G118">
            <v>3</v>
          </cell>
          <cell r="H118">
            <v>9</v>
          </cell>
          <cell r="I118" t="str">
            <v>F</v>
          </cell>
          <cell r="J118" t="str">
            <v>DEDZA &amp; MANGOCHI</v>
          </cell>
          <cell r="K118">
            <v>7</v>
          </cell>
          <cell r="L118">
            <v>0</v>
          </cell>
          <cell r="W118">
            <v>74</v>
          </cell>
          <cell r="X118" t="str">
            <v>DS</v>
          </cell>
          <cell r="Y118">
            <v>150</v>
          </cell>
          <cell r="Z118" t="str">
            <v>SB</v>
          </cell>
          <cell r="AA118">
            <v>100</v>
          </cell>
          <cell r="AB118" t="str">
            <v>GR</v>
          </cell>
          <cell r="AC118">
            <v>8</v>
          </cell>
          <cell r="AD118" t="str">
            <v>VR</v>
          </cell>
          <cell r="AE118">
            <v>0</v>
          </cell>
          <cell r="AF118">
            <v>0</v>
          </cell>
          <cell r="AG118">
            <v>0</v>
          </cell>
          <cell r="AH118">
            <v>0</v>
          </cell>
          <cell r="AI118">
            <v>0</v>
          </cell>
          <cell r="AJ118">
            <v>0</v>
          </cell>
          <cell r="AK118">
            <v>0</v>
          </cell>
          <cell r="AL118">
            <v>0</v>
          </cell>
          <cell r="AM118">
            <v>1</v>
          </cell>
          <cell r="AN118" t="str">
            <v>bitumen removed</v>
          </cell>
          <cell r="BO118" t="str">
            <v>RS 072</v>
          </cell>
          <cell r="BP118">
            <v>9</v>
          </cell>
          <cell r="BQ118" t="str">
            <v>n.a.</v>
          </cell>
          <cell r="BR118" t="str">
            <v>F</v>
          </cell>
          <cell r="BS118" t="str">
            <v>X</v>
          </cell>
          <cell r="BT118">
            <v>90</v>
          </cell>
          <cell r="BU118" t="str">
            <v>DS</v>
          </cell>
          <cell r="BV118">
            <v>0</v>
          </cell>
          <cell r="BW118">
            <v>1</v>
          </cell>
          <cell r="BX118">
            <v>15</v>
          </cell>
          <cell r="BY118" t="str">
            <v xml:space="preserve"> </v>
          </cell>
          <cell r="BZ118">
            <v>1</v>
          </cell>
          <cell r="CA118">
            <v>8</v>
          </cell>
          <cell r="CB118">
            <v>1.177</v>
          </cell>
          <cell r="CC118" t="str">
            <v>bitumen surface removed</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24</v>
          </cell>
          <cell r="CW118">
            <v>24</v>
          </cell>
          <cell r="CX118" t="str">
            <v xml:space="preserve"> </v>
          </cell>
          <cell r="CY118" t="str">
            <v>n.a.</v>
          </cell>
          <cell r="CZ118" t="str">
            <v>n.a.</v>
          </cell>
          <cell r="DA118">
            <v>2</v>
          </cell>
          <cell r="DB118">
            <v>60</v>
          </cell>
          <cell r="DC118">
            <v>29</v>
          </cell>
          <cell r="DD118">
            <v>16</v>
          </cell>
          <cell r="DE118">
            <v>5</v>
          </cell>
          <cell r="DF118">
            <v>7</v>
          </cell>
          <cell r="DG118">
            <v>2</v>
          </cell>
          <cell r="DH118">
            <v>1</v>
          </cell>
          <cell r="DI118">
            <v>3</v>
          </cell>
        </row>
        <row r="119">
          <cell r="A119" t="str">
            <v>RS 069</v>
          </cell>
          <cell r="B119">
            <v>69</v>
          </cell>
          <cell r="C119" t="str">
            <v>C</v>
          </cell>
          <cell r="D119" t="str">
            <v>T</v>
          </cell>
          <cell r="E119" t="str">
            <v>Bwanje River - Kangb'ma</v>
          </cell>
          <cell r="F119" t="str">
            <v>M10</v>
          </cell>
          <cell r="G119">
            <v>4</v>
          </cell>
          <cell r="H119">
            <v>3.6</v>
          </cell>
          <cell r="I119" t="str">
            <v>F</v>
          </cell>
          <cell r="J119" t="str">
            <v>NTCHEU</v>
          </cell>
          <cell r="K119">
            <v>7</v>
          </cell>
          <cell r="L119">
            <v>0</v>
          </cell>
          <cell r="W119">
            <v>74</v>
          </cell>
          <cell r="X119" t="str">
            <v>DS</v>
          </cell>
          <cell r="Y119">
            <v>150</v>
          </cell>
          <cell r="Z119" t="str">
            <v>SB</v>
          </cell>
          <cell r="AA119">
            <v>100</v>
          </cell>
          <cell r="AB119" t="str">
            <v>GR</v>
          </cell>
          <cell r="AC119">
            <v>8</v>
          </cell>
          <cell r="AD119" t="str">
            <v>VR</v>
          </cell>
          <cell r="AE119">
            <v>0</v>
          </cell>
          <cell r="AF119">
            <v>0</v>
          </cell>
          <cell r="AG119">
            <v>0</v>
          </cell>
          <cell r="AH119">
            <v>0</v>
          </cell>
          <cell r="AI119">
            <v>0</v>
          </cell>
          <cell r="AJ119">
            <v>0</v>
          </cell>
          <cell r="AK119">
            <v>0</v>
          </cell>
          <cell r="AL119">
            <v>0</v>
          </cell>
          <cell r="AM119">
            <v>1</v>
          </cell>
          <cell r="AN119" t="str">
            <v>bitumen removed</v>
          </cell>
          <cell r="BO119" t="str">
            <v>RS 069</v>
          </cell>
          <cell r="BP119">
            <v>3.6</v>
          </cell>
          <cell r="BQ119" t="str">
            <v>n.a.</v>
          </cell>
          <cell r="BR119" t="str">
            <v>F</v>
          </cell>
          <cell r="BS119" t="str">
            <v>X</v>
          </cell>
          <cell r="BT119">
            <v>90</v>
          </cell>
          <cell r="BU119" t="str">
            <v>DS</v>
          </cell>
          <cell r="BV119">
            <v>0</v>
          </cell>
          <cell r="BW119">
            <v>1</v>
          </cell>
          <cell r="BX119">
            <v>15</v>
          </cell>
          <cell r="BY119" t="str">
            <v xml:space="preserve"> </v>
          </cell>
          <cell r="BZ119">
            <v>1</v>
          </cell>
          <cell r="CA119">
            <v>8</v>
          </cell>
          <cell r="CB119">
            <v>1.177</v>
          </cell>
          <cell r="CC119" t="str">
            <v>bitumen surface removed</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24</v>
          </cell>
          <cell r="CW119">
            <v>24</v>
          </cell>
          <cell r="CX119" t="str">
            <v xml:space="preserve"> </v>
          </cell>
          <cell r="CY119" t="str">
            <v>n.a.</v>
          </cell>
          <cell r="CZ119" t="str">
            <v>n.a.</v>
          </cell>
          <cell r="DA119">
            <v>2</v>
          </cell>
          <cell r="DB119">
            <v>60</v>
          </cell>
          <cell r="DC119">
            <v>29</v>
          </cell>
          <cell r="DD119">
            <v>16</v>
          </cell>
          <cell r="DE119">
            <v>5</v>
          </cell>
          <cell r="DF119">
            <v>7</v>
          </cell>
          <cell r="DG119">
            <v>2</v>
          </cell>
          <cell r="DH119">
            <v>1</v>
          </cell>
          <cell r="DI119">
            <v>3</v>
          </cell>
        </row>
        <row r="120">
          <cell r="A120" t="str">
            <v>RS 068</v>
          </cell>
          <cell r="B120">
            <v>68</v>
          </cell>
          <cell r="C120" t="str">
            <v>C</v>
          </cell>
          <cell r="D120" t="str">
            <v>T</v>
          </cell>
          <cell r="E120" t="str">
            <v>Kangb'ma - Phanga</v>
          </cell>
          <cell r="F120" t="str">
            <v>M10</v>
          </cell>
          <cell r="G120">
            <v>5</v>
          </cell>
          <cell r="H120">
            <v>1.6</v>
          </cell>
          <cell r="I120" t="str">
            <v>F</v>
          </cell>
          <cell r="J120" t="str">
            <v>MANGOCHI</v>
          </cell>
          <cell r="K120">
            <v>7</v>
          </cell>
          <cell r="L120">
            <v>0</v>
          </cell>
          <cell r="W120">
            <v>74</v>
          </cell>
          <cell r="X120" t="str">
            <v>DS</v>
          </cell>
          <cell r="Y120">
            <v>150</v>
          </cell>
          <cell r="Z120" t="str">
            <v>SB</v>
          </cell>
          <cell r="AA120">
            <v>100</v>
          </cell>
          <cell r="AB120" t="str">
            <v>GR</v>
          </cell>
          <cell r="AC120">
            <v>8</v>
          </cell>
          <cell r="AD120" t="str">
            <v>VR</v>
          </cell>
          <cell r="AE120">
            <v>89</v>
          </cell>
          <cell r="AF120" t="str">
            <v>SR</v>
          </cell>
          <cell r="AG120" t="str">
            <v>ST</v>
          </cell>
          <cell r="AH120">
            <v>10</v>
          </cell>
          <cell r="AI120">
            <v>0</v>
          </cell>
          <cell r="AJ120">
            <v>0</v>
          </cell>
          <cell r="AK120">
            <v>0</v>
          </cell>
          <cell r="AL120">
            <v>0</v>
          </cell>
          <cell r="AM120">
            <v>4</v>
          </cell>
          <cell r="AN120">
            <v>0</v>
          </cell>
          <cell r="BO120" t="str">
            <v>RS 068</v>
          </cell>
          <cell r="BP120">
            <v>1.6</v>
          </cell>
          <cell r="BQ120" t="str">
            <v>n.a.</v>
          </cell>
          <cell r="BR120" t="str">
            <v>F</v>
          </cell>
          <cell r="BS120" t="str">
            <v>X</v>
          </cell>
          <cell r="BT120">
            <v>90</v>
          </cell>
          <cell r="BU120" t="str">
            <v>ST</v>
          </cell>
          <cell r="BV120" t="str">
            <v>DS</v>
          </cell>
          <cell r="BW120">
            <v>4</v>
          </cell>
          <cell r="BX120">
            <v>10</v>
          </cell>
          <cell r="BY120">
            <v>15</v>
          </cell>
          <cell r="BZ120">
            <v>1</v>
          </cell>
          <cell r="CA120">
            <v>8</v>
          </cell>
          <cell r="CB120">
            <v>1.3540000000000001</v>
          </cell>
          <cell r="CC120" t="str">
            <v>bitumen surface removed</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9</v>
          </cell>
          <cell r="CW120">
            <v>24</v>
          </cell>
          <cell r="CX120">
            <v>48</v>
          </cell>
          <cell r="CY120" t="str">
            <v>n.a.</v>
          </cell>
          <cell r="CZ120" t="str">
            <v>n.a.</v>
          </cell>
          <cell r="DA120">
            <v>2</v>
          </cell>
          <cell r="DB120">
            <v>60</v>
          </cell>
          <cell r="DC120">
            <v>29</v>
          </cell>
          <cell r="DD120">
            <v>16</v>
          </cell>
          <cell r="DE120">
            <v>5</v>
          </cell>
          <cell r="DF120">
            <v>7</v>
          </cell>
          <cell r="DG120">
            <v>2</v>
          </cell>
          <cell r="DH120">
            <v>1</v>
          </cell>
          <cell r="DI120">
            <v>3</v>
          </cell>
        </row>
        <row r="121">
          <cell r="A121" t="str">
            <v>RS 141</v>
          </cell>
          <cell r="B121">
            <v>141</v>
          </cell>
          <cell r="C121" t="str">
            <v>S</v>
          </cell>
          <cell r="D121" t="str">
            <v>T</v>
          </cell>
          <cell r="E121" t="str">
            <v>Regional Bdy - Mpanga</v>
          </cell>
          <cell r="F121" t="str">
            <v>M10</v>
          </cell>
          <cell r="G121">
            <v>6</v>
          </cell>
          <cell r="H121">
            <v>1.4</v>
          </cell>
          <cell r="I121" t="str">
            <v>F</v>
          </cell>
          <cell r="J121" t="str">
            <v>MANGOCHI</v>
          </cell>
          <cell r="K121">
            <v>7</v>
          </cell>
          <cell r="L121">
            <v>0</v>
          </cell>
          <cell r="W121">
            <v>74</v>
          </cell>
          <cell r="X121" t="str">
            <v>DS</v>
          </cell>
          <cell r="Y121">
            <v>150</v>
          </cell>
          <cell r="Z121" t="str">
            <v>SB</v>
          </cell>
          <cell r="AA121">
            <v>100</v>
          </cell>
          <cell r="AB121" t="str">
            <v>GR</v>
          </cell>
          <cell r="AC121">
            <v>8</v>
          </cell>
          <cell r="AD121" t="str">
            <v>VR</v>
          </cell>
          <cell r="AE121">
            <v>89</v>
          </cell>
          <cell r="AF121" t="str">
            <v>SR</v>
          </cell>
          <cell r="AG121" t="str">
            <v>ST</v>
          </cell>
          <cell r="AH121">
            <v>10</v>
          </cell>
          <cell r="AI121">
            <v>0</v>
          </cell>
          <cell r="AJ121">
            <v>0</v>
          </cell>
          <cell r="AK121">
            <v>0</v>
          </cell>
          <cell r="AL121">
            <v>0</v>
          </cell>
          <cell r="AM121">
            <v>4</v>
          </cell>
          <cell r="AN121">
            <v>0</v>
          </cell>
          <cell r="BO121" t="str">
            <v>RS 141</v>
          </cell>
          <cell r="BP121">
            <v>1.4</v>
          </cell>
          <cell r="BQ121" t="str">
            <v>n.a.</v>
          </cell>
          <cell r="BR121" t="str">
            <v>F</v>
          </cell>
          <cell r="BS121" t="str">
            <v>X</v>
          </cell>
          <cell r="BT121">
            <v>90</v>
          </cell>
          <cell r="BU121" t="str">
            <v>ST</v>
          </cell>
          <cell r="BV121" t="str">
            <v>DS</v>
          </cell>
          <cell r="BW121">
            <v>4</v>
          </cell>
          <cell r="BX121">
            <v>10</v>
          </cell>
          <cell r="BY121">
            <v>15</v>
          </cell>
          <cell r="BZ121">
            <v>1</v>
          </cell>
          <cell r="CA121">
            <v>8</v>
          </cell>
          <cell r="CB121">
            <v>1.3540000000000001</v>
          </cell>
          <cell r="CC121" t="str">
            <v>bitumen surface removed</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9</v>
          </cell>
          <cell r="CW121">
            <v>24</v>
          </cell>
          <cell r="CX121">
            <v>48</v>
          </cell>
          <cell r="CY121" t="str">
            <v>n.a.</v>
          </cell>
          <cell r="CZ121" t="str">
            <v>n.a.</v>
          </cell>
          <cell r="DA121">
            <v>2</v>
          </cell>
          <cell r="DB121">
            <v>100</v>
          </cell>
          <cell r="DC121">
            <v>47</v>
          </cell>
          <cell r="DD121">
            <v>26</v>
          </cell>
          <cell r="DE121">
            <v>8</v>
          </cell>
          <cell r="DF121">
            <v>12</v>
          </cell>
          <cell r="DG121">
            <v>2</v>
          </cell>
          <cell r="DH121">
            <v>1</v>
          </cell>
          <cell r="DI121">
            <v>5</v>
          </cell>
        </row>
        <row r="122">
          <cell r="A122" t="str">
            <v>RS 143</v>
          </cell>
          <cell r="B122">
            <v>143</v>
          </cell>
          <cell r="C122" t="str">
            <v>S</v>
          </cell>
          <cell r="D122" t="str">
            <v>T</v>
          </cell>
          <cell r="E122" t="str">
            <v>Mpanga - Chantulo</v>
          </cell>
          <cell r="F122" t="str">
            <v>M10</v>
          </cell>
          <cell r="G122">
            <v>7</v>
          </cell>
          <cell r="H122">
            <v>5.3</v>
          </cell>
          <cell r="I122" t="str">
            <v>F</v>
          </cell>
          <cell r="J122" t="str">
            <v>MANGOCHI</v>
          </cell>
          <cell r="K122">
            <v>7</v>
          </cell>
          <cell r="L122">
            <v>0</v>
          </cell>
          <cell r="W122">
            <v>74</v>
          </cell>
          <cell r="X122" t="str">
            <v>DS</v>
          </cell>
          <cell r="Y122">
            <v>150</v>
          </cell>
          <cell r="Z122" t="str">
            <v>SB</v>
          </cell>
          <cell r="AA122">
            <v>100</v>
          </cell>
          <cell r="AB122" t="str">
            <v>GR</v>
          </cell>
          <cell r="AC122">
            <v>8</v>
          </cell>
          <cell r="AD122" t="str">
            <v>VR</v>
          </cell>
          <cell r="AE122">
            <v>89</v>
          </cell>
          <cell r="AF122" t="str">
            <v>SR</v>
          </cell>
          <cell r="AG122" t="str">
            <v>ST</v>
          </cell>
          <cell r="AH122">
            <v>10</v>
          </cell>
          <cell r="AI122">
            <v>0</v>
          </cell>
          <cell r="AJ122">
            <v>0</v>
          </cell>
          <cell r="AK122">
            <v>0</v>
          </cell>
          <cell r="AL122">
            <v>0</v>
          </cell>
          <cell r="AM122">
            <v>4</v>
          </cell>
          <cell r="AN122">
            <v>0</v>
          </cell>
          <cell r="BO122" t="str">
            <v>RS 143</v>
          </cell>
          <cell r="BP122">
            <v>5.3</v>
          </cell>
          <cell r="BQ122" t="str">
            <v>n.a.</v>
          </cell>
          <cell r="BR122" t="str">
            <v>F</v>
          </cell>
          <cell r="BS122" t="str">
            <v>X</v>
          </cell>
          <cell r="BT122">
            <v>90</v>
          </cell>
          <cell r="BU122" t="str">
            <v>ST</v>
          </cell>
          <cell r="BV122" t="str">
            <v>DS</v>
          </cell>
          <cell r="BW122">
            <v>4</v>
          </cell>
          <cell r="BX122">
            <v>10</v>
          </cell>
          <cell r="BY122">
            <v>15</v>
          </cell>
          <cell r="BZ122">
            <v>1</v>
          </cell>
          <cell r="CA122">
            <v>8</v>
          </cell>
          <cell r="CB122">
            <v>1.3540000000000001</v>
          </cell>
          <cell r="CC122" t="str">
            <v>bitumen surface removed</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9</v>
          </cell>
          <cell r="CW122">
            <v>24</v>
          </cell>
          <cell r="CX122">
            <v>48</v>
          </cell>
          <cell r="CY122" t="str">
            <v>n.a.</v>
          </cell>
          <cell r="CZ122" t="str">
            <v>n.a.</v>
          </cell>
          <cell r="DA122">
            <v>2</v>
          </cell>
          <cell r="DB122">
            <v>100</v>
          </cell>
          <cell r="DC122">
            <v>47</v>
          </cell>
          <cell r="DD122">
            <v>26</v>
          </cell>
          <cell r="DE122">
            <v>8</v>
          </cell>
          <cell r="DF122">
            <v>12</v>
          </cell>
          <cell r="DG122">
            <v>2</v>
          </cell>
          <cell r="DH122">
            <v>1</v>
          </cell>
          <cell r="DI122">
            <v>5</v>
          </cell>
        </row>
        <row r="123">
          <cell r="A123" t="str">
            <v>RS 142</v>
          </cell>
          <cell r="B123">
            <v>142</v>
          </cell>
          <cell r="C123" t="str">
            <v>S</v>
          </cell>
          <cell r="D123" t="str">
            <v>T</v>
          </cell>
          <cell r="E123" t="str">
            <v>Kuchilipa - Mang'oma</v>
          </cell>
          <cell r="F123" t="str">
            <v>M10</v>
          </cell>
          <cell r="G123">
            <v>8</v>
          </cell>
          <cell r="H123">
            <v>24.1</v>
          </cell>
          <cell r="I123" t="str">
            <v>F</v>
          </cell>
          <cell r="J123" t="str">
            <v>MANGOCHI</v>
          </cell>
          <cell r="K123">
            <v>7</v>
          </cell>
          <cell r="L123">
            <v>0</v>
          </cell>
          <cell r="W123">
            <v>74</v>
          </cell>
          <cell r="X123" t="str">
            <v>DS</v>
          </cell>
          <cell r="Y123">
            <v>150</v>
          </cell>
          <cell r="Z123" t="str">
            <v>SB</v>
          </cell>
          <cell r="AA123">
            <v>100</v>
          </cell>
          <cell r="AB123" t="str">
            <v>GR</v>
          </cell>
          <cell r="AC123">
            <v>8</v>
          </cell>
          <cell r="AD123" t="str">
            <v>VR</v>
          </cell>
          <cell r="AE123">
            <v>89</v>
          </cell>
          <cell r="AF123" t="str">
            <v>SR</v>
          </cell>
          <cell r="AG123" t="str">
            <v>ST</v>
          </cell>
          <cell r="AH123">
            <v>10</v>
          </cell>
          <cell r="AI123">
            <v>0</v>
          </cell>
          <cell r="AJ123">
            <v>0</v>
          </cell>
          <cell r="AK123">
            <v>0</v>
          </cell>
          <cell r="AL123">
            <v>0</v>
          </cell>
          <cell r="AM123">
            <v>4</v>
          </cell>
          <cell r="AN123">
            <v>0</v>
          </cell>
          <cell r="BO123" t="str">
            <v>RS 142</v>
          </cell>
          <cell r="BP123">
            <v>24.1</v>
          </cell>
          <cell r="BQ123" t="str">
            <v>n.a.</v>
          </cell>
          <cell r="BR123" t="str">
            <v>F</v>
          </cell>
          <cell r="BS123" t="str">
            <v>X</v>
          </cell>
          <cell r="BT123">
            <v>90</v>
          </cell>
          <cell r="BU123" t="str">
            <v>ST</v>
          </cell>
          <cell r="BV123" t="str">
            <v>DS</v>
          </cell>
          <cell r="BW123">
            <v>4</v>
          </cell>
          <cell r="BX123">
            <v>10</v>
          </cell>
          <cell r="BY123">
            <v>15</v>
          </cell>
          <cell r="BZ123">
            <v>1</v>
          </cell>
          <cell r="CA123">
            <v>8</v>
          </cell>
          <cell r="CB123">
            <v>1.3540000000000001</v>
          </cell>
          <cell r="CC123" t="str">
            <v>bitumen surface removed</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9</v>
          </cell>
          <cell r="CW123">
            <v>24</v>
          </cell>
          <cell r="CX123">
            <v>48</v>
          </cell>
          <cell r="CY123" t="str">
            <v>n.a.</v>
          </cell>
          <cell r="CZ123" t="str">
            <v>n.a.</v>
          </cell>
          <cell r="DA123">
            <v>2</v>
          </cell>
          <cell r="DB123">
            <v>100</v>
          </cell>
          <cell r="DC123">
            <v>47</v>
          </cell>
          <cell r="DD123">
            <v>26</v>
          </cell>
          <cell r="DE123">
            <v>8</v>
          </cell>
          <cell r="DF123">
            <v>12</v>
          </cell>
          <cell r="DG123">
            <v>2</v>
          </cell>
          <cell r="DH123">
            <v>1</v>
          </cell>
          <cell r="DI123">
            <v>5</v>
          </cell>
        </row>
        <row r="124">
          <cell r="A124" t="str">
            <v>RS 145</v>
          </cell>
          <cell r="B124">
            <v>145</v>
          </cell>
          <cell r="C124" t="str">
            <v>S</v>
          </cell>
          <cell r="D124" t="str">
            <v>T</v>
          </cell>
          <cell r="E124" t="str">
            <v>Mang'oma - Koche River</v>
          </cell>
          <cell r="F124" t="str">
            <v>M10</v>
          </cell>
          <cell r="G124">
            <v>9</v>
          </cell>
          <cell r="H124">
            <v>30.8</v>
          </cell>
          <cell r="I124" t="str">
            <v>F</v>
          </cell>
          <cell r="J124" t="str">
            <v>MANGOCHI</v>
          </cell>
          <cell r="K124">
            <v>7</v>
          </cell>
          <cell r="L124">
            <v>0</v>
          </cell>
          <cell r="W124">
            <v>74</v>
          </cell>
          <cell r="X124" t="str">
            <v>DS</v>
          </cell>
          <cell r="Y124">
            <v>150</v>
          </cell>
          <cell r="Z124" t="str">
            <v>SB</v>
          </cell>
          <cell r="AA124">
            <v>100</v>
          </cell>
          <cell r="AB124" t="str">
            <v>GR</v>
          </cell>
          <cell r="AC124">
            <v>8</v>
          </cell>
          <cell r="AD124" t="str">
            <v>VR</v>
          </cell>
          <cell r="AE124">
            <v>89</v>
          </cell>
          <cell r="AF124" t="str">
            <v>SR</v>
          </cell>
          <cell r="AG124" t="str">
            <v>ST</v>
          </cell>
          <cell r="AH124">
            <v>10</v>
          </cell>
          <cell r="AI124">
            <v>0</v>
          </cell>
          <cell r="AJ124">
            <v>0</v>
          </cell>
          <cell r="AK124">
            <v>0</v>
          </cell>
          <cell r="AL124">
            <v>0</v>
          </cell>
          <cell r="AM124">
            <v>4</v>
          </cell>
          <cell r="AN124">
            <v>0</v>
          </cell>
          <cell r="BO124" t="str">
            <v>RS 145</v>
          </cell>
          <cell r="BP124">
            <v>30.8</v>
          </cell>
          <cell r="BQ124">
            <v>6.7</v>
          </cell>
          <cell r="BR124" t="str">
            <v>F</v>
          </cell>
          <cell r="BS124" t="str">
            <v>C</v>
          </cell>
          <cell r="BT124">
            <v>0</v>
          </cell>
          <cell r="BU124" t="str">
            <v>ST</v>
          </cell>
          <cell r="BV124" t="str">
            <v>DS</v>
          </cell>
          <cell r="BW124">
            <v>4</v>
          </cell>
          <cell r="BX124">
            <v>10</v>
          </cell>
          <cell r="BY124">
            <v>15</v>
          </cell>
          <cell r="BZ124">
            <v>1</v>
          </cell>
          <cell r="CA124">
            <v>8</v>
          </cell>
          <cell r="CB124">
            <v>1.3540000000000001</v>
          </cell>
          <cell r="CC124">
            <v>6.38</v>
          </cell>
          <cell r="CD124">
            <v>95</v>
          </cell>
          <cell r="CE124">
            <v>75</v>
          </cell>
          <cell r="CF124">
            <v>60</v>
          </cell>
          <cell r="CG124">
            <v>35</v>
          </cell>
          <cell r="CH124">
            <v>15</v>
          </cell>
          <cell r="CI124">
            <v>25</v>
          </cell>
          <cell r="CJ124">
            <v>7.4626865671641798E-2</v>
          </cell>
          <cell r="CK124">
            <v>10</v>
          </cell>
          <cell r="CL124">
            <v>60</v>
          </cell>
          <cell r="CM124">
            <v>0.52510907003444307</v>
          </cell>
          <cell r="CN124">
            <v>0.52510907003444307</v>
          </cell>
          <cell r="CO124">
            <v>0</v>
          </cell>
          <cell r="CP124">
            <v>0</v>
          </cell>
          <cell r="CQ124">
            <v>6.9051090700344426</v>
          </cell>
          <cell r="CR124">
            <v>90</v>
          </cell>
          <cell r="CS124">
            <v>1.5</v>
          </cell>
          <cell r="CT124">
            <v>2.5</v>
          </cell>
          <cell r="CU124">
            <v>1</v>
          </cell>
          <cell r="CV124">
            <v>9</v>
          </cell>
          <cell r="CW124">
            <v>24</v>
          </cell>
          <cell r="CX124">
            <v>48</v>
          </cell>
          <cell r="CY124">
            <v>3</v>
          </cell>
          <cell r="CZ124">
            <v>3</v>
          </cell>
          <cell r="DA124">
            <v>1</v>
          </cell>
          <cell r="DB124">
            <v>125</v>
          </cell>
          <cell r="DC124">
            <v>59</v>
          </cell>
          <cell r="DD124">
            <v>33</v>
          </cell>
          <cell r="DE124">
            <v>10</v>
          </cell>
          <cell r="DF124">
            <v>15</v>
          </cell>
          <cell r="DG124">
            <v>3</v>
          </cell>
          <cell r="DH124">
            <v>2</v>
          </cell>
          <cell r="DI124">
            <v>7</v>
          </cell>
        </row>
        <row r="125">
          <cell r="A125" t="str">
            <v>RS 144</v>
          </cell>
          <cell r="B125">
            <v>144</v>
          </cell>
          <cell r="C125" t="str">
            <v>S</v>
          </cell>
          <cell r="D125" t="str">
            <v>T</v>
          </cell>
          <cell r="E125" t="str">
            <v>Koche River - Mangochi</v>
          </cell>
          <cell r="F125" t="str">
            <v>M10</v>
          </cell>
          <cell r="G125">
            <v>10</v>
          </cell>
          <cell r="H125">
            <v>19.600000000000001</v>
          </cell>
          <cell r="I125" t="str">
            <v>F</v>
          </cell>
          <cell r="J125" t="str">
            <v>MANGOCHI</v>
          </cell>
          <cell r="K125">
            <v>8</v>
          </cell>
          <cell r="L125">
            <v>0</v>
          </cell>
          <cell r="W125">
            <v>74</v>
          </cell>
          <cell r="X125" t="str">
            <v>DS</v>
          </cell>
          <cell r="Y125">
            <v>150</v>
          </cell>
          <cell r="Z125" t="str">
            <v>SB</v>
          </cell>
          <cell r="AA125">
            <v>100</v>
          </cell>
          <cell r="AB125" t="str">
            <v>GR</v>
          </cell>
          <cell r="AC125">
            <v>8</v>
          </cell>
          <cell r="AD125" t="str">
            <v>VR</v>
          </cell>
          <cell r="AE125">
            <v>89</v>
          </cell>
          <cell r="AF125" t="str">
            <v>SR</v>
          </cell>
          <cell r="AG125" t="str">
            <v>ST</v>
          </cell>
          <cell r="AH125">
            <v>10</v>
          </cell>
          <cell r="AI125">
            <v>0</v>
          </cell>
          <cell r="AJ125">
            <v>0</v>
          </cell>
          <cell r="AK125">
            <v>0</v>
          </cell>
          <cell r="AL125">
            <v>0</v>
          </cell>
          <cell r="AM125">
            <v>4</v>
          </cell>
          <cell r="AN125">
            <v>0</v>
          </cell>
          <cell r="BO125" t="str">
            <v>RS 144</v>
          </cell>
          <cell r="BP125">
            <v>19.600000000000001</v>
          </cell>
          <cell r="BQ125">
            <v>6.7</v>
          </cell>
          <cell r="BR125" t="str">
            <v>F</v>
          </cell>
          <cell r="BS125" t="str">
            <v>C</v>
          </cell>
          <cell r="BT125">
            <v>0</v>
          </cell>
          <cell r="BU125" t="str">
            <v>ST</v>
          </cell>
          <cell r="BV125" t="str">
            <v>DS</v>
          </cell>
          <cell r="BW125">
            <v>4</v>
          </cell>
          <cell r="BX125">
            <v>10</v>
          </cell>
          <cell r="BY125">
            <v>15</v>
          </cell>
          <cell r="BZ125">
            <v>1</v>
          </cell>
          <cell r="CA125">
            <v>8</v>
          </cell>
          <cell r="CB125">
            <v>1.3540000000000001</v>
          </cell>
          <cell r="CC125">
            <v>5.18</v>
          </cell>
          <cell r="CD125">
            <v>75</v>
          </cell>
          <cell r="CE125">
            <v>38</v>
          </cell>
          <cell r="CF125">
            <v>23</v>
          </cell>
          <cell r="CG125">
            <v>52</v>
          </cell>
          <cell r="CH125">
            <v>15</v>
          </cell>
          <cell r="CI125">
            <v>14</v>
          </cell>
          <cell r="CJ125">
            <v>4.1791044776119404E-2</v>
          </cell>
          <cell r="CK125">
            <v>10</v>
          </cell>
          <cell r="CL125">
            <v>23</v>
          </cell>
          <cell r="CM125">
            <v>0.26793800229621123</v>
          </cell>
          <cell r="CN125">
            <v>0.26793800229621123</v>
          </cell>
          <cell r="CO125">
            <v>0</v>
          </cell>
          <cell r="CP125">
            <v>0</v>
          </cell>
          <cell r="CQ125">
            <v>5.4479380022962109</v>
          </cell>
          <cell r="CR125">
            <v>50</v>
          </cell>
          <cell r="CS125">
            <v>1.5</v>
          </cell>
          <cell r="CT125">
            <v>2.5</v>
          </cell>
          <cell r="CU125">
            <v>1</v>
          </cell>
          <cell r="CV125">
            <v>9</v>
          </cell>
          <cell r="CW125">
            <v>24</v>
          </cell>
          <cell r="CX125">
            <v>48</v>
          </cell>
          <cell r="CY125">
            <v>2.2999999999999998</v>
          </cell>
          <cell r="CZ125">
            <v>2</v>
          </cell>
          <cell r="DA125">
            <v>1</v>
          </cell>
          <cell r="DB125">
            <v>1000</v>
          </cell>
          <cell r="DC125">
            <v>470</v>
          </cell>
          <cell r="DD125">
            <v>260</v>
          </cell>
          <cell r="DE125">
            <v>75</v>
          </cell>
          <cell r="DF125">
            <v>115</v>
          </cell>
          <cell r="DG125">
            <v>20</v>
          </cell>
          <cell r="DH125">
            <v>10</v>
          </cell>
          <cell r="DI125">
            <v>50</v>
          </cell>
        </row>
        <row r="126">
          <cell r="A126" t="str">
            <v>RS 080</v>
          </cell>
          <cell r="B126">
            <v>80</v>
          </cell>
          <cell r="C126" t="str">
            <v>C</v>
          </cell>
          <cell r="D126" t="str">
            <v>T</v>
          </cell>
          <cell r="E126" t="str">
            <v>International Border - Mchinji</v>
          </cell>
          <cell r="F126" t="str">
            <v>M12</v>
          </cell>
          <cell r="G126">
            <v>1</v>
          </cell>
          <cell r="H126">
            <v>11.5</v>
          </cell>
          <cell r="I126" t="str">
            <v>F</v>
          </cell>
          <cell r="J126" t="str">
            <v>MCHINJI</v>
          </cell>
          <cell r="K126">
            <v>6</v>
          </cell>
          <cell r="L126">
            <v>0</v>
          </cell>
          <cell r="W126">
            <v>79</v>
          </cell>
          <cell r="X126" t="str">
            <v>DS</v>
          </cell>
          <cell r="Y126">
            <v>250</v>
          </cell>
          <cell r="Z126" t="str">
            <v>GR</v>
          </cell>
          <cell r="AA126">
            <v>100</v>
          </cell>
          <cell r="AB126" t="str">
            <v>GR</v>
          </cell>
          <cell r="AC126">
            <v>25</v>
          </cell>
          <cell r="AD126" t="str">
            <v>VR</v>
          </cell>
          <cell r="AE126">
            <v>91</v>
          </cell>
          <cell r="AF126" t="str">
            <v>SR</v>
          </cell>
          <cell r="AG126" t="str">
            <v>ST</v>
          </cell>
          <cell r="AH126">
            <v>10</v>
          </cell>
          <cell r="AI126">
            <v>0</v>
          </cell>
          <cell r="AJ126">
            <v>0</v>
          </cell>
          <cell r="AK126">
            <v>0</v>
          </cell>
          <cell r="AL126">
            <v>0</v>
          </cell>
          <cell r="AM126">
            <v>4</v>
          </cell>
          <cell r="AN126">
            <v>0</v>
          </cell>
          <cell r="BO126" t="str">
            <v>RS 080</v>
          </cell>
          <cell r="BP126">
            <v>11.5</v>
          </cell>
          <cell r="BQ126">
            <v>6</v>
          </cell>
          <cell r="BR126" t="str">
            <v>F</v>
          </cell>
          <cell r="BS126" t="str">
            <v>C</v>
          </cell>
          <cell r="BT126">
            <v>0</v>
          </cell>
          <cell r="BU126" t="str">
            <v>ST</v>
          </cell>
          <cell r="BV126" t="str">
            <v>DS</v>
          </cell>
          <cell r="BW126">
            <v>4</v>
          </cell>
          <cell r="BX126">
            <v>10</v>
          </cell>
          <cell r="BY126">
            <v>15</v>
          </cell>
          <cell r="BZ126">
            <v>1</v>
          </cell>
          <cell r="CA126">
            <v>25</v>
          </cell>
          <cell r="CB126">
            <v>1.254</v>
          </cell>
          <cell r="CC126">
            <v>3.2394887221034847</v>
          </cell>
          <cell r="CD126">
            <v>38</v>
          </cell>
          <cell r="CE126">
            <v>6</v>
          </cell>
          <cell r="CF126">
            <v>0</v>
          </cell>
          <cell r="CG126">
            <v>38</v>
          </cell>
          <cell r="CH126">
            <v>6</v>
          </cell>
          <cell r="CI126">
            <v>0.7</v>
          </cell>
          <cell r="CJ126">
            <v>2.3333333333333331E-3</v>
          </cell>
          <cell r="CK126">
            <v>2.3333333333333331E-3</v>
          </cell>
          <cell r="CL126">
            <v>0</v>
          </cell>
          <cell r="CM126">
            <v>9.0461538461538446E-4</v>
          </cell>
          <cell r="CN126">
            <v>9.0461538461538446E-4</v>
          </cell>
          <cell r="CO126">
            <v>0</v>
          </cell>
          <cell r="CP126">
            <v>0</v>
          </cell>
          <cell r="CQ126">
            <v>3.2403933374881002</v>
          </cell>
          <cell r="CR126">
            <v>0</v>
          </cell>
          <cell r="CS126">
            <v>1</v>
          </cell>
          <cell r="CT126">
            <v>0</v>
          </cell>
          <cell r="CU126">
            <v>0</v>
          </cell>
          <cell r="CV126">
            <v>7</v>
          </cell>
          <cell r="CW126">
            <v>19</v>
          </cell>
          <cell r="CX126">
            <v>38</v>
          </cell>
          <cell r="CY126">
            <v>2</v>
          </cell>
          <cell r="CZ126">
            <v>2</v>
          </cell>
          <cell r="DA126">
            <v>1.2</v>
          </cell>
          <cell r="DB126">
            <v>200</v>
          </cell>
          <cell r="DC126">
            <v>94</v>
          </cell>
          <cell r="DD126">
            <v>52</v>
          </cell>
          <cell r="DE126">
            <v>15</v>
          </cell>
          <cell r="DF126">
            <v>23</v>
          </cell>
          <cell r="DG126">
            <v>4</v>
          </cell>
          <cell r="DH126">
            <v>2</v>
          </cell>
          <cell r="DI126">
            <v>10</v>
          </cell>
        </row>
        <row r="127">
          <cell r="A127" t="str">
            <v>RS 079</v>
          </cell>
          <cell r="B127">
            <v>79</v>
          </cell>
          <cell r="C127" t="str">
            <v>C</v>
          </cell>
          <cell r="D127" t="str">
            <v>T</v>
          </cell>
          <cell r="E127" t="str">
            <v>Mchinji - Kamwendo</v>
          </cell>
          <cell r="F127" t="str">
            <v>M12</v>
          </cell>
          <cell r="G127">
            <v>2</v>
          </cell>
          <cell r="H127">
            <v>19.100000000000001</v>
          </cell>
          <cell r="I127" t="str">
            <v>F</v>
          </cell>
          <cell r="J127" t="str">
            <v>MCHINJI</v>
          </cell>
          <cell r="K127">
            <v>6</v>
          </cell>
          <cell r="L127">
            <v>0</v>
          </cell>
          <cell r="W127">
            <v>79</v>
          </cell>
          <cell r="X127" t="str">
            <v>DS</v>
          </cell>
          <cell r="Y127">
            <v>250</v>
          </cell>
          <cell r="Z127" t="str">
            <v>GR</v>
          </cell>
          <cell r="AA127">
            <v>100</v>
          </cell>
          <cell r="AB127" t="str">
            <v>GR</v>
          </cell>
          <cell r="AC127">
            <v>25</v>
          </cell>
          <cell r="AD127" t="str">
            <v>VR</v>
          </cell>
          <cell r="AE127">
            <v>91</v>
          </cell>
          <cell r="AF127" t="str">
            <v>SR</v>
          </cell>
          <cell r="AG127" t="str">
            <v>ST</v>
          </cell>
          <cell r="AH127">
            <v>10</v>
          </cell>
          <cell r="AI127">
            <v>0</v>
          </cell>
          <cell r="AJ127">
            <v>0</v>
          </cell>
          <cell r="AK127">
            <v>0</v>
          </cell>
          <cell r="AL127">
            <v>0</v>
          </cell>
          <cell r="AM127">
            <v>4</v>
          </cell>
          <cell r="AN127">
            <v>0</v>
          </cell>
          <cell r="BO127" t="str">
            <v>RS 079</v>
          </cell>
          <cell r="BP127">
            <v>19.100000000000001</v>
          </cell>
          <cell r="BQ127">
            <v>6</v>
          </cell>
          <cell r="BR127" t="str">
            <v>F</v>
          </cell>
          <cell r="BS127" t="str">
            <v>C</v>
          </cell>
          <cell r="BT127">
            <v>0</v>
          </cell>
          <cell r="BU127" t="str">
            <v>ST</v>
          </cell>
          <cell r="BV127" t="str">
            <v>DS</v>
          </cell>
          <cell r="BW127">
            <v>4</v>
          </cell>
          <cell r="BX127">
            <v>10</v>
          </cell>
          <cell r="BY127">
            <v>15</v>
          </cell>
          <cell r="BZ127">
            <v>1</v>
          </cell>
          <cell r="CA127">
            <v>25</v>
          </cell>
          <cell r="CB127">
            <v>1.254</v>
          </cell>
          <cell r="CC127">
            <v>3.272964250312977</v>
          </cell>
          <cell r="CD127">
            <v>12</v>
          </cell>
          <cell r="CE127">
            <v>1</v>
          </cell>
          <cell r="CF127">
            <v>0</v>
          </cell>
          <cell r="CG127">
            <v>12</v>
          </cell>
          <cell r="CH127">
            <v>1</v>
          </cell>
          <cell r="CI127">
            <v>0.4</v>
          </cell>
          <cell r="CJ127">
            <v>1.3333333333333337E-3</v>
          </cell>
          <cell r="CK127">
            <v>1.3333333333333337E-3</v>
          </cell>
          <cell r="CL127">
            <v>0</v>
          </cell>
          <cell r="CM127">
            <v>5.1692307692307704E-4</v>
          </cell>
          <cell r="CN127">
            <v>5.1692307692307704E-4</v>
          </cell>
          <cell r="CO127">
            <v>0</v>
          </cell>
          <cell r="CP127">
            <v>0</v>
          </cell>
          <cell r="CQ127">
            <v>3.2734811733899001</v>
          </cell>
          <cell r="CR127">
            <v>0</v>
          </cell>
          <cell r="CS127">
            <v>1</v>
          </cell>
          <cell r="CT127">
            <v>0</v>
          </cell>
          <cell r="CU127">
            <v>0</v>
          </cell>
          <cell r="CV127">
            <v>7</v>
          </cell>
          <cell r="CW127">
            <v>19</v>
          </cell>
          <cell r="CX127">
            <v>38</v>
          </cell>
          <cell r="CY127">
            <v>2</v>
          </cell>
          <cell r="CZ127">
            <v>1.7</v>
          </cell>
          <cell r="DA127">
            <v>1</v>
          </cell>
          <cell r="DB127">
            <v>390</v>
          </cell>
          <cell r="DC127">
            <v>184</v>
          </cell>
          <cell r="DD127">
            <v>102</v>
          </cell>
          <cell r="DE127">
            <v>30</v>
          </cell>
          <cell r="DF127">
            <v>45</v>
          </cell>
          <cell r="DG127">
            <v>8</v>
          </cell>
          <cell r="DH127">
            <v>4</v>
          </cell>
          <cell r="DI127">
            <v>20</v>
          </cell>
        </row>
        <row r="128">
          <cell r="A128" t="str">
            <v>RS 077</v>
          </cell>
          <cell r="B128">
            <v>77</v>
          </cell>
          <cell r="C128" t="str">
            <v>C</v>
          </cell>
          <cell r="D128" t="str">
            <v>T</v>
          </cell>
          <cell r="E128" t="str">
            <v>Kamwendo - Bua River</v>
          </cell>
          <cell r="F128" t="str">
            <v>M12</v>
          </cell>
          <cell r="G128">
            <v>3</v>
          </cell>
          <cell r="H128">
            <v>14.7</v>
          </cell>
          <cell r="I128" t="str">
            <v>F</v>
          </cell>
          <cell r="J128" t="str">
            <v>MCHINJI</v>
          </cell>
          <cell r="K128">
            <v>6</v>
          </cell>
          <cell r="L128">
            <v>0</v>
          </cell>
          <cell r="W128">
            <v>79</v>
          </cell>
          <cell r="X128" t="str">
            <v>DS</v>
          </cell>
          <cell r="Y128">
            <v>250</v>
          </cell>
          <cell r="Z128" t="str">
            <v>GR</v>
          </cell>
          <cell r="AA128">
            <v>100</v>
          </cell>
          <cell r="AB128" t="str">
            <v>GR</v>
          </cell>
          <cell r="AC128">
            <v>25</v>
          </cell>
          <cell r="AD128" t="str">
            <v>VR</v>
          </cell>
          <cell r="AE128">
            <v>91</v>
          </cell>
          <cell r="AF128" t="str">
            <v>SR</v>
          </cell>
          <cell r="AG128" t="str">
            <v>ST</v>
          </cell>
          <cell r="AH128">
            <v>10</v>
          </cell>
          <cell r="AI128">
            <v>0</v>
          </cell>
          <cell r="AJ128">
            <v>0</v>
          </cell>
          <cell r="AK128">
            <v>0</v>
          </cell>
          <cell r="AL128">
            <v>0</v>
          </cell>
          <cell r="AM128">
            <v>4</v>
          </cell>
          <cell r="AN128">
            <v>0</v>
          </cell>
          <cell r="BO128" t="str">
            <v>RS 077</v>
          </cell>
          <cell r="BP128">
            <v>14.7</v>
          </cell>
          <cell r="BQ128">
            <v>6</v>
          </cell>
          <cell r="BR128" t="str">
            <v>F</v>
          </cell>
          <cell r="BS128" t="str">
            <v>C</v>
          </cell>
          <cell r="BT128">
            <v>0</v>
          </cell>
          <cell r="BU128" t="str">
            <v>ST</v>
          </cell>
          <cell r="BV128" t="str">
            <v>DS</v>
          </cell>
          <cell r="BW128">
            <v>4</v>
          </cell>
          <cell r="BX128">
            <v>10</v>
          </cell>
          <cell r="BY128">
            <v>15</v>
          </cell>
          <cell r="BZ128">
            <v>1</v>
          </cell>
          <cell r="CA128">
            <v>25</v>
          </cell>
          <cell r="CB128">
            <v>1.254</v>
          </cell>
          <cell r="CC128">
            <v>3.3033989240279333</v>
          </cell>
          <cell r="CD128">
            <v>15</v>
          </cell>
          <cell r="CE128">
            <v>0</v>
          </cell>
          <cell r="CF128">
            <v>0</v>
          </cell>
          <cell r="CG128">
            <v>15</v>
          </cell>
          <cell r="CH128">
            <v>0</v>
          </cell>
          <cell r="CI128">
            <v>0.3</v>
          </cell>
          <cell r="CJ128">
            <v>1E-3</v>
          </cell>
          <cell r="CK128">
            <v>1E-3</v>
          </cell>
          <cell r="CL128">
            <v>0</v>
          </cell>
          <cell r="CM128">
            <v>3.876923076923077E-4</v>
          </cell>
          <cell r="CN128">
            <v>3.876923076923077E-4</v>
          </cell>
          <cell r="CO128">
            <v>0</v>
          </cell>
          <cell r="CP128">
            <v>0</v>
          </cell>
          <cell r="CQ128">
            <v>3.3037866163356258</v>
          </cell>
          <cell r="CR128">
            <v>0</v>
          </cell>
          <cell r="CS128">
            <v>1</v>
          </cell>
          <cell r="CT128">
            <v>0</v>
          </cell>
          <cell r="CU128">
            <v>0</v>
          </cell>
          <cell r="CV128">
            <v>7</v>
          </cell>
          <cell r="CW128">
            <v>19</v>
          </cell>
          <cell r="CX128">
            <v>38</v>
          </cell>
          <cell r="CY128">
            <v>2</v>
          </cell>
          <cell r="CZ128">
            <v>1.5</v>
          </cell>
          <cell r="DA128">
            <v>1</v>
          </cell>
          <cell r="DB128">
            <v>390</v>
          </cell>
          <cell r="DC128">
            <v>184</v>
          </cell>
          <cell r="DD128">
            <v>102</v>
          </cell>
          <cell r="DE128">
            <v>30</v>
          </cell>
          <cell r="DF128">
            <v>45</v>
          </cell>
          <cell r="DG128">
            <v>8</v>
          </cell>
          <cell r="DH128">
            <v>4</v>
          </cell>
          <cell r="DI128">
            <v>20</v>
          </cell>
        </row>
        <row r="129">
          <cell r="A129" t="str">
            <v>RS 076</v>
          </cell>
          <cell r="B129">
            <v>76</v>
          </cell>
          <cell r="C129" t="str">
            <v>C</v>
          </cell>
          <cell r="D129" t="str">
            <v>T</v>
          </cell>
          <cell r="E129" t="str">
            <v>Bua River - Namitete River Bridge</v>
          </cell>
          <cell r="F129" t="str">
            <v>M12</v>
          </cell>
          <cell r="G129">
            <v>4</v>
          </cell>
          <cell r="H129">
            <v>27.9</v>
          </cell>
          <cell r="I129" t="str">
            <v>F</v>
          </cell>
          <cell r="J129" t="str">
            <v>MCHINJI</v>
          </cell>
          <cell r="K129">
            <v>6</v>
          </cell>
          <cell r="L129">
            <v>0</v>
          </cell>
          <cell r="W129">
            <v>79</v>
          </cell>
          <cell r="X129" t="str">
            <v>DS</v>
          </cell>
          <cell r="Y129">
            <v>250</v>
          </cell>
          <cell r="Z129" t="str">
            <v>GR</v>
          </cell>
          <cell r="AA129">
            <v>100</v>
          </cell>
          <cell r="AB129" t="str">
            <v>GR</v>
          </cell>
          <cell r="AC129">
            <v>25</v>
          </cell>
          <cell r="AD129" t="str">
            <v>VR</v>
          </cell>
          <cell r="AE129">
            <v>91</v>
          </cell>
          <cell r="AF129" t="str">
            <v>SR</v>
          </cell>
          <cell r="AG129" t="str">
            <v>ST</v>
          </cell>
          <cell r="AH129">
            <v>10</v>
          </cell>
          <cell r="AI129">
            <v>0</v>
          </cell>
          <cell r="AJ129">
            <v>0</v>
          </cell>
          <cell r="AK129">
            <v>0</v>
          </cell>
          <cell r="AL129">
            <v>0</v>
          </cell>
          <cell r="AM129">
            <v>4</v>
          </cell>
          <cell r="AN129">
            <v>0</v>
          </cell>
          <cell r="BO129" t="str">
            <v>RS 076</v>
          </cell>
          <cell r="BP129">
            <v>27.9</v>
          </cell>
          <cell r="BQ129">
            <v>6</v>
          </cell>
          <cell r="BR129" t="str">
            <v>F</v>
          </cell>
          <cell r="BS129" t="str">
            <v>C</v>
          </cell>
          <cell r="BT129">
            <v>0</v>
          </cell>
          <cell r="BU129" t="str">
            <v>ST</v>
          </cell>
          <cell r="BV129" t="str">
            <v>DS</v>
          </cell>
          <cell r="BW129">
            <v>4</v>
          </cell>
          <cell r="BX129">
            <v>10</v>
          </cell>
          <cell r="BY129">
            <v>15</v>
          </cell>
          <cell r="BZ129">
            <v>1</v>
          </cell>
          <cell r="CA129">
            <v>25</v>
          </cell>
          <cell r="CB129">
            <v>1.254</v>
          </cell>
          <cell r="CC129">
            <v>2.9693093575046658</v>
          </cell>
          <cell r="CD129">
            <v>14</v>
          </cell>
          <cell r="CE129">
            <v>2.8</v>
          </cell>
          <cell r="CF129">
            <v>0</v>
          </cell>
          <cell r="CG129">
            <v>14</v>
          </cell>
          <cell r="CH129">
            <v>2.8</v>
          </cell>
          <cell r="CI129">
            <v>1.2</v>
          </cell>
          <cell r="CJ129">
            <v>4.0000000000000001E-3</v>
          </cell>
          <cell r="CK129">
            <v>4.0000000000000001E-3</v>
          </cell>
          <cell r="CL129">
            <v>0</v>
          </cell>
          <cell r="CM129">
            <v>1.5507692307692308E-3</v>
          </cell>
          <cell r="CN129">
            <v>1.5507692307692308E-3</v>
          </cell>
          <cell r="CO129">
            <v>0</v>
          </cell>
          <cell r="CP129">
            <v>0</v>
          </cell>
          <cell r="CQ129">
            <v>2.9708601267354351</v>
          </cell>
          <cell r="CR129">
            <v>0</v>
          </cell>
          <cell r="CS129">
            <v>1.2</v>
          </cell>
          <cell r="CT129">
            <v>0.99999999999999978</v>
          </cell>
          <cell r="CU129">
            <v>0.39999999999999991</v>
          </cell>
          <cell r="CV129">
            <v>7</v>
          </cell>
          <cell r="CW129">
            <v>19</v>
          </cell>
          <cell r="CX129">
            <v>38</v>
          </cell>
          <cell r="CY129">
            <v>2</v>
          </cell>
          <cell r="CZ129">
            <v>1.5</v>
          </cell>
          <cell r="DA129">
            <v>1</v>
          </cell>
          <cell r="DB129">
            <v>390</v>
          </cell>
          <cell r="DC129">
            <v>184</v>
          </cell>
          <cell r="DD129">
            <v>102</v>
          </cell>
          <cell r="DE129">
            <v>30</v>
          </cell>
          <cell r="DF129">
            <v>45</v>
          </cell>
          <cell r="DG129">
            <v>8</v>
          </cell>
          <cell r="DH129">
            <v>4</v>
          </cell>
          <cell r="DI129">
            <v>20</v>
          </cell>
        </row>
        <row r="130">
          <cell r="A130" t="str">
            <v>RS 075</v>
          </cell>
          <cell r="B130">
            <v>75</v>
          </cell>
          <cell r="C130" t="str">
            <v>C</v>
          </cell>
          <cell r="D130" t="str">
            <v>T</v>
          </cell>
          <cell r="E130" t="str">
            <v>Namitete River Bridge - Chileka</v>
          </cell>
          <cell r="F130" t="str">
            <v>M12</v>
          </cell>
          <cell r="G130">
            <v>5</v>
          </cell>
          <cell r="H130">
            <v>4.0999999999999996</v>
          </cell>
          <cell r="I130" t="str">
            <v>R</v>
          </cell>
          <cell r="J130" t="str">
            <v>LILONGWE</v>
          </cell>
          <cell r="K130">
            <v>6</v>
          </cell>
          <cell r="L130">
            <v>0</v>
          </cell>
          <cell r="W130">
            <v>79</v>
          </cell>
          <cell r="X130" t="str">
            <v>DS</v>
          </cell>
          <cell r="Y130">
            <v>250</v>
          </cell>
          <cell r="Z130" t="str">
            <v>GR</v>
          </cell>
          <cell r="AA130">
            <v>100</v>
          </cell>
          <cell r="AB130" t="str">
            <v>GR</v>
          </cell>
          <cell r="AC130">
            <v>25</v>
          </cell>
          <cell r="AD130" t="str">
            <v>VR</v>
          </cell>
          <cell r="AE130">
            <v>91</v>
          </cell>
          <cell r="AF130" t="str">
            <v>SR</v>
          </cell>
          <cell r="AG130" t="str">
            <v>ST</v>
          </cell>
          <cell r="AH130">
            <v>10</v>
          </cell>
          <cell r="AI130">
            <v>0</v>
          </cell>
          <cell r="AJ130">
            <v>0</v>
          </cell>
          <cell r="AK130">
            <v>0</v>
          </cell>
          <cell r="AL130">
            <v>0</v>
          </cell>
          <cell r="AM130">
            <v>4</v>
          </cell>
          <cell r="AN130">
            <v>0</v>
          </cell>
          <cell r="BO130" t="str">
            <v>RS 075</v>
          </cell>
          <cell r="BP130">
            <v>4.0999999999999996</v>
          </cell>
          <cell r="BQ130">
            <v>6</v>
          </cell>
          <cell r="BR130" t="str">
            <v>R</v>
          </cell>
          <cell r="BS130" t="str">
            <v>C</v>
          </cell>
          <cell r="BT130">
            <v>0</v>
          </cell>
          <cell r="BU130" t="str">
            <v>ST</v>
          </cell>
          <cell r="BV130" t="str">
            <v>DS</v>
          </cell>
          <cell r="BW130">
            <v>4</v>
          </cell>
          <cell r="BX130">
            <v>10</v>
          </cell>
          <cell r="BY130">
            <v>15</v>
          </cell>
          <cell r="BZ130">
            <v>1</v>
          </cell>
          <cell r="CA130">
            <v>25</v>
          </cell>
          <cell r="CB130">
            <v>1.254</v>
          </cell>
          <cell r="CC130">
            <v>4.0210929844349206</v>
          </cell>
          <cell r="CD130">
            <v>60</v>
          </cell>
          <cell r="CE130">
            <v>30</v>
          </cell>
          <cell r="CF130">
            <v>15</v>
          </cell>
          <cell r="CG130">
            <v>45</v>
          </cell>
          <cell r="CH130">
            <v>15</v>
          </cell>
          <cell r="CI130">
            <v>0</v>
          </cell>
          <cell r="CJ130">
            <v>0</v>
          </cell>
          <cell r="CK130">
            <v>10</v>
          </cell>
          <cell r="CL130">
            <v>15</v>
          </cell>
          <cell r="CM130">
            <v>0.19923076923076921</v>
          </cell>
          <cell r="CN130">
            <v>0.19923076923076921</v>
          </cell>
          <cell r="CO130">
            <v>0</v>
          </cell>
          <cell r="CP130">
            <v>0</v>
          </cell>
          <cell r="CQ130">
            <v>4.2203237536656895</v>
          </cell>
          <cell r="CR130">
            <v>0</v>
          </cell>
          <cell r="CS130">
            <v>2</v>
          </cell>
          <cell r="CT130">
            <v>5</v>
          </cell>
          <cell r="CU130">
            <v>2</v>
          </cell>
          <cell r="CV130">
            <v>7</v>
          </cell>
          <cell r="CW130">
            <v>19</v>
          </cell>
          <cell r="CX130">
            <v>38</v>
          </cell>
          <cell r="CY130">
            <v>2</v>
          </cell>
          <cell r="CZ130">
            <v>3</v>
          </cell>
          <cell r="DA130">
            <v>1.3</v>
          </cell>
          <cell r="DB130">
            <v>390</v>
          </cell>
          <cell r="DC130">
            <v>184</v>
          </cell>
          <cell r="DD130">
            <v>102</v>
          </cell>
          <cell r="DE130">
            <v>30</v>
          </cell>
          <cell r="DF130">
            <v>45</v>
          </cell>
          <cell r="DG130">
            <v>8</v>
          </cell>
          <cell r="DH130">
            <v>4</v>
          </cell>
          <cell r="DI130">
            <v>20</v>
          </cell>
        </row>
        <row r="131">
          <cell r="A131" t="str">
            <v>RS 836</v>
          </cell>
          <cell r="B131" t="str">
            <v>n.a.</v>
          </cell>
          <cell r="C131" t="str">
            <v>C</v>
          </cell>
          <cell r="D131" t="str">
            <v>T</v>
          </cell>
          <cell r="E131" t="str">
            <v>Chileka - Chankhandwe</v>
          </cell>
          <cell r="F131" t="str">
            <v>M12</v>
          </cell>
          <cell r="G131">
            <v>6</v>
          </cell>
          <cell r="H131">
            <v>31.4</v>
          </cell>
          <cell r="I131" t="str">
            <v>R</v>
          </cell>
          <cell r="J131" t="str">
            <v>LILONGWE</v>
          </cell>
          <cell r="K131">
            <v>6</v>
          </cell>
          <cell r="L131" t="str">
            <v xml:space="preserve">New section part of RS 78 </v>
          </cell>
          <cell r="W131">
            <v>79</v>
          </cell>
          <cell r="X131" t="str">
            <v>DS</v>
          </cell>
          <cell r="Y131">
            <v>250</v>
          </cell>
          <cell r="Z131" t="str">
            <v>GR</v>
          </cell>
          <cell r="AA131">
            <v>100</v>
          </cell>
          <cell r="AB131" t="str">
            <v>GR</v>
          </cell>
          <cell r="AC131">
            <v>25</v>
          </cell>
          <cell r="AD131" t="str">
            <v>VR</v>
          </cell>
          <cell r="AE131">
            <v>91</v>
          </cell>
          <cell r="AF131" t="str">
            <v>SR</v>
          </cell>
          <cell r="AG131" t="str">
            <v>ST</v>
          </cell>
          <cell r="AH131">
            <v>10</v>
          </cell>
          <cell r="AI131">
            <v>0</v>
          </cell>
          <cell r="AJ131">
            <v>0</v>
          </cell>
          <cell r="AK131">
            <v>0</v>
          </cell>
          <cell r="AL131">
            <v>0</v>
          </cell>
          <cell r="AM131">
            <v>4</v>
          </cell>
          <cell r="AN131">
            <v>0</v>
          </cell>
          <cell r="BO131" t="str">
            <v>RS 836</v>
          </cell>
          <cell r="BP131">
            <v>31.4</v>
          </cell>
          <cell r="BQ131">
            <v>6</v>
          </cell>
          <cell r="BR131" t="str">
            <v>R</v>
          </cell>
          <cell r="BS131" t="str">
            <v>C</v>
          </cell>
          <cell r="BT131">
            <v>0</v>
          </cell>
          <cell r="BU131" t="str">
            <v>ST</v>
          </cell>
          <cell r="BV131" t="str">
            <v>DS</v>
          </cell>
          <cell r="BW131">
            <v>4</v>
          </cell>
          <cell r="BX131">
            <v>10</v>
          </cell>
          <cell r="BY131">
            <v>15</v>
          </cell>
          <cell r="BZ131">
            <v>1</v>
          </cell>
          <cell r="CA131">
            <v>25</v>
          </cell>
          <cell r="CB131">
            <v>1.254</v>
          </cell>
          <cell r="CC131">
            <v>2.98</v>
          </cell>
          <cell r="CD131">
            <v>28</v>
          </cell>
          <cell r="CE131">
            <v>11</v>
          </cell>
          <cell r="CF131">
            <v>0</v>
          </cell>
          <cell r="CG131">
            <v>28</v>
          </cell>
          <cell r="CH131">
            <v>11</v>
          </cell>
          <cell r="CI131">
            <v>0.3</v>
          </cell>
          <cell r="CJ131">
            <v>1E-3</v>
          </cell>
          <cell r="CK131">
            <v>1E-3</v>
          </cell>
          <cell r="CL131">
            <v>0</v>
          </cell>
          <cell r="CM131">
            <v>3.876923076923077E-4</v>
          </cell>
          <cell r="CN131">
            <v>3.876923076923077E-4</v>
          </cell>
          <cell r="CO131">
            <v>0</v>
          </cell>
          <cell r="CP131">
            <v>0</v>
          </cell>
          <cell r="CQ131">
            <v>2.9803876923076924</v>
          </cell>
          <cell r="CR131">
            <v>0</v>
          </cell>
          <cell r="CS131">
            <v>1</v>
          </cell>
          <cell r="CT131">
            <v>0</v>
          </cell>
          <cell r="CU131">
            <v>0</v>
          </cell>
          <cell r="CV131">
            <v>7</v>
          </cell>
          <cell r="CW131">
            <v>19</v>
          </cell>
          <cell r="CX131">
            <v>38</v>
          </cell>
          <cell r="CY131">
            <v>2.5</v>
          </cell>
          <cell r="CZ131">
            <v>1.5</v>
          </cell>
          <cell r="DA131">
            <v>1</v>
          </cell>
          <cell r="DB131">
            <v>500</v>
          </cell>
          <cell r="DC131">
            <v>235</v>
          </cell>
          <cell r="DD131">
            <v>130</v>
          </cell>
          <cell r="DE131">
            <v>38</v>
          </cell>
          <cell r="DF131">
            <v>58</v>
          </cell>
          <cell r="DG131">
            <v>10</v>
          </cell>
          <cell r="DH131">
            <v>5</v>
          </cell>
          <cell r="DI131">
            <v>25</v>
          </cell>
        </row>
        <row r="132">
          <cell r="A132" t="str">
            <v>RS 074</v>
          </cell>
          <cell r="B132">
            <v>74</v>
          </cell>
          <cell r="C132" t="str">
            <v>C</v>
          </cell>
          <cell r="D132" t="str">
            <v>T</v>
          </cell>
          <cell r="E132" t="str">
            <v>Chankhandwe - Njewa</v>
          </cell>
          <cell r="F132" t="str">
            <v>M12</v>
          </cell>
          <cell r="G132">
            <v>7</v>
          </cell>
          <cell r="H132">
            <v>11.3</v>
          </cell>
          <cell r="I132" t="str">
            <v>R</v>
          </cell>
          <cell r="J132" t="str">
            <v>LILONGWE</v>
          </cell>
          <cell r="K132">
            <v>6</v>
          </cell>
          <cell r="L132">
            <v>0</v>
          </cell>
          <cell r="W132">
            <v>79</v>
          </cell>
          <cell r="X132" t="str">
            <v>DS</v>
          </cell>
          <cell r="Y132">
            <v>250</v>
          </cell>
          <cell r="Z132" t="str">
            <v>GR</v>
          </cell>
          <cell r="AA132">
            <v>100</v>
          </cell>
          <cell r="AB132" t="str">
            <v>GR</v>
          </cell>
          <cell r="AC132">
            <v>25</v>
          </cell>
          <cell r="AD132" t="str">
            <v>VR</v>
          </cell>
          <cell r="AE132">
            <v>91</v>
          </cell>
          <cell r="AF132" t="str">
            <v>SR</v>
          </cell>
          <cell r="AG132" t="str">
            <v>ST</v>
          </cell>
          <cell r="AH132">
            <v>10</v>
          </cell>
          <cell r="AI132">
            <v>0</v>
          </cell>
          <cell r="AJ132">
            <v>0</v>
          </cell>
          <cell r="AK132">
            <v>0</v>
          </cell>
          <cell r="AL132">
            <v>0</v>
          </cell>
          <cell r="AM132">
            <v>4</v>
          </cell>
          <cell r="AN132">
            <v>0</v>
          </cell>
          <cell r="BO132" t="str">
            <v>RS 074</v>
          </cell>
          <cell r="BP132">
            <v>11.3</v>
          </cell>
          <cell r="BQ132">
            <v>6</v>
          </cell>
          <cell r="BR132" t="str">
            <v>R</v>
          </cell>
          <cell r="BS132" t="str">
            <v>C</v>
          </cell>
          <cell r="BT132">
            <v>0</v>
          </cell>
          <cell r="BU132" t="str">
            <v>ST</v>
          </cell>
          <cell r="BV132" t="str">
            <v>DS</v>
          </cell>
          <cell r="BW132">
            <v>4</v>
          </cell>
          <cell r="BX132">
            <v>10</v>
          </cell>
          <cell r="BY132">
            <v>15</v>
          </cell>
          <cell r="BZ132">
            <v>1</v>
          </cell>
          <cell r="CA132">
            <v>25</v>
          </cell>
          <cell r="CB132">
            <v>1.254</v>
          </cell>
          <cell r="CC132">
            <v>2.5701163989307867</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2.5701163989307867</v>
          </cell>
          <cell r="CR132">
            <v>0</v>
          </cell>
          <cell r="CS132">
            <v>1</v>
          </cell>
          <cell r="CT132">
            <v>0</v>
          </cell>
          <cell r="CU132">
            <v>0</v>
          </cell>
          <cell r="CV132">
            <v>7</v>
          </cell>
          <cell r="CW132">
            <v>19</v>
          </cell>
          <cell r="CX132">
            <v>38</v>
          </cell>
          <cell r="CY132">
            <v>1.5</v>
          </cell>
          <cell r="CZ132">
            <v>1</v>
          </cell>
          <cell r="DA132">
            <v>1</v>
          </cell>
          <cell r="DB132">
            <v>700</v>
          </cell>
          <cell r="DC132">
            <v>329</v>
          </cell>
          <cell r="DD132">
            <v>182</v>
          </cell>
          <cell r="DE132">
            <v>53</v>
          </cell>
          <cell r="DF132">
            <v>81</v>
          </cell>
          <cell r="DG132">
            <v>14</v>
          </cell>
          <cell r="DH132">
            <v>7</v>
          </cell>
          <cell r="DI132">
            <v>35</v>
          </cell>
        </row>
        <row r="133">
          <cell r="A133" t="str">
            <v>RS 082</v>
          </cell>
          <cell r="B133">
            <v>82</v>
          </cell>
          <cell r="C133" t="str">
            <v>C</v>
          </cell>
          <cell r="D133" t="str">
            <v>T</v>
          </cell>
          <cell r="E133" t="str">
            <v xml:space="preserve">Alimaunde (junction M1) - Lumbadzi River </v>
          </cell>
          <cell r="F133" t="str">
            <v>M14</v>
          </cell>
          <cell r="G133">
            <v>1</v>
          </cell>
          <cell r="H133">
            <v>25</v>
          </cell>
          <cell r="I133" t="str">
            <v>F</v>
          </cell>
          <cell r="J133" t="str">
            <v>LILONGWE</v>
          </cell>
          <cell r="K133">
            <v>6</v>
          </cell>
          <cell r="L133">
            <v>0</v>
          </cell>
          <cell r="W133">
            <v>92</v>
          </cell>
          <cell r="X133" t="str">
            <v>DS</v>
          </cell>
          <cell r="Y133">
            <v>150</v>
          </cell>
          <cell r="Z133" t="str">
            <v>SB</v>
          </cell>
          <cell r="AA133">
            <v>150</v>
          </cell>
          <cell r="AB133" t="str">
            <v>SB</v>
          </cell>
          <cell r="AC133">
            <v>7</v>
          </cell>
          <cell r="AD133" t="str">
            <v>VR</v>
          </cell>
          <cell r="AE133">
            <v>0</v>
          </cell>
          <cell r="AF133">
            <v>0</v>
          </cell>
          <cell r="AG133">
            <v>0</v>
          </cell>
          <cell r="AH133">
            <v>0</v>
          </cell>
          <cell r="AI133">
            <v>0</v>
          </cell>
          <cell r="AJ133">
            <v>0</v>
          </cell>
          <cell r="AK133">
            <v>0</v>
          </cell>
          <cell r="AL133">
            <v>0</v>
          </cell>
          <cell r="AM133">
            <v>1</v>
          </cell>
          <cell r="AN133" t="str">
            <v>never resealed</v>
          </cell>
          <cell r="BO133" t="str">
            <v>RS 082</v>
          </cell>
          <cell r="BP133">
            <v>25</v>
          </cell>
          <cell r="BQ133">
            <v>6.7</v>
          </cell>
          <cell r="BR133" t="str">
            <v>F</v>
          </cell>
          <cell r="BS133" t="str">
            <v>C</v>
          </cell>
          <cell r="BT133">
            <v>0</v>
          </cell>
          <cell r="BU133" t="str">
            <v>DS</v>
          </cell>
          <cell r="BV133">
            <v>0</v>
          </cell>
          <cell r="BW133">
            <v>1</v>
          </cell>
          <cell r="BX133">
            <v>15</v>
          </cell>
          <cell r="BY133" t="str">
            <v xml:space="preserve"> </v>
          </cell>
          <cell r="BZ133">
            <v>1</v>
          </cell>
          <cell r="CA133">
            <v>7</v>
          </cell>
          <cell r="CB133">
            <v>1.677</v>
          </cell>
          <cell r="CC133">
            <v>3.56</v>
          </cell>
          <cell r="CD133">
            <v>6</v>
          </cell>
          <cell r="CE133">
            <v>0.05</v>
          </cell>
          <cell r="CF133">
            <v>0</v>
          </cell>
          <cell r="CG133">
            <v>6</v>
          </cell>
          <cell r="CH133">
            <v>0.05</v>
          </cell>
          <cell r="CI133">
            <v>0.5</v>
          </cell>
          <cell r="CJ133">
            <v>1.4925373134328358E-3</v>
          </cell>
          <cell r="CK133">
            <v>1.4925373134328358E-3</v>
          </cell>
          <cell r="CL133">
            <v>0</v>
          </cell>
          <cell r="CM133">
            <v>5.7864523536165326E-4</v>
          </cell>
          <cell r="CN133">
            <v>5.7864523536165326E-4</v>
          </cell>
          <cell r="CO133">
            <v>0</v>
          </cell>
          <cell r="CP133">
            <v>0</v>
          </cell>
          <cell r="CQ133">
            <v>3.5605786452353616</v>
          </cell>
          <cell r="CR133">
            <v>0</v>
          </cell>
          <cell r="CS133">
            <v>1</v>
          </cell>
          <cell r="CT133">
            <v>0</v>
          </cell>
          <cell r="CU133">
            <v>0</v>
          </cell>
          <cell r="CV133">
            <v>6</v>
          </cell>
          <cell r="CW133">
            <v>6</v>
          </cell>
          <cell r="CX133" t="str">
            <v xml:space="preserve"> </v>
          </cell>
          <cell r="CY133">
            <v>1.8</v>
          </cell>
          <cell r="CZ133">
            <v>1.2</v>
          </cell>
          <cell r="DA133">
            <v>1.2</v>
          </cell>
          <cell r="DB133">
            <v>500</v>
          </cell>
          <cell r="DC133">
            <v>235</v>
          </cell>
          <cell r="DD133">
            <v>130</v>
          </cell>
          <cell r="DE133">
            <v>38</v>
          </cell>
          <cell r="DF133">
            <v>58</v>
          </cell>
          <cell r="DG133">
            <v>10</v>
          </cell>
          <cell r="DH133">
            <v>5</v>
          </cell>
          <cell r="DI133">
            <v>25</v>
          </cell>
        </row>
        <row r="134">
          <cell r="A134" t="str">
            <v>RS 081</v>
          </cell>
          <cell r="B134">
            <v>81</v>
          </cell>
          <cell r="C134" t="str">
            <v>C</v>
          </cell>
          <cell r="D134" t="str">
            <v>T</v>
          </cell>
          <cell r="E134" t="str">
            <v>Lumbadzi River Bridge - Chezi</v>
          </cell>
          <cell r="F134" t="str">
            <v>M14</v>
          </cell>
          <cell r="G134">
            <v>2</v>
          </cell>
          <cell r="H134">
            <v>10.9</v>
          </cell>
          <cell r="I134" t="str">
            <v>F</v>
          </cell>
          <cell r="J134" t="str">
            <v>LILONGWE</v>
          </cell>
          <cell r="K134">
            <v>6</v>
          </cell>
          <cell r="L134">
            <v>0</v>
          </cell>
          <cell r="W134">
            <v>92</v>
          </cell>
          <cell r="X134" t="str">
            <v>DS</v>
          </cell>
          <cell r="Y134">
            <v>150</v>
          </cell>
          <cell r="Z134" t="str">
            <v>SB</v>
          </cell>
          <cell r="AA134">
            <v>150</v>
          </cell>
          <cell r="AB134" t="str">
            <v>SB</v>
          </cell>
          <cell r="AC134">
            <v>7</v>
          </cell>
          <cell r="AD134" t="str">
            <v>VR</v>
          </cell>
          <cell r="AE134">
            <v>0</v>
          </cell>
          <cell r="AF134">
            <v>0</v>
          </cell>
          <cell r="AG134">
            <v>0</v>
          </cell>
          <cell r="AH134">
            <v>0</v>
          </cell>
          <cell r="AI134">
            <v>0</v>
          </cell>
          <cell r="AJ134">
            <v>0</v>
          </cell>
          <cell r="AK134">
            <v>0</v>
          </cell>
          <cell r="AL134">
            <v>0</v>
          </cell>
          <cell r="AM134">
            <v>1</v>
          </cell>
          <cell r="AN134" t="str">
            <v>never resealed</v>
          </cell>
          <cell r="BO134" t="str">
            <v>RS 081</v>
          </cell>
          <cell r="BP134">
            <v>10.9</v>
          </cell>
          <cell r="BQ134">
            <v>6.7</v>
          </cell>
          <cell r="BR134" t="str">
            <v>F</v>
          </cell>
          <cell r="BS134" t="str">
            <v>C</v>
          </cell>
          <cell r="BT134">
            <v>0</v>
          </cell>
          <cell r="BU134" t="str">
            <v>DS</v>
          </cell>
          <cell r="BV134">
            <v>0</v>
          </cell>
          <cell r="BW134">
            <v>1</v>
          </cell>
          <cell r="BX134">
            <v>15</v>
          </cell>
          <cell r="BY134" t="str">
            <v xml:space="preserve"> </v>
          </cell>
          <cell r="BZ134">
            <v>1</v>
          </cell>
          <cell r="CA134">
            <v>7</v>
          </cell>
          <cell r="CB134">
            <v>1.677</v>
          </cell>
          <cell r="CC134">
            <v>4.25</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4.25</v>
          </cell>
          <cell r="CR134">
            <v>0</v>
          </cell>
          <cell r="CS134">
            <v>1</v>
          </cell>
          <cell r="CT134">
            <v>0</v>
          </cell>
          <cell r="CU134">
            <v>0</v>
          </cell>
          <cell r="CV134">
            <v>6</v>
          </cell>
          <cell r="CW134">
            <v>6</v>
          </cell>
          <cell r="CX134" t="str">
            <v xml:space="preserve"> </v>
          </cell>
          <cell r="CY134">
            <v>1.2</v>
          </cell>
          <cell r="CZ134">
            <v>1.1000000000000001</v>
          </cell>
          <cell r="DA134">
            <v>1.2</v>
          </cell>
          <cell r="DB134">
            <v>400</v>
          </cell>
          <cell r="DC134">
            <v>188</v>
          </cell>
          <cell r="DD134">
            <v>104</v>
          </cell>
          <cell r="DE134">
            <v>30</v>
          </cell>
          <cell r="DF134">
            <v>46</v>
          </cell>
          <cell r="DG134">
            <v>8</v>
          </cell>
          <cell r="DH134">
            <v>4</v>
          </cell>
          <cell r="DI134">
            <v>20</v>
          </cell>
        </row>
        <row r="135">
          <cell r="A135" t="str">
            <v>RS 084</v>
          </cell>
          <cell r="B135">
            <v>84</v>
          </cell>
          <cell r="C135" t="str">
            <v>C</v>
          </cell>
          <cell r="D135" t="str">
            <v>T</v>
          </cell>
          <cell r="E135" t="str">
            <v>Chezi - Kachinchezo</v>
          </cell>
          <cell r="F135" t="str">
            <v>M14</v>
          </cell>
          <cell r="G135">
            <v>3</v>
          </cell>
          <cell r="H135">
            <v>9.6</v>
          </cell>
          <cell r="I135" t="str">
            <v>R</v>
          </cell>
          <cell r="J135" t="str">
            <v>DOWA</v>
          </cell>
          <cell r="K135">
            <v>6</v>
          </cell>
          <cell r="L135">
            <v>0</v>
          </cell>
          <cell r="W135">
            <v>92</v>
          </cell>
          <cell r="X135" t="str">
            <v>DS</v>
          </cell>
          <cell r="Y135">
            <v>150</v>
          </cell>
          <cell r="Z135" t="str">
            <v>SB</v>
          </cell>
          <cell r="AA135">
            <v>150</v>
          </cell>
          <cell r="AB135" t="str">
            <v>SB</v>
          </cell>
          <cell r="AC135">
            <v>7</v>
          </cell>
          <cell r="AD135" t="str">
            <v>VR</v>
          </cell>
          <cell r="AE135">
            <v>0</v>
          </cell>
          <cell r="AF135">
            <v>0</v>
          </cell>
          <cell r="AG135">
            <v>0</v>
          </cell>
          <cell r="AH135">
            <v>0</v>
          </cell>
          <cell r="AI135">
            <v>0</v>
          </cell>
          <cell r="AJ135">
            <v>0</v>
          </cell>
          <cell r="AK135">
            <v>0</v>
          </cell>
          <cell r="AL135">
            <v>0</v>
          </cell>
          <cell r="AM135">
            <v>1</v>
          </cell>
          <cell r="AN135" t="str">
            <v>never resealed</v>
          </cell>
          <cell r="BO135" t="str">
            <v>RS 084</v>
          </cell>
          <cell r="BP135">
            <v>9.6</v>
          </cell>
          <cell r="BQ135">
            <v>6.7</v>
          </cell>
          <cell r="BR135" t="str">
            <v>R</v>
          </cell>
          <cell r="BS135" t="str">
            <v>C</v>
          </cell>
          <cell r="BT135">
            <v>0</v>
          </cell>
          <cell r="BU135" t="str">
            <v>DS</v>
          </cell>
          <cell r="BV135">
            <v>0</v>
          </cell>
          <cell r="BW135">
            <v>1</v>
          </cell>
          <cell r="BX135">
            <v>15</v>
          </cell>
          <cell r="BY135" t="str">
            <v xml:space="preserve"> </v>
          </cell>
          <cell r="BZ135">
            <v>1</v>
          </cell>
          <cell r="CA135">
            <v>7</v>
          </cell>
          <cell r="CB135">
            <v>1.677</v>
          </cell>
          <cell r="CC135">
            <v>3.66</v>
          </cell>
          <cell r="CD135">
            <v>0</v>
          </cell>
          <cell r="CE135">
            <v>0</v>
          </cell>
          <cell r="CF135">
            <v>0</v>
          </cell>
          <cell r="CG135">
            <v>0</v>
          </cell>
          <cell r="CH135">
            <v>0</v>
          </cell>
          <cell r="CI135">
            <v>0.1</v>
          </cell>
          <cell r="CJ135">
            <v>2.9850746268656722E-4</v>
          </cell>
          <cell r="CK135">
            <v>2.9850746268656722E-4</v>
          </cell>
          <cell r="CL135">
            <v>0</v>
          </cell>
          <cell r="CM135">
            <v>1.1572904707233067E-4</v>
          </cell>
          <cell r="CN135">
            <v>1.1572904707233067E-4</v>
          </cell>
          <cell r="CO135">
            <v>0</v>
          </cell>
          <cell r="CP135">
            <v>0</v>
          </cell>
          <cell r="CQ135">
            <v>3.6601157290470723</v>
          </cell>
          <cell r="CR135">
            <v>0</v>
          </cell>
          <cell r="CS135">
            <v>1</v>
          </cell>
          <cell r="CT135">
            <v>0</v>
          </cell>
          <cell r="CU135">
            <v>0</v>
          </cell>
          <cell r="CV135">
            <v>6</v>
          </cell>
          <cell r="CW135">
            <v>6</v>
          </cell>
          <cell r="CX135" t="str">
            <v xml:space="preserve"> </v>
          </cell>
          <cell r="CY135">
            <v>1.1000000000000001</v>
          </cell>
          <cell r="CZ135">
            <v>1.1000000000000001</v>
          </cell>
          <cell r="DA135">
            <v>1.1000000000000001</v>
          </cell>
          <cell r="DB135">
            <v>300</v>
          </cell>
          <cell r="DC135">
            <v>141</v>
          </cell>
          <cell r="DD135">
            <v>78</v>
          </cell>
          <cell r="DE135">
            <v>23</v>
          </cell>
          <cell r="DF135">
            <v>35</v>
          </cell>
          <cell r="DG135">
            <v>6</v>
          </cell>
          <cell r="DH135">
            <v>3</v>
          </cell>
          <cell r="DI135">
            <v>15</v>
          </cell>
        </row>
        <row r="136">
          <cell r="A136" t="str">
            <v>RS 216</v>
          </cell>
          <cell r="B136">
            <v>38</v>
          </cell>
          <cell r="C136" t="str">
            <v>C</v>
          </cell>
          <cell r="D136" t="str">
            <v>T</v>
          </cell>
          <cell r="E136" t="str">
            <v>Kachinchezo - Kanyenyeva</v>
          </cell>
          <cell r="F136" t="str">
            <v>M14</v>
          </cell>
          <cell r="G136">
            <v>4</v>
          </cell>
          <cell r="H136">
            <v>10.8</v>
          </cell>
          <cell r="I136" t="str">
            <v>R</v>
          </cell>
          <cell r="J136" t="str">
            <v>DOWA</v>
          </cell>
          <cell r="K136">
            <v>6</v>
          </cell>
          <cell r="L136" t="str">
            <v>Changed designation from M16 to M14</v>
          </cell>
          <cell r="W136">
            <v>92</v>
          </cell>
          <cell r="X136" t="str">
            <v>DS</v>
          </cell>
          <cell r="Y136">
            <v>150</v>
          </cell>
          <cell r="Z136" t="str">
            <v>SB</v>
          </cell>
          <cell r="AA136">
            <v>150</v>
          </cell>
          <cell r="AB136" t="str">
            <v>SB</v>
          </cell>
          <cell r="AC136">
            <v>7</v>
          </cell>
          <cell r="AD136" t="str">
            <v>VR</v>
          </cell>
          <cell r="AE136">
            <v>0</v>
          </cell>
          <cell r="AF136">
            <v>0</v>
          </cell>
          <cell r="AG136">
            <v>0</v>
          </cell>
          <cell r="AH136">
            <v>0</v>
          </cell>
          <cell r="AI136">
            <v>0</v>
          </cell>
          <cell r="AJ136">
            <v>0</v>
          </cell>
          <cell r="AK136">
            <v>0</v>
          </cell>
          <cell r="AL136">
            <v>0</v>
          </cell>
          <cell r="AM136">
            <v>1</v>
          </cell>
          <cell r="AN136" t="str">
            <v>never resealed</v>
          </cell>
          <cell r="BO136" t="str">
            <v>RS 216</v>
          </cell>
          <cell r="BP136">
            <v>10.8</v>
          </cell>
          <cell r="BQ136">
            <v>6.7</v>
          </cell>
          <cell r="BR136" t="str">
            <v>R</v>
          </cell>
          <cell r="BS136" t="str">
            <v>C</v>
          </cell>
          <cell r="BT136">
            <v>0</v>
          </cell>
          <cell r="BU136" t="str">
            <v>DS</v>
          </cell>
          <cell r="BV136">
            <v>0</v>
          </cell>
          <cell r="BW136">
            <v>1</v>
          </cell>
          <cell r="BX136">
            <v>15</v>
          </cell>
          <cell r="BY136" t="str">
            <v xml:space="preserve"> </v>
          </cell>
          <cell r="BZ136">
            <v>1</v>
          </cell>
          <cell r="CA136">
            <v>7</v>
          </cell>
          <cell r="CB136">
            <v>1.677</v>
          </cell>
          <cell r="CC136">
            <v>3.81</v>
          </cell>
          <cell r="CD136">
            <v>0</v>
          </cell>
          <cell r="CE136">
            <v>0</v>
          </cell>
          <cell r="CF136">
            <v>0</v>
          </cell>
          <cell r="CG136">
            <v>0</v>
          </cell>
          <cell r="CH136">
            <v>0</v>
          </cell>
          <cell r="CI136">
            <v>0.1</v>
          </cell>
          <cell r="CJ136">
            <v>2.9850746268656722E-4</v>
          </cell>
          <cell r="CK136">
            <v>2.9850746268656722E-4</v>
          </cell>
          <cell r="CL136">
            <v>0</v>
          </cell>
          <cell r="CM136">
            <v>1.1572904707233067E-4</v>
          </cell>
          <cell r="CN136">
            <v>1.1572904707233067E-4</v>
          </cell>
          <cell r="CO136">
            <v>0</v>
          </cell>
          <cell r="CP136">
            <v>0</v>
          </cell>
          <cell r="CQ136">
            <v>3.8101157290470722</v>
          </cell>
          <cell r="CR136">
            <v>0</v>
          </cell>
          <cell r="CS136">
            <v>1</v>
          </cell>
          <cell r="CT136">
            <v>0</v>
          </cell>
          <cell r="CU136">
            <v>0</v>
          </cell>
          <cell r="CV136">
            <v>6</v>
          </cell>
          <cell r="CW136">
            <v>6</v>
          </cell>
          <cell r="CX136" t="str">
            <v xml:space="preserve"> </v>
          </cell>
          <cell r="CY136">
            <v>1.1000000000000001</v>
          </cell>
          <cell r="CZ136">
            <v>1.1000000000000001</v>
          </cell>
          <cell r="DA136">
            <v>1.1000000000000001</v>
          </cell>
          <cell r="DB136">
            <v>300</v>
          </cell>
          <cell r="DC136">
            <v>141</v>
          </cell>
          <cell r="DD136">
            <v>78</v>
          </cell>
          <cell r="DE136">
            <v>23</v>
          </cell>
          <cell r="DF136">
            <v>35</v>
          </cell>
          <cell r="DG136">
            <v>6</v>
          </cell>
          <cell r="DH136">
            <v>3</v>
          </cell>
          <cell r="DI136">
            <v>15</v>
          </cell>
        </row>
        <row r="137">
          <cell r="A137" t="str">
            <v>RS 221</v>
          </cell>
          <cell r="B137">
            <v>43</v>
          </cell>
          <cell r="C137" t="str">
            <v>C</v>
          </cell>
          <cell r="D137" t="str">
            <v>T</v>
          </cell>
          <cell r="E137" t="str">
            <v>Kanyenyeva - Chembe Railroad Bridge</v>
          </cell>
          <cell r="F137" t="str">
            <v>M14</v>
          </cell>
          <cell r="G137">
            <v>5</v>
          </cell>
          <cell r="H137">
            <v>1.8</v>
          </cell>
          <cell r="I137" t="str">
            <v>R</v>
          </cell>
          <cell r="J137" t="str">
            <v>DOWA</v>
          </cell>
          <cell r="K137">
            <v>6</v>
          </cell>
          <cell r="L137" t="str">
            <v xml:space="preserve">Changed designation from M16 to M14 </v>
          </cell>
          <cell r="W137">
            <v>92</v>
          </cell>
          <cell r="X137" t="str">
            <v>DS</v>
          </cell>
          <cell r="Y137">
            <v>150</v>
          </cell>
          <cell r="Z137" t="str">
            <v>SB</v>
          </cell>
          <cell r="AA137">
            <v>150</v>
          </cell>
          <cell r="AB137" t="str">
            <v>SB</v>
          </cell>
          <cell r="AC137">
            <v>7</v>
          </cell>
          <cell r="AD137" t="str">
            <v>VR</v>
          </cell>
          <cell r="AE137">
            <v>0</v>
          </cell>
          <cell r="AF137">
            <v>0</v>
          </cell>
          <cell r="AG137">
            <v>0</v>
          </cell>
          <cell r="AH137">
            <v>0</v>
          </cell>
          <cell r="AI137">
            <v>0</v>
          </cell>
          <cell r="AJ137">
            <v>0</v>
          </cell>
          <cell r="AK137">
            <v>0</v>
          </cell>
          <cell r="AL137">
            <v>0</v>
          </cell>
          <cell r="AM137">
            <v>1</v>
          </cell>
          <cell r="AN137" t="str">
            <v>never resealed</v>
          </cell>
          <cell r="BO137" t="str">
            <v>RS 221</v>
          </cell>
          <cell r="BP137">
            <v>1.8</v>
          </cell>
          <cell r="BQ137">
            <v>8</v>
          </cell>
          <cell r="BR137" t="str">
            <v>R</v>
          </cell>
          <cell r="BS137" t="str">
            <v>C</v>
          </cell>
          <cell r="BT137">
            <v>1</v>
          </cell>
          <cell r="BU137" t="str">
            <v>DS</v>
          </cell>
          <cell r="BV137">
            <v>0</v>
          </cell>
          <cell r="BW137">
            <v>1</v>
          </cell>
          <cell r="BX137">
            <v>15</v>
          </cell>
          <cell r="BY137" t="str">
            <v xml:space="preserve"> </v>
          </cell>
          <cell r="BZ137">
            <v>1</v>
          </cell>
          <cell r="CA137">
            <v>7</v>
          </cell>
          <cell r="CB137">
            <v>1.677</v>
          </cell>
          <cell r="CC137">
            <v>3.8</v>
          </cell>
          <cell r="CD137">
            <v>0</v>
          </cell>
          <cell r="CE137">
            <v>0</v>
          </cell>
          <cell r="CF137">
            <v>0</v>
          </cell>
          <cell r="CG137">
            <v>0</v>
          </cell>
          <cell r="CH137">
            <v>0</v>
          </cell>
          <cell r="CI137">
            <v>0.15</v>
          </cell>
          <cell r="CJ137">
            <v>3.7499999999999995E-4</v>
          </cell>
          <cell r="CK137">
            <v>3.7499999999999995E-4</v>
          </cell>
          <cell r="CL137">
            <v>0</v>
          </cell>
          <cell r="CM137">
            <v>1.4538461538461537E-4</v>
          </cell>
          <cell r="CN137">
            <v>1.4538461538461537E-4</v>
          </cell>
          <cell r="CO137">
            <v>0</v>
          </cell>
          <cell r="CP137">
            <v>0</v>
          </cell>
          <cell r="CQ137">
            <v>3.8001453846153845</v>
          </cell>
          <cell r="CR137">
            <v>0</v>
          </cell>
          <cell r="CS137">
            <v>1</v>
          </cell>
          <cell r="CT137">
            <v>0</v>
          </cell>
          <cell r="CU137">
            <v>0</v>
          </cell>
          <cell r="CV137">
            <v>6</v>
          </cell>
          <cell r="CW137">
            <v>6</v>
          </cell>
          <cell r="CX137" t="str">
            <v xml:space="preserve"> </v>
          </cell>
          <cell r="CY137">
            <v>1.1000000000000001</v>
          </cell>
          <cell r="CZ137">
            <v>1.1000000000000001</v>
          </cell>
          <cell r="DA137">
            <v>1.1000000000000001</v>
          </cell>
          <cell r="DB137">
            <v>300</v>
          </cell>
          <cell r="DC137">
            <v>141</v>
          </cell>
          <cell r="DD137">
            <v>78</v>
          </cell>
          <cell r="DE137">
            <v>23</v>
          </cell>
          <cell r="DF137">
            <v>35</v>
          </cell>
          <cell r="DG137">
            <v>6</v>
          </cell>
          <cell r="DH137">
            <v>3</v>
          </cell>
          <cell r="DI137">
            <v>15</v>
          </cell>
        </row>
        <row r="138">
          <cell r="A138" t="str">
            <v>RS 060</v>
          </cell>
          <cell r="B138">
            <v>60</v>
          </cell>
          <cell r="C138" t="str">
            <v>C</v>
          </cell>
          <cell r="D138" t="str">
            <v>T</v>
          </cell>
          <cell r="E138" t="str">
            <v>Chembe Railroad Bridge - Makande</v>
          </cell>
          <cell r="F138" t="str">
            <v>M14</v>
          </cell>
          <cell r="G138">
            <v>6</v>
          </cell>
          <cell r="H138">
            <v>6.8</v>
          </cell>
          <cell r="I138" t="str">
            <v>F</v>
          </cell>
          <cell r="J138" t="str">
            <v>SALIMA</v>
          </cell>
          <cell r="K138">
            <v>6</v>
          </cell>
          <cell r="L138" t="str">
            <v>Changed designation from M5 to M14</v>
          </cell>
          <cell r="W138">
            <v>92</v>
          </cell>
          <cell r="X138" t="str">
            <v>DS</v>
          </cell>
          <cell r="Y138">
            <v>150</v>
          </cell>
          <cell r="Z138" t="str">
            <v>SB</v>
          </cell>
          <cell r="AA138">
            <v>150</v>
          </cell>
          <cell r="AB138" t="str">
            <v>SB</v>
          </cell>
          <cell r="AC138">
            <v>7</v>
          </cell>
          <cell r="AD138" t="str">
            <v>VR</v>
          </cell>
          <cell r="AE138">
            <v>0</v>
          </cell>
          <cell r="AF138">
            <v>0</v>
          </cell>
          <cell r="AG138">
            <v>0</v>
          </cell>
          <cell r="AH138">
            <v>0</v>
          </cell>
          <cell r="AI138">
            <v>0</v>
          </cell>
          <cell r="AJ138">
            <v>0</v>
          </cell>
          <cell r="AK138">
            <v>0</v>
          </cell>
          <cell r="AL138">
            <v>0</v>
          </cell>
          <cell r="AM138">
            <v>1</v>
          </cell>
          <cell r="AN138" t="str">
            <v>never resealed</v>
          </cell>
          <cell r="BO138" t="str">
            <v>RS 060</v>
          </cell>
          <cell r="BP138">
            <v>6.8</v>
          </cell>
          <cell r="BQ138">
            <v>6.7</v>
          </cell>
          <cell r="BR138" t="str">
            <v>F</v>
          </cell>
          <cell r="BS138" t="str">
            <v>C</v>
          </cell>
          <cell r="BT138">
            <v>0</v>
          </cell>
          <cell r="BU138" t="str">
            <v>DS</v>
          </cell>
          <cell r="BV138">
            <v>0</v>
          </cell>
          <cell r="BW138">
            <v>1</v>
          </cell>
          <cell r="BX138">
            <v>15</v>
          </cell>
          <cell r="BY138" t="str">
            <v xml:space="preserve"> </v>
          </cell>
          <cell r="BZ138">
            <v>1</v>
          </cell>
          <cell r="CA138">
            <v>7</v>
          </cell>
          <cell r="CB138">
            <v>1.677</v>
          </cell>
          <cell r="CC138">
            <v>4.38</v>
          </cell>
          <cell r="CD138">
            <v>0</v>
          </cell>
          <cell r="CE138">
            <v>0</v>
          </cell>
          <cell r="CF138">
            <v>0</v>
          </cell>
          <cell r="CG138">
            <v>0</v>
          </cell>
          <cell r="CH138">
            <v>0</v>
          </cell>
          <cell r="CI138">
            <v>0.2</v>
          </cell>
          <cell r="CJ138">
            <v>5.9701492537313444E-4</v>
          </cell>
          <cell r="CK138">
            <v>5.9701492537313444E-4</v>
          </cell>
          <cell r="CL138">
            <v>0</v>
          </cell>
          <cell r="CM138">
            <v>2.3145809414466134E-4</v>
          </cell>
          <cell r="CN138">
            <v>2.3145809414466134E-4</v>
          </cell>
          <cell r="CO138">
            <v>0</v>
          </cell>
          <cell r="CP138">
            <v>0</v>
          </cell>
          <cell r="CQ138">
            <v>4.3802314580941442</v>
          </cell>
          <cell r="CR138">
            <v>0</v>
          </cell>
          <cell r="CS138">
            <v>1</v>
          </cell>
          <cell r="CT138">
            <v>0</v>
          </cell>
          <cell r="CU138">
            <v>0</v>
          </cell>
          <cell r="CV138">
            <v>6</v>
          </cell>
          <cell r="CW138">
            <v>6</v>
          </cell>
          <cell r="CX138" t="str">
            <v xml:space="preserve"> </v>
          </cell>
          <cell r="CY138">
            <v>1.1000000000000001</v>
          </cell>
          <cell r="CZ138">
            <v>1.1000000000000001</v>
          </cell>
          <cell r="DA138">
            <v>1.1000000000000001</v>
          </cell>
          <cell r="DB138">
            <v>300</v>
          </cell>
          <cell r="DC138">
            <v>141</v>
          </cell>
          <cell r="DD138">
            <v>78</v>
          </cell>
          <cell r="DE138">
            <v>23</v>
          </cell>
          <cell r="DF138">
            <v>35</v>
          </cell>
          <cell r="DG138">
            <v>6</v>
          </cell>
          <cell r="DH138">
            <v>3</v>
          </cell>
          <cell r="DI138">
            <v>15</v>
          </cell>
        </row>
        <row r="139">
          <cell r="A139" t="str">
            <v>RS 045</v>
          </cell>
          <cell r="B139">
            <v>45</v>
          </cell>
          <cell r="C139" t="str">
            <v>C</v>
          </cell>
          <cell r="D139" t="str">
            <v>T</v>
          </cell>
          <cell r="E139" t="str">
            <v>Makande - Kaphatenga</v>
          </cell>
          <cell r="F139" t="str">
            <v>M14</v>
          </cell>
          <cell r="G139">
            <v>7</v>
          </cell>
          <cell r="H139">
            <v>4.5999999999999996</v>
          </cell>
          <cell r="I139" t="str">
            <v>F</v>
          </cell>
          <cell r="J139" t="str">
            <v>SALIMA</v>
          </cell>
          <cell r="K139">
            <v>6</v>
          </cell>
          <cell r="L139" t="str">
            <v>Changed designation from M5 to M14</v>
          </cell>
          <cell r="W139">
            <v>92</v>
          </cell>
          <cell r="X139" t="str">
            <v>DS</v>
          </cell>
          <cell r="Y139">
            <v>150</v>
          </cell>
          <cell r="Z139" t="str">
            <v>SB</v>
          </cell>
          <cell r="AA139">
            <v>150</v>
          </cell>
          <cell r="AB139" t="str">
            <v>SB</v>
          </cell>
          <cell r="AC139">
            <v>7</v>
          </cell>
          <cell r="AD139" t="str">
            <v>VR</v>
          </cell>
          <cell r="AE139">
            <v>0</v>
          </cell>
          <cell r="AF139">
            <v>0</v>
          </cell>
          <cell r="AG139">
            <v>0</v>
          </cell>
          <cell r="AH139">
            <v>0</v>
          </cell>
          <cell r="AI139">
            <v>0</v>
          </cell>
          <cell r="AJ139">
            <v>0</v>
          </cell>
          <cell r="AK139">
            <v>0</v>
          </cell>
          <cell r="AL139">
            <v>0</v>
          </cell>
          <cell r="AM139">
            <v>1</v>
          </cell>
          <cell r="AN139" t="str">
            <v>never resealed</v>
          </cell>
          <cell r="BO139" t="str">
            <v>RS 045</v>
          </cell>
          <cell r="BP139">
            <v>4.5999999999999996</v>
          </cell>
          <cell r="BQ139">
            <v>6.7</v>
          </cell>
          <cell r="BR139" t="str">
            <v>F</v>
          </cell>
          <cell r="BS139" t="str">
            <v>C</v>
          </cell>
          <cell r="BT139">
            <v>0</v>
          </cell>
          <cell r="BU139" t="str">
            <v>DS</v>
          </cell>
          <cell r="BV139">
            <v>0</v>
          </cell>
          <cell r="BW139">
            <v>1</v>
          </cell>
          <cell r="BX139">
            <v>15</v>
          </cell>
          <cell r="BY139" t="str">
            <v xml:space="preserve"> </v>
          </cell>
          <cell r="BZ139">
            <v>1</v>
          </cell>
          <cell r="CA139">
            <v>7</v>
          </cell>
          <cell r="CB139">
            <v>1.677</v>
          </cell>
          <cell r="CC139">
            <v>4</v>
          </cell>
          <cell r="CD139">
            <v>0</v>
          </cell>
          <cell r="CE139">
            <v>0</v>
          </cell>
          <cell r="CF139">
            <v>0</v>
          </cell>
          <cell r="CG139">
            <v>0</v>
          </cell>
          <cell r="CH139">
            <v>0</v>
          </cell>
          <cell r="CI139">
            <v>0.1</v>
          </cell>
          <cell r="CJ139">
            <v>2.9850746268656722E-4</v>
          </cell>
          <cell r="CK139">
            <v>2.9850746268656722E-4</v>
          </cell>
          <cell r="CL139">
            <v>0</v>
          </cell>
          <cell r="CM139">
            <v>1.1572904707233067E-4</v>
          </cell>
          <cell r="CN139">
            <v>1.1572904707233067E-4</v>
          </cell>
          <cell r="CO139">
            <v>0</v>
          </cell>
          <cell r="CP139">
            <v>0</v>
          </cell>
          <cell r="CQ139">
            <v>4.0001157290470726</v>
          </cell>
          <cell r="CR139">
            <v>0</v>
          </cell>
          <cell r="CS139">
            <v>1</v>
          </cell>
          <cell r="CT139">
            <v>0</v>
          </cell>
          <cell r="CU139">
            <v>0</v>
          </cell>
          <cell r="CV139">
            <v>6</v>
          </cell>
          <cell r="CW139">
            <v>6</v>
          </cell>
          <cell r="CX139" t="str">
            <v xml:space="preserve"> </v>
          </cell>
          <cell r="CY139">
            <v>1.1000000000000001</v>
          </cell>
          <cell r="CZ139">
            <v>1.1000000000000001</v>
          </cell>
          <cell r="DA139">
            <v>1.1000000000000001</v>
          </cell>
          <cell r="DB139">
            <v>300</v>
          </cell>
          <cell r="DC139">
            <v>141</v>
          </cell>
          <cell r="DD139">
            <v>78</v>
          </cell>
          <cell r="DE139">
            <v>23</v>
          </cell>
          <cell r="DF139">
            <v>35</v>
          </cell>
          <cell r="DG139">
            <v>6</v>
          </cell>
          <cell r="DH139">
            <v>3</v>
          </cell>
          <cell r="DI139">
            <v>15</v>
          </cell>
        </row>
        <row r="140">
          <cell r="A140" t="str">
            <v>RS 260</v>
          </cell>
          <cell r="B140">
            <v>82</v>
          </cell>
          <cell r="C140" t="str">
            <v>C</v>
          </cell>
          <cell r="D140" t="str">
            <v>T</v>
          </cell>
          <cell r="E140" t="str">
            <v>Chiwengo - Kasungu</v>
          </cell>
          <cell r="F140" t="str">
            <v>M18</v>
          </cell>
          <cell r="G140">
            <v>1</v>
          </cell>
          <cell r="H140">
            <v>9.4</v>
          </cell>
          <cell r="I140" t="str">
            <v>F</v>
          </cell>
          <cell r="J140" t="str">
            <v>KASUNGU</v>
          </cell>
          <cell r="K140">
            <v>5</v>
          </cell>
          <cell r="L140" t="str">
            <v xml:space="preserve">Changed designation from S120 to M18 </v>
          </cell>
          <cell r="W140">
            <v>97</v>
          </cell>
          <cell r="X140" t="str">
            <v>DS</v>
          </cell>
          <cell r="Y140">
            <v>150</v>
          </cell>
          <cell r="Z140" t="str">
            <v>GR</v>
          </cell>
          <cell r="AA140">
            <v>100</v>
          </cell>
          <cell r="AB140" t="str">
            <v>GR</v>
          </cell>
          <cell r="AC140">
            <v>5</v>
          </cell>
          <cell r="AD140" t="str">
            <v>AM</v>
          </cell>
          <cell r="AE140">
            <v>0</v>
          </cell>
          <cell r="AF140">
            <v>0</v>
          </cell>
          <cell r="AG140">
            <v>0</v>
          </cell>
          <cell r="AH140">
            <v>0</v>
          </cell>
          <cell r="AI140">
            <v>0</v>
          </cell>
          <cell r="AJ140">
            <v>0</v>
          </cell>
          <cell r="AK140">
            <v>0</v>
          </cell>
          <cell r="AL140">
            <v>0</v>
          </cell>
          <cell r="AM140">
            <v>1</v>
          </cell>
          <cell r="AN140" t="str">
            <v>never resealed</v>
          </cell>
          <cell r="BO140" t="str">
            <v>RS 260</v>
          </cell>
          <cell r="BP140">
            <v>9.4</v>
          </cell>
          <cell r="BQ140">
            <v>6.7</v>
          </cell>
          <cell r="BR140" t="str">
            <v>F</v>
          </cell>
          <cell r="BS140">
            <v>0</v>
          </cell>
          <cell r="BT140">
            <v>0</v>
          </cell>
          <cell r="BU140" t="str">
            <v>DS</v>
          </cell>
          <cell r="BV140">
            <v>0</v>
          </cell>
          <cell r="BW140">
            <v>1</v>
          </cell>
          <cell r="BX140">
            <v>15</v>
          </cell>
          <cell r="BY140" t="str">
            <v xml:space="preserve"> </v>
          </cell>
          <cell r="BZ140">
            <v>1</v>
          </cell>
          <cell r="CA140">
            <v>5</v>
          </cell>
          <cell r="CB140">
            <v>1.077</v>
          </cell>
          <cell r="CC140">
            <v>2.8</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2.8</v>
          </cell>
          <cell r="CR140">
            <v>0</v>
          </cell>
          <cell r="CS140">
            <v>1</v>
          </cell>
          <cell r="CT140">
            <v>0</v>
          </cell>
          <cell r="CU140">
            <v>0</v>
          </cell>
          <cell r="CV140">
            <v>1</v>
          </cell>
          <cell r="CW140">
            <v>1</v>
          </cell>
          <cell r="CX140" t="str">
            <v xml:space="preserve"> </v>
          </cell>
          <cell r="CY140">
            <v>1</v>
          </cell>
          <cell r="CZ140">
            <v>1</v>
          </cell>
          <cell r="DA140">
            <v>1</v>
          </cell>
          <cell r="DB140">
            <v>100</v>
          </cell>
          <cell r="DC140">
            <v>47</v>
          </cell>
          <cell r="DD140">
            <v>26</v>
          </cell>
          <cell r="DE140">
            <v>8</v>
          </cell>
          <cell r="DF140">
            <v>12</v>
          </cell>
          <cell r="DG140">
            <v>2</v>
          </cell>
          <cell r="DH140">
            <v>1</v>
          </cell>
          <cell r="DI140">
            <v>5</v>
          </cell>
        </row>
        <row r="141">
          <cell r="A141" t="str">
            <v>RS 008</v>
          </cell>
          <cell r="B141" t="str">
            <v>8</v>
          </cell>
          <cell r="C141" t="str">
            <v>N</v>
          </cell>
          <cell r="D141" t="str">
            <v>T</v>
          </cell>
          <cell r="E141" t="str">
            <v>Bwengu (junction M1) - Njakwa</v>
          </cell>
          <cell r="F141" t="str">
            <v>M24</v>
          </cell>
          <cell r="G141">
            <v>1</v>
          </cell>
          <cell r="H141">
            <v>1.5</v>
          </cell>
          <cell r="I141" t="str">
            <v>R</v>
          </cell>
          <cell r="J141" t="str">
            <v>RUMPHI</v>
          </cell>
          <cell r="K141">
            <v>3</v>
          </cell>
          <cell r="L141">
            <v>0</v>
          </cell>
          <cell r="W141">
            <v>80</v>
          </cell>
          <cell r="X141" t="str">
            <v>DS</v>
          </cell>
          <cell r="Y141">
            <v>150</v>
          </cell>
          <cell r="Z141" t="str">
            <v>SB</v>
          </cell>
          <cell r="AA141">
            <v>100</v>
          </cell>
          <cell r="AB141" t="str">
            <v>GR</v>
          </cell>
          <cell r="AC141">
            <v>13</v>
          </cell>
          <cell r="AD141" t="str">
            <v>VR</v>
          </cell>
          <cell r="AE141">
            <v>87</v>
          </cell>
          <cell r="AF141" t="str">
            <v>SR</v>
          </cell>
          <cell r="AG141" t="str">
            <v>ST</v>
          </cell>
          <cell r="AH141">
            <v>10</v>
          </cell>
          <cell r="AI141">
            <v>0</v>
          </cell>
          <cell r="AJ141">
            <v>0</v>
          </cell>
          <cell r="AK141">
            <v>0</v>
          </cell>
          <cell r="AL141">
            <v>0</v>
          </cell>
          <cell r="AM141">
            <v>4</v>
          </cell>
          <cell r="AN141">
            <v>0</v>
          </cell>
          <cell r="BO141" t="str">
            <v>RS 008</v>
          </cell>
          <cell r="BP141">
            <v>1.5</v>
          </cell>
          <cell r="BQ141">
            <v>6.7</v>
          </cell>
          <cell r="BR141" t="str">
            <v>R</v>
          </cell>
          <cell r="BS141">
            <v>0</v>
          </cell>
          <cell r="BT141">
            <v>0</v>
          </cell>
          <cell r="BU141" t="str">
            <v>ST</v>
          </cell>
          <cell r="BV141" t="str">
            <v>DS</v>
          </cell>
          <cell r="BW141">
            <v>4</v>
          </cell>
          <cell r="BX141">
            <v>10</v>
          </cell>
          <cell r="BY141">
            <v>15</v>
          </cell>
          <cell r="BZ141">
            <v>1</v>
          </cell>
          <cell r="CA141">
            <v>13</v>
          </cell>
          <cell r="CB141">
            <v>1.3540000000000001</v>
          </cell>
          <cell r="CC141">
            <v>5.5</v>
          </cell>
          <cell r="CD141">
            <v>80</v>
          </cell>
          <cell r="CE141">
            <v>30</v>
          </cell>
          <cell r="CF141">
            <v>15</v>
          </cell>
          <cell r="CG141">
            <v>65</v>
          </cell>
          <cell r="CH141">
            <v>15</v>
          </cell>
          <cell r="CI141">
            <v>85</v>
          </cell>
          <cell r="CJ141">
            <v>0.2537313432835821</v>
          </cell>
          <cell r="CK141">
            <v>10</v>
          </cell>
          <cell r="CL141">
            <v>15</v>
          </cell>
          <cell r="CM141">
            <v>0.29506314580941445</v>
          </cell>
          <cell r="CN141">
            <v>0.29506314580941445</v>
          </cell>
          <cell r="CO141">
            <v>0</v>
          </cell>
          <cell r="CP141">
            <v>0</v>
          </cell>
          <cell r="CQ141">
            <v>5.7950631458094142</v>
          </cell>
          <cell r="CR141">
            <v>5</v>
          </cell>
          <cell r="CS141">
            <v>1</v>
          </cell>
          <cell r="CT141">
            <v>0</v>
          </cell>
          <cell r="CU141">
            <v>0</v>
          </cell>
          <cell r="CV141">
            <v>11</v>
          </cell>
          <cell r="CW141">
            <v>18</v>
          </cell>
          <cell r="CX141">
            <v>36</v>
          </cell>
          <cell r="CY141">
            <v>2</v>
          </cell>
          <cell r="CZ141">
            <v>2</v>
          </cell>
          <cell r="DA141">
            <v>2</v>
          </cell>
          <cell r="DB141">
            <v>119</v>
          </cell>
          <cell r="DC141">
            <v>56</v>
          </cell>
          <cell r="DD141">
            <v>31</v>
          </cell>
          <cell r="DE141">
            <v>9</v>
          </cell>
          <cell r="DF141">
            <v>14</v>
          </cell>
          <cell r="DG141">
            <v>3</v>
          </cell>
          <cell r="DH141">
            <v>2</v>
          </cell>
          <cell r="DI141">
            <v>6</v>
          </cell>
        </row>
        <row r="142">
          <cell r="A142" t="str">
            <v>RS 009</v>
          </cell>
          <cell r="B142" t="str">
            <v>9</v>
          </cell>
          <cell r="C142" t="str">
            <v>N</v>
          </cell>
          <cell r="D142" t="str">
            <v>T</v>
          </cell>
          <cell r="E142" t="str">
            <v>Njakwa - Rumphi</v>
          </cell>
          <cell r="F142" t="str">
            <v>M24</v>
          </cell>
          <cell r="G142">
            <v>2</v>
          </cell>
          <cell r="H142">
            <v>8.5</v>
          </cell>
          <cell r="I142" t="str">
            <v>R</v>
          </cell>
          <cell r="J142" t="str">
            <v>RUMPHI</v>
          </cell>
          <cell r="K142">
            <v>3</v>
          </cell>
          <cell r="L142">
            <v>0</v>
          </cell>
          <cell r="W142">
            <v>80</v>
          </cell>
          <cell r="X142" t="str">
            <v>DS</v>
          </cell>
          <cell r="Y142">
            <v>150</v>
          </cell>
          <cell r="Z142" t="str">
            <v>SB</v>
          </cell>
          <cell r="AA142">
            <v>100</v>
          </cell>
          <cell r="AB142" t="str">
            <v>GR</v>
          </cell>
          <cell r="AC142">
            <v>13</v>
          </cell>
          <cell r="AD142" t="str">
            <v>VR</v>
          </cell>
          <cell r="AE142">
            <v>87</v>
          </cell>
          <cell r="AF142" t="str">
            <v>SR</v>
          </cell>
          <cell r="AG142" t="str">
            <v>ST</v>
          </cell>
          <cell r="AH142">
            <v>10</v>
          </cell>
          <cell r="AI142">
            <v>0</v>
          </cell>
          <cell r="AJ142">
            <v>0</v>
          </cell>
          <cell r="AK142">
            <v>0</v>
          </cell>
          <cell r="AL142">
            <v>0</v>
          </cell>
          <cell r="AM142">
            <v>4</v>
          </cell>
          <cell r="AN142">
            <v>0</v>
          </cell>
          <cell r="BO142" t="str">
            <v>RS 009</v>
          </cell>
          <cell r="BP142">
            <v>8.5</v>
          </cell>
          <cell r="BQ142">
            <v>6.7</v>
          </cell>
          <cell r="BR142" t="str">
            <v>R</v>
          </cell>
          <cell r="BS142">
            <v>0</v>
          </cell>
          <cell r="BT142">
            <v>0</v>
          </cell>
          <cell r="BU142" t="str">
            <v>ST</v>
          </cell>
          <cell r="BV142" t="str">
            <v>DS</v>
          </cell>
          <cell r="BW142">
            <v>4</v>
          </cell>
          <cell r="BX142">
            <v>10</v>
          </cell>
          <cell r="BY142">
            <v>15</v>
          </cell>
          <cell r="BZ142">
            <v>1</v>
          </cell>
          <cell r="CA142">
            <v>13</v>
          </cell>
          <cell r="CB142">
            <v>1.3540000000000001</v>
          </cell>
          <cell r="CC142">
            <v>5.5</v>
          </cell>
          <cell r="CD142">
            <v>70</v>
          </cell>
          <cell r="CE142">
            <v>40</v>
          </cell>
          <cell r="CF142">
            <v>25</v>
          </cell>
          <cell r="CG142">
            <v>45</v>
          </cell>
          <cell r="CH142">
            <v>15</v>
          </cell>
          <cell r="CI142">
            <v>90</v>
          </cell>
          <cell r="CJ142">
            <v>0.26865671641791045</v>
          </cell>
          <cell r="CK142">
            <v>10</v>
          </cell>
          <cell r="CL142">
            <v>25</v>
          </cell>
          <cell r="CM142">
            <v>0.36685419058553392</v>
          </cell>
          <cell r="CN142">
            <v>0.36685419058553392</v>
          </cell>
          <cell r="CO142">
            <v>0</v>
          </cell>
          <cell r="CP142">
            <v>0</v>
          </cell>
          <cell r="CQ142">
            <v>5.866854190585534</v>
          </cell>
          <cell r="CR142">
            <v>5</v>
          </cell>
          <cell r="CS142">
            <v>1</v>
          </cell>
          <cell r="CT142">
            <v>0</v>
          </cell>
          <cell r="CU142">
            <v>0</v>
          </cell>
          <cell r="CV142">
            <v>11</v>
          </cell>
          <cell r="CW142">
            <v>18</v>
          </cell>
          <cell r="CX142">
            <v>36</v>
          </cell>
          <cell r="CY142">
            <v>2</v>
          </cell>
          <cell r="CZ142">
            <v>2</v>
          </cell>
          <cell r="DA142">
            <v>2</v>
          </cell>
          <cell r="DB142">
            <v>119</v>
          </cell>
          <cell r="DC142">
            <v>56</v>
          </cell>
          <cell r="DD142">
            <v>31</v>
          </cell>
          <cell r="DE142">
            <v>9</v>
          </cell>
          <cell r="DF142">
            <v>14</v>
          </cell>
          <cell r="DG142">
            <v>3</v>
          </cell>
          <cell r="DH142">
            <v>2</v>
          </cell>
          <cell r="DI142">
            <v>6</v>
          </cell>
        </row>
        <row r="143">
          <cell r="A143" t="str">
            <v>RS 592</v>
          </cell>
          <cell r="B143">
            <v>414</v>
          </cell>
          <cell r="C143" t="str">
            <v>C</v>
          </cell>
          <cell r="D143" t="str">
            <v>T</v>
          </cell>
          <cell r="E143" t="str">
            <v>Kia - Kia Turn Off (Lilongwe airport road)</v>
          </cell>
          <cell r="F143" t="str">
            <v>M30</v>
          </cell>
          <cell r="G143">
            <v>1</v>
          </cell>
          <cell r="H143">
            <v>4.3</v>
          </cell>
          <cell r="I143" t="str">
            <v>F</v>
          </cell>
          <cell r="J143" t="str">
            <v>LILONGWE</v>
          </cell>
          <cell r="K143">
            <v>6</v>
          </cell>
          <cell r="L143" t="str">
            <v>Changed designation from T361 to M30</v>
          </cell>
          <cell r="W143">
            <v>85</v>
          </cell>
          <cell r="X143" t="str">
            <v>DS</v>
          </cell>
          <cell r="Y143">
            <v>150</v>
          </cell>
          <cell r="Z143" t="str">
            <v>GR</v>
          </cell>
          <cell r="AA143">
            <v>100</v>
          </cell>
          <cell r="AB143" t="str">
            <v>GR</v>
          </cell>
          <cell r="AC143">
            <v>25</v>
          </cell>
          <cell r="AD143" t="str">
            <v>PM</v>
          </cell>
          <cell r="AE143">
            <v>0</v>
          </cell>
          <cell r="AF143">
            <v>0</v>
          </cell>
          <cell r="AG143">
            <v>0</v>
          </cell>
          <cell r="AH143">
            <v>0</v>
          </cell>
          <cell r="AI143">
            <v>0</v>
          </cell>
          <cell r="AJ143">
            <v>0</v>
          </cell>
          <cell r="AK143">
            <v>0</v>
          </cell>
          <cell r="AL143">
            <v>0</v>
          </cell>
          <cell r="AM143">
            <v>1</v>
          </cell>
          <cell r="AN143">
            <v>0</v>
          </cell>
          <cell r="BO143" t="str">
            <v>RS 592</v>
          </cell>
          <cell r="BP143">
            <v>4.3</v>
          </cell>
          <cell r="BQ143">
            <v>6.7</v>
          </cell>
          <cell r="BR143" t="str">
            <v>F</v>
          </cell>
          <cell r="BS143">
            <v>0</v>
          </cell>
          <cell r="BT143">
            <v>0</v>
          </cell>
          <cell r="BU143" t="str">
            <v>DS</v>
          </cell>
          <cell r="BV143">
            <v>0</v>
          </cell>
          <cell r="BW143">
            <v>1</v>
          </cell>
          <cell r="BX143">
            <v>15</v>
          </cell>
          <cell r="BY143" t="str">
            <v xml:space="preserve"> </v>
          </cell>
          <cell r="BZ143">
            <v>1</v>
          </cell>
          <cell r="CA143">
            <v>25</v>
          </cell>
          <cell r="CB143">
            <v>1.077</v>
          </cell>
          <cell r="CC143">
            <v>3.55</v>
          </cell>
          <cell r="CD143">
            <v>15</v>
          </cell>
          <cell r="CE143">
            <v>0</v>
          </cell>
          <cell r="CF143">
            <v>0</v>
          </cell>
          <cell r="CG143">
            <v>15</v>
          </cell>
          <cell r="CH143">
            <v>0</v>
          </cell>
          <cell r="CI143">
            <v>0</v>
          </cell>
          <cell r="CJ143">
            <v>0</v>
          </cell>
          <cell r="CK143">
            <v>0</v>
          </cell>
          <cell r="CL143">
            <v>0</v>
          </cell>
          <cell r="CM143">
            <v>0</v>
          </cell>
          <cell r="CN143">
            <v>0</v>
          </cell>
          <cell r="CO143">
            <v>0</v>
          </cell>
          <cell r="CP143">
            <v>0</v>
          </cell>
          <cell r="CQ143">
            <v>3.55</v>
          </cell>
          <cell r="CR143">
            <v>1</v>
          </cell>
          <cell r="CS143">
            <v>0</v>
          </cell>
          <cell r="CT143">
            <v>0</v>
          </cell>
          <cell r="CU143">
            <v>0</v>
          </cell>
          <cell r="CV143">
            <v>13</v>
          </cell>
          <cell r="CW143">
            <v>13</v>
          </cell>
          <cell r="CX143" t="str">
            <v xml:space="preserve"> </v>
          </cell>
          <cell r="CY143">
            <v>1</v>
          </cell>
          <cell r="CZ143">
            <v>1</v>
          </cell>
          <cell r="DA143">
            <v>1</v>
          </cell>
          <cell r="DB143">
            <v>500</v>
          </cell>
          <cell r="DC143">
            <v>235</v>
          </cell>
          <cell r="DD143">
            <v>130</v>
          </cell>
          <cell r="DE143">
            <v>38</v>
          </cell>
          <cell r="DF143">
            <v>58</v>
          </cell>
          <cell r="DG143">
            <v>10</v>
          </cell>
          <cell r="DH143">
            <v>5</v>
          </cell>
          <cell r="DI143">
            <v>25</v>
          </cell>
        </row>
        <row r="144">
          <cell r="A144" t="str">
            <v>RS 194</v>
          </cell>
          <cell r="B144">
            <v>16</v>
          </cell>
          <cell r="C144" t="str">
            <v>N</v>
          </cell>
          <cell r="D144" t="str">
            <v>T</v>
          </cell>
          <cell r="E144" t="str">
            <v>Chilumba Jetty - junction M1</v>
          </cell>
          <cell r="F144" t="str">
            <v>S102</v>
          </cell>
          <cell r="G144">
            <v>1</v>
          </cell>
          <cell r="H144">
            <v>5.9</v>
          </cell>
          <cell r="I144" t="str">
            <v>F</v>
          </cell>
          <cell r="J144" t="str">
            <v>KARONGA</v>
          </cell>
          <cell r="K144">
            <v>2</v>
          </cell>
          <cell r="L144">
            <v>0</v>
          </cell>
          <cell r="W144">
            <v>80</v>
          </cell>
          <cell r="X144" t="str">
            <v>ST</v>
          </cell>
          <cell r="Y144">
            <v>100</v>
          </cell>
          <cell r="Z144" t="str">
            <v>GR</v>
          </cell>
          <cell r="AA144">
            <v>100</v>
          </cell>
          <cell r="AB144" t="str">
            <v>GR</v>
          </cell>
          <cell r="AC144">
            <v>10</v>
          </cell>
          <cell r="AD144" t="str">
            <v>PM</v>
          </cell>
          <cell r="AE144">
            <v>0</v>
          </cell>
          <cell r="AF144">
            <v>0</v>
          </cell>
          <cell r="AG144">
            <v>0</v>
          </cell>
          <cell r="AH144">
            <v>0</v>
          </cell>
          <cell r="AI144">
            <v>0</v>
          </cell>
          <cell r="AJ144">
            <v>0</v>
          </cell>
          <cell r="AK144">
            <v>0</v>
          </cell>
          <cell r="AL144">
            <v>0</v>
          </cell>
          <cell r="AM144">
            <v>1</v>
          </cell>
          <cell r="AN144">
            <v>0</v>
          </cell>
          <cell r="BO144" t="str">
            <v>RS 194</v>
          </cell>
          <cell r="BP144">
            <v>5.9</v>
          </cell>
          <cell r="BQ144">
            <v>5.5</v>
          </cell>
          <cell r="BR144" t="str">
            <v>F</v>
          </cell>
          <cell r="BS144">
            <v>0</v>
          </cell>
          <cell r="BT144">
            <v>0</v>
          </cell>
          <cell r="BU144" t="str">
            <v>ST</v>
          </cell>
          <cell r="BV144">
            <v>0</v>
          </cell>
          <cell r="BW144">
            <v>1</v>
          </cell>
          <cell r="BX144">
            <v>10</v>
          </cell>
          <cell r="BY144" t="str">
            <v xml:space="preserve"> </v>
          </cell>
          <cell r="BZ144">
            <v>1</v>
          </cell>
          <cell r="CA144">
            <v>10</v>
          </cell>
          <cell r="CB144">
            <v>0.90800000000000003</v>
          </cell>
          <cell r="CC144">
            <v>7.65</v>
          </cell>
          <cell r="CD144">
            <v>75</v>
          </cell>
          <cell r="CE144">
            <v>60</v>
          </cell>
          <cell r="CF144">
            <v>45</v>
          </cell>
          <cell r="CG144">
            <v>30</v>
          </cell>
          <cell r="CH144">
            <v>15</v>
          </cell>
          <cell r="CI144">
            <v>100</v>
          </cell>
          <cell r="CJ144">
            <v>0.36363636363636365</v>
          </cell>
          <cell r="CK144">
            <v>10</v>
          </cell>
          <cell r="CL144">
            <v>45</v>
          </cell>
          <cell r="CM144">
            <v>0.53503496503496506</v>
          </cell>
          <cell r="CN144">
            <v>0.53503496503496506</v>
          </cell>
          <cell r="CO144">
            <v>0</v>
          </cell>
          <cell r="CP144">
            <v>0</v>
          </cell>
          <cell r="CQ144">
            <v>8.1850349650349656</v>
          </cell>
          <cell r="CR144">
            <v>0</v>
          </cell>
          <cell r="CS144">
            <v>0</v>
          </cell>
          <cell r="CT144">
            <v>0</v>
          </cell>
          <cell r="CU144">
            <v>0</v>
          </cell>
          <cell r="CV144">
            <v>18</v>
          </cell>
          <cell r="CW144">
            <v>18</v>
          </cell>
          <cell r="CX144" t="str">
            <v xml:space="preserve"> </v>
          </cell>
          <cell r="CY144">
            <v>2</v>
          </cell>
          <cell r="CZ144">
            <v>1.5</v>
          </cell>
          <cell r="DA144">
            <v>1.5</v>
          </cell>
          <cell r="DB144">
            <v>60</v>
          </cell>
          <cell r="DC144">
            <v>29</v>
          </cell>
          <cell r="DD144">
            <v>16</v>
          </cell>
          <cell r="DE144">
            <v>5</v>
          </cell>
          <cell r="DF144">
            <v>7</v>
          </cell>
          <cell r="DG144">
            <v>2</v>
          </cell>
          <cell r="DH144">
            <v>1</v>
          </cell>
          <cell r="DI144">
            <v>3</v>
          </cell>
        </row>
        <row r="145">
          <cell r="A145" t="str">
            <v>RS 163</v>
          </cell>
          <cell r="B145">
            <v>163</v>
          </cell>
          <cell r="C145" t="str">
            <v>C</v>
          </cell>
          <cell r="D145" t="str">
            <v>T</v>
          </cell>
          <cell r="E145" t="str">
            <v>Lifupa Road (in Kasungu National Park)</v>
          </cell>
          <cell r="F145" t="str">
            <v>S114</v>
          </cell>
          <cell r="G145">
            <v>2</v>
          </cell>
          <cell r="H145">
            <v>3.2</v>
          </cell>
          <cell r="I145" t="str">
            <v>F</v>
          </cell>
          <cell r="J145" t="str">
            <v>KASUNGU</v>
          </cell>
          <cell r="K145">
            <v>5</v>
          </cell>
          <cell r="L145" t="str">
            <v>Changed from urban to trunk</v>
          </cell>
          <cell r="W145" t="str">
            <v>very old origional</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t="str">
            <v>bitumen removed</v>
          </cell>
          <cell r="BO145" t="str">
            <v>RS 163</v>
          </cell>
          <cell r="BP145">
            <v>3.2</v>
          </cell>
          <cell r="BQ145" t="str">
            <v>n.a.</v>
          </cell>
          <cell r="BR145" t="str">
            <v>F</v>
          </cell>
          <cell r="BS145" t="str">
            <v>X</v>
          </cell>
          <cell r="BT145">
            <v>100</v>
          </cell>
          <cell r="BU145">
            <v>0</v>
          </cell>
          <cell r="BV145">
            <v>0</v>
          </cell>
          <cell r="BW145">
            <v>0</v>
          </cell>
          <cell r="BX145" t="str">
            <v xml:space="preserve"> </v>
          </cell>
          <cell r="BY145" t="str">
            <v xml:space="preserve"> </v>
          </cell>
          <cell r="BZ145">
            <v>0</v>
          </cell>
          <cell r="CA145" t="str">
            <v xml:space="preserve"> </v>
          </cell>
          <cell r="CB145" t="str">
            <v xml:space="preserve"> </v>
          </cell>
          <cell r="CC145" t="str">
            <v>bitumen surface removed</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t="str">
            <v>n.a</v>
          </cell>
          <cell r="CW145" t="str">
            <v>n.a.</v>
          </cell>
          <cell r="CX145">
            <v>0</v>
          </cell>
          <cell r="CY145" t="str">
            <v>n.a.</v>
          </cell>
          <cell r="CZ145" t="str">
            <v>n.a.</v>
          </cell>
          <cell r="DA145">
            <v>2.5</v>
          </cell>
          <cell r="DB145">
            <v>50</v>
          </cell>
          <cell r="DC145">
            <v>24</v>
          </cell>
          <cell r="DD145">
            <v>13</v>
          </cell>
          <cell r="DE145">
            <v>4</v>
          </cell>
          <cell r="DF145">
            <v>6</v>
          </cell>
          <cell r="DG145">
            <v>1</v>
          </cell>
          <cell r="DH145">
            <v>1</v>
          </cell>
          <cell r="DI145">
            <v>3</v>
          </cell>
        </row>
        <row r="146">
          <cell r="A146" t="str">
            <v>RS 237</v>
          </cell>
          <cell r="B146">
            <v>59</v>
          </cell>
          <cell r="C146" t="str">
            <v>C</v>
          </cell>
          <cell r="D146" t="str">
            <v>T</v>
          </cell>
          <cell r="E146" t="str">
            <v>Bua River Bridge  - Kapiri</v>
          </cell>
          <cell r="F146" t="str">
            <v>S116</v>
          </cell>
          <cell r="G146">
            <v>7</v>
          </cell>
          <cell r="H146">
            <v>29.3</v>
          </cell>
          <cell r="I146" t="str">
            <v>F</v>
          </cell>
          <cell r="J146" t="str">
            <v>KASUNGU</v>
          </cell>
          <cell r="K146">
            <v>5</v>
          </cell>
          <cell r="L146">
            <v>0</v>
          </cell>
          <cell r="W146">
            <v>98</v>
          </cell>
          <cell r="X146" t="str">
            <v>DS</v>
          </cell>
          <cell r="Y146">
            <v>150</v>
          </cell>
          <cell r="Z146" t="str">
            <v>GR</v>
          </cell>
          <cell r="AA146">
            <v>150</v>
          </cell>
          <cell r="AB146" t="str">
            <v>GR</v>
          </cell>
          <cell r="AC146">
            <v>5</v>
          </cell>
          <cell r="AD146" t="str">
            <v>AM</v>
          </cell>
          <cell r="AE146">
            <v>0</v>
          </cell>
          <cell r="AF146">
            <v>0</v>
          </cell>
          <cell r="AG146">
            <v>0</v>
          </cell>
          <cell r="AH146">
            <v>0</v>
          </cell>
          <cell r="AI146">
            <v>0</v>
          </cell>
          <cell r="AJ146">
            <v>0</v>
          </cell>
          <cell r="AK146">
            <v>0</v>
          </cell>
          <cell r="AL146">
            <v>0</v>
          </cell>
          <cell r="AM146">
            <v>1</v>
          </cell>
          <cell r="AN146" t="str">
            <v>never resealed</v>
          </cell>
          <cell r="BO146" t="str">
            <v>RS 237</v>
          </cell>
          <cell r="BP146">
            <v>29.3</v>
          </cell>
          <cell r="BQ146">
            <v>6.7</v>
          </cell>
          <cell r="BR146" t="str">
            <v>F</v>
          </cell>
          <cell r="BS146">
            <v>0</v>
          </cell>
          <cell r="BT146">
            <v>0</v>
          </cell>
          <cell r="BU146" t="str">
            <v>DS</v>
          </cell>
          <cell r="BV146">
            <v>0</v>
          </cell>
          <cell r="BW146">
            <v>1</v>
          </cell>
          <cell r="BX146">
            <v>15</v>
          </cell>
          <cell r="BY146" t="str">
            <v xml:space="preserve"> </v>
          </cell>
          <cell r="BZ146">
            <v>1</v>
          </cell>
          <cell r="CA146">
            <v>5</v>
          </cell>
          <cell r="CB146">
            <v>1.5270000000000001</v>
          </cell>
          <cell r="CC146">
            <v>3.3</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3.3</v>
          </cell>
          <cell r="CR146">
            <v>0</v>
          </cell>
          <cell r="CS146">
            <v>1</v>
          </cell>
          <cell r="CT146">
            <v>0</v>
          </cell>
          <cell r="CU146">
            <v>0</v>
          </cell>
          <cell r="CV146">
            <v>0</v>
          </cell>
          <cell r="CW146">
            <v>0</v>
          </cell>
          <cell r="CX146" t="str">
            <v xml:space="preserve"> </v>
          </cell>
          <cell r="CY146">
            <v>1</v>
          </cell>
          <cell r="CZ146">
            <v>1</v>
          </cell>
          <cell r="DA146">
            <v>1</v>
          </cell>
          <cell r="DB146">
            <v>80</v>
          </cell>
          <cell r="DC146">
            <v>38</v>
          </cell>
          <cell r="DD146">
            <v>21</v>
          </cell>
          <cell r="DE146">
            <v>6</v>
          </cell>
          <cell r="DF146">
            <v>10</v>
          </cell>
          <cell r="DG146">
            <v>2</v>
          </cell>
          <cell r="DH146">
            <v>1</v>
          </cell>
          <cell r="DI146">
            <v>4</v>
          </cell>
        </row>
        <row r="147">
          <cell r="A147" t="str">
            <v>RS 240</v>
          </cell>
          <cell r="B147">
            <v>62</v>
          </cell>
          <cell r="C147" t="str">
            <v>C</v>
          </cell>
          <cell r="D147" t="str">
            <v>T</v>
          </cell>
          <cell r="E147" t="str">
            <v>Kapiri - Matutu</v>
          </cell>
          <cell r="F147" t="str">
            <v>S116</v>
          </cell>
          <cell r="G147">
            <v>8</v>
          </cell>
          <cell r="H147">
            <v>24</v>
          </cell>
          <cell r="I147" t="str">
            <v>F</v>
          </cell>
          <cell r="J147" t="str">
            <v>MCHINJI</v>
          </cell>
          <cell r="K147" t="str">
            <v>5,6</v>
          </cell>
          <cell r="L147">
            <v>0</v>
          </cell>
          <cell r="W147">
            <v>98</v>
          </cell>
          <cell r="X147" t="str">
            <v>DS</v>
          </cell>
          <cell r="Y147">
            <v>150</v>
          </cell>
          <cell r="Z147" t="str">
            <v>GR</v>
          </cell>
          <cell r="AA147">
            <v>150</v>
          </cell>
          <cell r="AB147" t="str">
            <v>GR</v>
          </cell>
          <cell r="AC147">
            <v>5</v>
          </cell>
          <cell r="AD147" t="str">
            <v>AM</v>
          </cell>
          <cell r="AE147">
            <v>0</v>
          </cell>
          <cell r="AF147">
            <v>0</v>
          </cell>
          <cell r="AG147">
            <v>0</v>
          </cell>
          <cell r="AH147">
            <v>0</v>
          </cell>
          <cell r="AI147">
            <v>0</v>
          </cell>
          <cell r="AJ147">
            <v>0</v>
          </cell>
          <cell r="AK147">
            <v>0</v>
          </cell>
          <cell r="AL147">
            <v>0</v>
          </cell>
          <cell r="AM147">
            <v>1</v>
          </cell>
          <cell r="AN147" t="str">
            <v>never resealed</v>
          </cell>
          <cell r="BO147" t="str">
            <v>RS 240</v>
          </cell>
          <cell r="BP147">
            <v>24</v>
          </cell>
          <cell r="BQ147">
            <v>6.7</v>
          </cell>
          <cell r="BR147" t="str">
            <v>F</v>
          </cell>
          <cell r="BS147">
            <v>0</v>
          </cell>
          <cell r="BT147">
            <v>0</v>
          </cell>
          <cell r="BU147" t="str">
            <v>DS</v>
          </cell>
          <cell r="BV147">
            <v>0</v>
          </cell>
          <cell r="BW147">
            <v>1</v>
          </cell>
          <cell r="BX147">
            <v>15</v>
          </cell>
          <cell r="BY147" t="str">
            <v xml:space="preserve"> </v>
          </cell>
          <cell r="BZ147">
            <v>1</v>
          </cell>
          <cell r="CA147">
            <v>5</v>
          </cell>
          <cell r="CB147">
            <v>1.5270000000000001</v>
          </cell>
          <cell r="CC147">
            <v>3.27</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3.27</v>
          </cell>
          <cell r="CR147">
            <v>0</v>
          </cell>
          <cell r="CS147">
            <v>1</v>
          </cell>
          <cell r="CT147">
            <v>0</v>
          </cell>
          <cell r="CU147">
            <v>0</v>
          </cell>
          <cell r="CV147">
            <v>0</v>
          </cell>
          <cell r="CW147">
            <v>0</v>
          </cell>
          <cell r="CX147" t="str">
            <v xml:space="preserve"> </v>
          </cell>
          <cell r="CY147">
            <v>1</v>
          </cell>
          <cell r="CZ147">
            <v>1</v>
          </cell>
          <cell r="DA147">
            <v>1</v>
          </cell>
          <cell r="DB147">
            <v>80</v>
          </cell>
          <cell r="DC147">
            <v>38</v>
          </cell>
          <cell r="DD147">
            <v>21</v>
          </cell>
          <cell r="DE147">
            <v>6</v>
          </cell>
          <cell r="DF147">
            <v>10</v>
          </cell>
          <cell r="DG147">
            <v>2</v>
          </cell>
          <cell r="DH147">
            <v>1</v>
          </cell>
          <cell r="DI147">
            <v>4</v>
          </cell>
        </row>
        <row r="148">
          <cell r="A148" t="str">
            <v>RS 245</v>
          </cell>
          <cell r="B148">
            <v>67</v>
          </cell>
          <cell r="C148" t="str">
            <v>C</v>
          </cell>
          <cell r="D148" t="str">
            <v>T</v>
          </cell>
          <cell r="E148" t="str">
            <v>Kalolo - Santhe T.C.</v>
          </cell>
          <cell r="F148" t="str">
            <v>S117</v>
          </cell>
          <cell r="G148">
            <v>1</v>
          </cell>
          <cell r="H148">
            <v>22.9</v>
          </cell>
          <cell r="I148" t="str">
            <v>F</v>
          </cell>
          <cell r="J148" t="str">
            <v>KASUNGU</v>
          </cell>
          <cell r="K148" t="str">
            <v>5,6</v>
          </cell>
          <cell r="L148" t="str">
            <v>Part currently bitumen</v>
          </cell>
          <cell r="W148">
            <v>98</v>
          </cell>
          <cell r="X148" t="str">
            <v>DS</v>
          </cell>
          <cell r="Y148">
            <v>151</v>
          </cell>
          <cell r="Z148" t="str">
            <v>GR</v>
          </cell>
          <cell r="AA148">
            <v>151</v>
          </cell>
          <cell r="AB148" t="str">
            <v>GR</v>
          </cell>
          <cell r="AC148">
            <v>6</v>
          </cell>
          <cell r="AD148" t="str">
            <v>AM</v>
          </cell>
          <cell r="AE148">
            <v>0</v>
          </cell>
          <cell r="AF148">
            <v>0</v>
          </cell>
          <cell r="AG148">
            <v>0</v>
          </cell>
          <cell r="AH148">
            <v>0</v>
          </cell>
          <cell r="AI148">
            <v>0</v>
          </cell>
          <cell r="AJ148">
            <v>0</v>
          </cell>
          <cell r="AK148">
            <v>0</v>
          </cell>
          <cell r="AL148">
            <v>0</v>
          </cell>
          <cell r="AM148">
            <v>1</v>
          </cell>
          <cell r="AN148" t="str">
            <v>never resealed</v>
          </cell>
          <cell r="BO148" t="str">
            <v>RS 245</v>
          </cell>
          <cell r="BP148">
            <v>22.9</v>
          </cell>
          <cell r="BQ148">
            <v>6.7</v>
          </cell>
          <cell r="BR148" t="str">
            <v>F</v>
          </cell>
          <cell r="BS148">
            <v>0</v>
          </cell>
          <cell r="BT148">
            <v>0</v>
          </cell>
          <cell r="BU148" t="str">
            <v>DS</v>
          </cell>
          <cell r="BV148">
            <v>0</v>
          </cell>
          <cell r="BW148">
            <v>1</v>
          </cell>
          <cell r="BX148">
            <v>15</v>
          </cell>
          <cell r="BY148" t="str">
            <v xml:space="preserve"> </v>
          </cell>
          <cell r="BZ148">
            <v>1</v>
          </cell>
          <cell r="CA148">
            <v>6</v>
          </cell>
          <cell r="CB148">
            <v>1.536</v>
          </cell>
          <cell r="CC148">
            <v>3.3</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3.3</v>
          </cell>
          <cell r="CR148">
            <v>0</v>
          </cell>
          <cell r="CS148">
            <v>1</v>
          </cell>
          <cell r="CT148">
            <v>0</v>
          </cell>
          <cell r="CU148">
            <v>0</v>
          </cell>
          <cell r="CV148">
            <v>0</v>
          </cell>
          <cell r="CW148">
            <v>0</v>
          </cell>
          <cell r="CX148" t="str">
            <v xml:space="preserve"> </v>
          </cell>
          <cell r="CY148">
            <v>1</v>
          </cell>
          <cell r="CZ148">
            <v>1</v>
          </cell>
          <cell r="DA148">
            <v>1</v>
          </cell>
          <cell r="DB148">
            <v>60</v>
          </cell>
          <cell r="DC148">
            <v>29</v>
          </cell>
          <cell r="DD148">
            <v>16</v>
          </cell>
          <cell r="DE148">
            <v>5</v>
          </cell>
          <cell r="DF148">
            <v>7</v>
          </cell>
          <cell r="DG148">
            <v>2</v>
          </cell>
          <cell r="DH148">
            <v>1</v>
          </cell>
          <cell r="DI148">
            <v>3</v>
          </cell>
        </row>
        <row r="149">
          <cell r="A149" t="str">
            <v>RS 274</v>
          </cell>
          <cell r="B149">
            <v>96</v>
          </cell>
          <cell r="C149" t="str">
            <v>C</v>
          </cell>
          <cell r="D149" t="str">
            <v>T</v>
          </cell>
          <cell r="E149" t="str">
            <v>junction M5 - Salima railway crossing</v>
          </cell>
          <cell r="F149" t="str">
            <v>S122</v>
          </cell>
          <cell r="G149">
            <v>1</v>
          </cell>
          <cell r="H149">
            <v>4.2</v>
          </cell>
          <cell r="I149" t="str">
            <v>F</v>
          </cell>
          <cell r="J149" t="str">
            <v>SALIMA</v>
          </cell>
          <cell r="K149">
            <v>7</v>
          </cell>
          <cell r="L149">
            <v>0</v>
          </cell>
          <cell r="W149">
            <v>76</v>
          </cell>
          <cell r="X149" t="str">
            <v>ST</v>
          </cell>
          <cell r="Y149">
            <v>150</v>
          </cell>
          <cell r="Z149" t="str">
            <v>GR</v>
          </cell>
          <cell r="AA149">
            <v>100</v>
          </cell>
          <cell r="AB149" t="str">
            <v>GR</v>
          </cell>
          <cell r="AC149">
            <v>8</v>
          </cell>
          <cell r="AD149" t="str">
            <v>VR</v>
          </cell>
          <cell r="AE149">
            <v>0</v>
          </cell>
          <cell r="AF149">
            <v>0</v>
          </cell>
          <cell r="AG149">
            <v>0</v>
          </cell>
          <cell r="AH149">
            <v>0</v>
          </cell>
          <cell r="AI149">
            <v>0</v>
          </cell>
          <cell r="AJ149">
            <v>0</v>
          </cell>
          <cell r="AK149">
            <v>0</v>
          </cell>
          <cell r="AL149">
            <v>0</v>
          </cell>
          <cell r="AM149">
            <v>1</v>
          </cell>
          <cell r="AN149" t="str">
            <v>never resealed</v>
          </cell>
          <cell r="BO149" t="str">
            <v>RS 274</v>
          </cell>
          <cell r="BP149">
            <v>4.2</v>
          </cell>
          <cell r="BQ149">
            <v>6</v>
          </cell>
          <cell r="BR149" t="str">
            <v>F</v>
          </cell>
          <cell r="BS149">
            <v>0</v>
          </cell>
          <cell r="BT149">
            <v>0</v>
          </cell>
          <cell r="BU149" t="str">
            <v>ST</v>
          </cell>
          <cell r="BV149">
            <v>0</v>
          </cell>
          <cell r="BW149">
            <v>1</v>
          </cell>
          <cell r="BX149">
            <v>10</v>
          </cell>
          <cell r="BY149" t="str">
            <v xml:space="preserve"> </v>
          </cell>
          <cell r="BZ149">
            <v>1</v>
          </cell>
          <cell r="CA149">
            <v>8</v>
          </cell>
          <cell r="CB149">
            <v>0.90800000000000003</v>
          </cell>
          <cell r="CC149">
            <v>6.5</v>
          </cell>
          <cell r="CD149">
            <v>90</v>
          </cell>
          <cell r="CE149">
            <v>65</v>
          </cell>
          <cell r="CF149">
            <v>50</v>
          </cell>
          <cell r="CG149">
            <v>40</v>
          </cell>
          <cell r="CH149">
            <v>15</v>
          </cell>
          <cell r="CI149">
            <v>79</v>
          </cell>
          <cell r="CJ149">
            <v>0.26333333333333336</v>
          </cell>
          <cell r="CK149">
            <v>10</v>
          </cell>
          <cell r="CL149">
            <v>50</v>
          </cell>
          <cell r="CM149">
            <v>0.53022820512820512</v>
          </cell>
          <cell r="CN149">
            <v>0.53022820512820512</v>
          </cell>
          <cell r="CO149">
            <v>0</v>
          </cell>
          <cell r="CP149">
            <v>0</v>
          </cell>
          <cell r="CQ149">
            <v>7.0302282051282052</v>
          </cell>
          <cell r="CR149">
            <v>5</v>
          </cell>
          <cell r="CS149">
            <v>0</v>
          </cell>
          <cell r="CT149">
            <v>0</v>
          </cell>
          <cell r="CU149">
            <v>1</v>
          </cell>
          <cell r="CV149">
            <v>22</v>
          </cell>
          <cell r="CW149">
            <v>22</v>
          </cell>
          <cell r="CX149" t="str">
            <v xml:space="preserve"> </v>
          </cell>
          <cell r="CY149">
            <v>2</v>
          </cell>
          <cell r="CZ149">
            <v>1</v>
          </cell>
          <cell r="DA149">
            <v>1</v>
          </cell>
          <cell r="DB149">
            <v>470</v>
          </cell>
          <cell r="DC149">
            <v>221</v>
          </cell>
          <cell r="DD149">
            <v>123</v>
          </cell>
          <cell r="DE149">
            <v>36</v>
          </cell>
          <cell r="DF149">
            <v>55</v>
          </cell>
          <cell r="DG149">
            <v>10</v>
          </cell>
          <cell r="DH149">
            <v>5</v>
          </cell>
          <cell r="DI149">
            <v>24</v>
          </cell>
        </row>
        <row r="150">
          <cell r="A150" t="str">
            <v>RS 276</v>
          </cell>
          <cell r="B150">
            <v>98</v>
          </cell>
          <cell r="C150" t="str">
            <v>C</v>
          </cell>
          <cell r="D150" t="str">
            <v>T</v>
          </cell>
          <cell r="E150" t="str">
            <v>Salima railway crossing - Mikute</v>
          </cell>
          <cell r="F150" t="str">
            <v>S122</v>
          </cell>
          <cell r="G150">
            <v>2</v>
          </cell>
          <cell r="H150">
            <v>14.4</v>
          </cell>
          <cell r="I150" t="str">
            <v>F</v>
          </cell>
          <cell r="J150" t="str">
            <v>SALIMA</v>
          </cell>
          <cell r="K150">
            <v>7</v>
          </cell>
          <cell r="L150">
            <v>0</v>
          </cell>
          <cell r="W150">
            <v>76</v>
          </cell>
          <cell r="X150" t="str">
            <v>ST</v>
          </cell>
          <cell r="Y150">
            <v>150</v>
          </cell>
          <cell r="Z150" t="str">
            <v>GR</v>
          </cell>
          <cell r="AA150">
            <v>100</v>
          </cell>
          <cell r="AB150" t="str">
            <v>GR</v>
          </cell>
          <cell r="AC150">
            <v>8</v>
          </cell>
          <cell r="AD150" t="str">
            <v>VR</v>
          </cell>
          <cell r="AE150">
            <v>0</v>
          </cell>
          <cell r="AF150">
            <v>0</v>
          </cell>
          <cell r="AG150">
            <v>0</v>
          </cell>
          <cell r="AH150">
            <v>0</v>
          </cell>
          <cell r="AI150">
            <v>0</v>
          </cell>
          <cell r="AJ150">
            <v>0</v>
          </cell>
          <cell r="AK150">
            <v>0</v>
          </cell>
          <cell r="AL150">
            <v>0</v>
          </cell>
          <cell r="AM150">
            <v>1</v>
          </cell>
          <cell r="AN150" t="str">
            <v>never resealed</v>
          </cell>
          <cell r="BO150" t="str">
            <v>RS 276</v>
          </cell>
          <cell r="BP150">
            <v>14.4</v>
          </cell>
          <cell r="BQ150">
            <v>6</v>
          </cell>
          <cell r="BR150" t="str">
            <v>F</v>
          </cell>
          <cell r="BS150">
            <v>0</v>
          </cell>
          <cell r="BT150">
            <v>0</v>
          </cell>
          <cell r="BU150" t="str">
            <v>ST</v>
          </cell>
          <cell r="BV150">
            <v>0</v>
          </cell>
          <cell r="BW150">
            <v>1</v>
          </cell>
          <cell r="BX150">
            <v>10</v>
          </cell>
          <cell r="BY150" t="str">
            <v xml:space="preserve"> </v>
          </cell>
          <cell r="BZ150">
            <v>1</v>
          </cell>
          <cell r="CA150">
            <v>8</v>
          </cell>
          <cell r="CB150">
            <v>0.90800000000000003</v>
          </cell>
          <cell r="CC150">
            <v>6.58</v>
          </cell>
          <cell r="CD150">
            <v>95</v>
          </cell>
          <cell r="CE150">
            <v>45</v>
          </cell>
          <cell r="CF150">
            <v>30</v>
          </cell>
          <cell r="CG150">
            <v>65</v>
          </cell>
          <cell r="CH150">
            <v>15</v>
          </cell>
          <cell r="CI150">
            <v>8</v>
          </cell>
          <cell r="CJ150">
            <v>2.6666666666666668E-2</v>
          </cell>
          <cell r="CK150">
            <v>10</v>
          </cell>
          <cell r="CL150">
            <v>30</v>
          </cell>
          <cell r="CM150">
            <v>0.30853333333333333</v>
          </cell>
          <cell r="CN150">
            <v>0.30853333333333333</v>
          </cell>
          <cell r="CO150">
            <v>0</v>
          </cell>
          <cell r="CP150">
            <v>0</v>
          </cell>
          <cell r="CQ150">
            <v>6.8885333333333332</v>
          </cell>
          <cell r="CR150">
            <v>0</v>
          </cell>
          <cell r="CS150">
            <v>0</v>
          </cell>
          <cell r="CT150">
            <v>0</v>
          </cell>
          <cell r="CU150">
            <v>1</v>
          </cell>
          <cell r="CV150">
            <v>22</v>
          </cell>
          <cell r="CW150">
            <v>22</v>
          </cell>
          <cell r="CX150" t="str">
            <v xml:space="preserve"> </v>
          </cell>
          <cell r="CY150">
            <v>2.5</v>
          </cell>
          <cell r="CZ150">
            <v>2.5</v>
          </cell>
          <cell r="DA150">
            <v>1.3</v>
          </cell>
          <cell r="DB150">
            <v>370</v>
          </cell>
          <cell r="DC150">
            <v>174</v>
          </cell>
          <cell r="DD150">
            <v>97</v>
          </cell>
          <cell r="DE150">
            <v>28</v>
          </cell>
          <cell r="DF150">
            <v>43</v>
          </cell>
          <cell r="DG150">
            <v>8</v>
          </cell>
          <cell r="DH150">
            <v>4</v>
          </cell>
          <cell r="DI150">
            <v>19</v>
          </cell>
        </row>
        <row r="151">
          <cell r="A151" t="str">
            <v>RS 275</v>
          </cell>
          <cell r="B151">
            <v>97</v>
          </cell>
          <cell r="C151" t="str">
            <v>C</v>
          </cell>
          <cell r="D151" t="str">
            <v>T</v>
          </cell>
          <cell r="E151" t="str">
            <v>Mikute - Grand Beach</v>
          </cell>
          <cell r="F151" t="str">
            <v>S122</v>
          </cell>
          <cell r="G151">
            <v>3</v>
          </cell>
          <cell r="H151">
            <v>5.6</v>
          </cell>
          <cell r="I151" t="str">
            <v>F</v>
          </cell>
          <cell r="J151" t="str">
            <v>SALIMA</v>
          </cell>
          <cell r="K151">
            <v>7</v>
          </cell>
          <cell r="L151">
            <v>0</v>
          </cell>
          <cell r="W151">
            <v>76</v>
          </cell>
          <cell r="X151" t="str">
            <v>ST</v>
          </cell>
          <cell r="Y151">
            <v>150</v>
          </cell>
          <cell r="Z151" t="str">
            <v>GR</v>
          </cell>
          <cell r="AA151">
            <v>100</v>
          </cell>
          <cell r="AB151" t="str">
            <v>GR</v>
          </cell>
          <cell r="AC151">
            <v>8</v>
          </cell>
          <cell r="AD151" t="str">
            <v>VR</v>
          </cell>
          <cell r="AE151">
            <v>0</v>
          </cell>
          <cell r="AF151">
            <v>0</v>
          </cell>
          <cell r="AG151">
            <v>0</v>
          </cell>
          <cell r="AH151">
            <v>0</v>
          </cell>
          <cell r="AI151">
            <v>0</v>
          </cell>
          <cell r="AJ151">
            <v>0</v>
          </cell>
          <cell r="AK151">
            <v>0</v>
          </cell>
          <cell r="AL151">
            <v>0</v>
          </cell>
          <cell r="AM151">
            <v>1</v>
          </cell>
          <cell r="AN151" t="str">
            <v>never resealed</v>
          </cell>
          <cell r="BO151" t="str">
            <v>RS 275</v>
          </cell>
          <cell r="BP151">
            <v>5.6</v>
          </cell>
          <cell r="BQ151">
            <v>6</v>
          </cell>
          <cell r="BR151" t="str">
            <v>F</v>
          </cell>
          <cell r="BS151">
            <v>0</v>
          </cell>
          <cell r="BT151">
            <v>0</v>
          </cell>
          <cell r="BU151" t="str">
            <v>ST</v>
          </cell>
          <cell r="BV151">
            <v>0</v>
          </cell>
          <cell r="BW151">
            <v>1</v>
          </cell>
          <cell r="BX151">
            <v>10</v>
          </cell>
          <cell r="BY151" t="str">
            <v xml:space="preserve"> </v>
          </cell>
          <cell r="BZ151">
            <v>1</v>
          </cell>
          <cell r="CA151">
            <v>8</v>
          </cell>
          <cell r="CB151">
            <v>0.90800000000000003</v>
          </cell>
          <cell r="CC151">
            <v>8.94</v>
          </cell>
          <cell r="CD151">
            <v>50</v>
          </cell>
          <cell r="CE151">
            <v>5</v>
          </cell>
          <cell r="CF151">
            <v>0</v>
          </cell>
          <cell r="CG151">
            <v>50</v>
          </cell>
          <cell r="CH151">
            <v>5</v>
          </cell>
          <cell r="CI151">
            <v>65</v>
          </cell>
          <cell r="CJ151">
            <v>0.21666666666666665</v>
          </cell>
          <cell r="CK151">
            <v>0.21666666666666665</v>
          </cell>
          <cell r="CL151">
            <v>0</v>
          </cell>
          <cell r="CM151">
            <v>8.3999999999999991E-2</v>
          </cell>
          <cell r="CN151">
            <v>8.3999999999999991E-2</v>
          </cell>
          <cell r="CO151">
            <v>0</v>
          </cell>
          <cell r="CP151">
            <v>0</v>
          </cell>
          <cell r="CQ151">
            <v>9.0239999999999991</v>
          </cell>
          <cell r="CR151">
            <v>0</v>
          </cell>
          <cell r="CS151">
            <v>0</v>
          </cell>
          <cell r="CT151">
            <v>0</v>
          </cell>
          <cell r="CU151">
            <v>1</v>
          </cell>
          <cell r="CV151">
            <v>22</v>
          </cell>
          <cell r="CW151">
            <v>22</v>
          </cell>
          <cell r="CX151" t="str">
            <v xml:space="preserve"> </v>
          </cell>
          <cell r="CY151">
            <v>3</v>
          </cell>
          <cell r="CZ151">
            <v>3</v>
          </cell>
          <cell r="DA151">
            <v>1.5</v>
          </cell>
          <cell r="DB151">
            <v>250</v>
          </cell>
          <cell r="DC151">
            <v>118</v>
          </cell>
          <cell r="DD151">
            <v>65</v>
          </cell>
          <cell r="DE151">
            <v>19</v>
          </cell>
          <cell r="DF151">
            <v>29</v>
          </cell>
          <cell r="DG151">
            <v>5</v>
          </cell>
          <cell r="DH151">
            <v>3</v>
          </cell>
          <cell r="DI151">
            <v>13</v>
          </cell>
        </row>
        <row r="152">
          <cell r="A152" t="str">
            <v>RS 161</v>
          </cell>
          <cell r="B152">
            <v>161</v>
          </cell>
          <cell r="C152" t="str">
            <v>C</v>
          </cell>
          <cell r="D152" t="str">
            <v>T</v>
          </cell>
          <cell r="E152" t="str">
            <v>Likuni Road</v>
          </cell>
          <cell r="F152" t="str">
            <v>S124</v>
          </cell>
          <cell r="G152">
            <v>1</v>
          </cell>
          <cell r="H152">
            <v>8.8000000000000007</v>
          </cell>
          <cell r="I152" t="str">
            <v>F</v>
          </cell>
          <cell r="J152" t="str">
            <v>LILONGWE</v>
          </cell>
          <cell r="K152">
            <v>6</v>
          </cell>
          <cell r="L152" t="str">
            <v>Changed from urban to trunk</v>
          </cell>
          <cell r="W152">
            <v>73</v>
          </cell>
          <cell r="X152" t="str">
            <v>ST</v>
          </cell>
          <cell r="Y152">
            <v>150</v>
          </cell>
          <cell r="Z152" t="str">
            <v>GR</v>
          </cell>
          <cell r="AA152">
            <v>100</v>
          </cell>
          <cell r="AB152" t="str">
            <v>GR</v>
          </cell>
          <cell r="AC152">
            <v>25</v>
          </cell>
          <cell r="AD152" t="str">
            <v>VR</v>
          </cell>
          <cell r="AE152">
            <v>98</v>
          </cell>
          <cell r="AF152" t="str">
            <v>SS</v>
          </cell>
          <cell r="AG152" t="str">
            <v>SS</v>
          </cell>
          <cell r="AH152">
            <v>5</v>
          </cell>
          <cell r="AI152">
            <v>0</v>
          </cell>
          <cell r="AJ152">
            <v>0</v>
          </cell>
          <cell r="AK152">
            <v>0</v>
          </cell>
          <cell r="AL152">
            <v>0</v>
          </cell>
          <cell r="AM152">
            <v>3</v>
          </cell>
          <cell r="AN152">
            <v>0</v>
          </cell>
          <cell r="BO152" t="str">
            <v>RS 161</v>
          </cell>
          <cell r="BP152">
            <v>8.8000000000000007</v>
          </cell>
          <cell r="BQ152">
            <v>6</v>
          </cell>
          <cell r="BR152" t="str">
            <v>F</v>
          </cell>
          <cell r="BS152" t="str">
            <v>C</v>
          </cell>
          <cell r="BT152">
            <v>0</v>
          </cell>
          <cell r="BU152" t="str">
            <v>SS</v>
          </cell>
          <cell r="BV152" t="str">
            <v>ST</v>
          </cell>
          <cell r="BW152">
            <v>3</v>
          </cell>
          <cell r="BX152">
            <v>5</v>
          </cell>
          <cell r="BY152">
            <v>10</v>
          </cell>
          <cell r="BZ152">
            <v>1</v>
          </cell>
          <cell r="CA152">
            <v>25</v>
          </cell>
          <cell r="CB152">
            <v>0.90800000000000003</v>
          </cell>
          <cell r="CC152">
            <v>6.77</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5</v>
          </cell>
          <cell r="CR152">
            <v>0</v>
          </cell>
          <cell r="CS152">
            <v>1</v>
          </cell>
          <cell r="CT152">
            <v>0</v>
          </cell>
          <cell r="CU152">
            <v>0</v>
          </cell>
          <cell r="CV152">
            <v>0</v>
          </cell>
          <cell r="CW152">
            <v>25</v>
          </cell>
          <cell r="CX152">
            <v>50</v>
          </cell>
          <cell r="CY152">
            <v>1</v>
          </cell>
          <cell r="CZ152">
            <v>1.5</v>
          </cell>
          <cell r="DA152">
            <v>2</v>
          </cell>
          <cell r="DB152">
            <v>1169</v>
          </cell>
          <cell r="DC152">
            <v>550</v>
          </cell>
          <cell r="DD152">
            <v>304</v>
          </cell>
          <cell r="DE152">
            <v>88</v>
          </cell>
          <cell r="DF152">
            <v>135</v>
          </cell>
          <cell r="DG152">
            <v>24</v>
          </cell>
          <cell r="DH152">
            <v>12</v>
          </cell>
          <cell r="DI152">
            <v>59</v>
          </cell>
        </row>
        <row r="153">
          <cell r="A153" t="str">
            <v>RS 289</v>
          </cell>
          <cell r="B153">
            <v>111</v>
          </cell>
          <cell r="C153" t="str">
            <v>C</v>
          </cell>
          <cell r="D153" t="str">
            <v>T</v>
          </cell>
          <cell r="E153" t="str">
            <v>Likuni - Chinsapo</v>
          </cell>
          <cell r="F153" t="str">
            <v>S124</v>
          </cell>
          <cell r="G153">
            <v>2</v>
          </cell>
          <cell r="H153">
            <v>4.3</v>
          </cell>
          <cell r="I153" t="str">
            <v>F</v>
          </cell>
          <cell r="J153" t="str">
            <v>LILONGWE</v>
          </cell>
          <cell r="K153">
            <v>6</v>
          </cell>
          <cell r="L153">
            <v>0</v>
          </cell>
          <cell r="W153">
            <v>73</v>
          </cell>
          <cell r="X153" t="str">
            <v>ST</v>
          </cell>
          <cell r="Y153">
            <v>150</v>
          </cell>
          <cell r="Z153" t="str">
            <v>GR</v>
          </cell>
          <cell r="AA153">
            <v>100</v>
          </cell>
          <cell r="AB153" t="str">
            <v>GR</v>
          </cell>
          <cell r="AC153">
            <v>25</v>
          </cell>
          <cell r="AD153" t="str">
            <v>VR</v>
          </cell>
          <cell r="AE153">
            <v>98</v>
          </cell>
          <cell r="AF153" t="str">
            <v>SS</v>
          </cell>
          <cell r="AG153" t="str">
            <v>SS</v>
          </cell>
          <cell r="AH153">
            <v>5</v>
          </cell>
          <cell r="AI153">
            <v>0</v>
          </cell>
          <cell r="AJ153">
            <v>0</v>
          </cell>
          <cell r="AK153">
            <v>0</v>
          </cell>
          <cell r="AL153">
            <v>0</v>
          </cell>
          <cell r="AM153">
            <v>3</v>
          </cell>
          <cell r="AN153">
            <v>0</v>
          </cell>
          <cell r="BO153" t="str">
            <v>RS 289</v>
          </cell>
          <cell r="BP153">
            <v>4.3</v>
          </cell>
          <cell r="BQ153">
            <v>6</v>
          </cell>
          <cell r="BR153" t="str">
            <v>F</v>
          </cell>
          <cell r="BS153">
            <v>0</v>
          </cell>
          <cell r="BT153">
            <v>0</v>
          </cell>
          <cell r="BU153" t="str">
            <v>SS</v>
          </cell>
          <cell r="BV153" t="str">
            <v>ST</v>
          </cell>
          <cell r="BW153">
            <v>3</v>
          </cell>
          <cell r="BX153">
            <v>5</v>
          </cell>
          <cell r="BY153">
            <v>10</v>
          </cell>
          <cell r="BZ153">
            <v>1</v>
          </cell>
          <cell r="CA153">
            <v>25</v>
          </cell>
          <cell r="CB153">
            <v>0.90800000000000003</v>
          </cell>
          <cell r="CC153">
            <v>6.77</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5</v>
          </cell>
          <cell r="CR153">
            <v>0</v>
          </cell>
          <cell r="CS153">
            <v>1</v>
          </cell>
          <cell r="CT153">
            <v>0</v>
          </cell>
          <cell r="CU153">
            <v>0</v>
          </cell>
          <cell r="CV153">
            <v>0</v>
          </cell>
          <cell r="CW153">
            <v>25</v>
          </cell>
          <cell r="CX153">
            <v>50</v>
          </cell>
          <cell r="CY153">
            <v>1</v>
          </cell>
          <cell r="CZ153">
            <v>1.5</v>
          </cell>
          <cell r="DA153">
            <v>2</v>
          </cell>
          <cell r="DB153">
            <v>1169</v>
          </cell>
          <cell r="DC153">
            <v>550</v>
          </cell>
          <cell r="DD153">
            <v>304</v>
          </cell>
          <cell r="DE153">
            <v>88</v>
          </cell>
          <cell r="DF153">
            <v>135</v>
          </cell>
          <cell r="DG153">
            <v>24</v>
          </cell>
          <cell r="DH153">
            <v>12</v>
          </cell>
          <cell r="DI153">
            <v>59</v>
          </cell>
        </row>
        <row r="154">
          <cell r="A154" t="str">
            <v>RS 298</v>
          </cell>
          <cell r="B154">
            <v>120</v>
          </cell>
          <cell r="C154" t="str">
            <v>C</v>
          </cell>
          <cell r="D154" t="str">
            <v>T</v>
          </cell>
          <cell r="E154" t="str">
            <v>Chitsime - Kayabwa</v>
          </cell>
          <cell r="F154" t="str">
            <v>S125</v>
          </cell>
          <cell r="G154">
            <v>1</v>
          </cell>
          <cell r="H154">
            <v>6.7</v>
          </cell>
          <cell r="I154" t="str">
            <v>F</v>
          </cell>
          <cell r="J154" t="str">
            <v>LILONGWE</v>
          </cell>
          <cell r="K154">
            <v>6</v>
          </cell>
          <cell r="L154">
            <v>0</v>
          </cell>
          <cell r="W154">
            <v>90</v>
          </cell>
          <cell r="X154" t="str">
            <v>ST</v>
          </cell>
          <cell r="Y154">
            <v>150</v>
          </cell>
          <cell r="Z154" t="str">
            <v>GR</v>
          </cell>
          <cell r="AA154">
            <v>100</v>
          </cell>
          <cell r="AB154" t="str">
            <v>GR</v>
          </cell>
          <cell r="AC154">
            <v>5</v>
          </cell>
          <cell r="AD154" t="str">
            <v>AM</v>
          </cell>
          <cell r="AE154">
            <v>0</v>
          </cell>
          <cell r="AF154">
            <v>0</v>
          </cell>
          <cell r="AG154">
            <v>0</v>
          </cell>
          <cell r="AH154">
            <v>0</v>
          </cell>
          <cell r="AI154">
            <v>0</v>
          </cell>
          <cell r="AJ154">
            <v>0</v>
          </cell>
          <cell r="AK154">
            <v>0</v>
          </cell>
          <cell r="AL154">
            <v>0</v>
          </cell>
          <cell r="AM154">
            <v>1</v>
          </cell>
          <cell r="AN154" t="str">
            <v>never resealed</v>
          </cell>
          <cell r="BO154" t="str">
            <v>RS 298</v>
          </cell>
          <cell r="BP154">
            <v>6.7</v>
          </cell>
          <cell r="BQ154">
            <v>6</v>
          </cell>
          <cell r="BR154" t="str">
            <v>F</v>
          </cell>
          <cell r="BS154">
            <v>0</v>
          </cell>
          <cell r="BT154">
            <v>0</v>
          </cell>
          <cell r="BU154" t="str">
            <v>ST</v>
          </cell>
          <cell r="BV154">
            <v>0</v>
          </cell>
          <cell r="BW154">
            <v>1</v>
          </cell>
          <cell r="BX154">
            <v>10</v>
          </cell>
          <cell r="BY154" t="str">
            <v xml:space="preserve"> </v>
          </cell>
          <cell r="BZ154">
            <v>1</v>
          </cell>
          <cell r="CA154">
            <v>5</v>
          </cell>
          <cell r="CB154">
            <v>0.90800000000000003</v>
          </cell>
          <cell r="CC154">
            <v>4.5</v>
          </cell>
          <cell r="CD154">
            <v>15</v>
          </cell>
          <cell r="CE154">
            <v>0</v>
          </cell>
          <cell r="CF154">
            <v>0</v>
          </cell>
          <cell r="CG154">
            <v>15</v>
          </cell>
          <cell r="CH154">
            <v>0</v>
          </cell>
          <cell r="CI154">
            <v>0</v>
          </cell>
          <cell r="CJ154">
            <v>0</v>
          </cell>
          <cell r="CK154">
            <v>0</v>
          </cell>
          <cell r="CL154">
            <v>0</v>
          </cell>
          <cell r="CM154">
            <v>0</v>
          </cell>
          <cell r="CN154">
            <v>0</v>
          </cell>
          <cell r="CO154">
            <v>0</v>
          </cell>
          <cell r="CP154">
            <v>0</v>
          </cell>
          <cell r="CQ154">
            <v>4.5</v>
          </cell>
          <cell r="CR154">
            <v>0</v>
          </cell>
          <cell r="CS154">
            <v>1</v>
          </cell>
          <cell r="CT154">
            <v>0</v>
          </cell>
          <cell r="CU154">
            <v>0</v>
          </cell>
          <cell r="CV154">
            <v>8</v>
          </cell>
          <cell r="CW154">
            <v>8</v>
          </cell>
          <cell r="CX154" t="str">
            <v xml:space="preserve"> </v>
          </cell>
          <cell r="CY154">
            <v>1.2</v>
          </cell>
          <cell r="CZ154">
            <v>1.5</v>
          </cell>
          <cell r="DA154">
            <v>1.2</v>
          </cell>
          <cell r="DB154">
            <v>300</v>
          </cell>
          <cell r="DC154">
            <v>141</v>
          </cell>
          <cell r="DD154">
            <v>78</v>
          </cell>
          <cell r="DE154">
            <v>23</v>
          </cell>
          <cell r="DF154">
            <v>35</v>
          </cell>
          <cell r="DG154">
            <v>6</v>
          </cell>
          <cell r="DH154">
            <v>3</v>
          </cell>
          <cell r="DI154">
            <v>15</v>
          </cell>
        </row>
        <row r="155">
          <cell r="A155" t="str">
            <v>RS 294</v>
          </cell>
          <cell r="B155">
            <v>116</v>
          </cell>
          <cell r="C155" t="str">
            <v>C</v>
          </cell>
          <cell r="D155" t="str">
            <v>T</v>
          </cell>
          <cell r="E155" t="str">
            <v>Kayabwa - Bunda</v>
          </cell>
          <cell r="F155" t="str">
            <v>S125</v>
          </cell>
          <cell r="G155">
            <v>2</v>
          </cell>
          <cell r="H155">
            <v>9.6999999999999993</v>
          </cell>
          <cell r="I155" t="str">
            <v>F</v>
          </cell>
          <cell r="J155" t="str">
            <v>LILONGWE</v>
          </cell>
          <cell r="K155">
            <v>6</v>
          </cell>
          <cell r="L155">
            <v>0</v>
          </cell>
          <cell r="W155">
            <v>90</v>
          </cell>
          <cell r="X155" t="str">
            <v>ST</v>
          </cell>
          <cell r="Y155">
            <v>150</v>
          </cell>
          <cell r="Z155" t="str">
            <v>GR</v>
          </cell>
          <cell r="AA155">
            <v>100</v>
          </cell>
          <cell r="AB155" t="str">
            <v>GR</v>
          </cell>
          <cell r="AC155">
            <v>5</v>
          </cell>
          <cell r="AD155" t="str">
            <v>PM</v>
          </cell>
          <cell r="AE155">
            <v>0</v>
          </cell>
          <cell r="AF155">
            <v>0</v>
          </cell>
          <cell r="AG155">
            <v>0</v>
          </cell>
          <cell r="AH155">
            <v>0</v>
          </cell>
          <cell r="AI155">
            <v>0</v>
          </cell>
          <cell r="AJ155">
            <v>0</v>
          </cell>
          <cell r="AK155">
            <v>0</v>
          </cell>
          <cell r="AL155">
            <v>0</v>
          </cell>
          <cell r="AM155">
            <v>1</v>
          </cell>
          <cell r="AN155" t="str">
            <v>never resealed</v>
          </cell>
          <cell r="BO155" t="str">
            <v>RS 294</v>
          </cell>
          <cell r="BP155">
            <v>9.6999999999999993</v>
          </cell>
          <cell r="BQ155">
            <v>6</v>
          </cell>
          <cell r="BR155" t="str">
            <v>F</v>
          </cell>
          <cell r="BS155">
            <v>0</v>
          </cell>
          <cell r="BT155">
            <v>0</v>
          </cell>
          <cell r="BU155" t="str">
            <v>ST</v>
          </cell>
          <cell r="BV155">
            <v>0</v>
          </cell>
          <cell r="BW155">
            <v>1</v>
          </cell>
          <cell r="BX155">
            <v>10</v>
          </cell>
          <cell r="BY155" t="str">
            <v xml:space="preserve"> </v>
          </cell>
          <cell r="BZ155">
            <v>1</v>
          </cell>
          <cell r="CA155">
            <v>5</v>
          </cell>
          <cell r="CB155">
            <v>0.90800000000000003</v>
          </cell>
          <cell r="CC155">
            <v>4.5</v>
          </cell>
          <cell r="CD155">
            <v>15</v>
          </cell>
          <cell r="CE155">
            <v>0</v>
          </cell>
          <cell r="CF155">
            <v>0</v>
          </cell>
          <cell r="CG155">
            <v>15</v>
          </cell>
          <cell r="CH155">
            <v>0</v>
          </cell>
          <cell r="CI155">
            <v>0</v>
          </cell>
          <cell r="CJ155">
            <v>0</v>
          </cell>
          <cell r="CK155">
            <v>0</v>
          </cell>
          <cell r="CL155">
            <v>0</v>
          </cell>
          <cell r="CM155">
            <v>0</v>
          </cell>
          <cell r="CN155">
            <v>0</v>
          </cell>
          <cell r="CO155">
            <v>0</v>
          </cell>
          <cell r="CP155">
            <v>0</v>
          </cell>
          <cell r="CQ155">
            <v>4.5</v>
          </cell>
          <cell r="CR155">
            <v>0</v>
          </cell>
          <cell r="CS155">
            <v>1</v>
          </cell>
          <cell r="CT155">
            <v>0</v>
          </cell>
          <cell r="CU155">
            <v>0</v>
          </cell>
          <cell r="CV155">
            <v>8</v>
          </cell>
          <cell r="CW155">
            <v>8</v>
          </cell>
          <cell r="CX155" t="str">
            <v xml:space="preserve"> </v>
          </cell>
          <cell r="CY155">
            <v>1.2</v>
          </cell>
          <cell r="CZ155">
            <v>1.5</v>
          </cell>
          <cell r="DA155">
            <v>1.2</v>
          </cell>
          <cell r="DB155">
            <v>300</v>
          </cell>
          <cell r="DC155">
            <v>141</v>
          </cell>
          <cell r="DD155">
            <v>78</v>
          </cell>
          <cell r="DE155">
            <v>23</v>
          </cell>
          <cell r="DF155">
            <v>35</v>
          </cell>
          <cell r="DG155">
            <v>6</v>
          </cell>
          <cell r="DH155">
            <v>3</v>
          </cell>
          <cell r="DI155">
            <v>15</v>
          </cell>
        </row>
        <row r="156">
          <cell r="A156" t="str">
            <v>RS 307</v>
          </cell>
          <cell r="B156">
            <v>129</v>
          </cell>
          <cell r="C156" t="str">
            <v>C</v>
          </cell>
          <cell r="D156" t="str">
            <v>T</v>
          </cell>
          <cell r="E156" t="str">
            <v>Mganja - Kabulika</v>
          </cell>
          <cell r="F156" t="str">
            <v>S127</v>
          </cell>
          <cell r="G156">
            <v>4</v>
          </cell>
          <cell r="H156">
            <v>8.5</v>
          </cell>
          <cell r="I156" t="str">
            <v>R</v>
          </cell>
          <cell r="J156" t="str">
            <v>DEDZA</v>
          </cell>
          <cell r="K156">
            <v>7</v>
          </cell>
          <cell r="L156">
            <v>0</v>
          </cell>
          <cell r="W156">
            <v>73</v>
          </cell>
          <cell r="X156" t="str">
            <v>ST</v>
          </cell>
          <cell r="Y156">
            <v>100</v>
          </cell>
          <cell r="Z156" t="str">
            <v>GR</v>
          </cell>
          <cell r="AA156">
            <v>100</v>
          </cell>
          <cell r="AB156" t="str">
            <v>GR</v>
          </cell>
          <cell r="AC156">
            <v>5</v>
          </cell>
          <cell r="AD156" t="str">
            <v>PM</v>
          </cell>
          <cell r="AE156">
            <v>0</v>
          </cell>
          <cell r="AF156">
            <v>0</v>
          </cell>
          <cell r="AG156">
            <v>0</v>
          </cell>
          <cell r="AH156">
            <v>0</v>
          </cell>
          <cell r="AI156">
            <v>0</v>
          </cell>
          <cell r="AJ156">
            <v>0</v>
          </cell>
          <cell r="AK156">
            <v>0</v>
          </cell>
          <cell r="AL156">
            <v>0</v>
          </cell>
          <cell r="AM156">
            <v>1</v>
          </cell>
          <cell r="AN156" t="str">
            <v>never resealed</v>
          </cell>
          <cell r="BO156" t="str">
            <v>RS 307</v>
          </cell>
          <cell r="BP156">
            <v>8.5</v>
          </cell>
          <cell r="BQ156">
            <v>5.5</v>
          </cell>
          <cell r="BR156" t="str">
            <v>R</v>
          </cell>
          <cell r="BS156">
            <v>0</v>
          </cell>
          <cell r="BT156">
            <v>0</v>
          </cell>
          <cell r="BU156" t="str">
            <v>ST</v>
          </cell>
          <cell r="BV156">
            <v>0</v>
          </cell>
          <cell r="BW156">
            <v>1</v>
          </cell>
          <cell r="BX156">
            <v>10</v>
          </cell>
          <cell r="BY156" t="str">
            <v xml:space="preserve"> </v>
          </cell>
          <cell r="BZ156">
            <v>1</v>
          </cell>
          <cell r="CA156">
            <v>5</v>
          </cell>
          <cell r="CB156">
            <v>0.90800000000000003</v>
          </cell>
          <cell r="CC156">
            <v>5</v>
          </cell>
          <cell r="CD156">
            <v>30</v>
          </cell>
          <cell r="CE156">
            <v>15</v>
          </cell>
          <cell r="CF156">
            <v>0</v>
          </cell>
          <cell r="CG156">
            <v>30</v>
          </cell>
          <cell r="CH156">
            <v>15</v>
          </cell>
          <cell r="CI156">
            <v>5</v>
          </cell>
          <cell r="CJ156">
            <v>1.8181818181818181E-2</v>
          </cell>
          <cell r="CK156">
            <v>1.8181818181818181E-2</v>
          </cell>
          <cell r="CL156">
            <v>0</v>
          </cell>
          <cell r="CM156">
            <v>7.0489510489510484E-3</v>
          </cell>
          <cell r="CN156">
            <v>7.0489510489510484E-3</v>
          </cell>
          <cell r="CO156">
            <v>0</v>
          </cell>
          <cell r="CP156">
            <v>0</v>
          </cell>
          <cell r="CQ156">
            <v>5.0070489510489509</v>
          </cell>
          <cell r="CR156">
            <v>3</v>
          </cell>
          <cell r="CS156">
            <v>1</v>
          </cell>
          <cell r="CT156">
            <v>0</v>
          </cell>
          <cell r="CU156">
            <v>0</v>
          </cell>
          <cell r="CV156">
            <v>25</v>
          </cell>
          <cell r="CW156">
            <v>25</v>
          </cell>
          <cell r="CX156" t="str">
            <v xml:space="preserve"> </v>
          </cell>
          <cell r="CY156">
            <v>1.3</v>
          </cell>
          <cell r="CZ156">
            <v>1.2</v>
          </cell>
          <cell r="DA156">
            <v>1.3</v>
          </cell>
          <cell r="DB156">
            <v>40</v>
          </cell>
          <cell r="DC156">
            <v>19</v>
          </cell>
          <cell r="DD156">
            <v>11</v>
          </cell>
          <cell r="DE156">
            <v>3</v>
          </cell>
          <cell r="DF156">
            <v>5</v>
          </cell>
          <cell r="DG156">
            <v>1</v>
          </cell>
          <cell r="DH156">
            <v>1</v>
          </cell>
          <cell r="DI156">
            <v>2</v>
          </cell>
        </row>
        <row r="157">
          <cell r="A157" t="str">
            <v>RS 333</v>
          </cell>
          <cell r="B157">
            <v>155</v>
          </cell>
          <cell r="C157" t="str">
            <v>S</v>
          </cell>
          <cell r="D157" t="str">
            <v>T</v>
          </cell>
          <cell r="E157" t="str">
            <v>Mang'oma - Nsandu</v>
          </cell>
          <cell r="F157" t="str">
            <v>S128</v>
          </cell>
          <cell r="G157">
            <v>1</v>
          </cell>
          <cell r="H157">
            <v>11.6</v>
          </cell>
          <cell r="I157" t="str">
            <v>F</v>
          </cell>
          <cell r="J157" t="str">
            <v>MANGOCHI</v>
          </cell>
          <cell r="K157">
            <v>7</v>
          </cell>
          <cell r="L157" t="str">
            <v>Changed designation from M15 to S128</v>
          </cell>
          <cell r="W157">
            <v>74</v>
          </cell>
          <cell r="X157" t="str">
            <v>ST</v>
          </cell>
          <cell r="Y157">
            <v>100</v>
          </cell>
          <cell r="Z157" t="str">
            <v>GR</v>
          </cell>
          <cell r="AA157">
            <v>100</v>
          </cell>
          <cell r="AB157" t="str">
            <v>GR</v>
          </cell>
          <cell r="AC157">
            <v>7</v>
          </cell>
          <cell r="AD157" t="str">
            <v>PM</v>
          </cell>
          <cell r="AE157">
            <v>0</v>
          </cell>
          <cell r="AF157">
            <v>0</v>
          </cell>
          <cell r="AG157">
            <v>0</v>
          </cell>
          <cell r="AH157">
            <v>0</v>
          </cell>
          <cell r="AI157">
            <v>0</v>
          </cell>
          <cell r="AJ157">
            <v>0</v>
          </cell>
          <cell r="AK157">
            <v>0</v>
          </cell>
          <cell r="AL157">
            <v>0</v>
          </cell>
          <cell r="AM157">
            <v>1</v>
          </cell>
          <cell r="AN157" t="str">
            <v>never resealed</v>
          </cell>
          <cell r="BO157" t="str">
            <v>RS 333</v>
          </cell>
          <cell r="BP157">
            <v>11.6</v>
          </cell>
          <cell r="BQ157">
            <v>6.7</v>
          </cell>
          <cell r="BR157" t="str">
            <v>F</v>
          </cell>
          <cell r="BS157">
            <v>0</v>
          </cell>
          <cell r="BT157">
            <v>0</v>
          </cell>
          <cell r="BU157" t="str">
            <v>ST</v>
          </cell>
          <cell r="BV157">
            <v>0</v>
          </cell>
          <cell r="BW157">
            <v>1</v>
          </cell>
          <cell r="BX157">
            <v>10</v>
          </cell>
          <cell r="BY157" t="str">
            <v xml:space="preserve"> </v>
          </cell>
          <cell r="BZ157">
            <v>1</v>
          </cell>
          <cell r="CA157">
            <v>7</v>
          </cell>
          <cell r="CB157">
            <v>0.90800000000000003</v>
          </cell>
          <cell r="CC157">
            <v>6.38</v>
          </cell>
          <cell r="CD157">
            <v>95</v>
          </cell>
          <cell r="CE157">
            <v>75</v>
          </cell>
          <cell r="CF157">
            <v>60</v>
          </cell>
          <cell r="CG157">
            <v>35</v>
          </cell>
          <cell r="CH157">
            <v>15</v>
          </cell>
          <cell r="CI157">
            <v>25</v>
          </cell>
          <cell r="CJ157">
            <v>7.4626865671641798E-2</v>
          </cell>
          <cell r="CK157">
            <v>10</v>
          </cell>
          <cell r="CL157">
            <v>60</v>
          </cell>
          <cell r="CM157">
            <v>0.52510907003444307</v>
          </cell>
          <cell r="CN157">
            <v>0.52510907003444307</v>
          </cell>
          <cell r="CO157">
            <v>0</v>
          </cell>
          <cell r="CP157">
            <v>0</v>
          </cell>
          <cell r="CQ157">
            <v>6.9051090700344426</v>
          </cell>
          <cell r="CR157">
            <v>80</v>
          </cell>
          <cell r="CS157">
            <v>1.6</v>
          </cell>
          <cell r="CT157">
            <v>3.0000000000000004</v>
          </cell>
          <cell r="CU157">
            <v>1.2000000000000002</v>
          </cell>
          <cell r="CV157">
            <v>24</v>
          </cell>
          <cell r="CW157">
            <v>24</v>
          </cell>
          <cell r="CX157" t="str">
            <v xml:space="preserve"> </v>
          </cell>
          <cell r="CY157">
            <v>3</v>
          </cell>
          <cell r="CZ157">
            <v>3</v>
          </cell>
          <cell r="DA157">
            <v>1</v>
          </cell>
          <cell r="DB157">
            <v>1000</v>
          </cell>
          <cell r="DC157">
            <v>470</v>
          </cell>
          <cell r="DD157">
            <v>260</v>
          </cell>
          <cell r="DE157">
            <v>75</v>
          </cell>
          <cell r="DF157">
            <v>115</v>
          </cell>
          <cell r="DG157">
            <v>20</v>
          </cell>
          <cell r="DH157">
            <v>10</v>
          </cell>
          <cell r="DI157">
            <v>50</v>
          </cell>
        </row>
        <row r="158">
          <cell r="A158" t="str">
            <v>RS 354</v>
          </cell>
          <cell r="B158">
            <v>176</v>
          </cell>
          <cell r="C158" t="str">
            <v>S</v>
          </cell>
          <cell r="D158" t="str">
            <v>T</v>
          </cell>
          <cell r="E158" t="str">
            <v>Naminga - Malipa</v>
          </cell>
          <cell r="F158" t="str">
            <v>S131</v>
          </cell>
          <cell r="G158">
            <v>9</v>
          </cell>
          <cell r="H158">
            <v>5.2</v>
          </cell>
          <cell r="I158" t="str">
            <v>R</v>
          </cell>
          <cell r="J158" t="str">
            <v>MACHINGA</v>
          </cell>
          <cell r="K158">
            <v>8</v>
          </cell>
          <cell r="L158">
            <v>0</v>
          </cell>
          <cell r="W158">
            <v>83</v>
          </cell>
          <cell r="X158" t="str">
            <v>DS</v>
          </cell>
          <cell r="Y158">
            <v>100</v>
          </cell>
          <cell r="Z158" t="str">
            <v>GR</v>
          </cell>
          <cell r="AA158">
            <v>100</v>
          </cell>
          <cell r="AB158" t="str">
            <v>GR</v>
          </cell>
          <cell r="AC158">
            <v>5</v>
          </cell>
          <cell r="AD158">
            <v>0</v>
          </cell>
          <cell r="AE158">
            <v>0</v>
          </cell>
          <cell r="AF158">
            <v>0</v>
          </cell>
          <cell r="AG158">
            <v>0</v>
          </cell>
          <cell r="AH158">
            <v>0</v>
          </cell>
          <cell r="AI158">
            <v>0</v>
          </cell>
          <cell r="AJ158">
            <v>0</v>
          </cell>
          <cell r="AK158">
            <v>0</v>
          </cell>
          <cell r="AL158">
            <v>0</v>
          </cell>
          <cell r="AM158">
            <v>1</v>
          </cell>
          <cell r="AN158" t="str">
            <v>never resealed</v>
          </cell>
          <cell r="BO158" t="str">
            <v>RS 354</v>
          </cell>
          <cell r="BP158">
            <v>5.2</v>
          </cell>
          <cell r="BQ158">
            <v>6.7</v>
          </cell>
          <cell r="BR158" t="str">
            <v>R</v>
          </cell>
          <cell r="BS158">
            <v>0</v>
          </cell>
          <cell r="BT158">
            <v>0</v>
          </cell>
          <cell r="BU158" t="str">
            <v>DS</v>
          </cell>
          <cell r="BV158">
            <v>0</v>
          </cell>
          <cell r="BW158">
            <v>1</v>
          </cell>
          <cell r="BX158">
            <v>15</v>
          </cell>
          <cell r="BY158" t="str">
            <v xml:space="preserve"> </v>
          </cell>
          <cell r="BZ158">
            <v>1</v>
          </cell>
          <cell r="CA158">
            <v>5</v>
          </cell>
          <cell r="CB158">
            <v>1.077</v>
          </cell>
          <cell r="CC158">
            <v>3</v>
          </cell>
          <cell r="CD158">
            <v>10</v>
          </cell>
          <cell r="CE158">
            <v>5</v>
          </cell>
          <cell r="CF158">
            <v>0</v>
          </cell>
          <cell r="CG158">
            <v>10</v>
          </cell>
          <cell r="CH158">
            <v>5</v>
          </cell>
          <cell r="CI158">
            <v>2</v>
          </cell>
          <cell r="CJ158">
            <v>5.9701492537313433E-3</v>
          </cell>
          <cell r="CK158">
            <v>5.9701492537313433E-3</v>
          </cell>
          <cell r="CL158">
            <v>0</v>
          </cell>
          <cell r="CM158">
            <v>2.3145809414466131E-3</v>
          </cell>
          <cell r="CN158">
            <v>2.3145809414466131E-3</v>
          </cell>
          <cell r="CO158">
            <v>0</v>
          </cell>
          <cell r="CP158">
            <v>0</v>
          </cell>
          <cell r="CQ158">
            <v>3.0023145809414467</v>
          </cell>
          <cell r="CR158">
            <v>0</v>
          </cell>
          <cell r="CS158">
            <v>1</v>
          </cell>
          <cell r="CT158">
            <v>0</v>
          </cell>
          <cell r="CU158">
            <v>0</v>
          </cell>
          <cell r="CV158">
            <v>15</v>
          </cell>
          <cell r="CW158">
            <v>15</v>
          </cell>
          <cell r="CX158" t="str">
            <v xml:space="preserve"> </v>
          </cell>
          <cell r="CY158">
            <v>1.5</v>
          </cell>
          <cell r="CZ158">
            <v>1.5</v>
          </cell>
          <cell r="DA158">
            <v>1.5</v>
          </cell>
          <cell r="DB158">
            <v>150</v>
          </cell>
          <cell r="DC158">
            <v>71</v>
          </cell>
          <cell r="DD158">
            <v>39</v>
          </cell>
          <cell r="DE158">
            <v>12</v>
          </cell>
          <cell r="DF158">
            <v>18</v>
          </cell>
          <cell r="DG158">
            <v>3</v>
          </cell>
          <cell r="DH158">
            <v>2</v>
          </cell>
          <cell r="DI158">
            <v>8</v>
          </cell>
        </row>
        <row r="159">
          <cell r="A159" t="str">
            <v>RS 348</v>
          </cell>
          <cell r="B159">
            <v>170</v>
          </cell>
          <cell r="C159" t="str">
            <v>S</v>
          </cell>
          <cell r="D159" t="str">
            <v>T</v>
          </cell>
          <cell r="E159" t="str">
            <v>Malipa - Liwonde (junction M3)</v>
          </cell>
          <cell r="F159" t="str">
            <v>S131</v>
          </cell>
          <cell r="G159">
            <v>10</v>
          </cell>
          <cell r="H159">
            <v>19.100000000000001</v>
          </cell>
          <cell r="I159" t="str">
            <v>R</v>
          </cell>
          <cell r="J159" t="str">
            <v>MACHINGA</v>
          </cell>
          <cell r="K159">
            <v>8</v>
          </cell>
          <cell r="L159">
            <v>0</v>
          </cell>
          <cell r="W159">
            <v>83</v>
          </cell>
          <cell r="X159" t="str">
            <v>DS</v>
          </cell>
          <cell r="Y159">
            <v>100</v>
          </cell>
          <cell r="Z159" t="str">
            <v>GR</v>
          </cell>
          <cell r="AA159">
            <v>100</v>
          </cell>
          <cell r="AB159" t="str">
            <v>GR</v>
          </cell>
          <cell r="AC159">
            <v>6</v>
          </cell>
          <cell r="AD159">
            <v>0</v>
          </cell>
          <cell r="AE159">
            <v>0</v>
          </cell>
          <cell r="AF159">
            <v>0</v>
          </cell>
          <cell r="AG159">
            <v>0</v>
          </cell>
          <cell r="AH159">
            <v>0</v>
          </cell>
          <cell r="AI159">
            <v>0</v>
          </cell>
          <cell r="AJ159">
            <v>0</v>
          </cell>
          <cell r="AK159">
            <v>0</v>
          </cell>
          <cell r="AL159">
            <v>0</v>
          </cell>
          <cell r="AM159">
            <v>1</v>
          </cell>
          <cell r="AN159" t="str">
            <v>never resealed</v>
          </cell>
          <cell r="BO159" t="str">
            <v>RS 348</v>
          </cell>
          <cell r="BP159">
            <v>19.100000000000001</v>
          </cell>
          <cell r="BQ159">
            <v>6.7</v>
          </cell>
          <cell r="BR159" t="str">
            <v>R</v>
          </cell>
          <cell r="BS159">
            <v>0</v>
          </cell>
          <cell r="BT159">
            <v>0</v>
          </cell>
          <cell r="BU159" t="str">
            <v>DS</v>
          </cell>
          <cell r="BV159">
            <v>0</v>
          </cell>
          <cell r="BW159">
            <v>1</v>
          </cell>
          <cell r="BX159">
            <v>15</v>
          </cell>
          <cell r="BY159" t="str">
            <v xml:space="preserve"> </v>
          </cell>
          <cell r="BZ159">
            <v>1</v>
          </cell>
          <cell r="CA159">
            <v>6</v>
          </cell>
          <cell r="CB159">
            <v>1.077</v>
          </cell>
          <cell r="CC159">
            <v>3</v>
          </cell>
          <cell r="CD159">
            <v>10</v>
          </cell>
          <cell r="CE159">
            <v>5</v>
          </cell>
          <cell r="CF159">
            <v>0</v>
          </cell>
          <cell r="CG159">
            <v>10</v>
          </cell>
          <cell r="CH159">
            <v>5</v>
          </cell>
          <cell r="CI159">
            <v>2</v>
          </cell>
          <cell r="CJ159">
            <v>5.9701492537313433E-3</v>
          </cell>
          <cell r="CK159">
            <v>5.9701492537313433E-3</v>
          </cell>
          <cell r="CL159">
            <v>0</v>
          </cell>
          <cell r="CM159">
            <v>2.3145809414466131E-3</v>
          </cell>
          <cell r="CN159">
            <v>2.3145809414466131E-3</v>
          </cell>
          <cell r="CO159">
            <v>0</v>
          </cell>
          <cell r="CP159">
            <v>0</v>
          </cell>
          <cell r="CQ159">
            <v>3.0023145809414467</v>
          </cell>
          <cell r="CR159">
            <v>0</v>
          </cell>
          <cell r="CS159">
            <v>1</v>
          </cell>
          <cell r="CT159">
            <v>0</v>
          </cell>
          <cell r="CU159">
            <v>0</v>
          </cell>
          <cell r="CV159">
            <v>15</v>
          </cell>
          <cell r="CW159">
            <v>15</v>
          </cell>
          <cell r="CX159" t="str">
            <v xml:space="preserve"> </v>
          </cell>
          <cell r="CY159">
            <v>1.5</v>
          </cell>
          <cell r="CZ159">
            <v>1.5</v>
          </cell>
          <cell r="DA159">
            <v>1.5</v>
          </cell>
          <cell r="DB159">
            <v>150</v>
          </cell>
          <cell r="DC159">
            <v>71</v>
          </cell>
          <cell r="DD159">
            <v>39</v>
          </cell>
          <cell r="DE159">
            <v>12</v>
          </cell>
          <cell r="DF159">
            <v>18</v>
          </cell>
          <cell r="DG159">
            <v>3</v>
          </cell>
          <cell r="DH159">
            <v>2</v>
          </cell>
          <cell r="DI159">
            <v>8</v>
          </cell>
        </row>
        <row r="160">
          <cell r="A160" t="str">
            <v>RS 382</v>
          </cell>
          <cell r="B160">
            <v>204</v>
          </cell>
          <cell r="C160" t="str">
            <v>S</v>
          </cell>
          <cell r="D160" t="str">
            <v>T</v>
          </cell>
          <cell r="E160" t="str">
            <v>Chileka Airport - Chirimba (junction M1)</v>
          </cell>
          <cell r="F160" t="str">
            <v>S137</v>
          </cell>
          <cell r="G160">
            <v>6</v>
          </cell>
          <cell r="H160">
            <v>8.3000000000000007</v>
          </cell>
          <cell r="I160" t="str">
            <v>H</v>
          </cell>
          <cell r="J160" t="str">
            <v>BLANTYRE</v>
          </cell>
          <cell r="K160">
            <v>9</v>
          </cell>
          <cell r="L160">
            <v>0</v>
          </cell>
          <cell r="W160">
            <v>65</v>
          </cell>
          <cell r="X160" t="str">
            <v>DS</v>
          </cell>
          <cell r="Y160">
            <v>100</v>
          </cell>
          <cell r="Z160" t="str">
            <v>GR</v>
          </cell>
          <cell r="AA160">
            <v>100</v>
          </cell>
          <cell r="AB160" t="str">
            <v>GR</v>
          </cell>
          <cell r="AC160">
            <v>6</v>
          </cell>
          <cell r="AD160">
            <v>0</v>
          </cell>
          <cell r="AE160">
            <v>0</v>
          </cell>
          <cell r="AF160">
            <v>0</v>
          </cell>
          <cell r="AG160">
            <v>0</v>
          </cell>
          <cell r="AH160">
            <v>0</v>
          </cell>
          <cell r="AI160">
            <v>0</v>
          </cell>
          <cell r="AJ160">
            <v>0</v>
          </cell>
          <cell r="AK160">
            <v>0</v>
          </cell>
          <cell r="AL160">
            <v>0</v>
          </cell>
          <cell r="AM160">
            <v>1</v>
          </cell>
          <cell r="AN160" t="str">
            <v>never resealed</v>
          </cell>
          <cell r="BO160" t="str">
            <v>RS 382</v>
          </cell>
          <cell r="BP160">
            <v>8.3000000000000007</v>
          </cell>
          <cell r="BQ160">
            <v>6.5</v>
          </cell>
          <cell r="BR160" t="str">
            <v>H</v>
          </cell>
          <cell r="BS160">
            <v>0</v>
          </cell>
          <cell r="BT160">
            <v>0</v>
          </cell>
          <cell r="BU160" t="str">
            <v>DS</v>
          </cell>
          <cell r="BV160">
            <v>0</v>
          </cell>
          <cell r="BW160">
            <v>1</v>
          </cell>
          <cell r="BX160">
            <v>15</v>
          </cell>
          <cell r="BY160" t="str">
            <v xml:space="preserve"> </v>
          </cell>
          <cell r="BZ160">
            <v>1</v>
          </cell>
          <cell r="CA160">
            <v>6</v>
          </cell>
          <cell r="CB160">
            <v>1.077</v>
          </cell>
          <cell r="CC160">
            <v>7</v>
          </cell>
          <cell r="CD160">
            <v>90</v>
          </cell>
          <cell r="CE160">
            <v>75</v>
          </cell>
          <cell r="CF160">
            <v>60</v>
          </cell>
          <cell r="CG160">
            <v>30</v>
          </cell>
          <cell r="CH160">
            <v>15</v>
          </cell>
          <cell r="CI160">
            <v>47</v>
          </cell>
          <cell r="CJ160">
            <v>0.14461538461538462</v>
          </cell>
          <cell r="CK160">
            <v>10</v>
          </cell>
          <cell r="CL160">
            <v>60</v>
          </cell>
          <cell r="CM160">
            <v>0.55154319526627205</v>
          </cell>
          <cell r="CN160">
            <v>0.55154319526627205</v>
          </cell>
          <cell r="CO160">
            <v>0</v>
          </cell>
          <cell r="CP160">
            <v>0</v>
          </cell>
          <cell r="CQ160">
            <v>7.5515431952662722</v>
          </cell>
          <cell r="CR160">
            <v>0</v>
          </cell>
          <cell r="CS160">
            <v>1</v>
          </cell>
          <cell r="CT160">
            <v>0</v>
          </cell>
          <cell r="CU160">
            <v>0</v>
          </cell>
          <cell r="CV160">
            <v>33</v>
          </cell>
          <cell r="CW160">
            <v>33</v>
          </cell>
          <cell r="CX160" t="str">
            <v xml:space="preserve"> </v>
          </cell>
          <cell r="CY160">
            <v>2.5</v>
          </cell>
          <cell r="CZ160">
            <v>2</v>
          </cell>
          <cell r="DA160">
            <v>2.5</v>
          </cell>
          <cell r="DB160">
            <v>860</v>
          </cell>
          <cell r="DC160">
            <v>405</v>
          </cell>
          <cell r="DD160">
            <v>224</v>
          </cell>
          <cell r="DE160">
            <v>65</v>
          </cell>
          <cell r="DF160">
            <v>99</v>
          </cell>
          <cell r="DG160">
            <v>18</v>
          </cell>
          <cell r="DH160">
            <v>9</v>
          </cell>
          <cell r="DI160">
            <v>43</v>
          </cell>
        </row>
        <row r="161">
          <cell r="A161" t="str">
            <v>RS 391</v>
          </cell>
          <cell r="B161">
            <v>213</v>
          </cell>
          <cell r="C161" t="str">
            <v>S</v>
          </cell>
          <cell r="D161" t="str">
            <v>T</v>
          </cell>
          <cell r="E161" t="str">
            <v>Kuntiya - junction M3</v>
          </cell>
          <cell r="F161" t="str">
            <v>S139</v>
          </cell>
          <cell r="G161">
            <v>6</v>
          </cell>
          <cell r="H161">
            <v>2.1</v>
          </cell>
          <cell r="I161" t="str">
            <v>H</v>
          </cell>
          <cell r="J161" t="str">
            <v>ZOMBA CITY</v>
          </cell>
          <cell r="K161">
            <v>9</v>
          </cell>
          <cell r="L161" t="str">
            <v>Changed designation from S142 to S139</v>
          </cell>
          <cell r="W161">
            <v>67</v>
          </cell>
          <cell r="X161" t="str">
            <v>ST</v>
          </cell>
          <cell r="Y161">
            <v>100</v>
          </cell>
          <cell r="Z161" t="str">
            <v>GR</v>
          </cell>
          <cell r="AA161">
            <v>100</v>
          </cell>
          <cell r="AB161" t="str">
            <v>GR</v>
          </cell>
          <cell r="AC161">
            <v>5</v>
          </cell>
          <cell r="AD161">
            <v>0</v>
          </cell>
          <cell r="AE161">
            <v>0</v>
          </cell>
          <cell r="AF161">
            <v>0</v>
          </cell>
          <cell r="AG161">
            <v>0</v>
          </cell>
          <cell r="AH161">
            <v>0</v>
          </cell>
          <cell r="AI161">
            <v>0</v>
          </cell>
          <cell r="AJ161">
            <v>0</v>
          </cell>
          <cell r="AK161">
            <v>0</v>
          </cell>
          <cell r="AL161">
            <v>0</v>
          </cell>
          <cell r="AM161">
            <v>1</v>
          </cell>
          <cell r="AN161" t="str">
            <v>never resealed</v>
          </cell>
          <cell r="BO161" t="str">
            <v>RS 391</v>
          </cell>
          <cell r="BP161">
            <v>2.1</v>
          </cell>
          <cell r="BQ161">
            <v>5.5</v>
          </cell>
          <cell r="BR161" t="str">
            <v>H</v>
          </cell>
          <cell r="BS161">
            <v>0</v>
          </cell>
          <cell r="BT161">
            <v>0</v>
          </cell>
          <cell r="BU161" t="str">
            <v>ST</v>
          </cell>
          <cell r="BV161">
            <v>0</v>
          </cell>
          <cell r="BW161">
            <v>1</v>
          </cell>
          <cell r="BX161">
            <v>10</v>
          </cell>
          <cell r="BY161" t="str">
            <v xml:space="preserve"> </v>
          </cell>
          <cell r="BZ161">
            <v>1</v>
          </cell>
          <cell r="CA161">
            <v>5</v>
          </cell>
          <cell r="CB161">
            <v>0.90800000000000003</v>
          </cell>
          <cell r="CC161">
            <v>5</v>
          </cell>
          <cell r="CD161">
            <v>85</v>
          </cell>
          <cell r="CE161">
            <v>55</v>
          </cell>
          <cell r="CF161">
            <v>40</v>
          </cell>
          <cell r="CG161">
            <v>45</v>
          </cell>
          <cell r="CH161">
            <v>15</v>
          </cell>
          <cell r="CI161">
            <v>15</v>
          </cell>
          <cell r="CJ161">
            <v>5.454545454545455E-2</v>
          </cell>
          <cell r="CK161">
            <v>10</v>
          </cell>
          <cell r="CL161">
            <v>40</v>
          </cell>
          <cell r="CM161">
            <v>0.38521678321678315</v>
          </cell>
          <cell r="CN161">
            <v>0.38521678321678315</v>
          </cell>
          <cell r="CO161">
            <v>0</v>
          </cell>
          <cell r="CP161">
            <v>0</v>
          </cell>
          <cell r="CQ161">
            <v>5.3852167832167828</v>
          </cell>
          <cell r="CR161">
            <v>0</v>
          </cell>
          <cell r="CS161">
            <v>1</v>
          </cell>
          <cell r="CT161">
            <v>0</v>
          </cell>
          <cell r="CU161">
            <v>0</v>
          </cell>
          <cell r="CV161">
            <v>31</v>
          </cell>
          <cell r="CW161">
            <v>31</v>
          </cell>
          <cell r="CX161" t="str">
            <v xml:space="preserve"> </v>
          </cell>
          <cell r="CY161">
            <v>2</v>
          </cell>
          <cell r="CZ161">
            <v>1.5</v>
          </cell>
          <cell r="DA161">
            <v>2</v>
          </cell>
          <cell r="DB161">
            <v>65</v>
          </cell>
          <cell r="DC161">
            <v>31</v>
          </cell>
          <cell r="DD161">
            <v>17</v>
          </cell>
          <cell r="DE161">
            <v>5</v>
          </cell>
          <cell r="DF161">
            <v>8</v>
          </cell>
          <cell r="DG161">
            <v>2</v>
          </cell>
          <cell r="DH161">
            <v>1</v>
          </cell>
          <cell r="DI161">
            <v>4</v>
          </cell>
        </row>
        <row r="162">
          <cell r="A162" t="str">
            <v>RS 393</v>
          </cell>
          <cell r="B162">
            <v>215</v>
          </cell>
          <cell r="C162" t="str">
            <v>S</v>
          </cell>
          <cell r="D162" t="str">
            <v>T</v>
          </cell>
          <cell r="E162" t="str">
            <v>M3 junction - Ndege (Air Wing)</v>
          </cell>
          <cell r="F162" t="str">
            <v>S143</v>
          </cell>
          <cell r="G162">
            <v>1</v>
          </cell>
          <cell r="H162">
            <v>3.9</v>
          </cell>
          <cell r="I162" t="str">
            <v>F</v>
          </cell>
          <cell r="J162" t="str">
            <v>ZOMBA</v>
          </cell>
          <cell r="K162">
            <v>9</v>
          </cell>
          <cell r="L162">
            <v>0</v>
          </cell>
          <cell r="W162">
            <v>83</v>
          </cell>
          <cell r="X162" t="str">
            <v>ST</v>
          </cell>
          <cell r="Y162">
            <v>100</v>
          </cell>
          <cell r="Z162" t="str">
            <v>GR</v>
          </cell>
          <cell r="AA162">
            <v>100</v>
          </cell>
          <cell r="AB162" t="str">
            <v>GR</v>
          </cell>
          <cell r="AC162">
            <v>10</v>
          </cell>
          <cell r="AD162">
            <v>0</v>
          </cell>
          <cell r="AE162">
            <v>0</v>
          </cell>
          <cell r="AF162">
            <v>0</v>
          </cell>
          <cell r="AG162">
            <v>0</v>
          </cell>
          <cell r="AH162">
            <v>0</v>
          </cell>
          <cell r="AI162">
            <v>0</v>
          </cell>
          <cell r="AJ162">
            <v>0</v>
          </cell>
          <cell r="AK162">
            <v>0</v>
          </cell>
          <cell r="AL162">
            <v>0</v>
          </cell>
          <cell r="AM162">
            <v>1</v>
          </cell>
          <cell r="AN162" t="str">
            <v>never resealed</v>
          </cell>
          <cell r="BO162" t="str">
            <v>RS 393</v>
          </cell>
          <cell r="BP162">
            <v>3.9</v>
          </cell>
          <cell r="BQ162">
            <v>6</v>
          </cell>
          <cell r="BR162" t="str">
            <v>F</v>
          </cell>
          <cell r="BS162">
            <v>0</v>
          </cell>
          <cell r="BT162">
            <v>0</v>
          </cell>
          <cell r="BU162" t="str">
            <v>ST</v>
          </cell>
          <cell r="BV162">
            <v>0</v>
          </cell>
          <cell r="BW162">
            <v>1</v>
          </cell>
          <cell r="BX162">
            <v>10</v>
          </cell>
          <cell r="BY162" t="str">
            <v xml:space="preserve"> </v>
          </cell>
          <cell r="BZ162">
            <v>1</v>
          </cell>
          <cell r="CA162">
            <v>10</v>
          </cell>
          <cell r="CB162">
            <v>0.90800000000000003</v>
          </cell>
          <cell r="CC162">
            <v>8.35</v>
          </cell>
          <cell r="CD162">
            <v>50</v>
          </cell>
          <cell r="CE162">
            <v>20</v>
          </cell>
          <cell r="CF162">
            <v>5</v>
          </cell>
          <cell r="CG162">
            <v>45</v>
          </cell>
          <cell r="CH162">
            <v>15</v>
          </cell>
          <cell r="CI162">
            <v>12</v>
          </cell>
          <cell r="CJ162">
            <v>4.0000000000000008E-2</v>
          </cell>
          <cell r="CK162">
            <v>5.04</v>
          </cell>
          <cell r="CL162">
            <v>5</v>
          </cell>
          <cell r="CM162">
            <v>9.8584615384615396E-2</v>
          </cell>
          <cell r="CN162">
            <v>9.8584615384615396E-2</v>
          </cell>
          <cell r="CO162">
            <v>0</v>
          </cell>
          <cell r="CP162">
            <v>0</v>
          </cell>
          <cell r="CQ162">
            <v>8.4485846153846147</v>
          </cell>
          <cell r="CR162">
            <v>0</v>
          </cell>
          <cell r="CS162">
            <v>1</v>
          </cell>
          <cell r="CT162">
            <v>0</v>
          </cell>
          <cell r="CU162">
            <v>0</v>
          </cell>
          <cell r="CV162">
            <v>15</v>
          </cell>
          <cell r="CW162">
            <v>15</v>
          </cell>
          <cell r="CX162" t="str">
            <v xml:space="preserve"> </v>
          </cell>
          <cell r="CY162">
            <v>1.5</v>
          </cell>
          <cell r="CZ162">
            <v>1.5</v>
          </cell>
          <cell r="DA162">
            <v>2</v>
          </cell>
          <cell r="DB162">
            <v>80</v>
          </cell>
          <cell r="DC162">
            <v>38</v>
          </cell>
          <cell r="DD162">
            <v>21</v>
          </cell>
          <cell r="DE162">
            <v>6</v>
          </cell>
          <cell r="DF162">
            <v>10</v>
          </cell>
          <cell r="DG162">
            <v>2</v>
          </cell>
          <cell r="DH162">
            <v>1</v>
          </cell>
          <cell r="DI162">
            <v>4</v>
          </cell>
        </row>
        <row r="163">
          <cell r="A163" t="str">
            <v>RS 406</v>
          </cell>
          <cell r="B163">
            <v>228</v>
          </cell>
          <cell r="C163" t="str">
            <v>S</v>
          </cell>
          <cell r="D163" t="str">
            <v>T</v>
          </cell>
          <cell r="E163" t="str">
            <v>Chiradzulu - Walala</v>
          </cell>
          <cell r="F163" t="str">
            <v>S146</v>
          </cell>
          <cell r="G163">
            <v>3</v>
          </cell>
          <cell r="H163">
            <v>11.7</v>
          </cell>
          <cell r="I163" t="str">
            <v>R</v>
          </cell>
          <cell r="J163" t="str">
            <v>CHIRADZULU</v>
          </cell>
          <cell r="K163">
            <v>9</v>
          </cell>
          <cell r="L163">
            <v>0</v>
          </cell>
          <cell r="W163">
            <v>80</v>
          </cell>
          <cell r="X163" t="str">
            <v>ST</v>
          </cell>
          <cell r="Y163">
            <v>150</v>
          </cell>
          <cell r="Z163" t="str">
            <v>GR</v>
          </cell>
          <cell r="AA163">
            <v>100</v>
          </cell>
          <cell r="AB163" t="str">
            <v>GR</v>
          </cell>
          <cell r="AC163">
            <v>5</v>
          </cell>
          <cell r="AD163" t="str">
            <v>PM</v>
          </cell>
          <cell r="AE163">
            <v>0</v>
          </cell>
          <cell r="AF163">
            <v>0</v>
          </cell>
          <cell r="AG163">
            <v>0</v>
          </cell>
          <cell r="AH163">
            <v>0</v>
          </cell>
          <cell r="AI163">
            <v>0</v>
          </cell>
          <cell r="AJ163">
            <v>0</v>
          </cell>
          <cell r="AK163">
            <v>0</v>
          </cell>
          <cell r="AL163">
            <v>0</v>
          </cell>
          <cell r="AM163">
            <v>1</v>
          </cell>
          <cell r="AN163" t="str">
            <v>never resealed</v>
          </cell>
          <cell r="BO163" t="str">
            <v>RS 406</v>
          </cell>
          <cell r="BP163">
            <v>11.7</v>
          </cell>
          <cell r="BQ163">
            <v>6.7</v>
          </cell>
          <cell r="BR163" t="str">
            <v>R</v>
          </cell>
          <cell r="BS163">
            <v>0</v>
          </cell>
          <cell r="BT163">
            <v>0</v>
          </cell>
          <cell r="BU163" t="str">
            <v>ST</v>
          </cell>
          <cell r="BV163">
            <v>0</v>
          </cell>
          <cell r="BW163">
            <v>1</v>
          </cell>
          <cell r="BX163">
            <v>10</v>
          </cell>
          <cell r="BY163" t="str">
            <v xml:space="preserve"> </v>
          </cell>
          <cell r="BZ163">
            <v>1</v>
          </cell>
          <cell r="CA163">
            <v>5</v>
          </cell>
          <cell r="CB163">
            <v>0.90800000000000003</v>
          </cell>
          <cell r="CC163">
            <v>6.28</v>
          </cell>
          <cell r="CD163">
            <v>90</v>
          </cell>
          <cell r="CE163">
            <v>65</v>
          </cell>
          <cell r="CF163">
            <v>50</v>
          </cell>
          <cell r="CG163">
            <v>40</v>
          </cell>
          <cell r="CH163">
            <v>15</v>
          </cell>
          <cell r="CI163">
            <v>10</v>
          </cell>
          <cell r="CJ163">
            <v>2.9850746268656716E-2</v>
          </cell>
          <cell r="CK163">
            <v>10</v>
          </cell>
          <cell r="CL163">
            <v>50</v>
          </cell>
          <cell r="CM163">
            <v>0.44204362801377722</v>
          </cell>
          <cell r="CN163">
            <v>0.44204362801377722</v>
          </cell>
          <cell r="CO163">
            <v>0</v>
          </cell>
          <cell r="CP163">
            <v>0</v>
          </cell>
          <cell r="CQ163">
            <v>6.7220436280137772</v>
          </cell>
          <cell r="CR163">
            <v>0</v>
          </cell>
          <cell r="CS163">
            <v>1</v>
          </cell>
          <cell r="CT163">
            <v>0</v>
          </cell>
          <cell r="CU163">
            <v>0</v>
          </cell>
          <cell r="CV163">
            <v>18</v>
          </cell>
          <cell r="CW163">
            <v>18</v>
          </cell>
          <cell r="CX163" t="str">
            <v xml:space="preserve"> </v>
          </cell>
          <cell r="CY163">
            <v>2</v>
          </cell>
          <cell r="CZ163">
            <v>2</v>
          </cell>
          <cell r="DA163">
            <v>1.5</v>
          </cell>
          <cell r="DB163">
            <v>190</v>
          </cell>
          <cell r="DC163">
            <v>90</v>
          </cell>
          <cell r="DD163">
            <v>50</v>
          </cell>
          <cell r="DE163">
            <v>15</v>
          </cell>
          <cell r="DF163">
            <v>22</v>
          </cell>
          <cell r="DG163">
            <v>4</v>
          </cell>
          <cell r="DH163">
            <v>2</v>
          </cell>
          <cell r="DI163">
            <v>10</v>
          </cell>
        </row>
        <row r="164">
          <cell r="A164" t="str">
            <v>RS 407</v>
          </cell>
          <cell r="B164">
            <v>229</v>
          </cell>
          <cell r="C164" t="str">
            <v>S</v>
          </cell>
          <cell r="D164" t="str">
            <v>T</v>
          </cell>
          <cell r="E164" t="str">
            <v>Walala - Limbe (junction M3)</v>
          </cell>
          <cell r="F164" t="str">
            <v>S146</v>
          </cell>
          <cell r="G164">
            <v>4</v>
          </cell>
          <cell r="H164">
            <v>2.5</v>
          </cell>
          <cell r="I164" t="str">
            <v>R</v>
          </cell>
          <cell r="J164" t="str">
            <v>BLANTYRE</v>
          </cell>
          <cell r="K164">
            <v>9</v>
          </cell>
          <cell r="L164">
            <v>0</v>
          </cell>
          <cell r="W164">
            <v>80</v>
          </cell>
          <cell r="X164" t="str">
            <v>ST</v>
          </cell>
          <cell r="Y164">
            <v>150</v>
          </cell>
          <cell r="Z164" t="str">
            <v>GR</v>
          </cell>
          <cell r="AA164">
            <v>100</v>
          </cell>
          <cell r="AB164" t="str">
            <v>GR</v>
          </cell>
          <cell r="AC164">
            <v>5</v>
          </cell>
          <cell r="AD164" t="str">
            <v>PM</v>
          </cell>
          <cell r="AE164">
            <v>0</v>
          </cell>
          <cell r="AF164">
            <v>0</v>
          </cell>
          <cell r="AG164">
            <v>0</v>
          </cell>
          <cell r="AH164">
            <v>0</v>
          </cell>
          <cell r="AI164">
            <v>0</v>
          </cell>
          <cell r="AJ164">
            <v>0</v>
          </cell>
          <cell r="AK164">
            <v>0</v>
          </cell>
          <cell r="AL164">
            <v>0</v>
          </cell>
          <cell r="AM164">
            <v>1</v>
          </cell>
          <cell r="AN164" t="str">
            <v>never resealed</v>
          </cell>
          <cell r="BO164" t="str">
            <v>RS 407</v>
          </cell>
          <cell r="BP164">
            <v>2.5</v>
          </cell>
          <cell r="BQ164">
            <v>6.7</v>
          </cell>
          <cell r="BR164" t="str">
            <v>R</v>
          </cell>
          <cell r="BS164">
            <v>0</v>
          </cell>
          <cell r="BT164">
            <v>0</v>
          </cell>
          <cell r="BU164" t="str">
            <v>ST</v>
          </cell>
          <cell r="BV164">
            <v>0</v>
          </cell>
          <cell r="BW164">
            <v>1</v>
          </cell>
          <cell r="BX164">
            <v>10</v>
          </cell>
          <cell r="BY164" t="str">
            <v xml:space="preserve"> </v>
          </cell>
          <cell r="BZ164">
            <v>1</v>
          </cell>
          <cell r="CA164">
            <v>5</v>
          </cell>
          <cell r="CB164">
            <v>0.90800000000000003</v>
          </cell>
          <cell r="CC164">
            <v>6.28</v>
          </cell>
          <cell r="CD164">
            <v>85</v>
          </cell>
          <cell r="CE164">
            <v>70</v>
          </cell>
          <cell r="CF164">
            <v>55</v>
          </cell>
          <cell r="CG164">
            <v>30</v>
          </cell>
          <cell r="CH164">
            <v>15</v>
          </cell>
          <cell r="CI164">
            <v>15</v>
          </cell>
          <cell r="CJ164">
            <v>4.4776119402985072E-2</v>
          </cell>
          <cell r="CK164">
            <v>10</v>
          </cell>
          <cell r="CL164">
            <v>55</v>
          </cell>
          <cell r="CM164">
            <v>0.48075774971297353</v>
          </cell>
          <cell r="CN164">
            <v>0.48075774971297353</v>
          </cell>
          <cell r="CO164">
            <v>0</v>
          </cell>
          <cell r="CP164">
            <v>0</v>
          </cell>
          <cell r="CQ164">
            <v>6.7607577497129734</v>
          </cell>
          <cell r="CR164">
            <v>0</v>
          </cell>
          <cell r="CS164">
            <v>1</v>
          </cell>
          <cell r="CT164">
            <v>0</v>
          </cell>
          <cell r="CU164">
            <v>0</v>
          </cell>
          <cell r="CV164">
            <v>18</v>
          </cell>
          <cell r="CW164">
            <v>18</v>
          </cell>
          <cell r="CX164" t="str">
            <v xml:space="preserve"> </v>
          </cell>
          <cell r="CY164">
            <v>2</v>
          </cell>
          <cell r="CZ164">
            <v>2</v>
          </cell>
          <cell r="DA164">
            <v>2</v>
          </cell>
          <cell r="DB164">
            <v>200</v>
          </cell>
          <cell r="DC164">
            <v>94</v>
          </cell>
          <cell r="DD164">
            <v>52</v>
          </cell>
          <cell r="DE164">
            <v>15</v>
          </cell>
          <cell r="DF164">
            <v>23</v>
          </cell>
          <cell r="DG164">
            <v>4</v>
          </cell>
          <cell r="DH164">
            <v>2</v>
          </cell>
          <cell r="DI164">
            <v>10</v>
          </cell>
        </row>
        <row r="165">
          <cell r="A165" t="str">
            <v>RS 462</v>
          </cell>
          <cell r="B165">
            <v>284</v>
          </cell>
          <cell r="C165" t="str">
            <v>N</v>
          </cell>
          <cell r="D165" t="str">
            <v>T</v>
          </cell>
          <cell r="E165" t="str">
            <v>Kalwe - Nkhata Bay</v>
          </cell>
          <cell r="F165" t="str">
            <v>T318</v>
          </cell>
          <cell r="G165">
            <v>1</v>
          </cell>
          <cell r="H165">
            <v>5.2</v>
          </cell>
          <cell r="I165" t="str">
            <v>F</v>
          </cell>
          <cell r="J165" t="str">
            <v>NKHATA BAY</v>
          </cell>
          <cell r="K165">
            <v>3</v>
          </cell>
          <cell r="L165" t="str">
            <v>Changed from feeder to trunk as bitumen road</v>
          </cell>
          <cell r="W165">
            <v>75</v>
          </cell>
          <cell r="X165" t="str">
            <v>ST</v>
          </cell>
          <cell r="Y165">
            <v>150</v>
          </cell>
          <cell r="Z165" t="str">
            <v>SG</v>
          </cell>
          <cell r="AA165">
            <v>100</v>
          </cell>
          <cell r="AB165" t="str">
            <v>GR</v>
          </cell>
          <cell r="AC165">
            <v>7</v>
          </cell>
          <cell r="AD165" t="str">
            <v>PM</v>
          </cell>
          <cell r="AE165">
            <v>0</v>
          </cell>
          <cell r="AF165">
            <v>0</v>
          </cell>
          <cell r="AG165">
            <v>0</v>
          </cell>
          <cell r="AH165">
            <v>0</v>
          </cell>
          <cell r="AI165">
            <v>0</v>
          </cell>
          <cell r="AJ165">
            <v>0</v>
          </cell>
          <cell r="AK165">
            <v>0</v>
          </cell>
          <cell r="AL165">
            <v>0</v>
          </cell>
          <cell r="AM165">
            <v>3</v>
          </cell>
          <cell r="AN165" t="str">
            <v>never resealed</v>
          </cell>
          <cell r="BO165" t="str">
            <v>RS 462</v>
          </cell>
          <cell r="BP165">
            <v>5.2</v>
          </cell>
          <cell r="BQ165">
            <v>5.5</v>
          </cell>
          <cell r="BR165" t="str">
            <v>F</v>
          </cell>
          <cell r="BS165" t="str">
            <v>C</v>
          </cell>
          <cell r="BT165">
            <v>0</v>
          </cell>
          <cell r="BU165" t="str">
            <v>ST</v>
          </cell>
          <cell r="BV165">
            <v>0</v>
          </cell>
          <cell r="BW165">
            <v>3</v>
          </cell>
          <cell r="BX165">
            <v>10</v>
          </cell>
          <cell r="BY165" t="str">
            <v xml:space="preserve"> </v>
          </cell>
          <cell r="BZ165">
            <v>2</v>
          </cell>
          <cell r="CA165">
            <v>7</v>
          </cell>
          <cell r="CB165">
            <v>1.36</v>
          </cell>
          <cell r="CC165">
            <v>6.560767608637696</v>
          </cell>
          <cell r="CD165">
            <v>0</v>
          </cell>
          <cell r="CE165">
            <v>0</v>
          </cell>
          <cell r="CF165">
            <v>0</v>
          </cell>
          <cell r="CG165">
            <v>0</v>
          </cell>
          <cell r="CH165">
            <v>0</v>
          </cell>
          <cell r="CI165">
            <v>27</v>
          </cell>
          <cell r="CJ165">
            <v>9.8181818181818176E-2</v>
          </cell>
          <cell r="CK165">
            <v>9.8181818181818176E-2</v>
          </cell>
          <cell r="CL165">
            <v>0</v>
          </cell>
          <cell r="CM165">
            <v>3.8064335664335661E-2</v>
          </cell>
          <cell r="CN165">
            <v>3.8064335664335661E-2</v>
          </cell>
          <cell r="CO165">
            <v>0</v>
          </cell>
          <cell r="CP165">
            <v>0</v>
          </cell>
          <cell r="CQ165">
            <v>6.5988319443020318</v>
          </cell>
          <cell r="CR165">
            <v>0</v>
          </cell>
          <cell r="CS165">
            <v>1</v>
          </cell>
          <cell r="CT165">
            <v>0</v>
          </cell>
          <cell r="CU165">
            <v>0</v>
          </cell>
          <cell r="CV165">
            <v>23</v>
          </cell>
          <cell r="CW165">
            <v>23</v>
          </cell>
          <cell r="CX165" t="str">
            <v xml:space="preserve"> </v>
          </cell>
          <cell r="CY165">
            <v>2</v>
          </cell>
          <cell r="CZ165">
            <v>2</v>
          </cell>
          <cell r="DA165">
            <v>2</v>
          </cell>
          <cell r="DB165">
            <v>300</v>
          </cell>
          <cell r="DC165">
            <v>141</v>
          </cell>
          <cell r="DD165">
            <v>78</v>
          </cell>
          <cell r="DE165">
            <v>23</v>
          </cell>
          <cell r="DF165">
            <v>35</v>
          </cell>
          <cell r="DG165">
            <v>6</v>
          </cell>
          <cell r="DH165">
            <v>3</v>
          </cell>
          <cell r="DI165">
            <v>15</v>
          </cell>
        </row>
        <row r="166">
          <cell r="A166" t="str">
            <v>RS 235</v>
          </cell>
          <cell r="B166">
            <v>57</v>
          </cell>
          <cell r="C166" t="str">
            <v>C</v>
          </cell>
          <cell r="D166" t="str">
            <v>T</v>
          </cell>
          <cell r="E166" t="str">
            <v>Kamwendo - Matutu (junction S116)</v>
          </cell>
          <cell r="F166" t="str">
            <v>T334</v>
          </cell>
          <cell r="G166">
            <v>1</v>
          </cell>
          <cell r="H166">
            <v>16.899999999999999</v>
          </cell>
          <cell r="I166" t="str">
            <v>F</v>
          </cell>
          <cell r="J166" t="str">
            <v>MCHINJI</v>
          </cell>
          <cell r="K166">
            <v>6</v>
          </cell>
          <cell r="L166" t="str">
            <v>Changed designation from S116 to T334. Changed to trunk</v>
          </cell>
          <cell r="W166">
            <v>98</v>
          </cell>
          <cell r="X166" t="str">
            <v>DS</v>
          </cell>
          <cell r="Y166">
            <v>150</v>
          </cell>
          <cell r="Z166" t="str">
            <v>GR</v>
          </cell>
          <cell r="AA166">
            <v>150</v>
          </cell>
          <cell r="AB166" t="str">
            <v>GR</v>
          </cell>
          <cell r="AC166">
            <v>5</v>
          </cell>
          <cell r="AD166">
            <v>0</v>
          </cell>
          <cell r="AE166">
            <v>0</v>
          </cell>
          <cell r="AF166">
            <v>0</v>
          </cell>
          <cell r="AG166">
            <v>0</v>
          </cell>
          <cell r="AH166">
            <v>0</v>
          </cell>
          <cell r="AI166">
            <v>0</v>
          </cell>
          <cell r="AJ166">
            <v>0</v>
          </cell>
          <cell r="AK166">
            <v>0</v>
          </cell>
          <cell r="AL166">
            <v>0</v>
          </cell>
          <cell r="AM166">
            <v>1</v>
          </cell>
          <cell r="AN166" t="str">
            <v>never resealed</v>
          </cell>
          <cell r="BO166" t="str">
            <v>RS 235</v>
          </cell>
          <cell r="BP166">
            <v>16.899999999999999</v>
          </cell>
          <cell r="BQ166">
            <v>6.7</v>
          </cell>
          <cell r="BR166" t="str">
            <v>F</v>
          </cell>
          <cell r="BS166">
            <v>0</v>
          </cell>
          <cell r="BT166">
            <v>0</v>
          </cell>
          <cell r="BU166" t="str">
            <v>DS</v>
          </cell>
          <cell r="BV166">
            <v>0</v>
          </cell>
          <cell r="BW166">
            <v>1</v>
          </cell>
          <cell r="BX166">
            <v>15</v>
          </cell>
          <cell r="BY166" t="str">
            <v xml:space="preserve"> </v>
          </cell>
          <cell r="BZ166">
            <v>1</v>
          </cell>
          <cell r="CA166">
            <v>5</v>
          </cell>
          <cell r="CB166">
            <v>1.5270000000000001</v>
          </cell>
          <cell r="CC166">
            <v>3.3</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3.3</v>
          </cell>
          <cell r="CR166">
            <v>0</v>
          </cell>
          <cell r="CS166">
            <v>1</v>
          </cell>
          <cell r="CT166">
            <v>0</v>
          </cell>
          <cell r="CU166">
            <v>0</v>
          </cell>
          <cell r="CV166">
            <v>0</v>
          </cell>
          <cell r="CW166">
            <v>0</v>
          </cell>
          <cell r="CX166" t="str">
            <v xml:space="preserve"> </v>
          </cell>
          <cell r="CY166">
            <v>1</v>
          </cell>
          <cell r="CZ166">
            <v>1</v>
          </cell>
          <cell r="DA166">
            <v>1</v>
          </cell>
          <cell r="DB166">
            <v>80</v>
          </cell>
          <cell r="DC166">
            <v>38</v>
          </cell>
          <cell r="DD166">
            <v>21</v>
          </cell>
          <cell r="DE166">
            <v>6</v>
          </cell>
          <cell r="DF166">
            <v>10</v>
          </cell>
          <cell r="DG166">
            <v>2</v>
          </cell>
          <cell r="DH166">
            <v>1</v>
          </cell>
          <cell r="DI166">
            <v>4</v>
          </cell>
        </row>
        <row r="167">
          <cell r="A167" t="str">
            <v>RS 153</v>
          </cell>
          <cell r="B167">
            <v>153</v>
          </cell>
          <cell r="C167" t="str">
            <v>C</v>
          </cell>
          <cell r="D167" t="str">
            <v>U</v>
          </cell>
          <cell r="E167" t="str">
            <v>Chidzanja Road</v>
          </cell>
          <cell r="F167" t="str">
            <v>Urban</v>
          </cell>
          <cell r="G167">
            <v>1</v>
          </cell>
          <cell r="H167">
            <v>6.5</v>
          </cell>
          <cell r="I167" t="str">
            <v>R</v>
          </cell>
          <cell r="J167" t="str">
            <v>LILONGWE CITY</v>
          </cell>
          <cell r="K167" t="str">
            <v>C</v>
          </cell>
          <cell r="L167">
            <v>0</v>
          </cell>
          <cell r="W167">
            <v>83</v>
          </cell>
          <cell r="X167" t="str">
            <v>SA</v>
          </cell>
          <cell r="Y167">
            <v>150</v>
          </cell>
          <cell r="Z167" t="str">
            <v>GR</v>
          </cell>
          <cell r="AA167">
            <v>100</v>
          </cell>
          <cell r="AB167" t="str">
            <v>GR</v>
          </cell>
          <cell r="AC167">
            <v>5</v>
          </cell>
          <cell r="AD167" t="str">
            <v>CC</v>
          </cell>
          <cell r="AE167">
            <v>97</v>
          </cell>
          <cell r="AF167" t="str">
            <v>SS</v>
          </cell>
          <cell r="AG167" t="str">
            <v>SS</v>
          </cell>
          <cell r="AH167">
            <v>5</v>
          </cell>
          <cell r="AI167">
            <v>0</v>
          </cell>
          <cell r="AJ167">
            <v>0</v>
          </cell>
          <cell r="AK167">
            <v>0</v>
          </cell>
          <cell r="AL167">
            <v>0</v>
          </cell>
          <cell r="AM167">
            <v>3</v>
          </cell>
          <cell r="AN167">
            <v>0</v>
          </cell>
          <cell r="BO167" t="str">
            <v>RS 153</v>
          </cell>
          <cell r="BP167">
            <v>6.5</v>
          </cell>
          <cell r="BQ167">
            <v>6</v>
          </cell>
          <cell r="BR167" t="str">
            <v>R</v>
          </cell>
          <cell r="BS167" t="str">
            <v>S</v>
          </cell>
          <cell r="BT167">
            <v>0</v>
          </cell>
          <cell r="BU167" t="str">
            <v>SS</v>
          </cell>
          <cell r="BV167" t="str">
            <v>SA</v>
          </cell>
          <cell r="BW167">
            <v>3</v>
          </cell>
          <cell r="BX167">
            <v>5</v>
          </cell>
          <cell r="BY167">
            <v>10</v>
          </cell>
          <cell r="BZ167">
            <v>1</v>
          </cell>
          <cell r="CA167">
            <v>5</v>
          </cell>
          <cell r="CB167">
            <v>0.90800000000000003</v>
          </cell>
          <cell r="CC167">
            <v>7.78</v>
          </cell>
          <cell r="CD167">
            <v>2.5</v>
          </cell>
          <cell r="CE167">
            <v>0</v>
          </cell>
          <cell r="CF167">
            <v>0</v>
          </cell>
          <cell r="CG167">
            <v>2.5</v>
          </cell>
          <cell r="CH167">
            <v>0</v>
          </cell>
          <cell r="CI167">
            <v>1.3</v>
          </cell>
          <cell r="CJ167">
            <v>4.3333333333333331E-3</v>
          </cell>
          <cell r="CK167">
            <v>4.3333333333333331E-3</v>
          </cell>
          <cell r="CL167">
            <v>0</v>
          </cell>
          <cell r="CM167">
            <v>1.6799999999999999E-3</v>
          </cell>
          <cell r="CN167">
            <v>1.6799999999999999E-3</v>
          </cell>
          <cell r="CO167">
            <v>0</v>
          </cell>
          <cell r="CP167">
            <v>0</v>
          </cell>
          <cell r="CQ167">
            <v>7.7816800000000006</v>
          </cell>
          <cell r="CR167">
            <v>0.5</v>
          </cell>
          <cell r="CS167">
            <v>1</v>
          </cell>
          <cell r="CT167">
            <v>0</v>
          </cell>
          <cell r="CU167">
            <v>0</v>
          </cell>
          <cell r="CV167">
            <v>1</v>
          </cell>
          <cell r="CW167">
            <v>15</v>
          </cell>
          <cell r="CX167">
            <v>30</v>
          </cell>
          <cell r="CY167">
            <v>2</v>
          </cell>
          <cell r="CZ167">
            <v>2</v>
          </cell>
          <cell r="DA167">
            <v>1.5</v>
          </cell>
          <cell r="DB167">
            <v>1894</v>
          </cell>
          <cell r="DC167">
            <v>947</v>
          </cell>
          <cell r="DD167">
            <v>512</v>
          </cell>
          <cell r="DE167">
            <v>95</v>
          </cell>
          <cell r="DF167">
            <v>275</v>
          </cell>
          <cell r="DG167">
            <v>29</v>
          </cell>
          <cell r="DH167">
            <v>19</v>
          </cell>
          <cell r="DI167">
            <v>19</v>
          </cell>
        </row>
        <row r="168">
          <cell r="A168" t="str">
            <v>RS 154</v>
          </cell>
          <cell r="B168">
            <v>154</v>
          </cell>
          <cell r="C168" t="str">
            <v>C</v>
          </cell>
          <cell r="D168" t="str">
            <v>U</v>
          </cell>
          <cell r="E168" t="str">
            <v>Chendawaka Road (M1 to junction D189)</v>
          </cell>
          <cell r="F168" t="str">
            <v>Urban</v>
          </cell>
          <cell r="G168">
            <v>2</v>
          </cell>
          <cell r="H168">
            <v>5</v>
          </cell>
          <cell r="I168" t="str">
            <v>R</v>
          </cell>
          <cell r="J168" t="str">
            <v>LILONGWE CITY</v>
          </cell>
          <cell r="K168" t="str">
            <v>C</v>
          </cell>
          <cell r="L168">
            <v>0</v>
          </cell>
          <cell r="W168">
            <v>75</v>
          </cell>
          <cell r="X168" t="str">
            <v>DS</v>
          </cell>
          <cell r="Y168">
            <v>150</v>
          </cell>
          <cell r="Z168" t="str">
            <v>GR</v>
          </cell>
          <cell r="AA168">
            <v>100</v>
          </cell>
          <cell r="AB168" t="str">
            <v>GR</v>
          </cell>
          <cell r="AC168">
            <v>5</v>
          </cell>
          <cell r="AD168">
            <v>0</v>
          </cell>
          <cell r="AE168">
            <v>97</v>
          </cell>
          <cell r="AF168" t="str">
            <v>SS</v>
          </cell>
          <cell r="AG168" t="str">
            <v>SS</v>
          </cell>
          <cell r="AH168">
            <v>5</v>
          </cell>
          <cell r="AI168">
            <v>0</v>
          </cell>
          <cell r="AJ168">
            <v>0</v>
          </cell>
          <cell r="AK168">
            <v>0</v>
          </cell>
          <cell r="AL168">
            <v>0</v>
          </cell>
          <cell r="AM168">
            <v>7</v>
          </cell>
          <cell r="AN168">
            <v>0</v>
          </cell>
          <cell r="BO168" t="str">
            <v>RS 154</v>
          </cell>
          <cell r="BP168">
            <v>5</v>
          </cell>
          <cell r="BQ168">
            <v>6</v>
          </cell>
          <cell r="BR168" t="str">
            <v>R</v>
          </cell>
          <cell r="BS168">
            <v>0</v>
          </cell>
          <cell r="BT168">
            <v>0</v>
          </cell>
          <cell r="BU168" t="str">
            <v>SS</v>
          </cell>
          <cell r="BV168" t="str">
            <v>DS</v>
          </cell>
          <cell r="BW168">
            <v>7</v>
          </cell>
          <cell r="BX168">
            <v>5</v>
          </cell>
          <cell r="BY168">
            <v>15</v>
          </cell>
          <cell r="BZ168">
            <v>1</v>
          </cell>
          <cell r="CA168">
            <v>5</v>
          </cell>
          <cell r="CB168">
            <v>1.077</v>
          </cell>
          <cell r="CC168">
            <v>5.52</v>
          </cell>
          <cell r="CD168">
            <v>8</v>
          </cell>
          <cell r="CE168">
            <v>7</v>
          </cell>
          <cell r="CF168">
            <v>0</v>
          </cell>
          <cell r="CG168">
            <v>8</v>
          </cell>
          <cell r="CH168">
            <v>7</v>
          </cell>
          <cell r="CI168">
            <v>0</v>
          </cell>
          <cell r="CJ168">
            <v>0</v>
          </cell>
          <cell r="CK168">
            <v>0</v>
          </cell>
          <cell r="CL168">
            <v>0</v>
          </cell>
          <cell r="CM168">
            <v>0</v>
          </cell>
          <cell r="CN168">
            <v>0</v>
          </cell>
          <cell r="CO168">
            <v>0</v>
          </cell>
          <cell r="CP168">
            <v>0</v>
          </cell>
          <cell r="CQ168">
            <v>5.52</v>
          </cell>
          <cell r="CR168">
            <v>0</v>
          </cell>
          <cell r="CS168">
            <v>1</v>
          </cell>
          <cell r="CT168">
            <v>0</v>
          </cell>
          <cell r="CU168">
            <v>0</v>
          </cell>
          <cell r="CV168">
            <v>1</v>
          </cell>
          <cell r="CW168">
            <v>23</v>
          </cell>
          <cell r="CX168">
            <v>46</v>
          </cell>
          <cell r="CY168">
            <v>1.5</v>
          </cell>
          <cell r="CZ168">
            <v>1</v>
          </cell>
          <cell r="DA168">
            <v>1</v>
          </cell>
          <cell r="DB168">
            <v>1842</v>
          </cell>
          <cell r="DC168">
            <v>921</v>
          </cell>
          <cell r="DD168">
            <v>498</v>
          </cell>
          <cell r="DE168">
            <v>93</v>
          </cell>
          <cell r="DF168">
            <v>268</v>
          </cell>
          <cell r="DG168">
            <v>28</v>
          </cell>
          <cell r="DH168">
            <v>19</v>
          </cell>
          <cell r="DI168">
            <v>19</v>
          </cell>
        </row>
        <row r="169">
          <cell r="A169" t="str">
            <v>RS 155</v>
          </cell>
          <cell r="B169">
            <v>155</v>
          </cell>
          <cell r="C169" t="str">
            <v>C</v>
          </cell>
          <cell r="D169" t="str">
            <v>U</v>
          </cell>
          <cell r="E169" t="str">
            <v>Chilambula Road</v>
          </cell>
          <cell r="F169" t="str">
            <v>Urban</v>
          </cell>
          <cell r="G169">
            <v>3</v>
          </cell>
          <cell r="H169">
            <v>4</v>
          </cell>
          <cell r="I169" t="str">
            <v>R</v>
          </cell>
          <cell r="J169" t="str">
            <v>LILONGWE CITY</v>
          </cell>
          <cell r="K169" t="str">
            <v>C</v>
          </cell>
          <cell r="L169">
            <v>0</v>
          </cell>
          <cell r="W169">
            <v>73</v>
          </cell>
          <cell r="X169" t="str">
            <v>AC</v>
          </cell>
          <cell r="Y169">
            <v>150</v>
          </cell>
          <cell r="Z169" t="str">
            <v>GR</v>
          </cell>
          <cell r="AA169">
            <v>100</v>
          </cell>
          <cell r="AB169" t="str">
            <v>GR</v>
          </cell>
          <cell r="AC169">
            <v>5</v>
          </cell>
          <cell r="AD169" t="str">
            <v>AM</v>
          </cell>
          <cell r="AE169">
            <v>98</v>
          </cell>
          <cell r="AF169" t="str">
            <v>SS</v>
          </cell>
          <cell r="AG169" t="str">
            <v>SS</v>
          </cell>
          <cell r="AH169">
            <v>5</v>
          </cell>
          <cell r="AI169">
            <v>0</v>
          </cell>
          <cell r="AJ169">
            <v>0</v>
          </cell>
          <cell r="AK169">
            <v>0</v>
          </cell>
          <cell r="AL169">
            <v>0</v>
          </cell>
          <cell r="AM169">
            <v>7</v>
          </cell>
          <cell r="AN169">
            <v>0</v>
          </cell>
          <cell r="BO169" t="str">
            <v>RS 155</v>
          </cell>
          <cell r="BP169">
            <v>4</v>
          </cell>
          <cell r="BQ169">
            <v>6.7</v>
          </cell>
          <cell r="BR169" t="str">
            <v>R</v>
          </cell>
          <cell r="BS169" t="str">
            <v>C</v>
          </cell>
          <cell r="BT169">
            <v>0</v>
          </cell>
          <cell r="BU169" t="str">
            <v>SS</v>
          </cell>
          <cell r="BV169" t="str">
            <v>AC</v>
          </cell>
          <cell r="BW169">
            <v>2</v>
          </cell>
          <cell r="BX169">
            <v>5</v>
          </cell>
          <cell r="BY169">
            <v>40</v>
          </cell>
          <cell r="BZ169">
            <v>1</v>
          </cell>
          <cell r="CA169">
            <v>5</v>
          </cell>
          <cell r="CB169">
            <v>1.9</v>
          </cell>
          <cell r="CC169">
            <v>6</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6</v>
          </cell>
          <cell r="CR169">
            <v>0.5</v>
          </cell>
          <cell r="CS169">
            <v>1</v>
          </cell>
          <cell r="CT169">
            <v>0</v>
          </cell>
          <cell r="CU169">
            <v>0</v>
          </cell>
          <cell r="CV169">
            <v>25</v>
          </cell>
          <cell r="CW169">
            <v>25</v>
          </cell>
          <cell r="CX169">
            <v>27</v>
          </cell>
          <cell r="CY169">
            <v>3</v>
          </cell>
          <cell r="CZ169">
            <v>3</v>
          </cell>
          <cell r="DA169">
            <v>2</v>
          </cell>
          <cell r="DB169">
            <v>8793</v>
          </cell>
          <cell r="DC169">
            <v>4397</v>
          </cell>
          <cell r="DD169">
            <v>2375</v>
          </cell>
          <cell r="DE169">
            <v>440</v>
          </cell>
          <cell r="DF169">
            <v>1275</v>
          </cell>
          <cell r="DG169">
            <v>132</v>
          </cell>
          <cell r="DH169">
            <v>88</v>
          </cell>
          <cell r="DI169">
            <v>88</v>
          </cell>
        </row>
        <row r="170">
          <cell r="A170" t="str">
            <v>RS 156</v>
          </cell>
          <cell r="B170">
            <v>156</v>
          </cell>
          <cell r="C170" t="str">
            <v>C</v>
          </cell>
          <cell r="D170" t="str">
            <v>U</v>
          </cell>
          <cell r="E170" t="str">
            <v>Mzimba Street</v>
          </cell>
          <cell r="F170" t="str">
            <v>Urban</v>
          </cell>
          <cell r="G170">
            <v>4</v>
          </cell>
          <cell r="H170">
            <v>2.5</v>
          </cell>
          <cell r="I170" t="str">
            <v>R</v>
          </cell>
          <cell r="J170" t="str">
            <v>LILONGWE CITY</v>
          </cell>
          <cell r="K170" t="str">
            <v>C</v>
          </cell>
          <cell r="L170">
            <v>0</v>
          </cell>
          <cell r="W170">
            <v>75</v>
          </cell>
          <cell r="X170" t="str">
            <v>SA</v>
          </cell>
          <cell r="Y170">
            <v>150</v>
          </cell>
          <cell r="Z170" t="str">
            <v>GR</v>
          </cell>
          <cell r="AA170">
            <v>100</v>
          </cell>
          <cell r="AB170" t="str">
            <v>GR</v>
          </cell>
          <cell r="AC170">
            <v>5</v>
          </cell>
          <cell r="AD170" t="str">
            <v>CC</v>
          </cell>
          <cell r="AE170">
            <v>98</v>
          </cell>
          <cell r="AF170" t="str">
            <v>SS</v>
          </cell>
          <cell r="AG170" t="str">
            <v>SS</v>
          </cell>
          <cell r="AH170">
            <v>5</v>
          </cell>
          <cell r="AI170">
            <v>0</v>
          </cell>
          <cell r="AJ170">
            <v>0</v>
          </cell>
          <cell r="AK170">
            <v>0</v>
          </cell>
          <cell r="AL170">
            <v>0</v>
          </cell>
          <cell r="AM170">
            <v>7</v>
          </cell>
          <cell r="AN170">
            <v>0</v>
          </cell>
          <cell r="BO170" t="str">
            <v>RS 156</v>
          </cell>
          <cell r="BP170">
            <v>2.5</v>
          </cell>
          <cell r="BQ170">
            <v>6.7</v>
          </cell>
          <cell r="BR170" t="str">
            <v>R</v>
          </cell>
          <cell r="BS170" t="str">
            <v>S</v>
          </cell>
          <cell r="BT170">
            <v>0</v>
          </cell>
          <cell r="BU170" t="str">
            <v>SS</v>
          </cell>
          <cell r="BV170" t="str">
            <v>SA</v>
          </cell>
          <cell r="BW170">
            <v>7</v>
          </cell>
          <cell r="BX170">
            <v>5</v>
          </cell>
          <cell r="BY170">
            <v>10</v>
          </cell>
          <cell r="BZ170">
            <v>1</v>
          </cell>
          <cell r="CA170">
            <v>5</v>
          </cell>
          <cell r="CB170">
            <v>0.90800000000000003</v>
          </cell>
          <cell r="CC170">
            <v>7.25</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7.25</v>
          </cell>
          <cell r="CR170">
            <v>0</v>
          </cell>
          <cell r="CS170">
            <v>1</v>
          </cell>
          <cell r="CT170">
            <v>0</v>
          </cell>
          <cell r="CU170">
            <v>0</v>
          </cell>
          <cell r="CV170">
            <v>0</v>
          </cell>
          <cell r="CW170">
            <v>23</v>
          </cell>
          <cell r="CX170">
            <v>46</v>
          </cell>
          <cell r="CY170">
            <v>2</v>
          </cell>
          <cell r="CZ170">
            <v>1.5</v>
          </cell>
          <cell r="DA170">
            <v>1.5</v>
          </cell>
          <cell r="DB170">
            <v>850</v>
          </cell>
          <cell r="DC170">
            <v>425</v>
          </cell>
          <cell r="DD170">
            <v>230</v>
          </cell>
          <cell r="DE170">
            <v>43</v>
          </cell>
          <cell r="DF170">
            <v>124</v>
          </cell>
          <cell r="DG170">
            <v>13</v>
          </cell>
          <cell r="DH170">
            <v>9</v>
          </cell>
          <cell r="DI170">
            <v>9</v>
          </cell>
        </row>
        <row r="171">
          <cell r="A171" t="str">
            <v>RS 157</v>
          </cell>
          <cell r="B171">
            <v>157</v>
          </cell>
          <cell r="C171" t="str">
            <v>C</v>
          </cell>
          <cell r="D171" t="str">
            <v>U</v>
          </cell>
          <cell r="E171" t="str">
            <v>Police - Area 23</v>
          </cell>
          <cell r="F171" t="str">
            <v>Urban</v>
          </cell>
          <cell r="G171">
            <v>5</v>
          </cell>
          <cell r="H171">
            <v>7.5</v>
          </cell>
          <cell r="I171" t="str">
            <v>R</v>
          </cell>
          <cell r="J171" t="str">
            <v>LILONGWE CITY</v>
          </cell>
          <cell r="K171" t="str">
            <v>C</v>
          </cell>
          <cell r="L171">
            <v>0</v>
          </cell>
          <cell r="W171">
            <v>83</v>
          </cell>
          <cell r="X171" t="str">
            <v>SA</v>
          </cell>
          <cell r="Y171">
            <v>150</v>
          </cell>
          <cell r="Z171" t="str">
            <v>GR</v>
          </cell>
          <cell r="AA171">
            <v>100</v>
          </cell>
          <cell r="AB171" t="str">
            <v>GR</v>
          </cell>
          <cell r="AC171">
            <v>5</v>
          </cell>
          <cell r="AD171" t="str">
            <v>CC</v>
          </cell>
          <cell r="AE171">
            <v>98</v>
          </cell>
          <cell r="AF171" t="str">
            <v>SS</v>
          </cell>
          <cell r="AG171" t="str">
            <v>SS</v>
          </cell>
          <cell r="AH171">
            <v>5</v>
          </cell>
          <cell r="AI171">
            <v>0</v>
          </cell>
          <cell r="AJ171">
            <v>0</v>
          </cell>
          <cell r="AK171">
            <v>0</v>
          </cell>
          <cell r="AL171">
            <v>0</v>
          </cell>
          <cell r="AM171">
            <v>7</v>
          </cell>
          <cell r="AN171">
            <v>0</v>
          </cell>
          <cell r="BO171" t="str">
            <v>RS 157</v>
          </cell>
          <cell r="BP171">
            <v>7.5</v>
          </cell>
          <cell r="BQ171">
            <v>5.5</v>
          </cell>
          <cell r="BR171" t="str">
            <v>R</v>
          </cell>
          <cell r="BS171" t="str">
            <v>C</v>
          </cell>
          <cell r="BT171">
            <v>16</v>
          </cell>
          <cell r="BU171" t="str">
            <v>SS</v>
          </cell>
          <cell r="BV171" t="str">
            <v>SA</v>
          </cell>
          <cell r="BW171">
            <v>7</v>
          </cell>
          <cell r="BX171">
            <v>5</v>
          </cell>
          <cell r="BY171">
            <v>10</v>
          </cell>
          <cell r="BZ171">
            <v>1</v>
          </cell>
          <cell r="CA171">
            <v>5</v>
          </cell>
          <cell r="CB171">
            <v>0.90800000000000003</v>
          </cell>
          <cell r="CC171">
            <v>5</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5</v>
          </cell>
          <cell r="CR171">
            <v>0</v>
          </cell>
          <cell r="CS171">
            <v>1</v>
          </cell>
          <cell r="CT171">
            <v>0</v>
          </cell>
          <cell r="CU171">
            <v>0</v>
          </cell>
          <cell r="CV171">
            <v>0</v>
          </cell>
          <cell r="CW171">
            <v>15</v>
          </cell>
          <cell r="CX171">
            <v>50</v>
          </cell>
          <cell r="CY171">
            <v>3</v>
          </cell>
          <cell r="CZ171">
            <v>2.5</v>
          </cell>
          <cell r="DA171">
            <v>2</v>
          </cell>
          <cell r="DB171">
            <v>14065</v>
          </cell>
          <cell r="DC171">
            <v>7033</v>
          </cell>
          <cell r="DD171">
            <v>3798</v>
          </cell>
          <cell r="DE171">
            <v>704</v>
          </cell>
          <cell r="DF171">
            <v>2040</v>
          </cell>
          <cell r="DG171">
            <v>211</v>
          </cell>
          <cell r="DH171">
            <v>141</v>
          </cell>
          <cell r="DI171">
            <v>141</v>
          </cell>
        </row>
        <row r="172">
          <cell r="A172" t="str">
            <v>RS 158</v>
          </cell>
          <cell r="B172">
            <v>158</v>
          </cell>
          <cell r="C172" t="str">
            <v>C</v>
          </cell>
          <cell r="D172" t="str">
            <v>U</v>
          </cell>
          <cell r="E172" t="str">
            <v>Youth Drive</v>
          </cell>
          <cell r="F172" t="str">
            <v>Urban</v>
          </cell>
          <cell r="G172">
            <v>6</v>
          </cell>
          <cell r="H172">
            <v>3.2</v>
          </cell>
          <cell r="I172" t="str">
            <v>R</v>
          </cell>
          <cell r="J172" t="str">
            <v>LILONGWE CITY</v>
          </cell>
          <cell r="K172" t="str">
            <v>C</v>
          </cell>
          <cell r="L172">
            <v>0</v>
          </cell>
          <cell r="W172">
            <v>75</v>
          </cell>
          <cell r="X172" t="str">
            <v>SA</v>
          </cell>
          <cell r="Y172">
            <v>150</v>
          </cell>
          <cell r="Z172" t="str">
            <v>GR</v>
          </cell>
          <cell r="AA172">
            <v>100</v>
          </cell>
          <cell r="AB172" t="str">
            <v>GR</v>
          </cell>
          <cell r="AC172">
            <v>5</v>
          </cell>
          <cell r="AD172" t="str">
            <v>CC</v>
          </cell>
          <cell r="AE172">
            <v>97</v>
          </cell>
          <cell r="AF172" t="str">
            <v>SS</v>
          </cell>
          <cell r="AG172" t="str">
            <v>SS</v>
          </cell>
          <cell r="AH172">
            <v>5</v>
          </cell>
          <cell r="AI172">
            <v>0</v>
          </cell>
          <cell r="AJ172">
            <v>0</v>
          </cell>
          <cell r="AK172">
            <v>0</v>
          </cell>
          <cell r="AL172">
            <v>0</v>
          </cell>
          <cell r="AM172">
            <v>7</v>
          </cell>
          <cell r="AN172">
            <v>0</v>
          </cell>
          <cell r="BO172" t="str">
            <v>RS 158</v>
          </cell>
          <cell r="BP172">
            <v>3.2</v>
          </cell>
          <cell r="BQ172">
            <v>5.5</v>
          </cell>
          <cell r="BR172" t="str">
            <v>R</v>
          </cell>
          <cell r="BS172" t="str">
            <v>S</v>
          </cell>
          <cell r="BT172">
            <v>0</v>
          </cell>
          <cell r="BU172" t="str">
            <v>SS</v>
          </cell>
          <cell r="BV172" t="str">
            <v>SA</v>
          </cell>
          <cell r="BW172">
            <v>7</v>
          </cell>
          <cell r="BX172">
            <v>5</v>
          </cell>
          <cell r="BY172">
            <v>10</v>
          </cell>
          <cell r="BZ172">
            <v>1</v>
          </cell>
          <cell r="CA172">
            <v>5</v>
          </cell>
          <cell r="CB172">
            <v>0.90800000000000003</v>
          </cell>
          <cell r="CC172">
            <v>7.51</v>
          </cell>
          <cell r="CD172">
            <v>5</v>
          </cell>
          <cell r="CE172">
            <v>0</v>
          </cell>
          <cell r="CF172">
            <v>0</v>
          </cell>
          <cell r="CG172">
            <v>5</v>
          </cell>
          <cell r="CH172">
            <v>0</v>
          </cell>
          <cell r="CI172">
            <v>2.6</v>
          </cell>
          <cell r="CJ172">
            <v>9.4545454545454551E-3</v>
          </cell>
          <cell r="CK172">
            <v>9.4545454545454551E-3</v>
          </cell>
          <cell r="CL172">
            <v>0</v>
          </cell>
          <cell r="CM172">
            <v>3.665454545454546E-3</v>
          </cell>
          <cell r="CN172">
            <v>3.665454545454546E-3</v>
          </cell>
          <cell r="CO172">
            <v>0</v>
          </cell>
          <cell r="CP172">
            <v>0</v>
          </cell>
          <cell r="CQ172">
            <v>7.5136654545454542</v>
          </cell>
          <cell r="CR172">
            <v>0</v>
          </cell>
          <cell r="CS172">
            <v>1</v>
          </cell>
          <cell r="CT172">
            <v>0</v>
          </cell>
          <cell r="CU172">
            <v>0</v>
          </cell>
          <cell r="CV172">
            <v>1</v>
          </cell>
          <cell r="CW172">
            <v>23</v>
          </cell>
          <cell r="CX172">
            <v>46</v>
          </cell>
          <cell r="CY172">
            <v>1.5</v>
          </cell>
          <cell r="CZ172">
            <v>1.5</v>
          </cell>
          <cell r="DA172">
            <v>1.5</v>
          </cell>
          <cell r="DB172">
            <v>3074</v>
          </cell>
          <cell r="DC172">
            <v>1537</v>
          </cell>
          <cell r="DD172">
            <v>830</v>
          </cell>
          <cell r="DE172">
            <v>154</v>
          </cell>
          <cell r="DF172">
            <v>446</v>
          </cell>
          <cell r="DG172">
            <v>47</v>
          </cell>
          <cell r="DH172">
            <v>31</v>
          </cell>
          <cell r="DI172">
            <v>31</v>
          </cell>
        </row>
        <row r="173">
          <cell r="A173" t="str">
            <v>RS 159</v>
          </cell>
          <cell r="B173">
            <v>159</v>
          </cell>
          <cell r="C173" t="str">
            <v>C</v>
          </cell>
          <cell r="D173" t="str">
            <v>U</v>
          </cell>
          <cell r="E173" t="str">
            <v>Area 13 Road</v>
          </cell>
          <cell r="F173" t="str">
            <v>Urban</v>
          </cell>
          <cell r="G173">
            <v>7</v>
          </cell>
          <cell r="H173">
            <v>1.4</v>
          </cell>
          <cell r="I173" t="str">
            <v>R</v>
          </cell>
          <cell r="J173" t="str">
            <v>LILONGWE CITY</v>
          </cell>
          <cell r="K173" t="str">
            <v>C</v>
          </cell>
          <cell r="L173">
            <v>0</v>
          </cell>
          <cell r="W173">
            <v>75</v>
          </cell>
          <cell r="X173" t="str">
            <v>SA</v>
          </cell>
          <cell r="Y173">
            <v>150</v>
          </cell>
          <cell r="Z173" t="str">
            <v>GR</v>
          </cell>
          <cell r="AA173">
            <v>100</v>
          </cell>
          <cell r="AB173" t="str">
            <v>GR</v>
          </cell>
          <cell r="AC173">
            <v>5</v>
          </cell>
          <cell r="AD173" t="str">
            <v>CC</v>
          </cell>
          <cell r="AE173">
            <v>97</v>
          </cell>
          <cell r="AF173" t="str">
            <v>SS</v>
          </cell>
          <cell r="AG173" t="str">
            <v>SS</v>
          </cell>
          <cell r="AH173">
            <v>5</v>
          </cell>
          <cell r="AI173">
            <v>0</v>
          </cell>
          <cell r="AJ173">
            <v>0</v>
          </cell>
          <cell r="AK173">
            <v>0</v>
          </cell>
          <cell r="AL173">
            <v>0</v>
          </cell>
          <cell r="AM173">
            <v>3</v>
          </cell>
          <cell r="AN173">
            <v>0</v>
          </cell>
          <cell r="BO173" t="str">
            <v>RS 159</v>
          </cell>
          <cell r="BP173">
            <v>1.4</v>
          </cell>
          <cell r="BQ173">
            <v>5.5</v>
          </cell>
          <cell r="BR173" t="str">
            <v>R</v>
          </cell>
          <cell r="BS173" t="str">
            <v>S</v>
          </cell>
          <cell r="BT173">
            <v>0</v>
          </cell>
          <cell r="BU173" t="str">
            <v>SS</v>
          </cell>
          <cell r="BV173" t="str">
            <v>SA</v>
          </cell>
          <cell r="BW173">
            <v>3</v>
          </cell>
          <cell r="BX173">
            <v>5</v>
          </cell>
          <cell r="BY173">
            <v>10</v>
          </cell>
          <cell r="BZ173">
            <v>1</v>
          </cell>
          <cell r="CA173">
            <v>5</v>
          </cell>
          <cell r="CB173">
            <v>0.90800000000000003</v>
          </cell>
          <cell r="CC173">
            <v>6</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6</v>
          </cell>
          <cell r="CR173">
            <v>0</v>
          </cell>
          <cell r="CS173">
            <v>1</v>
          </cell>
          <cell r="CT173">
            <v>0</v>
          </cell>
          <cell r="CU173">
            <v>0</v>
          </cell>
          <cell r="CV173">
            <v>1</v>
          </cell>
          <cell r="CW173">
            <v>23</v>
          </cell>
          <cell r="CX173">
            <v>46</v>
          </cell>
          <cell r="CY173">
            <v>2</v>
          </cell>
          <cell r="CZ173">
            <v>2</v>
          </cell>
          <cell r="DA173">
            <v>2</v>
          </cell>
          <cell r="DB173">
            <v>351</v>
          </cell>
          <cell r="DC173">
            <v>176</v>
          </cell>
          <cell r="DD173">
            <v>95</v>
          </cell>
          <cell r="DE173">
            <v>18</v>
          </cell>
          <cell r="DF173">
            <v>51</v>
          </cell>
          <cell r="DG173">
            <v>6</v>
          </cell>
          <cell r="DH173">
            <v>4</v>
          </cell>
          <cell r="DI173">
            <v>4</v>
          </cell>
        </row>
        <row r="174">
          <cell r="A174" t="str">
            <v>RS 162</v>
          </cell>
          <cell r="B174">
            <v>162</v>
          </cell>
          <cell r="C174" t="str">
            <v>C</v>
          </cell>
          <cell r="D174" t="str">
            <v>U</v>
          </cell>
          <cell r="E174" t="str">
            <v>Kaunda Road (M12 to junction D189)</v>
          </cell>
          <cell r="F174" t="str">
            <v>Urban</v>
          </cell>
          <cell r="G174">
            <v>8</v>
          </cell>
          <cell r="H174">
            <v>7</v>
          </cell>
          <cell r="I174" t="str">
            <v>R</v>
          </cell>
          <cell r="J174" t="str">
            <v>LILONGWE CITY</v>
          </cell>
          <cell r="K174" t="str">
            <v>C</v>
          </cell>
          <cell r="L174">
            <v>0</v>
          </cell>
          <cell r="W174">
            <v>75</v>
          </cell>
          <cell r="X174" t="str">
            <v>DS</v>
          </cell>
          <cell r="Y174">
            <v>150</v>
          </cell>
          <cell r="Z174" t="str">
            <v>GR</v>
          </cell>
          <cell r="AA174">
            <v>100</v>
          </cell>
          <cell r="AB174" t="str">
            <v>GR</v>
          </cell>
          <cell r="AC174">
            <v>5</v>
          </cell>
          <cell r="AD174">
            <v>0</v>
          </cell>
          <cell r="AE174">
            <v>0</v>
          </cell>
          <cell r="AF174">
            <v>0</v>
          </cell>
          <cell r="AG174">
            <v>0</v>
          </cell>
          <cell r="AH174">
            <v>0</v>
          </cell>
          <cell r="AI174">
            <v>0</v>
          </cell>
          <cell r="AJ174">
            <v>0</v>
          </cell>
          <cell r="AK174">
            <v>0</v>
          </cell>
          <cell r="AL174">
            <v>0</v>
          </cell>
          <cell r="AM174">
            <v>3</v>
          </cell>
          <cell r="AN174" t="str">
            <v>never resealed</v>
          </cell>
          <cell r="BO174" t="str">
            <v>RS 162</v>
          </cell>
          <cell r="BP174">
            <v>7</v>
          </cell>
          <cell r="BQ174">
            <v>6</v>
          </cell>
          <cell r="BR174" t="str">
            <v>R</v>
          </cell>
          <cell r="BS174" t="str">
            <v>S</v>
          </cell>
          <cell r="BT174">
            <v>0</v>
          </cell>
          <cell r="BU174" t="str">
            <v>DS</v>
          </cell>
          <cell r="BV174">
            <v>0</v>
          </cell>
          <cell r="BW174">
            <v>3</v>
          </cell>
          <cell r="BX174">
            <v>15</v>
          </cell>
          <cell r="BY174" t="str">
            <v xml:space="preserve"> </v>
          </cell>
          <cell r="BZ174">
            <v>1</v>
          </cell>
          <cell r="CA174">
            <v>5</v>
          </cell>
          <cell r="CB174">
            <v>1.077</v>
          </cell>
          <cell r="CC174">
            <v>3.92</v>
          </cell>
          <cell r="CD174">
            <v>4</v>
          </cell>
          <cell r="CE174">
            <v>3.5</v>
          </cell>
          <cell r="CF174">
            <v>0</v>
          </cell>
          <cell r="CG174">
            <v>4</v>
          </cell>
          <cell r="CH174">
            <v>3.5</v>
          </cell>
          <cell r="CI174">
            <v>17.899999999999999</v>
          </cell>
          <cell r="CJ174">
            <v>5.9666666666666666E-2</v>
          </cell>
          <cell r="CK174">
            <v>5.9666666666666666E-2</v>
          </cell>
          <cell r="CL174">
            <v>0</v>
          </cell>
          <cell r="CM174">
            <v>2.3132307692307695E-2</v>
          </cell>
          <cell r="CN174">
            <v>2.3132307692307695E-2</v>
          </cell>
          <cell r="CO174">
            <v>0</v>
          </cell>
          <cell r="CP174">
            <v>0</v>
          </cell>
          <cell r="CQ174">
            <v>3.9431323076923075</v>
          </cell>
          <cell r="CR174">
            <v>0</v>
          </cell>
          <cell r="CS174">
            <v>1</v>
          </cell>
          <cell r="CT174">
            <v>0</v>
          </cell>
          <cell r="CU174">
            <v>0</v>
          </cell>
          <cell r="CV174">
            <v>23</v>
          </cell>
          <cell r="CW174">
            <v>23</v>
          </cell>
          <cell r="CX174" t="str">
            <v xml:space="preserve"> </v>
          </cell>
          <cell r="CY174">
            <v>2</v>
          </cell>
          <cell r="CZ174">
            <v>1.2</v>
          </cell>
          <cell r="DA174">
            <v>1.1000000000000001</v>
          </cell>
          <cell r="DB174">
            <v>850</v>
          </cell>
          <cell r="DC174">
            <v>425</v>
          </cell>
          <cell r="DD174">
            <v>230</v>
          </cell>
          <cell r="DE174">
            <v>43</v>
          </cell>
          <cell r="DF174">
            <v>124</v>
          </cell>
          <cell r="DG174">
            <v>13</v>
          </cell>
          <cell r="DH174">
            <v>9</v>
          </cell>
          <cell r="DI174">
            <v>9</v>
          </cell>
        </row>
        <row r="175">
          <cell r="A175" t="str">
            <v>RS 164</v>
          </cell>
          <cell r="B175">
            <v>164</v>
          </cell>
          <cell r="C175" t="str">
            <v>S</v>
          </cell>
          <cell r="D175" t="str">
            <v>U</v>
          </cell>
          <cell r="E175" t="str">
            <v>Kenyatta Drive</v>
          </cell>
          <cell r="F175" t="str">
            <v>Urban</v>
          </cell>
          <cell r="G175">
            <v>10</v>
          </cell>
          <cell r="H175">
            <v>4.0999999999999996</v>
          </cell>
          <cell r="I175" t="str">
            <v>R</v>
          </cell>
          <cell r="J175" t="str">
            <v>IN BLANTYRE CITY</v>
          </cell>
          <cell r="K175" t="str">
            <v>C</v>
          </cell>
          <cell r="L175">
            <v>0</v>
          </cell>
          <cell r="W175">
            <v>65</v>
          </cell>
          <cell r="X175" t="str">
            <v>AC</v>
          </cell>
          <cell r="Y175">
            <v>150</v>
          </cell>
          <cell r="Z175" t="str">
            <v>SB</v>
          </cell>
          <cell r="AA175">
            <v>100</v>
          </cell>
          <cell r="AB175" t="str">
            <v>GR</v>
          </cell>
          <cell r="AC175">
            <v>5</v>
          </cell>
          <cell r="AD175">
            <v>0</v>
          </cell>
          <cell r="AE175">
            <v>96</v>
          </cell>
          <cell r="AF175" t="str">
            <v>SR</v>
          </cell>
          <cell r="AG175" t="str">
            <v>ST</v>
          </cell>
          <cell r="AH175">
            <v>10</v>
          </cell>
          <cell r="AI175">
            <v>0</v>
          </cell>
          <cell r="AJ175">
            <v>0</v>
          </cell>
          <cell r="AK175">
            <v>0</v>
          </cell>
          <cell r="AL175">
            <v>0</v>
          </cell>
          <cell r="AM175">
            <v>5</v>
          </cell>
          <cell r="AN175">
            <v>0</v>
          </cell>
          <cell r="BO175" t="str">
            <v>RS 164</v>
          </cell>
          <cell r="BP175">
            <v>4.0999999999999996</v>
          </cell>
          <cell r="BQ175">
            <v>6</v>
          </cell>
          <cell r="BR175" t="str">
            <v>R</v>
          </cell>
          <cell r="BS175" t="str">
            <v>C</v>
          </cell>
          <cell r="BT175">
            <v>0</v>
          </cell>
          <cell r="BU175" t="str">
            <v>ST</v>
          </cell>
          <cell r="BV175" t="str">
            <v>AC</v>
          </cell>
          <cell r="BW175">
            <v>5</v>
          </cell>
          <cell r="BX175">
            <v>10</v>
          </cell>
          <cell r="BY175">
            <v>40</v>
          </cell>
          <cell r="BZ175">
            <v>1</v>
          </cell>
          <cell r="CA175">
            <v>5</v>
          </cell>
          <cell r="CB175">
            <v>1.7290000000000001</v>
          </cell>
          <cell r="CC175">
            <v>6.9663737327188944</v>
          </cell>
          <cell r="CD175">
            <v>90</v>
          </cell>
          <cell r="CE175">
            <v>55</v>
          </cell>
          <cell r="CF175">
            <v>40</v>
          </cell>
          <cell r="CG175">
            <v>50</v>
          </cell>
          <cell r="CH175">
            <v>15</v>
          </cell>
          <cell r="CI175">
            <v>6.5</v>
          </cell>
          <cell r="CJ175">
            <v>2.1666666666666667E-2</v>
          </cell>
          <cell r="CK175">
            <v>10</v>
          </cell>
          <cell r="CL175">
            <v>40</v>
          </cell>
          <cell r="CM175">
            <v>0.37279871794871788</v>
          </cell>
          <cell r="CN175">
            <v>0.37279871794871788</v>
          </cell>
          <cell r="CO175">
            <v>0</v>
          </cell>
          <cell r="CP175">
            <v>0</v>
          </cell>
          <cell r="CQ175">
            <v>7.3391724506676121</v>
          </cell>
          <cell r="CR175">
            <v>50</v>
          </cell>
          <cell r="CS175">
            <v>1</v>
          </cell>
          <cell r="CT175">
            <v>0</v>
          </cell>
          <cell r="CU175">
            <v>0</v>
          </cell>
          <cell r="CV175">
            <v>2</v>
          </cell>
          <cell r="CW175">
            <v>33</v>
          </cell>
          <cell r="CX175">
            <v>66</v>
          </cell>
          <cell r="CY175">
            <v>2</v>
          </cell>
          <cell r="CZ175">
            <v>3</v>
          </cell>
          <cell r="DA175">
            <v>1.5</v>
          </cell>
          <cell r="DB175">
            <v>1167</v>
          </cell>
          <cell r="DC175">
            <v>584</v>
          </cell>
          <cell r="DD175">
            <v>316</v>
          </cell>
          <cell r="DE175">
            <v>59</v>
          </cell>
          <cell r="DF175">
            <v>170</v>
          </cell>
          <cell r="DG175">
            <v>18</v>
          </cell>
          <cell r="DH175">
            <v>12</v>
          </cell>
          <cell r="DI175">
            <v>12</v>
          </cell>
        </row>
        <row r="176">
          <cell r="A176" t="str">
            <v>RS 165</v>
          </cell>
          <cell r="B176">
            <v>165</v>
          </cell>
          <cell r="C176" t="str">
            <v>S</v>
          </cell>
          <cell r="D176" t="str">
            <v>U</v>
          </cell>
          <cell r="E176" t="str">
            <v>Kwacha Road</v>
          </cell>
          <cell r="F176" t="str">
            <v>Urban</v>
          </cell>
          <cell r="G176">
            <v>11</v>
          </cell>
          <cell r="H176">
            <v>1.4</v>
          </cell>
          <cell r="I176" t="str">
            <v>R</v>
          </cell>
          <cell r="J176" t="str">
            <v>IN BLANTYRE CITY</v>
          </cell>
          <cell r="K176" t="str">
            <v>C</v>
          </cell>
          <cell r="L176" t="str">
            <v>Name changed from Kwacha Rd - Marhattma</v>
          </cell>
          <cell r="W176">
            <v>71</v>
          </cell>
          <cell r="X176" t="str">
            <v>AC</v>
          </cell>
          <cell r="Y176">
            <v>150</v>
          </cell>
          <cell r="Z176" t="str">
            <v>SB</v>
          </cell>
          <cell r="AA176">
            <v>100</v>
          </cell>
          <cell r="AB176" t="str">
            <v>GR</v>
          </cell>
          <cell r="AC176">
            <v>5</v>
          </cell>
          <cell r="AD176">
            <v>0</v>
          </cell>
          <cell r="AE176">
            <v>0</v>
          </cell>
          <cell r="AF176">
            <v>0</v>
          </cell>
          <cell r="AG176">
            <v>0</v>
          </cell>
          <cell r="AH176">
            <v>0</v>
          </cell>
          <cell r="AI176">
            <v>0</v>
          </cell>
          <cell r="AJ176">
            <v>0</v>
          </cell>
          <cell r="AK176">
            <v>0</v>
          </cell>
          <cell r="AL176">
            <v>0</v>
          </cell>
          <cell r="AM176">
            <v>2</v>
          </cell>
          <cell r="AN176" t="str">
            <v>never resealed</v>
          </cell>
          <cell r="BO176" t="str">
            <v>RS 165</v>
          </cell>
          <cell r="BP176">
            <v>1.4</v>
          </cell>
          <cell r="BQ176">
            <v>6</v>
          </cell>
          <cell r="BR176" t="str">
            <v>R</v>
          </cell>
          <cell r="BS176" t="str">
            <v>C</v>
          </cell>
          <cell r="BT176">
            <v>0</v>
          </cell>
          <cell r="BU176" t="str">
            <v>AC</v>
          </cell>
          <cell r="BV176">
            <v>0</v>
          </cell>
          <cell r="BW176">
            <v>2</v>
          </cell>
          <cell r="BX176">
            <v>40</v>
          </cell>
          <cell r="BY176" t="str">
            <v xml:space="preserve"> </v>
          </cell>
          <cell r="BZ176">
            <v>1</v>
          </cell>
          <cell r="CA176">
            <v>5</v>
          </cell>
          <cell r="CB176">
            <v>1.552</v>
          </cell>
          <cell r="CC176">
            <v>8.1996372434017601</v>
          </cell>
          <cell r="CD176">
            <v>90</v>
          </cell>
          <cell r="CE176">
            <v>72</v>
          </cell>
          <cell r="CF176">
            <v>57</v>
          </cell>
          <cell r="CG176">
            <v>33</v>
          </cell>
          <cell r="CH176">
            <v>15</v>
          </cell>
          <cell r="CI176">
            <v>184</v>
          </cell>
          <cell r="CJ176">
            <v>0.6133333333333334</v>
          </cell>
          <cell r="CK176">
            <v>10</v>
          </cell>
          <cell r="CL176">
            <v>57</v>
          </cell>
          <cell r="CM176">
            <v>0.708728205128205</v>
          </cell>
          <cell r="CN176">
            <v>0.708728205128205</v>
          </cell>
          <cell r="CO176">
            <v>0</v>
          </cell>
          <cell r="CP176">
            <v>0</v>
          </cell>
          <cell r="CQ176">
            <v>8.908365448529965</v>
          </cell>
          <cell r="CR176">
            <v>70</v>
          </cell>
          <cell r="CS176">
            <v>1</v>
          </cell>
          <cell r="CT176">
            <v>0</v>
          </cell>
          <cell r="CU176">
            <v>0</v>
          </cell>
          <cell r="CV176">
            <v>27</v>
          </cell>
          <cell r="CW176">
            <v>27</v>
          </cell>
          <cell r="CX176" t="str">
            <v xml:space="preserve"> </v>
          </cell>
          <cell r="CY176">
            <v>3</v>
          </cell>
          <cell r="CZ176">
            <v>2</v>
          </cell>
          <cell r="DA176">
            <v>2</v>
          </cell>
          <cell r="DB176">
            <v>1331</v>
          </cell>
          <cell r="DC176">
            <v>666</v>
          </cell>
          <cell r="DD176">
            <v>360</v>
          </cell>
          <cell r="DE176">
            <v>67</v>
          </cell>
          <cell r="DF176">
            <v>193</v>
          </cell>
          <cell r="DG176">
            <v>20</v>
          </cell>
          <cell r="DH176">
            <v>14</v>
          </cell>
          <cell r="DI176">
            <v>14</v>
          </cell>
        </row>
        <row r="177">
          <cell r="A177" t="str">
            <v>RS 166</v>
          </cell>
          <cell r="B177">
            <v>166</v>
          </cell>
          <cell r="C177" t="str">
            <v>S</v>
          </cell>
          <cell r="D177" t="str">
            <v>U</v>
          </cell>
          <cell r="E177" t="str">
            <v>Zingwagwa Rd (Chikwawa Rd - Kapeni Rd)</v>
          </cell>
          <cell r="F177" t="str">
            <v>Urban</v>
          </cell>
          <cell r="G177">
            <v>12</v>
          </cell>
          <cell r="H177">
            <v>7.7</v>
          </cell>
          <cell r="I177" t="str">
            <v>R</v>
          </cell>
          <cell r="J177" t="str">
            <v>IN BLANTYRE CITY</v>
          </cell>
          <cell r="K177" t="str">
            <v>C</v>
          </cell>
          <cell r="L177" t="str">
            <v>Name modified by City Council</v>
          </cell>
          <cell r="W177">
            <v>78</v>
          </cell>
          <cell r="X177" t="str">
            <v>DS</v>
          </cell>
          <cell r="Y177">
            <v>150</v>
          </cell>
          <cell r="Z177" t="str">
            <v>GR</v>
          </cell>
          <cell r="AA177">
            <v>100</v>
          </cell>
          <cell r="AB177" t="str">
            <v>GR</v>
          </cell>
          <cell r="AC177">
            <v>5</v>
          </cell>
          <cell r="AD177" t="str">
            <v>JW</v>
          </cell>
          <cell r="AE177">
            <v>0</v>
          </cell>
          <cell r="AF177">
            <v>0</v>
          </cell>
          <cell r="AG177">
            <v>0</v>
          </cell>
          <cell r="AH177">
            <v>0</v>
          </cell>
          <cell r="AI177">
            <v>0</v>
          </cell>
          <cell r="AJ177">
            <v>0</v>
          </cell>
          <cell r="AK177">
            <v>0</v>
          </cell>
          <cell r="AL177">
            <v>0</v>
          </cell>
          <cell r="AM177">
            <v>2</v>
          </cell>
          <cell r="AN177" t="str">
            <v>never resealed</v>
          </cell>
          <cell r="BO177" t="str">
            <v>RS 166</v>
          </cell>
          <cell r="BP177">
            <v>1</v>
          </cell>
          <cell r="BQ177">
            <v>6</v>
          </cell>
          <cell r="BR177" t="str">
            <v>R</v>
          </cell>
          <cell r="BS177" t="str">
            <v>C</v>
          </cell>
          <cell r="BT177">
            <v>0</v>
          </cell>
          <cell r="BU177" t="str">
            <v>DS</v>
          </cell>
          <cell r="BV177">
            <v>0</v>
          </cell>
          <cell r="BW177">
            <v>2</v>
          </cell>
          <cell r="BX177">
            <v>15</v>
          </cell>
          <cell r="BY177" t="str">
            <v xml:space="preserve"> </v>
          </cell>
          <cell r="BZ177">
            <v>1</v>
          </cell>
          <cell r="CA177">
            <v>5</v>
          </cell>
          <cell r="CB177">
            <v>1.077</v>
          </cell>
          <cell r="CC177">
            <v>6.5</v>
          </cell>
          <cell r="CD177">
            <v>90</v>
          </cell>
          <cell r="CE177">
            <v>65</v>
          </cell>
          <cell r="CF177">
            <v>50</v>
          </cell>
          <cell r="CG177">
            <v>40</v>
          </cell>
          <cell r="CH177">
            <v>15</v>
          </cell>
          <cell r="CI177">
            <v>57</v>
          </cell>
          <cell r="CJ177">
            <v>0.19</v>
          </cell>
          <cell r="CK177">
            <v>10</v>
          </cell>
          <cell r="CL177">
            <v>50</v>
          </cell>
          <cell r="CM177">
            <v>0.50253076923076923</v>
          </cell>
          <cell r="CN177">
            <v>0.50253076923076923</v>
          </cell>
          <cell r="CO177">
            <v>0</v>
          </cell>
          <cell r="CP177">
            <v>0</v>
          </cell>
          <cell r="CQ177">
            <v>7.002530769230769</v>
          </cell>
          <cell r="CR177">
            <v>4</v>
          </cell>
          <cell r="CS177">
            <v>1</v>
          </cell>
          <cell r="CT177">
            <v>0</v>
          </cell>
          <cell r="CU177">
            <v>0</v>
          </cell>
          <cell r="CV177">
            <v>20</v>
          </cell>
          <cell r="CW177">
            <v>20</v>
          </cell>
          <cell r="CX177" t="str">
            <v xml:space="preserve"> </v>
          </cell>
          <cell r="CY177">
            <v>1.5</v>
          </cell>
          <cell r="CZ177">
            <v>1.5</v>
          </cell>
          <cell r="DA177">
            <v>1.5</v>
          </cell>
          <cell r="DB177">
            <v>2500</v>
          </cell>
          <cell r="DC177">
            <v>1250</v>
          </cell>
          <cell r="DD177">
            <v>675</v>
          </cell>
          <cell r="DE177">
            <v>125</v>
          </cell>
          <cell r="DF177">
            <v>363</v>
          </cell>
          <cell r="DG177">
            <v>38</v>
          </cell>
          <cell r="DH177">
            <v>25</v>
          </cell>
          <cell r="DI177">
            <v>25</v>
          </cell>
        </row>
        <row r="178">
          <cell r="A178" t="str">
            <v>RS 167</v>
          </cell>
          <cell r="B178">
            <v>167</v>
          </cell>
          <cell r="C178" t="str">
            <v>S</v>
          </cell>
          <cell r="D178" t="str">
            <v>U</v>
          </cell>
          <cell r="E178" t="str">
            <v>Chilomoni Road (Ring Road)</v>
          </cell>
          <cell r="F178" t="str">
            <v>Urban</v>
          </cell>
          <cell r="G178">
            <v>13</v>
          </cell>
          <cell r="H178">
            <v>6.3</v>
          </cell>
          <cell r="I178" t="str">
            <v>R</v>
          </cell>
          <cell r="J178" t="str">
            <v>IN BLANTYRE CITY</v>
          </cell>
          <cell r="K178" t="str">
            <v>C</v>
          </cell>
          <cell r="L178" t="str">
            <v>Name modified</v>
          </cell>
          <cell r="W178">
            <v>65</v>
          </cell>
          <cell r="X178" t="str">
            <v>AC</v>
          </cell>
          <cell r="Y178">
            <v>150</v>
          </cell>
          <cell r="Z178" t="str">
            <v>SB</v>
          </cell>
          <cell r="AA178">
            <v>100</v>
          </cell>
          <cell r="AB178" t="str">
            <v>GR</v>
          </cell>
          <cell r="AC178">
            <v>5</v>
          </cell>
          <cell r="AD178">
            <v>0</v>
          </cell>
          <cell r="AE178">
            <v>0</v>
          </cell>
          <cell r="AF178">
            <v>0</v>
          </cell>
          <cell r="AG178">
            <v>0</v>
          </cell>
          <cell r="AH178">
            <v>0</v>
          </cell>
          <cell r="AI178">
            <v>0</v>
          </cell>
          <cell r="AJ178">
            <v>0</v>
          </cell>
          <cell r="AK178">
            <v>0</v>
          </cell>
          <cell r="AL178">
            <v>0</v>
          </cell>
          <cell r="AM178">
            <v>2</v>
          </cell>
          <cell r="AN178" t="str">
            <v>never resealed</v>
          </cell>
          <cell r="BO178" t="str">
            <v>RS 167</v>
          </cell>
          <cell r="BP178">
            <v>6.3</v>
          </cell>
          <cell r="BQ178">
            <v>4</v>
          </cell>
          <cell r="BR178" t="str">
            <v>R</v>
          </cell>
          <cell r="BS178" t="str">
            <v>C</v>
          </cell>
          <cell r="BT178">
            <v>0</v>
          </cell>
          <cell r="BU178" t="str">
            <v>AC</v>
          </cell>
          <cell r="BV178">
            <v>0</v>
          </cell>
          <cell r="BW178">
            <v>2</v>
          </cell>
          <cell r="BX178">
            <v>40</v>
          </cell>
          <cell r="BY178" t="str">
            <v xml:space="preserve"> </v>
          </cell>
          <cell r="BZ178">
            <v>1</v>
          </cell>
          <cell r="CA178">
            <v>5</v>
          </cell>
          <cell r="CB178">
            <v>1.552</v>
          </cell>
          <cell r="CC178">
            <v>8.0321199288700313</v>
          </cell>
          <cell r="CD178">
            <v>90</v>
          </cell>
          <cell r="CE178">
            <v>75</v>
          </cell>
          <cell r="CF178">
            <v>60</v>
          </cell>
          <cell r="CG178">
            <v>30</v>
          </cell>
          <cell r="CH178">
            <v>15</v>
          </cell>
          <cell r="CI178">
            <v>90</v>
          </cell>
          <cell r="CJ178">
            <v>0.44999999999999996</v>
          </cell>
          <cell r="CK178">
            <v>10</v>
          </cell>
          <cell r="CL178">
            <v>60</v>
          </cell>
          <cell r="CM178">
            <v>0.6668846153846153</v>
          </cell>
          <cell r="CN178">
            <v>0.6668846153846153</v>
          </cell>
          <cell r="CO178">
            <v>0</v>
          </cell>
          <cell r="CP178">
            <v>0</v>
          </cell>
          <cell r="CQ178">
            <v>8.6990045442546471</v>
          </cell>
          <cell r="CR178">
            <v>35</v>
          </cell>
          <cell r="CS178">
            <v>1</v>
          </cell>
          <cell r="CT178">
            <v>0</v>
          </cell>
          <cell r="CU178">
            <v>0</v>
          </cell>
          <cell r="CV178">
            <v>33</v>
          </cell>
          <cell r="CW178">
            <v>33</v>
          </cell>
          <cell r="CX178" t="str">
            <v xml:space="preserve"> </v>
          </cell>
          <cell r="CY178">
            <v>3</v>
          </cell>
          <cell r="CZ178">
            <v>2.5</v>
          </cell>
          <cell r="DA178">
            <v>2.5</v>
          </cell>
          <cell r="DB178">
            <v>7463</v>
          </cell>
          <cell r="DC178">
            <v>3732</v>
          </cell>
          <cell r="DD178">
            <v>2016</v>
          </cell>
          <cell r="DE178">
            <v>374</v>
          </cell>
          <cell r="DF178">
            <v>1083</v>
          </cell>
          <cell r="DG178">
            <v>112</v>
          </cell>
          <cell r="DH178">
            <v>75</v>
          </cell>
          <cell r="DI178">
            <v>75</v>
          </cell>
        </row>
        <row r="179">
          <cell r="A179" t="str">
            <v>RS 168</v>
          </cell>
          <cell r="B179">
            <v>168</v>
          </cell>
          <cell r="C179" t="str">
            <v>S</v>
          </cell>
          <cell r="D179" t="str">
            <v>U</v>
          </cell>
          <cell r="E179" t="str">
            <v>Makata Road</v>
          </cell>
          <cell r="F179" t="str">
            <v>Urban</v>
          </cell>
          <cell r="G179">
            <v>14</v>
          </cell>
          <cell r="H179">
            <v>2.7</v>
          </cell>
          <cell r="I179" t="str">
            <v>R</v>
          </cell>
          <cell r="J179" t="str">
            <v>IN BLANTYRE CITY</v>
          </cell>
          <cell r="K179" t="str">
            <v>C</v>
          </cell>
          <cell r="L179">
            <v>0</v>
          </cell>
          <cell r="W179">
            <v>65</v>
          </cell>
          <cell r="X179" t="str">
            <v>AC</v>
          </cell>
          <cell r="Y179">
            <v>150</v>
          </cell>
          <cell r="Z179" t="str">
            <v>SB</v>
          </cell>
          <cell r="AA179">
            <v>100</v>
          </cell>
          <cell r="AB179" t="str">
            <v>GR</v>
          </cell>
          <cell r="AC179">
            <v>5</v>
          </cell>
          <cell r="AD179">
            <v>0</v>
          </cell>
          <cell r="AE179">
            <v>98</v>
          </cell>
          <cell r="AF179" t="str">
            <v>RC</v>
          </cell>
          <cell r="AG179" t="str">
            <v>AC</v>
          </cell>
          <cell r="AH179">
            <v>40</v>
          </cell>
          <cell r="AI179">
            <v>0</v>
          </cell>
          <cell r="AJ179">
            <v>0</v>
          </cell>
          <cell r="AK179">
            <v>0</v>
          </cell>
          <cell r="AL179">
            <v>0</v>
          </cell>
          <cell r="AM179">
            <v>2</v>
          </cell>
          <cell r="AN179" t="str">
            <v>reconstruction in progress</v>
          </cell>
          <cell r="BO179" t="str">
            <v>RS 168</v>
          </cell>
          <cell r="BP179">
            <v>2.7</v>
          </cell>
          <cell r="BQ179">
            <v>5.5</v>
          </cell>
          <cell r="BR179" t="str">
            <v>R</v>
          </cell>
          <cell r="BS179" t="str">
            <v>C</v>
          </cell>
          <cell r="BT179">
            <v>0</v>
          </cell>
          <cell r="BU179" t="str">
            <v>AC</v>
          </cell>
          <cell r="BV179">
            <v>0</v>
          </cell>
          <cell r="BW179">
            <v>2</v>
          </cell>
          <cell r="BX179">
            <v>40</v>
          </cell>
          <cell r="BY179" t="str">
            <v xml:space="preserve"> </v>
          </cell>
          <cell r="BZ179">
            <v>1</v>
          </cell>
          <cell r="CA179">
            <v>5</v>
          </cell>
          <cell r="CB179">
            <v>1.7290000000000001</v>
          </cell>
          <cell r="CC179">
            <v>2.5027728175050754</v>
          </cell>
          <cell r="CD179" t="str">
            <v>being overlaid 1998</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 xml:space="preserve"> </v>
          </cell>
          <cell r="CY179">
            <v>1</v>
          </cell>
          <cell r="CZ179">
            <v>1</v>
          </cell>
          <cell r="DA179">
            <v>1</v>
          </cell>
          <cell r="DB179">
            <v>10550</v>
          </cell>
          <cell r="DC179">
            <v>5275</v>
          </cell>
          <cell r="DD179">
            <v>2849</v>
          </cell>
          <cell r="DE179">
            <v>528</v>
          </cell>
          <cell r="DF179">
            <v>1530</v>
          </cell>
          <cell r="DG179">
            <v>159</v>
          </cell>
          <cell r="DH179">
            <v>106</v>
          </cell>
          <cell r="DI179">
            <v>106</v>
          </cell>
        </row>
        <row r="180">
          <cell r="A180" t="str">
            <v>RS 169</v>
          </cell>
          <cell r="B180">
            <v>169</v>
          </cell>
          <cell r="C180" t="str">
            <v>S</v>
          </cell>
          <cell r="D180" t="str">
            <v>U</v>
          </cell>
          <cell r="E180" t="str">
            <v>Ndirande Ring Road</v>
          </cell>
          <cell r="F180" t="str">
            <v>Urban</v>
          </cell>
          <cell r="G180">
            <v>15</v>
          </cell>
          <cell r="H180">
            <v>3.3</v>
          </cell>
          <cell r="I180" t="str">
            <v>R</v>
          </cell>
          <cell r="J180" t="str">
            <v>IN BLANTYRE CITY</v>
          </cell>
          <cell r="K180" t="str">
            <v>C</v>
          </cell>
          <cell r="L180" t="str">
            <v>name changed from HHI - David Whitehead Via Ndirande Market</v>
          </cell>
          <cell r="W180">
            <v>77</v>
          </cell>
          <cell r="X180" t="str">
            <v>AC</v>
          </cell>
          <cell r="Y180">
            <v>150</v>
          </cell>
          <cell r="Z180" t="str">
            <v>SB</v>
          </cell>
          <cell r="AA180">
            <v>100</v>
          </cell>
          <cell r="AB180" t="str">
            <v>GR</v>
          </cell>
          <cell r="AC180">
            <v>5</v>
          </cell>
          <cell r="AD180">
            <v>0</v>
          </cell>
          <cell r="AE180">
            <v>0</v>
          </cell>
          <cell r="AF180">
            <v>0</v>
          </cell>
          <cell r="AG180">
            <v>0</v>
          </cell>
          <cell r="AH180">
            <v>0</v>
          </cell>
          <cell r="AI180">
            <v>0</v>
          </cell>
          <cell r="AJ180">
            <v>0</v>
          </cell>
          <cell r="AK180">
            <v>0</v>
          </cell>
          <cell r="AL180">
            <v>0</v>
          </cell>
          <cell r="AM180">
            <v>2</v>
          </cell>
          <cell r="AN180" t="str">
            <v>never resealed</v>
          </cell>
          <cell r="BO180" t="str">
            <v>RS 169</v>
          </cell>
          <cell r="BP180">
            <v>3.3</v>
          </cell>
          <cell r="BQ180">
            <v>6</v>
          </cell>
          <cell r="BR180" t="str">
            <v>R</v>
          </cell>
          <cell r="BS180" t="str">
            <v>C</v>
          </cell>
          <cell r="BT180">
            <v>0</v>
          </cell>
          <cell r="BU180" t="str">
            <v>AC</v>
          </cell>
          <cell r="BV180">
            <v>0</v>
          </cell>
          <cell r="BW180">
            <v>2</v>
          </cell>
          <cell r="BX180">
            <v>40</v>
          </cell>
          <cell r="BY180" t="str">
            <v xml:space="preserve"> </v>
          </cell>
          <cell r="BZ180">
            <v>1</v>
          </cell>
          <cell r="CA180">
            <v>5</v>
          </cell>
          <cell r="CB180">
            <v>1.552</v>
          </cell>
          <cell r="CC180">
            <v>7.5591680351906154</v>
          </cell>
          <cell r="CD180">
            <v>90</v>
          </cell>
          <cell r="CE180">
            <v>70</v>
          </cell>
          <cell r="CF180">
            <v>55</v>
          </cell>
          <cell r="CG180">
            <v>35</v>
          </cell>
          <cell r="CH180">
            <v>15</v>
          </cell>
          <cell r="CI180">
            <v>84.3</v>
          </cell>
          <cell r="CJ180">
            <v>0.28100000000000003</v>
          </cell>
          <cell r="CK180">
            <v>10</v>
          </cell>
          <cell r="CL180">
            <v>55</v>
          </cell>
          <cell r="CM180">
            <v>0.56997769230769224</v>
          </cell>
          <cell r="CN180">
            <v>0.56997769230769224</v>
          </cell>
          <cell r="CO180">
            <v>0</v>
          </cell>
          <cell r="CP180">
            <v>0</v>
          </cell>
          <cell r="CQ180">
            <v>8.1291457274983081</v>
          </cell>
          <cell r="CR180">
            <v>64</v>
          </cell>
          <cell r="CS180">
            <v>1</v>
          </cell>
          <cell r="CT180">
            <v>0</v>
          </cell>
          <cell r="CU180">
            <v>0</v>
          </cell>
          <cell r="CV180">
            <v>21</v>
          </cell>
          <cell r="CW180">
            <v>21</v>
          </cell>
          <cell r="CX180" t="str">
            <v xml:space="preserve"> </v>
          </cell>
          <cell r="CY180">
            <v>2</v>
          </cell>
          <cell r="CZ180">
            <v>1.3</v>
          </cell>
          <cell r="DA180">
            <v>1.5</v>
          </cell>
          <cell r="DB180">
            <v>2203</v>
          </cell>
          <cell r="DC180">
            <v>1102</v>
          </cell>
          <cell r="DD180">
            <v>595</v>
          </cell>
          <cell r="DE180">
            <v>111</v>
          </cell>
          <cell r="DF180">
            <v>320</v>
          </cell>
          <cell r="DG180">
            <v>34</v>
          </cell>
          <cell r="DH180">
            <v>23</v>
          </cell>
          <cell r="DI180">
            <v>23</v>
          </cell>
        </row>
        <row r="181">
          <cell r="A181" t="str">
            <v>RS 174</v>
          </cell>
          <cell r="B181">
            <v>174</v>
          </cell>
          <cell r="C181" t="str">
            <v>S</v>
          </cell>
          <cell r="D181" t="str">
            <v>U</v>
          </cell>
          <cell r="E181" t="str">
            <v>Chipembere Highway (M2, Blantyre - Limbe)</v>
          </cell>
          <cell r="F181" t="str">
            <v>Urban</v>
          </cell>
          <cell r="G181">
            <v>16</v>
          </cell>
          <cell r="H181">
            <v>9</v>
          </cell>
          <cell r="I181" t="str">
            <v>R</v>
          </cell>
          <cell r="J181" t="str">
            <v>IN BLANTYRE CITY</v>
          </cell>
          <cell r="K181" t="str">
            <v>C</v>
          </cell>
          <cell r="L181">
            <v>0</v>
          </cell>
          <cell r="W181">
            <v>56</v>
          </cell>
          <cell r="X181" t="str">
            <v>AC</v>
          </cell>
          <cell r="Y181">
            <v>150</v>
          </cell>
          <cell r="Z181" t="str">
            <v>SB</v>
          </cell>
          <cell r="AA181">
            <v>100</v>
          </cell>
          <cell r="AB181" t="str">
            <v>GR</v>
          </cell>
          <cell r="AC181">
            <v>5</v>
          </cell>
          <cell r="AD181">
            <v>0</v>
          </cell>
          <cell r="AE181">
            <v>98</v>
          </cell>
          <cell r="AF181" t="str">
            <v>AO</v>
          </cell>
          <cell r="AG181" t="str">
            <v>AC</v>
          </cell>
          <cell r="AH181">
            <v>25</v>
          </cell>
          <cell r="AI181">
            <v>0</v>
          </cell>
          <cell r="AJ181">
            <v>0</v>
          </cell>
          <cell r="AK181">
            <v>0</v>
          </cell>
          <cell r="AL181">
            <v>0</v>
          </cell>
          <cell r="AM181">
            <v>6</v>
          </cell>
          <cell r="AN181">
            <v>0</v>
          </cell>
          <cell r="BO181" t="str">
            <v>RS 174</v>
          </cell>
          <cell r="BP181">
            <v>9</v>
          </cell>
          <cell r="BQ181">
            <v>12</v>
          </cell>
          <cell r="BR181" t="str">
            <v>R</v>
          </cell>
          <cell r="BS181" t="str">
            <v>C</v>
          </cell>
          <cell r="BT181">
            <v>0</v>
          </cell>
          <cell r="BU181" t="str">
            <v>AC</v>
          </cell>
          <cell r="BV181" t="str">
            <v>AC</v>
          </cell>
          <cell r="BW181">
            <v>6</v>
          </cell>
          <cell r="BX181">
            <v>40</v>
          </cell>
          <cell r="BY181">
            <v>40</v>
          </cell>
          <cell r="BZ181">
            <v>1</v>
          </cell>
          <cell r="CA181">
            <v>5</v>
          </cell>
          <cell r="CB181">
            <v>2.1040000000000001</v>
          </cell>
          <cell r="CC181">
            <v>5.14</v>
          </cell>
          <cell r="CD181" t="str">
            <v>being overlaid 1998</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42</v>
          </cell>
          <cell r="CX181">
            <v>84</v>
          </cell>
          <cell r="CY181">
            <v>1.1000000000000001</v>
          </cell>
          <cell r="CZ181">
            <v>1.1000000000000001</v>
          </cell>
          <cell r="DA181">
            <v>1.1000000000000001</v>
          </cell>
          <cell r="DB181">
            <v>14065</v>
          </cell>
          <cell r="DC181">
            <v>7033</v>
          </cell>
          <cell r="DD181">
            <v>3798</v>
          </cell>
          <cell r="DE181">
            <v>704</v>
          </cell>
          <cell r="DF181">
            <v>2040</v>
          </cell>
          <cell r="DG181">
            <v>211</v>
          </cell>
          <cell r="DH181">
            <v>141</v>
          </cell>
          <cell r="DI181">
            <v>141</v>
          </cell>
        </row>
        <row r="182">
          <cell r="A182" t="str">
            <v>RS 846</v>
          </cell>
          <cell r="B182" t="str">
            <v>n.a.</v>
          </cell>
          <cell r="C182" t="str">
            <v>S</v>
          </cell>
          <cell r="D182" t="str">
            <v>U</v>
          </cell>
          <cell r="E182" t="str">
            <v>Clock Tower - junction M1 (via road S137)</v>
          </cell>
          <cell r="F182" t="str">
            <v>Urban</v>
          </cell>
          <cell r="G182">
            <v>17</v>
          </cell>
          <cell r="H182">
            <v>10.4</v>
          </cell>
          <cell r="I182" t="str">
            <v>R</v>
          </cell>
          <cell r="J182" t="str">
            <v>BLANTYRE CITY</v>
          </cell>
          <cell r="K182">
            <v>9</v>
          </cell>
          <cell r="L182" t="str">
            <v>New section part original RS 175</v>
          </cell>
          <cell r="W182">
            <v>56</v>
          </cell>
          <cell r="X182" t="str">
            <v>AC</v>
          </cell>
          <cell r="Y182">
            <v>150</v>
          </cell>
          <cell r="Z182" t="str">
            <v>SB</v>
          </cell>
          <cell r="AA182">
            <v>100</v>
          </cell>
          <cell r="AB182" t="str">
            <v>GR</v>
          </cell>
          <cell r="AC182">
            <v>5</v>
          </cell>
          <cell r="AD182">
            <v>0</v>
          </cell>
          <cell r="AE182">
            <v>98</v>
          </cell>
          <cell r="AF182" t="str">
            <v>AO</v>
          </cell>
          <cell r="AG182" t="str">
            <v>AC</v>
          </cell>
          <cell r="AH182">
            <v>25</v>
          </cell>
          <cell r="AI182">
            <v>0</v>
          </cell>
          <cell r="AJ182">
            <v>0</v>
          </cell>
          <cell r="AK182">
            <v>0</v>
          </cell>
          <cell r="AL182">
            <v>0</v>
          </cell>
          <cell r="AM182">
            <v>6</v>
          </cell>
          <cell r="AN182">
            <v>0</v>
          </cell>
          <cell r="BO182" t="str">
            <v>RS 846</v>
          </cell>
          <cell r="BP182">
            <v>10.4</v>
          </cell>
          <cell r="BQ182">
            <v>12</v>
          </cell>
          <cell r="BR182" t="str">
            <v>R</v>
          </cell>
          <cell r="BS182" t="str">
            <v>C</v>
          </cell>
          <cell r="BT182">
            <v>0</v>
          </cell>
          <cell r="BU182" t="str">
            <v>AC</v>
          </cell>
          <cell r="BV182" t="str">
            <v>AC</v>
          </cell>
          <cell r="BW182">
            <v>6</v>
          </cell>
          <cell r="BX182">
            <v>40</v>
          </cell>
          <cell r="BY182">
            <v>40</v>
          </cell>
          <cell r="BZ182">
            <v>1</v>
          </cell>
          <cell r="CA182">
            <v>5</v>
          </cell>
          <cell r="CB182">
            <v>2.1040000000000001</v>
          </cell>
          <cell r="CC182">
            <v>11.5</v>
          </cell>
          <cell r="CD182" t="str">
            <v>being overlaid 1998</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42</v>
          </cell>
          <cell r="CX182">
            <v>84</v>
          </cell>
          <cell r="CY182">
            <v>2.5</v>
          </cell>
          <cell r="CZ182">
            <v>3</v>
          </cell>
          <cell r="DA182">
            <v>2</v>
          </cell>
          <cell r="DB182">
            <v>14000</v>
          </cell>
          <cell r="DC182">
            <v>7000</v>
          </cell>
          <cell r="DD182">
            <v>3780</v>
          </cell>
          <cell r="DE182">
            <v>700</v>
          </cell>
          <cell r="DF182">
            <v>2030</v>
          </cell>
          <cell r="DG182">
            <v>210</v>
          </cell>
          <cell r="DH182">
            <v>140</v>
          </cell>
          <cell r="DI182">
            <v>140</v>
          </cell>
        </row>
        <row r="183">
          <cell r="A183" t="str">
            <v>RS 841</v>
          </cell>
          <cell r="B183">
            <v>170</v>
          </cell>
          <cell r="C183" t="str">
            <v>S</v>
          </cell>
          <cell r="D183" t="str">
            <v>U</v>
          </cell>
          <cell r="E183" t="str">
            <v>Zomba - Chikanda (M1 to end bitumen)</v>
          </cell>
          <cell r="F183" t="str">
            <v>Urban</v>
          </cell>
          <cell r="G183">
            <v>18</v>
          </cell>
          <cell r="H183">
            <v>0.9</v>
          </cell>
          <cell r="I183" t="str">
            <v>R</v>
          </cell>
          <cell r="J183" t="str">
            <v>ZOMBA CITY</v>
          </cell>
          <cell r="K183" t="str">
            <v>C</v>
          </cell>
          <cell r="L183">
            <v>0</v>
          </cell>
          <cell r="W183">
            <v>67</v>
          </cell>
          <cell r="X183" t="str">
            <v>SA</v>
          </cell>
          <cell r="Y183">
            <v>150</v>
          </cell>
          <cell r="Z183" t="str">
            <v>GR</v>
          </cell>
          <cell r="AA183">
            <v>100</v>
          </cell>
          <cell r="AB183" t="str">
            <v>GR</v>
          </cell>
          <cell r="AC183">
            <v>5</v>
          </cell>
          <cell r="AD183">
            <v>0</v>
          </cell>
          <cell r="AE183">
            <v>0</v>
          </cell>
          <cell r="AF183">
            <v>0</v>
          </cell>
          <cell r="AG183">
            <v>0</v>
          </cell>
          <cell r="AH183">
            <v>0</v>
          </cell>
          <cell r="AI183">
            <v>0</v>
          </cell>
          <cell r="AJ183">
            <v>0</v>
          </cell>
          <cell r="AK183">
            <v>0</v>
          </cell>
          <cell r="AL183">
            <v>0</v>
          </cell>
          <cell r="AM183">
            <v>2</v>
          </cell>
          <cell r="AN183" t="str">
            <v>never resealed</v>
          </cell>
          <cell r="BO183" t="str">
            <v>RS 841</v>
          </cell>
          <cell r="BP183">
            <v>0.9</v>
          </cell>
          <cell r="BQ183">
            <v>3</v>
          </cell>
          <cell r="BR183" t="str">
            <v>R</v>
          </cell>
          <cell r="BS183" t="str">
            <v>C</v>
          </cell>
          <cell r="BT183">
            <v>0</v>
          </cell>
          <cell r="BU183" t="str">
            <v>SA</v>
          </cell>
          <cell r="BV183">
            <v>0</v>
          </cell>
          <cell r="BW183">
            <v>2</v>
          </cell>
          <cell r="BX183">
            <v>10</v>
          </cell>
          <cell r="BY183" t="str">
            <v xml:space="preserve"> </v>
          </cell>
          <cell r="BZ183">
            <v>1</v>
          </cell>
          <cell r="CA183">
            <v>5</v>
          </cell>
          <cell r="CB183">
            <v>0.90800000000000003</v>
          </cell>
          <cell r="CC183">
            <v>8.3099011730205277</v>
          </cell>
          <cell r="CD183">
            <v>95</v>
          </cell>
          <cell r="CE183">
            <v>67</v>
          </cell>
          <cell r="CF183">
            <v>52</v>
          </cell>
          <cell r="CG183">
            <v>43</v>
          </cell>
          <cell r="CH183">
            <v>15</v>
          </cell>
          <cell r="CI183">
            <v>14.5</v>
          </cell>
          <cell r="CJ183">
            <v>9.6666666666666679E-2</v>
          </cell>
          <cell r="CK183">
            <v>10</v>
          </cell>
          <cell r="CL183">
            <v>52</v>
          </cell>
          <cell r="CM183">
            <v>0.48051025641025635</v>
          </cell>
          <cell r="CN183">
            <v>0.48051025641025635</v>
          </cell>
          <cell r="CO183">
            <v>0</v>
          </cell>
          <cell r="CP183">
            <v>0</v>
          </cell>
          <cell r="CQ183">
            <v>8.7904114294307831</v>
          </cell>
          <cell r="CR183">
            <v>25</v>
          </cell>
          <cell r="CS183">
            <v>1</v>
          </cell>
          <cell r="CT183">
            <v>0</v>
          </cell>
          <cell r="CU183">
            <v>0</v>
          </cell>
          <cell r="CV183">
            <v>31</v>
          </cell>
          <cell r="CW183">
            <v>31</v>
          </cell>
          <cell r="CX183" t="str">
            <v xml:space="preserve"> </v>
          </cell>
          <cell r="CY183">
            <v>2</v>
          </cell>
          <cell r="CZ183">
            <v>0</v>
          </cell>
          <cell r="DA183">
            <v>0</v>
          </cell>
          <cell r="DB183">
            <v>118</v>
          </cell>
          <cell r="DC183">
            <v>59</v>
          </cell>
          <cell r="DD183">
            <v>32</v>
          </cell>
          <cell r="DE183">
            <v>6</v>
          </cell>
          <cell r="DF183">
            <v>18</v>
          </cell>
          <cell r="DG183">
            <v>2</v>
          </cell>
          <cell r="DH183">
            <v>2</v>
          </cell>
          <cell r="DI183">
            <v>2</v>
          </cell>
        </row>
        <row r="184">
          <cell r="A184" t="str">
            <v>RS 171</v>
          </cell>
          <cell r="B184">
            <v>171</v>
          </cell>
          <cell r="C184" t="str">
            <v>S</v>
          </cell>
          <cell r="D184" t="str">
            <v>U</v>
          </cell>
          <cell r="E184" t="str">
            <v>St Mary's Road (Cheonga Road)</v>
          </cell>
          <cell r="F184" t="str">
            <v>Urban</v>
          </cell>
          <cell r="G184">
            <v>19</v>
          </cell>
          <cell r="H184">
            <v>2</v>
          </cell>
          <cell r="I184" t="str">
            <v>R</v>
          </cell>
          <cell r="J184" t="str">
            <v>ZOMBA CITY</v>
          </cell>
          <cell r="K184" t="str">
            <v>C</v>
          </cell>
          <cell r="L184">
            <v>0</v>
          </cell>
          <cell r="W184">
            <v>65</v>
          </cell>
          <cell r="X184" t="str">
            <v>SA</v>
          </cell>
          <cell r="Y184">
            <v>150</v>
          </cell>
          <cell r="Z184" t="str">
            <v>GR</v>
          </cell>
          <cell r="AA184">
            <v>150</v>
          </cell>
          <cell r="AB184" t="str">
            <v>GR</v>
          </cell>
          <cell r="AC184">
            <v>7</v>
          </cell>
          <cell r="AD184" t="str">
            <v>MC</v>
          </cell>
          <cell r="AE184">
            <v>0</v>
          </cell>
          <cell r="AF184">
            <v>0</v>
          </cell>
          <cell r="AG184">
            <v>0</v>
          </cell>
          <cell r="AH184">
            <v>0</v>
          </cell>
          <cell r="AI184">
            <v>0</v>
          </cell>
          <cell r="AJ184">
            <v>0</v>
          </cell>
          <cell r="AK184">
            <v>0</v>
          </cell>
          <cell r="AL184">
            <v>0</v>
          </cell>
          <cell r="AM184">
            <v>2</v>
          </cell>
          <cell r="AN184" t="str">
            <v>never resealed</v>
          </cell>
          <cell r="BO184" t="str">
            <v>RS 171</v>
          </cell>
          <cell r="BP184">
            <v>2</v>
          </cell>
          <cell r="BQ184">
            <v>3</v>
          </cell>
          <cell r="BR184" t="str">
            <v>R</v>
          </cell>
          <cell r="BS184" t="str">
            <v>C</v>
          </cell>
          <cell r="BT184">
            <v>0</v>
          </cell>
          <cell r="BU184" t="str">
            <v>SA</v>
          </cell>
          <cell r="BV184">
            <v>0</v>
          </cell>
          <cell r="BW184">
            <v>2</v>
          </cell>
          <cell r="BX184">
            <v>10</v>
          </cell>
          <cell r="BY184" t="str">
            <v xml:space="preserve"> </v>
          </cell>
          <cell r="BZ184">
            <v>1</v>
          </cell>
          <cell r="CA184">
            <v>7</v>
          </cell>
          <cell r="CB184">
            <v>1.3580000000000001</v>
          </cell>
          <cell r="CC184">
            <v>7.6195440917716066</v>
          </cell>
          <cell r="CD184">
            <v>95</v>
          </cell>
          <cell r="CE184">
            <v>57</v>
          </cell>
          <cell r="CF184">
            <v>42</v>
          </cell>
          <cell r="CG184">
            <v>53</v>
          </cell>
          <cell r="CH184">
            <v>15</v>
          </cell>
          <cell r="CI184">
            <v>34.5</v>
          </cell>
          <cell r="CJ184">
            <v>0.22999999999999998</v>
          </cell>
          <cell r="CK184">
            <v>10</v>
          </cell>
          <cell r="CL184">
            <v>42</v>
          </cell>
          <cell r="CM184">
            <v>0.46471538461538459</v>
          </cell>
          <cell r="CN184">
            <v>0.46471538461538459</v>
          </cell>
          <cell r="CO184">
            <v>0</v>
          </cell>
          <cell r="CP184">
            <v>0</v>
          </cell>
          <cell r="CQ184">
            <v>8.0842594763869915</v>
          </cell>
          <cell r="CR184">
            <v>50</v>
          </cell>
          <cell r="CS184">
            <v>1</v>
          </cell>
          <cell r="CT184">
            <v>0</v>
          </cell>
          <cell r="CU184">
            <v>0</v>
          </cell>
          <cell r="CV184">
            <v>33</v>
          </cell>
          <cell r="CW184">
            <v>33</v>
          </cell>
          <cell r="CX184" t="str">
            <v xml:space="preserve"> </v>
          </cell>
          <cell r="CY184">
            <v>3</v>
          </cell>
          <cell r="CZ184">
            <v>3</v>
          </cell>
          <cell r="DA184">
            <v>2</v>
          </cell>
          <cell r="DB184">
            <v>134</v>
          </cell>
          <cell r="DC184">
            <v>67</v>
          </cell>
          <cell r="DD184">
            <v>37</v>
          </cell>
          <cell r="DE184">
            <v>7</v>
          </cell>
          <cell r="DF184">
            <v>20</v>
          </cell>
          <cell r="DG184">
            <v>3</v>
          </cell>
          <cell r="DH184">
            <v>2</v>
          </cell>
          <cell r="DI184">
            <v>2</v>
          </cell>
        </row>
        <row r="185">
          <cell r="A185" t="str">
            <v>RS 843</v>
          </cell>
          <cell r="B185">
            <v>172</v>
          </cell>
          <cell r="C185" t="str">
            <v>S</v>
          </cell>
          <cell r="D185" t="str">
            <v>U</v>
          </cell>
          <cell r="E185" t="str">
            <v>Chancellor College Road (M1 to end bitumen)</v>
          </cell>
          <cell r="F185" t="str">
            <v>Urban</v>
          </cell>
          <cell r="G185">
            <v>20</v>
          </cell>
          <cell r="H185">
            <v>2.6</v>
          </cell>
          <cell r="I185" t="str">
            <v>R</v>
          </cell>
          <cell r="J185" t="str">
            <v>ZOMBA CITY</v>
          </cell>
          <cell r="K185" t="str">
            <v>C</v>
          </cell>
          <cell r="L185">
            <v>0</v>
          </cell>
          <cell r="W185">
            <v>60</v>
          </cell>
          <cell r="X185" t="str">
            <v>SA</v>
          </cell>
          <cell r="Y185">
            <v>150</v>
          </cell>
          <cell r="Z185" t="str">
            <v>GR</v>
          </cell>
          <cell r="AA185">
            <v>150</v>
          </cell>
          <cell r="AB185" t="str">
            <v>GR</v>
          </cell>
          <cell r="AC185">
            <v>7</v>
          </cell>
          <cell r="AD185" t="str">
            <v>MC</v>
          </cell>
          <cell r="AE185">
            <v>0</v>
          </cell>
          <cell r="AF185">
            <v>0</v>
          </cell>
          <cell r="AG185">
            <v>0</v>
          </cell>
          <cell r="AH185">
            <v>0</v>
          </cell>
          <cell r="AI185">
            <v>0</v>
          </cell>
          <cell r="AJ185">
            <v>0</v>
          </cell>
          <cell r="AK185">
            <v>0</v>
          </cell>
          <cell r="AL185">
            <v>0</v>
          </cell>
          <cell r="AM185">
            <v>2</v>
          </cell>
          <cell r="AN185" t="str">
            <v>never resealed</v>
          </cell>
          <cell r="BO185" t="str">
            <v>RS 843</v>
          </cell>
          <cell r="BP185">
            <v>2.6</v>
          </cell>
          <cell r="BQ185">
            <v>6</v>
          </cell>
          <cell r="BR185" t="str">
            <v>R</v>
          </cell>
          <cell r="BS185" t="str">
            <v>C</v>
          </cell>
          <cell r="BT185">
            <v>0</v>
          </cell>
          <cell r="BU185" t="str">
            <v>SA</v>
          </cell>
          <cell r="BV185">
            <v>0</v>
          </cell>
          <cell r="BW185">
            <v>2</v>
          </cell>
          <cell r="BX185">
            <v>10</v>
          </cell>
          <cell r="BY185" t="str">
            <v xml:space="preserve"> </v>
          </cell>
          <cell r="BZ185">
            <v>1</v>
          </cell>
          <cell r="CA185">
            <v>7</v>
          </cell>
          <cell r="CB185">
            <v>1.3580000000000001</v>
          </cell>
          <cell r="CC185">
            <v>6.8274964809384171</v>
          </cell>
          <cell r="CD185">
            <v>50</v>
          </cell>
          <cell r="CE185">
            <v>5</v>
          </cell>
          <cell r="CF185">
            <v>0</v>
          </cell>
          <cell r="CG185">
            <v>50</v>
          </cell>
          <cell r="CH185">
            <v>5</v>
          </cell>
          <cell r="CI185">
            <v>1.3</v>
          </cell>
          <cell r="CJ185">
            <v>4.3333333333333331E-3</v>
          </cell>
          <cell r="CK185">
            <v>4.3333333333333331E-3</v>
          </cell>
          <cell r="CL185">
            <v>0</v>
          </cell>
          <cell r="CM185">
            <v>1.6799999999999999E-3</v>
          </cell>
          <cell r="CN185">
            <v>1.6799999999999999E-3</v>
          </cell>
          <cell r="CO185">
            <v>0</v>
          </cell>
          <cell r="CP185">
            <v>0</v>
          </cell>
          <cell r="CQ185">
            <v>6.8291764809384174</v>
          </cell>
          <cell r="CR185">
            <v>0</v>
          </cell>
          <cell r="CS185">
            <v>1</v>
          </cell>
          <cell r="CT185">
            <v>0</v>
          </cell>
          <cell r="CU185">
            <v>0</v>
          </cell>
          <cell r="CV185">
            <v>38</v>
          </cell>
          <cell r="CW185">
            <v>38</v>
          </cell>
          <cell r="CX185" t="str">
            <v xml:space="preserve"> </v>
          </cell>
          <cell r="CY185">
            <v>1.2</v>
          </cell>
          <cell r="CZ185">
            <v>1.3</v>
          </cell>
          <cell r="DA185">
            <v>1.2</v>
          </cell>
          <cell r="DB185">
            <v>141</v>
          </cell>
          <cell r="DC185">
            <v>71</v>
          </cell>
          <cell r="DD185">
            <v>39</v>
          </cell>
          <cell r="DE185">
            <v>8</v>
          </cell>
          <cell r="DF185">
            <v>21</v>
          </cell>
          <cell r="DG185">
            <v>3</v>
          </cell>
          <cell r="DH185">
            <v>2</v>
          </cell>
          <cell r="DI185">
            <v>2</v>
          </cell>
        </row>
        <row r="186">
          <cell r="A186" t="str">
            <v>RS 173</v>
          </cell>
          <cell r="B186">
            <v>173</v>
          </cell>
          <cell r="C186" t="str">
            <v>S</v>
          </cell>
          <cell r="D186" t="str">
            <v>U</v>
          </cell>
          <cell r="E186" t="str">
            <v>Parliament Road</v>
          </cell>
          <cell r="F186" t="str">
            <v>Urban</v>
          </cell>
          <cell r="G186">
            <v>21</v>
          </cell>
          <cell r="H186">
            <v>2</v>
          </cell>
          <cell r="I186" t="str">
            <v>R</v>
          </cell>
          <cell r="J186" t="str">
            <v>ZOMBA CITY</v>
          </cell>
          <cell r="K186" t="str">
            <v>C</v>
          </cell>
          <cell r="L186">
            <v>0</v>
          </cell>
          <cell r="W186">
            <v>58</v>
          </cell>
          <cell r="X186" t="str">
            <v>SA</v>
          </cell>
          <cell r="Y186">
            <v>150</v>
          </cell>
          <cell r="Z186" t="str">
            <v>GR</v>
          </cell>
          <cell r="AA186">
            <v>150</v>
          </cell>
          <cell r="AB186" t="str">
            <v>GR</v>
          </cell>
          <cell r="AC186">
            <v>7</v>
          </cell>
          <cell r="AD186" t="str">
            <v>MC</v>
          </cell>
          <cell r="AE186">
            <v>98</v>
          </cell>
          <cell r="AF186" t="str">
            <v>AO</v>
          </cell>
          <cell r="AG186" t="str">
            <v>AC</v>
          </cell>
          <cell r="AH186">
            <v>25</v>
          </cell>
          <cell r="AI186">
            <v>0</v>
          </cell>
          <cell r="AJ186">
            <v>0</v>
          </cell>
          <cell r="AK186">
            <v>0</v>
          </cell>
          <cell r="AL186">
            <v>0</v>
          </cell>
          <cell r="AM186">
            <v>6</v>
          </cell>
          <cell r="AN186" t="str">
            <v>AO 1998</v>
          </cell>
          <cell r="BO186" t="str">
            <v>RS 173</v>
          </cell>
          <cell r="BP186">
            <v>2</v>
          </cell>
          <cell r="BQ186">
            <v>6</v>
          </cell>
          <cell r="BR186" t="str">
            <v>R</v>
          </cell>
          <cell r="BS186" t="str">
            <v>A</v>
          </cell>
          <cell r="BT186">
            <v>0</v>
          </cell>
          <cell r="BU186" t="str">
            <v>AC</v>
          </cell>
          <cell r="BV186" t="str">
            <v>SA</v>
          </cell>
          <cell r="BW186">
            <v>6</v>
          </cell>
          <cell r="BX186">
            <v>40</v>
          </cell>
          <cell r="BY186">
            <v>10</v>
          </cell>
          <cell r="BZ186">
            <v>1</v>
          </cell>
          <cell r="CA186">
            <v>7</v>
          </cell>
          <cell r="CB186">
            <v>1.9100000000000001</v>
          </cell>
          <cell r="CC186">
            <v>7.3099011730205294</v>
          </cell>
          <cell r="CD186" t="str">
            <v>being overlaid 1998</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40</v>
          </cell>
          <cell r="CX186">
            <v>80</v>
          </cell>
          <cell r="CY186">
            <v>1</v>
          </cell>
          <cell r="CZ186">
            <v>1</v>
          </cell>
          <cell r="DA186">
            <v>1</v>
          </cell>
          <cell r="DB186">
            <v>179</v>
          </cell>
          <cell r="DC186">
            <v>90</v>
          </cell>
          <cell r="DD186">
            <v>49</v>
          </cell>
          <cell r="DE186">
            <v>9</v>
          </cell>
          <cell r="DF186">
            <v>26</v>
          </cell>
          <cell r="DG186">
            <v>3</v>
          </cell>
          <cell r="DH186">
            <v>2</v>
          </cell>
          <cell r="DI186">
            <v>2</v>
          </cell>
        </row>
        <row r="187">
          <cell r="A187" t="str">
            <v>RS 176</v>
          </cell>
          <cell r="B187">
            <v>176</v>
          </cell>
          <cell r="C187" t="str">
            <v>S</v>
          </cell>
          <cell r="D187" t="str">
            <v>U</v>
          </cell>
          <cell r="E187" t="str">
            <v>Kuchawe Road (up road)</v>
          </cell>
          <cell r="F187" t="str">
            <v>Urban</v>
          </cell>
          <cell r="G187">
            <v>22</v>
          </cell>
          <cell r="H187">
            <v>15</v>
          </cell>
          <cell r="I187" t="str">
            <v>H</v>
          </cell>
          <cell r="J187" t="str">
            <v>ZOMBA CITY &amp; ZOMBA</v>
          </cell>
          <cell r="K187" t="str">
            <v>C</v>
          </cell>
          <cell r="L187">
            <v>0</v>
          </cell>
          <cell r="W187">
            <v>68</v>
          </cell>
          <cell r="X187" t="str">
            <v>SA</v>
          </cell>
          <cell r="Y187">
            <v>150</v>
          </cell>
          <cell r="Z187" t="str">
            <v>SB</v>
          </cell>
          <cell r="AA187">
            <v>150</v>
          </cell>
          <cell r="AB187" t="str">
            <v>GR</v>
          </cell>
          <cell r="AC187">
            <v>15</v>
          </cell>
          <cell r="AD187" t="str">
            <v>VR</v>
          </cell>
          <cell r="AE187">
            <v>0</v>
          </cell>
          <cell r="AF187">
            <v>0</v>
          </cell>
          <cell r="AG187">
            <v>0</v>
          </cell>
          <cell r="AH187">
            <v>0</v>
          </cell>
          <cell r="AI187">
            <v>0</v>
          </cell>
          <cell r="AJ187">
            <v>0</v>
          </cell>
          <cell r="AK187">
            <v>0</v>
          </cell>
          <cell r="AL187">
            <v>0</v>
          </cell>
          <cell r="AM187">
            <v>2</v>
          </cell>
          <cell r="AN187" t="str">
            <v>reseal 1998</v>
          </cell>
          <cell r="BO187" t="str">
            <v>RS 176</v>
          </cell>
          <cell r="BP187">
            <v>15</v>
          </cell>
          <cell r="BQ187">
            <v>5.5</v>
          </cell>
          <cell r="BR187" t="str">
            <v>H</v>
          </cell>
          <cell r="BS187" t="str">
            <v>C</v>
          </cell>
          <cell r="BT187">
            <v>0</v>
          </cell>
          <cell r="BU187" t="str">
            <v>SA</v>
          </cell>
          <cell r="BV187">
            <v>0</v>
          </cell>
          <cell r="BW187">
            <v>2</v>
          </cell>
          <cell r="BX187">
            <v>10</v>
          </cell>
          <cell r="BY187" t="str">
            <v xml:space="preserve"> </v>
          </cell>
          <cell r="BZ187">
            <v>1</v>
          </cell>
          <cell r="CA187">
            <v>15</v>
          </cell>
          <cell r="CB187">
            <v>1.508</v>
          </cell>
          <cell r="CC187">
            <v>9.5457000217226007</v>
          </cell>
          <cell r="CD187">
            <v>90</v>
          </cell>
          <cell r="CE187">
            <v>60</v>
          </cell>
          <cell r="CF187">
            <v>45</v>
          </cell>
          <cell r="CG187">
            <v>45</v>
          </cell>
          <cell r="CH187">
            <v>15</v>
          </cell>
          <cell r="CI187">
            <v>4.5</v>
          </cell>
          <cell r="CJ187">
            <v>1.6363636363636365E-2</v>
          </cell>
          <cell r="CK187">
            <v>10</v>
          </cell>
          <cell r="CL187">
            <v>45</v>
          </cell>
          <cell r="CM187">
            <v>0.40387272727272727</v>
          </cell>
          <cell r="CN187">
            <v>0.40387272727272727</v>
          </cell>
          <cell r="CO187">
            <v>0</v>
          </cell>
          <cell r="CP187">
            <v>0</v>
          </cell>
          <cell r="CQ187">
            <v>9.9495727489953278</v>
          </cell>
          <cell r="CR187">
            <v>25</v>
          </cell>
          <cell r="CS187">
            <v>1</v>
          </cell>
          <cell r="CT187">
            <v>0</v>
          </cell>
          <cell r="CU187">
            <v>0</v>
          </cell>
          <cell r="CV187">
            <v>30</v>
          </cell>
          <cell r="CW187">
            <v>30</v>
          </cell>
          <cell r="CX187" t="str">
            <v xml:space="preserve"> </v>
          </cell>
          <cell r="CY187">
            <v>2</v>
          </cell>
          <cell r="CZ187">
            <v>2</v>
          </cell>
          <cell r="DA187">
            <v>1.5</v>
          </cell>
          <cell r="DB187">
            <v>200</v>
          </cell>
          <cell r="DC187">
            <v>103</v>
          </cell>
          <cell r="DD187">
            <v>8</v>
          </cell>
          <cell r="DE187">
            <v>5</v>
          </cell>
          <cell r="DF187">
            <v>9</v>
          </cell>
          <cell r="DG187">
            <v>5</v>
          </cell>
          <cell r="DH187">
            <v>3</v>
          </cell>
          <cell r="DI187">
            <v>11</v>
          </cell>
        </row>
        <row r="188">
          <cell r="A188" t="str">
            <v>RS 146</v>
          </cell>
          <cell r="B188">
            <v>146</v>
          </cell>
          <cell r="C188" t="str">
            <v>N</v>
          </cell>
          <cell r="D188" t="str">
            <v>U</v>
          </cell>
          <cell r="E188" t="str">
            <v>Chimaliro Road</v>
          </cell>
          <cell r="F188" t="str">
            <v>Urban</v>
          </cell>
          <cell r="G188">
            <v>25</v>
          </cell>
          <cell r="H188">
            <v>10</v>
          </cell>
          <cell r="I188" t="str">
            <v>R</v>
          </cell>
          <cell r="J188" t="str">
            <v>MZUZU CITY</v>
          </cell>
          <cell r="K188" t="str">
            <v>C</v>
          </cell>
          <cell r="L188">
            <v>0</v>
          </cell>
          <cell r="W188">
            <v>85</v>
          </cell>
          <cell r="X188" t="str">
            <v>DS</v>
          </cell>
          <cell r="Y188">
            <v>150</v>
          </cell>
          <cell r="Z188" t="str">
            <v>GR</v>
          </cell>
          <cell r="AA188">
            <v>100</v>
          </cell>
          <cell r="AB188" t="str">
            <v>GR</v>
          </cell>
          <cell r="AC188">
            <v>5</v>
          </cell>
          <cell r="AD188" t="str">
            <v>AM</v>
          </cell>
          <cell r="AE188">
            <v>0</v>
          </cell>
          <cell r="AF188">
            <v>0</v>
          </cell>
          <cell r="AG188">
            <v>0</v>
          </cell>
          <cell r="AH188">
            <v>0</v>
          </cell>
          <cell r="AI188">
            <v>0</v>
          </cell>
          <cell r="AJ188">
            <v>0</v>
          </cell>
          <cell r="AK188">
            <v>0</v>
          </cell>
          <cell r="AL188">
            <v>0</v>
          </cell>
          <cell r="AM188">
            <v>1</v>
          </cell>
          <cell r="AN188" t="str">
            <v>never resealed</v>
          </cell>
          <cell r="BO188" t="str">
            <v>RS 146</v>
          </cell>
          <cell r="BP188">
            <v>10</v>
          </cell>
          <cell r="BQ188">
            <v>6.7</v>
          </cell>
          <cell r="BR188" t="str">
            <v>R</v>
          </cell>
          <cell r="BS188" t="str">
            <v>C</v>
          </cell>
          <cell r="BT188">
            <v>0</v>
          </cell>
          <cell r="BU188" t="str">
            <v>DS</v>
          </cell>
          <cell r="BV188">
            <v>0</v>
          </cell>
          <cell r="BW188">
            <v>1</v>
          </cell>
          <cell r="BX188">
            <v>15</v>
          </cell>
          <cell r="BY188" t="str">
            <v xml:space="preserve"> </v>
          </cell>
          <cell r="BZ188">
            <v>1</v>
          </cell>
          <cell r="CA188">
            <v>5</v>
          </cell>
          <cell r="CB188">
            <v>1.077</v>
          </cell>
          <cell r="CC188">
            <v>3.5</v>
          </cell>
          <cell r="CD188">
            <v>0</v>
          </cell>
          <cell r="CE188">
            <v>0</v>
          </cell>
          <cell r="CF188">
            <v>0</v>
          </cell>
          <cell r="CG188">
            <v>0</v>
          </cell>
          <cell r="CH188">
            <v>0</v>
          </cell>
          <cell r="CI188">
            <v>30</v>
          </cell>
          <cell r="CJ188">
            <v>8.9552238805970144E-2</v>
          </cell>
          <cell r="CK188">
            <v>8.9552238805970144E-2</v>
          </cell>
          <cell r="CL188">
            <v>0</v>
          </cell>
          <cell r="CM188">
            <v>3.4718714121699197E-2</v>
          </cell>
          <cell r="CN188">
            <v>3.4718714121699197E-2</v>
          </cell>
          <cell r="CO188">
            <v>0</v>
          </cell>
          <cell r="CP188">
            <v>0</v>
          </cell>
          <cell r="CQ188">
            <v>3.5347187141216994</v>
          </cell>
          <cell r="CR188">
            <v>0</v>
          </cell>
          <cell r="CS188">
            <v>1</v>
          </cell>
          <cell r="CT188">
            <v>0</v>
          </cell>
          <cell r="CU188">
            <v>0</v>
          </cell>
          <cell r="CV188">
            <v>13</v>
          </cell>
          <cell r="CW188">
            <v>13</v>
          </cell>
          <cell r="CX188" t="str">
            <v xml:space="preserve"> </v>
          </cell>
          <cell r="CY188">
            <v>2</v>
          </cell>
          <cell r="CZ188">
            <v>2</v>
          </cell>
          <cell r="DA188">
            <v>2</v>
          </cell>
          <cell r="DB188">
            <v>780</v>
          </cell>
          <cell r="DC188">
            <v>390</v>
          </cell>
          <cell r="DD188">
            <v>211</v>
          </cell>
          <cell r="DE188">
            <v>39</v>
          </cell>
          <cell r="DF188">
            <v>114</v>
          </cell>
          <cell r="DG188">
            <v>12</v>
          </cell>
          <cell r="DH188">
            <v>8</v>
          </cell>
          <cell r="DI188">
            <v>8</v>
          </cell>
        </row>
        <row r="189">
          <cell r="A189" t="str">
            <v>RS 147</v>
          </cell>
          <cell r="B189">
            <v>147</v>
          </cell>
          <cell r="C189" t="str">
            <v>N</v>
          </cell>
          <cell r="D189" t="str">
            <v>U</v>
          </cell>
          <cell r="E189" t="str">
            <v>Roundabout (Kamuzu Ave.) - Mzirawaingwe</v>
          </cell>
          <cell r="F189" t="str">
            <v>Urban</v>
          </cell>
          <cell r="G189">
            <v>26</v>
          </cell>
          <cell r="H189">
            <v>2.5</v>
          </cell>
          <cell r="I189" t="str">
            <v>R</v>
          </cell>
          <cell r="J189" t="str">
            <v>MZUZU CITY</v>
          </cell>
          <cell r="K189" t="str">
            <v>C</v>
          </cell>
          <cell r="L189" t="str">
            <v xml:space="preserve">Length changed </v>
          </cell>
          <cell r="W189">
            <v>73</v>
          </cell>
          <cell r="X189" t="str">
            <v>DS</v>
          </cell>
          <cell r="Y189">
            <v>150</v>
          </cell>
          <cell r="Z189" t="str">
            <v>GR</v>
          </cell>
          <cell r="AA189">
            <v>100</v>
          </cell>
          <cell r="AB189" t="str">
            <v>GR</v>
          </cell>
          <cell r="AC189">
            <v>5</v>
          </cell>
          <cell r="AD189" t="str">
            <v>AM</v>
          </cell>
          <cell r="AE189">
            <v>0</v>
          </cell>
          <cell r="AF189">
            <v>0</v>
          </cell>
          <cell r="AG189">
            <v>0</v>
          </cell>
          <cell r="AH189">
            <v>0</v>
          </cell>
          <cell r="AI189">
            <v>0</v>
          </cell>
          <cell r="AJ189">
            <v>0</v>
          </cell>
          <cell r="AK189">
            <v>0</v>
          </cell>
          <cell r="AL189">
            <v>0</v>
          </cell>
          <cell r="AM189">
            <v>1</v>
          </cell>
          <cell r="AN189" t="str">
            <v>never resealed</v>
          </cell>
          <cell r="BO189" t="str">
            <v>RS 147</v>
          </cell>
          <cell r="BP189">
            <v>2.5</v>
          </cell>
          <cell r="BQ189">
            <v>6.7</v>
          </cell>
          <cell r="BR189" t="str">
            <v>R</v>
          </cell>
          <cell r="BS189" t="str">
            <v>C</v>
          </cell>
          <cell r="BT189">
            <v>0</v>
          </cell>
          <cell r="BU189" t="str">
            <v>DS</v>
          </cell>
          <cell r="BV189">
            <v>0</v>
          </cell>
          <cell r="BW189">
            <v>1</v>
          </cell>
          <cell r="BX189">
            <v>15</v>
          </cell>
          <cell r="BY189" t="str">
            <v xml:space="preserve"> </v>
          </cell>
          <cell r="BZ189">
            <v>1</v>
          </cell>
          <cell r="CA189">
            <v>5</v>
          </cell>
          <cell r="CB189">
            <v>1.077</v>
          </cell>
          <cell r="CC189">
            <v>3.6</v>
          </cell>
          <cell r="CD189">
            <v>90</v>
          </cell>
          <cell r="CE189">
            <v>72</v>
          </cell>
          <cell r="CF189">
            <v>57</v>
          </cell>
          <cell r="CG189">
            <v>33</v>
          </cell>
          <cell r="CH189">
            <v>15</v>
          </cell>
          <cell r="CI189">
            <v>0.4</v>
          </cell>
          <cell r="CJ189">
            <v>1.1940298507462689E-3</v>
          </cell>
          <cell r="CK189">
            <v>10</v>
          </cell>
          <cell r="CL189">
            <v>57</v>
          </cell>
          <cell r="CM189">
            <v>0.47752789896670489</v>
          </cell>
          <cell r="CN189">
            <v>0.47752789896670489</v>
          </cell>
          <cell r="CO189">
            <v>0</v>
          </cell>
          <cell r="CP189">
            <v>0</v>
          </cell>
          <cell r="CQ189">
            <v>4.0775278989667054</v>
          </cell>
          <cell r="CR189">
            <v>0</v>
          </cell>
          <cell r="CS189">
            <v>1</v>
          </cell>
          <cell r="CT189">
            <v>0</v>
          </cell>
          <cell r="CU189">
            <v>0</v>
          </cell>
          <cell r="CV189">
            <v>25</v>
          </cell>
          <cell r="CW189">
            <v>25</v>
          </cell>
          <cell r="CX189" t="str">
            <v xml:space="preserve"> </v>
          </cell>
          <cell r="CY189">
            <v>2.5</v>
          </cell>
          <cell r="CZ189">
            <v>2</v>
          </cell>
          <cell r="DA189">
            <v>2.5</v>
          </cell>
          <cell r="DB189">
            <v>1117</v>
          </cell>
          <cell r="DC189">
            <v>559</v>
          </cell>
          <cell r="DD189">
            <v>302</v>
          </cell>
          <cell r="DE189">
            <v>56</v>
          </cell>
          <cell r="DF189">
            <v>162</v>
          </cell>
          <cell r="DG189">
            <v>17</v>
          </cell>
          <cell r="DH189">
            <v>12</v>
          </cell>
          <cell r="DI189">
            <v>12</v>
          </cell>
        </row>
        <row r="190">
          <cell r="A190" t="str">
            <v>RS 849</v>
          </cell>
          <cell r="B190" t="str">
            <v>n.a.</v>
          </cell>
          <cell r="C190" t="str">
            <v>N</v>
          </cell>
          <cell r="D190" t="str">
            <v>U</v>
          </cell>
          <cell r="E190" t="str">
            <v>Viphya Drive (Kamuzu Ave. to Mazuzu Hotel)</v>
          </cell>
          <cell r="F190" t="str">
            <v>Urban</v>
          </cell>
          <cell r="G190">
            <v>27</v>
          </cell>
          <cell r="H190">
            <v>0.5</v>
          </cell>
          <cell r="I190">
            <v>0</v>
          </cell>
          <cell r="J190" t="str">
            <v>MZUZU CITY</v>
          </cell>
          <cell r="K190" t="str">
            <v>C</v>
          </cell>
          <cell r="L190" t="str">
            <v>New section part of origional RS 148</v>
          </cell>
          <cell r="W190">
            <v>73</v>
          </cell>
          <cell r="X190" t="str">
            <v>DS</v>
          </cell>
          <cell r="Y190">
            <v>150</v>
          </cell>
          <cell r="Z190" t="str">
            <v>GR</v>
          </cell>
          <cell r="AA190">
            <v>100</v>
          </cell>
          <cell r="AB190" t="str">
            <v>GR</v>
          </cell>
          <cell r="AC190">
            <v>5</v>
          </cell>
          <cell r="AD190" t="str">
            <v>AM</v>
          </cell>
          <cell r="AE190">
            <v>0</v>
          </cell>
          <cell r="AF190">
            <v>0</v>
          </cell>
          <cell r="AG190">
            <v>0</v>
          </cell>
          <cell r="AH190">
            <v>0</v>
          </cell>
          <cell r="AI190">
            <v>0</v>
          </cell>
          <cell r="AJ190">
            <v>0</v>
          </cell>
          <cell r="AK190">
            <v>0</v>
          </cell>
          <cell r="AL190">
            <v>0</v>
          </cell>
          <cell r="AM190">
            <v>1</v>
          </cell>
          <cell r="AN190" t="str">
            <v>never resealed</v>
          </cell>
          <cell r="BO190" t="str">
            <v>RS 849</v>
          </cell>
          <cell r="BP190">
            <v>0.5</v>
          </cell>
          <cell r="BQ190">
            <v>4</v>
          </cell>
          <cell r="BR190" t="str">
            <v>R</v>
          </cell>
          <cell r="BS190" t="str">
            <v>C</v>
          </cell>
          <cell r="BT190">
            <v>0</v>
          </cell>
          <cell r="BU190" t="str">
            <v>DS</v>
          </cell>
          <cell r="BV190">
            <v>0</v>
          </cell>
          <cell r="BW190">
            <v>1</v>
          </cell>
          <cell r="BX190">
            <v>15</v>
          </cell>
          <cell r="BY190" t="str">
            <v xml:space="preserve"> </v>
          </cell>
          <cell r="BZ190">
            <v>1</v>
          </cell>
          <cell r="CA190">
            <v>5</v>
          </cell>
          <cell r="CB190">
            <v>1.077</v>
          </cell>
          <cell r="CC190">
            <v>3.7</v>
          </cell>
          <cell r="CD190">
            <v>70</v>
          </cell>
          <cell r="CE190">
            <v>45</v>
          </cell>
          <cell r="CF190">
            <v>30</v>
          </cell>
          <cell r="CG190">
            <v>40</v>
          </cell>
          <cell r="CH190">
            <v>15</v>
          </cell>
          <cell r="CI190">
            <v>8</v>
          </cell>
          <cell r="CJ190">
            <v>0.04</v>
          </cell>
          <cell r="CK190">
            <v>10</v>
          </cell>
          <cell r="CL190">
            <v>30</v>
          </cell>
          <cell r="CM190">
            <v>0.31356923076923071</v>
          </cell>
          <cell r="CN190">
            <v>0.31356923076923071</v>
          </cell>
          <cell r="CO190">
            <v>0</v>
          </cell>
          <cell r="CP190">
            <v>0</v>
          </cell>
          <cell r="CQ190">
            <v>4.0135692307692308</v>
          </cell>
          <cell r="CR190">
            <v>0</v>
          </cell>
          <cell r="CS190">
            <v>1</v>
          </cell>
          <cell r="CT190">
            <v>0</v>
          </cell>
          <cell r="CU190">
            <v>0</v>
          </cell>
          <cell r="CV190">
            <v>25</v>
          </cell>
          <cell r="CW190">
            <v>25</v>
          </cell>
          <cell r="CX190" t="str">
            <v xml:space="preserve"> </v>
          </cell>
          <cell r="CY190">
            <v>1</v>
          </cell>
          <cell r="CZ190">
            <v>1</v>
          </cell>
          <cell r="DA190">
            <v>3</v>
          </cell>
          <cell r="DB190">
            <v>184</v>
          </cell>
          <cell r="DC190">
            <v>92</v>
          </cell>
          <cell r="DD190">
            <v>50</v>
          </cell>
          <cell r="DE190">
            <v>10</v>
          </cell>
          <cell r="DF190">
            <v>27</v>
          </cell>
          <cell r="DG190">
            <v>3</v>
          </cell>
          <cell r="DH190">
            <v>2</v>
          </cell>
          <cell r="DI190">
            <v>2</v>
          </cell>
        </row>
        <row r="191">
          <cell r="A191" t="str">
            <v>RS 149</v>
          </cell>
          <cell r="B191">
            <v>149</v>
          </cell>
          <cell r="C191" t="str">
            <v>N</v>
          </cell>
          <cell r="D191" t="str">
            <v>U</v>
          </cell>
          <cell r="E191" t="str">
            <v>Airport Road (Mzuzu)</v>
          </cell>
          <cell r="F191" t="str">
            <v>Urban</v>
          </cell>
          <cell r="G191">
            <v>28</v>
          </cell>
          <cell r="H191">
            <v>3</v>
          </cell>
          <cell r="I191" t="str">
            <v>R</v>
          </cell>
          <cell r="J191" t="str">
            <v>MZUZU CITY</v>
          </cell>
          <cell r="K191" t="str">
            <v>C</v>
          </cell>
          <cell r="L191">
            <v>0</v>
          </cell>
          <cell r="W191">
            <v>73</v>
          </cell>
          <cell r="X191" t="str">
            <v>DS</v>
          </cell>
          <cell r="Y191">
            <v>150</v>
          </cell>
          <cell r="Z191" t="str">
            <v>GR</v>
          </cell>
          <cell r="AA191">
            <v>100</v>
          </cell>
          <cell r="AB191" t="str">
            <v>GR</v>
          </cell>
          <cell r="AC191">
            <v>5</v>
          </cell>
          <cell r="AD191" t="str">
            <v>AM</v>
          </cell>
          <cell r="AE191">
            <v>0</v>
          </cell>
          <cell r="AF191">
            <v>0</v>
          </cell>
          <cell r="AG191">
            <v>0</v>
          </cell>
          <cell r="AH191">
            <v>0</v>
          </cell>
          <cell r="AI191">
            <v>0</v>
          </cell>
          <cell r="AJ191">
            <v>0</v>
          </cell>
          <cell r="AK191">
            <v>0</v>
          </cell>
          <cell r="AL191">
            <v>0</v>
          </cell>
          <cell r="AM191">
            <v>1</v>
          </cell>
          <cell r="AN191" t="str">
            <v>never resealed</v>
          </cell>
          <cell r="BO191" t="str">
            <v>RS 149</v>
          </cell>
          <cell r="BP191">
            <v>3</v>
          </cell>
          <cell r="BQ191">
            <v>5.5</v>
          </cell>
          <cell r="BR191" t="str">
            <v>R</v>
          </cell>
          <cell r="BS191" t="str">
            <v>C</v>
          </cell>
          <cell r="BT191">
            <v>0</v>
          </cell>
          <cell r="BU191" t="str">
            <v>DS</v>
          </cell>
          <cell r="BV191">
            <v>0</v>
          </cell>
          <cell r="BW191">
            <v>1</v>
          </cell>
          <cell r="BX191">
            <v>15</v>
          </cell>
          <cell r="BY191" t="str">
            <v xml:space="preserve"> </v>
          </cell>
          <cell r="BZ191">
            <v>1</v>
          </cell>
          <cell r="CA191">
            <v>5</v>
          </cell>
          <cell r="CB191">
            <v>1.077</v>
          </cell>
          <cell r="CC191">
            <v>3.5</v>
          </cell>
          <cell r="CD191">
            <v>0</v>
          </cell>
          <cell r="CE191">
            <v>0</v>
          </cell>
          <cell r="CF191">
            <v>0</v>
          </cell>
          <cell r="CG191">
            <v>0</v>
          </cell>
          <cell r="CH191">
            <v>0</v>
          </cell>
          <cell r="CI191">
            <v>30</v>
          </cell>
          <cell r="CJ191">
            <v>0.1090909090909091</v>
          </cell>
          <cell r="CK191">
            <v>0.1090909090909091</v>
          </cell>
          <cell r="CL191">
            <v>0</v>
          </cell>
          <cell r="CM191">
            <v>4.2293706293706296E-2</v>
          </cell>
          <cell r="CN191">
            <v>4.2293706293706296E-2</v>
          </cell>
          <cell r="CO191">
            <v>0</v>
          </cell>
          <cell r="CP191">
            <v>0</v>
          </cell>
          <cell r="CQ191">
            <v>3.5422937062937061</v>
          </cell>
          <cell r="CR191">
            <v>0</v>
          </cell>
          <cell r="CS191">
            <v>2</v>
          </cell>
          <cell r="CT191">
            <v>5</v>
          </cell>
          <cell r="CU191">
            <v>2</v>
          </cell>
          <cell r="CV191">
            <v>25</v>
          </cell>
          <cell r="CW191">
            <v>25</v>
          </cell>
          <cell r="CX191" t="str">
            <v xml:space="preserve"> </v>
          </cell>
          <cell r="CY191">
            <v>1</v>
          </cell>
          <cell r="CZ191">
            <v>2</v>
          </cell>
          <cell r="DA191">
            <v>2</v>
          </cell>
          <cell r="DB191">
            <v>300</v>
          </cell>
          <cell r="DC191">
            <v>150</v>
          </cell>
          <cell r="DD191">
            <v>81</v>
          </cell>
          <cell r="DE191">
            <v>15</v>
          </cell>
          <cell r="DF191">
            <v>44</v>
          </cell>
          <cell r="DG191">
            <v>5</v>
          </cell>
          <cell r="DH191">
            <v>3</v>
          </cell>
          <cell r="DI191">
            <v>3</v>
          </cell>
        </row>
        <row r="192">
          <cell r="A192" t="str">
            <v>RS 151</v>
          </cell>
          <cell r="B192">
            <v>151</v>
          </cell>
          <cell r="C192" t="str">
            <v>N</v>
          </cell>
          <cell r="D192" t="str">
            <v>U</v>
          </cell>
          <cell r="E192" t="str">
            <v>Marine-Works</v>
          </cell>
          <cell r="F192" t="str">
            <v>Urban</v>
          </cell>
          <cell r="G192">
            <v>29</v>
          </cell>
          <cell r="H192">
            <v>2</v>
          </cell>
          <cell r="I192" t="str">
            <v>F</v>
          </cell>
          <cell r="J192" t="str">
            <v>KARONGA TOWN</v>
          </cell>
          <cell r="K192" t="str">
            <v>C</v>
          </cell>
          <cell r="L192">
            <v>0</v>
          </cell>
          <cell r="W192">
            <v>73</v>
          </cell>
          <cell r="X192" t="str">
            <v>ST</v>
          </cell>
          <cell r="Y192">
            <v>150</v>
          </cell>
          <cell r="Z192" t="str">
            <v>GR</v>
          </cell>
          <cell r="AA192">
            <v>100</v>
          </cell>
          <cell r="AB192" t="str">
            <v>GR</v>
          </cell>
          <cell r="AC192">
            <v>5</v>
          </cell>
          <cell r="AD192" t="str">
            <v>JW</v>
          </cell>
          <cell r="AE192">
            <v>0</v>
          </cell>
          <cell r="AF192">
            <v>0</v>
          </cell>
          <cell r="AG192">
            <v>0</v>
          </cell>
          <cell r="AH192">
            <v>0</v>
          </cell>
          <cell r="AI192">
            <v>0</v>
          </cell>
          <cell r="AJ192">
            <v>0</v>
          </cell>
          <cell r="AK192">
            <v>0</v>
          </cell>
          <cell r="AL192">
            <v>0</v>
          </cell>
          <cell r="AM192">
            <v>1</v>
          </cell>
          <cell r="AN192" t="str">
            <v>never resealed</v>
          </cell>
          <cell r="BO192" t="str">
            <v>RS 151</v>
          </cell>
          <cell r="BP192">
            <v>2</v>
          </cell>
          <cell r="BQ192" t="str">
            <v>n.a.</v>
          </cell>
          <cell r="BR192" t="str">
            <v>F</v>
          </cell>
          <cell r="BS192" t="str">
            <v>X</v>
          </cell>
          <cell r="BT192">
            <v>90</v>
          </cell>
          <cell r="BU192" t="str">
            <v>ST</v>
          </cell>
          <cell r="BV192">
            <v>0</v>
          </cell>
          <cell r="BW192">
            <v>1</v>
          </cell>
          <cell r="BX192">
            <v>10</v>
          </cell>
          <cell r="BY192" t="str">
            <v xml:space="preserve"> </v>
          </cell>
          <cell r="BZ192">
            <v>1</v>
          </cell>
          <cell r="CA192">
            <v>5</v>
          </cell>
          <cell r="CB192">
            <v>0.90800000000000003</v>
          </cell>
          <cell r="CC192" t="str">
            <v>bitumen surface removed</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t="str">
            <v>n.a</v>
          </cell>
          <cell r="CW192" t="str">
            <v>n.a.</v>
          </cell>
          <cell r="CX192">
            <v>0</v>
          </cell>
          <cell r="CY192" t="str">
            <v>n.a.</v>
          </cell>
          <cell r="CZ192" t="str">
            <v>n.a.</v>
          </cell>
          <cell r="DA192">
            <v>1</v>
          </cell>
          <cell r="DB192">
            <v>171</v>
          </cell>
          <cell r="DC192">
            <v>86</v>
          </cell>
          <cell r="DD192">
            <v>47</v>
          </cell>
          <cell r="DE192">
            <v>9</v>
          </cell>
          <cell r="DF192">
            <v>25</v>
          </cell>
          <cell r="DG192">
            <v>3</v>
          </cell>
          <cell r="DH192">
            <v>2</v>
          </cell>
          <cell r="DI192">
            <v>2</v>
          </cell>
        </row>
        <row r="193">
          <cell r="A193" t="str">
            <v>RS 152</v>
          </cell>
          <cell r="B193">
            <v>152</v>
          </cell>
          <cell r="C193" t="str">
            <v>N</v>
          </cell>
          <cell r="D193" t="str">
            <v>U</v>
          </cell>
          <cell r="E193" t="str">
            <v>D.C. Office - Old Market - Hall - Mufwa</v>
          </cell>
          <cell r="F193" t="str">
            <v>Urban</v>
          </cell>
          <cell r="G193">
            <v>30</v>
          </cell>
          <cell r="H193">
            <v>3</v>
          </cell>
          <cell r="I193" t="str">
            <v>F</v>
          </cell>
          <cell r="J193" t="str">
            <v>KARONGA TOWN</v>
          </cell>
          <cell r="K193" t="str">
            <v>C</v>
          </cell>
          <cell r="L193">
            <v>0</v>
          </cell>
          <cell r="W193">
            <v>75</v>
          </cell>
          <cell r="X193" t="str">
            <v>DS</v>
          </cell>
          <cell r="Y193">
            <v>150</v>
          </cell>
          <cell r="Z193" t="str">
            <v>GR</v>
          </cell>
          <cell r="AA193">
            <v>100</v>
          </cell>
          <cell r="AB193" t="str">
            <v>GR</v>
          </cell>
          <cell r="AC193">
            <v>5</v>
          </cell>
          <cell r="AD193" t="str">
            <v>AM</v>
          </cell>
          <cell r="AE193">
            <v>98</v>
          </cell>
          <cell r="AF193" t="str">
            <v>RC</v>
          </cell>
          <cell r="AG193" t="str">
            <v>ST</v>
          </cell>
          <cell r="AH193">
            <v>10</v>
          </cell>
          <cell r="AI193">
            <v>0</v>
          </cell>
          <cell r="AJ193">
            <v>0</v>
          </cell>
          <cell r="AK193">
            <v>0</v>
          </cell>
          <cell r="AL193">
            <v>0</v>
          </cell>
          <cell r="AM193">
            <v>1</v>
          </cell>
          <cell r="AN193">
            <v>0</v>
          </cell>
          <cell r="BO193" t="str">
            <v>RS 152</v>
          </cell>
          <cell r="BP193">
            <v>3</v>
          </cell>
          <cell r="BQ193" t="str">
            <v>n.a.</v>
          </cell>
          <cell r="BR193" t="str">
            <v>F</v>
          </cell>
          <cell r="BS193" t="str">
            <v>C</v>
          </cell>
          <cell r="BT193">
            <v>0</v>
          </cell>
          <cell r="BU193" t="str">
            <v>ST</v>
          </cell>
          <cell r="BV193">
            <v>0</v>
          </cell>
          <cell r="BW193">
            <v>1</v>
          </cell>
          <cell r="BX193">
            <v>10</v>
          </cell>
          <cell r="BY193" t="str">
            <v xml:space="preserve"> </v>
          </cell>
          <cell r="BZ193">
            <v>1</v>
          </cell>
          <cell r="CA193">
            <v>5</v>
          </cell>
          <cell r="CB193">
            <v>1.254</v>
          </cell>
          <cell r="CC193" t="str">
            <v>being reconstructed 1998</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t="str">
            <v>n.a</v>
          </cell>
          <cell r="CW193" t="str">
            <v>n.a.</v>
          </cell>
          <cell r="CX193">
            <v>0</v>
          </cell>
          <cell r="CY193" t="str">
            <v>n.a.</v>
          </cell>
          <cell r="CZ193" t="str">
            <v>n.a.</v>
          </cell>
          <cell r="DA193">
            <v>1</v>
          </cell>
          <cell r="DB193">
            <v>294</v>
          </cell>
          <cell r="DC193">
            <v>147</v>
          </cell>
          <cell r="DD193">
            <v>80</v>
          </cell>
          <cell r="DE193">
            <v>15</v>
          </cell>
          <cell r="DF193">
            <v>43</v>
          </cell>
          <cell r="DG193">
            <v>5</v>
          </cell>
          <cell r="DH193">
            <v>3</v>
          </cell>
          <cell r="DI193">
            <v>3</v>
          </cell>
        </row>
        <row r="194">
          <cell r="A194" t="str">
            <v>RS 139</v>
          </cell>
          <cell r="B194">
            <v>139</v>
          </cell>
          <cell r="C194" t="str">
            <v>S</v>
          </cell>
          <cell r="D194" t="str">
            <v>T</v>
          </cell>
          <cell r="E194" t="str">
            <v xml:space="preserve">Balaka Loop </v>
          </cell>
          <cell r="F194" t="str">
            <v>Urban</v>
          </cell>
          <cell r="G194">
            <v>31</v>
          </cell>
          <cell r="H194">
            <v>1.5</v>
          </cell>
          <cell r="I194" t="str">
            <v>F</v>
          </cell>
          <cell r="J194" t="str">
            <v>BALAKA TOWN</v>
          </cell>
          <cell r="K194">
            <v>8</v>
          </cell>
          <cell r="L194">
            <v>0</v>
          </cell>
          <cell r="W194">
            <v>71</v>
          </cell>
          <cell r="X194" t="str">
            <v>SA</v>
          </cell>
          <cell r="Y194">
            <v>125</v>
          </cell>
          <cell r="Z194" t="str">
            <v>SB</v>
          </cell>
          <cell r="AA194">
            <v>150</v>
          </cell>
          <cell r="AB194" t="str">
            <v>GR</v>
          </cell>
          <cell r="AC194">
            <v>14</v>
          </cell>
          <cell r="AD194" t="str">
            <v>VR</v>
          </cell>
          <cell r="AE194">
            <v>98</v>
          </cell>
          <cell r="AF194" t="str">
            <v>RC</v>
          </cell>
          <cell r="AG194" t="str">
            <v>ST</v>
          </cell>
          <cell r="AH194">
            <v>10</v>
          </cell>
          <cell r="AI194">
            <v>0</v>
          </cell>
          <cell r="AJ194">
            <v>0</v>
          </cell>
          <cell r="AK194">
            <v>0</v>
          </cell>
          <cell r="AL194">
            <v>0</v>
          </cell>
          <cell r="AM194">
            <v>1</v>
          </cell>
          <cell r="AN194">
            <v>0</v>
          </cell>
          <cell r="BO194" t="str">
            <v>RS 139</v>
          </cell>
          <cell r="BP194">
            <v>1.5</v>
          </cell>
          <cell r="BQ194" t="str">
            <v>n.a.</v>
          </cell>
          <cell r="BR194" t="str">
            <v>F</v>
          </cell>
          <cell r="BS194" t="str">
            <v>C</v>
          </cell>
          <cell r="BT194">
            <v>0</v>
          </cell>
          <cell r="BU194" t="str">
            <v>ST</v>
          </cell>
          <cell r="BV194">
            <v>0</v>
          </cell>
          <cell r="BW194">
            <v>1</v>
          </cell>
          <cell r="BX194">
            <v>10</v>
          </cell>
          <cell r="BY194" t="str">
            <v xml:space="preserve"> </v>
          </cell>
          <cell r="BZ194">
            <v>1</v>
          </cell>
          <cell r="CA194">
            <v>14</v>
          </cell>
          <cell r="CB194">
            <v>1.6850000000000001</v>
          </cell>
          <cell r="CC194" t="str">
            <v>being reconstructed 1998</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t="str">
            <v>n.a</v>
          </cell>
          <cell r="CW194" t="str">
            <v>n.a.</v>
          </cell>
          <cell r="CX194">
            <v>0</v>
          </cell>
          <cell r="CY194" t="str">
            <v>n.a.</v>
          </cell>
          <cell r="CZ194" t="str">
            <v>n.a.</v>
          </cell>
          <cell r="DA194">
            <v>1</v>
          </cell>
          <cell r="DB194">
            <v>600</v>
          </cell>
          <cell r="DC194">
            <v>282</v>
          </cell>
          <cell r="DD194">
            <v>156</v>
          </cell>
          <cell r="DE194">
            <v>45</v>
          </cell>
          <cell r="DF194">
            <v>69</v>
          </cell>
          <cell r="DG194">
            <v>12</v>
          </cell>
          <cell r="DH194">
            <v>6</v>
          </cell>
          <cell r="DI194">
            <v>30</v>
          </cell>
        </row>
        <row r="195">
          <cell r="A195" t="str">
            <v>RS 160</v>
          </cell>
          <cell r="B195">
            <v>160</v>
          </cell>
          <cell r="C195" t="str">
            <v>C</v>
          </cell>
          <cell r="D195" t="str">
            <v>U</v>
          </cell>
          <cell r="E195" t="str">
            <v>Dedza Loop (M1 to Dedza)</v>
          </cell>
          <cell r="F195" t="str">
            <v>Urban</v>
          </cell>
          <cell r="G195">
            <v>32</v>
          </cell>
          <cell r="H195">
            <v>5.4</v>
          </cell>
          <cell r="I195" t="str">
            <v>R</v>
          </cell>
          <cell r="J195" t="str">
            <v>DEDZA TOWN</v>
          </cell>
          <cell r="K195">
            <v>7</v>
          </cell>
          <cell r="L195">
            <v>0</v>
          </cell>
          <cell r="W195">
            <v>78</v>
          </cell>
          <cell r="X195" t="str">
            <v>SA</v>
          </cell>
          <cell r="Y195">
            <v>125</v>
          </cell>
          <cell r="Z195" t="str">
            <v>SB</v>
          </cell>
          <cell r="AA195">
            <v>150</v>
          </cell>
          <cell r="AB195" t="str">
            <v>GR</v>
          </cell>
          <cell r="AC195">
            <v>4</v>
          </cell>
          <cell r="AD195" t="str">
            <v>VR</v>
          </cell>
          <cell r="AE195">
            <v>0</v>
          </cell>
          <cell r="AF195">
            <v>0</v>
          </cell>
          <cell r="AG195">
            <v>0</v>
          </cell>
          <cell r="AH195">
            <v>0</v>
          </cell>
          <cell r="AI195">
            <v>0</v>
          </cell>
          <cell r="AJ195">
            <v>0</v>
          </cell>
          <cell r="AK195">
            <v>0</v>
          </cell>
          <cell r="AL195">
            <v>0</v>
          </cell>
          <cell r="AM195">
            <v>2</v>
          </cell>
          <cell r="AN195" t="str">
            <v>never resealed</v>
          </cell>
          <cell r="BO195" t="str">
            <v>RS 160</v>
          </cell>
          <cell r="BP195">
            <v>5.4</v>
          </cell>
          <cell r="BQ195">
            <v>5.5</v>
          </cell>
          <cell r="BR195" t="str">
            <v>R</v>
          </cell>
          <cell r="BS195" t="str">
            <v>C</v>
          </cell>
          <cell r="BT195">
            <v>0</v>
          </cell>
          <cell r="BU195" t="str">
            <v>SA</v>
          </cell>
          <cell r="BV195">
            <v>0</v>
          </cell>
          <cell r="BW195">
            <v>2</v>
          </cell>
          <cell r="BX195">
            <v>10</v>
          </cell>
          <cell r="BY195" t="str">
            <v xml:space="preserve"> </v>
          </cell>
          <cell r="BZ195">
            <v>1</v>
          </cell>
          <cell r="CA195">
            <v>4</v>
          </cell>
          <cell r="CB195">
            <v>1.508</v>
          </cell>
          <cell r="CC195">
            <v>5</v>
          </cell>
          <cell r="CD195">
            <v>95</v>
          </cell>
          <cell r="CE195">
            <v>63</v>
          </cell>
          <cell r="CF195">
            <v>48</v>
          </cell>
          <cell r="CG195">
            <v>47</v>
          </cell>
          <cell r="CH195">
            <v>15</v>
          </cell>
          <cell r="CI195">
            <v>750</v>
          </cell>
          <cell r="CJ195">
            <v>2.7272727272727271</v>
          </cell>
          <cell r="CK195">
            <v>10</v>
          </cell>
          <cell r="CL195">
            <v>48</v>
          </cell>
          <cell r="CM195">
            <v>1.4476083916083917</v>
          </cell>
          <cell r="CN195">
            <v>1.4476083916083917</v>
          </cell>
          <cell r="CO195">
            <v>0</v>
          </cell>
          <cell r="CP195">
            <v>0</v>
          </cell>
          <cell r="CQ195">
            <v>6.4476083916083917</v>
          </cell>
          <cell r="CR195">
            <v>40</v>
          </cell>
          <cell r="CS195">
            <v>1</v>
          </cell>
          <cell r="CT195">
            <v>0</v>
          </cell>
          <cell r="CU195">
            <v>0</v>
          </cell>
          <cell r="CV195">
            <v>20</v>
          </cell>
          <cell r="CW195">
            <v>20</v>
          </cell>
          <cell r="CX195" t="str">
            <v xml:space="preserve"> </v>
          </cell>
          <cell r="CY195">
            <v>3</v>
          </cell>
          <cell r="CZ195">
            <v>3</v>
          </cell>
          <cell r="DA195">
            <v>2.2999999999999998</v>
          </cell>
          <cell r="DB195">
            <v>134</v>
          </cell>
          <cell r="DC195">
            <v>67</v>
          </cell>
          <cell r="DD195">
            <v>37</v>
          </cell>
          <cell r="DE195">
            <v>7</v>
          </cell>
          <cell r="DF195">
            <v>20</v>
          </cell>
          <cell r="DG195">
            <v>3</v>
          </cell>
          <cell r="DH195">
            <v>2</v>
          </cell>
          <cell r="DI195">
            <v>2</v>
          </cell>
        </row>
        <row r="196">
          <cell r="A196" t="str">
            <v>RS 611</v>
          </cell>
          <cell r="B196">
            <v>433</v>
          </cell>
          <cell r="C196" t="str">
            <v>C</v>
          </cell>
          <cell r="D196" t="str">
            <v>T</v>
          </cell>
          <cell r="E196" t="str">
            <v>Dedza - Kapesi</v>
          </cell>
          <cell r="F196" t="str">
            <v>Urban</v>
          </cell>
          <cell r="G196">
            <v>33</v>
          </cell>
          <cell r="H196">
            <v>5.4</v>
          </cell>
          <cell r="I196" t="str">
            <v>H</v>
          </cell>
          <cell r="J196" t="str">
            <v>DEDZA TOWN</v>
          </cell>
          <cell r="K196">
            <v>6</v>
          </cell>
          <cell r="L196" t="str">
            <v>Changed from T372 to Urban, to Trunk &amp; to Kepiri</v>
          </cell>
          <cell r="W196">
            <v>78</v>
          </cell>
          <cell r="X196" t="str">
            <v>SA</v>
          </cell>
          <cell r="Y196">
            <v>125</v>
          </cell>
          <cell r="Z196" t="str">
            <v>SB</v>
          </cell>
          <cell r="AA196">
            <v>150</v>
          </cell>
          <cell r="AB196" t="str">
            <v>GR</v>
          </cell>
          <cell r="AC196">
            <v>4</v>
          </cell>
          <cell r="AD196" t="str">
            <v>VR</v>
          </cell>
          <cell r="AE196">
            <v>0</v>
          </cell>
          <cell r="AF196">
            <v>0</v>
          </cell>
          <cell r="AG196">
            <v>0</v>
          </cell>
          <cell r="AH196">
            <v>0</v>
          </cell>
          <cell r="AI196">
            <v>0</v>
          </cell>
          <cell r="AJ196">
            <v>0</v>
          </cell>
          <cell r="AK196">
            <v>0</v>
          </cell>
          <cell r="AL196">
            <v>0</v>
          </cell>
          <cell r="AM196">
            <v>2</v>
          </cell>
          <cell r="AN196" t="str">
            <v>never resealed</v>
          </cell>
          <cell r="BO196" t="str">
            <v>RS 611</v>
          </cell>
          <cell r="BP196">
            <v>5.4</v>
          </cell>
          <cell r="BQ196">
            <v>5.5</v>
          </cell>
          <cell r="BR196" t="str">
            <v>R</v>
          </cell>
          <cell r="BS196" t="str">
            <v>C</v>
          </cell>
          <cell r="BT196">
            <v>0</v>
          </cell>
          <cell r="BU196" t="str">
            <v>SA</v>
          </cell>
          <cell r="BV196">
            <v>0</v>
          </cell>
          <cell r="BW196">
            <v>2</v>
          </cell>
          <cell r="BX196">
            <v>10</v>
          </cell>
          <cell r="BY196" t="str">
            <v xml:space="preserve"> </v>
          </cell>
          <cell r="BZ196">
            <v>1</v>
          </cell>
          <cell r="CA196">
            <v>4</v>
          </cell>
          <cell r="CB196">
            <v>1.508</v>
          </cell>
          <cell r="CC196">
            <v>5</v>
          </cell>
          <cell r="CD196">
            <v>95</v>
          </cell>
          <cell r="CE196">
            <v>63</v>
          </cell>
          <cell r="CF196">
            <v>48</v>
          </cell>
          <cell r="CG196">
            <v>47</v>
          </cell>
          <cell r="CH196">
            <v>15</v>
          </cell>
          <cell r="CI196">
            <v>600</v>
          </cell>
          <cell r="CJ196">
            <v>2.1818181818181821</v>
          </cell>
          <cell r="CK196">
            <v>10</v>
          </cell>
          <cell r="CL196">
            <v>48</v>
          </cell>
          <cell r="CM196">
            <v>1.2415944055944057</v>
          </cell>
          <cell r="CN196">
            <v>1.2415944055944057</v>
          </cell>
          <cell r="CO196">
            <v>0</v>
          </cell>
          <cell r="CP196">
            <v>0</v>
          </cell>
          <cell r="CQ196">
            <v>6.2415944055944053</v>
          </cell>
          <cell r="CR196">
            <v>40</v>
          </cell>
          <cell r="CS196">
            <v>1</v>
          </cell>
          <cell r="CT196">
            <v>0</v>
          </cell>
          <cell r="CU196">
            <v>0</v>
          </cell>
          <cell r="CV196">
            <v>20</v>
          </cell>
          <cell r="CW196">
            <v>20</v>
          </cell>
          <cell r="CX196" t="str">
            <v xml:space="preserve"> </v>
          </cell>
          <cell r="CY196">
            <v>3</v>
          </cell>
          <cell r="CZ196">
            <v>3</v>
          </cell>
          <cell r="DA196">
            <v>2.2999999999999998</v>
          </cell>
          <cell r="DB196">
            <v>500</v>
          </cell>
          <cell r="DC196">
            <v>235</v>
          </cell>
          <cell r="DD196">
            <v>130</v>
          </cell>
          <cell r="DE196">
            <v>38</v>
          </cell>
          <cell r="DF196">
            <v>58</v>
          </cell>
          <cell r="DG196">
            <v>10</v>
          </cell>
          <cell r="DH196">
            <v>5</v>
          </cell>
          <cell r="DI196">
            <v>25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Count</v>
          </cell>
          <cell r="B198">
            <v>194</v>
          </cell>
          <cell r="C198">
            <v>0</v>
          </cell>
          <cell r="D198">
            <v>0</v>
          </cell>
          <cell r="E198" t="str">
            <v>Total length</v>
          </cell>
          <cell r="F198">
            <v>2520.1000000000004</v>
          </cell>
          <cell r="G198">
            <v>0</v>
          </cell>
          <cell r="H198">
            <v>0</v>
          </cell>
          <cell r="I198" t="str">
            <v>km</v>
          </cell>
          <cell r="J198" t="str">
            <v>km</v>
          </cell>
          <cell r="K198">
            <v>8</v>
          </cell>
          <cell r="L198" t="str">
            <v>Changed designation from T394 to T395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 xml:space="preserve">Table A2 - Road Sections (as given in Terms of Reference) Not Used In The Study </v>
          </cell>
        </row>
      </sheetData>
      <sheetData sheetId="15">
        <row r="1">
          <cell r="A1" t="str">
            <v xml:space="preserve">Table A2 - Road Sections (as given in Terms of Reference) Not Used In The Study </v>
          </cell>
        </row>
      </sheetData>
      <sheetData sheetId="16">
        <row r="1">
          <cell r="A1" t="str">
            <v xml:space="preserve">Table A2 - Road Sections (as given in Terms of Reference) Not Used In The Study </v>
          </cell>
        </row>
      </sheetData>
      <sheetData sheetId="17">
        <row r="1">
          <cell r="A1" t="str">
            <v xml:space="preserve">Table A2 - Road Sections (as given in Terms of Reference) Not Used In The Study </v>
          </cell>
        </row>
      </sheetData>
      <sheetData sheetId="18">
        <row r="1">
          <cell r="A1" t="str">
            <v xml:space="preserve">Table A2 - Road Sections (as given in Terms of Reference) Not Used In The Study </v>
          </cell>
        </row>
      </sheetData>
      <sheetData sheetId="19">
        <row r="1">
          <cell r="A1">
            <v>0</v>
          </cell>
        </row>
      </sheetData>
      <sheetData sheetId="20">
        <row r="1">
          <cell r="A1">
            <v>0</v>
          </cell>
        </row>
      </sheetData>
      <sheetData sheetId="21">
        <row r="1">
          <cell r="A1">
            <v>0</v>
          </cell>
        </row>
      </sheetData>
      <sheetData sheetId="22">
        <row r="1">
          <cell r="A1">
            <v>0</v>
          </cell>
        </row>
      </sheetData>
      <sheetData sheetId="23">
        <row r="1">
          <cell r="A1">
            <v>0</v>
          </cell>
        </row>
      </sheetData>
      <sheetData sheetId="24">
        <row r="1">
          <cell r="A1">
            <v>0</v>
          </cell>
        </row>
      </sheetData>
      <sheetData sheetId="25">
        <row r="1">
          <cell r="A1">
            <v>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carting earth"/>
      <sheetName val="specification "/>
      <sheetName val="Dat-Road "/>
      <sheetName val="DAT-CD "/>
      <sheetName val="Lead"/>
      <sheetName val="water_cost_certificate"/>
      <sheetName val="transport"/>
      <sheetName val="RP"/>
      <sheetName val="abs"/>
      <sheetName val="seiniorage"/>
      <sheetName val="EST"/>
      <sheetName val="4v5m"/>
      <sheetName val="800mm2r"/>
      <sheetName val="1000mm3R"/>
      <sheetName val="CC"/>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Gen Abs"/>
      <sheetName val="Det esti"/>
      <sheetName val="2v_1000_PC"/>
      <sheetName val="3v_600_RDVENTS"/>
      <sheetName val="CD Abs"/>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sc_1v_2m"/>
      <sheetName val="sc_1v_3m"/>
      <sheetName val="sc_2v_5m"/>
      <sheetName val="sc_2v_3m"/>
      <sheetName val="RD"/>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2">
          <cell r="C2" t="str">
            <v>Maintainance &amp; Strengthening of  R/F PWD road to Vallampally(V) In Utkoor mandal</v>
          </cell>
        </row>
        <row r="54">
          <cell r="B54" t="str">
            <v>Utkoor</v>
          </cell>
          <cell r="C54" t="str">
            <v>PR SD Makthal-I</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Mix seal data"/>
      <sheetName val="TRAFF-Count-ESAL-Cal"/>
      <sheetName val="SP-72 DESIGN"/>
      <sheetName val="SP-72-CHART"/>
      <sheetName val="Gen Abs"/>
      <sheetName val="Det esti"/>
      <sheetName val="Road-furniture"/>
      <sheetName val="MTC-ABS"/>
      <sheetName val="MTC-estimate"/>
      <sheetName val="LEAD"/>
      <sheetName val="Data-Road "/>
      <sheetName val="DATA-CD"/>
      <sheetName val="Sup Data"/>
      <sheetName val="Sup Data (3)"/>
      <sheetName val="Sup Data (2)"/>
      <sheetName val="Road Furniture-Data"/>
      <sheetName val="Mtc-data"/>
      <sheetName val="CD Abs"/>
      <sheetName val="Parapet walls"/>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temp"/>
      <sheetName val="Slab culve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2">
          <cell r="C2" t="str">
            <v>Providing B.T on  R/F Kondapur to Koilsagar project of Dhanwada Mandal</v>
          </cell>
        </row>
        <row r="53">
          <cell r="B53" t="str">
            <v>PIU Marikal</v>
          </cell>
          <cell r="D53" t="str">
            <v>PIU Marikal</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tatement ss5"/>
      <sheetName val="Lead"/>
      <sheetName val="DATA_PRG"/>
      <sheetName val="Sheet1"/>
      <sheetName val="abs road"/>
      <sheetName val="coverpage"/>
      <sheetName val="Road data"/>
      <sheetName val="DATA"/>
      <sheetName val="Cover"/>
      <sheetName val="MTC-estimate"/>
      <sheetName val="R_Det"/>
      <sheetName val="rdamdata"/>
      <sheetName val="Bitumen trunk"/>
      <sheetName val="Feeder"/>
      <sheetName val="R99 etc"/>
      <sheetName val="Trunk unpaved"/>
      <sheetName val="leads"/>
      <sheetName val="Detail In Door Stad"/>
      <sheetName val="RMR"/>
      <sheetName val="ssr-rates"/>
      <sheetName val="Specification report"/>
      <sheetName val="IDCCALHYD_GOO"/>
      <sheetName val="final abstract"/>
      <sheetName val="Material"/>
      <sheetName val="Labour"/>
      <sheetName val="DATA-BASE"/>
      <sheetName val="DATA-ABSTRACT"/>
      <sheetName val="Main sheet"/>
      <sheetName val="PH data-16-17"/>
      <sheetName val="Bld up to 3F"/>
      <sheetName val="C-Mat-16-17-"/>
      <sheetName val="labour&amp; Hire-16-17"/>
      <sheetName val="mlead"/>
      <sheetName val="General"/>
      <sheetName val="Buildings"/>
      <sheetName val="Process"/>
      <sheetName val="Sheet2"/>
      <sheetName val="Plant &amp;  Machinery"/>
      <sheetName val="BM-HOOP"/>
      <sheetName val="maya"/>
      <sheetName val="m"/>
      <sheetName val="MRATES"/>
      <sheetName val="other rates"/>
      <sheetName val="labour &amp; Hire-21-22"/>
      <sheetName val="SSR-Irri, R&amp;B, PH-21-22"/>
      <sheetName val="Bld.SoR-21-22"/>
      <sheetName val="labour &amp; Hire-22-23"/>
      <sheetName val="Bld.SoR-22-23"/>
      <sheetName val="SSR-Irri, R&amp;B, PH-22-23"/>
      <sheetName val="Sanitary SSR-22-23"/>
      <sheetName val="DATA SHEET FOR 2014-15"/>
      <sheetName val="HDPE"/>
      <sheetName val="DI"/>
      <sheetName val="pvc"/>
      <sheetName val="hdpe_basic"/>
      <sheetName val="pvc_basic"/>
      <sheetName val="Lead  RATES"/>
      <sheetName val="Elc.Stnd.Data-21-22"/>
      <sheetName val="C-Mat-22-23"/>
      <sheetName val="Habcodes"/>
      <sheetName val="Levels"/>
      <sheetName val="wh_data"/>
      <sheetName val="wh_data_R"/>
      <sheetName val="CPHEEO"/>
      <sheetName val="input"/>
      <sheetName val="MRoad data"/>
      <sheetName val="Lead statement"/>
      <sheetName val="Sanitary SSR-21-22"/>
    </sheetNames>
    <sheetDataSet>
      <sheetData sheetId="0" refreshError="1"/>
      <sheetData sheetId="1" refreshError="1"/>
      <sheetData sheetId="2" refreshError="1"/>
      <sheetData sheetId="3" refreshError="1"/>
      <sheetData sheetId="4" refreshError="1">
        <row r="2">
          <cell r="F2">
            <v>100</v>
          </cell>
        </row>
        <row r="29">
          <cell r="F29">
            <v>44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 val="abs road"/>
      <sheetName val="RMR"/>
      <sheetName val="R_Det"/>
      <sheetName val="Road data"/>
      <sheetName val="maya"/>
      <sheetName val="LEAD"/>
      <sheetName val="r"/>
      <sheetName val="Bitumen trunk"/>
      <sheetName val="Feeder"/>
      <sheetName val="R99 etc"/>
      <sheetName val="Trunk unpaved"/>
      <sheetName val="Lead statement ss5"/>
      <sheetName val="GF SB Ok "/>
      <sheetName val="Habcodes"/>
      <sheetName val="coverpage"/>
      <sheetName val="DATA_PRG"/>
      <sheetName val="leads"/>
      <sheetName val="Detail In Door Stad"/>
      <sheetName val="mlead"/>
      <sheetName val="MTC-estimate"/>
      <sheetName val="rdamdata"/>
      <sheetName val="lead-st"/>
      <sheetName val="Material"/>
      <sheetName val="nodes"/>
      <sheetName val="int-Dia"/>
      <sheetName val="habs-list"/>
      <sheetName val="Sheet9"/>
      <sheetName val="detls"/>
      <sheetName val="Plant &amp;  Machinery"/>
      <sheetName val="Labour"/>
      <sheetName val="Rates"/>
      <sheetName val="Aug,02"/>
      <sheetName val="Lead (2)"/>
      <sheetName val="Spicification Report "/>
      <sheetName val="Bitumen_trunk"/>
      <sheetName val="R99_etc"/>
      <sheetName val="Trunk_unpaved"/>
      <sheetName val="abs_road"/>
      <sheetName val="Road_data"/>
      <sheetName val="Lead_statement_ss5"/>
      <sheetName val="Bitumen_trunk1"/>
      <sheetName val="R99_etc1"/>
      <sheetName val="Trunk_unpaved1"/>
      <sheetName val="abs_road1"/>
      <sheetName val="Road_data1"/>
      <sheetName val="Lead_statement_ss51"/>
      <sheetName val="Specification report"/>
      <sheetName val="stone"/>
      <sheetName val="data existing_do not delete"/>
      <sheetName val="boredetails"/>
      <sheetName val="Data"/>
      <sheetName val="Abs"/>
      <sheetName val="HDPE"/>
      <sheetName val="DI"/>
      <sheetName val="pvc"/>
      <sheetName val="hdpe_basic"/>
      <sheetName val="pvc_basic"/>
      <sheetName val="SC-1"/>
      <sheetName val="other rates"/>
      <sheetName val="General"/>
      <sheetName val="Sheet2"/>
      <sheetName val="Levels"/>
      <sheetName val="Lead statement"/>
      <sheetName val="SSR 2010-11 Rates"/>
      <sheetName val="Work_sheet"/>
      <sheetName val="MS D&amp;W"/>
      <sheetName val="Datas-17"/>
      <sheetName val="_5wgdhabfinal00_01"/>
      <sheetName val="AV-BWSC&amp;MS"/>
      <sheetName val="AV_AC"/>
      <sheetName val="di_Gate_AC"/>
      <sheetName val="Digate-BWSCP-MS"/>
      <sheetName val="DI_gate_di"/>
      <sheetName val="MRATES"/>
      <sheetName val="Sheet1"/>
      <sheetName val="v"/>
      <sheetName val="Gen Abs"/>
      <sheetName val="Data-Road "/>
      <sheetName val="Hire"/>
      <sheetName val="Pop"/>
      <sheetName val="Lead."/>
      <sheetName val="60-70"/>
      <sheetName val="80-100"/>
      <sheetName val="Emulsion MS"/>
      <sheetName val=" HSD"/>
      <sheetName val="basdat"/>
      <sheetName val="road working"/>
      <sheetName val="Summary- Flyovers"/>
      <sheetName val="#REF"/>
      <sheetName val="MRMECADAMoad data"/>
      <sheetName val="Bill-12"/>
      <sheetName val="Cover"/>
      <sheetName val="DATA-CD "/>
      <sheetName val="DATA-BASE"/>
      <sheetName val="DATA-ABSTRACT"/>
      <sheetName val="IDCCALHYD_GOO"/>
      <sheetName val="Works - Quote Sheet"/>
      <sheetName val="Mp-team 1"/>
      <sheetName val="MRoad data"/>
      <sheetName val="Data_Base"/>
      <sheetName val="CS "/>
      <sheetName val="lead charges"/>
      <sheetName val="index"/>
    </sheetNames>
    <sheetDataSet>
      <sheetData sheetId="0" refreshError="1">
        <row r="2">
          <cell r="A2" t="str">
            <v>Name of work: BT to road from Chennavaram to Mallavaram (via) Vutukuru.</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efreshError="1">
        <row r="5">
          <cell r="O5">
            <v>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ow r="5">
          <cell r="O5">
            <v>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soma est"/>
      <sheetName val="data"/>
      <sheetName val="lead"/>
      <sheetName val="trialpit"/>
    </sheetNames>
    <sheetDataSet>
      <sheetData sheetId="0"/>
      <sheetData sheetId="1"/>
      <sheetData sheetId="2"/>
      <sheetData sheetId="3"/>
      <sheetData sheetId="4"/>
      <sheetData sheetId="5">
        <row r="18">
          <cell r="L18">
            <v>238.70000000000002</v>
          </cell>
        </row>
      </sheetData>
      <sheetData sheetId="6"/>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soma est"/>
      <sheetName val="data"/>
      <sheetName val="lead"/>
      <sheetName val="trialpit"/>
      <sheetName val="r"/>
      <sheetName val="l"/>
    </sheetNames>
    <sheetDataSet>
      <sheetData sheetId="0"/>
      <sheetData sheetId="1"/>
      <sheetData sheetId="2"/>
      <sheetData sheetId="3"/>
      <sheetData sheetId="4"/>
      <sheetData sheetId="5">
        <row r="18">
          <cell r="L18">
            <v>238.70000000000002</v>
          </cell>
        </row>
      </sheetData>
      <sheetData sheetId="6"/>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soma est"/>
      <sheetName val="data"/>
      <sheetName val="lead"/>
      <sheetName val="trialpit"/>
    </sheetNames>
    <sheetDataSet>
      <sheetData sheetId="0"/>
      <sheetData sheetId="1"/>
      <sheetData sheetId="2"/>
      <sheetData sheetId="3"/>
      <sheetData sheetId="4"/>
      <sheetData sheetId="5">
        <row r="16">
          <cell r="L16">
            <v>973.85</v>
          </cell>
        </row>
        <row r="18">
          <cell r="L18">
            <v>238.70000000000002</v>
          </cell>
        </row>
      </sheetData>
      <sheetData sheetId="6"/>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soma est"/>
      <sheetName val="data"/>
      <sheetName val="lead"/>
      <sheetName val="trialpit"/>
    </sheetNames>
    <sheetDataSet>
      <sheetData sheetId="0"/>
      <sheetData sheetId="1"/>
      <sheetData sheetId="2"/>
      <sheetData sheetId="3"/>
      <sheetData sheetId="4"/>
      <sheetData sheetId="5">
        <row r="16">
          <cell r="L16">
            <v>973.85</v>
          </cell>
        </row>
        <row r="18">
          <cell r="L18">
            <v>238.70000000000002</v>
          </cell>
        </row>
      </sheetData>
      <sheetData sheetId="6"/>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sr common"/>
      <sheetName val="Sheet4"/>
      <sheetName val="leads"/>
      <sheetName val="Sheet11"/>
      <sheetName val="PL"/>
      <sheetName val="Sheet10"/>
      <sheetName val="master lead"/>
      <sheetName val="Sheet5"/>
      <sheetName val="conveyance common"/>
      <sheetName val="Sheet6"/>
      <sheetName val="handling common"/>
      <sheetName val="labour charges 2005-06"/>
      <sheetName val="Sheet2"/>
      <sheetName val="Sheet7"/>
      <sheetName val="data existing_do not delete"/>
      <sheetName val="Sheet8"/>
      <sheetName val="background data"/>
      <sheetName val="Rotary bore well source"/>
      <sheetName val="Sheet9"/>
      <sheetName val="ohsr verticals 20 9.55 "/>
      <sheetName val="verticals jointing 20kl 9.55"/>
      <sheetName val="lead 20kl ohsr"/>
      <sheetName val="data 20kl ohsr"/>
      <sheetName val="vc 150mm 20kl ohsr"/>
      <sheetName val="20kl ohsr item wise"/>
      <sheetName val="master data"/>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ipe line sub estimate"/>
      <sheetName val="pvc pipe line data"/>
      <sheetName val="std flange dimensions"/>
      <sheetName val="lead_pipe lines"/>
      <sheetName val="pvc pipes rates dgs d formula"/>
      <sheetName val="general abstract"/>
      <sheetName val="cover page"/>
      <sheetName val="pvc pipe details"/>
      <sheetName val="hydraulic designs"/>
      <sheetName val="Filter point"/>
      <sheetName val="pedestal "/>
      <sheetName val="pumpset submersible"/>
      <sheetName val="Sheet1"/>
      <sheetName val="c"/>
      <sheetName val="co"/>
      <sheetName val="con"/>
      <sheetName val="common conveyance"/>
      <sheetName val="ssr "/>
      <sheetName val="Hleads"/>
      <sheetName val="Haleads"/>
      <sheetName val="Hableads"/>
      <sheetName val="Hab leads"/>
      <sheetName val="lead"/>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data "/>
      <sheetName val="data"/>
      <sheetName val="data1"/>
      <sheetName val="ata1"/>
      <sheetName val="dat"/>
      <sheetName val="da"/>
      <sheetName val="d"/>
      <sheetName val=""/>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m lead"/>
      <sheetName val=" lead"/>
      <sheetName val="cover pag"/>
      <sheetName val="cover pa"/>
      <sheetName val="cover p"/>
      <sheetName val="cover "/>
      <sheetName val="cover"/>
      <sheetName val="cove"/>
      <sheetName val="cov"/>
      <sheetName val="master leadO"/>
      <sheetName val="master lead-O"/>
      <sheetName val="maste Lead-O"/>
      <sheetName val="mast Lead-O"/>
      <sheetName val="mas Lead-O"/>
      <sheetName val="ma Lead-O"/>
      <sheetName val="m Lead-O"/>
      <sheetName val=" Lea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D2" t="str">
            <v>cc(1:2:4)</v>
          </cell>
          <cell r="I2" t="str">
            <v>Clayey &amp; Loamy soils</v>
          </cell>
        </row>
        <row r="3">
          <cell r="D3" t="str">
            <v>cc(1:3:6)</v>
          </cell>
          <cell r="I3" t="str">
            <v>Hard Gravelly soils</v>
          </cell>
        </row>
        <row r="4">
          <cell r="D4" t="str">
            <v>cc(1:4:8)</v>
          </cell>
          <cell r="I4" t="str">
            <v>Mixture of Gravel &amp; Soft disintegrated rocky soils</v>
          </cell>
        </row>
        <row r="5">
          <cell r="D5" t="str">
            <v>cc(1:5:10)</v>
          </cell>
          <cell r="I5" t="str">
            <v>Soft disintegrated soils removed by pick axes and crow bars</v>
          </cell>
        </row>
        <row r="6">
          <cell r="D6" t="str">
            <v>cc(1:5:8)</v>
          </cell>
          <cell r="I6" t="str">
            <v>Stone matrix soils</v>
          </cell>
        </row>
        <row r="7">
          <cell r="D7" t="str">
            <v>cc(1:6:10)</v>
          </cell>
          <cell r="I7" t="str">
            <v>Hard disintegrated soils removed by pick axes and crow bars</v>
          </cell>
        </row>
        <row r="8">
          <cell r="I8" t="str">
            <v>Hard disintegrated rock requiring partial blasting</v>
          </cell>
        </row>
        <row r="9">
          <cell r="I9" t="str">
            <v>Soils requiring chiselling,wedging and benching</v>
          </cell>
        </row>
        <row r="14">
          <cell r="D14" t="str">
            <v>8mm</v>
          </cell>
          <cell r="F14" t="str">
            <v>RCC(1:2:4)</v>
          </cell>
          <cell r="G14" t="str">
            <v>RCC(1:2:4)</v>
          </cell>
        </row>
        <row r="15">
          <cell r="D15" t="str">
            <v>12mm</v>
          </cell>
          <cell r="F15" t="str">
            <v>RCC(1:1.5:3)</v>
          </cell>
          <cell r="G15" t="str">
            <v>RCC(1:1.5:3)</v>
          </cell>
        </row>
        <row r="16">
          <cell r="D16" t="str">
            <v>20mm</v>
          </cell>
          <cell r="G16" t="str">
            <v>VRCC(1:2:4)</v>
          </cell>
        </row>
        <row r="17">
          <cell r="G17" t="str">
            <v>VRCC(1:1.5:3)</v>
          </cell>
        </row>
        <row r="20">
          <cell r="D20" t="str">
            <v>Scaffolding for Ist Floor</v>
          </cell>
          <cell r="E20" t="str">
            <v>Lift charges bet Basement &amp; Ist Floor</v>
          </cell>
          <cell r="G20" t="str">
            <v>VCC(1:1.5:3)</v>
          </cell>
        </row>
        <row r="21">
          <cell r="D21" t="str">
            <v>Scaffolding for IInd Floor</v>
          </cell>
          <cell r="E21" t="str">
            <v>Lift charges bet Ist &amp; IInd Floor</v>
          </cell>
          <cell r="G21" t="str">
            <v>VCC(1:2:4)</v>
          </cell>
        </row>
        <row r="22">
          <cell r="D22" t="str">
            <v>Scaffolding for IIIrd Floor</v>
          </cell>
          <cell r="E22" t="str">
            <v>Lift charges bet IInd &amp; IIIrd Floor</v>
          </cell>
          <cell r="G22" t="str">
            <v>VCC(1:3:6)</v>
          </cell>
        </row>
        <row r="23">
          <cell r="G23" t="str">
            <v>VCC(1:4:8)</v>
          </cell>
        </row>
        <row r="24">
          <cell r="G24" t="str">
            <v>VCC(1:5:10)</v>
          </cell>
        </row>
        <row r="25">
          <cell r="G25" t="str">
            <v>VCC(1:5:8)</v>
          </cell>
        </row>
        <row r="26">
          <cell r="D26" t="str">
            <v>Teak wood</v>
          </cell>
          <cell r="G26" t="str">
            <v>VCC(1:6:10)</v>
          </cell>
        </row>
        <row r="27">
          <cell r="A27" t="str">
            <v>0.00-4.00m</v>
          </cell>
          <cell r="D27" t="str">
            <v>Country wood</v>
          </cell>
        </row>
        <row r="28">
          <cell r="A28" t="str">
            <v>4.00-6.00m</v>
          </cell>
        </row>
        <row r="29">
          <cell r="A29" t="str">
            <v>6.00-8.00m</v>
          </cell>
        </row>
        <row r="30">
          <cell r="A30" t="str">
            <v>8.00-10.00m</v>
          </cell>
        </row>
        <row r="31">
          <cell r="A31" t="str">
            <v>10.00-12.00m</v>
          </cell>
        </row>
        <row r="32">
          <cell r="A32" t="str">
            <v>12.00-14.00m</v>
          </cell>
        </row>
        <row r="33">
          <cell r="A33" t="str">
            <v>14.00-16.00m</v>
          </cell>
          <cell r="E33" t="str">
            <v>1.67 X 2.44</v>
          </cell>
        </row>
        <row r="34">
          <cell r="A34" t="str">
            <v>16.00-18.00m</v>
          </cell>
          <cell r="E34" t="str">
            <v>1.52 X 2.44</v>
          </cell>
        </row>
        <row r="35">
          <cell r="A35" t="str">
            <v>18.00-20.00m</v>
          </cell>
          <cell r="E35" t="str">
            <v>1.37 X 2.44</v>
          </cell>
        </row>
        <row r="36">
          <cell r="A36" t="str">
            <v>20.00-22.00m</v>
          </cell>
          <cell r="E36" t="str">
            <v>1.68 X 2.28</v>
          </cell>
        </row>
        <row r="37">
          <cell r="A37" t="str">
            <v>22.00-24.00m</v>
          </cell>
          <cell r="E37" t="str">
            <v>1.52 X 2.28</v>
          </cell>
        </row>
        <row r="38">
          <cell r="A38" t="str">
            <v>24.00-26.00m</v>
          </cell>
          <cell r="E38" t="str">
            <v>1.37 X 2.28</v>
          </cell>
        </row>
        <row r="39">
          <cell r="A39" t="str">
            <v>26.00-28.00m</v>
          </cell>
          <cell r="E39" t="str">
            <v>1.22 X 2.28</v>
          </cell>
        </row>
        <row r="40">
          <cell r="A40" t="str">
            <v>28.00-30.00m</v>
          </cell>
          <cell r="E40" t="str">
            <v>1.06 X 2.28</v>
          </cell>
        </row>
        <row r="41">
          <cell r="E41" t="str">
            <v>1.68 X 2.13</v>
          </cell>
        </row>
        <row r="42">
          <cell r="E42" t="str">
            <v>1.52 X 2.13</v>
          </cell>
        </row>
        <row r="43">
          <cell r="A43" t="str">
            <v>0.00-5.00m</v>
          </cell>
          <cell r="E43" t="str">
            <v>1.37 X 2.13</v>
          </cell>
        </row>
        <row r="44">
          <cell r="A44" t="str">
            <v>5.00-8.00m</v>
          </cell>
          <cell r="E44" t="str">
            <v>1.22 X 2.13</v>
          </cell>
        </row>
        <row r="45">
          <cell r="A45" t="str">
            <v>8.00-11.00m</v>
          </cell>
          <cell r="E45" t="str">
            <v>1.06 X 2.13</v>
          </cell>
        </row>
        <row r="46">
          <cell r="A46" t="str">
            <v>11.00-14.00m</v>
          </cell>
          <cell r="E46" t="str">
            <v>1.68 X 1.98</v>
          </cell>
        </row>
        <row r="47">
          <cell r="A47" t="str">
            <v>14.00-17.00m</v>
          </cell>
          <cell r="E47" t="str">
            <v>1.52 X 1.98</v>
          </cell>
        </row>
        <row r="48">
          <cell r="A48" t="str">
            <v>17.00-20.00m</v>
          </cell>
          <cell r="E48" t="str">
            <v>1.37 X 1.98</v>
          </cell>
        </row>
        <row r="49">
          <cell r="A49" t="str">
            <v>20.00-23.00m</v>
          </cell>
          <cell r="E49" t="str">
            <v>1.22 X 1.98</v>
          </cell>
        </row>
        <row r="50">
          <cell r="A50" t="str">
            <v>23.00-26.00m</v>
          </cell>
          <cell r="E50" t="str">
            <v>1.06 X 1.98</v>
          </cell>
        </row>
        <row r="51">
          <cell r="A51" t="str">
            <v>26.00-29.00m</v>
          </cell>
        </row>
        <row r="52">
          <cell r="A52" t="str">
            <v>29.00-32.00m</v>
          </cell>
        </row>
        <row r="53">
          <cell r="A53" t="str">
            <v>32.00-35.00m</v>
          </cell>
        </row>
        <row r="54">
          <cell r="A54" t="str">
            <v>35.00-38.00m</v>
          </cell>
        </row>
        <row r="57">
          <cell r="A57" t="str">
            <v>0.00-2.00M</v>
          </cell>
        </row>
        <row r="58">
          <cell r="A58" t="str">
            <v>2.00-3.00M</v>
          </cell>
        </row>
        <row r="59">
          <cell r="A59" t="str">
            <v>3.00-4.00M</v>
          </cell>
        </row>
        <row r="60">
          <cell r="A60" t="str">
            <v>4.00-5.00M</v>
          </cell>
        </row>
        <row r="61">
          <cell r="A61" t="str">
            <v>5.00-6.00M</v>
          </cell>
        </row>
        <row r="62">
          <cell r="A62" t="str">
            <v>6.00-7.00M</v>
          </cell>
        </row>
        <row r="63">
          <cell r="A63" t="str">
            <v>7.00-8.00M</v>
          </cell>
        </row>
        <row r="64">
          <cell r="A64" t="str">
            <v>8.00-9.00M</v>
          </cell>
        </row>
        <row r="65">
          <cell r="A65" t="str">
            <v>9.00-10.00M</v>
          </cell>
        </row>
        <row r="66">
          <cell r="A66" t="str">
            <v>10.00-11.00M</v>
          </cell>
        </row>
        <row r="67">
          <cell r="A67" t="str">
            <v>11.00-12.00M</v>
          </cell>
        </row>
        <row r="68">
          <cell r="A68" t="str">
            <v>12.00-13.00M</v>
          </cell>
        </row>
        <row r="69">
          <cell r="A69" t="str">
            <v>13.00-14.00M</v>
          </cell>
        </row>
        <row r="70">
          <cell r="A70" t="str">
            <v>14.00-15.00M</v>
          </cell>
        </row>
        <row r="73">
          <cell r="A73" t="str">
            <v>Sand for filling</v>
          </cell>
          <cell r="B73" t="str">
            <v>20mm HBG metal</v>
          </cell>
        </row>
        <row r="75">
          <cell r="A75" t="str">
            <v>Sand for mortar</v>
          </cell>
          <cell r="B75" t="str">
            <v>40mm HBG Metal</v>
          </cell>
          <cell r="F75">
            <v>0</v>
          </cell>
        </row>
        <row r="76">
          <cell r="F76">
            <v>0.1</v>
          </cell>
        </row>
        <row r="77">
          <cell r="F77">
            <v>0.2</v>
          </cell>
        </row>
        <row r="78">
          <cell r="A78" t="str">
            <v>(1:2)</v>
          </cell>
          <cell r="F78">
            <v>0.25</v>
          </cell>
        </row>
        <row r="79">
          <cell r="A79" t="str">
            <v>(1:3)</v>
          </cell>
          <cell r="F79">
            <v>0.3</v>
          </cell>
        </row>
        <row r="80">
          <cell r="A80" t="str">
            <v>(1:4)</v>
          </cell>
          <cell r="F80">
            <v>0.5</v>
          </cell>
        </row>
        <row r="81">
          <cell r="A81" t="str">
            <v>(1:5)</v>
          </cell>
          <cell r="F81">
            <v>1</v>
          </cell>
        </row>
        <row r="82">
          <cell r="A82" t="str">
            <v>(1:6)</v>
          </cell>
          <cell r="F82">
            <v>2</v>
          </cell>
        </row>
        <row r="83">
          <cell r="A83" t="str">
            <v>(1:8)</v>
          </cell>
          <cell r="F83">
            <v>3</v>
          </cell>
        </row>
        <row r="84">
          <cell r="A84" t="str">
            <v>(1:10)</v>
          </cell>
          <cell r="F84">
            <v>4</v>
          </cell>
        </row>
        <row r="85">
          <cell r="F85">
            <v>5</v>
          </cell>
        </row>
        <row r="86">
          <cell r="F86">
            <v>6</v>
          </cell>
        </row>
        <row r="87">
          <cell r="F87">
            <v>7</v>
          </cell>
        </row>
        <row r="88">
          <cell r="A88" t="str">
            <v>Between Basement &amp; Ist Floor</v>
          </cell>
          <cell r="F88">
            <v>8</v>
          </cell>
        </row>
        <row r="89">
          <cell r="A89" t="str">
            <v>Between Ist &amp; IInd Floor</v>
          </cell>
          <cell r="F89">
            <v>9</v>
          </cell>
        </row>
        <row r="90">
          <cell r="A90" t="str">
            <v>Between IInd &amp; IIIrd Floor</v>
          </cell>
          <cell r="F90">
            <v>10</v>
          </cell>
        </row>
        <row r="91">
          <cell r="A91" t="str">
            <v>Between IIIrd &amp; IVrth Floor</v>
          </cell>
          <cell r="F91">
            <v>11</v>
          </cell>
        </row>
        <row r="92">
          <cell r="F92">
            <v>12</v>
          </cell>
        </row>
        <row r="93">
          <cell r="F93">
            <v>13</v>
          </cell>
        </row>
        <row r="94">
          <cell r="A94" t="str">
            <v>Below Ground Level</v>
          </cell>
          <cell r="F94">
            <v>14</v>
          </cell>
        </row>
        <row r="95">
          <cell r="A95" t="str">
            <v>Above Ground Level</v>
          </cell>
          <cell r="F95">
            <v>15</v>
          </cell>
        </row>
        <row r="96">
          <cell r="F96">
            <v>16</v>
          </cell>
        </row>
        <row r="97">
          <cell r="F97">
            <v>17</v>
          </cell>
        </row>
        <row r="98">
          <cell r="A98">
            <v>0.6</v>
          </cell>
          <cell r="F98">
            <v>18</v>
          </cell>
        </row>
        <row r="99">
          <cell r="A99">
            <v>0.8</v>
          </cell>
          <cell r="F99">
            <v>19</v>
          </cell>
        </row>
        <row r="100">
          <cell r="A100">
            <v>1</v>
          </cell>
          <cell r="F100">
            <v>20</v>
          </cell>
        </row>
        <row r="101">
          <cell r="F101">
            <v>21</v>
          </cell>
        </row>
        <row r="102">
          <cell r="F102">
            <v>22</v>
          </cell>
        </row>
        <row r="103">
          <cell r="F103">
            <v>23</v>
          </cell>
        </row>
        <row r="104">
          <cell r="F104">
            <v>24</v>
          </cell>
        </row>
        <row r="105">
          <cell r="F105">
            <v>25</v>
          </cell>
        </row>
        <row r="106">
          <cell r="F106">
            <v>26</v>
          </cell>
        </row>
        <row r="107">
          <cell r="F107">
            <v>27</v>
          </cell>
        </row>
        <row r="108">
          <cell r="F108">
            <v>28</v>
          </cell>
        </row>
        <row r="109">
          <cell r="F109">
            <v>29</v>
          </cell>
        </row>
        <row r="110">
          <cell r="F110">
            <v>30</v>
          </cell>
        </row>
        <row r="111">
          <cell r="F111">
            <v>31</v>
          </cell>
        </row>
        <row r="112">
          <cell r="F112">
            <v>32</v>
          </cell>
        </row>
        <row r="113">
          <cell r="F113">
            <v>33</v>
          </cell>
        </row>
        <row r="114">
          <cell r="F114">
            <v>34</v>
          </cell>
        </row>
        <row r="115">
          <cell r="F115">
            <v>35</v>
          </cell>
        </row>
        <row r="116">
          <cell r="F116">
            <v>36</v>
          </cell>
        </row>
        <row r="117">
          <cell r="F117">
            <v>37</v>
          </cell>
        </row>
        <row r="118">
          <cell r="F118">
            <v>38</v>
          </cell>
        </row>
        <row r="119">
          <cell r="F119">
            <v>39</v>
          </cell>
        </row>
        <row r="120">
          <cell r="F120">
            <v>40</v>
          </cell>
        </row>
        <row r="121">
          <cell r="F121">
            <v>41</v>
          </cell>
        </row>
        <row r="122">
          <cell r="F122">
            <v>42</v>
          </cell>
        </row>
        <row r="123">
          <cell r="F123">
            <v>43</v>
          </cell>
        </row>
        <row r="124">
          <cell r="F124">
            <v>44</v>
          </cell>
        </row>
        <row r="125">
          <cell r="F125">
            <v>45</v>
          </cell>
        </row>
        <row r="126">
          <cell r="F126">
            <v>46</v>
          </cell>
        </row>
        <row r="127">
          <cell r="F127">
            <v>47</v>
          </cell>
        </row>
        <row r="128">
          <cell r="F128">
            <v>48</v>
          </cell>
        </row>
        <row r="129">
          <cell r="F129">
            <v>49</v>
          </cell>
        </row>
        <row r="130">
          <cell r="F130">
            <v>50</v>
          </cell>
        </row>
        <row r="131">
          <cell r="F131">
            <v>51</v>
          </cell>
        </row>
        <row r="132">
          <cell r="F132">
            <v>52</v>
          </cell>
        </row>
        <row r="133">
          <cell r="F133">
            <v>53</v>
          </cell>
        </row>
        <row r="134">
          <cell r="F134">
            <v>54</v>
          </cell>
        </row>
        <row r="135">
          <cell r="F135">
            <v>55</v>
          </cell>
        </row>
        <row r="136">
          <cell r="F136">
            <v>56</v>
          </cell>
        </row>
        <row r="137">
          <cell r="F137">
            <v>57</v>
          </cell>
        </row>
        <row r="138">
          <cell r="F138">
            <v>58</v>
          </cell>
        </row>
        <row r="139">
          <cell r="F139">
            <v>59</v>
          </cell>
        </row>
        <row r="140">
          <cell r="F140">
            <v>60</v>
          </cell>
        </row>
        <row r="141">
          <cell r="F141">
            <v>61</v>
          </cell>
        </row>
        <row r="142">
          <cell r="F142">
            <v>62</v>
          </cell>
        </row>
        <row r="143">
          <cell r="F143">
            <v>63</v>
          </cell>
        </row>
        <row r="144">
          <cell r="F144">
            <v>64</v>
          </cell>
        </row>
        <row r="145">
          <cell r="F145">
            <v>65</v>
          </cell>
        </row>
        <row r="146">
          <cell r="F146">
            <v>66</v>
          </cell>
        </row>
        <row r="147">
          <cell r="F147">
            <v>67</v>
          </cell>
        </row>
        <row r="148">
          <cell r="F148">
            <v>68</v>
          </cell>
        </row>
        <row r="149">
          <cell r="F149">
            <v>69</v>
          </cell>
        </row>
        <row r="150">
          <cell r="F150">
            <v>70</v>
          </cell>
        </row>
        <row r="151">
          <cell r="F151">
            <v>71</v>
          </cell>
        </row>
        <row r="152">
          <cell r="F152">
            <v>72</v>
          </cell>
        </row>
        <row r="153">
          <cell r="F153">
            <v>73</v>
          </cell>
        </row>
        <row r="154">
          <cell r="F154">
            <v>74</v>
          </cell>
        </row>
        <row r="155">
          <cell r="F155">
            <v>75</v>
          </cell>
        </row>
        <row r="156">
          <cell r="F156">
            <v>76</v>
          </cell>
        </row>
        <row r="157">
          <cell r="F157">
            <v>77</v>
          </cell>
        </row>
        <row r="158">
          <cell r="F158">
            <v>78</v>
          </cell>
        </row>
        <row r="159">
          <cell r="F159">
            <v>79</v>
          </cell>
        </row>
        <row r="160">
          <cell r="F160">
            <v>80</v>
          </cell>
        </row>
        <row r="161">
          <cell r="F161">
            <v>81</v>
          </cell>
        </row>
        <row r="162">
          <cell r="F162">
            <v>82</v>
          </cell>
        </row>
        <row r="163">
          <cell r="F163">
            <v>83</v>
          </cell>
        </row>
        <row r="164">
          <cell r="F164">
            <v>84</v>
          </cell>
        </row>
        <row r="165">
          <cell r="F165">
            <v>85</v>
          </cell>
        </row>
        <row r="166">
          <cell r="F166">
            <v>86</v>
          </cell>
        </row>
        <row r="167">
          <cell r="F167">
            <v>87</v>
          </cell>
        </row>
        <row r="168">
          <cell r="F168">
            <v>88</v>
          </cell>
        </row>
        <row r="169">
          <cell r="F169">
            <v>89</v>
          </cell>
        </row>
        <row r="170">
          <cell r="F170">
            <v>90</v>
          </cell>
        </row>
        <row r="171">
          <cell r="F171">
            <v>91</v>
          </cell>
        </row>
        <row r="172">
          <cell r="F172">
            <v>92</v>
          </cell>
        </row>
        <row r="173">
          <cell r="F173">
            <v>93</v>
          </cell>
        </row>
        <row r="174">
          <cell r="F174">
            <v>94</v>
          </cell>
        </row>
        <row r="175">
          <cell r="F175">
            <v>95</v>
          </cell>
        </row>
        <row r="176">
          <cell r="F176">
            <v>96</v>
          </cell>
        </row>
        <row r="177">
          <cell r="F177">
            <v>97</v>
          </cell>
        </row>
        <row r="178">
          <cell r="F178">
            <v>98</v>
          </cell>
        </row>
        <row r="179">
          <cell r="F179">
            <v>99</v>
          </cell>
        </row>
        <row r="180">
          <cell r="F180">
            <v>100</v>
          </cell>
        </row>
        <row r="181">
          <cell r="F181">
            <v>101</v>
          </cell>
        </row>
        <row r="182">
          <cell r="F182">
            <v>102</v>
          </cell>
        </row>
        <row r="183">
          <cell r="F183">
            <v>103</v>
          </cell>
        </row>
        <row r="184">
          <cell r="F184">
            <v>104</v>
          </cell>
        </row>
        <row r="185">
          <cell r="F185">
            <v>105</v>
          </cell>
        </row>
        <row r="186">
          <cell r="F186">
            <v>106</v>
          </cell>
        </row>
        <row r="187">
          <cell r="F187">
            <v>107</v>
          </cell>
        </row>
        <row r="188">
          <cell r="F188">
            <v>108</v>
          </cell>
        </row>
        <row r="189">
          <cell r="F189">
            <v>109</v>
          </cell>
        </row>
        <row r="190">
          <cell r="F190">
            <v>110</v>
          </cell>
        </row>
        <row r="191">
          <cell r="F191">
            <v>111</v>
          </cell>
        </row>
        <row r="192">
          <cell r="F192">
            <v>112</v>
          </cell>
        </row>
        <row r="193">
          <cell r="F193">
            <v>113</v>
          </cell>
        </row>
        <row r="194">
          <cell r="F194">
            <v>114</v>
          </cell>
        </row>
        <row r="195">
          <cell r="F195">
            <v>115</v>
          </cell>
        </row>
        <row r="196">
          <cell r="F196">
            <v>116</v>
          </cell>
        </row>
        <row r="197">
          <cell r="F197">
            <v>117</v>
          </cell>
        </row>
        <row r="198">
          <cell r="F198">
            <v>118</v>
          </cell>
        </row>
        <row r="199">
          <cell r="F199">
            <v>119</v>
          </cell>
        </row>
        <row r="200">
          <cell r="F200">
            <v>120</v>
          </cell>
        </row>
        <row r="201">
          <cell r="F201">
            <v>121</v>
          </cell>
        </row>
        <row r="202">
          <cell r="F202">
            <v>122</v>
          </cell>
        </row>
        <row r="203">
          <cell r="F203">
            <v>123</v>
          </cell>
        </row>
        <row r="204">
          <cell r="F204">
            <v>124</v>
          </cell>
        </row>
        <row r="205">
          <cell r="F205">
            <v>125</v>
          </cell>
        </row>
        <row r="206">
          <cell r="F206">
            <v>126</v>
          </cell>
        </row>
        <row r="207">
          <cell r="F207">
            <v>127</v>
          </cell>
        </row>
        <row r="208">
          <cell r="F208">
            <v>128</v>
          </cell>
        </row>
        <row r="209">
          <cell r="F209">
            <v>129</v>
          </cell>
        </row>
        <row r="210">
          <cell r="F210">
            <v>130</v>
          </cell>
        </row>
        <row r="211">
          <cell r="F211">
            <v>131</v>
          </cell>
        </row>
        <row r="212">
          <cell r="F212">
            <v>132</v>
          </cell>
        </row>
        <row r="213">
          <cell r="F213">
            <v>133</v>
          </cell>
        </row>
        <row r="214">
          <cell r="F214">
            <v>134</v>
          </cell>
        </row>
        <row r="215">
          <cell r="F215">
            <v>135</v>
          </cell>
        </row>
        <row r="216">
          <cell r="F216">
            <v>136</v>
          </cell>
        </row>
        <row r="217">
          <cell r="F217">
            <v>137</v>
          </cell>
        </row>
        <row r="218">
          <cell r="F218">
            <v>138</v>
          </cell>
        </row>
        <row r="219">
          <cell r="F219">
            <v>139</v>
          </cell>
        </row>
        <row r="220">
          <cell r="F220">
            <v>140</v>
          </cell>
        </row>
        <row r="221">
          <cell r="F221">
            <v>141</v>
          </cell>
        </row>
        <row r="222">
          <cell r="F222">
            <v>142</v>
          </cell>
        </row>
        <row r="223">
          <cell r="F223">
            <v>143</v>
          </cell>
        </row>
        <row r="224">
          <cell r="F224">
            <v>144</v>
          </cell>
        </row>
        <row r="225">
          <cell r="F225">
            <v>145</v>
          </cell>
        </row>
        <row r="226">
          <cell r="F226">
            <v>146</v>
          </cell>
        </row>
        <row r="227">
          <cell r="F227">
            <v>147</v>
          </cell>
        </row>
        <row r="228">
          <cell r="F228">
            <v>148</v>
          </cell>
        </row>
        <row r="229">
          <cell r="F229">
            <v>149</v>
          </cell>
        </row>
        <row r="230">
          <cell r="F230">
            <v>150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sr common"/>
      <sheetName val="Sheet4"/>
      <sheetName val="leads"/>
      <sheetName val="Sheet11"/>
      <sheetName val="PL"/>
      <sheetName val="Sheet10"/>
      <sheetName val="master lead"/>
      <sheetName val="Sheet5"/>
      <sheetName val="conveyance common"/>
      <sheetName val="Sheet6"/>
      <sheetName val="handling common"/>
      <sheetName val="labour charges 2005-06"/>
      <sheetName val="Sheet2"/>
      <sheetName val="Sheet7"/>
      <sheetName val="data existing_do not delete"/>
      <sheetName val="Sheet8"/>
      <sheetName val="background data"/>
      <sheetName val="Rotary bore well source"/>
      <sheetName val="Sheet9"/>
      <sheetName val="ohsr verticals 20 9.55 "/>
      <sheetName val="verticals jointing 20kl 9.55"/>
      <sheetName val="lead 20kl ohsr"/>
      <sheetName val="data 20kl ohsr"/>
      <sheetName val="vc 150mm 20kl ohsr"/>
      <sheetName val="20kl ohsr item wise"/>
      <sheetName val="master data"/>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ipe line sub estimate"/>
      <sheetName val="pvc pipe line data"/>
      <sheetName val="std flange dimensions"/>
      <sheetName val="lead_pipe lines"/>
      <sheetName val="pvc pipes rates dgs d formula"/>
      <sheetName val="general abstract"/>
      <sheetName val="cover page"/>
      <sheetName val="pvc pipe details"/>
      <sheetName val="hydraulic designs"/>
      <sheetName val="Filter point"/>
      <sheetName val="pedestal "/>
      <sheetName val="pumpset submersible"/>
      <sheetName val="Sheet1"/>
      <sheetName val="c"/>
      <sheetName val="co"/>
      <sheetName val="con"/>
      <sheetName val="common conveyance"/>
      <sheetName val="ssr "/>
      <sheetName val="Hleads"/>
      <sheetName val="Haleads"/>
      <sheetName val="Hableads"/>
      <sheetName val="Hab leads"/>
      <sheetName val="lead"/>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data "/>
      <sheetName val="data"/>
      <sheetName val="data1"/>
      <sheetName val="ata1"/>
      <sheetName val="dat"/>
      <sheetName val="da"/>
      <sheetName val="d"/>
      <sheetName val=""/>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m lead"/>
      <sheetName val=" lead"/>
      <sheetName val="cover pag"/>
      <sheetName val="cover pa"/>
      <sheetName val="cover p"/>
      <sheetName val="cover "/>
      <sheetName val="cover"/>
      <sheetName val="cove"/>
      <sheetName val="cov"/>
      <sheetName val="master leadO"/>
      <sheetName val="master lead-O"/>
      <sheetName val="maste Lead-O"/>
      <sheetName val="mast Lead-O"/>
      <sheetName val="mas Lead-O"/>
      <sheetName val="ma Lead-O"/>
      <sheetName val="m Lead-O"/>
      <sheetName val=" Lea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D2" t="str">
            <v>cc(1:2:4)</v>
          </cell>
          <cell r="I2" t="str">
            <v>Clayey &amp; Loamy soils</v>
          </cell>
        </row>
        <row r="3">
          <cell r="D3" t="str">
            <v>cc(1:3:6)</v>
          </cell>
          <cell r="I3" t="str">
            <v>Hard Gravelly soils</v>
          </cell>
        </row>
        <row r="4">
          <cell r="D4" t="str">
            <v>cc(1:4:8)</v>
          </cell>
          <cell r="I4" t="str">
            <v>Mixture of Gravel &amp; Soft disintegrated rocky soils</v>
          </cell>
        </row>
        <row r="5">
          <cell r="D5" t="str">
            <v>cc(1:5:10)</v>
          </cell>
          <cell r="I5" t="str">
            <v>Soft disintegrated soils removed by pick axes and crow bars</v>
          </cell>
        </row>
        <row r="6">
          <cell r="D6" t="str">
            <v>cc(1:5:8)</v>
          </cell>
          <cell r="I6" t="str">
            <v>Stone matrix soils</v>
          </cell>
        </row>
        <row r="7">
          <cell r="D7" t="str">
            <v>cc(1:6:10)</v>
          </cell>
          <cell r="I7" t="str">
            <v>Hard disintegrated soils removed by pick axes and crow bars</v>
          </cell>
        </row>
        <row r="8">
          <cell r="I8" t="str">
            <v>Hard disintegrated rock requiring partial blasting</v>
          </cell>
        </row>
        <row r="9">
          <cell r="I9" t="str">
            <v>Soils requiring chiselling,wedging and benching</v>
          </cell>
        </row>
        <row r="14">
          <cell r="D14" t="str">
            <v>8mm</v>
          </cell>
          <cell r="F14" t="str">
            <v>RCC(1:2:4)</v>
          </cell>
          <cell r="G14" t="str">
            <v>RCC(1:2:4)</v>
          </cell>
        </row>
        <row r="15">
          <cell r="D15" t="str">
            <v>12mm</v>
          </cell>
          <cell r="F15" t="str">
            <v>RCC(1:1.5:3)</v>
          </cell>
          <cell r="G15" t="str">
            <v>RCC(1:1.5:3)</v>
          </cell>
        </row>
        <row r="16">
          <cell r="D16" t="str">
            <v>20mm</v>
          </cell>
          <cell r="G16" t="str">
            <v>VRCC(1:2:4)</v>
          </cell>
        </row>
        <row r="17">
          <cell r="G17" t="str">
            <v>VRCC(1:1.5:3)</v>
          </cell>
        </row>
        <row r="20">
          <cell r="D20" t="str">
            <v>Scaffolding for Ist Floor</v>
          </cell>
          <cell r="E20" t="str">
            <v>Lift charges bet Basement &amp; Ist Floor</v>
          </cell>
          <cell r="G20" t="str">
            <v>VCC(1:1.5:3)</v>
          </cell>
        </row>
        <row r="21">
          <cell r="D21" t="str">
            <v>Scaffolding for IInd Floor</v>
          </cell>
          <cell r="E21" t="str">
            <v>Lift charges bet Ist &amp; IInd Floor</v>
          </cell>
          <cell r="G21" t="str">
            <v>VCC(1:2:4)</v>
          </cell>
        </row>
        <row r="22">
          <cell r="D22" t="str">
            <v>Scaffolding for IIIrd Floor</v>
          </cell>
          <cell r="E22" t="str">
            <v>Lift charges bet IInd &amp; IIIrd Floor</v>
          </cell>
          <cell r="G22" t="str">
            <v>VCC(1:3:6)</v>
          </cell>
        </row>
        <row r="23">
          <cell r="G23" t="str">
            <v>VCC(1:4:8)</v>
          </cell>
        </row>
        <row r="24">
          <cell r="G24" t="str">
            <v>VCC(1:5:10)</v>
          </cell>
        </row>
        <row r="25">
          <cell r="G25" t="str">
            <v>VCC(1:5:8)</v>
          </cell>
        </row>
        <row r="26">
          <cell r="D26" t="str">
            <v>Teak wood</v>
          </cell>
          <cell r="G26" t="str">
            <v>VCC(1:6:10)</v>
          </cell>
        </row>
        <row r="27">
          <cell r="A27" t="str">
            <v>0.00-4.00m</v>
          </cell>
          <cell r="D27" t="str">
            <v>Country wood</v>
          </cell>
        </row>
        <row r="28">
          <cell r="A28" t="str">
            <v>4.00-6.00m</v>
          </cell>
        </row>
        <row r="29">
          <cell r="A29" t="str">
            <v>6.00-8.00m</v>
          </cell>
        </row>
        <row r="30">
          <cell r="A30" t="str">
            <v>8.00-10.00m</v>
          </cell>
        </row>
        <row r="31">
          <cell r="A31" t="str">
            <v>10.00-12.00m</v>
          </cell>
        </row>
        <row r="32">
          <cell r="A32" t="str">
            <v>12.00-14.00m</v>
          </cell>
        </row>
        <row r="33">
          <cell r="A33" t="str">
            <v>14.00-16.00m</v>
          </cell>
          <cell r="E33" t="str">
            <v>1.67 X 2.44</v>
          </cell>
        </row>
        <row r="34">
          <cell r="A34" t="str">
            <v>16.00-18.00m</v>
          </cell>
          <cell r="E34" t="str">
            <v>1.52 X 2.44</v>
          </cell>
        </row>
        <row r="35">
          <cell r="A35" t="str">
            <v>18.00-20.00m</v>
          </cell>
          <cell r="E35" t="str">
            <v>1.37 X 2.44</v>
          </cell>
        </row>
        <row r="36">
          <cell r="A36" t="str">
            <v>20.00-22.00m</v>
          </cell>
          <cell r="E36" t="str">
            <v>1.68 X 2.28</v>
          </cell>
        </row>
        <row r="37">
          <cell r="A37" t="str">
            <v>22.00-24.00m</v>
          </cell>
          <cell r="E37" t="str">
            <v>1.52 X 2.28</v>
          </cell>
        </row>
        <row r="38">
          <cell r="A38" t="str">
            <v>24.00-26.00m</v>
          </cell>
          <cell r="E38" t="str">
            <v>1.37 X 2.28</v>
          </cell>
        </row>
        <row r="39">
          <cell r="A39" t="str">
            <v>26.00-28.00m</v>
          </cell>
          <cell r="E39" t="str">
            <v>1.22 X 2.28</v>
          </cell>
        </row>
        <row r="40">
          <cell r="A40" t="str">
            <v>28.00-30.00m</v>
          </cell>
          <cell r="E40" t="str">
            <v>1.06 X 2.28</v>
          </cell>
        </row>
        <row r="41">
          <cell r="E41" t="str">
            <v>1.68 X 2.13</v>
          </cell>
        </row>
        <row r="42">
          <cell r="E42" t="str">
            <v>1.52 X 2.13</v>
          </cell>
        </row>
        <row r="43">
          <cell r="A43" t="str">
            <v>0.00-5.00m</v>
          </cell>
          <cell r="E43" t="str">
            <v>1.37 X 2.13</v>
          </cell>
        </row>
        <row r="44">
          <cell r="A44" t="str">
            <v>5.00-8.00m</v>
          </cell>
          <cell r="E44" t="str">
            <v>1.22 X 2.13</v>
          </cell>
        </row>
        <row r="45">
          <cell r="A45" t="str">
            <v>8.00-11.00m</v>
          </cell>
          <cell r="E45" t="str">
            <v>1.06 X 2.13</v>
          </cell>
        </row>
        <row r="46">
          <cell r="A46" t="str">
            <v>11.00-14.00m</v>
          </cell>
          <cell r="E46" t="str">
            <v>1.68 X 1.98</v>
          </cell>
        </row>
        <row r="47">
          <cell r="A47" t="str">
            <v>14.00-17.00m</v>
          </cell>
          <cell r="E47" t="str">
            <v>1.52 X 1.98</v>
          </cell>
        </row>
        <row r="48">
          <cell r="A48" t="str">
            <v>17.00-20.00m</v>
          </cell>
          <cell r="E48" t="str">
            <v>1.37 X 1.98</v>
          </cell>
        </row>
        <row r="49">
          <cell r="A49" t="str">
            <v>20.00-23.00m</v>
          </cell>
          <cell r="E49" t="str">
            <v>1.22 X 1.98</v>
          </cell>
        </row>
        <row r="50">
          <cell r="A50" t="str">
            <v>23.00-26.00m</v>
          </cell>
          <cell r="E50" t="str">
            <v>1.06 X 1.98</v>
          </cell>
        </row>
        <row r="51">
          <cell r="A51" t="str">
            <v>26.00-29.00m</v>
          </cell>
        </row>
        <row r="52">
          <cell r="A52" t="str">
            <v>29.00-32.00m</v>
          </cell>
        </row>
        <row r="53">
          <cell r="A53" t="str">
            <v>32.00-35.00m</v>
          </cell>
        </row>
        <row r="54">
          <cell r="A54" t="str">
            <v>35.00-38.00m</v>
          </cell>
        </row>
        <row r="57">
          <cell r="A57" t="str">
            <v>0.00-2.00M</v>
          </cell>
        </row>
        <row r="58">
          <cell r="A58" t="str">
            <v>2.00-3.00M</v>
          </cell>
        </row>
        <row r="59">
          <cell r="A59" t="str">
            <v>3.00-4.00M</v>
          </cell>
        </row>
        <row r="60">
          <cell r="A60" t="str">
            <v>4.00-5.00M</v>
          </cell>
        </row>
        <row r="61">
          <cell r="A61" t="str">
            <v>5.00-6.00M</v>
          </cell>
        </row>
        <row r="62">
          <cell r="A62" t="str">
            <v>6.00-7.00M</v>
          </cell>
        </row>
        <row r="63">
          <cell r="A63" t="str">
            <v>7.00-8.00M</v>
          </cell>
        </row>
        <row r="64">
          <cell r="A64" t="str">
            <v>8.00-9.00M</v>
          </cell>
        </row>
        <row r="65">
          <cell r="A65" t="str">
            <v>9.00-10.00M</v>
          </cell>
        </row>
        <row r="66">
          <cell r="A66" t="str">
            <v>10.00-11.00M</v>
          </cell>
        </row>
        <row r="67">
          <cell r="A67" t="str">
            <v>11.00-12.00M</v>
          </cell>
        </row>
        <row r="68">
          <cell r="A68" t="str">
            <v>12.00-13.00M</v>
          </cell>
        </row>
        <row r="69">
          <cell r="A69" t="str">
            <v>13.00-14.00M</v>
          </cell>
        </row>
        <row r="70">
          <cell r="A70" t="str">
            <v>14.00-15.00M</v>
          </cell>
        </row>
        <row r="73">
          <cell r="A73" t="str">
            <v>Sand for filling</v>
          </cell>
          <cell r="B73" t="str">
            <v>20mm HBG metal</v>
          </cell>
        </row>
        <row r="75">
          <cell r="A75" t="str">
            <v>Sand for mortar</v>
          </cell>
          <cell r="B75" t="str">
            <v>40mm HBG Metal</v>
          </cell>
          <cell r="F75">
            <v>0</v>
          </cell>
        </row>
        <row r="76">
          <cell r="F76">
            <v>0.1</v>
          </cell>
        </row>
        <row r="77">
          <cell r="F77">
            <v>0.2</v>
          </cell>
        </row>
        <row r="78">
          <cell r="A78" t="str">
            <v>(1:2)</v>
          </cell>
          <cell r="F78">
            <v>0.25</v>
          </cell>
        </row>
        <row r="79">
          <cell r="A79" t="str">
            <v>(1:3)</v>
          </cell>
          <cell r="F79">
            <v>0.3</v>
          </cell>
        </row>
        <row r="80">
          <cell r="A80" t="str">
            <v>(1:4)</v>
          </cell>
          <cell r="F80">
            <v>0.5</v>
          </cell>
        </row>
        <row r="81">
          <cell r="A81" t="str">
            <v>(1:5)</v>
          </cell>
          <cell r="F81">
            <v>1</v>
          </cell>
        </row>
        <row r="82">
          <cell r="A82" t="str">
            <v>(1:6)</v>
          </cell>
          <cell r="F82">
            <v>2</v>
          </cell>
        </row>
        <row r="83">
          <cell r="A83" t="str">
            <v>(1:8)</v>
          </cell>
          <cell r="F83">
            <v>3</v>
          </cell>
        </row>
        <row r="84">
          <cell r="A84" t="str">
            <v>(1:10)</v>
          </cell>
          <cell r="F84">
            <v>4</v>
          </cell>
        </row>
        <row r="85">
          <cell r="F85">
            <v>5</v>
          </cell>
        </row>
        <row r="86">
          <cell r="F86">
            <v>6</v>
          </cell>
        </row>
        <row r="87">
          <cell r="F87">
            <v>7</v>
          </cell>
        </row>
        <row r="88">
          <cell r="A88" t="str">
            <v>Between Basement &amp; Ist Floor</v>
          </cell>
          <cell r="F88">
            <v>8</v>
          </cell>
        </row>
        <row r="89">
          <cell r="A89" t="str">
            <v>Between Ist &amp; IInd Floor</v>
          </cell>
          <cell r="F89">
            <v>9</v>
          </cell>
        </row>
        <row r="90">
          <cell r="A90" t="str">
            <v>Between IInd &amp; IIIrd Floor</v>
          </cell>
          <cell r="F90">
            <v>10</v>
          </cell>
        </row>
        <row r="91">
          <cell r="A91" t="str">
            <v>Between IIIrd &amp; IVrth Floor</v>
          </cell>
          <cell r="F91">
            <v>11</v>
          </cell>
        </row>
        <row r="92">
          <cell r="F92">
            <v>12</v>
          </cell>
        </row>
        <row r="93">
          <cell r="F93">
            <v>13</v>
          </cell>
        </row>
        <row r="94">
          <cell r="A94" t="str">
            <v>Below Ground Level</v>
          </cell>
          <cell r="F94">
            <v>14</v>
          </cell>
        </row>
        <row r="95">
          <cell r="A95" t="str">
            <v>Above Ground Level</v>
          </cell>
          <cell r="F95">
            <v>15</v>
          </cell>
        </row>
        <row r="96">
          <cell r="F96">
            <v>16</v>
          </cell>
        </row>
        <row r="97">
          <cell r="F97">
            <v>17</v>
          </cell>
        </row>
        <row r="98">
          <cell r="A98">
            <v>0.6</v>
          </cell>
          <cell r="F98">
            <v>18</v>
          </cell>
        </row>
        <row r="99">
          <cell r="A99">
            <v>0.8</v>
          </cell>
          <cell r="F99">
            <v>19</v>
          </cell>
        </row>
        <row r="100">
          <cell r="A100">
            <v>1</v>
          </cell>
          <cell r="F100">
            <v>20</v>
          </cell>
        </row>
        <row r="101">
          <cell r="F101">
            <v>21</v>
          </cell>
        </row>
        <row r="102">
          <cell r="F102">
            <v>22</v>
          </cell>
        </row>
        <row r="103">
          <cell r="F103">
            <v>23</v>
          </cell>
        </row>
        <row r="104">
          <cell r="F104">
            <v>24</v>
          </cell>
        </row>
        <row r="105">
          <cell r="F105">
            <v>25</v>
          </cell>
        </row>
        <row r="106">
          <cell r="F106">
            <v>26</v>
          </cell>
        </row>
        <row r="107">
          <cell r="F107">
            <v>27</v>
          </cell>
        </row>
        <row r="108">
          <cell r="F108">
            <v>28</v>
          </cell>
        </row>
        <row r="109">
          <cell r="F109">
            <v>29</v>
          </cell>
        </row>
        <row r="110">
          <cell r="F110">
            <v>30</v>
          </cell>
        </row>
        <row r="111">
          <cell r="F111">
            <v>31</v>
          </cell>
        </row>
        <row r="112">
          <cell r="F112">
            <v>32</v>
          </cell>
        </row>
        <row r="113">
          <cell r="F113">
            <v>33</v>
          </cell>
        </row>
        <row r="114">
          <cell r="F114">
            <v>34</v>
          </cell>
        </row>
        <row r="115">
          <cell r="F115">
            <v>35</v>
          </cell>
        </row>
        <row r="116">
          <cell r="F116">
            <v>36</v>
          </cell>
        </row>
        <row r="117">
          <cell r="F117">
            <v>37</v>
          </cell>
        </row>
        <row r="118">
          <cell r="F118">
            <v>38</v>
          </cell>
        </row>
        <row r="119">
          <cell r="F119">
            <v>39</v>
          </cell>
        </row>
        <row r="120">
          <cell r="F120">
            <v>40</v>
          </cell>
        </row>
        <row r="121">
          <cell r="F121">
            <v>41</v>
          </cell>
        </row>
        <row r="122">
          <cell r="F122">
            <v>42</v>
          </cell>
        </row>
        <row r="123">
          <cell r="F123">
            <v>43</v>
          </cell>
        </row>
        <row r="124">
          <cell r="F124">
            <v>44</v>
          </cell>
        </row>
        <row r="125">
          <cell r="F125">
            <v>45</v>
          </cell>
        </row>
        <row r="126">
          <cell r="F126">
            <v>46</v>
          </cell>
        </row>
        <row r="127">
          <cell r="F127">
            <v>47</v>
          </cell>
        </row>
        <row r="128">
          <cell r="F128">
            <v>48</v>
          </cell>
        </row>
        <row r="129">
          <cell r="F129">
            <v>49</v>
          </cell>
        </row>
        <row r="130">
          <cell r="F130">
            <v>50</v>
          </cell>
        </row>
        <row r="131">
          <cell r="F131">
            <v>51</v>
          </cell>
        </row>
        <row r="132">
          <cell r="F132">
            <v>52</v>
          </cell>
        </row>
        <row r="133">
          <cell r="F133">
            <v>53</v>
          </cell>
        </row>
        <row r="134">
          <cell r="F134">
            <v>54</v>
          </cell>
        </row>
        <row r="135">
          <cell r="F135">
            <v>55</v>
          </cell>
        </row>
        <row r="136">
          <cell r="F136">
            <v>56</v>
          </cell>
        </row>
        <row r="137">
          <cell r="F137">
            <v>57</v>
          </cell>
        </row>
        <row r="138">
          <cell r="F138">
            <v>58</v>
          </cell>
        </row>
        <row r="139">
          <cell r="F139">
            <v>59</v>
          </cell>
        </row>
        <row r="140">
          <cell r="F140">
            <v>60</v>
          </cell>
        </row>
        <row r="141">
          <cell r="F141">
            <v>61</v>
          </cell>
        </row>
        <row r="142">
          <cell r="F142">
            <v>62</v>
          </cell>
        </row>
        <row r="143">
          <cell r="F143">
            <v>63</v>
          </cell>
        </row>
        <row r="144">
          <cell r="F144">
            <v>64</v>
          </cell>
        </row>
        <row r="145">
          <cell r="F145">
            <v>65</v>
          </cell>
        </row>
        <row r="146">
          <cell r="F146">
            <v>66</v>
          </cell>
        </row>
        <row r="147">
          <cell r="F147">
            <v>67</v>
          </cell>
        </row>
        <row r="148">
          <cell r="F148">
            <v>68</v>
          </cell>
        </row>
        <row r="149">
          <cell r="F149">
            <v>69</v>
          </cell>
        </row>
        <row r="150">
          <cell r="F150">
            <v>70</v>
          </cell>
        </row>
        <row r="151">
          <cell r="F151">
            <v>71</v>
          </cell>
        </row>
        <row r="152">
          <cell r="F152">
            <v>72</v>
          </cell>
        </row>
        <row r="153">
          <cell r="F153">
            <v>73</v>
          </cell>
        </row>
        <row r="154">
          <cell r="F154">
            <v>74</v>
          </cell>
        </row>
        <row r="155">
          <cell r="F155">
            <v>75</v>
          </cell>
        </row>
        <row r="156">
          <cell r="F156">
            <v>76</v>
          </cell>
        </row>
        <row r="157">
          <cell r="F157">
            <v>77</v>
          </cell>
        </row>
        <row r="158">
          <cell r="F158">
            <v>78</v>
          </cell>
        </row>
        <row r="159">
          <cell r="F159">
            <v>79</v>
          </cell>
        </row>
        <row r="160">
          <cell r="F160">
            <v>80</v>
          </cell>
        </row>
        <row r="161">
          <cell r="F161">
            <v>81</v>
          </cell>
        </row>
        <row r="162">
          <cell r="F162">
            <v>82</v>
          </cell>
        </row>
        <row r="163">
          <cell r="F163">
            <v>83</v>
          </cell>
        </row>
        <row r="164">
          <cell r="F164">
            <v>84</v>
          </cell>
        </row>
        <row r="165">
          <cell r="F165">
            <v>85</v>
          </cell>
        </row>
        <row r="166">
          <cell r="F166">
            <v>86</v>
          </cell>
        </row>
        <row r="167">
          <cell r="F167">
            <v>87</v>
          </cell>
        </row>
        <row r="168">
          <cell r="F168">
            <v>88</v>
          </cell>
        </row>
        <row r="169">
          <cell r="F169">
            <v>89</v>
          </cell>
        </row>
        <row r="170">
          <cell r="F170">
            <v>90</v>
          </cell>
        </row>
        <row r="171">
          <cell r="F171">
            <v>91</v>
          </cell>
        </row>
        <row r="172">
          <cell r="F172">
            <v>92</v>
          </cell>
        </row>
        <row r="173">
          <cell r="F173">
            <v>93</v>
          </cell>
        </row>
        <row r="174">
          <cell r="F174">
            <v>94</v>
          </cell>
        </row>
        <row r="175">
          <cell r="F175">
            <v>95</v>
          </cell>
        </row>
        <row r="176">
          <cell r="F176">
            <v>96</v>
          </cell>
        </row>
        <row r="177">
          <cell r="F177">
            <v>97</v>
          </cell>
        </row>
        <row r="178">
          <cell r="F178">
            <v>98</v>
          </cell>
        </row>
        <row r="179">
          <cell r="F179">
            <v>99</v>
          </cell>
        </row>
        <row r="180">
          <cell r="F180">
            <v>100</v>
          </cell>
        </row>
        <row r="181">
          <cell r="F181">
            <v>101</v>
          </cell>
        </row>
        <row r="182">
          <cell r="F182">
            <v>102</v>
          </cell>
        </row>
        <row r="183">
          <cell r="F183">
            <v>103</v>
          </cell>
        </row>
        <row r="184">
          <cell r="F184">
            <v>104</v>
          </cell>
        </row>
        <row r="185">
          <cell r="F185">
            <v>105</v>
          </cell>
        </row>
        <row r="186">
          <cell r="F186">
            <v>106</v>
          </cell>
        </row>
        <row r="187">
          <cell r="F187">
            <v>107</v>
          </cell>
        </row>
        <row r="188">
          <cell r="F188">
            <v>108</v>
          </cell>
        </row>
        <row r="189">
          <cell r="F189">
            <v>109</v>
          </cell>
        </row>
        <row r="190">
          <cell r="F190">
            <v>110</v>
          </cell>
        </row>
        <row r="191">
          <cell r="F191">
            <v>111</v>
          </cell>
        </row>
        <row r="192">
          <cell r="F192">
            <v>112</v>
          </cell>
        </row>
        <row r="193">
          <cell r="F193">
            <v>113</v>
          </cell>
        </row>
        <row r="194">
          <cell r="F194">
            <v>114</v>
          </cell>
        </row>
        <row r="195">
          <cell r="F195">
            <v>115</v>
          </cell>
        </row>
        <row r="196">
          <cell r="F196">
            <v>116</v>
          </cell>
        </row>
        <row r="197">
          <cell r="F197">
            <v>117</v>
          </cell>
        </row>
        <row r="198">
          <cell r="F198">
            <v>118</v>
          </cell>
        </row>
        <row r="199">
          <cell r="F199">
            <v>119</v>
          </cell>
        </row>
        <row r="200">
          <cell r="F200">
            <v>120</v>
          </cell>
        </row>
        <row r="201">
          <cell r="F201">
            <v>121</v>
          </cell>
        </row>
        <row r="202">
          <cell r="F202">
            <v>122</v>
          </cell>
        </row>
        <row r="203">
          <cell r="F203">
            <v>123</v>
          </cell>
        </row>
        <row r="204">
          <cell r="F204">
            <v>124</v>
          </cell>
        </row>
        <row r="205">
          <cell r="F205">
            <v>125</v>
          </cell>
        </row>
        <row r="206">
          <cell r="F206">
            <v>126</v>
          </cell>
        </row>
        <row r="207">
          <cell r="F207">
            <v>127</v>
          </cell>
        </row>
        <row r="208">
          <cell r="F208">
            <v>128</v>
          </cell>
        </row>
        <row r="209">
          <cell r="F209">
            <v>129</v>
          </cell>
        </row>
        <row r="210">
          <cell r="F210">
            <v>130</v>
          </cell>
        </row>
        <row r="211">
          <cell r="F211">
            <v>131</v>
          </cell>
        </row>
        <row r="212">
          <cell r="F212">
            <v>132</v>
          </cell>
        </row>
        <row r="213">
          <cell r="F213">
            <v>133</v>
          </cell>
        </row>
        <row r="214">
          <cell r="F214">
            <v>134</v>
          </cell>
        </row>
        <row r="215">
          <cell r="F215">
            <v>135</v>
          </cell>
        </row>
        <row r="216">
          <cell r="F216">
            <v>136</v>
          </cell>
        </row>
        <row r="217">
          <cell r="F217">
            <v>137</v>
          </cell>
        </row>
        <row r="218">
          <cell r="F218">
            <v>138</v>
          </cell>
        </row>
        <row r="219">
          <cell r="F219">
            <v>139</v>
          </cell>
        </row>
        <row r="220">
          <cell r="F220">
            <v>140</v>
          </cell>
        </row>
        <row r="221">
          <cell r="F221">
            <v>141</v>
          </cell>
        </row>
        <row r="222">
          <cell r="F222">
            <v>142</v>
          </cell>
        </row>
        <row r="223">
          <cell r="F223">
            <v>143</v>
          </cell>
        </row>
        <row r="224">
          <cell r="F224">
            <v>144</v>
          </cell>
        </row>
        <row r="225">
          <cell r="F225">
            <v>145</v>
          </cell>
        </row>
        <row r="226">
          <cell r="F226">
            <v>146</v>
          </cell>
        </row>
        <row r="227">
          <cell r="F227">
            <v>147</v>
          </cell>
        </row>
        <row r="228">
          <cell r="F228">
            <v>148</v>
          </cell>
        </row>
        <row r="229">
          <cell r="F229">
            <v>149</v>
          </cell>
        </row>
        <row r="230">
          <cell r="F230">
            <v>150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tatement ss5"/>
      <sheetName val="leads"/>
      <sheetName val="Lead_statement_ss5"/>
      <sheetName val="rdamdata"/>
      <sheetName val="other rates"/>
      <sheetName val="LEAD"/>
      <sheetName val="MTC-estimate"/>
      <sheetName val="Gen Abs"/>
      <sheetName val="DATA_PRG"/>
      <sheetName val="maya"/>
      <sheetName val="data existing_do not delete"/>
      <sheetName val="coverpage"/>
      <sheetName val="Road data"/>
      <sheetName val="Plant &amp;  Machinery"/>
      <sheetName val="Labour"/>
      <sheetName val="Material"/>
      <sheetName val="Data_Base"/>
      <sheetName val="Data"/>
      <sheetName val="Work_sheet"/>
      <sheetName val="Sheet1"/>
      <sheetName val="SUMP1420KL@HW"/>
      <sheetName val="Sheet2"/>
      <sheetName val="t_prsr"/>
      <sheetName val="id"/>
      <sheetName val="Bed Fall"/>
      <sheetName val="inWords"/>
      <sheetName val="RCC Pier Checking"/>
      <sheetName val="T-BEAM (longitudinal)"/>
      <sheetName val="DECK SLAB DESIGN"/>
      <sheetName val="IRC TABLES"/>
      <sheetName val="Admin"/>
      <sheetName val="MRATES"/>
      <sheetName val="wh"/>
      <sheetName val="Levels"/>
      <sheetName val="m"/>
      <sheetName val="TOP SLAB-beams"/>
      <sheetName val="PUMP_DATA"/>
      <sheetName val="Lead  RATES"/>
      <sheetName val="segments-details"/>
      <sheetName val="int-Dia-hdpe"/>
      <sheetName val="habs-list"/>
      <sheetName val="int-Dia-pvc"/>
      <sheetName val="OSWI Qlfy"/>
      <sheetName val="AEOS Qlfy"/>
      <sheetName val="HDPE"/>
      <sheetName val="DI"/>
      <sheetName val="pvc"/>
      <sheetName val="CONVEYANCE  (2)"/>
      <sheetName val="Data.F8.BTR"/>
      <sheetName val="Data-Road "/>
      <sheetName val="DATA-CD "/>
      <sheetName val="abst"/>
      <sheetName val="design"/>
      <sheetName val="hdpe_basic"/>
      <sheetName val="pvc_basic"/>
      <sheetName val="Lead_statement_ss51"/>
      <sheetName val="other_rates"/>
      <sheetName val="Plant_&amp;__Machinery"/>
      <sheetName val="Lead_statement_ss52"/>
      <sheetName val="other_rates1"/>
      <sheetName val="Plant_&amp;__Machinery1"/>
      <sheetName val="drains-data"/>
      <sheetName val="CC Rd Data"/>
      <sheetName val="GSB"/>
      <sheetName val="ALL ABSTRACT"/>
      <sheetName val="Medchal LEAD"/>
      <sheetName val="INDEX"/>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C-data"/>
      <sheetName val="SHEDS STEEL QTY"/>
      <sheetName val="Mortars,"/>
      <sheetName val="data-Bld-20-21"/>
      <sheetName val="Input"/>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Rates"/>
      <sheetName val="Main sheet"/>
      <sheetName val="650kL-design-final"/>
      <sheetName val="SSR 2016-17"/>
      <sheetName val="Cover"/>
      <sheetName val="basdat"/>
      <sheetName val="SSR 2015-16"/>
      <sheetName val="Det esti"/>
      <sheetName val="Sheet5"/>
      <sheetName val="Rate"/>
      <sheetName val="DATA-BASE"/>
      <sheetName val="DATA-ABSTRACT"/>
      <sheetName val="Bill-12"/>
      <sheetName val="Sheet3"/>
      <sheetName val=" Tank"/>
      <sheetName val="bundqty"/>
      <sheetName val="CD_Data"/>
      <sheetName val="nodes"/>
      <sheetName val="int-Dia"/>
      <sheetName val="Bridge Data 2005-06"/>
    </sheetNames>
    <sheetDataSet>
      <sheetData sheetId="0" refreshError="1"/>
      <sheetData sheetId="1" refreshError="1"/>
      <sheetData sheetId="2" refreshError="1"/>
      <sheetData sheetId="3" refreshError="1"/>
      <sheetData sheetId="4" refreshError="1">
        <row r="29">
          <cell r="F29">
            <v>44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s>
    <sheetDataSet>
      <sheetData sheetId="0"/>
      <sheetData sheetId="1" refreshError="1">
        <row r="376">
          <cell r="B376" t="str">
            <v>Bolts &amp; Nuts to CID joints</v>
          </cell>
        </row>
        <row r="377">
          <cell r="B377" t="str">
            <v>Bolts &amp; Nuts to 80MM Dia CID joints</v>
          </cell>
        </row>
        <row r="378">
          <cell r="B378" t="str">
            <v>Bolts &amp; Nuts to 100MM Dia CID joints</v>
          </cell>
        </row>
        <row r="379">
          <cell r="B379" t="str">
            <v>Bolts &amp; Nuts to 125MM Dia CID joints</v>
          </cell>
        </row>
        <row r="380">
          <cell r="B380" t="str">
            <v>Bolts &amp; Nuts to 150MM Dia CID joints</v>
          </cell>
        </row>
        <row r="381">
          <cell r="B381" t="str">
            <v>Bolts &amp; Nuts to 200MM Dia CID joints</v>
          </cell>
        </row>
        <row r="382">
          <cell r="B382" t="str">
            <v>Rubber Rings to CID joints</v>
          </cell>
        </row>
        <row r="383">
          <cell r="B383" t="str">
            <v>Rubber rings to 80MM Dia CID joints</v>
          </cell>
        </row>
        <row r="384">
          <cell r="B384" t="str">
            <v>Rubber rings to 100MM Dia CID joints</v>
          </cell>
        </row>
        <row r="385">
          <cell r="B385" t="str">
            <v>Rubber rings to 125MM Dia CID joints</v>
          </cell>
        </row>
        <row r="386">
          <cell r="B386" t="str">
            <v>Rubber rings to 150MM Dia CID joints</v>
          </cell>
        </row>
      </sheetData>
      <sheetData sheetId="2"/>
      <sheetData sheetId="3"/>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s>
    <sheetDataSet>
      <sheetData sheetId="0"/>
      <sheetData sheetId="1" refreshError="1">
        <row r="376">
          <cell r="B376" t="str">
            <v>Bolts &amp; Nuts to CID joints</v>
          </cell>
        </row>
        <row r="377">
          <cell r="B377" t="str">
            <v>Bolts &amp; Nuts to 80MM Dia CID joints</v>
          </cell>
        </row>
        <row r="378">
          <cell r="B378" t="str">
            <v>Bolts &amp; Nuts to 100MM Dia CID joints</v>
          </cell>
        </row>
        <row r="379">
          <cell r="B379" t="str">
            <v>Bolts &amp; Nuts to 125MM Dia CID joints</v>
          </cell>
        </row>
        <row r="380">
          <cell r="B380" t="str">
            <v>Bolts &amp; Nuts to 150MM Dia CID joints</v>
          </cell>
        </row>
        <row r="381">
          <cell r="B381" t="str">
            <v>Bolts &amp; Nuts to 200MM Dia CID joints</v>
          </cell>
        </row>
        <row r="382">
          <cell r="B382" t="str">
            <v>Rubber Rings to CID joints</v>
          </cell>
        </row>
        <row r="383">
          <cell r="B383" t="str">
            <v>Rubber rings to 80MM Dia CID joints</v>
          </cell>
        </row>
        <row r="384">
          <cell r="B384" t="str">
            <v>Rubber rings to 100MM Dia CID joints</v>
          </cell>
        </row>
        <row r="385">
          <cell r="B385" t="str">
            <v>Rubber rings to 125MM Dia CID joints</v>
          </cell>
        </row>
        <row r="386">
          <cell r="B386" t="str">
            <v>Rubber rings to 150MM Dia CID joints</v>
          </cell>
        </row>
      </sheetData>
      <sheetData sheetId="2"/>
      <sheetData sheetId="3"/>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ntput"/>
      <sheetName val="Load"/>
      <sheetName val="WatCur"/>
      <sheetName val="Well"/>
      <sheetName val="SeisTrans"/>
      <sheetName val="EarthPr."/>
      <sheetName val="Summary"/>
      <sheetName val="ststr"/>
      <sheetName val="wcap"/>
      <sheetName val="irccoeff"/>
    </sheetNames>
    <sheetDataSet>
      <sheetData sheetId="0" refreshError="1"/>
      <sheetData sheetId="1" refreshError="1">
        <row r="6">
          <cell r="L6">
            <v>100.01</v>
          </cell>
        </row>
        <row r="8">
          <cell r="L8">
            <v>96.6</v>
          </cell>
        </row>
        <row r="9">
          <cell r="L9">
            <v>84.715000000000003</v>
          </cell>
        </row>
        <row r="16">
          <cell r="L16">
            <v>45</v>
          </cell>
        </row>
        <row r="18">
          <cell r="L18">
            <v>93.62</v>
          </cell>
        </row>
        <row r="22">
          <cell r="L22">
            <v>1.3</v>
          </cell>
        </row>
        <row r="23">
          <cell r="L23">
            <v>7.4999999999999997E-2</v>
          </cell>
        </row>
        <row r="24">
          <cell r="L24">
            <v>0</v>
          </cell>
        </row>
        <row r="26">
          <cell r="L26">
            <v>0.3</v>
          </cell>
        </row>
        <row r="34">
          <cell r="L34">
            <v>1.5</v>
          </cell>
        </row>
        <row r="41">
          <cell r="L41">
            <v>90.62</v>
          </cell>
        </row>
        <row r="42">
          <cell r="L42">
            <v>91.218000000000004</v>
          </cell>
        </row>
        <row r="59">
          <cell r="L59">
            <v>7.1999999999999995E-2</v>
          </cell>
        </row>
        <row r="75">
          <cell r="L75">
            <v>1.04</v>
          </cell>
        </row>
        <row r="77">
          <cell r="L77">
            <v>1</v>
          </cell>
        </row>
        <row r="79">
          <cell r="L79">
            <v>30</v>
          </cell>
        </row>
        <row r="81">
          <cell r="L81">
            <v>20</v>
          </cell>
        </row>
        <row r="83">
          <cell r="L83">
            <v>0.29731385720545089</v>
          </cell>
        </row>
        <row r="85">
          <cell r="L85">
            <v>6.1053577729528872</v>
          </cell>
        </row>
        <row r="87">
          <cell r="L87">
            <v>1.8</v>
          </cell>
        </row>
        <row r="92">
          <cell r="L92">
            <v>2.4</v>
          </cell>
        </row>
        <row r="109">
          <cell r="L109">
            <v>0.90300000000000002</v>
          </cell>
        </row>
        <row r="110">
          <cell r="L110">
            <v>112.012</v>
          </cell>
        </row>
        <row r="114">
          <cell r="L114">
            <v>846.6</v>
          </cell>
        </row>
        <row r="120">
          <cell r="L120">
            <v>20400</v>
          </cell>
        </row>
        <row r="127">
          <cell r="L127">
            <v>98.36</v>
          </cell>
        </row>
        <row r="133">
          <cell r="L133">
            <v>98.1</v>
          </cell>
        </row>
      </sheetData>
      <sheetData sheetId="2" refreshError="1">
        <row r="35">
          <cell r="F35">
            <v>160</v>
          </cell>
        </row>
        <row r="53">
          <cell r="F53">
            <v>62</v>
          </cell>
        </row>
        <row r="74">
          <cell r="F74">
            <v>142</v>
          </cell>
        </row>
        <row r="101">
          <cell r="F101">
            <v>58</v>
          </cell>
        </row>
        <row r="126">
          <cell r="J126">
            <v>35.62191951732526</v>
          </cell>
        </row>
        <row r="136">
          <cell r="J136">
            <v>18.957940868087608</v>
          </cell>
        </row>
      </sheetData>
      <sheetData sheetId="3" refreshError="1"/>
      <sheetData sheetId="4" refreshError="1">
        <row r="24">
          <cell r="F24">
            <v>0.7</v>
          </cell>
        </row>
        <row r="31">
          <cell r="F31">
            <v>1.3</v>
          </cell>
        </row>
        <row r="37">
          <cell r="F37">
            <v>24.630086404143974</v>
          </cell>
        </row>
        <row r="38">
          <cell r="H38">
            <v>13.854423602330989</v>
          </cell>
        </row>
        <row r="72">
          <cell r="J72">
            <v>652.33610482636482</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Input Data"/>
      <sheetName val="Cover (2)"/>
      <sheetName val="SPR"/>
      <sheetName val="NOTE File1"/>
      <sheetName val="Inspection Report"/>
      <sheetName val="Cover"/>
      <sheetName val="google-map"/>
      <sheetName val="COM ABS "/>
      <sheetName val="GA"/>
      <sheetName val="Schedule-A"/>
      <sheetName val="Schedule-A (Part-B)"/>
      <sheetName val="Road Estimate"/>
      <sheetName val="Key Map"/>
      <sheetName val="Lead"/>
      <sheetName val="Road data"/>
      <sheetName val="Rumble strip data"/>
      <sheetName val="Road-furniture "/>
      <sheetName val="Road Furniture-Data"/>
      <sheetName val="Seigneorage"/>
      <sheetName val="CD Abs"/>
      <sheetName val="Mtc-Abs"/>
      <sheetName val="MTS Esti"/>
      <sheetName val="1V 1m dia Pipe Culverts"/>
      <sheetName val="2V 1m dia Pipe Culverts"/>
      <sheetName val="Slab Culvert 1V 6m x 2m spa"/>
      <sheetName val="MTC DAtas"/>
      <sheetName val="Mtc-data"/>
      <sheetName val="Slab Culvert 2V 6m x 2m spa"/>
      <sheetName val="Ret wall"/>
      <sheetName val="Slab Culvert 1V 5m x 2m span"/>
      <sheetName val="Drain "/>
      <sheetName val="Road dam 30m"/>
      <sheetName val="Pipe data"/>
      <sheetName val="Slab-Culverts Data"/>
      <sheetName val="Road-Marks"/>
      <sheetName val="TENDER-NF"/>
      <sheetName val="Maitainenance data (2)"/>
      <sheetName val="NP4 pipes"/>
      <sheetName val="TRAFF-Count-ESAL-Cal"/>
      <sheetName val="ESAL-result"/>
      <sheetName val="ESAL-calculation "/>
      <sheetName val="ESAL-Data"/>
      <sheetName val="LS_2LS"/>
      <sheetName val="SSR-rates"/>
      <sheetName val="NP4 collars"/>
      <sheetName val="TEMP-C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41">
          <cell r="J41">
            <v>50720.430224882301</v>
          </cell>
        </row>
        <row r="42">
          <cell r="J42">
            <v>78167.430224882293</v>
          </cell>
        </row>
        <row r="43">
          <cell r="J43">
            <v>44936.430224882301</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23">
          <cell r="A23">
            <v>0</v>
          </cell>
        </row>
        <row r="24">
          <cell r="A24" t="str">
            <v xml:space="preserve">Plastering with CM.(1:5)mix 12mm thick for ISOLATED works including cost &amp; conveyance of all materials and labour charges etc,complete for all exposed brick work.
</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 val="Labour"/>
      <sheetName val="maya"/>
      <sheetName val="BWSCPlt"/>
      <sheetName val="CI"/>
      <sheetName val="DI"/>
      <sheetName val="G.R.P"/>
      <sheetName val="HDPE"/>
      <sheetName val="PSC REVISED"/>
      <sheetName val="pvc"/>
      <sheetName val="Lead"/>
      <sheetName val="leads"/>
      <sheetName val="LIST"/>
      <sheetName val="PlanAlign"/>
      <sheetName val="DESIGN"/>
      <sheetName val="Data"/>
    </sheetNames>
    <sheetDataSet>
      <sheetData sheetId="0"/>
      <sheetData sheetId="1"/>
      <sheetData sheetId="2"/>
      <sheetData sheetId="3" refreshError="1">
        <row r="19">
          <cell r="A19" t="str">
            <v>C.C (1:3:6) Mix  using 40mm  H.B.G metal including cost &amp; conveyance of all materials and labour charges seigniorage charges etc complete.</v>
          </cell>
        </row>
        <row r="20">
          <cell r="A20">
            <v>0</v>
          </cell>
        </row>
        <row r="21">
          <cell r="A21" t="str">
            <v xml:space="preserve">C.C (1:3:6) Mix using 20mm  H.B.G metal including cost &amp; conveyance of all materials and labour charges seigniorage charges etc complete.  </v>
          </cell>
        </row>
        <row r="22">
          <cell r="A22">
            <v>0</v>
          </cell>
        </row>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overpage"/>
      <sheetName val="TS memo"/>
      <sheetName val="Spn report"/>
      <sheetName val="BTR"/>
      <sheetName val="RMR"/>
      <sheetName val="Road data"/>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s>
    <sheetDataSet>
      <sheetData sheetId="0" refreshError="1"/>
      <sheetData sheetId="1" refreshError="1"/>
      <sheetData sheetId="2" refreshError="1"/>
      <sheetData sheetId="3" refreshError="1"/>
      <sheetData sheetId="4" refreshError="1"/>
      <sheetData sheetId="5" refreshError="1"/>
      <sheetData sheetId="6" refreshError="1">
        <row r="21">
          <cell r="L21">
            <v>931.346</v>
          </cell>
        </row>
        <row r="23">
          <cell r="L23">
            <v>703.64600000000007</v>
          </cell>
        </row>
        <row r="25">
          <cell r="L25">
            <v>224.46899999999999</v>
          </cell>
        </row>
        <row r="29">
          <cell r="F29">
            <v>2400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F7-1v1000-0_(3)"/>
      <sheetName val="ABST(PART_B)_"/>
      <sheetName val="F6-Gnrl_Abstrt"/>
      <sheetName val="Cover-MEstt_"/>
      <sheetName val="detls"/>
      <sheetName val="Road Detail Est."/>
      <sheetName val="Road data"/>
      <sheetName val="Levels"/>
      <sheetName val="r"/>
      <sheetName val="cert"/>
      <sheetName val="R/ad Detail Est."/>
      <sheetName val="F7-1v1000-0_(3)1"/>
      <sheetName val="ABST(PART_B)_1"/>
      <sheetName val="F6-Gnrl_Abstrt1"/>
      <sheetName val="Cover-MEstt_1"/>
      <sheetName val="Road_Detail_Est_"/>
      <sheetName val="Road_data"/>
      <sheetName val="R_ad Detail Est."/>
      <sheetName val="Specification"/>
      <sheetName val="leads"/>
      <sheetName val="rdamdata"/>
      <sheetName val="pvc-pipe-rates"/>
      <sheetName val="int-Dia-pvc"/>
      <sheetName val="Input"/>
      <sheetName val="Plant &amp;  Machinery"/>
      <sheetName val="sch"/>
      <sheetName val="RMR"/>
      <sheetName val="ssr-rates"/>
      <sheetName val="0000000000000"/>
      <sheetName val="R_Det"/>
      <sheetName val="Material"/>
      <sheetName val="Labour"/>
      <sheetName val="MRATES"/>
      <sheetName val="t_prsr"/>
      <sheetName val="wh"/>
      <sheetName val="[Yamanapalli to Mahamutharam (M"/>
      <sheetName val="Rate"/>
      <sheetName val="quarry"/>
      <sheetName val="lead-st"/>
      <sheetName val=" data sheet "/>
      <sheetName val="PVC_dia"/>
      <sheetName val="Bitumen trunk"/>
      <sheetName val="Feeder"/>
      <sheetName val="R99 etc"/>
      <sheetName val="Trunk unpaved"/>
      <sheetName val="Cd"/>
      <sheetName val="Cs"/>
      <sheetName val="CPIPE"/>
      <sheetName val="THK"/>
      <sheetName val="CPIPE 1"/>
      <sheetName val="CABLE DATA"/>
      <sheetName val="LEAD STATEMENT"/>
      <sheetName val="m1"/>
      <sheetName val="_Yamanapalli to Mahamutharam (M"/>
      <sheetName val="temp-SDData (2)"/>
      <sheetName val="coverpage"/>
      <sheetName val="Sheet1"/>
      <sheetName val="BWSCPlt"/>
      <sheetName val="CI"/>
      <sheetName val="DI"/>
      <sheetName val="G.R.P"/>
      <sheetName val="HDPE"/>
      <sheetName val="PSC REVISED"/>
      <sheetName val="pvc"/>
      <sheetName val="DATA SHEET"/>
      <sheetName val="PVC weights"/>
      <sheetName val="l"/>
      <sheetName val="maya"/>
      <sheetName val="1-Pop Proj"/>
      <sheetName val="1V of 2m slab"/>
      <sheetName val="2V of 3.0Mslab"/>
      <sheetName val="sand"/>
      <sheetName val="stone"/>
      <sheetName val="index"/>
      <sheetName val="pvc-rates"/>
      <sheetName val="Sheet2"/>
      <sheetName val="_Yamanapalli_to_Mahamutharam__2"/>
      <sheetName val="Common "/>
      <sheetName val="Boq"/>
      <sheetName val="1V800"/>
      <sheetName val="F7-1v1000-0_(3)2"/>
      <sheetName val="ABST(PART_B)_2"/>
      <sheetName val="F6-Gnrl_Abstrt2"/>
      <sheetName val="Cover-MEstt_2"/>
      <sheetName val="Road_Detail_Est_1"/>
      <sheetName val="Road_data1"/>
      <sheetName val="R/ad_Detail_Est_"/>
      <sheetName val="R_ad_Detail_Est_"/>
      <sheetName val="Plant_&amp;__Machinery"/>
      <sheetName val="Line"/>
      <sheetName val="Data_Renuals"/>
      <sheetName val="v"/>
      <sheetName val="R_Det esst"/>
      <sheetName val="CD_All_No_"/>
      <sheetName val="GA"/>
      <sheetName val="m"/>
      <sheetName val="Rising Main"/>
      <sheetName val="COVER"/>
      <sheetName val="RECAPITULATION"/>
      <sheetName val="final abstract"/>
      <sheetName val="BOQ_Direct_selling cost"/>
      <sheetName val="Rate analysis"/>
      <sheetName val="F7-1v1000-0_(3)3"/>
      <sheetName val="ABST(PART_B)_3"/>
      <sheetName val="F6-Gnrl_Abstrt3"/>
      <sheetName val="Cover-MEstt_3"/>
      <sheetName val="Road_Detail_Est_2"/>
      <sheetName val="Road_data2"/>
      <sheetName val="R/ad_Detail_Est_1"/>
      <sheetName val="R_ad_Detail_Est_1"/>
      <sheetName val="Plant_&amp;__Machinery1"/>
      <sheetName val="Data.F8.BTR"/>
      <sheetName val="LEAD.2014-15 West"/>
      <sheetName val="MTC-estimate"/>
      <sheetName val="GROUND FLOOR"/>
      <sheetName val="mlead"/>
      <sheetName val="Staff Acco."/>
      <sheetName val="Sorted"/>
      <sheetName val="water-hammar-strenght"/>
      <sheetName val="WATER-HAMMER"/>
      <sheetName val="hdpe weights"/>
      <sheetName val="Nspt-smp-final-ORIGINAL"/>
      <sheetName val="Cable-data"/>
      <sheetName val="Usage"/>
      <sheetName val="_Yamanapalli_to_Mahamutharam__3"/>
      <sheetName val="DATA_PRG"/>
      <sheetName val="Analy"/>
      <sheetName val="Estt"/>
      <sheetName val="id"/>
      <sheetName val="HDPE-pipe-rates"/>
      <sheetName val="HS 1"/>
      <sheetName val="wh_data"/>
      <sheetName val="wh_data_R"/>
      <sheetName val="CPHEEO"/>
      <sheetName val="BOXCELL"/>
      <sheetName val="BOXCULVERT"/>
      <sheetName val="Cut Fill"/>
      <sheetName val="FORM5"/>
      <sheetName val="Habitation"/>
      <sheetName val="Maintenance"/>
      <sheetName val="Proforma B"/>
      <sheetName val="RET "/>
      <sheetName val="TOE"/>
      <sheetName val="Traffic"/>
      <sheetName val="_Yamanapalli_to_Mahamutharam__4"/>
      <sheetName val="hdpe_basic"/>
      <sheetName val="pvc_basic"/>
      <sheetName val="Specification report"/>
      <sheetName val="well-cap"/>
      <sheetName val="Road-furniture "/>
      <sheetName val="_Yamanapalli_to_Mahamutharam__5"/>
      <sheetName val="p&amp;m"/>
      <sheetName val="Lead Distance"/>
      <sheetName val="JAWAHAR-hyd-original"/>
      <sheetName val="LEAD (2)"/>
      <sheetName val="_Yamanapalli_to_Mahamutharam__6"/>
      <sheetName val="_Yamanapalli_to_Mahamutharam__7"/>
      <sheetName val="_Yamanapalli_to_Mahamutharam__8"/>
      <sheetName val="habs-details"/>
      <sheetName val="int-Dia"/>
      <sheetName val="habs-list"/>
      <sheetName val="mas_hab"/>
      <sheetName val="pop"/>
      <sheetName val="MRoad data"/>
      <sheetName val="Data "/>
      <sheetName val="PM&amp;GM"/>
      <sheetName val="abs"/>
      <sheetName val="CBL_SIZE"/>
      <sheetName val="Load List"/>
      <sheetName val="CBL_OD"/>
      <sheetName val="abs road"/>
      <sheetName val="other rates"/>
      <sheetName val="_Yamanapalli_to_Mahamutharam__9"/>
      <sheetName val="_Yamanapalli_to_Mahamutharam_10"/>
      <sheetName val="_Yamanapalli_to_Mahamutharam_11"/>
      <sheetName val="Analysis-NH-Roads"/>
      <sheetName val="TBAL9697 -group wise  sdpl"/>
      <sheetName val="C&amp;S monthwise"/>
      <sheetName val="General"/>
      <sheetName val="int-Dia-hdpe"/>
      <sheetName val="WORDS"/>
      <sheetName val="Gen Abs"/>
      <sheetName val="DATA-CD"/>
      <sheetName val="C-data"/>
      <sheetName val="Lead 09-10"/>
      <sheetName val="PUMP_DATA"/>
      <sheetName val="Sheet1 (2)"/>
      <sheetName val="ewst"/>
      <sheetName val="11.habitations"/>
      <sheetName val="AV-HDPE"/>
      <sheetName val="Di_gate-HDPE"/>
      <sheetName val="Iocount"/>
      <sheetName val="DATA-BASE"/>
      <sheetName val="DATA-ABSTRACT"/>
      <sheetName val="SSR 2014-15 Rates"/>
      <sheetName val="FORM7"/>
      <sheetName val="AV_AC"/>
      <sheetName val="di_Gate_AC"/>
      <sheetName val="Digate-BWSCP-MS"/>
      <sheetName val="DI_gate_di"/>
      <sheetName val="hyperstatic"/>
      <sheetName val="ANALYSIS"/>
      <sheetName val="LOCAL RATES"/>
      <sheetName val="MRMECADAMoad data"/>
      <sheetName val="road est"/>
      <sheetName val="Schedule"/>
      <sheetName val="lead charges"/>
      <sheetName val="Basic Data"/>
      <sheetName val="Daily Wages of Crew"/>
      <sheetName val="Fuel"/>
      <sheetName val="Hire Charges"/>
      <sheetName val="lead statetment"/>
      <sheetName val="Hire"/>
      <sheetName val="lead details"/>
      <sheetName val="DATA SHEET FOR 2015-16"/>
      <sheetName val="Intput"/>
      <sheetName val="Well"/>
      <sheetName val="Load"/>
      <sheetName val="Lead statement ss5"/>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ntput"/>
      <sheetName val="Load"/>
      <sheetName val="WatCur"/>
      <sheetName val="Well"/>
      <sheetName val="SeisTrans"/>
      <sheetName val="EarthPr."/>
      <sheetName val="Summary"/>
      <sheetName val="ststr"/>
      <sheetName val="wcap"/>
      <sheetName val="irccoeff"/>
      <sheetName val="Intro"/>
    </sheetNames>
    <sheetDataSet>
      <sheetData sheetId="0"/>
      <sheetData sheetId="1"/>
      <sheetData sheetId="2"/>
      <sheetData sheetId="3"/>
      <sheetData sheetId="4"/>
      <sheetData sheetId="5"/>
      <sheetData sheetId="6"/>
      <sheetData sheetId="7"/>
      <sheetData sheetId="8"/>
      <sheetData sheetId="9"/>
      <sheetData sheetId="10"/>
      <sheetData sheetId="11" refreshError="1">
        <row r="29">
          <cell r="L29">
            <v>1.05</v>
          </cell>
        </row>
        <row r="30">
          <cell r="L30">
            <v>1.8</v>
          </cell>
        </row>
        <row r="31">
          <cell r="L31">
            <v>1.8</v>
          </cell>
        </row>
        <row r="32">
          <cell r="L32">
            <v>7.5</v>
          </cell>
        </row>
        <row r="33">
          <cell r="L33">
            <v>1.8</v>
          </cell>
        </row>
        <row r="62">
          <cell r="L62">
            <v>1.8</v>
          </cell>
        </row>
        <row r="64">
          <cell r="L64">
            <v>1.8</v>
          </cell>
        </row>
        <row r="66">
          <cell r="L66">
            <v>1.8</v>
          </cell>
        </row>
        <row r="68">
          <cell r="L68">
            <v>1.8</v>
          </cell>
        </row>
        <row r="90">
          <cell r="L90">
            <v>2.5</v>
          </cell>
        </row>
        <row r="141">
          <cell r="L141">
            <v>3.4510000000000001</v>
          </cell>
        </row>
      </sheetData>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St"/>
      <sheetName val="data"/>
      <sheetName val="pvcRates"/>
      <sheetName val="estimat"/>
      <sheetName val="Cover page "/>
      <sheetName val="speci-Rep"/>
      <sheetName val="seig charges"/>
      <sheetName val="Running Ac Bill"/>
      <sheetName val="CC form"/>
      <sheetName val="Cost"/>
      <sheetName val="Hand Recipt"/>
      <sheetName val="wEstimate"/>
      <sheetName val="Compari St"/>
      <sheetName val="Comple Re"/>
      <sheetName val="Sheet1"/>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St"/>
      <sheetName val="data"/>
      <sheetName val="pvcRates"/>
      <sheetName val="estimat"/>
      <sheetName val="Cover page "/>
      <sheetName val="speci-Rep"/>
      <sheetName val="seig charges"/>
      <sheetName val="Running Ac Bill"/>
      <sheetName val="CC form"/>
      <sheetName val="Cost"/>
      <sheetName val="Hand Recipt"/>
      <sheetName val="wEstimate"/>
      <sheetName val="Compari St"/>
      <sheetName val="Comple Re"/>
      <sheetName val="Sheet1"/>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s>
    <sheetDataSet>
      <sheetData sheetId="0" refreshError="1"/>
      <sheetData sheetId="1" refreshError="1"/>
      <sheetData sheetId="2" refreshError="1"/>
      <sheetData sheetId="3" refreshError="1">
        <row r="27">
          <cell r="E27" t="str">
            <v>Khammam</v>
          </cell>
        </row>
      </sheetData>
      <sheetData sheetId="4" refreshError="1"/>
      <sheetData sheetId="5" refreshError="1"/>
      <sheetData sheetId="6" refreshError="1"/>
      <sheetData sheetId="7" refreshError="1"/>
      <sheetData sheetId="8" refreshError="1"/>
      <sheetData sheetId="9" refreshError="1"/>
      <sheetData sheetId="10" refreshError="1">
        <row r="42">
          <cell r="J42">
            <v>131</v>
          </cell>
        </row>
        <row r="71">
          <cell r="J71">
            <v>916</v>
          </cell>
        </row>
        <row r="99">
          <cell r="J99">
            <v>1014</v>
          </cell>
        </row>
        <row r="126">
          <cell r="J126">
            <v>1125</v>
          </cell>
        </row>
        <row r="158">
          <cell r="J158">
            <v>25.5</v>
          </cell>
        </row>
        <row r="183">
          <cell r="J183">
            <v>4.8</v>
          </cell>
        </row>
        <row r="222">
          <cell r="J222">
            <v>4546</v>
          </cell>
        </row>
        <row r="240">
          <cell r="J240">
            <v>233</v>
          </cell>
        </row>
        <row r="251">
          <cell r="J251">
            <v>41.8</v>
          </cell>
        </row>
        <row r="301">
          <cell r="J301">
            <v>2002</v>
          </cell>
        </row>
        <row r="311">
          <cell r="J311">
            <v>1895</v>
          </cell>
        </row>
        <row r="376">
          <cell r="J376">
            <v>356</v>
          </cell>
        </row>
        <row r="408">
          <cell r="J408">
            <v>2696</v>
          </cell>
        </row>
        <row r="440">
          <cell r="J440">
            <v>3184</v>
          </cell>
        </row>
        <row r="594">
          <cell r="J594">
            <v>4305</v>
          </cell>
        </row>
        <row r="624">
          <cell r="J624">
            <v>4707</v>
          </cell>
        </row>
        <row r="653">
          <cell r="J653">
            <v>3173</v>
          </cell>
        </row>
        <row r="700">
          <cell r="J700">
            <v>33820</v>
          </cell>
        </row>
        <row r="733">
          <cell r="J733">
            <v>66</v>
          </cell>
        </row>
      </sheetData>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s>
    <sheetDataSet>
      <sheetData sheetId="0" refreshError="1"/>
      <sheetData sheetId="1" refreshError="1"/>
      <sheetData sheetId="2" refreshError="1"/>
      <sheetData sheetId="3" refreshError="1">
        <row r="27">
          <cell r="E27" t="str">
            <v>Khammam</v>
          </cell>
        </row>
      </sheetData>
      <sheetData sheetId="4" refreshError="1"/>
      <sheetData sheetId="5" refreshError="1"/>
      <sheetData sheetId="6" refreshError="1"/>
      <sheetData sheetId="7" refreshError="1"/>
      <sheetData sheetId="8" refreshError="1"/>
      <sheetData sheetId="9" refreshError="1"/>
      <sheetData sheetId="10" refreshError="1">
        <row r="42">
          <cell r="J42">
            <v>131</v>
          </cell>
        </row>
        <row r="71">
          <cell r="J71">
            <v>916</v>
          </cell>
        </row>
        <row r="99">
          <cell r="J99">
            <v>1014</v>
          </cell>
        </row>
        <row r="126">
          <cell r="J126">
            <v>1125</v>
          </cell>
        </row>
        <row r="158">
          <cell r="J158">
            <v>25.5</v>
          </cell>
        </row>
        <row r="183">
          <cell r="J183">
            <v>4.8</v>
          </cell>
        </row>
        <row r="222">
          <cell r="J222">
            <v>4546</v>
          </cell>
        </row>
        <row r="240">
          <cell r="J240">
            <v>233</v>
          </cell>
        </row>
        <row r="251">
          <cell r="J251">
            <v>41.8</v>
          </cell>
        </row>
        <row r="301">
          <cell r="J301">
            <v>2002</v>
          </cell>
        </row>
        <row r="311">
          <cell r="J311">
            <v>1895</v>
          </cell>
        </row>
        <row r="376">
          <cell r="J376">
            <v>356</v>
          </cell>
        </row>
        <row r="408">
          <cell r="J408">
            <v>2696</v>
          </cell>
        </row>
        <row r="440">
          <cell r="J440">
            <v>3184</v>
          </cell>
        </row>
        <row r="594">
          <cell r="J594">
            <v>4305</v>
          </cell>
        </row>
        <row r="624">
          <cell r="J624">
            <v>4707</v>
          </cell>
        </row>
        <row r="653">
          <cell r="J653">
            <v>3173</v>
          </cell>
        </row>
        <row r="700">
          <cell r="J700">
            <v>33820</v>
          </cell>
        </row>
        <row r="733">
          <cell r="J733">
            <v>66</v>
          </cell>
        </row>
      </sheetData>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ATA"/>
      <sheetName val="CD"/>
      <sheetName val="CD_All_No_"/>
      <sheetName val="PUMP_DATA"/>
      <sheetName val="r"/>
      <sheetName val="coverpage"/>
      <sheetName val="Road data"/>
      <sheetName val="v"/>
      <sheetName val="maya"/>
      <sheetName val="Material"/>
      <sheetName val="Plant &amp;  Machinery"/>
      <sheetName val="Buildings"/>
      <sheetName val="segments-details"/>
      <sheetName val="int-Dia-hdpe"/>
      <sheetName val="habs-list"/>
      <sheetName val="int-Dia-pvc"/>
      <sheetName val="abs road"/>
      <sheetName val="R_Det"/>
      <sheetName val="PH data"/>
      <sheetName val="BWSCPlt"/>
      <sheetName val="CI"/>
      <sheetName val="DI"/>
      <sheetName val="G.R.P"/>
      <sheetName val="HDPE"/>
      <sheetName val="PSC REVISED"/>
      <sheetName val="pvc"/>
      <sheetName val="RMR"/>
      <sheetName val="LEAD S 10-11"/>
      <sheetName val="Data o"/>
      <sheetName val="Intro"/>
      <sheetName val="Rates"/>
      <sheetName val="lead charges"/>
      <sheetName val=" data sheet "/>
      <sheetName val="data existing_do not delete"/>
      <sheetName val="MRATES"/>
      <sheetName val="Main"/>
      <sheetName val="ABS"/>
      <sheetName val="Data_Base"/>
      <sheetName val="DATA SHEET FOR 2012 - 13"/>
      <sheetName val="rdamdata"/>
      <sheetName val="Lead statement"/>
      <sheetName val="Main sheet"/>
      <sheetName val="ESTIMATE"/>
      <sheetName val="Lead statement ss5"/>
      <sheetName val="CPHEEO"/>
      <sheetName val="wh_data_R"/>
      <sheetName val="0000000000000"/>
      <sheetName val="mlead"/>
      <sheetName val="Work_sheet"/>
      <sheetName val="DATA SHEET"/>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DATA-BASE"/>
      <sheetName val="DATA-ABSTRACT"/>
      <sheetName val="leads"/>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s>
    <sheetDataSet>
      <sheetData sheetId="0"/>
      <sheetData sheetId="1"/>
      <sheetData sheetId="2"/>
      <sheetData sheetId="3" refreshError="1">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s>
    <sheetDataSet>
      <sheetData sheetId="0"/>
      <sheetData sheetId="1"/>
      <sheetData sheetId="2"/>
      <sheetData sheetId="3" refreshError="1">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CS"/>
      <sheetName val="maya"/>
      <sheetName val="ValveChamber"/>
      <sheetName val="V-CR"/>
    </sheetNames>
    <sheetDataSet>
      <sheetData sheetId="0"/>
      <sheetData sheetId="1" refreshError="1">
        <row r="11">
          <cell r="A11" t="e">
            <v>#REF!</v>
          </cell>
        </row>
        <row r="12">
          <cell r="A12" t="e">
            <v>#REF!</v>
          </cell>
        </row>
        <row r="13">
          <cell r="A13" t="e">
            <v>#REF!</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t="e">
            <v>#REF!</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t="e">
            <v>#REF!</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sheetData>
      <sheetData sheetId="2"/>
      <sheetData sheetId="3"/>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CS"/>
      <sheetName val="maya"/>
      <sheetName val="ValveChamber"/>
      <sheetName val="V-CR"/>
    </sheetNames>
    <sheetDataSet>
      <sheetData sheetId="0"/>
      <sheetData sheetId="1" refreshError="1">
        <row r="11">
          <cell r="A11" t="e">
            <v>#REF!</v>
          </cell>
        </row>
        <row r="12">
          <cell r="A12" t="e">
            <v>#REF!</v>
          </cell>
        </row>
        <row r="13">
          <cell r="A13" t="e">
            <v>#REF!</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t="e">
            <v>#REF!</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t="e">
            <v>#REF!</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sheetData>
      <sheetData sheetId="2"/>
      <sheetData sheetId="3"/>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est(mord)"/>
      <sheetName val="data"/>
      <sheetName val="Lead statement ss5"/>
      <sheetName val="Lead statement -IRC"/>
      <sheetName val="Conveyance"/>
    </sheetNames>
    <sheetDataSet>
      <sheetData sheetId="0"/>
      <sheetData sheetId="1"/>
      <sheetData sheetId="2"/>
      <sheetData sheetId="3"/>
      <sheetData sheetId="4"/>
      <sheetData sheetId="5" refreshError="1">
        <row r="26">
          <cell r="C26">
            <v>6.5000000000000002E-2</v>
          </cell>
        </row>
        <row r="28">
          <cell r="C28">
            <v>0.06</v>
          </cell>
        </row>
      </sheetData>
      <sheetData sheetId="6"/>
      <sheetData sheetId="7"/>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est(mord)"/>
      <sheetName val="data"/>
      <sheetName val="Lead statement ss5"/>
      <sheetName val="Lead statement -IRC"/>
      <sheetName val="Conveyance"/>
    </sheetNames>
    <sheetDataSet>
      <sheetData sheetId="0" refreshError="1"/>
      <sheetData sheetId="1" refreshError="1"/>
      <sheetData sheetId="2" refreshError="1"/>
      <sheetData sheetId="3" refreshError="1"/>
      <sheetData sheetId="4" refreshError="1"/>
      <sheetData sheetId="5" refreshError="1">
        <row r="26">
          <cell r="C26">
            <v>6.5000000000000002E-2</v>
          </cell>
        </row>
        <row r="28">
          <cell r="C28">
            <v>0.06</v>
          </cell>
        </row>
      </sheetData>
      <sheetData sheetId="6" refreshError="1"/>
      <sheetData sheetId="7"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4"/>
      <sheetData sheetId="5"/>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4"/>
      <sheetData sheetId="5"/>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 xml:space="preserve">Plastering with CM.(1:5)mix 12mm thick for ISOLATED works including cost &amp; conveyance of all materials and labour charges etc,complete for all exposed brick work.
</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Cover-MEstt_"/>
      <sheetName val="ABST(PART_B)_"/>
      <sheetName val="F6-Gnrl_Abstrt"/>
      <sheetName val="sub-data_"/>
      <sheetName val="sub_estt"/>
      <sheetName val="lead-st"/>
      <sheetName val="rdamdata"/>
      <sheetName val="Work_sheet"/>
      <sheetName val="Common "/>
      <sheetName val="r"/>
      <sheetName val="Cover-MEstt_1"/>
      <sheetName val="ABST(PART_B)_1"/>
      <sheetName val="F6-Gnrl_Abstrt1"/>
      <sheetName val="sub-data_1"/>
      <sheetName val="Data_F8_BTR1"/>
      <sheetName val="sub_estt1"/>
      <sheetName val="Common_"/>
      <sheetName val="Lead statement ss5"/>
      <sheetName val="MRATES"/>
      <sheetName val="DATA_PRG"/>
      <sheetName val="Material"/>
      <sheetName val="Plant &amp;  Machinery"/>
      <sheetName val="segments-details"/>
      <sheetName val="int-Dia-hdpe"/>
      <sheetName val="habs-list"/>
      <sheetName val="int-Dia-pvc"/>
      <sheetName val="Lead statement"/>
      <sheetName val="DATA"/>
      <sheetName val="Road data"/>
      <sheetName val="mlead"/>
      <sheetName val="abs road"/>
      <sheetName val="R_Det"/>
      <sheetName val="Works"/>
      <sheetName val="RMR"/>
      <sheetName val="General"/>
      <sheetName val="v"/>
      <sheetName val="t_prsr"/>
      <sheetName val="id"/>
      <sheetName val="wh_data"/>
      <sheetName val="wh_data_R"/>
      <sheetName val="CPHEEO"/>
      <sheetName val="input"/>
      <sheetName val="Class IV Qtr. Ele"/>
      <sheetName val="coverpage"/>
      <sheetName val="m"/>
      <sheetName val="Levels"/>
      <sheetName val="GROUND FLOOR"/>
      <sheetName val="PUMP_DATA"/>
      <sheetName val="leads"/>
      <sheetName val="CI"/>
      <sheetName val="DI"/>
      <sheetName val="G.R.P"/>
      <sheetName val="HDPE"/>
      <sheetName val="PSC REVISED"/>
      <sheetName val="pvc"/>
      <sheetName val="F6-Est4"/>
      <sheetName val="Bitumen trunk"/>
      <sheetName val="Feeder"/>
      <sheetName val="R99 etc"/>
      <sheetName val="Trunk unpaved"/>
      <sheetName val="maya"/>
      <sheetName val="BWSCPlt"/>
      <sheetName val="CPI"/>
      <sheetName val="WPI C"/>
      <sheetName val="WPI all"/>
      <sheetName val="WPI HM"/>
      <sheetName val="WPI S"/>
      <sheetName val="nodes"/>
      <sheetName val="int-Dia"/>
      <sheetName val="JAWAHAR-hyd-original"/>
      <sheetName val="SPT vs PHI"/>
      <sheetName val="LS"/>
      <sheetName val="sub-dapa "/>
      <sheetName val="Plant 㫨  Machinery"/>
      <sheetName val="DATA_ENTRY"/>
      <sheetName val="Cover"/>
      <sheetName val="Bridge Data 2005-06"/>
      <sheetName val="Rate"/>
      <sheetName val="PM&amp;GM"/>
      <sheetName val="AV-PVC"/>
      <sheetName val="DI gate-DI"/>
      <sheetName val="DIgate_PVC "/>
      <sheetName val="sg-clay(d)"/>
      <sheetName val="DATA-BASE"/>
      <sheetName val="DATA-ABSTRACT"/>
      <sheetName val="Data 07-08 "/>
      <sheetName val="SSR 2015-16"/>
      <sheetName val="DATA SHEET FOR 2012 - 13"/>
      <sheetName val="Main sheet"/>
      <sheetName val="Nspt-smp-final-ORIGINAL"/>
      <sheetName val="Sorted"/>
      <sheetName val="ABS"/>
      <sheetName val="SUMP1420KL@HW"/>
      <sheetName val="Sheet2"/>
      <sheetName val="Specification"/>
      <sheetName val="Rates"/>
      <sheetName val="Data-ELSR"/>
      <sheetName val=" Data -Valves"/>
      <sheetName val="zone-8"/>
      <sheetName val="MHNO_LEV"/>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Sheet9"/>
      <sheetName val="gen"/>
      <sheetName val="Cover-MEstt_2"/>
      <sheetName val="ABST(PART_B)_2"/>
      <sheetName val="F6-Gnrl_Abstrt2"/>
      <sheetName val="sub-data_2"/>
      <sheetName val="Data_F8_BTR2"/>
      <sheetName val="sub_estt2"/>
      <sheetName val="Common_1"/>
      <sheetName val="Plant_&amp;__Machinery"/>
      <sheetName val="Lead_statement_ss5"/>
      <sheetName val="Lead_statement"/>
      <sheetName val="Road_data"/>
      <sheetName val="abs_road"/>
      <sheetName val="Class_IV_Qtr__Ele"/>
      <sheetName val="hdpe_basic"/>
      <sheetName val="pvc_basic"/>
      <sheetName val="ESTIMATE"/>
      <sheetName val="Mortars"/>
      <sheetName val="m1"/>
      <sheetName val="hdpe weights"/>
      <sheetName val="data existing_do not delete"/>
      <sheetName val="Rd.Est"/>
      <sheetName val="1V800"/>
      <sheetName val="Data rough"/>
      <sheetName val="Lead Distance"/>
      <sheetName val="G_R_P"/>
      <sheetName val="PSC_REVISED"/>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Boq"/>
      <sheetName val="TBAL9697 -group wise  sdpl"/>
      <sheetName val="Process"/>
      <sheetName val="Specification report"/>
      <sheetName val="MRoad data"/>
      <sheetName val="bundqty"/>
      <sheetName val="p&amp;m"/>
      <sheetName val="habs-details"/>
      <sheetName val="hab-details"/>
      <sheetName val="INPUT-DATA"/>
      <sheetName val="DL CAL"/>
      <sheetName val="SSR 2014-15 Rates"/>
      <sheetName val="Flanged Beams"/>
      <sheetName val="Rectangular Beam"/>
      <sheetName val="not req 3"/>
      <sheetName val="ultmom"/>
      <sheetName val="dlvoid"/>
      <sheetName val="final abstract"/>
      <sheetName val="detail'02"/>
      <sheetName val="Convey"/>
      <sheetName val="WATER-HAMMER"/>
      <sheetName val="20kL-design-final"/>
      <sheetName val="wh"/>
      <sheetName val="AV-HDPE"/>
      <sheetName val="Di_gate-HDPE"/>
      <sheetName val="C.D.Abs.Est."/>
      <sheetName val="data-WC"/>
      <sheetName val="detls"/>
      <sheetName val="Detail In Door Stad"/>
      <sheetName val="_5wgdhabfinal00_01"/>
      <sheetName val="water-hammar-strenght"/>
      <sheetName val="LOCAL RATES"/>
      <sheetName val="TOP SLAB-beams"/>
      <sheetName val="Elect."/>
      <sheetName val="AV-BWSC&amp;MS"/>
      <sheetName val="AV_AC"/>
      <sheetName val="di_Gate_AC"/>
      <sheetName val="Digate-BWSCP-MS"/>
      <sheetName val="DI_gate_di"/>
      <sheetName val="LEAD (2)"/>
      <sheetName val="FORM7"/>
      <sheetName val="PVC weights"/>
      <sheetName val="index"/>
      <sheetName val="Global factors"/>
      <sheetName val="Z1_DATA"/>
      <sheetName val="co_5"/>
      <sheetName val="BM-HOOP"/>
      <sheetName val="Iocount"/>
      <sheetName val="ewst"/>
      <sheetName val="l"/>
      <sheetName val="Data well"/>
      <sheetName val="C-data"/>
      <sheetName val="SSR 2010-11 Rates"/>
      <sheetName val="Valves"/>
      <sheetName val="MS Rates"/>
      <sheetName val="hdpe-rates"/>
      <sheetName val="pvc-rates"/>
      <sheetName val="DATA SHEET FOR 2014-15"/>
      <sheetName val="SSR 2016-17"/>
      <sheetName val="crop water req.(Kh)  "/>
      <sheetName val="Bund"/>
      <sheetName val="BALAN1"/>
      <sheetName val="Formulas"/>
      <sheetName val="SITE OVERHEADS"/>
      <sheetName val="BTR"/>
      <sheetName val="Line"/>
      <sheetName val="conc-foot-gradeslab"/>
      <sheetName val="other rates"/>
      <sheetName val="MTC-estimate"/>
      <sheetName val="Gen Abs"/>
      <sheetName val="DATA-CD"/>
      <sheetName val="Sheet3"/>
      <sheetName val="pop"/>
      <sheetName val="ssr-rates"/>
      <sheetName val="1-Pop Proj"/>
      <sheetName val="sand"/>
      <sheetName val="stone"/>
      <sheetName val="Hyd_Stmt"/>
      <sheetName val="Quarry"/>
      <sheetName val="CRUST"/>
      <sheetName val="QDTS"/>
      <sheetName val="nandipet intra"/>
      <sheetName val="AV-DI"/>
      <sheetName val="scour-DI-CI"/>
      <sheetName val="scour-pvc-hdpe-psc-bwsc"/>
      <sheetName val="Bill_amt_qty_cc_1"/>
      <sheetName val="BS8007"/>
      <sheetName val="D2_CO"/>
      <sheetName val="#REF"/>
      <sheetName val="checked"/>
      <sheetName val="Detailed"/>
      <sheetName val="Habcodes"/>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dump"/>
      <sheetName val="Relig-place"/>
      <sheetName val="basdat"/>
      <sheetName val="Data-2010-11"/>
      <sheetName val="foundation(V)"/>
      <sheetName val="Main"/>
      <sheetName val="TCS_Schedule (2)"/>
      <sheetName val="137-140"/>
      <sheetName val="141-142"/>
      <sheetName val="ElectricalSSR"/>
      <sheetName val="Earthwork MCW"/>
      <sheetName val="TCS Proposed"/>
      <sheetName val="Road data-TDR"/>
      <sheetName val="factors"/>
      <sheetName val="sup dat"/>
      <sheetName val="PLAN_FEB97"/>
      <sheetName val="MRMECADAMoad data"/>
      <sheetName val="Road Detail Est."/>
      <sheetName val="1000000000000"/>
      <sheetName val="Drains Est"/>
      <sheetName val="0000000000000"/>
      <sheetName val="PVC_dia"/>
      <sheetName val="Structure Bills Qty"/>
      <sheetName val="Chapter 4"/>
      <sheetName val="Abs_CD_2"/>
      <sheetName val="road est"/>
      <sheetName val="ECV"/>
      <sheetName val="LEAD S 10-11"/>
      <sheetName val="Watersoft (2)"/>
      <sheetName val="CC Road"/>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dpc cost"/>
      <sheetName val="SUMMERY"/>
      <sheetName val="Census_of_India_2001"/>
      <sheetName val="Admin"/>
      <sheetName val="FACE"/>
      <sheetName val="PH data"/>
      <sheetName val="HYDRAULICS"/>
      <sheetName val="Check List"/>
      <sheetName val="Recovery"/>
      <sheetName val="rate analysis "/>
      <sheetName val="(4)F-81 Exp.side"/>
      <sheetName val="Designs"/>
      <sheetName val="BASE_ALL"/>
      <sheetName val="WTP-Pr"/>
      <sheetName val="Data base"/>
      <sheetName val="Av.G Level"/>
      <sheetName val="E6"/>
      <sheetName val="E8"/>
      <sheetName val="E11"/>
      <sheetName val="QUOT_1"/>
      <sheetName val="STAMT"/>
      <sheetName val="JACKWELL"/>
      <sheetName val="tab1&amp;2"/>
      <sheetName val="Form_E6"/>
      <sheetName val="LLEGADA"/>
      <sheetName val="N- Ward Codes"/>
      <sheetName val="NEW "/>
      <sheetName val="LABOUR RATE"/>
      <sheetName val="Material Rate"/>
      <sheetName val="Pier Design(with offset)"/>
      <sheetName val="Staff Acco."/>
      <sheetName val="WPI CM"/>
      <sheetName val="Aug,02"/>
      <sheetName val="GM&amp;PM WE1 EST"/>
      <sheetName val="BWSCP"/>
      <sheetName val="1"/>
      <sheetName val="3"/>
      <sheetName val="4"/>
      <sheetName val="HDPE-pipe-rates"/>
      <sheetName val="pvc-pipe-rates"/>
      <sheetName val="EDWise"/>
      <sheetName val="dist dump"/>
      <sheetName val="New33KVSS_E3"/>
      <sheetName val="Prop aug of Ex 33KVSS_E3a"/>
      <sheetName val="agl-pump-sets"/>
      <sheetName val="EG"/>
      <sheetName val="pump-sets(AI)"/>
      <sheetName val="per-capita"/>
      <sheetName val="towns&amp;villages"/>
      <sheetName val="Addl.40"/>
      <sheetName val="bricks"/>
      <sheetName val="Table 4"/>
      <sheetName val="Table 5"/>
      <sheetName val="Table 2"/>
      <sheetName val="Table 27"/>
      <sheetName val="Bill-12"/>
      <sheetName val="Mp-team 1"/>
      <sheetName val="dBase"/>
      <sheetName val="inWords"/>
      <sheetName val="pumping main"/>
      <sheetName val="11.Habitations"/>
      <sheetName val="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Sheet3"/>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Class IV Qtr. Ele"/>
      <sheetName val="data"/>
      <sheetName val="Bridge Data 2005-06"/>
      <sheetName val="GF SB Ok "/>
      <sheetName val="lead-st"/>
      <sheetName val="rdamdata"/>
      <sheetName val="sup dat"/>
      <sheetName val="Sheet2"/>
      <sheetName val="MRATES"/>
      <sheetName val="HDPE"/>
      <sheetName val="pvc_basic"/>
      <sheetName val="DATA_PRG"/>
      <sheetName val="AV-HDPE"/>
      <sheetName val="Di_gate-HDPE"/>
      <sheetName val="BWSCPlt"/>
      <sheetName val="CI"/>
      <sheetName val="DI"/>
      <sheetName val="G.R.P"/>
      <sheetName val="PSC REVISED"/>
      <sheetName val="pvc"/>
      <sheetName val="segments-details"/>
      <sheetName val="int-Dia-hdpe"/>
      <sheetName val="habs-list"/>
      <sheetName val="Sheet1"/>
      <sheetName val="Bitumen trunk"/>
      <sheetName val="Feeder"/>
      <sheetName val="R99 etc"/>
      <sheetName val="Trunk unpaved"/>
      <sheetName val="r"/>
      <sheetName val="leads"/>
      <sheetName val="Plant_&amp;__Machi.ery"/>
      <sheetName val="v"/>
      <sheetName val="nodes"/>
      <sheetName val="PUMP_DATA"/>
      <sheetName val="Lead"/>
      <sheetName val="pop"/>
      <sheetName val="ssr-rates"/>
      <sheetName val="int-Dia"/>
      <sheetName val="JAWAHAR-hyd-original"/>
      <sheetName val="Rate"/>
      <sheetName val="Work_sheet"/>
      <sheetName val="SSR(I㫨CAD)"/>
      <sheetName val="Plant 㫨  Machinery"/>
      <sheetName val="Plant_㫨__Machinery"/>
      <sheetName val="Plant_㫨__Machi.ery"/>
      <sheetName val="0000000000000"/>
      <sheetName val="cert"/>
      <sheetName val="data existing_do not delete"/>
      <sheetName val="CS "/>
      <sheetName val="maya"/>
      <sheetName val="Lead statement ss5"/>
      <sheetName val="Abs"/>
      <sheetName val="Civil Boq"/>
      <sheetName val="THK"/>
      <sheetName val="Usage"/>
      <sheetName val="General"/>
      <sheetName val="RAFT"/>
      <sheetName val="scour depth"/>
      <sheetName val="bom"/>
      <sheetName val="Estimate copy"/>
      <sheetName val="VALVE_PITU"/>
      <sheetName val="Rates"/>
      <sheetName val="Road data"/>
      <sheetName val="DATA_ENTRY"/>
      <sheetName val="sg-clay(d)"/>
      <sheetName val="SUMP1420KL@HW"/>
      <sheetName val="box-12"/>
      <sheetName val="DATAS"/>
      <sheetName val="SR"/>
      <sheetName val="DISCOUNT"/>
      <sheetName val="int-Dia-pvc"/>
      <sheetName val="stone"/>
      <sheetName val="八幡"/>
      <sheetName val="CPI"/>
      <sheetName val="WPI C"/>
      <sheetName val="WPI all"/>
      <sheetName val="WPI CM"/>
      <sheetName val="WPI S"/>
      <sheetName val="SSR 2015-16"/>
      <sheetName val="t_prsr"/>
      <sheetName val="id"/>
      <sheetName val="wh"/>
      <sheetName val="DATA SHEET FOR 2012 - 13"/>
      <sheetName val="l"/>
      <sheetName val="_5wgdhabfinal00_01"/>
      <sheetName val="hdpe_basic"/>
      <sheetName val="1V800"/>
      <sheetName val="zone-8"/>
      <sheetName val="MHNO_LEV"/>
      <sheetName val="coverpage"/>
      <sheetName val="Delivery mains"/>
      <sheetName val="Road Detail Est."/>
      <sheetName val="GEN_abstrct"/>
      <sheetName val="p&amp;m"/>
      <sheetName val="bundqty"/>
      <sheetName val="RMR"/>
      <sheetName val="Main sheet"/>
      <sheetName val="BM-HOOP"/>
      <sheetName val="Relig-place"/>
      <sheetName val="Specification"/>
      <sheetName val="Hyd_Stmt"/>
      <sheetName val="co_5"/>
      <sheetName val="PVC weights"/>
      <sheetName val="hdpe weights"/>
      <sheetName val="Data-ELSR"/>
      <sheetName val="Analy_7-10"/>
      <sheetName val="index"/>
      <sheetName val=" data sheet "/>
      <sheetName val="wh_data"/>
      <sheetName val="CPHEEO"/>
      <sheetName val="wh_data_R"/>
      <sheetName val="input"/>
      <sheetName val="ESTIMATE"/>
      <sheetName val="Z1_DATA"/>
      <sheetName val="Convey -16-17"/>
      <sheetName val="dBase"/>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Meas.-Hotel Part"/>
      <sheetName val="mlead"/>
      <sheetName val="COVER"/>
      <sheetName val="inWords"/>
      <sheetName val="ewst"/>
      <sheetName val="Data rough"/>
      <sheetName val="abs road"/>
      <sheetName val="CPIPE"/>
      <sheetName val="Data o"/>
      <sheetName val="Levels"/>
      <sheetName val="Data Main sheet"/>
      <sheetName val="Lead Distance"/>
      <sheetName val="Sheet9"/>
      <sheetName val="Iocount"/>
      <sheetName val="water-hammar-strenght"/>
      <sheetName val="Nspt-smp-final-ORIGINAL"/>
      <sheetName val="habs-details"/>
      <sheetName val="GM&amp;PM WE1 EST"/>
      <sheetName val="BWSCP"/>
      <sheetName val="hdpe-rates"/>
      <sheetName val="HDPE-pipe-rates"/>
      <sheetName val="pvc-pipe-rates"/>
      <sheetName val="LOCAL RATES"/>
      <sheetName val="sand"/>
      <sheetName val="WATER-HAMMER"/>
      <sheetName val="Staff Acco."/>
      <sheetName val="C-data"/>
      <sheetName val="DI gate-DI"/>
      <sheetName val="PM&amp;GM"/>
      <sheetName val="DIgate_PVC "/>
      <sheetName val="PH-Data"/>
      <sheetName val="Convey"/>
      <sheetName val="detls"/>
      <sheetName val="Sheet5"/>
      <sheetName val="DATA SHEET FOR 2014-15"/>
      <sheetName val="R_Det"/>
      <sheetName val="LABOUR RATE"/>
      <sheetName val="Material Rate"/>
      <sheetName val="Bed Class"/>
      <sheetName val="Cd"/>
      <sheetName val="MRoad data"/>
      <sheetName val="Macro1"/>
      <sheetName val="AV_AC"/>
      <sheetName val="di_Gate_AC"/>
      <sheetName val="Digate-BWSCP-MS"/>
      <sheetName val="DI_gate_di"/>
      <sheetName val="C.D.Abs.Est."/>
      <sheetName val="VALV"/>
      <sheetName val="2014"/>
      <sheetName val="3405-2014"/>
      <sheetName val="Qty"/>
      <sheetName val="MTC-estimate"/>
      <sheetName val="Gen Abs"/>
      <sheetName val="other rates"/>
      <sheetName val="Table12"/>
      <sheetName val="Table9"/>
      <sheetName val="11.Habitations"/>
      <sheetName val="SSR 2016-17"/>
      <sheetName val="Detailed"/>
      <sheetName val="Admin"/>
      <sheetName val="GA-Paderu"/>
      <sheetName val="conc-foot-gradeslab"/>
      <sheetName val="LEAD S 10-11"/>
      <sheetName val="Global factors"/>
      <sheetName val="BS8007"/>
      <sheetName val="FT-05-02IsoBOM"/>
      <sheetName val="BALAN1"/>
      <sheetName val="m1"/>
      <sheetName val="TBAL9697 -group wise  sdpl"/>
      <sheetName val="Quarry"/>
      <sheetName val="Line"/>
      <sheetName val="BTR"/>
      <sheetName val="CRUST"/>
      <sheetName val="QDTS"/>
      <sheetName val="Abs_CD_2"/>
      <sheetName val="road est"/>
      <sheetName val="ECV"/>
      <sheetName val="AV-DI"/>
      <sheetName val="AV-PVC"/>
      <sheetName val="scour-DI-CI"/>
      <sheetName val="scour-pvc-hdpe-psc-bwsc"/>
      <sheetName val="Analy"/>
      <sheetName val="WPI HM"/>
      <sheetName val="Master data"/>
      <sheetName val="analysis"/>
      <sheetName val="factors"/>
      <sheetName val="Habcodes"/>
      <sheetName val="FORM7"/>
      <sheetName val="abst"/>
      <sheetName val="design"/>
      <sheetName val="MRMECADAMoad data"/>
      <sheetName val="Road data-TDR"/>
      <sheetName val="Mortars"/>
      <sheetName val="rate analysis "/>
      <sheetName val="Main"/>
      <sheetName val="CT"/>
      <sheetName val="PT"/>
      <sheetName val="Pier Design(with offset)"/>
      <sheetName val="Census_of_India_2001"/>
      <sheetName val="(4)F-81 Exp.side"/>
      <sheetName val="PH data"/>
      <sheetName val="FACE"/>
      <sheetName val="DataInput"/>
      <sheetName val="DataInput-1"/>
      <sheetName val="DI Rate Analysis"/>
      <sheetName val="Economic RisingMain  Ph-I"/>
      <sheetName val=" Data -Valves"/>
      <sheetName val="INPUT-DATA"/>
      <sheetName val="Designs"/>
      <sheetName val="HYDRAULICS"/>
      <sheetName val="Check List"/>
      <sheetName val="Recovery"/>
      <sheetName val="cap-cwr_top"/>
      <sheetName val="CC Road"/>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Rates2"/>
      <sheetName val="STAMT"/>
      <sheetName val="DREV"/>
      <sheetName val="CREV"/>
      <sheetName val="Av.G Level"/>
      <sheetName val="kC"/>
      <sheetName val="Scheme Area Details_Block__ C2"/>
      <sheetName val="Consumption"/>
      <sheetName val="tab1&amp;2"/>
      <sheetName val="1-Pop Proj"/>
      <sheetName val="travel_per"/>
      <sheetName val="Cs"/>
      <sheetName val="Flanged Beams"/>
      <sheetName val="Rectangular Beam"/>
      <sheetName val="Material "/>
      <sheetName val="Lead  RATES"/>
      <sheetName val="zone-2"/>
      <sheetName val="mas_hab"/>
      <sheetName val="s"/>
      <sheetName val="TOP SLAB-beams"/>
      <sheetName val="Addl. DN"/>
      <sheetName val="650kL-design-final"/>
      <sheetName val="AV_GRP ms bwsc"/>
      <sheetName val="GM&amp;PM EST"/>
      <sheetName val="HS final-2"/>
      <sheetName val="Sorted"/>
      <sheetName val="Rates-May-14"/>
      <sheetName val="desing crust"/>
      <sheetName val="vermi det"/>
      <sheetName val="SubAnlysis"/>
      <sheetName val="DOC-Register"/>
      <sheetName val="Table 4"/>
      <sheetName val="Table 5"/>
      <sheetName val="Table 2"/>
      <sheetName val="Table 27"/>
      <sheetName val="Inventory"/>
      <sheetName val="TrCarr"/>
      <sheetName val="SPT vs PHI"/>
      <sheetName val="AC"/>
      <sheetName val="AV-BWSC&amp;MS"/>
    </sheetNames>
    <sheetDataSet>
      <sheetData sheetId="0">
        <row r="11">
          <cell r="A11" t="str">
            <v>Thickness</v>
          </cell>
        </row>
      </sheetData>
      <sheetData sheetId="1">
        <row r="6">
          <cell r="I6" t="str">
            <v>DIA</v>
          </cell>
        </row>
      </sheetData>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row r="11">
          <cell r="A11" t="str">
            <v>Thickness</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row r="6">
          <cell r="I6" t="str">
            <v>DIA</v>
          </cell>
        </row>
      </sheetData>
      <sheetData sheetId="44"/>
      <sheetData sheetId="45"/>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Cover-MEstt_"/>
      <sheetName val="ABST(PART_B)_"/>
      <sheetName val="F6-Gnrl_Abstrt"/>
      <sheetName val="Data_F8_BTR"/>
      <sheetName val="sub-data_-no_full"/>
      <sheetName val="Diff_stmn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
      <sheetName val="data"/>
      <sheetName val="rdamdata"/>
      <sheetName val="Lead statement ss5"/>
      <sheetName val="Sheet1"/>
      <sheetName val="Labour"/>
      <sheetName val="Material"/>
      <sheetName val="Plant &amp;  Machinery"/>
      <sheetName val="LEADS"/>
      <sheetName val="Road data"/>
      <sheetName val="pvc-pipe-rates"/>
      <sheetName val="Specification"/>
      <sheetName val="m"/>
      <sheetName val="ssr-rates"/>
      <sheetName val="Lead statement"/>
      <sheetName val="data existing_do not delete"/>
      <sheetName val="Data_Renuals"/>
      <sheetName val="ABS"/>
      <sheetName val="sand"/>
      <sheetName val="stone"/>
      <sheetName val="MRATES"/>
      <sheetName val="0000000000000"/>
      <sheetName val="segments-details"/>
      <sheetName val="int-Dia-hdpe"/>
      <sheetName val="habs-list"/>
      <sheetName val="int-Dia-pvc"/>
      <sheetName val="Data_Base"/>
      <sheetName val="maya"/>
      <sheetName val="DATA-BASE"/>
      <sheetName val="DATA-ABSTRACT"/>
      <sheetName val="Work_sheet"/>
      <sheetName val="Data o"/>
      <sheetName val="wh_data"/>
      <sheetName val="wh_data_R"/>
      <sheetName val="CPHEEO"/>
      <sheetName val="input"/>
      <sheetName val="coverpage"/>
      <sheetName val="Sorted"/>
      <sheetName val="PVC weights"/>
      <sheetName val=" data sheet "/>
      <sheetName val="temp-SDData (2)"/>
      <sheetName val="Road Detail Est."/>
      <sheetName val="Sheet3"/>
      <sheetName val="Attributes"/>
      <sheetName val="p&amp;m"/>
      <sheetName val="Common "/>
      <sheetName val="LEAD S 10-11"/>
      <sheetName val="Data.F8.BTR"/>
      <sheetName val="RAFT"/>
      <sheetName val="scour depth"/>
      <sheetName val="DATA SHEET FOR 2012 - 13"/>
      <sheetName val="detls"/>
      <sheetName val="Sheet2"/>
      <sheetName val="Data rough"/>
      <sheetName val="Lookup"/>
      <sheetName val="mas_hab"/>
      <sheetName val="pvc"/>
      <sheetName val="pop"/>
      <sheetName val="Rates"/>
      <sheetName val="other rates"/>
      <sheetName val="quarry"/>
      <sheetName val="data1"/>
      <sheetName val="RM"/>
      <sheetName val="SLAB  DATA"/>
      <sheetName val="bldg"/>
      <sheetName val="Data-ELSR"/>
      <sheetName val="Part-A"/>
      <sheetName val="RMR"/>
      <sheetName val="HDPE"/>
      <sheetName val="DI"/>
      <sheetName val="Specification report"/>
      <sheetName val="GROUND FLOOR"/>
      <sheetName val="GA"/>
      <sheetName val="C-data"/>
      <sheetName val="Civil SSR"/>
      <sheetName val="WS Data"/>
      <sheetName val="ST"/>
      <sheetName val="Sump"/>
      <sheetName val="Process"/>
      <sheetName val="m lead"/>
      <sheetName val="SPECS"/>
      <sheetName val="CD Data"/>
      <sheetName val="Cover"/>
      <sheetName val="MRoad data"/>
      <sheetName val="Convey"/>
      <sheetName val="id"/>
      <sheetName val="SSR"/>
      <sheetName val="Road data "/>
      <sheetName val="Sheet9"/>
      <sheetName val="Bridge Data 2005-06"/>
      <sheetName val="road est"/>
      <sheetName val="sup dat"/>
      <sheetName val="pvc_basic"/>
      <sheetName val="FINAL LEAD"/>
      <sheetName val="select items_PMW"/>
      <sheetName val="Main sheet"/>
      <sheetName val="Proforma -II "/>
      <sheetName val="C.R G.F"/>
      <sheetName val="DATA_PRG"/>
      <sheetName val="Basicrates"/>
      <sheetName val="C.D.Abs.Est."/>
      <sheetName val="Dn SLRB (R2)"/>
      <sheetName val="Data_"/>
      <sheetName val="Sheet1 (2)"/>
      <sheetName val="cert"/>
      <sheetName val="Plant_&amp;__Machinery"/>
      <sheetName val="Road_data"/>
      <sheetName val="Lead_statement"/>
      <sheetName val="data_existing_do_not_delete"/>
      <sheetName val="Plant_&amp;__Machinery1"/>
      <sheetName val="Road_data1"/>
      <sheetName val="Lead_statement1"/>
      <sheetName val="data_existing_do_not_delete1"/>
      <sheetName val="CFForecast detail"/>
      <sheetName val="DI Rate Analysis"/>
      <sheetName val="Economic RisingMain  Ph-I"/>
      <sheetName val="mlead"/>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dlvoid"/>
      <sheetName val="slab"/>
      <sheetName val="DL CAL"/>
      <sheetName val="1V800"/>
      <sheetName val="materials"/>
      <sheetName val="Bill-12"/>
      <sheetName val="Aug,02"/>
      <sheetName val="MTC-estimate"/>
      <sheetName val="pt-cw"/>
      <sheetName val="Summary"/>
      <sheetName val="RA-markate"/>
      <sheetName val="road safety datas"/>
      <sheetName val="section"/>
      <sheetName val="int-Dia"/>
      <sheetName val="nodes"/>
      <sheetName val="JAWAHAR-hyd-original"/>
      <sheetName val="RF"/>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Conveyance"/>
      <sheetName val="sectorwise"/>
      <sheetName val="t_prsr"/>
      <sheetName val="wh"/>
      <sheetName val="Sub -  Analysis"/>
      <sheetName val="Levels"/>
      <sheetName val="Data-2010-11"/>
      <sheetName val="sept-plan"/>
      <sheetName val="BOQ"/>
      <sheetName val="PUMP_DATA"/>
      <sheetName val="FINAL DATA"/>
      <sheetName val="Road data.PS"/>
      <sheetName val="Road data  PH"/>
      <sheetName val="GF SB Ok "/>
      <sheetName val="Design"/>
      <sheetName val="51"/>
      <sheetName val="Hydraulic Design (Pipe)"/>
      <sheetName val="abs road"/>
      <sheetName val="R_Det"/>
      <sheetName val="Note"/>
      <sheetName val="FIRST"/>
      <sheetName val="DATA-CD "/>
      <sheetName val="SSR 2015-16"/>
      <sheetName val="dbl-airvalve-PVC"/>
      <sheetName val="DFjoints"/>
      <sheetName val="airvalve(AC)"/>
      <sheetName val="Bitumen trunk"/>
      <sheetName val="Feeder"/>
      <sheetName val="R99 etc"/>
      <sheetName val="Trunk unpaved"/>
      <sheetName val="Usage"/>
      <sheetName val="General"/>
      <sheetName val="PROC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DATA-BASE"/>
      <sheetName val="DATA-ABSTRACT"/>
      <sheetName val="Lead statement ss5"/>
      <sheetName val="v"/>
      <sheetName val="r"/>
      <sheetName val="Abstr#t "/>
      <sheetName val="Abstrct_"/>
      <sheetName val="Part_A"/>
      <sheetName val="m"/>
      <sheetName val="Sheet1"/>
      <sheetName val="LEADS"/>
      <sheetName val="Labour"/>
      <sheetName val="pvc-pipe-rates"/>
      <sheetName val="ewst"/>
      <sheetName val="maya"/>
      <sheetName val="coverpage"/>
      <sheetName val="Road data"/>
      <sheetName val="RMR"/>
      <sheetName val="Bridge Data 2005-06"/>
      <sheetName val="C.D.Abs.Est."/>
      <sheetName val="Lead statement"/>
      <sheetName val="DATA_PRG"/>
      <sheetName val="segments-details"/>
      <sheetName val="int-Dia-hdpe"/>
      <sheetName val="habs-list"/>
      <sheetName val="int-Dia-pvc"/>
      <sheetName val="MRATES"/>
      <sheetName val="detls"/>
      <sheetName val="MRoad data"/>
      <sheetName val="Bitumen trunk"/>
      <sheetName val="Feeder"/>
      <sheetName val="R99 etc"/>
      <sheetName val="Trunk unpaved"/>
      <sheetName val="abs road"/>
      <sheetName val="TS memo"/>
      <sheetName val="GROUND FLOOR"/>
      <sheetName val="Levels"/>
      <sheetName val="m1"/>
      <sheetName val="Common "/>
      <sheetName val="Data.F8.BTR"/>
      <sheetName val="Boq"/>
      <sheetName val="Input"/>
      <sheetName val="CD Data"/>
      <sheetName val="pvc_basic"/>
      <sheetName val="HDPE"/>
      <sheetName val="nodes"/>
      <sheetName val="int-Dia"/>
      <sheetName val="Convey"/>
      <sheetName val="Road Detail Est."/>
      <sheetName val="data existing_do not delete"/>
      <sheetName val="CD_Data"/>
      <sheetName val="Abstrct_1"/>
      <sheetName val="Part_A1"/>
      <sheetName val="Plant_&amp;__Machinery"/>
      <sheetName val="Lead_statement_ss5"/>
      <sheetName val="Abstr#t_"/>
      <sheetName val="Abstrct_2"/>
      <sheetName val="Part_A2"/>
      <sheetName val="Plant_&amp;__Machinery1"/>
      <sheetName val="Lead_statement_ss51"/>
      <sheetName val="Abstr#t_1"/>
      <sheetName val="RAFT"/>
      <sheetName val="scour depth"/>
      <sheetName val="SALIENT"/>
      <sheetName val="CPIPE2"/>
      <sheetName val="0000000000000"/>
      <sheetName val="Pop"/>
      <sheetName val="EDWise"/>
      <sheetName val="Bill-12"/>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ubAnalysis"/>
      <sheetName val="cert"/>
      <sheetName val="Sheet2"/>
      <sheetName val="WATER-HAMMER"/>
      <sheetName val="lead-st"/>
      <sheetName val="rdamdata"/>
      <sheetName val="C-data"/>
      <sheetName val="Lead Distance"/>
      <sheetName val="Rates"/>
      <sheetName val="PH data"/>
      <sheetName val="Quarry"/>
      <sheetName val="DATA-2005-06"/>
      <sheetName val="Rate analysis-civil"/>
      <sheetName val="Estimate "/>
      <sheetName val="mlead"/>
      <sheetName val="R_Det"/>
      <sheetName val="Main sheet"/>
      <sheetName val="GF Columns"/>
      <sheetName val="wh_data"/>
      <sheetName val="wh_data_R"/>
      <sheetName val="CPHEEO"/>
      <sheetName val="PUMP_DATA"/>
      <sheetName val="Work_sheet"/>
      <sheetName val="Habcodes"/>
      <sheetName val="MTC-estimate"/>
      <sheetName val="bom"/>
      <sheetName val="Mix Design"/>
      <sheetName val="Process"/>
      <sheetName val="Data-2011-12"/>
      <sheetName val="ultmom"/>
      <sheetName val="foundation(V)"/>
      <sheetName val="Specification report"/>
      <sheetName val="Data rough"/>
      <sheetName val="other rates"/>
      <sheetName val="ITB COST"/>
      <sheetName val="Watersoft (2)"/>
      <sheetName val="Sheet3"/>
      <sheetName val="id"/>
      <sheetName val="ABS"/>
      <sheetName val="Programme"/>
      <sheetName val="MRMECADAMoad data"/>
      <sheetName val="Lead_statement"/>
      <sheetName val="Bridge_Data_2005-06"/>
      <sheetName val="MRoad_data"/>
      <sheetName val="Bitumen_trunk"/>
      <sheetName val="R99_etc"/>
      <sheetName val="Trunk_unpaved"/>
      <sheetName val="GROUND_FLOOR"/>
      <sheetName val="Data_F8_BTR"/>
      <sheetName val="abs_road"/>
      <sheetName val="Road_data"/>
      <sheetName val="TS_memo"/>
      <sheetName val="C_D_Abs_Est_"/>
      <sheetName val="CD_Data1"/>
      <sheetName val="Common_"/>
      <sheetName val="Staff Acco."/>
      <sheetName val="Summary"/>
      <sheetName val="Iocount"/>
      <sheetName val="Flanged Beams"/>
      <sheetName val="Rectangular Beam"/>
      <sheetName val="final abstract"/>
      <sheetName val="DL CAL"/>
      <sheetName val="stone"/>
      <sheetName val="index"/>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damdata"/>
      <sheetName val="Bitumen trunk"/>
      <sheetName val="Feeder"/>
      <sheetName val="R99 etc"/>
      <sheetName val="Trunk unpaved"/>
      <sheetName val="detls"/>
      <sheetName val="data-WC"/>
      <sheetName val="DATA-BASE"/>
      <sheetName val="DATA-ABSTRACT"/>
      <sheetName val="v"/>
      <sheetName val="data existing_do not delete"/>
      <sheetName val="leads"/>
      <sheetName val="coverpage"/>
      <sheetName val="Road data"/>
      <sheetName val="MRATES"/>
      <sheetName val="r"/>
      <sheetName val="RMR"/>
      <sheetName val="t_prsr"/>
      <sheetName val="id"/>
      <sheetName val="Estimate 10.00 Lakhs "/>
      <sheetName val="mlead"/>
      <sheetName val="abs road"/>
      <sheetName val="R_Det"/>
      <sheetName val="lead-st"/>
      <sheetName val="segments-details"/>
      <sheetName val="int-Dia-hdpe"/>
      <sheetName val="int-Dia-pvc"/>
      <sheetName val="Common "/>
      <sheetName val="ewst"/>
      <sheetName val="Specification report"/>
      <sheetName val="m"/>
      <sheetName val="Staff Acco."/>
      <sheetName val="Rates"/>
      <sheetName val="HDPE"/>
      <sheetName val="DI"/>
      <sheetName val="pvc"/>
      <sheetName val="hdpe_basic"/>
      <sheetName val="pvc_basic"/>
      <sheetName val="final abstract"/>
      <sheetName val="wh_data_R"/>
      <sheetName val="Sheet5"/>
      <sheetName val="maya"/>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One_vent_Pipe5"/>
      <sheetName val="Four_vents5"/>
      <sheetName val="two_vents5"/>
      <sheetName val="One_vent_5"/>
      <sheetName val="Plant_&amp;__Machinery5"/>
      <sheetName val="Lead_statement_(2)5"/>
      <sheetName val="Lead_statement5"/>
      <sheetName val="Summary_of_Rates5"/>
      <sheetName val="Basic_Approach5"/>
      <sheetName val="Lead_(2)5"/>
      <sheetName val="Data_(2)5"/>
      <sheetName val="6_5%_(2)5"/>
      <sheetName val="est_(2)5"/>
      <sheetName val="Abstract_(2)5"/>
      <sheetName val="key_(2)5"/>
      <sheetName val="pro-B_(2)5"/>
      <sheetName val="est__(mord)5"/>
      <sheetName val="est(old)_5"/>
      <sheetName val="6_5%5"/>
      <sheetName val="One_vent_Pipe3"/>
      <sheetName val="Four_vents3"/>
      <sheetName val="two_vents3"/>
      <sheetName val="One_vent_3"/>
      <sheetName val="Plant_&amp;__Machinery3"/>
      <sheetName val="Lead_statement_(2)3"/>
      <sheetName val="Lead_statement3"/>
      <sheetName val="Summary_of_Rates3"/>
      <sheetName val="Basic_Approach3"/>
      <sheetName val="Lead_(2)3"/>
      <sheetName val="Data_(2)3"/>
      <sheetName val="6_5%_(2)3"/>
      <sheetName val="est_(2)3"/>
      <sheetName val="Abstract_(2)3"/>
      <sheetName val="key_(2)3"/>
      <sheetName val="pro-B_(2)3"/>
      <sheetName val="est__(mord)3"/>
      <sheetName val="est(old)_3"/>
      <sheetName val="6_5%3"/>
      <sheetName val="One_vent_Pipe2"/>
      <sheetName val="Four_vents2"/>
      <sheetName val="two_vents2"/>
      <sheetName val="One_vent_2"/>
      <sheetName val="Plant_&amp;__Machinery2"/>
      <sheetName val="Lead_statement_(2)2"/>
      <sheetName val="Lead_statement2"/>
      <sheetName val="Summary_of_Rates2"/>
      <sheetName val="Basic_Approach2"/>
      <sheetName val="Lead_(2)2"/>
      <sheetName val="Data_(2)2"/>
      <sheetName val="6_5%_(2)2"/>
      <sheetName val="est_(2)2"/>
      <sheetName val="Abstract_(2)2"/>
      <sheetName val="key_(2)2"/>
      <sheetName val="pro-B_(2)2"/>
      <sheetName val="est__(mord)2"/>
      <sheetName val="est(old)_2"/>
      <sheetName val="6_5%2"/>
      <sheetName val="One_vent_Pipe4"/>
      <sheetName val="Four_vents4"/>
      <sheetName val="two_vents4"/>
      <sheetName val="One_vent_4"/>
      <sheetName val="Plant_&amp;__Machinery4"/>
      <sheetName val="Lead_statement_(2)4"/>
      <sheetName val="Lead_statement4"/>
      <sheetName val="Summary_of_Rates4"/>
      <sheetName val="Basic_Approach4"/>
      <sheetName val="Lead_(2)4"/>
      <sheetName val="Data_(2)4"/>
      <sheetName val="6_5%_(2)4"/>
      <sheetName val="est_(2)4"/>
      <sheetName val="Abstract_(2)4"/>
      <sheetName val="key_(2)4"/>
      <sheetName val="pro-B_(2)4"/>
      <sheetName val="est__(mord)4"/>
      <sheetName val="est(old)_4"/>
      <sheetName val="6_5%4"/>
      <sheetName val="p&amp;m"/>
      <sheetName val="Levels"/>
      <sheetName val="Data.F8.BTR"/>
      <sheetName val="C.D.Abs.Est."/>
      <sheetName val="RAFT"/>
      <sheetName val="scour depth"/>
      <sheetName val="SUMP1420KL@HW"/>
      <sheetName val="pvc-pipe-rates"/>
      <sheetName val="wh"/>
      <sheetName val="m1"/>
      <sheetName val="boredetails"/>
      <sheetName val="Bill-12"/>
      <sheetName val="Bitumen_trunk"/>
      <sheetName val="R99_etc"/>
      <sheetName val="Trunk_unpaved"/>
      <sheetName val="Bitumen_trunk1"/>
      <sheetName val="R99_etc1"/>
      <sheetName val="Trunk_unpaved1"/>
      <sheetName val="GF SB Ok "/>
      <sheetName val="inWords"/>
      <sheetName val="Data o"/>
      <sheetName val="Sheet1 (2)"/>
      <sheetName val="Lead statement ss5"/>
      <sheetName val="Data_Base"/>
      <sheetName val="Input"/>
      <sheetName val="Plant &amp;  Machiner"/>
      <sheetName val="Line"/>
      <sheetName val="General"/>
      <sheetName val="60-70"/>
      <sheetName val="80-100"/>
      <sheetName val="Emulsion MS"/>
      <sheetName val=" HSD"/>
      <sheetName val="BM-HOOP"/>
      <sheetName val="quarry"/>
      <sheetName val="WATER-HAMMER"/>
      <sheetName val="SSR 2016-17 Rates"/>
      <sheetName val="ABS"/>
      <sheetName val="Iocount"/>
      <sheetName val="DATA SHEET FOR 2014-15"/>
      <sheetName val="DATA SHEET FOR 2012 - 13"/>
      <sheetName val="Nspt-smp-final-ORIGINAL"/>
      <sheetName val="sectorwise"/>
      <sheetName val="Usage "/>
      <sheetName val="CS "/>
      <sheetName val="Work_sheet"/>
      <sheetName val="DATA_PRG"/>
      <sheetName val="SSR 2015-16"/>
      <sheetName val="dBase"/>
      <sheetName val="SubAnalysis"/>
      <sheetName val="data_existing_do_not_delete"/>
      <sheetName val="Estimate_10_00_Lakhs_"/>
      <sheetName val="abs_road"/>
      <sheetName val="Road_data"/>
      <sheetName val="Specification_report"/>
      <sheetName val="Common_"/>
      <sheetName val="One_vent_Pipe6"/>
      <sheetName val="Four_vents6"/>
      <sheetName val="two_vents6"/>
      <sheetName val="One_vent_6"/>
      <sheetName val="Plant_&amp;__Machinery6"/>
      <sheetName val="Lead_statement_(2)6"/>
      <sheetName val="Lead_statement6"/>
      <sheetName val="Summary_of_Rates6"/>
      <sheetName val="Basic_Approach6"/>
      <sheetName val="Lead_(2)6"/>
      <sheetName val="Data_(2)6"/>
      <sheetName val="6_5%_(2)6"/>
      <sheetName val="est_(2)6"/>
      <sheetName val="Abstract_(2)6"/>
      <sheetName val="key_(2)6"/>
      <sheetName val="pro-B_(2)6"/>
      <sheetName val="est__(mord)6"/>
      <sheetName val="est(old)_6"/>
      <sheetName val="6_5%6"/>
      <sheetName val="Abs_PMRL"/>
      <sheetName val="basdat"/>
      <sheetName val="Masonry"/>
      <sheetName val="labour coeff"/>
      <sheetName val="Main"/>
      <sheetName val="GN-ST-10"/>
      <sheetName val="sg-clay(d)"/>
      <sheetName val="Design of two-way slab"/>
      <sheetName val="INPUT-DATA"/>
      <sheetName val="slab"/>
      <sheetName val="basic-data"/>
      <sheetName val="LOCAL RATES"/>
      <sheetName val="SSR 2010-11 Rates"/>
      <sheetName val="DISCOUNT"/>
      <sheetName val="Rates SSR 2008-09"/>
      <sheetName val="Bridge Data 2005-06"/>
      <sheetName val="Road Detail Est."/>
      <sheetName val="L040"/>
      <sheetName val="habs-list"/>
      <sheetName val="bundqty"/>
      <sheetName val="Lead (Final)"/>
      <sheetName val=" data sheet "/>
      <sheetName val="HDPE-pipe-rates"/>
      <sheetName val="other rates"/>
      <sheetName val="CPI"/>
      <sheetName val="WPI C"/>
      <sheetName val="WPI all"/>
      <sheetName val="WPI HM"/>
      <sheetName val="WPI S"/>
      <sheetName val="hdpe weights"/>
      <sheetName val="PVC weights"/>
      <sheetName val="index"/>
      <sheetName val="CD_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10">
          <cell r="D110">
            <v>18</v>
          </cell>
        </row>
        <row r="111">
          <cell r="D111">
            <v>3</v>
          </cell>
        </row>
        <row r="113">
          <cell r="D113">
            <v>4304.08</v>
          </cell>
        </row>
        <row r="114">
          <cell r="D114">
            <v>3301.82</v>
          </cell>
        </row>
        <row r="117">
          <cell r="D117">
            <v>918.77</v>
          </cell>
        </row>
      </sheetData>
      <sheetData sheetId="12" refreshError="1"/>
      <sheetData sheetId="13" refreshError="1"/>
      <sheetData sheetId="14" refreshError="1"/>
      <sheetData sheetId="15" refreshError="1">
        <row r="3">
          <cell r="D3">
            <v>156</v>
          </cell>
        </row>
        <row r="5">
          <cell r="D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Leads"/>
      <sheetName val="I.R.P"/>
      <sheetName val="open well"/>
      <sheetName val="ringwell"/>
      <sheetName val="bwell"/>
      <sheetName val="Lead"/>
      <sheetName val="coverpage"/>
      <sheetName val="Road data"/>
      <sheetName val="DATA-BASE"/>
      <sheetName val="DATA-ABSTRACT"/>
      <sheetName val="boredetails"/>
      <sheetName val="r"/>
      <sheetName val="Labour"/>
      <sheetName val="Material"/>
      <sheetName val="Plant &amp;  Machinery"/>
      <sheetName val="labour coeff"/>
      <sheetName val="ABS"/>
      <sheetName val="data existing_do not delete"/>
      <sheetName val="Lead statement"/>
      <sheetName val="Data rough"/>
      <sheetName val="v"/>
      <sheetName val="census91"/>
      <sheetName val="Bitumen trunk"/>
      <sheetName val="Feeder"/>
      <sheetName val="R99 etc"/>
      <sheetName val="Trunk unpaved"/>
      <sheetName val="maya"/>
      <sheetName val="m"/>
      <sheetName val="Fill this out first..."/>
      <sheetName val="DATA_PRG"/>
      <sheetName val="M30"/>
      <sheetName val="MRATES"/>
      <sheetName val="rdamdata"/>
      <sheetName val="Lead statement ss5"/>
      <sheetName val="MTC-estimate"/>
      <sheetName val="Usage"/>
      <sheetName val="Common "/>
      <sheetName val="General"/>
      <sheetName val="QTY"/>
      <sheetName val="Sheet9"/>
      <sheetName val="Data.F8.BTR"/>
      <sheetName val="segments-details"/>
      <sheetName val="int-Dia-hdpe"/>
      <sheetName val="int-Dia-pvc"/>
      <sheetName val="PVC_dia"/>
      <sheetName val="Nspt-smp-final-ORIGINAL"/>
      <sheetName val="Staff Acco."/>
      <sheetName val="Sheet2"/>
      <sheetName val="pvc_basic"/>
      <sheetName val="gen"/>
      <sheetName val="GF SB Ok "/>
      <sheetName val="Labour Charges"/>
      <sheetName val="ACS(1)"/>
      <sheetName val="FAS-C(4)"/>
      <sheetName val="CCTV(old)"/>
      <sheetName val="Habcodes"/>
      <sheetName val="Rates"/>
      <sheetName val="lead charges"/>
      <sheetName val="BWSCPlt"/>
      <sheetName val="CI"/>
      <sheetName val="DI"/>
      <sheetName val="G.R.P"/>
      <sheetName val="HDPE"/>
      <sheetName val="PSC REVISED"/>
      <sheetName val="pvc"/>
      <sheetName val="I_R_P"/>
      <sheetName val="open_well"/>
      <sheetName val="I_R_P1"/>
      <sheetName val="open_well1"/>
      <sheetName val="CD Data"/>
      <sheetName val="Lead-1"/>
      <sheetName val="detls"/>
      <sheetName val="mlead"/>
      <sheetName val="abs road"/>
      <sheetName val="RMR"/>
      <sheetName val="R_Det"/>
      <sheetName val="f8LEAD"/>
      <sheetName val="Dayworks Bill"/>
      <sheetName val="Bills of Quantities"/>
      <sheetName val="137-140"/>
      <sheetName val="141-142"/>
      <sheetName val="ElectricalSSR"/>
      <sheetName val="Watersoft (2)"/>
      <sheetName val="nodes"/>
      <sheetName val="int-Dia"/>
      <sheetName val="habs-list"/>
      <sheetName val="wh_data_R"/>
      <sheetName val="3405-2014"/>
      <sheetName val="Levels"/>
      <sheetName val="hab-details"/>
      <sheetName val="hdpe_basic"/>
      <sheetName val="SSR 2016-17"/>
      <sheetName val="SSR 2015-16"/>
      <sheetName val="PM&amp;GM"/>
      <sheetName val="AV-DI"/>
      <sheetName val="AV-PVC"/>
      <sheetName val="DIgate_PVC "/>
      <sheetName val="scour-DI-CI"/>
      <sheetName val="scour-pvc-hdpe-psc-bwsc"/>
      <sheetName val="11.Habitations"/>
      <sheetName val="BM-HOOP"/>
      <sheetName val="l"/>
      <sheetName val="lead-st"/>
      <sheetName val="DataInput"/>
      <sheetName val="DataInput-1"/>
      <sheetName val="DI Rate Analysis"/>
      <sheetName val="Economic RisingMain  Ph-I"/>
      <sheetName val="C-data"/>
      <sheetName val="Mtc-Abs"/>
    </sheetNames>
    <sheetDataSet>
      <sheetData sheetId="0" refreshError="1"/>
      <sheetData sheetId="1" refreshError="1"/>
      <sheetData sheetId="2" refreshError="1">
        <row r="9">
          <cell r="Q9">
            <v>171.75</v>
          </cell>
        </row>
        <row r="36">
          <cell r="Q36">
            <v>395.375</v>
          </cell>
        </row>
        <row r="39">
          <cell r="Q39">
            <v>1061.97</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CDdata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Specification"/>
      <sheetName val="Labour"/>
      <sheetName val=" data sheet "/>
      <sheetName val="stone"/>
      <sheetName val="v"/>
      <sheetName val="Lookup"/>
      <sheetName val="ESTIMATE"/>
      <sheetName val="Data_Bit_I"/>
      <sheetName val="sectorwise"/>
      <sheetName val="r"/>
      <sheetName val="nodes"/>
      <sheetName val="index"/>
      <sheetName val="MRATES"/>
      <sheetName val="leads"/>
      <sheetName val="Material"/>
      <sheetName val="Plant &amp;  Machinery"/>
      <sheetName val="MTC-estimate"/>
      <sheetName val="F7-1v1000-0_(3)"/>
      <sheetName val="ABST(PART_B)_"/>
      <sheetName val="F6-Gnrl_Abstrt"/>
      <sheetName val="Cover-MEstt_"/>
      <sheetName val="Road Detail Est."/>
      <sheetName val="Road data"/>
      <sheetName val="detls"/>
      <sheetName val="maya"/>
      <sheetName val="Sheet3"/>
      <sheetName val="DISCOUNT"/>
      <sheetName val="m"/>
      <sheetName val="Levels"/>
      <sheetName val="Gen Abs"/>
      <sheetName val="Specification report"/>
      <sheetName val="GF SB Ok "/>
      <sheetName val="DI"/>
      <sheetName val="Sheet9"/>
      <sheetName val="FF WRK"/>
      <sheetName val="ABS"/>
      <sheetName val="HYDcal"/>
      <sheetName val="Main"/>
      <sheetName val="Sheet1 (2)"/>
      <sheetName val="t_prsr"/>
      <sheetName val="MRoad data"/>
      <sheetName val="F7-1v1000-0_(3)1"/>
      <sheetName val="ABST(PART_B)_1"/>
      <sheetName val="F6-Gnrl_Abstrt1"/>
      <sheetName val="Cover-MEstt_1"/>
      <sheetName val="Road_Detail_Est_"/>
      <sheetName val="Road_data"/>
      <sheetName val="F7-1v1000-0_(3)2"/>
      <sheetName val="ABST(PART_B)_2"/>
      <sheetName val="F6-Gnrl_Abstrt2"/>
      <sheetName val="Cover-MEstt_2"/>
      <sheetName val="Road_Detail_Est_1"/>
      <sheetName val="Road_data1"/>
      <sheetName val="sand"/>
      <sheetName val="m1"/>
      <sheetName val="Input"/>
      <sheetName val="Nspt-smp-final-ORIGINAL"/>
      <sheetName val="cover (2)"/>
      <sheetName val="Sheet2"/>
      <sheetName val="labour coeff"/>
      <sheetName val="pvc_basic"/>
      <sheetName val="HP"/>
      <sheetName val="boredetails"/>
      <sheetName val="HYD PARTI"/>
      <sheetName val="data existing_do not delete"/>
      <sheetName val="pvc-pipe-rates"/>
      <sheetName val="rdamdata"/>
      <sheetName val="lead-st"/>
      <sheetName val="11.Habitations"/>
      <sheetName val="Bill_amt_qty_cc_1"/>
      <sheetName val="1V800"/>
      <sheetName val="other rates"/>
      <sheetName val="mlead"/>
      <sheetName val="final abstract"/>
      <sheetName val="Lead statement ss5"/>
      <sheetName val="abs road"/>
      <sheetName val="Bitumen trunk"/>
      <sheetName val="Feeder"/>
      <sheetName val="R99 etc"/>
      <sheetName val="Trunk unpaved"/>
      <sheetName val="Data.F8.BTR"/>
      <sheetName val="Annex- 6 - Delinator"/>
      <sheetName val="Note"/>
      <sheetName val="General"/>
      <sheetName val="Data o"/>
      <sheetName val="0000000000000"/>
      <sheetName val="Data_Base"/>
      <sheetName val="C-data"/>
      <sheetName val="DATA-BASE"/>
      <sheetName val="DATA-ABSTRACT"/>
      <sheetName val="ewst"/>
      <sheetName val="BALAN1"/>
      <sheetName val="Specification_report"/>
      <sheetName val="GF_SB_Ok_"/>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s>
    <sheetDataSet>
      <sheetData sheetId="0"/>
      <sheetData sheetId="1"/>
      <sheetData sheetId="2"/>
      <sheetData sheetId="3"/>
      <sheetData sheetId="4" refreshError="1">
        <row r="69">
          <cell r="A69" t="str">
            <v xml:space="preserve">Earth work excation and depositing on bank with initial lead and lift in loamy and clayee soils as per ss301 for foundations </v>
          </cell>
        </row>
        <row r="70">
          <cell r="A70" t="str">
            <v xml:space="preserve">Earth work excation for ISOLATED works and depositing on bank with initial lead and lift in loamy and clayee soils as per ss301 for foundations </v>
          </cell>
        </row>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s>
    <sheetDataSet>
      <sheetData sheetId="0"/>
      <sheetData sheetId="1"/>
      <sheetData sheetId="2"/>
      <sheetData sheetId="3"/>
      <sheetData sheetId="4" refreshError="1">
        <row r="69">
          <cell r="A69" t="str">
            <v xml:space="preserve">Earth work excation and depositing on bank with initial lead and lift in loamy and clayee soils as per ss301 for foundations </v>
          </cell>
        </row>
        <row r="70">
          <cell r="A70" t="str">
            <v xml:space="preserve">Earth work excation for ISOLATED works and depositing on bank with initial lead and lift in loamy and clayee soils as per ss301 for foundations </v>
          </cell>
        </row>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ATA-BASE"/>
      <sheetName val="DATA-ABSTRAC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efreshError="1">
        <row r="4">
          <cell r="G4" t="str">
            <v>Input Rate</v>
          </cell>
        </row>
        <row r="13">
          <cell r="G13" t="str">
            <v>Input Rate</v>
          </cell>
        </row>
      </sheetData>
      <sheetData sheetId="3" refreshError="1">
        <row r="5">
          <cell r="D5">
            <v>137</v>
          </cell>
        </row>
      </sheetData>
      <sheetData sheetId="4" refreshError="1">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efreshError="1">
        <row r="4">
          <cell r="G4" t="str">
            <v>Input Rate</v>
          </cell>
        </row>
        <row r="13">
          <cell r="G13" t="str">
            <v>Input Rate</v>
          </cell>
        </row>
      </sheetData>
      <sheetData sheetId="3" refreshError="1">
        <row r="5">
          <cell r="D5">
            <v>137</v>
          </cell>
        </row>
      </sheetData>
      <sheetData sheetId="4" refreshError="1">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Lead"/>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s"/>
      <sheetName val="r"/>
      <sheetName val="Data_Base"/>
      <sheetName val="maya"/>
      <sheetName val="Factory_rates"/>
      <sheetName val="lead-st"/>
      <sheetName val="rdamdata"/>
      <sheetName val="DATA-BASE"/>
      <sheetName val="Labour"/>
      <sheetName val="Material"/>
      <sheetName val="Levels"/>
      <sheetName val="Plant_&amp;__Machinery"/>
      <sheetName val="quarry"/>
      <sheetName val="v"/>
      <sheetName val="DATA-ABSTRACT"/>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Bridge Data 2005-06"/>
      <sheetName val="Plant &amp;  Machinery"/>
      <sheetName val="sup dat"/>
      <sheetName val="Common "/>
      <sheetName val="Nspt-smp-final-ORIGINAL"/>
      <sheetName val="Work_sheet"/>
      <sheetName val="Sheet1 (2)"/>
      <sheetName val="GN-ST-10"/>
      <sheetName val="Class IV Qtr. Ele"/>
      <sheetName val="data existing_do not delete"/>
      <sheetName val="habs-list"/>
      <sheetName val="nodes"/>
      <sheetName val="other rates"/>
      <sheetName val="Sheet2"/>
      <sheetName val="in Put sheet"/>
      <sheetName val="Part-A"/>
      <sheetName val="Data.F8.BTR"/>
      <sheetName val="Bitumen trunk"/>
      <sheetName val="R99 etc"/>
      <sheetName val="Trunk unpaved"/>
      <sheetName val="mas_hab"/>
      <sheetName val="RMR"/>
      <sheetName val="Specification report"/>
      <sheetName val="ssr-rates"/>
      <sheetName val="final abstract"/>
      <sheetName val="Rates2"/>
      <sheetName val="clvrt_data"/>
      <sheetName val="Sheet9"/>
      <sheetName val="Plant_㫨__Machinery"/>
      <sheetName val="Plant 㫨  Machinery"/>
      <sheetName val="l"/>
      <sheetName val="HDPE"/>
      <sheetName val="DI"/>
      <sheetName val="pvc"/>
      <sheetName val="hdpe_basic"/>
      <sheetName val="pvc_basic"/>
      <sheetName val="Fie,d Data"/>
      <sheetName val="Estimate "/>
      <sheetName val="hdpe-rates"/>
      <sheetName val="hdpe weights"/>
      <sheetName val="pvc-rates"/>
      <sheetName val="PVC weights"/>
      <sheetName val="MRATES"/>
      <sheetName val="DATA_ENTRY"/>
      <sheetName val="BTLeads"/>
      <sheetName val="GF SB Ok "/>
      <sheetName val="GN_ST_10"/>
      <sheetName val="pvc-pipe-rates"/>
      <sheetName val="LEAD S 10-11"/>
      <sheetName val="Rates"/>
      <sheetName val="Usage"/>
      <sheetName val="General"/>
      <sheetName val="PRECAST lightconc-II"/>
      <sheetName val="CD_Data"/>
      <sheetName val="sch"/>
      <sheetName val="Gen Abs"/>
      <sheetName val="entitlements"/>
      <sheetName val="fnote"/>
      <sheetName val="QDTS"/>
      <sheetName val="Line"/>
      <sheetName val="Road data"/>
      <sheetName val="water-hammar-strenght"/>
      <sheetName val="AV-HDPE"/>
      <sheetName val="Di_gate-HDPE"/>
      <sheetName val="index"/>
      <sheetName val="Conv. 13-14"/>
      <sheetName val="GEN-ABS Del"/>
      <sheetName val="BTR"/>
      <sheetName val="1V800"/>
      <sheetName val="sand"/>
      <sheetName val="stone"/>
      <sheetName val="int-Dia"/>
      <sheetName val="Road Detail Est."/>
      <sheetName val="Rates SSR 2008-09"/>
      <sheetName val="detls"/>
      <sheetName val="Data rough"/>
      <sheetName val="DATA_PRG"/>
      <sheetName val="Rate"/>
      <sheetName val="ESTIMATE"/>
      <sheetName val="Habcodes"/>
      <sheetName val="hdpe_rates"/>
      <sheetName val="hdpe_wt-r"/>
      <sheetName val="Sheet5"/>
      <sheetName val="Door&amp;Window data"/>
      <sheetName val="segments-details"/>
      <sheetName val="Detailed"/>
      <sheetName val="id"/>
      <sheetName val="Cover"/>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Septic tank"/>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Conveyance"/>
      <sheetName val="MRoad data"/>
      <sheetName val="QTY"/>
      <sheetName val="BM-HOOP"/>
      <sheetName val="Usage "/>
      <sheetName val="dlvoid"/>
      <sheetName val="COVERPAGE"/>
      <sheetName val="CRUST"/>
      <sheetName val="Masonry"/>
      <sheetName val="C.D.Abs.Est."/>
      <sheetName val="Convey"/>
      <sheetName val="GBW"/>
      <sheetName val="Boq"/>
      <sheetName val="Suppl-data"/>
      <sheetName val="mlead"/>
      <sheetName val="abs road"/>
      <sheetName val="road est"/>
      <sheetName val="LOCAL RATES"/>
      <sheetName val="Main sheet"/>
      <sheetName val="basic-data"/>
      <sheetName val="Main"/>
      <sheetName val="Material "/>
      <sheetName val="Rates-May-14"/>
      <sheetName val="GM&amp;PM EST- final "/>
      <sheetName val="Data o"/>
      <sheetName val="section"/>
      <sheetName val="Feeder"/>
      <sheetName val="C-data"/>
      <sheetName val="PUMP_DATA"/>
      <sheetName val="SSR"/>
      <sheetName val="RAM"/>
      <sheetName val="Data-all"/>
      <sheetName val="ewst"/>
      <sheetName val="int-dia-hdpe"/>
      <sheetName val="SCHEDULE"/>
      <sheetName val="Database"/>
      <sheetName val="schedule nos"/>
      <sheetName val="Summary"/>
      <sheetName val="JAWAHAR-hyd-original"/>
      <sheetName val="Pop"/>
      <sheetName val="DATA SHEET"/>
      <sheetName val="Lead statement ss5"/>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HDPE-pipe-rates"/>
      <sheetName val="sectorwis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ELEC datas"/>
      <sheetName val="san data"/>
      <sheetName val="SEIGNORAGE"/>
      <sheetName val="SCHEDULE."/>
      <sheetName val="Est (2)"/>
      <sheetName val="report"/>
      <sheetName val="Lead  RATES"/>
      <sheetName val="CI"/>
      <sheetName val="P "/>
      <sheetName val="Data_Bit_I"/>
      <sheetName val="leads-11-12"/>
      <sheetName val="PVC_dia"/>
      <sheetName val="Conveayance charges"/>
      <sheetName val="Hire"/>
      <sheetName val="SSR 2010-11 Rates"/>
      <sheetName val="TBAL9697 -group wise  sdpl"/>
      <sheetName val="Variables"/>
      <sheetName val="Sump_cal"/>
      <sheetName val="pumping main"/>
      <sheetName val="co_5"/>
      <sheetName val="DATA HM KM NB"/>
      <sheetName val="M5 900"/>
      <sheetName val="M7"/>
      <sheetName val="A.O.R."/>
      <sheetName val="Leadstatement_"/>
      <sheetName val="COR_EST"/>
      <sheetName val="Abstrct-Part_A"/>
      <sheetName val="Bridge_Data_2005-06"/>
      <sheetName val="Plant_&amp;__Machinery1"/>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sup_dat"/>
      <sheetName val="Common_"/>
      <sheetName val="Specification_report"/>
      <sheetName val="Sheet1_(2)"/>
      <sheetName val="Class_IV_Qtr__Ele"/>
      <sheetName val="data_existing_do_not_delete"/>
      <sheetName val="other_rates"/>
      <sheetName val="in_Put_sheet"/>
      <sheetName val="Bitumen_trunk"/>
      <sheetName val="R99_etc"/>
      <sheetName val="Trunk_unpaved"/>
      <sheetName val="final_abstract"/>
      <sheetName val="Data_F8_BTR"/>
      <sheetName val="PRECAST_lightconc-II"/>
      <sheetName val="Plant_㫨__Machinery1"/>
      <sheetName val="Estimate_"/>
      <sheetName val="Conv__13-14"/>
      <sheetName val="GEN-ABS_Del"/>
      <sheetName val="Road_data"/>
      <sheetName val="Fie,d_Data"/>
      <sheetName val="hdpe_weights"/>
      <sheetName val="PVC_weights"/>
      <sheetName val="GF_SB_Ok_"/>
      <sheetName val="LEAD_S_10-11"/>
      <sheetName val="Gen_Abs"/>
      <sheetName val="Road_Detail_Est_"/>
      <sheetName val="Rates_SSR_2008-09"/>
      <sheetName val="InputData"/>
      <sheetName val="Spec"/>
      <sheetName val="evaluate"/>
      <sheetName val="_5wgdhabfinal00_01"/>
      <sheetName val="BOQ Distribution"/>
      <sheetName val="calcul"/>
      <sheetName val="t_prsr"/>
      <sheetName val="wh"/>
      <sheetName val="iocount"/>
      <sheetName val="boredetails"/>
      <sheetName val="Sorted"/>
      <sheetName val="int-Dia-pvc"/>
      <sheetName val="BWSCPlt"/>
      <sheetName val="G.R.P"/>
      <sheetName val="PSC REVISED"/>
      <sheetName val="Staff Acco."/>
      <sheetName val="Lead- Input sheet "/>
      <sheetName val="hyperstatic-3"/>
      <sheetName val="Stability"/>
      <sheetName val="slab"/>
      <sheetName val="LEAD LOOKUP"/>
      <sheetName val="FORM7"/>
      <sheetName val="zone-8"/>
      <sheetName val="MHNO_LEV"/>
      <sheetName val="wh_data_R"/>
      <sheetName val="#REF"/>
      <sheetName val="20KL-12m"/>
      <sheetName val="RF"/>
      <sheetName val="Data-ELSR"/>
      <sheetName val="Mortars"/>
      <sheetName val=" Data -Valves"/>
      <sheetName val="ABS.C.D."/>
      <sheetName val="leads-c"/>
      <sheetName val="IDCCALHYD_GOO"/>
      <sheetName val="Input"/>
      <sheetName val="p&amp;m"/>
      <sheetName val="GA"/>
      <sheetName val="Dn LF Sluice"/>
      <sheetName val="Global factors"/>
      <sheetName val="SUMP1420KL@HW"/>
      <sheetName val="ultmom"/>
      <sheetName val="INPUT-DATA"/>
      <sheetName val="Flanged Beams"/>
      <sheetName val="SALIENT"/>
      <sheetName val="Rectangular Beam"/>
      <sheetName val="TOP SLAB-beams"/>
      <sheetName val="GM&amp;PM WE1 EST"/>
      <sheetName val="airvalve-AC PN 1.60"/>
      <sheetName val="Soft-sluice-AC,GRP PN 1.6"/>
      <sheetName val="soft-sluice-BWSC-MS"/>
      <sheetName val="DI sluice valve"/>
      <sheetName val="PS1"/>
      <sheetName val="Design"/>
      <sheetName val="DET R"/>
      <sheetName val="c.d.data (morth)"/>
      <sheetName val="rd.det.est"/>
      <sheetName val="rd.data"/>
      <sheetName val="mlead "/>
      <sheetName val="cert"/>
      <sheetName val="data-WC"/>
      <sheetName val="cover (2)"/>
      <sheetName val="Ghanapur to Suraram jn. det"/>
      <sheetName val="Basicrates"/>
      <sheetName val="Rd.Est"/>
      <sheetName val="civ data"/>
      <sheetName val="Mp-team 1"/>
      <sheetName val="Leads Entry"/>
      <sheetName val="Results"/>
      <sheetName val="Rising Main"/>
      <sheetName val="CPHEEO"/>
      <sheetName val="wh_data"/>
      <sheetName val="LIST"/>
      <sheetName val="Area Sheet NO 1"/>
      <sheetName val="HYDRAULICS"/>
      <sheetName val="FIRST"/>
      <sheetName val="STAMT"/>
      <sheetName val="Ene"/>
      <sheetName val="CODE BOOK REFERENCE"/>
      <sheetName val="Eg-2"/>
      <sheetName val="Eg-3"/>
      <sheetName val="Sheet11"/>
      <sheetName val="Sheet3-1"/>
      <sheetName val="JACKWELL"/>
      <sheetName val="Waterhammer"/>
      <sheetName val="Design of two-way slab"/>
      <sheetName val="DataInput"/>
      <sheetName val="DataInput-1"/>
      <sheetName val="DI Rate Analysis"/>
      <sheetName val="Economic RisingMain  Ph-I"/>
      <sheetName val="DESBASTE"/>
      <sheetName val="Eg-1"/>
      <sheetName val="Eg-4"/>
      <sheetName val="(4)F-81 Exp.side"/>
      <sheetName val="Relig-place"/>
      <sheetName val="PH data"/>
      <sheetName val="Leads 08-09"/>
      <sheetName val="ABSTRACT"/>
      <sheetName val="E6"/>
      <sheetName val="E8"/>
      <sheetName val="E11"/>
      <sheetName val="QUOT_1"/>
      <sheetName val="Sheet6"/>
      <sheetName val="Census_of_India_2001"/>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Pier Design(with offset)"/>
      <sheetName val="DI-AV-HDPE- Final "/>
      <sheetName val="DI_scour-DI-final"/>
      <sheetName val="DI_scour-pvc-hdpe-psc-bwsc"/>
      <sheetName val="DI SV on DI-final "/>
      <sheetName val="DI Sluice_HDPE"/>
      <sheetName val="D1_CO"/>
      <sheetName val="VATTEM_PALEM_BT_ROAD_15KM'S"/>
      <sheetName val="Data chokanpally"/>
      <sheetName val="Ellis &amp; WS&amp;S"/>
      <sheetName val="Drip mould &amp; Elevation"/>
      <sheetName val="Trussess"/>
      <sheetName val="IIDP caste Rural I"/>
      <sheetName val="WATER-HAMMER"/>
      <sheetName val="MRMECADAMoad data"/>
      <sheetName val="Lookup"/>
      <sheetName val="SPT vs PHI"/>
      <sheetName val="EDWise"/>
      <sheetName val="Material-Det"/>
      <sheetName val="ww-march-02"/>
      <sheetName val="zone-2"/>
      <sheetName val="Estt"/>
      <sheetName val="conc-foot-gradeslab"/>
      <sheetName val="Legal Risk Analysis"/>
      <sheetName val="TBAL9697_-group_wise__sdpl"/>
      <sheetName val="abs_road"/>
      <sheetName val="Lead__RATES"/>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PRICE BID"/>
      <sheetName val="11.Habitations"/>
      <sheetName val="well"/>
      <sheetName val="Rate Analysis"/>
      <sheetName val="Proj info- dump1"/>
      <sheetName val="PR-houdump"/>
      <sheetName val="temp-SDData (2)"/>
      <sheetName val="Circular Column"/>
      <sheetName val="FdnDes_Soil"/>
      <sheetName val="DVALUE"/>
      <sheetName val="THK"/>
      <sheetName val="ManpowerStat"/>
      <sheetName val="DOC-Register"/>
      <sheetName val="FT-05-02IsoBOM"/>
      <sheetName val="Abs_CD_2"/>
      <sheetName val="ECV"/>
      <sheetName val="works"/>
      <sheetName val="Gen.Abs."/>
      <sheetName val="RAFT"/>
      <sheetName val="ABUT"/>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sheetData sheetId="61"/>
      <sheetData sheetId="62"/>
      <sheetData sheetId="63"/>
      <sheetData sheetId="64"/>
      <sheetData sheetId="65"/>
      <sheetData sheetId="66"/>
      <sheetData sheetId="67"/>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sheetData sheetId="174"/>
      <sheetData sheetId="175"/>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Hystmnt (2)"/>
      <sheetName val="Sheet2"/>
      <sheetName val="title"/>
      <sheetName val="spec"/>
      <sheetName val="need"/>
      <sheetName val="design"/>
      <sheetName val="estimate"/>
      <sheetName val="estPM"/>
      <sheetName val="distrib"/>
      <sheetName val="VC99"/>
      <sheetName val="VC96"/>
      <sheetName val="SP"/>
      <sheetName val="Pumproom"/>
      <sheetName val="ltrt"/>
      <sheetName val="pipe_data"/>
      <sheetName val="SPData"/>
      <sheetName val="hs"/>
      <sheetName val="pps"/>
      <sheetName val="map"/>
      <sheetName val="m_est"/>
      <sheetName val="feature"/>
      <sheetName val="glance"/>
      <sheetName val="master"/>
      <sheetName val="exec"/>
      <sheetName val="LBD"/>
      <sheetName val="CR"/>
      <sheetName val="MRATES"/>
      <sheetName val="Hystmnt_(2)"/>
      <sheetName val="Global factors"/>
      <sheetName val="00000"/>
      <sheetName val="AAAAAAAAAAAAA"/>
      <sheetName val="Revised rates(SSR 2014-15)"/>
      <sheetName val="ew OG"/>
      <sheetName val="ew-DiMs"/>
      <sheetName val="PVC"/>
      <sheetName val="HDPE"/>
      <sheetName val="AC"/>
      <sheetName val="DI"/>
      <sheetName val="CI"/>
      <sheetName val="GRP"/>
      <sheetName val="BWSCP"/>
      <sheetName val="MS data"/>
      <sheetName val="MS "/>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PSC -pv"/>
      <sheetName val="GRP-pv"/>
      <sheetName val="index"/>
      <sheetName val="GAJWEL SEC EST"/>
      <sheetName val="Sheet6"/>
      <sheetName val="maya"/>
      <sheetName val="Specification report"/>
      <sheetName val="Data rough"/>
      <sheetName val="rdamdata"/>
      <sheetName val="lead-st"/>
      <sheetName val="t_prsr"/>
      <sheetName val="id"/>
      <sheetName val="wh"/>
      <sheetName val="DataInput"/>
      <sheetName val="DataInput-1"/>
      <sheetName val="DI Rate Analysis"/>
      <sheetName val="Economic RisingMain  Ph-I"/>
      <sheetName val="Data.F8.BTR"/>
      <sheetName val="Plant &amp;  Machinery"/>
      <sheetName val="Labour"/>
      <sheetName val="Material"/>
      <sheetName val="pvc_basic"/>
      <sheetName val="SUMP1420KL@HW"/>
      <sheetName val="GF SB Ok "/>
      <sheetName val="DATA_PRG"/>
      <sheetName val="C-data"/>
      <sheetName val="Common "/>
      <sheetName val="boredetails"/>
      <sheetName val="DATA-BASE"/>
      <sheetName val="segments-details"/>
      <sheetName val="int-Dia-hdpe"/>
      <sheetName val="habs-list"/>
      <sheetName val="detls"/>
      <sheetName val="DATA-ABSTRACT"/>
      <sheetName val="Di_gate-HDPE"/>
      <sheetName val="sand"/>
      <sheetName val="stone"/>
      <sheetName val="Sheet9"/>
      <sheetName val="WATER-HAMMER"/>
      <sheetName val="m"/>
      <sheetName val="PUMP_DATA"/>
      <sheetName val="int-Dia"/>
      <sheetName val="nodes"/>
      <sheetName val="Lead"/>
      <sheetName val="p&amp;m"/>
      <sheetName val="BWSCPlt"/>
      <sheetName val="G.R.P"/>
      <sheetName val="PSC REVISED"/>
      <sheetName val="BM-HOOP"/>
      <sheetName val="3405-2014"/>
      <sheetName val="Watersoft (2)"/>
      <sheetName val="hdpe_basic"/>
      <sheetName val="water-hammar-strenght"/>
      <sheetName val="AV-HDPE"/>
      <sheetName val="census91"/>
      <sheetName val="Lead statement ss5"/>
      <sheetName val="Habcodes"/>
      <sheetName val="SSR 2014-15 Rates"/>
      <sheetName val="Lead statement"/>
      <sheetName val="FF WRK"/>
      <sheetName val="Works"/>
      <sheetName val="RMR"/>
      <sheetName val="General"/>
      <sheetName val="Estimate "/>
      <sheetName val="RAFT"/>
      <sheetName val="wh_data_R"/>
      <sheetName val="CPHEEO"/>
      <sheetName val="Basicdata-f"/>
      <sheetName val="Scour-f"/>
      <sheetName val="ABS"/>
      <sheetName val="Main sheet"/>
      <sheetName val="Revised rates(SSR 2015-16)"/>
      <sheetName val="Sump_cal"/>
      <sheetName val="11.Habitations"/>
      <sheetName val="ww-march-02"/>
      <sheetName val="SEGMENTS-nodes"/>
      <sheetName val="wh_data"/>
      <sheetName val="input"/>
      <sheetName val="v"/>
      <sheetName val="Staff Acco."/>
      <sheetName val="Analy_7-10"/>
      <sheetName val="CABLE"/>
      <sheetName val="Data-2010-11"/>
      <sheetName val="table"/>
      <sheetName val="sg-clay(d)"/>
      <sheetName val="number"/>
      <sheetName val="zone-8"/>
      <sheetName val="MHNO_LEV"/>
      <sheetName val="Sheet3"/>
      <sheetName val="Sheet1 (2)"/>
      <sheetName val="wt of CID joint"/>
      <sheetName val="AC DAta"/>
      <sheetName val="Pipe Pilne MAch"/>
      <sheetName val="Sheet4"/>
      <sheetName val="Indurhty"/>
      <sheetName val="Indurhty 2016-17"/>
      <sheetName val="RAtes"/>
      <sheetName val="Sheet5"/>
      <sheetName val="Rate"/>
      <sheetName val="GA"/>
      <sheetName val="data existing_do not delete"/>
      <sheetName val="Wall W3"/>
      <sheetName val="final abstract"/>
      <sheetName val="Cover"/>
      <sheetName val="Work_sheet"/>
      <sheetName val="Part-A"/>
      <sheetName val="Levels"/>
      <sheetName val="JAWAHAR-hyd-original"/>
      <sheetName val="POP"/>
      <sheetName val="Hystmnt_(2)1"/>
      <sheetName val="Global_factors"/>
      <sheetName val="Revised_rates(SSR_2014-15)"/>
      <sheetName val="ew_OG"/>
      <sheetName val="MS_data"/>
      <sheetName val="MS_"/>
      <sheetName val="DI_Weights"/>
      <sheetName val="Wt_of_HDPE"/>
      <sheetName val="hdpe_weights"/>
      <sheetName val="PVC_weights"/>
      <sheetName val="PSC_-pv"/>
      <sheetName val="GAJWEL_SEC_EST"/>
      <sheetName val="Specification_report"/>
      <sheetName val="Data_rough"/>
      <sheetName val="DI_Rate_Analysis"/>
      <sheetName val="Economic_RisingMain__Ph-I"/>
      <sheetName val="Data_F8_BTR"/>
      <sheetName val="Plant_&amp;__Machinery"/>
      <sheetName val="GF_SB_Ok_"/>
      <sheetName val="Hystmnt_(2)2"/>
      <sheetName val="Revised_rates(SSR_2014-15)1"/>
      <sheetName val="ew_OG1"/>
      <sheetName val="MS_data1"/>
      <sheetName val="MS_1"/>
      <sheetName val="DI_Weights1"/>
      <sheetName val="Wt_of_HDPE1"/>
      <sheetName val="hdpe_weights1"/>
      <sheetName val="PVC_weights1"/>
      <sheetName val="PSC_-pv1"/>
      <sheetName val="GAJWEL_SEC_EST1"/>
      <sheetName val="Global_factors1"/>
      <sheetName val="Specification_report1"/>
      <sheetName val="DI_Rate_Analysis1"/>
      <sheetName val="Economic_RisingMain__Ph-I1"/>
      <sheetName val="Design of two-way slab"/>
      <sheetName val="Data Road"/>
      <sheetName val="HDPE-pipe-rates"/>
      <sheetName val="pvc-pipe-rates"/>
      <sheetName val="Nspt-smp-final-ORIGINAL"/>
      <sheetName val="r"/>
      <sheetName val="Road data"/>
      <sheetName val="GM&amp;PM EST- final "/>
      <sheetName val="HS final-2"/>
      <sheetName val="int-dia-pvc"/>
      <sheetName val="_5wgdhabfinal00_01"/>
      <sheetName val="Comp OHSR EST-1"/>
      <sheetName val="Abstract"/>
      <sheetName val="Comp HDPE"/>
      <sheetName val="Comp OFC"/>
      <sheetName val="Comp HH"/>
      <sheetName val="Rate Calc-1"/>
      <sheetName val="OHSR-1 RC EST"/>
      <sheetName val="SSR 17-18"/>
      <sheetName val="SPC"/>
      <sheetName val="Pipe line"/>
      <sheetName val="DATA SHEET (6)"/>
      <sheetName val="Lead ST (3)"/>
      <sheetName val="DATA SHEET (7)"/>
      <sheetName val="Intro"/>
      <sheetName val="dlvoid"/>
      <sheetName val="직매22kv"/>
      <sheetName val="Data-2011-12"/>
      <sheetName val="clvrt_data"/>
      <sheetName val="REL"/>
      <sheetName val="Iocount"/>
      <sheetName val="m1"/>
      <sheetName val="labour rates"/>
      <sheetName val="ewst"/>
      <sheetName val="FORM7"/>
      <sheetName val="I-CO"/>
      <sheetName val="leads-c"/>
      <sheetName val=" data sheet "/>
      <sheetName val="coverpage"/>
      <sheetName val="Process"/>
      <sheetName val="ssr-rates"/>
      <sheetName val="epm-tsb"/>
      <sheetName val="id_whmr"/>
      <sheetName val="0000000000000"/>
      <sheetName val="l"/>
      <sheetName val="PVC_dia"/>
      <sheetName val="Data_"/>
      <sheetName val="Cul_detail"/>
      <sheetName val="CD Data"/>
      <sheetName val="mas_hab"/>
      <sheetName val="LEAD (2)"/>
      <sheetName val="economic PM"/>
      <sheetName val="PM&amp;GM"/>
      <sheetName val="DI gate-DI"/>
      <sheetName val="DIgate_PVC "/>
      <sheetName val="DetEst"/>
      <sheetName val="Bitumen trunk"/>
      <sheetName val="Feeder"/>
      <sheetName val="R99 etc"/>
      <sheetName val="Trunk unpaved"/>
      <sheetName val="INPUT SHEET"/>
      <sheetName val="RES-PLANNING"/>
      <sheetName val="Macro1"/>
      <sheetName val="AV-BWSC&amp;MS"/>
      <sheetName val="AV_AC"/>
      <sheetName val="pumping main"/>
      <sheetName val="LABOUR RATE"/>
      <sheetName val="Material Rate"/>
      <sheetName val="di_Gate_AC"/>
      <sheetName val="Digate-BWSCP-MS"/>
      <sheetName val="DI_gate_di"/>
      <sheetName val="mlead"/>
      <sheetName val="1V800"/>
      <sheetName val="SLAB  DATA"/>
      <sheetName val="Data_Base"/>
      <sheetName val="DISCOUNT"/>
      <sheetName val="PRECAST lightconc-II"/>
      <sheetName val="Bridge Data 2005-06"/>
      <sheetName val="Common_"/>
      <sheetName val="G_R_P"/>
      <sheetName val="PSC_REVISED"/>
      <sheetName val="Watersoft_(2)"/>
      <sheetName val="Lead_statement_ss5"/>
      <sheetName val="SSR_2014-15_Rates"/>
      <sheetName val="Lead_statement"/>
      <sheetName val="FF_WRK"/>
      <sheetName val="Estimate_"/>
      <sheetName val="Main_sheet"/>
      <sheetName val="Revised_rates(SSR_2015-16)"/>
      <sheetName val="11_Habitations"/>
      <sheetName val="final_abstract"/>
      <sheetName val="Staff_Acco_"/>
      <sheetName val="Sheet1_(2)"/>
      <sheetName val="wt_of_CID_joint"/>
      <sheetName val="AC_DAta"/>
      <sheetName val="Pipe_Pilne_MAch"/>
      <sheetName val="Indurhty_2016-17"/>
      <sheetName val="data_existing_do_not_delete"/>
      <sheetName val="Wall_W3"/>
      <sheetName val="sup dat"/>
      <sheetName val="quarry"/>
      <sheetName val="Road Detail Est."/>
      <sheetName val="Qty"/>
      <sheetName val="lable I"/>
      <sheetName val="bundqty"/>
      <sheetName val="ITB COST"/>
      <sheetName val="other rates"/>
      <sheetName val="MRoad data"/>
      <sheetName val="TOP SLAB-beams"/>
      <sheetName val="Output"/>
      <sheetName val="Sector Estimate _ Mylapur"/>
      <sheetName val="sheeet7"/>
      <sheetName val="CT"/>
      <sheetName val="PT"/>
      <sheetName val="SILICATE"/>
      <sheetName val="Lead  RATES"/>
      <sheetName val="VCH-SLC"/>
      <sheetName val="Supplier"/>
      <sheetName val="MTC-estimate"/>
      <sheetName val="DI_sluice_PVC"/>
      <sheetName val="General Abs"/>
      <sheetName val="R_Det"/>
      <sheetName val="WORK TABLE"/>
      <sheetName val="PANEL ANNEXURE"/>
      <sheetName val="Detailed"/>
      <sheetName val="hdpe_rates"/>
      <sheetName val="hdpe_wt-r"/>
      <sheetName val="DIgate_PVC"/>
      <sheetName val="K.AV-HDPE"/>
      <sheetName val="scour-DI"/>
      <sheetName val="CI-scour-pvc-hdpe-psc-bwsc"/>
      <sheetName val="soft-HDPE"/>
      <sheetName val="soft-PVC"/>
      <sheetName val="DI-AV-DI-final"/>
      <sheetName val="DI-AV-HDPE- Final "/>
      <sheetName val="DI- Final"/>
      <sheetName val="DI_scour-DI-final"/>
      <sheetName val="DI_scour-pvc-hdpe-psc-bwsc"/>
      <sheetName val="DI SV on DI-final "/>
      <sheetName val="DI Sluice_HDPE"/>
      <sheetName val="HDPE-Final "/>
      <sheetName val="Rohsr"/>
      <sheetName val="Rppl"/>
      <sheetName val="Rofc"/>
      <sheetName val="Rhhc"/>
      <sheetName val="Compound wall  Ok"/>
      <sheetName val="Footings"/>
      <sheetName val="DsnConcept"/>
      <sheetName val="bom"/>
    </sheetNames>
    <sheetDataSet>
      <sheetData sheetId="0" refreshError="1"/>
      <sheetData sheetId="1" refreshError="1"/>
      <sheetData sheetId="2" refreshError="1">
        <row r="1">
          <cell r="A1" t="str">
            <v>Dia of Pipe(PVC)</v>
          </cell>
          <cell r="B1" t="str">
            <v>Interal Dia</v>
          </cell>
        </row>
        <row r="2">
          <cell r="A2">
            <v>63</v>
          </cell>
          <cell r="B2">
            <v>59.2</v>
          </cell>
        </row>
        <row r="3">
          <cell r="A3">
            <v>75</v>
          </cell>
          <cell r="B3">
            <v>70.599999999999994</v>
          </cell>
        </row>
        <row r="4">
          <cell r="A4">
            <v>90</v>
          </cell>
          <cell r="B4">
            <v>84.8</v>
          </cell>
        </row>
        <row r="5">
          <cell r="A5">
            <v>110</v>
          </cell>
          <cell r="B5">
            <v>104</v>
          </cell>
        </row>
        <row r="6">
          <cell r="A6">
            <v>125</v>
          </cell>
          <cell r="B6">
            <v>118.2</v>
          </cell>
        </row>
        <row r="7">
          <cell r="A7">
            <v>140</v>
          </cell>
          <cell r="B7">
            <v>132.4</v>
          </cell>
        </row>
        <row r="8">
          <cell r="A8">
            <v>160</v>
          </cell>
          <cell r="B8">
            <v>151.4</v>
          </cell>
        </row>
        <row r="9">
          <cell r="A9">
            <v>180</v>
          </cell>
          <cell r="B9">
            <v>170.2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sheetData sheetId="66" refreshError="1"/>
      <sheetData sheetId="67" refreshError="1"/>
      <sheetData sheetId="68" refreshError="1"/>
      <sheetData sheetId="69" refreshError="1"/>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s>
    <sheetDataSet>
      <sheetData sheetId="0" refreshError="1"/>
      <sheetData sheetId="1" refreshError="1"/>
      <sheetData sheetId="2">
        <row r="2">
          <cell r="A2" t="str">
            <v>Name of the Work : Providing B.T.  On R/F  PWD Road To Chowderpally</v>
          </cell>
        </row>
        <row r="21">
          <cell r="B21" t="str">
            <v>P.R.Bommraspet</v>
          </cell>
          <cell r="D21" t="str">
            <v>P.R.Kodangal</v>
          </cell>
          <cell r="F21" t="str">
            <v>P.R.Narayanpet</v>
          </cell>
        </row>
      </sheetData>
      <sheetData sheetId="3" refreshError="1"/>
      <sheetData sheetId="4" refreshError="1"/>
      <sheetData sheetId="5" refreshError="1"/>
      <sheetData sheetId="6"/>
      <sheetData sheetId="7"/>
      <sheetData sheetId="8" refreshError="1"/>
      <sheetData sheetId="9" refreshError="1"/>
      <sheetData sheetId="10"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s>
    <sheetDataSet>
      <sheetData sheetId="0" refreshError="1"/>
      <sheetData sheetId="1" refreshError="1"/>
      <sheetData sheetId="2" refreshError="1">
        <row r="2">
          <cell r="A2" t="str">
            <v>Name of the Work : Providing B.T.  On R/F  PWD Road To Chowderpally</v>
          </cell>
        </row>
        <row r="21">
          <cell r="F21" t="str">
            <v>P.R.Narayanpet</v>
          </cell>
        </row>
      </sheetData>
      <sheetData sheetId="3" refreshError="1"/>
      <sheetData sheetId="4" refreshError="1"/>
      <sheetData sheetId="5" refreshError="1"/>
      <sheetData sheetId="6"/>
      <sheetData sheetId="7"/>
      <sheetData sheetId="8" refreshError="1"/>
      <sheetData sheetId="9" refreshError="1"/>
      <sheetData sheetId="1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joduck_SK_1"/>
      <sheetName val="Part A"/>
      <sheetName val="she"/>
      <sheetName val="estimate"/>
      <sheetName val="Supl.Data"/>
      <sheetName val="Data"/>
      <sheetName val="lead"/>
      <sheetName val="Data.F8.BTR"/>
      <sheetName val="Plant &amp;  Machinery"/>
      <sheetName val="Labour"/>
      <sheetName val="Material"/>
      <sheetName val="v"/>
      <sheetName val="Bill_amt_qty_cc_1"/>
      <sheetName val="ABS"/>
      <sheetName val="data existing_do not delete"/>
      <sheetName val="r"/>
      <sheetName val="CD_Data"/>
      <sheetName val="sup dat"/>
      <sheetName val="Data-Road "/>
      <sheetName val="Side Drains"/>
      <sheetName val="DATA-CD "/>
      <sheetName val="Retaining walls "/>
      <sheetName val="RAFT"/>
      <sheetName val="leads"/>
      <sheetName val="Sheet2"/>
      <sheetName val="0000000000000"/>
      <sheetName val="LEAD S 10-11"/>
      <sheetName val="rdamdata"/>
      <sheetName val="DATA_PRG"/>
      <sheetName val="section"/>
      <sheetName val="lead-st"/>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prof-B"/>
      <sheetName val="traffic"/>
      <sheetName val="Pro-C"/>
      <sheetName val="design"/>
      <sheetName val="est "/>
      <sheetName val="Data"/>
      <sheetName val="Lead"/>
      <sheetName val="LS"/>
      <sheetName val="C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prof-B"/>
      <sheetName val="traffic"/>
      <sheetName val="Pro-C"/>
      <sheetName val="design"/>
      <sheetName val="est "/>
      <sheetName val="Data"/>
      <sheetName val="Lead"/>
      <sheetName val="LS"/>
      <sheetName val="C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3x4 "/>
      <sheetName val="6x4"/>
      <sheetName val="data"/>
      <sheetName val="Lead"/>
      <sheetName val="leads"/>
    </sheetNames>
    <sheetDataSet>
      <sheetData sheetId="0" refreshError="1"/>
      <sheetData sheetId="1" refreshError="1"/>
      <sheetData sheetId="2" refreshError="1"/>
      <sheetData sheetId="3" refreshError="1"/>
      <sheetData sheetId="4"/>
      <sheetData sheetId="5"/>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3x4 "/>
      <sheetName val="6x4"/>
      <sheetName val="data"/>
      <sheetName val="Lead"/>
      <sheetName val="leads"/>
    </sheetNames>
    <sheetDataSet>
      <sheetData sheetId="0" refreshError="1"/>
      <sheetData sheetId="1" refreshError="1"/>
      <sheetData sheetId="2" refreshError="1"/>
      <sheetData sheetId="3" refreshError="1"/>
      <sheetData sheetId="4"/>
      <sheetData sheetId="5"/>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row r="117">
          <cell r="D117">
            <v>918.77</v>
          </cell>
        </row>
      </sheetData>
      <sheetData sheetId="12" refreshError="1"/>
      <sheetData sheetId="13" refreshError="1"/>
      <sheetData sheetId="14" refreshError="1"/>
      <sheetData sheetId="15" refreshError="1">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row r="117">
          <cell r="D117">
            <v>918.77</v>
          </cell>
        </row>
        <row r="146">
          <cell r="D146">
            <v>0.2</v>
          </cell>
        </row>
      </sheetData>
      <sheetData sheetId="12" refreshError="1"/>
      <sheetData sheetId="13" refreshError="1"/>
      <sheetData sheetId="14" refreshError="1"/>
      <sheetData sheetId="15" refreshError="1">
        <row r="17">
          <cell r="D17">
            <v>106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joduck_SK_1"/>
      <sheetName val="ewst"/>
      <sheetName val="bund"/>
      <sheetName val="Sheet3"/>
      <sheetName val="Plant &amp;  Machinery"/>
      <sheetName val="Material"/>
      <sheetName val="Labour"/>
      <sheetName val="cert"/>
      <sheetName val="Leads"/>
      <sheetName val="RMR"/>
      <sheetName val="Road data"/>
      <sheetName val="m"/>
      <sheetName val="v"/>
      <sheetName val="DATA-BASE"/>
      <sheetName val="DATA-ABSTRACT"/>
      <sheetName val="water-hammar-strenght"/>
      <sheetName val="Lead"/>
      <sheetName val="Sheet9"/>
      <sheetName val="segments-details"/>
      <sheetName val="int-Dia-hdpe"/>
      <sheetName val="habs-list"/>
      <sheetName val="maya"/>
      <sheetName val="r"/>
      <sheetName val="coverpage"/>
      <sheetName val="sectorwise"/>
      <sheetName val="Data"/>
      <sheetName val="Data.F8.BTR"/>
      <sheetName val="0000000000000"/>
      <sheetName val="Road Detail Est."/>
      <sheetName val="Sheet1"/>
      <sheetName val="MRATES"/>
      <sheetName val="MRoad data"/>
      <sheetName val="detls"/>
      <sheetName val="Nspt-smp-final-ORIGINAL"/>
      <sheetName val="HDPE-pipe-rates"/>
      <sheetName val="pvc-pipe-rates"/>
      <sheetName val="BTR"/>
      <sheetName val="QTY"/>
      <sheetName val="ABS"/>
      <sheetName val="Pop"/>
      <sheetName val="Detailed"/>
      <sheetName val="Sheet2"/>
      <sheetName val="Plant_&amp;__Machinery"/>
      <sheetName val="Plant_&amp;__Machinery1"/>
      <sheetName val="table"/>
      <sheetName val="id"/>
      <sheetName val="Lead statement ss5"/>
      <sheetName val="RATES"/>
      <sheetName val="m1"/>
      <sheetName val="CI"/>
      <sheetName val="DI"/>
      <sheetName val="G.R.P"/>
      <sheetName val="HDPE"/>
      <sheetName val="PSC REVISED"/>
      <sheetName val="pvc"/>
      <sheetName val="Boq"/>
      <sheetName val="OH"/>
      <sheetName val="Basic Rates"/>
      <sheetName val="GBW"/>
      <sheetName val="Data_Base"/>
      <sheetName val="data existing_do not delete"/>
      <sheetName val="Cover"/>
      <sheetName val="SUMP1420KL@HW"/>
      <sheetName val="bundqty"/>
      <sheetName val="Usage"/>
      <sheetName val="rdamdata"/>
      <sheetName val="PUMP_DATA"/>
      <sheetName val="RCC,Ret. Wall"/>
      <sheetName val="t_prsr"/>
      <sheetName val="wh"/>
      <sheetName val="wh_data_R"/>
      <sheetName val="ssr-rates"/>
      <sheetName val="clvrt_data"/>
      <sheetName val="Levels"/>
      <sheetName val="AV-HDPE"/>
      <sheetName val="Di_gate-HDPE"/>
      <sheetName val="DATA_PRG"/>
      <sheetName val="Main sheet"/>
      <sheetName val="Background"/>
      <sheetName val="Road_data"/>
      <sheetName val="Abt Foundation "/>
      <sheetName val="pier Foundation"/>
      <sheetName val="PVC_dia"/>
      <sheetName val="mas_hab"/>
      <sheetName val="3405-2014"/>
      <sheetName val="BWSCPlt"/>
      <sheetName val="Sheet5"/>
      <sheetName val="l"/>
      <sheetName val="BM-HOOP"/>
      <sheetName val="THK"/>
      <sheetName val="Data rough"/>
      <sheetName val="Watersoft (2)"/>
      <sheetName val="bom"/>
      <sheetName val="WATER-HAMMER"/>
      <sheetName val="hdpe-rates"/>
      <sheetName val="pvc-rates"/>
      <sheetName val="int-Dia"/>
      <sheetName val="Bitumen trunk"/>
      <sheetName val="AV-BWSC&amp;MS"/>
      <sheetName val="AV_AC"/>
      <sheetName val="di_Gate_AC"/>
      <sheetName val="Digate-BWSCP-MS"/>
      <sheetName val="DI_gate_di"/>
      <sheetName val="Feeder"/>
      <sheetName val="R99 etc"/>
      <sheetName val="Trunk unpaved"/>
      <sheetName val="zone-8"/>
      <sheetName val="MHNO_LEV"/>
      <sheetName val="PM&amp;GM"/>
      <sheetName val="AV-PVC"/>
      <sheetName val="DI gate-DI"/>
      <sheetName val="LABOUR RATE"/>
      <sheetName val="Material Rate"/>
      <sheetName val="GUNTUR"/>
      <sheetName val="List (2)"/>
      <sheetName val="ww-march-02"/>
      <sheetName val="EWE STAETMENT"/>
      <sheetName val="C.D.Abs.Est."/>
      <sheetName val="mlead "/>
      <sheetName val="SPT vs PHI"/>
      <sheetName val="labour coeff"/>
      <sheetName val="Service Road_Length"/>
      <sheetName val="C-data"/>
      <sheetName val="3. Elemental Summary"/>
      <sheetName val="works"/>
      <sheetName val="Gen Abs"/>
      <sheetName val="bricks"/>
      <sheetName val="Data_Renuals"/>
    </sheetNames>
    <sheetDataSet>
      <sheetData sheetId="0" refreshError="1"/>
      <sheetData sheetId="1" refreshError="1">
        <row r="13">
          <cell r="E13">
            <v>0.1</v>
          </cell>
          <cell r="F13">
            <v>4.5999999999999996</v>
          </cell>
          <cell r="G13">
            <v>1.38</v>
          </cell>
          <cell r="H13">
            <v>0</v>
          </cell>
          <cell r="I13">
            <v>0</v>
          </cell>
          <cell r="J13">
            <v>1.02</v>
          </cell>
          <cell r="K13">
            <v>0</v>
          </cell>
          <cell r="L13">
            <v>0</v>
          </cell>
          <cell r="M13">
            <v>0</v>
          </cell>
          <cell r="N13">
            <v>0.5</v>
          </cell>
          <cell r="O13">
            <v>0</v>
          </cell>
          <cell r="P13">
            <v>0</v>
          </cell>
          <cell r="Q13">
            <v>0</v>
          </cell>
          <cell r="R13">
            <v>0.1</v>
          </cell>
        </row>
        <row r="14">
          <cell r="E14">
            <v>0.2</v>
          </cell>
          <cell r="F14">
            <v>5</v>
          </cell>
          <cell r="G14">
            <v>1.5</v>
          </cell>
          <cell r="H14">
            <v>0</v>
          </cell>
          <cell r="I14">
            <v>0</v>
          </cell>
          <cell r="J14">
            <v>1.5</v>
          </cell>
          <cell r="K14">
            <v>0</v>
          </cell>
          <cell r="L14">
            <v>0</v>
          </cell>
          <cell r="M14">
            <v>0</v>
          </cell>
          <cell r="N14">
            <v>0.5</v>
          </cell>
          <cell r="O14">
            <v>0</v>
          </cell>
          <cell r="P14">
            <v>0</v>
          </cell>
          <cell r="Q14">
            <v>0</v>
          </cell>
          <cell r="R14">
            <v>0.2</v>
          </cell>
        </row>
        <row r="15">
          <cell r="E15">
            <v>0.3</v>
          </cell>
          <cell r="F15">
            <v>5.4</v>
          </cell>
          <cell r="G15">
            <v>1.62</v>
          </cell>
          <cell r="H15">
            <v>0</v>
          </cell>
          <cell r="I15">
            <v>0</v>
          </cell>
          <cell r="J15">
            <v>2.02</v>
          </cell>
          <cell r="K15">
            <v>0</v>
          </cell>
          <cell r="L15">
            <v>0</v>
          </cell>
          <cell r="M15">
            <v>0</v>
          </cell>
          <cell r="N15">
            <v>0.5</v>
          </cell>
          <cell r="O15">
            <v>0</v>
          </cell>
          <cell r="P15">
            <v>0</v>
          </cell>
          <cell r="Q15">
            <v>0</v>
          </cell>
          <cell r="R15">
            <v>0.3</v>
          </cell>
        </row>
        <row r="16">
          <cell r="E16">
            <v>0.4</v>
          </cell>
          <cell r="F16">
            <v>5.8</v>
          </cell>
          <cell r="G16">
            <v>1.74</v>
          </cell>
          <cell r="H16">
            <v>0</v>
          </cell>
          <cell r="I16">
            <v>0</v>
          </cell>
          <cell r="J16">
            <v>2.58</v>
          </cell>
          <cell r="K16">
            <v>0</v>
          </cell>
          <cell r="L16">
            <v>0</v>
          </cell>
          <cell r="M16">
            <v>0</v>
          </cell>
          <cell r="N16">
            <v>0.5</v>
          </cell>
          <cell r="O16">
            <v>0</v>
          </cell>
          <cell r="P16">
            <v>0</v>
          </cell>
          <cell r="Q16">
            <v>0</v>
          </cell>
          <cell r="R16">
            <v>0.4</v>
          </cell>
        </row>
        <row r="17">
          <cell r="E17">
            <v>0.5</v>
          </cell>
          <cell r="F17">
            <v>6.2</v>
          </cell>
          <cell r="G17">
            <v>1.86</v>
          </cell>
          <cell r="H17">
            <v>0</v>
          </cell>
          <cell r="I17">
            <v>0</v>
          </cell>
          <cell r="J17">
            <v>3.18</v>
          </cell>
          <cell r="K17">
            <v>0</v>
          </cell>
          <cell r="L17">
            <v>0</v>
          </cell>
          <cell r="M17">
            <v>0</v>
          </cell>
          <cell r="N17">
            <v>0.5</v>
          </cell>
          <cell r="O17">
            <v>0</v>
          </cell>
          <cell r="P17">
            <v>0</v>
          </cell>
          <cell r="Q17">
            <v>0</v>
          </cell>
          <cell r="R17">
            <v>0.5</v>
          </cell>
        </row>
        <row r="18">
          <cell r="E18">
            <v>0.6</v>
          </cell>
          <cell r="F18">
            <v>6.6</v>
          </cell>
          <cell r="G18">
            <v>1.98</v>
          </cell>
          <cell r="H18">
            <v>0</v>
          </cell>
          <cell r="I18">
            <v>0</v>
          </cell>
          <cell r="J18">
            <v>3.82</v>
          </cell>
          <cell r="K18">
            <v>0</v>
          </cell>
          <cell r="L18">
            <v>0</v>
          </cell>
          <cell r="M18">
            <v>0</v>
          </cell>
          <cell r="N18">
            <v>0.5</v>
          </cell>
          <cell r="O18">
            <v>0</v>
          </cell>
          <cell r="P18">
            <v>0</v>
          </cell>
          <cell r="Q18">
            <v>0</v>
          </cell>
          <cell r="R18">
            <v>0.6</v>
          </cell>
        </row>
        <row r="19">
          <cell r="E19">
            <v>0.7</v>
          </cell>
          <cell r="F19">
            <v>7</v>
          </cell>
          <cell r="G19">
            <v>2.1</v>
          </cell>
          <cell r="H19">
            <v>0</v>
          </cell>
          <cell r="I19">
            <v>0</v>
          </cell>
          <cell r="J19">
            <v>4.5</v>
          </cell>
          <cell r="K19">
            <v>0</v>
          </cell>
          <cell r="L19">
            <v>0</v>
          </cell>
          <cell r="M19">
            <v>0</v>
          </cell>
          <cell r="N19">
            <v>0.5</v>
          </cell>
          <cell r="O19">
            <v>0</v>
          </cell>
          <cell r="P19">
            <v>0</v>
          </cell>
          <cell r="Q19">
            <v>0</v>
          </cell>
          <cell r="R19">
            <v>0.7</v>
          </cell>
        </row>
        <row r="20">
          <cell r="E20">
            <v>0.8</v>
          </cell>
          <cell r="F20">
            <v>7.4</v>
          </cell>
          <cell r="G20">
            <v>2.2200000000000002</v>
          </cell>
          <cell r="H20">
            <v>0</v>
          </cell>
          <cell r="I20">
            <v>0</v>
          </cell>
          <cell r="J20">
            <v>5.22</v>
          </cell>
          <cell r="K20">
            <v>0</v>
          </cell>
          <cell r="L20">
            <v>0</v>
          </cell>
          <cell r="M20">
            <v>0</v>
          </cell>
          <cell r="N20">
            <v>0.5</v>
          </cell>
          <cell r="O20">
            <v>0</v>
          </cell>
          <cell r="P20">
            <v>0</v>
          </cell>
          <cell r="Q20">
            <v>0</v>
          </cell>
          <cell r="R20">
            <v>0.8</v>
          </cell>
        </row>
        <row r="21">
          <cell r="E21">
            <v>0.9</v>
          </cell>
          <cell r="F21">
            <v>7.8</v>
          </cell>
          <cell r="G21">
            <v>2.34</v>
          </cell>
          <cell r="H21">
            <v>0</v>
          </cell>
          <cell r="I21">
            <v>0</v>
          </cell>
          <cell r="J21">
            <v>5.98</v>
          </cell>
          <cell r="K21">
            <v>0</v>
          </cell>
          <cell r="L21">
            <v>0</v>
          </cell>
          <cell r="M21">
            <v>0</v>
          </cell>
          <cell r="N21">
            <v>0.5</v>
          </cell>
          <cell r="O21">
            <v>0</v>
          </cell>
          <cell r="P21">
            <v>0</v>
          </cell>
          <cell r="Q21">
            <v>0</v>
          </cell>
          <cell r="R21">
            <v>0.9</v>
          </cell>
        </row>
        <row r="22">
          <cell r="E22">
            <v>1</v>
          </cell>
          <cell r="F22">
            <v>8.1999999999999993</v>
          </cell>
          <cell r="G22">
            <v>2.46</v>
          </cell>
          <cell r="H22">
            <v>0</v>
          </cell>
          <cell r="I22">
            <v>0</v>
          </cell>
          <cell r="J22">
            <v>6.78</v>
          </cell>
          <cell r="K22">
            <v>0</v>
          </cell>
          <cell r="L22">
            <v>0</v>
          </cell>
          <cell r="M22">
            <v>0</v>
          </cell>
          <cell r="N22">
            <v>0.5</v>
          </cell>
          <cell r="O22">
            <v>0</v>
          </cell>
          <cell r="P22">
            <v>0</v>
          </cell>
          <cell r="Q22">
            <v>0</v>
          </cell>
          <cell r="R22">
            <v>1</v>
          </cell>
        </row>
        <row r="23">
          <cell r="E23">
            <v>1.1000000000000001</v>
          </cell>
          <cell r="F23">
            <v>8.6</v>
          </cell>
          <cell r="G23">
            <v>2.58</v>
          </cell>
          <cell r="H23">
            <v>0</v>
          </cell>
          <cell r="I23">
            <v>0</v>
          </cell>
          <cell r="J23">
            <v>7.62</v>
          </cell>
          <cell r="K23">
            <v>0</v>
          </cell>
          <cell r="L23">
            <v>0</v>
          </cell>
          <cell r="M23">
            <v>0</v>
          </cell>
          <cell r="N23">
            <v>0.5</v>
          </cell>
          <cell r="O23">
            <v>0</v>
          </cell>
          <cell r="P23">
            <v>0</v>
          </cell>
          <cell r="Q23">
            <v>0</v>
          </cell>
          <cell r="R23">
            <v>1.1000000000000001</v>
          </cell>
        </row>
        <row r="24">
          <cell r="E24">
            <v>1.2</v>
          </cell>
          <cell r="F24">
            <v>9</v>
          </cell>
          <cell r="G24">
            <v>2.7</v>
          </cell>
          <cell r="H24">
            <v>0</v>
          </cell>
          <cell r="I24">
            <v>0</v>
          </cell>
          <cell r="J24">
            <v>8.5</v>
          </cell>
          <cell r="K24">
            <v>0</v>
          </cell>
          <cell r="L24">
            <v>0</v>
          </cell>
          <cell r="M24">
            <v>0</v>
          </cell>
          <cell r="N24">
            <v>0.5</v>
          </cell>
          <cell r="O24">
            <v>0</v>
          </cell>
          <cell r="P24">
            <v>0</v>
          </cell>
          <cell r="Q24">
            <v>0</v>
          </cell>
          <cell r="R24">
            <v>1.2</v>
          </cell>
        </row>
        <row r="25">
          <cell r="E25">
            <v>1.3</v>
          </cell>
          <cell r="F25">
            <v>9.4</v>
          </cell>
          <cell r="G25">
            <v>2.82</v>
          </cell>
          <cell r="H25">
            <v>0</v>
          </cell>
          <cell r="I25">
            <v>0</v>
          </cell>
          <cell r="J25">
            <v>9.42</v>
          </cell>
          <cell r="K25">
            <v>0</v>
          </cell>
          <cell r="L25">
            <v>0</v>
          </cell>
          <cell r="M25">
            <v>0</v>
          </cell>
          <cell r="N25">
            <v>0.5</v>
          </cell>
          <cell r="O25">
            <v>0</v>
          </cell>
          <cell r="P25">
            <v>0</v>
          </cell>
          <cell r="Q25">
            <v>0</v>
          </cell>
          <cell r="R25">
            <v>1.3</v>
          </cell>
        </row>
        <row r="26">
          <cell r="E26">
            <v>1.4</v>
          </cell>
          <cell r="F26">
            <v>9.8000000000000007</v>
          </cell>
          <cell r="G26">
            <v>2.94</v>
          </cell>
          <cell r="H26">
            <v>1.98</v>
          </cell>
          <cell r="I26">
            <v>0</v>
          </cell>
          <cell r="J26">
            <v>10.38</v>
          </cell>
          <cell r="K26">
            <v>0</v>
          </cell>
          <cell r="L26">
            <v>0</v>
          </cell>
          <cell r="M26">
            <v>0</v>
          </cell>
          <cell r="N26">
            <v>0.5</v>
          </cell>
          <cell r="O26">
            <v>0</v>
          </cell>
          <cell r="P26">
            <v>0</v>
          </cell>
          <cell r="Q26">
            <v>0</v>
          </cell>
          <cell r="R26">
            <v>1.4</v>
          </cell>
        </row>
        <row r="27">
          <cell r="E27">
            <v>1.5</v>
          </cell>
          <cell r="F27">
            <v>10.199999999999999</v>
          </cell>
          <cell r="G27">
            <v>3.48</v>
          </cell>
          <cell r="H27">
            <v>1.98</v>
          </cell>
          <cell r="I27">
            <v>0</v>
          </cell>
          <cell r="J27">
            <v>9.09</v>
          </cell>
          <cell r="K27">
            <v>1.57</v>
          </cell>
          <cell r="L27">
            <v>1.1100000000000001</v>
          </cell>
          <cell r="M27">
            <v>0</v>
          </cell>
          <cell r="N27">
            <v>0.47</v>
          </cell>
          <cell r="O27">
            <v>0</v>
          </cell>
          <cell r="P27">
            <v>0</v>
          </cell>
          <cell r="Q27">
            <v>0</v>
          </cell>
          <cell r="R27">
            <v>1.5</v>
          </cell>
        </row>
        <row r="28">
          <cell r="E28">
            <v>1.6</v>
          </cell>
          <cell r="F28">
            <v>10.6</v>
          </cell>
          <cell r="G28">
            <v>3.6</v>
          </cell>
          <cell r="H28">
            <v>1.98</v>
          </cell>
          <cell r="I28">
            <v>0</v>
          </cell>
          <cell r="J28">
            <v>10</v>
          </cell>
          <cell r="K28">
            <v>1.64</v>
          </cell>
          <cell r="L28">
            <v>1.17</v>
          </cell>
          <cell r="M28">
            <v>0</v>
          </cell>
          <cell r="N28">
            <v>0.47</v>
          </cell>
          <cell r="O28">
            <v>0</v>
          </cell>
          <cell r="P28">
            <v>0</v>
          </cell>
          <cell r="Q28">
            <v>0</v>
          </cell>
          <cell r="R28">
            <v>1.6</v>
          </cell>
        </row>
        <row r="29">
          <cell r="E29">
            <v>1.7</v>
          </cell>
          <cell r="F29">
            <v>11</v>
          </cell>
          <cell r="G29">
            <v>3.72</v>
          </cell>
          <cell r="H29">
            <v>1.98</v>
          </cell>
          <cell r="I29">
            <v>0</v>
          </cell>
          <cell r="J29">
            <v>10.95</v>
          </cell>
          <cell r="K29">
            <v>1.7</v>
          </cell>
          <cell r="L29">
            <v>1.24</v>
          </cell>
          <cell r="M29">
            <v>0</v>
          </cell>
          <cell r="N29">
            <v>0.47</v>
          </cell>
          <cell r="O29">
            <v>0</v>
          </cell>
          <cell r="P29">
            <v>0</v>
          </cell>
          <cell r="Q29">
            <v>0</v>
          </cell>
          <cell r="R29">
            <v>1.7</v>
          </cell>
        </row>
        <row r="30">
          <cell r="E30">
            <v>1.8</v>
          </cell>
          <cell r="F30">
            <v>11.4</v>
          </cell>
          <cell r="G30">
            <v>3.84</v>
          </cell>
          <cell r="H30">
            <v>1.98</v>
          </cell>
          <cell r="I30">
            <v>0</v>
          </cell>
          <cell r="J30">
            <v>11.93</v>
          </cell>
          <cell r="K30">
            <v>1.77</v>
          </cell>
          <cell r="L30">
            <v>1.31</v>
          </cell>
          <cell r="M30">
            <v>0</v>
          </cell>
          <cell r="N30">
            <v>0.47</v>
          </cell>
          <cell r="O30">
            <v>0</v>
          </cell>
          <cell r="P30">
            <v>0</v>
          </cell>
          <cell r="Q30">
            <v>0</v>
          </cell>
          <cell r="R30">
            <v>1.8</v>
          </cell>
        </row>
        <row r="31">
          <cell r="E31">
            <v>1.9</v>
          </cell>
          <cell r="F31">
            <v>11.8</v>
          </cell>
          <cell r="G31">
            <v>3.96</v>
          </cell>
          <cell r="H31">
            <v>1.98</v>
          </cell>
          <cell r="I31">
            <v>0</v>
          </cell>
          <cell r="J31">
            <v>12.95</v>
          </cell>
          <cell r="K31">
            <v>1.84</v>
          </cell>
          <cell r="L31">
            <v>1.38</v>
          </cell>
          <cell r="M31">
            <v>0</v>
          </cell>
          <cell r="N31">
            <v>0.47</v>
          </cell>
          <cell r="O31">
            <v>0</v>
          </cell>
          <cell r="P31">
            <v>0</v>
          </cell>
          <cell r="Q31">
            <v>0</v>
          </cell>
          <cell r="R31">
            <v>1.9</v>
          </cell>
        </row>
        <row r="32">
          <cell r="E32">
            <v>2</v>
          </cell>
          <cell r="F32">
            <v>12.2</v>
          </cell>
          <cell r="G32">
            <v>4.08</v>
          </cell>
          <cell r="H32">
            <v>1.98</v>
          </cell>
          <cell r="I32">
            <v>0</v>
          </cell>
          <cell r="J32">
            <v>14.03</v>
          </cell>
          <cell r="K32">
            <v>1.9</v>
          </cell>
          <cell r="L32">
            <v>1.44</v>
          </cell>
          <cell r="M32">
            <v>0</v>
          </cell>
          <cell r="N32">
            <v>0.47</v>
          </cell>
          <cell r="O32">
            <v>0</v>
          </cell>
          <cell r="P32">
            <v>0</v>
          </cell>
          <cell r="Q32">
            <v>0</v>
          </cell>
          <cell r="R32">
            <v>2</v>
          </cell>
        </row>
        <row r="33">
          <cell r="E33">
            <v>2.1</v>
          </cell>
          <cell r="F33">
            <v>12.6</v>
          </cell>
          <cell r="G33">
            <v>4.2</v>
          </cell>
          <cell r="H33">
            <v>1.98</v>
          </cell>
          <cell r="I33">
            <v>0</v>
          </cell>
          <cell r="J33">
            <v>15.13</v>
          </cell>
          <cell r="K33">
            <v>1.97</v>
          </cell>
          <cell r="L33">
            <v>1.51</v>
          </cell>
          <cell r="M33">
            <v>0</v>
          </cell>
          <cell r="N33">
            <v>0.47</v>
          </cell>
          <cell r="O33">
            <v>0</v>
          </cell>
          <cell r="P33">
            <v>0</v>
          </cell>
          <cell r="Q33">
            <v>0</v>
          </cell>
          <cell r="R33">
            <v>2.1</v>
          </cell>
        </row>
        <row r="34">
          <cell r="E34">
            <v>2.2000000000000002</v>
          </cell>
          <cell r="F34">
            <v>13</v>
          </cell>
          <cell r="G34">
            <v>4.32</v>
          </cell>
          <cell r="H34">
            <v>1.978</v>
          </cell>
          <cell r="I34">
            <v>0</v>
          </cell>
          <cell r="J34">
            <v>16.27</v>
          </cell>
          <cell r="K34">
            <v>2.04</v>
          </cell>
          <cell r="L34">
            <v>1.58</v>
          </cell>
          <cell r="M34">
            <v>0</v>
          </cell>
          <cell r="N34">
            <v>0.47</v>
          </cell>
          <cell r="O34">
            <v>0</v>
          </cell>
          <cell r="P34">
            <v>0</v>
          </cell>
          <cell r="Q34">
            <v>0</v>
          </cell>
          <cell r="R34">
            <v>2.2000000000000002</v>
          </cell>
        </row>
        <row r="35">
          <cell r="E35">
            <v>2.2999999999999998</v>
          </cell>
          <cell r="F35">
            <v>13.4</v>
          </cell>
          <cell r="G35">
            <v>4.4400000000000004</v>
          </cell>
          <cell r="H35">
            <v>1.98</v>
          </cell>
          <cell r="I35">
            <v>0</v>
          </cell>
          <cell r="J35">
            <v>17.47</v>
          </cell>
          <cell r="K35">
            <v>2.1</v>
          </cell>
          <cell r="L35">
            <v>1.64</v>
          </cell>
          <cell r="M35">
            <v>0</v>
          </cell>
          <cell r="N35">
            <v>0.47</v>
          </cell>
          <cell r="O35">
            <v>0</v>
          </cell>
          <cell r="P35">
            <v>0</v>
          </cell>
          <cell r="Q35">
            <v>0</v>
          </cell>
          <cell r="R35">
            <v>2.2999999999999998</v>
          </cell>
        </row>
        <row r="36">
          <cell r="E36">
            <v>2.4</v>
          </cell>
          <cell r="F36">
            <v>13.8</v>
          </cell>
          <cell r="G36">
            <v>4.5599999999999996</v>
          </cell>
          <cell r="H36">
            <v>1.98</v>
          </cell>
          <cell r="I36">
            <v>0</v>
          </cell>
          <cell r="J36">
            <v>18.690000000000001</v>
          </cell>
          <cell r="K36">
            <v>2.17</v>
          </cell>
          <cell r="L36">
            <v>1.71</v>
          </cell>
          <cell r="M36">
            <v>0</v>
          </cell>
          <cell r="N36">
            <v>0.47</v>
          </cell>
          <cell r="O36">
            <v>0</v>
          </cell>
          <cell r="P36">
            <v>0</v>
          </cell>
          <cell r="Q36">
            <v>0</v>
          </cell>
          <cell r="R36">
            <v>2.4</v>
          </cell>
        </row>
        <row r="37">
          <cell r="E37">
            <v>2.5</v>
          </cell>
          <cell r="F37">
            <v>14.2</v>
          </cell>
          <cell r="G37">
            <v>4.68</v>
          </cell>
          <cell r="H37">
            <v>1.98</v>
          </cell>
          <cell r="I37">
            <v>0</v>
          </cell>
          <cell r="J37">
            <v>19.95</v>
          </cell>
          <cell r="K37">
            <v>2.2400000000000002</v>
          </cell>
          <cell r="L37">
            <v>1.78</v>
          </cell>
          <cell r="M37">
            <v>0</v>
          </cell>
          <cell r="N37">
            <v>0.47</v>
          </cell>
          <cell r="O37">
            <v>0</v>
          </cell>
          <cell r="P37">
            <v>0</v>
          </cell>
          <cell r="Q37">
            <v>0</v>
          </cell>
          <cell r="R37">
            <v>2.5</v>
          </cell>
        </row>
        <row r="38">
          <cell r="E38">
            <v>2.6</v>
          </cell>
          <cell r="F38">
            <v>14.6</v>
          </cell>
          <cell r="G38">
            <v>4.8</v>
          </cell>
          <cell r="H38">
            <v>1.98</v>
          </cell>
          <cell r="I38">
            <v>0</v>
          </cell>
          <cell r="J38">
            <v>21.25</v>
          </cell>
          <cell r="K38">
            <v>2.31</v>
          </cell>
          <cell r="L38">
            <v>1.85</v>
          </cell>
          <cell r="M38">
            <v>0</v>
          </cell>
          <cell r="N38">
            <v>0.47</v>
          </cell>
          <cell r="O38">
            <v>0</v>
          </cell>
          <cell r="P38">
            <v>0</v>
          </cell>
          <cell r="Q38">
            <v>0</v>
          </cell>
          <cell r="R38">
            <v>2.6</v>
          </cell>
        </row>
        <row r="39">
          <cell r="E39">
            <v>2.7</v>
          </cell>
          <cell r="F39">
            <v>15</v>
          </cell>
          <cell r="G39">
            <v>4.92</v>
          </cell>
          <cell r="H39">
            <v>1.98</v>
          </cell>
          <cell r="I39">
            <v>0</v>
          </cell>
          <cell r="J39">
            <v>22.61</v>
          </cell>
          <cell r="K39">
            <v>2.37</v>
          </cell>
          <cell r="L39">
            <v>1.91</v>
          </cell>
          <cell r="M39">
            <v>0</v>
          </cell>
          <cell r="N39">
            <v>0.47</v>
          </cell>
          <cell r="O39">
            <v>0</v>
          </cell>
          <cell r="P39">
            <v>0</v>
          </cell>
          <cell r="Q39">
            <v>0</v>
          </cell>
          <cell r="R39">
            <v>2.7</v>
          </cell>
        </row>
        <row r="40">
          <cell r="E40">
            <v>2.8</v>
          </cell>
          <cell r="F40">
            <v>15.4</v>
          </cell>
          <cell r="G40">
            <v>5.04</v>
          </cell>
          <cell r="H40">
            <v>2.16</v>
          </cell>
          <cell r="I40">
            <v>0</v>
          </cell>
          <cell r="J40">
            <v>24.1</v>
          </cell>
          <cell r="K40">
            <v>2.44</v>
          </cell>
          <cell r="L40">
            <v>1.98</v>
          </cell>
          <cell r="M40">
            <v>0</v>
          </cell>
          <cell r="N40">
            <v>0.47</v>
          </cell>
          <cell r="O40">
            <v>0</v>
          </cell>
          <cell r="P40">
            <v>0</v>
          </cell>
          <cell r="Q40">
            <v>0</v>
          </cell>
          <cell r="R40">
            <v>2.8</v>
          </cell>
        </row>
        <row r="41">
          <cell r="E41">
            <v>2.9</v>
          </cell>
          <cell r="F41">
            <v>15.8</v>
          </cell>
          <cell r="G41">
            <v>5.16</v>
          </cell>
          <cell r="H41">
            <v>2.35</v>
          </cell>
          <cell r="I41">
            <v>0</v>
          </cell>
          <cell r="J41">
            <v>25.41</v>
          </cell>
          <cell r="K41">
            <v>2.5099999999999998</v>
          </cell>
          <cell r="L41">
            <v>2.0499999999999998</v>
          </cell>
          <cell r="M41">
            <v>0</v>
          </cell>
          <cell r="N41">
            <v>0.47</v>
          </cell>
          <cell r="O41">
            <v>0</v>
          </cell>
          <cell r="P41">
            <v>0</v>
          </cell>
          <cell r="Q41">
            <v>0</v>
          </cell>
          <cell r="R41">
            <v>2.9</v>
          </cell>
        </row>
        <row r="42">
          <cell r="E42">
            <v>3</v>
          </cell>
          <cell r="F42">
            <v>16.2</v>
          </cell>
          <cell r="G42">
            <v>5.28</v>
          </cell>
          <cell r="H42">
            <v>2.5299999999999998</v>
          </cell>
          <cell r="I42">
            <v>0</v>
          </cell>
          <cell r="J42">
            <v>26.89</v>
          </cell>
          <cell r="K42">
            <v>2.57</v>
          </cell>
          <cell r="L42">
            <v>2.11</v>
          </cell>
          <cell r="M42">
            <v>0</v>
          </cell>
          <cell r="N42">
            <v>0.47</v>
          </cell>
          <cell r="O42">
            <v>0</v>
          </cell>
          <cell r="P42">
            <v>0</v>
          </cell>
          <cell r="Q42">
            <v>0</v>
          </cell>
          <cell r="R42">
            <v>3</v>
          </cell>
        </row>
        <row r="43">
          <cell r="E43">
            <v>3.1</v>
          </cell>
          <cell r="F43">
            <v>16.600000000000001</v>
          </cell>
          <cell r="G43">
            <v>5.4</v>
          </cell>
          <cell r="H43">
            <v>2.72</v>
          </cell>
          <cell r="I43">
            <v>0</v>
          </cell>
          <cell r="J43">
            <v>28.39</v>
          </cell>
          <cell r="K43">
            <v>2.64</v>
          </cell>
          <cell r="L43">
            <v>2.1800000000000002</v>
          </cell>
          <cell r="M43">
            <v>0</v>
          </cell>
          <cell r="N43">
            <v>0.47</v>
          </cell>
          <cell r="O43">
            <v>0</v>
          </cell>
          <cell r="P43">
            <v>0</v>
          </cell>
          <cell r="Q43">
            <v>0</v>
          </cell>
          <cell r="R43">
            <v>3.1</v>
          </cell>
        </row>
        <row r="44">
          <cell r="E44">
            <v>3.2</v>
          </cell>
          <cell r="F44">
            <v>17</v>
          </cell>
          <cell r="G44">
            <v>5.52</v>
          </cell>
          <cell r="H44">
            <v>2.91</v>
          </cell>
          <cell r="I44">
            <v>0</v>
          </cell>
          <cell r="J44">
            <v>29.93</v>
          </cell>
          <cell r="K44">
            <v>2.71</v>
          </cell>
          <cell r="L44">
            <v>2.25</v>
          </cell>
          <cell r="M44">
            <v>0</v>
          </cell>
          <cell r="N44">
            <v>0.47</v>
          </cell>
          <cell r="O44">
            <v>0</v>
          </cell>
          <cell r="P44">
            <v>0</v>
          </cell>
          <cell r="Q44">
            <v>0</v>
          </cell>
          <cell r="R44">
            <v>3.2</v>
          </cell>
        </row>
        <row r="45">
          <cell r="E45">
            <v>3.3</v>
          </cell>
          <cell r="F45">
            <v>17.399999999999999</v>
          </cell>
          <cell r="G45">
            <v>5.64</v>
          </cell>
          <cell r="H45">
            <v>3.11</v>
          </cell>
          <cell r="I45">
            <v>0</v>
          </cell>
          <cell r="J45">
            <v>31.53</v>
          </cell>
          <cell r="K45">
            <v>2.77</v>
          </cell>
          <cell r="L45">
            <v>2.31</v>
          </cell>
          <cell r="M45">
            <v>0</v>
          </cell>
          <cell r="N45">
            <v>0.47</v>
          </cell>
          <cell r="O45">
            <v>0</v>
          </cell>
          <cell r="P45">
            <v>0</v>
          </cell>
          <cell r="Q45">
            <v>0</v>
          </cell>
          <cell r="R45">
            <v>3.3</v>
          </cell>
        </row>
        <row r="46">
          <cell r="E46">
            <v>3.4</v>
          </cell>
          <cell r="F46">
            <v>17.8</v>
          </cell>
          <cell r="G46">
            <v>5.76</v>
          </cell>
          <cell r="H46">
            <v>3.03</v>
          </cell>
          <cell r="I46">
            <v>0</v>
          </cell>
          <cell r="J46">
            <v>33.15</v>
          </cell>
          <cell r="K46">
            <v>2.84</v>
          </cell>
          <cell r="L46">
            <v>2.38</v>
          </cell>
          <cell r="M46">
            <v>0</v>
          </cell>
          <cell r="N46">
            <v>0.47</v>
          </cell>
          <cell r="O46">
            <v>0</v>
          </cell>
          <cell r="P46">
            <v>0</v>
          </cell>
          <cell r="Q46">
            <v>0</v>
          </cell>
          <cell r="R46">
            <v>3.4</v>
          </cell>
        </row>
        <row r="47">
          <cell r="E47">
            <v>3.5</v>
          </cell>
          <cell r="F47">
            <v>18</v>
          </cell>
          <cell r="G47">
            <v>7.82</v>
          </cell>
          <cell r="H47">
            <v>3.5</v>
          </cell>
          <cell r="I47">
            <v>0</v>
          </cell>
          <cell r="J47">
            <v>29.63</v>
          </cell>
          <cell r="K47">
            <v>2.91</v>
          </cell>
          <cell r="L47">
            <v>2.4500000000000002</v>
          </cell>
          <cell r="M47">
            <v>2.64</v>
          </cell>
          <cell r="N47">
            <v>0.47</v>
          </cell>
          <cell r="O47">
            <v>2.64</v>
          </cell>
          <cell r="P47">
            <v>0.38</v>
          </cell>
          <cell r="Q47">
            <v>1.01</v>
          </cell>
          <cell r="R47">
            <v>3.05</v>
          </cell>
        </row>
        <row r="48">
          <cell r="E48">
            <v>3.6</v>
          </cell>
          <cell r="F48">
            <v>18.399999999999999</v>
          </cell>
          <cell r="G48">
            <v>7.94</v>
          </cell>
          <cell r="H48">
            <v>3.7</v>
          </cell>
          <cell r="I48">
            <v>0</v>
          </cell>
          <cell r="J48">
            <v>31.17</v>
          </cell>
          <cell r="K48">
            <v>2.98</v>
          </cell>
          <cell r="L48">
            <v>2.52</v>
          </cell>
          <cell r="M48">
            <v>2.64</v>
          </cell>
          <cell r="N48">
            <v>0.47</v>
          </cell>
          <cell r="O48">
            <v>2.8</v>
          </cell>
          <cell r="P48">
            <v>0.38</v>
          </cell>
          <cell r="Q48">
            <v>1.01</v>
          </cell>
          <cell r="R48">
            <v>3.15</v>
          </cell>
        </row>
        <row r="49">
          <cell r="E49">
            <v>3.7</v>
          </cell>
          <cell r="F49">
            <v>18.8</v>
          </cell>
          <cell r="G49">
            <v>8.06</v>
          </cell>
          <cell r="H49">
            <v>3.91</v>
          </cell>
          <cell r="I49">
            <v>0</v>
          </cell>
          <cell r="J49">
            <v>32.78</v>
          </cell>
          <cell r="K49">
            <v>3.04</v>
          </cell>
          <cell r="L49">
            <v>2.58</v>
          </cell>
          <cell r="M49">
            <v>2.64</v>
          </cell>
          <cell r="N49">
            <v>0.47</v>
          </cell>
          <cell r="O49">
            <v>2.95</v>
          </cell>
          <cell r="P49">
            <v>0.38</v>
          </cell>
          <cell r="Q49">
            <v>1.01</v>
          </cell>
          <cell r="R49">
            <v>3.25</v>
          </cell>
        </row>
        <row r="50">
          <cell r="E50">
            <v>3.8</v>
          </cell>
          <cell r="F50">
            <v>19.2</v>
          </cell>
          <cell r="G50">
            <v>8.18</v>
          </cell>
          <cell r="H50">
            <v>4.1100000000000003</v>
          </cell>
          <cell r="I50">
            <v>0</v>
          </cell>
          <cell r="J50">
            <v>34.4</v>
          </cell>
          <cell r="K50">
            <v>3.11</v>
          </cell>
          <cell r="L50">
            <v>2.65</v>
          </cell>
          <cell r="M50">
            <v>2.64</v>
          </cell>
          <cell r="N50">
            <v>0.47</v>
          </cell>
          <cell r="O50">
            <v>3.11</v>
          </cell>
          <cell r="P50">
            <v>0.38</v>
          </cell>
          <cell r="Q50">
            <v>1.01</v>
          </cell>
          <cell r="R50">
            <v>3.35</v>
          </cell>
        </row>
        <row r="51">
          <cell r="E51">
            <v>3.9</v>
          </cell>
          <cell r="F51">
            <v>19.600000000000001</v>
          </cell>
          <cell r="G51">
            <v>8.3000000000000007</v>
          </cell>
          <cell r="H51">
            <v>4.32</v>
          </cell>
          <cell r="I51">
            <v>0</v>
          </cell>
          <cell r="J51">
            <v>36.06</v>
          </cell>
          <cell r="K51">
            <v>3.18</v>
          </cell>
          <cell r="L51">
            <v>2.72</v>
          </cell>
          <cell r="M51">
            <v>2.64</v>
          </cell>
          <cell r="N51">
            <v>0.47</v>
          </cell>
          <cell r="O51">
            <v>3.27</v>
          </cell>
          <cell r="P51">
            <v>0.38</v>
          </cell>
          <cell r="Q51">
            <v>1.01</v>
          </cell>
          <cell r="R51">
            <v>3.45</v>
          </cell>
        </row>
        <row r="52">
          <cell r="E52">
            <v>4</v>
          </cell>
          <cell r="F52">
            <v>20</v>
          </cell>
          <cell r="G52">
            <v>8.42</v>
          </cell>
          <cell r="H52">
            <v>4.53</v>
          </cell>
          <cell r="I52">
            <v>0</v>
          </cell>
          <cell r="J52">
            <v>37.79</v>
          </cell>
          <cell r="K52">
            <v>3.24</v>
          </cell>
          <cell r="L52">
            <v>2.78</v>
          </cell>
          <cell r="M52">
            <v>2.64</v>
          </cell>
          <cell r="N52">
            <v>0.47</v>
          </cell>
          <cell r="O52">
            <v>3.42</v>
          </cell>
          <cell r="P52">
            <v>0.38</v>
          </cell>
          <cell r="Q52">
            <v>1.01</v>
          </cell>
          <cell r="R52">
            <v>3.55</v>
          </cell>
        </row>
        <row r="53">
          <cell r="E53">
            <v>4.0999999999999996</v>
          </cell>
          <cell r="F53">
            <v>20.399999999999999</v>
          </cell>
          <cell r="G53">
            <v>8.5399999999999991</v>
          </cell>
          <cell r="H53">
            <v>4.75</v>
          </cell>
          <cell r="I53">
            <v>0</v>
          </cell>
          <cell r="J53">
            <v>39.53</v>
          </cell>
          <cell r="K53">
            <v>3.31</v>
          </cell>
          <cell r="L53">
            <v>2.85</v>
          </cell>
          <cell r="M53">
            <v>2.64</v>
          </cell>
          <cell r="N53">
            <v>0.47</v>
          </cell>
          <cell r="O53">
            <v>3.58</v>
          </cell>
          <cell r="P53">
            <v>0.38</v>
          </cell>
          <cell r="Q53">
            <v>1.01</v>
          </cell>
          <cell r="R53">
            <v>3.65</v>
          </cell>
        </row>
        <row r="54">
          <cell r="E54">
            <v>4.2</v>
          </cell>
          <cell r="F54">
            <v>20.8</v>
          </cell>
          <cell r="G54">
            <v>8.66</v>
          </cell>
          <cell r="H54">
            <v>4.96</v>
          </cell>
          <cell r="I54">
            <v>0</v>
          </cell>
          <cell r="J54">
            <v>41.31</v>
          </cell>
          <cell r="K54">
            <v>3.38</v>
          </cell>
          <cell r="L54">
            <v>2.92</v>
          </cell>
          <cell r="M54">
            <v>2.64</v>
          </cell>
          <cell r="N54">
            <v>0.47</v>
          </cell>
          <cell r="O54">
            <v>3.74</v>
          </cell>
          <cell r="P54">
            <v>0.38</v>
          </cell>
          <cell r="Q54">
            <v>1.01</v>
          </cell>
          <cell r="R54">
            <v>3.75</v>
          </cell>
        </row>
        <row r="55">
          <cell r="E55">
            <v>4.3</v>
          </cell>
          <cell r="F55">
            <v>21.2</v>
          </cell>
          <cell r="G55">
            <v>8.7799999999999994</v>
          </cell>
          <cell r="H55">
            <v>5.18</v>
          </cell>
          <cell r="I55">
            <v>0</v>
          </cell>
          <cell r="J55">
            <v>43.13</v>
          </cell>
          <cell r="K55">
            <v>3.45</v>
          </cell>
          <cell r="L55">
            <v>2.99</v>
          </cell>
          <cell r="M55">
            <v>2.64</v>
          </cell>
          <cell r="N55">
            <v>0.47</v>
          </cell>
          <cell r="O55">
            <v>3.9</v>
          </cell>
          <cell r="P55">
            <v>0.38</v>
          </cell>
          <cell r="Q55">
            <v>1.01</v>
          </cell>
          <cell r="R55">
            <v>3.85</v>
          </cell>
        </row>
        <row r="56">
          <cell r="E56">
            <v>4.4000000000000004</v>
          </cell>
          <cell r="F56">
            <v>21.6</v>
          </cell>
          <cell r="G56">
            <v>8.9</v>
          </cell>
          <cell r="H56">
            <v>5.4</v>
          </cell>
          <cell r="I56">
            <v>0</v>
          </cell>
          <cell r="J56">
            <v>45.02</v>
          </cell>
          <cell r="K56">
            <v>3.51</v>
          </cell>
          <cell r="L56">
            <v>3.05</v>
          </cell>
          <cell r="M56">
            <v>2.64</v>
          </cell>
          <cell r="N56">
            <v>0.47</v>
          </cell>
          <cell r="O56">
            <v>4.05</v>
          </cell>
          <cell r="P56">
            <v>0.38</v>
          </cell>
          <cell r="Q56">
            <v>1.01</v>
          </cell>
          <cell r="R56">
            <v>3.95</v>
          </cell>
        </row>
        <row r="57">
          <cell r="E57">
            <v>4.5</v>
          </cell>
          <cell r="F57">
            <v>22</v>
          </cell>
          <cell r="G57">
            <v>9.02</v>
          </cell>
          <cell r="H57">
            <v>5.63</v>
          </cell>
          <cell r="I57">
            <v>0</v>
          </cell>
          <cell r="J57">
            <v>46.92</v>
          </cell>
          <cell r="K57">
            <v>3.58</v>
          </cell>
          <cell r="L57">
            <v>3.12</v>
          </cell>
          <cell r="M57">
            <v>2.64</v>
          </cell>
          <cell r="N57">
            <v>0.47</v>
          </cell>
          <cell r="O57">
            <v>4.21</v>
          </cell>
          <cell r="P57">
            <v>0.38</v>
          </cell>
          <cell r="Q57">
            <v>1.01</v>
          </cell>
          <cell r="R57">
            <v>4.05</v>
          </cell>
        </row>
        <row r="58">
          <cell r="E58">
            <v>4.5999999999999996</v>
          </cell>
          <cell r="F58">
            <v>22.4</v>
          </cell>
          <cell r="G58">
            <v>9.14</v>
          </cell>
          <cell r="H58">
            <v>5.85</v>
          </cell>
          <cell r="I58">
            <v>0</v>
          </cell>
          <cell r="J58">
            <v>48.86</v>
          </cell>
          <cell r="K58">
            <v>3.65</v>
          </cell>
          <cell r="L58">
            <v>3.19</v>
          </cell>
          <cell r="M58">
            <v>2.64</v>
          </cell>
          <cell r="N58">
            <v>0.47</v>
          </cell>
          <cell r="O58">
            <v>4.37</v>
          </cell>
          <cell r="P58">
            <v>0.38</v>
          </cell>
          <cell r="Q58">
            <v>1.01</v>
          </cell>
          <cell r="R58">
            <v>4.1500000000000004</v>
          </cell>
        </row>
        <row r="59">
          <cell r="E59">
            <v>4.7</v>
          </cell>
          <cell r="F59">
            <v>22.8</v>
          </cell>
          <cell r="G59">
            <v>9.26</v>
          </cell>
          <cell r="H59">
            <v>6.08</v>
          </cell>
          <cell r="I59">
            <v>0</v>
          </cell>
          <cell r="J59">
            <v>50.86</v>
          </cell>
          <cell r="K59">
            <v>3.71</v>
          </cell>
          <cell r="L59">
            <v>3.25</v>
          </cell>
          <cell r="M59">
            <v>2.64</v>
          </cell>
          <cell r="N59">
            <v>0.47</v>
          </cell>
          <cell r="O59">
            <v>4.53</v>
          </cell>
          <cell r="P59">
            <v>0.38</v>
          </cell>
          <cell r="Q59">
            <v>1.01</v>
          </cell>
          <cell r="R59">
            <v>4.25</v>
          </cell>
        </row>
        <row r="60">
          <cell r="E60">
            <v>4.8</v>
          </cell>
          <cell r="F60">
            <v>23.2</v>
          </cell>
          <cell r="G60">
            <v>9.3800000000000008</v>
          </cell>
          <cell r="H60">
            <v>6.31</v>
          </cell>
          <cell r="I60">
            <v>0</v>
          </cell>
          <cell r="J60">
            <v>52.89</v>
          </cell>
          <cell r="K60">
            <v>3.78</v>
          </cell>
          <cell r="L60">
            <v>3.32</v>
          </cell>
          <cell r="M60">
            <v>2.64</v>
          </cell>
          <cell r="N60">
            <v>0.47</v>
          </cell>
          <cell r="O60">
            <v>4.68</v>
          </cell>
          <cell r="P60">
            <v>0.38</v>
          </cell>
          <cell r="Q60">
            <v>1.01</v>
          </cell>
          <cell r="R60">
            <v>4.3499999999999996</v>
          </cell>
        </row>
        <row r="61">
          <cell r="E61">
            <v>4.9000000000000004</v>
          </cell>
          <cell r="F61">
            <v>23.6</v>
          </cell>
          <cell r="G61">
            <v>9.5</v>
          </cell>
          <cell r="H61">
            <v>6.55</v>
          </cell>
          <cell r="I61">
            <v>0</v>
          </cell>
          <cell r="J61">
            <v>54.95</v>
          </cell>
          <cell r="K61">
            <v>3.85</v>
          </cell>
          <cell r="L61">
            <v>3.39</v>
          </cell>
          <cell r="M61">
            <v>2.64</v>
          </cell>
          <cell r="N61">
            <v>0.47</v>
          </cell>
          <cell r="O61">
            <v>4.84</v>
          </cell>
          <cell r="P61">
            <v>0.38</v>
          </cell>
          <cell r="Q61">
            <v>1.01</v>
          </cell>
          <cell r="R61">
            <v>4.45</v>
          </cell>
        </row>
        <row r="62">
          <cell r="E62">
            <v>5</v>
          </cell>
          <cell r="F62">
            <v>24</v>
          </cell>
          <cell r="G62">
            <v>9.6199999999999992</v>
          </cell>
          <cell r="H62">
            <v>6.78</v>
          </cell>
          <cell r="I62">
            <v>0</v>
          </cell>
          <cell r="J62">
            <v>57.05</v>
          </cell>
          <cell r="K62">
            <v>3.92</v>
          </cell>
          <cell r="L62">
            <v>3.46</v>
          </cell>
          <cell r="M62">
            <v>2.64</v>
          </cell>
          <cell r="N62">
            <v>0.47</v>
          </cell>
          <cell r="O62">
            <v>5</v>
          </cell>
          <cell r="P62">
            <v>0.38</v>
          </cell>
          <cell r="Q62">
            <v>1.01</v>
          </cell>
          <cell r="R62">
            <v>4.55</v>
          </cell>
        </row>
        <row r="63">
          <cell r="E63">
            <v>5.0999999999999996</v>
          </cell>
          <cell r="F63">
            <v>24.4</v>
          </cell>
          <cell r="G63">
            <v>9.74</v>
          </cell>
          <cell r="H63">
            <v>7.01</v>
          </cell>
          <cell r="I63">
            <v>0</v>
          </cell>
          <cell r="J63">
            <v>59.21</v>
          </cell>
          <cell r="K63">
            <v>3.98</v>
          </cell>
          <cell r="L63">
            <v>3.52</v>
          </cell>
          <cell r="M63">
            <v>2.64</v>
          </cell>
          <cell r="N63">
            <v>0.47</v>
          </cell>
          <cell r="O63">
            <v>5.16</v>
          </cell>
          <cell r="P63">
            <v>0.38</v>
          </cell>
          <cell r="Q63">
            <v>1.01</v>
          </cell>
          <cell r="R63">
            <v>4.6500000000000004</v>
          </cell>
        </row>
        <row r="64">
          <cell r="E64">
            <v>5.2</v>
          </cell>
          <cell r="F64">
            <v>24.8</v>
          </cell>
          <cell r="G64">
            <v>9.86</v>
          </cell>
          <cell r="H64">
            <v>7.26</v>
          </cell>
          <cell r="I64">
            <v>0</v>
          </cell>
          <cell r="J64">
            <v>61.4</v>
          </cell>
          <cell r="K64">
            <v>4.05</v>
          </cell>
          <cell r="L64">
            <v>3.59</v>
          </cell>
          <cell r="M64">
            <v>2.64</v>
          </cell>
          <cell r="N64">
            <v>0.47</v>
          </cell>
          <cell r="O64">
            <v>5.31</v>
          </cell>
          <cell r="P64">
            <v>0.38</v>
          </cell>
          <cell r="Q64">
            <v>1.01</v>
          </cell>
          <cell r="R64">
            <v>4.75</v>
          </cell>
        </row>
        <row r="65">
          <cell r="E65">
            <v>5.3</v>
          </cell>
          <cell r="F65">
            <v>25.2</v>
          </cell>
          <cell r="G65">
            <v>9.98</v>
          </cell>
          <cell r="H65">
            <v>7.51</v>
          </cell>
          <cell r="I65">
            <v>0</v>
          </cell>
          <cell r="J65">
            <v>63.62</v>
          </cell>
          <cell r="K65">
            <v>4.12</v>
          </cell>
          <cell r="L65">
            <v>3.66</v>
          </cell>
          <cell r="M65">
            <v>2.64</v>
          </cell>
          <cell r="N65">
            <v>0.47</v>
          </cell>
          <cell r="O65">
            <v>5.47</v>
          </cell>
          <cell r="P65">
            <v>0.38</v>
          </cell>
          <cell r="Q65">
            <v>1.01</v>
          </cell>
          <cell r="R65">
            <v>4.8499999999999996</v>
          </cell>
        </row>
        <row r="66">
          <cell r="E66">
            <v>5.4</v>
          </cell>
          <cell r="F66">
            <v>25.6</v>
          </cell>
          <cell r="G66">
            <v>10.1</v>
          </cell>
          <cell r="H66">
            <v>7.75</v>
          </cell>
          <cell r="I66">
            <v>0</v>
          </cell>
          <cell r="J66">
            <v>65.89</v>
          </cell>
          <cell r="K66">
            <v>4.1900000000000004</v>
          </cell>
          <cell r="L66">
            <v>3.72</v>
          </cell>
          <cell r="M66">
            <v>2.64</v>
          </cell>
          <cell r="N66">
            <v>0.47</v>
          </cell>
          <cell r="O66">
            <v>5.63</v>
          </cell>
          <cell r="P66">
            <v>0.38</v>
          </cell>
          <cell r="Q66">
            <v>1.01</v>
          </cell>
          <cell r="R66">
            <v>4.95</v>
          </cell>
        </row>
        <row r="67">
          <cell r="E67">
            <v>5.5</v>
          </cell>
          <cell r="F67">
            <v>26</v>
          </cell>
          <cell r="G67">
            <v>10.220000000000001</v>
          </cell>
          <cell r="H67">
            <v>8</v>
          </cell>
          <cell r="I67">
            <v>0</v>
          </cell>
          <cell r="J67">
            <v>68.2</v>
          </cell>
          <cell r="K67">
            <v>4.25</v>
          </cell>
          <cell r="L67">
            <v>3.79</v>
          </cell>
          <cell r="M67">
            <v>2.64</v>
          </cell>
          <cell r="N67">
            <v>0.47</v>
          </cell>
          <cell r="O67">
            <v>5.79</v>
          </cell>
          <cell r="P67">
            <v>0.38</v>
          </cell>
          <cell r="Q67">
            <v>1.01</v>
          </cell>
          <cell r="R67">
            <v>5.05</v>
          </cell>
        </row>
        <row r="68">
          <cell r="E68">
            <v>5.6</v>
          </cell>
          <cell r="F68">
            <v>26.4</v>
          </cell>
          <cell r="G68">
            <v>10.34</v>
          </cell>
          <cell r="H68">
            <v>8.25</v>
          </cell>
          <cell r="I68">
            <v>0</v>
          </cell>
          <cell r="J68">
            <v>70.55</v>
          </cell>
          <cell r="K68">
            <v>4.32</v>
          </cell>
          <cell r="L68">
            <v>3.86</v>
          </cell>
          <cell r="M68">
            <v>2.64</v>
          </cell>
          <cell r="N68">
            <v>0.47</v>
          </cell>
          <cell r="O68">
            <v>5.94</v>
          </cell>
          <cell r="P68">
            <v>0.38</v>
          </cell>
          <cell r="Q68">
            <v>1.01</v>
          </cell>
          <cell r="R68">
            <v>5.15</v>
          </cell>
        </row>
        <row r="69">
          <cell r="E69">
            <v>5.7</v>
          </cell>
          <cell r="F69">
            <v>26.8</v>
          </cell>
          <cell r="G69">
            <v>10.46</v>
          </cell>
          <cell r="H69">
            <v>8.51</v>
          </cell>
          <cell r="I69">
            <v>0</v>
          </cell>
          <cell r="J69">
            <v>72.95</v>
          </cell>
          <cell r="K69">
            <v>4.38</v>
          </cell>
          <cell r="L69">
            <v>3.92</v>
          </cell>
          <cell r="M69">
            <v>2.64</v>
          </cell>
          <cell r="N69">
            <v>0.47</v>
          </cell>
          <cell r="O69">
            <v>6.1</v>
          </cell>
          <cell r="P69">
            <v>0.38</v>
          </cell>
          <cell r="Q69">
            <v>1.01</v>
          </cell>
          <cell r="R69">
            <v>5.25</v>
          </cell>
        </row>
        <row r="70">
          <cell r="E70">
            <v>5.8</v>
          </cell>
          <cell r="F70">
            <v>27.2</v>
          </cell>
          <cell r="G70">
            <v>10.58</v>
          </cell>
          <cell r="H70">
            <v>8.76</v>
          </cell>
          <cell r="I70">
            <v>0</v>
          </cell>
          <cell r="J70">
            <v>75.37</v>
          </cell>
          <cell r="K70">
            <v>4.45</v>
          </cell>
          <cell r="L70">
            <v>3.99</v>
          </cell>
          <cell r="M70">
            <v>2.64</v>
          </cell>
          <cell r="N70">
            <v>0.47</v>
          </cell>
          <cell r="O70">
            <v>6.26</v>
          </cell>
          <cell r="P70">
            <v>0.38</v>
          </cell>
          <cell r="Q70">
            <v>1.01</v>
          </cell>
          <cell r="R70">
            <v>5.35</v>
          </cell>
        </row>
        <row r="71">
          <cell r="E71">
            <v>5.9</v>
          </cell>
          <cell r="F71">
            <v>27.6</v>
          </cell>
          <cell r="G71">
            <v>10.7</v>
          </cell>
          <cell r="H71">
            <v>9.02</v>
          </cell>
          <cell r="I71">
            <v>0</v>
          </cell>
          <cell r="J71">
            <v>77.83</v>
          </cell>
          <cell r="K71">
            <v>4.5199999999999996</v>
          </cell>
          <cell r="L71">
            <v>4.0599999999999996</v>
          </cell>
          <cell r="M71">
            <v>2.64</v>
          </cell>
          <cell r="N71">
            <v>0.47</v>
          </cell>
          <cell r="O71">
            <v>6.42</v>
          </cell>
          <cell r="P71">
            <v>0.38</v>
          </cell>
          <cell r="Q71">
            <v>1.01</v>
          </cell>
          <cell r="R71">
            <v>5.45</v>
          </cell>
        </row>
        <row r="72">
          <cell r="E72">
            <v>6</v>
          </cell>
          <cell r="F72">
            <v>28</v>
          </cell>
          <cell r="G72">
            <v>10.82</v>
          </cell>
          <cell r="H72">
            <v>9.2799999999999994</v>
          </cell>
          <cell r="I72">
            <v>0</v>
          </cell>
          <cell r="J72">
            <v>80.34</v>
          </cell>
          <cell r="K72">
            <v>4.59</v>
          </cell>
          <cell r="L72">
            <v>4.13</v>
          </cell>
          <cell r="M72">
            <v>2.64</v>
          </cell>
          <cell r="N72">
            <v>0.47</v>
          </cell>
          <cell r="O72">
            <v>6.57</v>
          </cell>
          <cell r="P72">
            <v>0.38</v>
          </cell>
          <cell r="Q72">
            <v>1.01</v>
          </cell>
          <cell r="R72">
            <v>5.55</v>
          </cell>
        </row>
        <row r="73">
          <cell r="E73">
            <v>6.1</v>
          </cell>
          <cell r="F73">
            <v>28.4</v>
          </cell>
          <cell r="G73">
            <v>10.94</v>
          </cell>
          <cell r="H73">
            <v>9.5500000000000007</v>
          </cell>
          <cell r="I73">
            <v>0</v>
          </cell>
          <cell r="J73">
            <v>82.9</v>
          </cell>
          <cell r="K73">
            <v>4.6500000000000004</v>
          </cell>
          <cell r="L73">
            <v>4.1900000000000004</v>
          </cell>
          <cell r="M73">
            <v>2.64</v>
          </cell>
          <cell r="N73">
            <v>0.47</v>
          </cell>
          <cell r="O73">
            <v>6.73</v>
          </cell>
          <cell r="P73">
            <v>0.38</v>
          </cell>
          <cell r="Q73">
            <v>1.01</v>
          </cell>
          <cell r="R73">
            <v>5.65</v>
          </cell>
        </row>
        <row r="74">
          <cell r="E74">
            <v>6.2</v>
          </cell>
          <cell r="F74">
            <v>28.8</v>
          </cell>
          <cell r="G74">
            <v>11.06</v>
          </cell>
          <cell r="H74">
            <v>9.81</v>
          </cell>
          <cell r="I74">
            <v>0</v>
          </cell>
          <cell r="J74">
            <v>85.48</v>
          </cell>
          <cell r="K74">
            <v>4.72</v>
          </cell>
          <cell r="L74">
            <v>4.26</v>
          </cell>
          <cell r="M74">
            <v>2.64</v>
          </cell>
          <cell r="N74">
            <v>0.47</v>
          </cell>
          <cell r="O74">
            <v>6.89</v>
          </cell>
          <cell r="P74">
            <v>0.38</v>
          </cell>
          <cell r="Q74">
            <v>1.01</v>
          </cell>
          <cell r="R74">
            <v>5.75</v>
          </cell>
        </row>
        <row r="75">
          <cell r="E75">
            <v>6.3</v>
          </cell>
          <cell r="F75">
            <v>29.2</v>
          </cell>
          <cell r="G75">
            <v>11.18</v>
          </cell>
          <cell r="H75">
            <v>10.08</v>
          </cell>
          <cell r="I75">
            <v>0</v>
          </cell>
          <cell r="J75">
            <v>88.1</v>
          </cell>
          <cell r="K75">
            <v>4.79</v>
          </cell>
          <cell r="L75">
            <v>4.33</v>
          </cell>
          <cell r="M75">
            <v>2.64</v>
          </cell>
          <cell r="N75">
            <v>0.47</v>
          </cell>
          <cell r="O75">
            <v>7.05</v>
          </cell>
          <cell r="P75">
            <v>0.38</v>
          </cell>
          <cell r="Q75">
            <v>1.01</v>
          </cell>
          <cell r="R75">
            <v>5.85</v>
          </cell>
        </row>
        <row r="76">
          <cell r="E76">
            <v>6.4</v>
          </cell>
          <cell r="F76">
            <v>29.6</v>
          </cell>
          <cell r="G76">
            <v>11.3</v>
          </cell>
          <cell r="H76">
            <v>10.35</v>
          </cell>
          <cell r="I76">
            <v>0</v>
          </cell>
          <cell r="J76">
            <v>90.79</v>
          </cell>
          <cell r="K76">
            <v>4.8499999999999996</v>
          </cell>
          <cell r="L76">
            <v>4.3899999999999997</v>
          </cell>
          <cell r="M76">
            <v>2.64</v>
          </cell>
          <cell r="N76">
            <v>0.47</v>
          </cell>
          <cell r="O76">
            <v>7.2</v>
          </cell>
          <cell r="P76">
            <v>0.38</v>
          </cell>
          <cell r="Q76">
            <v>1.01</v>
          </cell>
          <cell r="R76">
            <v>5.95</v>
          </cell>
        </row>
        <row r="77">
          <cell r="E77">
            <v>6.5</v>
          </cell>
          <cell r="F77">
            <v>30</v>
          </cell>
          <cell r="G77">
            <v>11.42</v>
          </cell>
          <cell r="H77">
            <v>10.63</v>
          </cell>
          <cell r="I77">
            <v>0</v>
          </cell>
          <cell r="J77">
            <v>93.5</v>
          </cell>
          <cell r="K77">
            <v>4.92</v>
          </cell>
          <cell r="L77">
            <v>4.46</v>
          </cell>
          <cell r="M77">
            <v>2.64</v>
          </cell>
          <cell r="N77">
            <v>0.47</v>
          </cell>
          <cell r="O77">
            <v>7.36</v>
          </cell>
          <cell r="P77">
            <v>0.38</v>
          </cell>
          <cell r="Q77">
            <v>1.01</v>
          </cell>
          <cell r="R77">
            <v>6.05</v>
          </cell>
        </row>
        <row r="78">
          <cell r="E78">
            <v>6.6</v>
          </cell>
          <cell r="F78">
            <v>30.4</v>
          </cell>
          <cell r="G78">
            <v>11.54</v>
          </cell>
          <cell r="H78">
            <v>10.9</v>
          </cell>
          <cell r="I78">
            <v>0</v>
          </cell>
          <cell r="J78">
            <v>96.23</v>
          </cell>
          <cell r="K78">
            <v>4.99</v>
          </cell>
          <cell r="L78">
            <v>4.53</v>
          </cell>
          <cell r="M78">
            <v>2.64</v>
          </cell>
          <cell r="N78">
            <v>0.47</v>
          </cell>
          <cell r="O78">
            <v>7.52</v>
          </cell>
          <cell r="P78">
            <v>0.38</v>
          </cell>
          <cell r="Q78">
            <v>1.01</v>
          </cell>
          <cell r="R78">
            <v>6.15</v>
          </cell>
        </row>
        <row r="79">
          <cell r="E79">
            <v>6.7</v>
          </cell>
          <cell r="F79">
            <v>30.8</v>
          </cell>
          <cell r="G79">
            <v>11.66</v>
          </cell>
          <cell r="H79">
            <v>11.18</v>
          </cell>
          <cell r="I79">
            <v>0</v>
          </cell>
          <cell r="J79">
            <v>99.01</v>
          </cell>
          <cell r="K79">
            <v>5.0599999999999996</v>
          </cell>
          <cell r="L79">
            <v>4.5999999999999996</v>
          </cell>
          <cell r="M79">
            <v>2.64</v>
          </cell>
          <cell r="N79">
            <v>0.47</v>
          </cell>
          <cell r="O79">
            <v>7.68</v>
          </cell>
          <cell r="P79">
            <v>0.38</v>
          </cell>
          <cell r="Q79">
            <v>1.01</v>
          </cell>
          <cell r="R79">
            <v>6.25</v>
          </cell>
        </row>
        <row r="80">
          <cell r="E80">
            <v>6.8</v>
          </cell>
          <cell r="F80">
            <v>31.2</v>
          </cell>
          <cell r="G80">
            <v>11.78</v>
          </cell>
          <cell r="H80">
            <v>11.46</v>
          </cell>
          <cell r="I80">
            <v>0</v>
          </cell>
          <cell r="J80">
            <v>101.86</v>
          </cell>
          <cell r="K80">
            <v>5.12</v>
          </cell>
          <cell r="L80">
            <v>4.66</v>
          </cell>
          <cell r="M80">
            <v>2.64</v>
          </cell>
          <cell r="N80">
            <v>0.47</v>
          </cell>
          <cell r="O80">
            <v>7.83</v>
          </cell>
          <cell r="P80">
            <v>0.38</v>
          </cell>
          <cell r="Q80">
            <v>1.01</v>
          </cell>
          <cell r="R80">
            <v>6.35</v>
          </cell>
        </row>
        <row r="81">
          <cell r="E81">
            <v>6.9</v>
          </cell>
          <cell r="F81">
            <v>31.6</v>
          </cell>
          <cell r="G81">
            <v>11.9</v>
          </cell>
          <cell r="H81">
            <v>11.75</v>
          </cell>
          <cell r="I81">
            <v>0</v>
          </cell>
          <cell r="J81">
            <v>104.72</v>
          </cell>
          <cell r="K81">
            <v>5.19</v>
          </cell>
          <cell r="L81">
            <v>4.7300000000000004</v>
          </cell>
          <cell r="M81">
            <v>2.64</v>
          </cell>
          <cell r="N81">
            <v>0.47</v>
          </cell>
          <cell r="O81">
            <v>7.99</v>
          </cell>
          <cell r="P81">
            <v>0.38</v>
          </cell>
          <cell r="Q81">
            <v>1.01</v>
          </cell>
          <cell r="R81">
            <v>6.45</v>
          </cell>
        </row>
        <row r="82">
          <cell r="E82">
            <v>7</v>
          </cell>
          <cell r="F82">
            <v>32</v>
          </cell>
          <cell r="G82">
            <v>12.02</v>
          </cell>
          <cell r="H82">
            <v>12.03</v>
          </cell>
          <cell r="I82">
            <v>0</v>
          </cell>
          <cell r="J82">
            <v>107.62</v>
          </cell>
          <cell r="K82">
            <v>5.26</v>
          </cell>
          <cell r="L82">
            <v>4.8</v>
          </cell>
          <cell r="M82">
            <v>2.64</v>
          </cell>
          <cell r="N82">
            <v>0.47</v>
          </cell>
          <cell r="O82">
            <v>8.15</v>
          </cell>
          <cell r="P82">
            <v>0.38</v>
          </cell>
          <cell r="Q82">
            <v>1.01</v>
          </cell>
          <cell r="R82">
            <v>6.55</v>
          </cell>
        </row>
        <row r="83">
          <cell r="E83">
            <v>7.1</v>
          </cell>
          <cell r="F83">
            <v>32.4</v>
          </cell>
          <cell r="G83">
            <v>12.14</v>
          </cell>
          <cell r="H83">
            <v>12.32</v>
          </cell>
          <cell r="I83">
            <v>0</v>
          </cell>
          <cell r="J83">
            <v>110.58</v>
          </cell>
          <cell r="K83">
            <v>5.32</v>
          </cell>
          <cell r="L83">
            <v>4.8600000000000003</v>
          </cell>
          <cell r="M83">
            <v>2.64</v>
          </cell>
          <cell r="N83">
            <v>0.47</v>
          </cell>
          <cell r="O83">
            <v>8.31</v>
          </cell>
          <cell r="P83">
            <v>0.38</v>
          </cell>
          <cell r="Q83">
            <v>1.01</v>
          </cell>
          <cell r="R83">
            <v>6.65</v>
          </cell>
        </row>
        <row r="84">
          <cell r="E84">
            <v>7.2</v>
          </cell>
          <cell r="F84">
            <v>32.799999999999997</v>
          </cell>
          <cell r="G84">
            <v>12.26</v>
          </cell>
          <cell r="H84">
            <v>12.61</v>
          </cell>
          <cell r="I84">
            <v>0</v>
          </cell>
          <cell r="J84">
            <v>113.57</v>
          </cell>
          <cell r="K84">
            <v>5.39</v>
          </cell>
          <cell r="L84">
            <v>4.93</v>
          </cell>
          <cell r="M84">
            <v>2.64</v>
          </cell>
          <cell r="N84">
            <v>0.47</v>
          </cell>
          <cell r="O84">
            <v>8.4600000000000009</v>
          </cell>
          <cell r="P84">
            <v>0.38</v>
          </cell>
          <cell r="Q84">
            <v>1.01</v>
          </cell>
          <cell r="R84">
            <v>6.75</v>
          </cell>
        </row>
        <row r="85">
          <cell r="E85">
            <v>7.3</v>
          </cell>
          <cell r="F85">
            <v>33.200000000000003</v>
          </cell>
          <cell r="G85">
            <v>12.38</v>
          </cell>
          <cell r="H85">
            <v>12.91</v>
          </cell>
          <cell r="I85">
            <v>0</v>
          </cell>
          <cell r="J85">
            <v>116.59</v>
          </cell>
          <cell r="K85">
            <v>5.46</v>
          </cell>
          <cell r="L85">
            <v>5</v>
          </cell>
          <cell r="M85">
            <v>2.64</v>
          </cell>
          <cell r="N85">
            <v>0.47</v>
          </cell>
          <cell r="O85">
            <v>8.6199999999999992</v>
          </cell>
          <cell r="P85">
            <v>0.38</v>
          </cell>
          <cell r="Q85">
            <v>1.01</v>
          </cell>
          <cell r="R85">
            <v>6.85</v>
          </cell>
        </row>
        <row r="86">
          <cell r="E86">
            <v>7.4</v>
          </cell>
          <cell r="F86">
            <v>33.6</v>
          </cell>
          <cell r="G86">
            <v>12.5</v>
          </cell>
          <cell r="H86">
            <v>13.2</v>
          </cell>
          <cell r="I86">
            <v>0</v>
          </cell>
          <cell r="J86">
            <v>119.65</v>
          </cell>
          <cell r="K86">
            <v>5.53</v>
          </cell>
          <cell r="L86">
            <v>5.07</v>
          </cell>
          <cell r="M86">
            <v>2.64</v>
          </cell>
          <cell r="N86">
            <v>0.47</v>
          </cell>
          <cell r="O86">
            <v>8.7799999999999994</v>
          </cell>
          <cell r="P86">
            <v>0.38</v>
          </cell>
          <cell r="Q86">
            <v>1.01</v>
          </cell>
          <cell r="R86">
            <v>6.95</v>
          </cell>
        </row>
        <row r="87">
          <cell r="E87">
            <v>7.5</v>
          </cell>
          <cell r="F87">
            <v>34</v>
          </cell>
          <cell r="G87">
            <v>12.62</v>
          </cell>
          <cell r="H87">
            <v>13.54</v>
          </cell>
          <cell r="I87">
            <v>34.97</v>
          </cell>
          <cell r="J87">
            <v>82.87</v>
          </cell>
          <cell r="K87">
            <v>5.59</v>
          </cell>
          <cell r="L87">
            <v>5.13</v>
          </cell>
          <cell r="M87">
            <v>2.64</v>
          </cell>
          <cell r="N87">
            <v>0.47</v>
          </cell>
          <cell r="O87">
            <v>13.87</v>
          </cell>
          <cell r="P87">
            <v>0.38</v>
          </cell>
          <cell r="Q87">
            <v>1.01</v>
          </cell>
          <cell r="R87">
            <v>7.05</v>
          </cell>
        </row>
        <row r="88">
          <cell r="E88">
            <v>7.6</v>
          </cell>
          <cell r="F88">
            <v>34.4</v>
          </cell>
          <cell r="G88">
            <v>12.74</v>
          </cell>
          <cell r="H88">
            <v>13.8</v>
          </cell>
          <cell r="I88">
            <v>35.840000000000003</v>
          </cell>
          <cell r="J88">
            <v>85.07</v>
          </cell>
          <cell r="K88">
            <v>5.66</v>
          </cell>
          <cell r="L88">
            <v>5.2</v>
          </cell>
          <cell r="M88">
            <v>2.64</v>
          </cell>
          <cell r="N88">
            <v>0.47</v>
          </cell>
          <cell r="O88">
            <v>14.1</v>
          </cell>
          <cell r="P88">
            <v>0.38</v>
          </cell>
          <cell r="Q88">
            <v>1.01</v>
          </cell>
          <cell r="R88">
            <v>7.15</v>
          </cell>
        </row>
        <row r="89">
          <cell r="E89">
            <v>7.7</v>
          </cell>
          <cell r="F89">
            <v>34.799999999999997</v>
          </cell>
          <cell r="G89">
            <v>12.86</v>
          </cell>
          <cell r="H89">
            <v>14.11</v>
          </cell>
          <cell r="I89">
            <v>36.729999999999997</v>
          </cell>
          <cell r="J89">
            <v>87.28</v>
          </cell>
          <cell r="K89">
            <v>5.73</v>
          </cell>
          <cell r="L89">
            <v>5.27</v>
          </cell>
          <cell r="M89">
            <v>2.64</v>
          </cell>
          <cell r="N89">
            <v>0.47</v>
          </cell>
          <cell r="O89">
            <v>14.34</v>
          </cell>
          <cell r="P89">
            <v>0.38</v>
          </cell>
          <cell r="Q89">
            <v>1.01</v>
          </cell>
          <cell r="R89">
            <v>7.25</v>
          </cell>
        </row>
        <row r="90">
          <cell r="E90">
            <v>7.8</v>
          </cell>
          <cell r="F90">
            <v>35.200000000000003</v>
          </cell>
          <cell r="G90">
            <v>12.98</v>
          </cell>
          <cell r="H90">
            <v>14.41</v>
          </cell>
          <cell r="I90">
            <v>37.619999999999997</v>
          </cell>
          <cell r="J90">
            <v>89.56</v>
          </cell>
          <cell r="K90">
            <v>5.79</v>
          </cell>
          <cell r="L90">
            <v>5.33</v>
          </cell>
          <cell r="M90">
            <v>2.64</v>
          </cell>
          <cell r="N90">
            <v>0.47</v>
          </cell>
          <cell r="O90">
            <v>14.57</v>
          </cell>
          <cell r="P90">
            <v>0.38</v>
          </cell>
          <cell r="Q90">
            <v>1.01</v>
          </cell>
          <cell r="R90">
            <v>7.35</v>
          </cell>
        </row>
        <row r="91">
          <cell r="E91">
            <v>7.9</v>
          </cell>
          <cell r="F91">
            <v>35.6</v>
          </cell>
          <cell r="G91">
            <v>13.1</v>
          </cell>
          <cell r="H91">
            <v>14.72</v>
          </cell>
          <cell r="I91">
            <v>38.53</v>
          </cell>
          <cell r="J91">
            <v>91.83</v>
          </cell>
          <cell r="K91">
            <v>5.86</v>
          </cell>
          <cell r="L91">
            <v>5.4</v>
          </cell>
          <cell r="M91">
            <v>2.64</v>
          </cell>
          <cell r="N91">
            <v>0.47</v>
          </cell>
          <cell r="O91">
            <v>14.81</v>
          </cell>
          <cell r="P91">
            <v>0.38</v>
          </cell>
          <cell r="Q91">
            <v>1.01</v>
          </cell>
          <cell r="R91">
            <v>7.45</v>
          </cell>
        </row>
        <row r="92">
          <cell r="E92">
            <v>8</v>
          </cell>
          <cell r="F92">
            <v>36</v>
          </cell>
          <cell r="G92">
            <v>13.22</v>
          </cell>
          <cell r="H92">
            <v>15.03</v>
          </cell>
          <cell r="I92">
            <v>39.44</v>
          </cell>
          <cell r="J92">
            <v>94.15</v>
          </cell>
          <cell r="K92">
            <v>5.93</v>
          </cell>
          <cell r="L92">
            <v>5.47</v>
          </cell>
          <cell r="M92">
            <v>2.64</v>
          </cell>
          <cell r="N92">
            <v>0.47</v>
          </cell>
          <cell r="O92">
            <v>15.04</v>
          </cell>
          <cell r="P92">
            <v>0.38</v>
          </cell>
          <cell r="Q92">
            <v>1.01</v>
          </cell>
          <cell r="R92">
            <v>7.55</v>
          </cell>
        </row>
        <row r="93">
          <cell r="E93">
            <v>8.1</v>
          </cell>
          <cell r="F93">
            <v>36.4</v>
          </cell>
          <cell r="G93">
            <v>13.34</v>
          </cell>
          <cell r="H93">
            <v>15.35</v>
          </cell>
          <cell r="I93">
            <v>40.369999999999997</v>
          </cell>
          <cell r="J93">
            <v>96.48</v>
          </cell>
          <cell r="K93">
            <v>6</v>
          </cell>
          <cell r="L93">
            <v>5.54</v>
          </cell>
          <cell r="M93">
            <v>2.64</v>
          </cell>
          <cell r="N93">
            <v>0.47</v>
          </cell>
          <cell r="O93">
            <v>15.28</v>
          </cell>
          <cell r="P93">
            <v>0.38</v>
          </cell>
          <cell r="Q93">
            <v>1.01</v>
          </cell>
          <cell r="R93">
            <v>7.65</v>
          </cell>
        </row>
        <row r="94">
          <cell r="E94">
            <v>8.1999999999999993</v>
          </cell>
          <cell r="F94">
            <v>36.799999999999997</v>
          </cell>
          <cell r="G94">
            <v>13.46</v>
          </cell>
          <cell r="H94">
            <v>15.66</v>
          </cell>
          <cell r="I94">
            <v>41.3</v>
          </cell>
          <cell r="J94">
            <v>98.88</v>
          </cell>
          <cell r="K94">
            <v>6.06</v>
          </cell>
          <cell r="L94">
            <v>5.6</v>
          </cell>
          <cell r="M94">
            <v>2.64</v>
          </cell>
          <cell r="N94">
            <v>0.47</v>
          </cell>
          <cell r="O94">
            <v>15.51</v>
          </cell>
          <cell r="P94">
            <v>0.38</v>
          </cell>
          <cell r="Q94">
            <v>1.01</v>
          </cell>
          <cell r="R94">
            <v>7.75</v>
          </cell>
        </row>
        <row r="95">
          <cell r="E95">
            <v>8.3000000000000007</v>
          </cell>
          <cell r="F95">
            <v>37.200000000000003</v>
          </cell>
          <cell r="G95">
            <v>13.58</v>
          </cell>
          <cell r="H95">
            <v>15.98</v>
          </cell>
          <cell r="I95">
            <v>42.25</v>
          </cell>
          <cell r="J95">
            <v>101.27</v>
          </cell>
          <cell r="K95">
            <v>6.13</v>
          </cell>
          <cell r="L95">
            <v>5.67</v>
          </cell>
          <cell r="M95">
            <v>2.64</v>
          </cell>
          <cell r="N95">
            <v>0.47</v>
          </cell>
          <cell r="O95">
            <v>15.75</v>
          </cell>
          <cell r="P95">
            <v>0.38</v>
          </cell>
          <cell r="Q95">
            <v>1.01</v>
          </cell>
          <cell r="R95">
            <v>7.85</v>
          </cell>
        </row>
        <row r="96">
          <cell r="E96">
            <v>8.4</v>
          </cell>
          <cell r="F96">
            <v>37.6</v>
          </cell>
          <cell r="G96">
            <v>13.7</v>
          </cell>
          <cell r="H96">
            <v>16.3</v>
          </cell>
          <cell r="I96">
            <v>43.2</v>
          </cell>
          <cell r="J96">
            <v>103.71</v>
          </cell>
          <cell r="K96">
            <v>6.2</v>
          </cell>
          <cell r="L96">
            <v>5.74</v>
          </cell>
          <cell r="M96">
            <v>2.64</v>
          </cell>
          <cell r="N96">
            <v>0.47</v>
          </cell>
          <cell r="O96">
            <v>15.98</v>
          </cell>
          <cell r="P96">
            <v>0.38</v>
          </cell>
          <cell r="Q96">
            <v>1.01</v>
          </cell>
          <cell r="R96">
            <v>7.95</v>
          </cell>
        </row>
        <row r="97">
          <cell r="E97">
            <v>8.5</v>
          </cell>
          <cell r="F97">
            <v>38</v>
          </cell>
          <cell r="G97">
            <v>13.82</v>
          </cell>
          <cell r="H97">
            <v>16.63</v>
          </cell>
          <cell r="I97">
            <v>44.17</v>
          </cell>
          <cell r="J97">
            <v>106.18</v>
          </cell>
          <cell r="K97">
            <v>6.26</v>
          </cell>
          <cell r="L97">
            <v>5.8</v>
          </cell>
          <cell r="M97">
            <v>2.64</v>
          </cell>
          <cell r="N97">
            <v>0.47</v>
          </cell>
          <cell r="O97">
            <v>16.22</v>
          </cell>
          <cell r="P97">
            <v>0.38</v>
          </cell>
          <cell r="Q97">
            <v>1.01</v>
          </cell>
          <cell r="R97">
            <v>8.0500000000000007</v>
          </cell>
        </row>
        <row r="98">
          <cell r="E98">
            <v>8.6</v>
          </cell>
          <cell r="F98">
            <v>38.4</v>
          </cell>
          <cell r="G98">
            <v>13.94</v>
          </cell>
          <cell r="H98">
            <v>16.95</v>
          </cell>
          <cell r="I98">
            <v>45.15</v>
          </cell>
          <cell r="J98">
            <v>108.67</v>
          </cell>
          <cell r="K98">
            <v>6.33</v>
          </cell>
          <cell r="L98">
            <v>5.84</v>
          </cell>
          <cell r="M98">
            <v>2.64</v>
          </cell>
          <cell r="N98">
            <v>0.47</v>
          </cell>
          <cell r="O98">
            <v>16.45</v>
          </cell>
          <cell r="P98">
            <v>0.38</v>
          </cell>
          <cell r="Q98">
            <v>1.01</v>
          </cell>
          <cell r="R98">
            <v>8.15</v>
          </cell>
        </row>
        <row r="99">
          <cell r="E99">
            <v>8.6999999999999993</v>
          </cell>
          <cell r="F99">
            <v>38.799999999999997</v>
          </cell>
          <cell r="G99">
            <v>14.06</v>
          </cell>
          <cell r="H99">
            <v>17.25</v>
          </cell>
          <cell r="I99">
            <v>46.13</v>
          </cell>
          <cell r="J99">
            <v>111.19</v>
          </cell>
          <cell r="K99">
            <v>6.4</v>
          </cell>
          <cell r="L99">
            <v>5.94</v>
          </cell>
          <cell r="M99">
            <v>2.64</v>
          </cell>
          <cell r="N99">
            <v>0.47</v>
          </cell>
          <cell r="O99">
            <v>16.690000000000001</v>
          </cell>
          <cell r="P99">
            <v>0.38</v>
          </cell>
          <cell r="Q99">
            <v>1.01</v>
          </cell>
          <cell r="R99">
            <v>8.25</v>
          </cell>
        </row>
        <row r="100">
          <cell r="E100">
            <v>8.8000000000000007</v>
          </cell>
          <cell r="F100">
            <v>39.200000000000003</v>
          </cell>
          <cell r="G100">
            <v>14.18</v>
          </cell>
          <cell r="H100">
            <v>17.61</v>
          </cell>
          <cell r="I100">
            <v>47.12</v>
          </cell>
          <cell r="J100">
            <v>113.69</v>
          </cell>
          <cell r="K100">
            <v>6.46</v>
          </cell>
          <cell r="L100">
            <v>6</v>
          </cell>
          <cell r="M100">
            <v>2.64</v>
          </cell>
          <cell r="N100">
            <v>0.47</v>
          </cell>
          <cell r="O100">
            <v>16.920000000000002</v>
          </cell>
          <cell r="P100">
            <v>0.38</v>
          </cell>
          <cell r="Q100">
            <v>1.01</v>
          </cell>
          <cell r="R100">
            <v>8.35</v>
          </cell>
        </row>
        <row r="101">
          <cell r="E101">
            <v>8.9</v>
          </cell>
          <cell r="F101">
            <v>39.6</v>
          </cell>
          <cell r="G101">
            <v>14.3</v>
          </cell>
          <cell r="H101">
            <v>17.95</v>
          </cell>
          <cell r="I101">
            <v>48.13</v>
          </cell>
          <cell r="J101">
            <v>116.34</v>
          </cell>
          <cell r="K101">
            <v>6.53</v>
          </cell>
          <cell r="L101">
            <v>6.07</v>
          </cell>
          <cell r="M101">
            <v>2.64</v>
          </cell>
          <cell r="N101">
            <v>0.47</v>
          </cell>
          <cell r="O101">
            <v>17.16</v>
          </cell>
          <cell r="P101">
            <v>0.38</v>
          </cell>
          <cell r="Q101">
            <v>1.01</v>
          </cell>
          <cell r="R101">
            <v>8.4499999999999993</v>
          </cell>
        </row>
        <row r="102">
          <cell r="E102">
            <v>9</v>
          </cell>
          <cell r="F102">
            <v>40</v>
          </cell>
          <cell r="G102">
            <v>14.42</v>
          </cell>
          <cell r="H102">
            <v>18.28</v>
          </cell>
          <cell r="I102">
            <v>49.14</v>
          </cell>
          <cell r="J102">
            <v>18.96</v>
          </cell>
          <cell r="K102">
            <v>6.6</v>
          </cell>
          <cell r="L102">
            <v>6.14</v>
          </cell>
          <cell r="M102">
            <v>2.64</v>
          </cell>
          <cell r="N102">
            <v>0.47</v>
          </cell>
          <cell r="O102">
            <v>17.39</v>
          </cell>
          <cell r="P102">
            <v>0.38</v>
          </cell>
          <cell r="Q102">
            <v>1.01</v>
          </cell>
          <cell r="R102">
            <v>8.5500000000000007</v>
          </cell>
        </row>
        <row r="103">
          <cell r="E103">
            <v>9.1</v>
          </cell>
          <cell r="F103">
            <v>40.4</v>
          </cell>
          <cell r="G103">
            <v>14.54</v>
          </cell>
          <cell r="H103">
            <v>18.64</v>
          </cell>
          <cell r="I103">
            <v>50.17</v>
          </cell>
          <cell r="J103">
            <v>121.59</v>
          </cell>
          <cell r="K103">
            <v>6.67</v>
          </cell>
          <cell r="L103">
            <v>6.21</v>
          </cell>
          <cell r="M103">
            <v>2.64</v>
          </cell>
          <cell r="N103">
            <v>0.47</v>
          </cell>
          <cell r="O103">
            <v>17.63</v>
          </cell>
          <cell r="P103">
            <v>0.38</v>
          </cell>
          <cell r="Q103">
            <v>1.01</v>
          </cell>
          <cell r="R103">
            <v>8.65</v>
          </cell>
        </row>
        <row r="104">
          <cell r="E104">
            <v>9.1999999999999993</v>
          </cell>
          <cell r="F104">
            <v>40.799999999999997</v>
          </cell>
          <cell r="G104">
            <v>14.66</v>
          </cell>
          <cell r="H104">
            <v>18.96</v>
          </cell>
          <cell r="I104">
            <v>51.2</v>
          </cell>
          <cell r="J104">
            <v>124.29</v>
          </cell>
          <cell r="K104">
            <v>6.73</v>
          </cell>
          <cell r="L104">
            <v>6.27</v>
          </cell>
          <cell r="M104">
            <v>2.64</v>
          </cell>
          <cell r="N104">
            <v>0.47</v>
          </cell>
          <cell r="O104">
            <v>17.86</v>
          </cell>
          <cell r="P104">
            <v>0.38</v>
          </cell>
          <cell r="Q104">
            <v>1.01</v>
          </cell>
          <cell r="R104">
            <v>8.7499999999999893</v>
          </cell>
        </row>
        <row r="105">
          <cell r="E105">
            <v>9.3000000000000007</v>
          </cell>
          <cell r="F105">
            <v>41.2</v>
          </cell>
          <cell r="G105">
            <v>14.78</v>
          </cell>
          <cell r="H105">
            <v>19.309999999999999</v>
          </cell>
          <cell r="I105">
            <v>52.25</v>
          </cell>
          <cell r="J105">
            <v>126.98</v>
          </cell>
          <cell r="K105">
            <v>6.8</v>
          </cell>
          <cell r="L105">
            <v>6.34</v>
          </cell>
          <cell r="M105">
            <v>2.64</v>
          </cell>
          <cell r="N105">
            <v>0.47</v>
          </cell>
          <cell r="O105">
            <v>18.100000000000001</v>
          </cell>
          <cell r="P105">
            <v>0.38</v>
          </cell>
          <cell r="Q105">
            <v>1.01</v>
          </cell>
          <cell r="R105">
            <v>8.8499999999999908</v>
          </cell>
        </row>
        <row r="106">
          <cell r="E106">
            <v>9.4</v>
          </cell>
          <cell r="F106">
            <v>41.6</v>
          </cell>
          <cell r="G106">
            <v>14.9</v>
          </cell>
          <cell r="H106">
            <v>19.649999999999999</v>
          </cell>
          <cell r="I106">
            <v>53.3</v>
          </cell>
          <cell r="J106">
            <v>129.72</v>
          </cell>
          <cell r="K106">
            <v>6.87</v>
          </cell>
          <cell r="L106">
            <v>6.41</v>
          </cell>
          <cell r="M106">
            <v>2.64</v>
          </cell>
          <cell r="N106">
            <v>0.47</v>
          </cell>
          <cell r="O106">
            <v>18.329999999999998</v>
          </cell>
          <cell r="P106">
            <v>0.38</v>
          </cell>
          <cell r="Q106">
            <v>1.01</v>
          </cell>
          <cell r="R106">
            <v>8.9499999999999904</v>
          </cell>
        </row>
        <row r="107">
          <cell r="E107">
            <v>9.5</v>
          </cell>
          <cell r="F107">
            <v>42</v>
          </cell>
          <cell r="G107">
            <v>15.02</v>
          </cell>
          <cell r="H107">
            <v>20.2</v>
          </cell>
          <cell r="I107">
            <v>54.37</v>
          </cell>
          <cell r="J107">
            <v>132.49</v>
          </cell>
          <cell r="K107">
            <v>6.93</v>
          </cell>
          <cell r="L107">
            <v>6.47</v>
          </cell>
          <cell r="M107">
            <v>2.64</v>
          </cell>
          <cell r="N107">
            <v>0.47</v>
          </cell>
          <cell r="O107">
            <v>18.57</v>
          </cell>
          <cell r="P107">
            <v>0.38</v>
          </cell>
          <cell r="Q107">
            <v>1.01</v>
          </cell>
          <cell r="R107">
            <v>9.0499999999999901</v>
          </cell>
        </row>
        <row r="108">
          <cell r="E108">
            <v>9.6</v>
          </cell>
          <cell r="F108">
            <v>42.4</v>
          </cell>
          <cell r="G108">
            <v>15.14</v>
          </cell>
          <cell r="H108">
            <v>20.350000000000001</v>
          </cell>
          <cell r="I108">
            <v>55.44</v>
          </cell>
          <cell r="J108">
            <v>135.29</v>
          </cell>
          <cell r="K108">
            <v>7</v>
          </cell>
          <cell r="L108">
            <v>6.54</v>
          </cell>
          <cell r="M108">
            <v>2.64</v>
          </cell>
          <cell r="N108">
            <v>0.47</v>
          </cell>
          <cell r="O108">
            <v>18.8</v>
          </cell>
          <cell r="P108">
            <v>0.38</v>
          </cell>
          <cell r="Q108">
            <v>1.01</v>
          </cell>
          <cell r="R108">
            <v>9.1499999999999897</v>
          </cell>
        </row>
        <row r="109">
          <cell r="E109">
            <v>9.6999999999999993</v>
          </cell>
          <cell r="F109">
            <v>42.8</v>
          </cell>
          <cell r="G109">
            <v>15.26</v>
          </cell>
          <cell r="H109">
            <v>20.71</v>
          </cell>
          <cell r="I109">
            <v>56.53</v>
          </cell>
          <cell r="J109">
            <v>138.1</v>
          </cell>
          <cell r="K109">
            <v>7.07</v>
          </cell>
          <cell r="L109">
            <v>6.61</v>
          </cell>
          <cell r="M109">
            <v>2.64</v>
          </cell>
          <cell r="N109">
            <v>0.47</v>
          </cell>
          <cell r="O109">
            <v>19.04</v>
          </cell>
          <cell r="P109">
            <v>0.38</v>
          </cell>
          <cell r="Q109">
            <v>1.01</v>
          </cell>
          <cell r="R109">
            <v>9.2499999999999893</v>
          </cell>
        </row>
        <row r="110">
          <cell r="E110">
            <v>9.8000000000000007</v>
          </cell>
          <cell r="F110">
            <v>43.2</v>
          </cell>
          <cell r="G110">
            <v>15.38</v>
          </cell>
          <cell r="H110">
            <v>21.06</v>
          </cell>
          <cell r="I110">
            <v>57.62</v>
          </cell>
          <cell r="J110">
            <v>140.96</v>
          </cell>
          <cell r="K110">
            <v>7.14</v>
          </cell>
          <cell r="L110">
            <v>6.68</v>
          </cell>
          <cell r="M110">
            <v>2.64</v>
          </cell>
          <cell r="N110">
            <v>0.47</v>
          </cell>
          <cell r="O110">
            <v>19.27</v>
          </cell>
          <cell r="P110">
            <v>0.38</v>
          </cell>
          <cell r="Q110">
            <v>1.01</v>
          </cell>
          <cell r="R110">
            <v>9.3499999999999908</v>
          </cell>
        </row>
        <row r="111">
          <cell r="E111">
            <v>9.9</v>
          </cell>
          <cell r="F111">
            <v>43.6</v>
          </cell>
          <cell r="G111">
            <v>15.5</v>
          </cell>
          <cell r="H111">
            <v>21.42</v>
          </cell>
          <cell r="I111">
            <v>58.73</v>
          </cell>
          <cell r="J111">
            <v>143.85</v>
          </cell>
          <cell r="K111">
            <v>7.2</v>
          </cell>
          <cell r="L111">
            <v>6.74</v>
          </cell>
          <cell r="M111">
            <v>2.64</v>
          </cell>
          <cell r="N111">
            <v>0.47</v>
          </cell>
          <cell r="O111">
            <v>19.510000000000002</v>
          </cell>
          <cell r="P111">
            <v>0.38</v>
          </cell>
          <cell r="Q111">
            <v>1.01</v>
          </cell>
          <cell r="R111">
            <v>9.4499999999999904</v>
          </cell>
        </row>
        <row r="112">
          <cell r="E112">
            <v>10</v>
          </cell>
          <cell r="F112">
            <v>44</v>
          </cell>
          <cell r="G112">
            <v>15.62</v>
          </cell>
          <cell r="H112">
            <v>21.78</v>
          </cell>
          <cell r="I112">
            <v>59.84</v>
          </cell>
          <cell r="J112">
            <v>146.77000000000001</v>
          </cell>
          <cell r="K112">
            <v>7.27</v>
          </cell>
          <cell r="L112">
            <v>6.81</v>
          </cell>
          <cell r="M112">
            <v>2.64</v>
          </cell>
          <cell r="N112">
            <v>0.47</v>
          </cell>
          <cell r="O112">
            <v>19.739999999999998</v>
          </cell>
          <cell r="P112">
            <v>0.38</v>
          </cell>
          <cell r="Q112">
            <v>1.01</v>
          </cell>
          <cell r="R112">
            <v>9.5499999999999901</v>
          </cell>
        </row>
        <row r="113">
          <cell r="E113">
            <v>10.1</v>
          </cell>
          <cell r="F113">
            <v>44.4</v>
          </cell>
          <cell r="G113">
            <v>15.74</v>
          </cell>
          <cell r="H113">
            <v>22.15</v>
          </cell>
          <cell r="I113">
            <v>60.97</v>
          </cell>
          <cell r="J113">
            <v>149.69999999999999</v>
          </cell>
          <cell r="K113">
            <v>7.34</v>
          </cell>
          <cell r="L113">
            <v>6.88</v>
          </cell>
          <cell r="M113">
            <v>2.64</v>
          </cell>
          <cell r="N113">
            <v>0.47</v>
          </cell>
          <cell r="O113">
            <v>19.98</v>
          </cell>
          <cell r="P113">
            <v>0.38</v>
          </cell>
          <cell r="Q113">
            <v>1.01</v>
          </cell>
          <cell r="R113">
            <v>9.6499999999999897</v>
          </cell>
        </row>
        <row r="114">
          <cell r="E114">
            <v>10.199999999999999</v>
          </cell>
          <cell r="F114">
            <v>44.8</v>
          </cell>
          <cell r="G114">
            <v>15.86</v>
          </cell>
          <cell r="H114">
            <v>22.51</v>
          </cell>
          <cell r="I114">
            <v>62.1</v>
          </cell>
          <cell r="J114">
            <v>152.69999999999999</v>
          </cell>
          <cell r="K114">
            <v>7.4</v>
          </cell>
          <cell r="L114">
            <v>6.94</v>
          </cell>
          <cell r="M114">
            <v>2.64</v>
          </cell>
          <cell r="N114">
            <v>0.47</v>
          </cell>
          <cell r="O114">
            <v>20.21</v>
          </cell>
          <cell r="P114">
            <v>0.38</v>
          </cell>
          <cell r="Q114">
            <v>1.01</v>
          </cell>
          <cell r="R114">
            <v>9.7499999999999893</v>
          </cell>
        </row>
        <row r="115">
          <cell r="E115">
            <v>10.3</v>
          </cell>
          <cell r="F115">
            <v>45.2</v>
          </cell>
          <cell r="G115">
            <v>15.98</v>
          </cell>
          <cell r="H115">
            <v>22.88</v>
          </cell>
          <cell r="I115">
            <v>63.25</v>
          </cell>
          <cell r="J115">
            <v>155.69</v>
          </cell>
          <cell r="K115">
            <v>7.47</v>
          </cell>
          <cell r="L115">
            <v>7.01</v>
          </cell>
          <cell r="M115">
            <v>2.64</v>
          </cell>
          <cell r="N115">
            <v>0.47</v>
          </cell>
          <cell r="O115">
            <v>20.45</v>
          </cell>
          <cell r="P115">
            <v>0.38</v>
          </cell>
          <cell r="Q115">
            <v>1.01</v>
          </cell>
          <cell r="R115">
            <v>9.8499999999999908</v>
          </cell>
        </row>
        <row r="116">
          <cell r="E116">
            <v>10.4</v>
          </cell>
          <cell r="F116">
            <v>45.6</v>
          </cell>
          <cell r="G116">
            <v>16.100000000000001</v>
          </cell>
          <cell r="H116">
            <v>23.25</v>
          </cell>
          <cell r="I116">
            <v>64.400000000000006</v>
          </cell>
          <cell r="J116">
            <v>158.72999999999999</v>
          </cell>
          <cell r="K116">
            <v>7.54</v>
          </cell>
          <cell r="L116">
            <v>7.08</v>
          </cell>
          <cell r="M116">
            <v>2.64</v>
          </cell>
          <cell r="N116">
            <v>0.47</v>
          </cell>
          <cell r="O116">
            <v>20.68</v>
          </cell>
          <cell r="P116">
            <v>0.38</v>
          </cell>
          <cell r="Q116">
            <v>1.01</v>
          </cell>
          <cell r="R116">
            <v>9.9499999999999904</v>
          </cell>
        </row>
        <row r="117">
          <cell r="E117">
            <v>10.5</v>
          </cell>
          <cell r="F117">
            <v>45.7</v>
          </cell>
          <cell r="G117">
            <v>16.13</v>
          </cell>
          <cell r="H117">
            <v>23.63</v>
          </cell>
          <cell r="I117">
            <v>65.67</v>
          </cell>
          <cell r="J117">
            <v>161.29</v>
          </cell>
          <cell r="K117">
            <v>7.6</v>
          </cell>
          <cell r="L117">
            <v>7.15</v>
          </cell>
          <cell r="M117">
            <v>3.75</v>
          </cell>
          <cell r="N117">
            <v>0.47</v>
          </cell>
          <cell r="O117">
            <v>20.11</v>
          </cell>
          <cell r="P117">
            <v>0.38</v>
          </cell>
          <cell r="Q117">
            <v>1.01</v>
          </cell>
          <cell r="R117">
            <v>9.9</v>
          </cell>
        </row>
        <row r="118">
          <cell r="E118">
            <v>10.6</v>
          </cell>
          <cell r="F118">
            <v>46.3</v>
          </cell>
          <cell r="G118">
            <v>16.309999999999999</v>
          </cell>
          <cell r="H118">
            <v>24</v>
          </cell>
          <cell r="I118">
            <v>66.739999999999995</v>
          </cell>
          <cell r="J118">
            <v>164.55</v>
          </cell>
          <cell r="K118">
            <v>7.72</v>
          </cell>
          <cell r="L118">
            <v>7.26</v>
          </cell>
          <cell r="M118">
            <v>3.75</v>
          </cell>
          <cell r="N118">
            <v>0.47</v>
          </cell>
          <cell r="O118">
            <v>20.34</v>
          </cell>
          <cell r="P118">
            <v>0.38</v>
          </cell>
          <cell r="Q118">
            <v>1.01</v>
          </cell>
          <cell r="R118">
            <v>10</v>
          </cell>
        </row>
        <row r="119">
          <cell r="E119">
            <v>10.7</v>
          </cell>
          <cell r="F119">
            <v>46.75</v>
          </cell>
          <cell r="G119">
            <v>16.45</v>
          </cell>
          <cell r="H119">
            <v>24.38</v>
          </cell>
          <cell r="I119">
            <v>67.930000000000007</v>
          </cell>
          <cell r="J119">
            <v>167.67</v>
          </cell>
          <cell r="K119">
            <v>7.8</v>
          </cell>
          <cell r="L119">
            <v>7.34</v>
          </cell>
          <cell r="M119">
            <v>3.75</v>
          </cell>
          <cell r="N119">
            <v>0.47</v>
          </cell>
          <cell r="O119">
            <v>20.58</v>
          </cell>
          <cell r="P119">
            <v>0.38</v>
          </cell>
          <cell r="Q119">
            <v>1.01</v>
          </cell>
          <cell r="R119">
            <v>10.1</v>
          </cell>
        </row>
        <row r="120">
          <cell r="E120">
            <v>10.8</v>
          </cell>
          <cell r="F120">
            <v>47.2</v>
          </cell>
          <cell r="G120">
            <v>16.579999999999998</v>
          </cell>
          <cell r="H120">
            <v>24.76</v>
          </cell>
          <cell r="I120">
            <v>69.12</v>
          </cell>
          <cell r="J120">
            <v>170.84</v>
          </cell>
          <cell r="K120">
            <v>7.88</v>
          </cell>
          <cell r="L120">
            <v>7.43</v>
          </cell>
          <cell r="M120">
            <v>3.75</v>
          </cell>
          <cell r="N120">
            <v>0.47</v>
          </cell>
          <cell r="O120">
            <v>20.81</v>
          </cell>
          <cell r="P120">
            <v>0.38</v>
          </cell>
          <cell r="Q120">
            <v>1.01</v>
          </cell>
          <cell r="R120">
            <v>10.199999999999999</v>
          </cell>
        </row>
        <row r="121">
          <cell r="E121">
            <v>10.9</v>
          </cell>
          <cell r="F121">
            <v>47.65</v>
          </cell>
          <cell r="G121">
            <v>16.72</v>
          </cell>
          <cell r="H121">
            <v>25.15</v>
          </cell>
          <cell r="I121">
            <v>70.33</v>
          </cell>
          <cell r="J121">
            <v>174.02</v>
          </cell>
          <cell r="K121">
            <v>7.97</v>
          </cell>
          <cell r="L121">
            <v>7.51</v>
          </cell>
          <cell r="M121">
            <v>3.75</v>
          </cell>
          <cell r="N121">
            <v>0.47</v>
          </cell>
          <cell r="O121">
            <v>21.05</v>
          </cell>
          <cell r="P121">
            <v>0.38</v>
          </cell>
          <cell r="Q121">
            <v>1.01</v>
          </cell>
          <cell r="R121">
            <v>10.3</v>
          </cell>
        </row>
        <row r="122">
          <cell r="E122">
            <v>11</v>
          </cell>
          <cell r="F122">
            <v>48.1</v>
          </cell>
          <cell r="G122">
            <v>16.850000000000001</v>
          </cell>
          <cell r="H122">
            <v>25.52</v>
          </cell>
          <cell r="I122">
            <v>71.540000000000006</v>
          </cell>
          <cell r="J122">
            <v>177.26</v>
          </cell>
          <cell r="K122">
            <v>8.0500000000000007</v>
          </cell>
          <cell r="L122">
            <v>7.59</v>
          </cell>
          <cell r="M122">
            <v>3.75</v>
          </cell>
          <cell r="N122">
            <v>0.47</v>
          </cell>
          <cell r="O122">
            <v>21.28</v>
          </cell>
          <cell r="P122">
            <v>0.38</v>
          </cell>
          <cell r="Q122">
            <v>1.01</v>
          </cell>
          <cell r="R122">
            <v>10.4</v>
          </cell>
        </row>
        <row r="123">
          <cell r="E123">
            <v>11.1</v>
          </cell>
          <cell r="F123">
            <v>48.55</v>
          </cell>
          <cell r="G123">
            <v>16.989999999999998</v>
          </cell>
          <cell r="H123">
            <v>25.92</v>
          </cell>
          <cell r="I123">
            <v>72.77</v>
          </cell>
          <cell r="J123">
            <v>180.5</v>
          </cell>
          <cell r="K123">
            <v>8.1300000000000008</v>
          </cell>
          <cell r="L123">
            <v>7.67</v>
          </cell>
          <cell r="M123">
            <v>3.75</v>
          </cell>
          <cell r="N123">
            <v>0.47</v>
          </cell>
          <cell r="O123">
            <v>21.52</v>
          </cell>
          <cell r="P123">
            <v>0.38</v>
          </cell>
          <cell r="Q123">
            <v>1.01</v>
          </cell>
          <cell r="R123">
            <v>10.5</v>
          </cell>
        </row>
        <row r="124">
          <cell r="E124">
            <v>11.2</v>
          </cell>
          <cell r="F124">
            <v>49</v>
          </cell>
          <cell r="G124">
            <v>17.12</v>
          </cell>
          <cell r="H124">
            <v>26.31</v>
          </cell>
          <cell r="I124">
            <v>74</v>
          </cell>
          <cell r="J124">
            <v>183.8</v>
          </cell>
          <cell r="K124">
            <v>8.2100000000000009</v>
          </cell>
          <cell r="L124">
            <v>7.75</v>
          </cell>
          <cell r="M124">
            <v>3.75</v>
          </cell>
          <cell r="N124">
            <v>0.47</v>
          </cell>
          <cell r="O124">
            <v>21.75</v>
          </cell>
          <cell r="P124">
            <v>0.38</v>
          </cell>
          <cell r="Q124">
            <v>1.01</v>
          </cell>
          <cell r="R124">
            <v>10.6</v>
          </cell>
        </row>
        <row r="125">
          <cell r="E125">
            <v>11.3</v>
          </cell>
          <cell r="F125">
            <v>49.45</v>
          </cell>
          <cell r="G125">
            <v>17.25</v>
          </cell>
          <cell r="H125">
            <v>26.71</v>
          </cell>
          <cell r="I125">
            <v>75.25</v>
          </cell>
          <cell r="J125">
            <v>187.11</v>
          </cell>
          <cell r="K125">
            <v>8.2899999999999991</v>
          </cell>
          <cell r="L125">
            <v>7.83</v>
          </cell>
          <cell r="M125">
            <v>3.75</v>
          </cell>
          <cell r="N125">
            <v>0.47</v>
          </cell>
          <cell r="O125">
            <v>21.79</v>
          </cell>
          <cell r="P125">
            <v>0.38</v>
          </cell>
          <cell r="Q125">
            <v>1.01</v>
          </cell>
          <cell r="R125">
            <v>10.7</v>
          </cell>
        </row>
        <row r="126">
          <cell r="E126">
            <v>11.4</v>
          </cell>
          <cell r="F126">
            <v>49.9</v>
          </cell>
          <cell r="G126">
            <v>17.39</v>
          </cell>
          <cell r="H126">
            <v>27.1</v>
          </cell>
          <cell r="I126">
            <v>76.5</v>
          </cell>
          <cell r="J126">
            <v>190.47</v>
          </cell>
          <cell r="K126">
            <v>8.3699999999999992</v>
          </cell>
          <cell r="L126">
            <v>7.91</v>
          </cell>
          <cell r="M126">
            <v>3.75</v>
          </cell>
          <cell r="N126">
            <v>0.47</v>
          </cell>
          <cell r="O126">
            <v>22.22</v>
          </cell>
          <cell r="P126">
            <v>0.38</v>
          </cell>
          <cell r="Q126">
            <v>1.01</v>
          </cell>
          <cell r="R126">
            <v>10.8</v>
          </cell>
        </row>
        <row r="127">
          <cell r="E127">
            <v>11.5</v>
          </cell>
          <cell r="F127">
            <v>50.35</v>
          </cell>
          <cell r="G127">
            <v>17.53</v>
          </cell>
          <cell r="H127">
            <v>27.5</v>
          </cell>
          <cell r="I127">
            <v>77.77</v>
          </cell>
          <cell r="J127">
            <v>193.83</v>
          </cell>
          <cell r="K127">
            <v>8.4499999999999993</v>
          </cell>
          <cell r="L127">
            <v>7.99</v>
          </cell>
          <cell r="M127">
            <v>3.75</v>
          </cell>
          <cell r="N127">
            <v>0.47</v>
          </cell>
          <cell r="O127">
            <v>22.46</v>
          </cell>
          <cell r="P127">
            <v>0.38</v>
          </cell>
          <cell r="Q127">
            <v>1.01</v>
          </cell>
          <cell r="R127">
            <v>10.9</v>
          </cell>
        </row>
        <row r="128">
          <cell r="E128">
            <v>11.6</v>
          </cell>
          <cell r="F128">
            <v>50.8</v>
          </cell>
          <cell r="G128">
            <v>17.66</v>
          </cell>
          <cell r="H128">
            <v>26.9</v>
          </cell>
          <cell r="I128">
            <v>79.040000000000006</v>
          </cell>
          <cell r="J128">
            <v>197.25</v>
          </cell>
          <cell r="K128">
            <v>8.5299999999999994</v>
          </cell>
          <cell r="L128">
            <v>8.07</v>
          </cell>
          <cell r="M128">
            <v>3.75</v>
          </cell>
          <cell r="N128">
            <v>0.47</v>
          </cell>
          <cell r="O128">
            <v>22.69</v>
          </cell>
          <cell r="P128">
            <v>0.38</v>
          </cell>
          <cell r="Q128">
            <v>1.01</v>
          </cell>
          <cell r="R128">
            <v>11</v>
          </cell>
        </row>
        <row r="129">
          <cell r="E129">
            <v>11.7</v>
          </cell>
          <cell r="F129">
            <v>51.25</v>
          </cell>
          <cell r="G129">
            <v>17.8</v>
          </cell>
          <cell r="H129">
            <v>28.31</v>
          </cell>
          <cell r="I129">
            <v>80.33</v>
          </cell>
          <cell r="J129">
            <v>200.68</v>
          </cell>
          <cell r="K129">
            <v>8.61</v>
          </cell>
          <cell r="L129">
            <v>8.15</v>
          </cell>
          <cell r="M129">
            <v>3.75</v>
          </cell>
          <cell r="N129">
            <v>0.47</v>
          </cell>
          <cell r="O129">
            <v>22.93</v>
          </cell>
          <cell r="P129">
            <v>0.38</v>
          </cell>
          <cell r="Q129">
            <v>1.01</v>
          </cell>
          <cell r="R129">
            <v>11.1</v>
          </cell>
        </row>
        <row r="130">
          <cell r="E130">
            <v>11.8</v>
          </cell>
          <cell r="F130">
            <v>51.7</v>
          </cell>
          <cell r="G130">
            <v>17.93</v>
          </cell>
          <cell r="H130">
            <v>28.71</v>
          </cell>
          <cell r="I130">
            <v>81.62</v>
          </cell>
          <cell r="J130">
            <v>204.19</v>
          </cell>
          <cell r="K130">
            <v>8.69</v>
          </cell>
          <cell r="L130">
            <v>8.23</v>
          </cell>
          <cell r="M130">
            <v>3.75</v>
          </cell>
          <cell r="N130">
            <v>0.47</v>
          </cell>
          <cell r="O130">
            <v>23.16</v>
          </cell>
          <cell r="P130">
            <v>0.38</v>
          </cell>
          <cell r="Q130">
            <v>1.01</v>
          </cell>
          <cell r="R130">
            <v>11.2</v>
          </cell>
        </row>
        <row r="131">
          <cell r="E131">
            <v>11.9</v>
          </cell>
          <cell r="F131">
            <v>52.15</v>
          </cell>
          <cell r="G131">
            <v>18.07</v>
          </cell>
          <cell r="H131">
            <v>29.12</v>
          </cell>
          <cell r="I131">
            <v>82.93</v>
          </cell>
          <cell r="J131">
            <v>207.73</v>
          </cell>
          <cell r="K131">
            <v>8.77</v>
          </cell>
          <cell r="L131">
            <v>7.31</v>
          </cell>
          <cell r="M131">
            <v>3.75</v>
          </cell>
          <cell r="N131">
            <v>0.47</v>
          </cell>
          <cell r="O131">
            <v>23.4</v>
          </cell>
          <cell r="P131">
            <v>0.38</v>
          </cell>
          <cell r="Q131">
            <v>1.01</v>
          </cell>
          <cell r="R131">
            <v>11.3</v>
          </cell>
        </row>
        <row r="132">
          <cell r="E132">
            <v>12</v>
          </cell>
          <cell r="F132">
            <v>52.6</v>
          </cell>
          <cell r="G132">
            <v>18.2</v>
          </cell>
          <cell r="H132">
            <v>29.53</v>
          </cell>
          <cell r="I132">
            <v>84.24</v>
          </cell>
          <cell r="J132">
            <v>211.22</v>
          </cell>
          <cell r="K132">
            <v>8.85</v>
          </cell>
          <cell r="L132">
            <v>8.39</v>
          </cell>
          <cell r="M132">
            <v>3.75</v>
          </cell>
          <cell r="N132">
            <v>0.47</v>
          </cell>
          <cell r="O132">
            <v>23.63</v>
          </cell>
          <cell r="P132">
            <v>0.38</v>
          </cell>
          <cell r="Q132">
            <v>1.01</v>
          </cell>
          <cell r="R132">
            <v>11.4</v>
          </cell>
        </row>
        <row r="133">
          <cell r="E133">
            <v>12.1</v>
          </cell>
          <cell r="F133">
            <v>53.05</v>
          </cell>
          <cell r="G133">
            <v>18.34</v>
          </cell>
          <cell r="H133">
            <v>29.95</v>
          </cell>
          <cell r="I133">
            <v>85.57</v>
          </cell>
          <cell r="J133">
            <v>214.9</v>
          </cell>
          <cell r="K133">
            <v>8.94</v>
          </cell>
          <cell r="L133">
            <v>8.48</v>
          </cell>
          <cell r="M133">
            <v>3.75</v>
          </cell>
          <cell r="N133">
            <v>0.47</v>
          </cell>
          <cell r="O133">
            <v>23.87</v>
          </cell>
          <cell r="P133">
            <v>0.38</v>
          </cell>
          <cell r="Q133">
            <v>1.01</v>
          </cell>
          <cell r="R133">
            <v>11.5</v>
          </cell>
        </row>
        <row r="134">
          <cell r="E134">
            <v>12.2</v>
          </cell>
          <cell r="F134">
            <v>53.5</v>
          </cell>
          <cell r="G134">
            <v>18.47</v>
          </cell>
          <cell r="H134">
            <v>30.36</v>
          </cell>
          <cell r="I134">
            <v>86.9</v>
          </cell>
          <cell r="J134">
            <v>218.56</v>
          </cell>
          <cell r="K134">
            <v>9.02</v>
          </cell>
          <cell r="L134">
            <v>8.56</v>
          </cell>
          <cell r="M134">
            <v>3.75</v>
          </cell>
          <cell r="N134">
            <v>0.47</v>
          </cell>
          <cell r="O134">
            <v>24.1</v>
          </cell>
          <cell r="P134">
            <v>0.38</v>
          </cell>
          <cell r="Q134">
            <v>1.01</v>
          </cell>
          <cell r="R134">
            <v>11.6</v>
          </cell>
        </row>
        <row r="135">
          <cell r="E135">
            <v>12.3</v>
          </cell>
          <cell r="F135">
            <v>53.95</v>
          </cell>
          <cell r="G135">
            <v>18.61</v>
          </cell>
          <cell r="H135">
            <v>30.78</v>
          </cell>
          <cell r="I135">
            <v>88.25</v>
          </cell>
          <cell r="J135">
            <v>222.23</v>
          </cell>
          <cell r="K135">
            <v>9.1</v>
          </cell>
          <cell r="L135">
            <v>8.64</v>
          </cell>
          <cell r="M135">
            <v>3.75</v>
          </cell>
          <cell r="N135">
            <v>0.47</v>
          </cell>
          <cell r="O135">
            <v>24.34</v>
          </cell>
          <cell r="P135">
            <v>0.38</v>
          </cell>
          <cell r="Q135">
            <v>1.01</v>
          </cell>
          <cell r="R135">
            <v>11.7</v>
          </cell>
        </row>
        <row r="136">
          <cell r="E136">
            <v>12.4</v>
          </cell>
          <cell r="F136">
            <v>54.4</v>
          </cell>
          <cell r="G136">
            <v>18.739999999999998</v>
          </cell>
          <cell r="H136">
            <v>31.2</v>
          </cell>
          <cell r="I136">
            <v>89.6</v>
          </cell>
          <cell r="J136">
            <v>225.96</v>
          </cell>
          <cell r="K136">
            <v>9.18</v>
          </cell>
          <cell r="L136">
            <v>8.7200000000000006</v>
          </cell>
          <cell r="M136">
            <v>3.75</v>
          </cell>
          <cell r="N136">
            <v>0.47</v>
          </cell>
          <cell r="O136">
            <v>24.57</v>
          </cell>
          <cell r="P136">
            <v>0.38</v>
          </cell>
          <cell r="Q136">
            <v>1.01</v>
          </cell>
          <cell r="R136">
            <v>11.8</v>
          </cell>
        </row>
        <row r="137">
          <cell r="E137">
            <v>12.5</v>
          </cell>
          <cell r="F137">
            <v>54.85</v>
          </cell>
          <cell r="G137">
            <v>18.88</v>
          </cell>
          <cell r="H137">
            <v>31.63</v>
          </cell>
          <cell r="I137">
            <v>90.97</v>
          </cell>
          <cell r="J137">
            <v>229.71</v>
          </cell>
          <cell r="K137">
            <v>9.26</v>
          </cell>
          <cell r="L137">
            <v>8.8000000000000007</v>
          </cell>
          <cell r="M137">
            <v>3.75</v>
          </cell>
          <cell r="N137">
            <v>0.47</v>
          </cell>
          <cell r="O137">
            <v>24.81</v>
          </cell>
          <cell r="P137">
            <v>0.38</v>
          </cell>
          <cell r="Q137">
            <v>1.01</v>
          </cell>
          <cell r="R137">
            <v>11.9</v>
          </cell>
        </row>
        <row r="138">
          <cell r="E138">
            <v>12.6</v>
          </cell>
          <cell r="F138">
            <v>55.3</v>
          </cell>
          <cell r="G138">
            <v>19.010000000000002</v>
          </cell>
          <cell r="H138">
            <v>32.049999999999997</v>
          </cell>
          <cell r="I138">
            <v>92.34</v>
          </cell>
          <cell r="J138">
            <v>233.5</v>
          </cell>
          <cell r="K138">
            <v>9.34</v>
          </cell>
          <cell r="L138">
            <v>8.8800000000000008</v>
          </cell>
          <cell r="M138">
            <v>3.75</v>
          </cell>
          <cell r="N138">
            <v>0.47</v>
          </cell>
          <cell r="O138">
            <v>25.04</v>
          </cell>
          <cell r="P138">
            <v>0.38</v>
          </cell>
          <cell r="Q138">
            <v>1.01</v>
          </cell>
          <cell r="R138">
            <v>12</v>
          </cell>
        </row>
        <row r="139">
          <cell r="E139">
            <v>12.7</v>
          </cell>
          <cell r="F139">
            <v>55.75</v>
          </cell>
          <cell r="G139">
            <v>19.149999999999999</v>
          </cell>
          <cell r="H139">
            <v>32.479999999999997</v>
          </cell>
          <cell r="I139">
            <v>93.73</v>
          </cell>
          <cell r="J139">
            <v>237.32</v>
          </cell>
          <cell r="K139">
            <v>9.42</v>
          </cell>
          <cell r="L139">
            <v>8.9600000000000009</v>
          </cell>
          <cell r="M139">
            <v>3.75</v>
          </cell>
          <cell r="N139">
            <v>0.47</v>
          </cell>
          <cell r="O139">
            <v>25.28</v>
          </cell>
          <cell r="P139">
            <v>0.38</v>
          </cell>
          <cell r="Q139">
            <v>1.01</v>
          </cell>
          <cell r="R139">
            <v>12.1</v>
          </cell>
        </row>
        <row r="140">
          <cell r="E140">
            <v>12.8</v>
          </cell>
          <cell r="F140">
            <v>56.2</v>
          </cell>
          <cell r="G140">
            <v>19.28</v>
          </cell>
          <cell r="H140">
            <v>32.909999999999997</v>
          </cell>
          <cell r="I140">
            <v>95.12</v>
          </cell>
          <cell r="J140">
            <v>241.18</v>
          </cell>
          <cell r="K140">
            <v>9.5</v>
          </cell>
          <cell r="L140">
            <v>9.0399999999999991</v>
          </cell>
          <cell r="M140">
            <v>3.75</v>
          </cell>
          <cell r="N140">
            <v>0.47</v>
          </cell>
          <cell r="O140">
            <v>25.51</v>
          </cell>
          <cell r="P140">
            <v>0.38</v>
          </cell>
          <cell r="Q140">
            <v>1.01</v>
          </cell>
          <cell r="R140">
            <v>12.2</v>
          </cell>
        </row>
        <row r="141">
          <cell r="E141">
            <v>12.9</v>
          </cell>
          <cell r="F141">
            <v>56.65</v>
          </cell>
          <cell r="G141">
            <v>19.420000000000002</v>
          </cell>
          <cell r="H141">
            <v>33.35</v>
          </cell>
          <cell r="I141">
            <v>96.53</v>
          </cell>
          <cell r="J141">
            <v>245.07</v>
          </cell>
          <cell r="K141">
            <v>9.58</v>
          </cell>
          <cell r="L141">
            <v>9.1199999999999992</v>
          </cell>
          <cell r="M141">
            <v>3.75</v>
          </cell>
          <cell r="N141">
            <v>0.47</v>
          </cell>
          <cell r="O141">
            <v>25.75</v>
          </cell>
          <cell r="P141">
            <v>0.38</v>
          </cell>
          <cell r="Q141">
            <v>1.01</v>
          </cell>
          <cell r="R141">
            <v>12.3</v>
          </cell>
        </row>
        <row r="142">
          <cell r="E142">
            <v>13</v>
          </cell>
          <cell r="F142">
            <v>57.1</v>
          </cell>
          <cell r="G142">
            <v>19.55</v>
          </cell>
          <cell r="H142">
            <v>33.78</v>
          </cell>
          <cell r="I142">
            <v>97.94</v>
          </cell>
          <cell r="J142">
            <v>249</v>
          </cell>
          <cell r="K142">
            <v>9.66</v>
          </cell>
          <cell r="L142">
            <v>9.1999999999999993</v>
          </cell>
          <cell r="M142">
            <v>3.75</v>
          </cell>
          <cell r="N142">
            <v>0.47</v>
          </cell>
          <cell r="O142">
            <v>25.98</v>
          </cell>
          <cell r="P142">
            <v>0.38</v>
          </cell>
          <cell r="Q142">
            <v>1.01</v>
          </cell>
          <cell r="R142">
            <v>12.4</v>
          </cell>
        </row>
        <row r="143">
          <cell r="E143">
            <v>13.1</v>
          </cell>
          <cell r="F143">
            <v>57.55</v>
          </cell>
          <cell r="G143">
            <v>19.690000000000001</v>
          </cell>
          <cell r="H143">
            <v>34.22</v>
          </cell>
          <cell r="I143">
            <v>99.37</v>
          </cell>
          <cell r="J143">
            <v>252.96</v>
          </cell>
          <cell r="K143">
            <v>9.74</v>
          </cell>
          <cell r="L143">
            <v>9.2799999999999994</v>
          </cell>
          <cell r="M143">
            <v>3.75</v>
          </cell>
          <cell r="N143">
            <v>0.47</v>
          </cell>
          <cell r="O143">
            <v>26.22</v>
          </cell>
          <cell r="P143">
            <v>0.38</v>
          </cell>
          <cell r="Q143">
            <v>1.01</v>
          </cell>
          <cell r="R143">
            <v>12.5</v>
          </cell>
        </row>
        <row r="144">
          <cell r="E144">
            <v>13.2</v>
          </cell>
          <cell r="F144">
            <v>58</v>
          </cell>
          <cell r="G144">
            <v>19.82</v>
          </cell>
          <cell r="H144">
            <v>34.659999999999997</v>
          </cell>
          <cell r="I144">
            <v>100.8</v>
          </cell>
          <cell r="J144">
            <v>256.95999999999998</v>
          </cell>
          <cell r="K144">
            <v>9.82</v>
          </cell>
          <cell r="L144">
            <v>9.36</v>
          </cell>
          <cell r="M144">
            <v>3.75</v>
          </cell>
          <cell r="N144">
            <v>0.47</v>
          </cell>
          <cell r="O144">
            <v>26.45</v>
          </cell>
          <cell r="P144">
            <v>0.38</v>
          </cell>
          <cell r="Q144">
            <v>1.01</v>
          </cell>
          <cell r="R144">
            <v>12.6</v>
          </cell>
        </row>
        <row r="145">
          <cell r="E145">
            <v>13.3</v>
          </cell>
          <cell r="F145">
            <v>58.45</v>
          </cell>
          <cell r="G145">
            <v>19.96</v>
          </cell>
          <cell r="H145">
            <v>35.11</v>
          </cell>
          <cell r="I145">
            <v>102.25</v>
          </cell>
          <cell r="J145">
            <v>260.97000000000003</v>
          </cell>
          <cell r="K145">
            <v>9.91</v>
          </cell>
          <cell r="L145">
            <v>9.4499999999999993</v>
          </cell>
          <cell r="M145">
            <v>3.75</v>
          </cell>
          <cell r="N145">
            <v>0.47</v>
          </cell>
          <cell r="O145">
            <v>26.69</v>
          </cell>
          <cell r="P145">
            <v>0.38</v>
          </cell>
          <cell r="Q145">
            <v>1.01</v>
          </cell>
          <cell r="R145">
            <v>12.7</v>
          </cell>
        </row>
        <row r="146">
          <cell r="E146">
            <v>13.4</v>
          </cell>
          <cell r="F146">
            <v>58.9</v>
          </cell>
          <cell r="G146">
            <v>20.09</v>
          </cell>
          <cell r="H146">
            <v>35.549999999999997</v>
          </cell>
          <cell r="I146">
            <v>103.7</v>
          </cell>
          <cell r="J146">
            <v>265.04000000000002</v>
          </cell>
          <cell r="K146">
            <v>9.99</v>
          </cell>
          <cell r="L146">
            <v>9.5299999999999994</v>
          </cell>
          <cell r="M146">
            <v>3.75</v>
          </cell>
          <cell r="N146">
            <v>0.47</v>
          </cell>
          <cell r="O146">
            <v>26.92</v>
          </cell>
          <cell r="P146">
            <v>0.38</v>
          </cell>
          <cell r="Q146">
            <v>1.01</v>
          </cell>
          <cell r="R146">
            <v>12.8</v>
          </cell>
        </row>
        <row r="147">
          <cell r="E147">
            <v>13.5</v>
          </cell>
          <cell r="F147">
            <v>59.35</v>
          </cell>
          <cell r="G147">
            <v>20.23</v>
          </cell>
          <cell r="H147">
            <v>36</v>
          </cell>
          <cell r="I147">
            <v>105.17</v>
          </cell>
          <cell r="J147">
            <v>269.13</v>
          </cell>
          <cell r="K147">
            <v>10.07</v>
          </cell>
          <cell r="L147">
            <v>9.61</v>
          </cell>
          <cell r="M147">
            <v>3.75</v>
          </cell>
          <cell r="N147">
            <v>0.47</v>
          </cell>
          <cell r="O147">
            <v>27.16</v>
          </cell>
          <cell r="P147">
            <v>0.38</v>
          </cell>
          <cell r="Q147">
            <v>1.01</v>
          </cell>
          <cell r="R147">
            <v>12.9</v>
          </cell>
        </row>
        <row r="148">
          <cell r="E148">
            <v>13.600000000000099</v>
          </cell>
          <cell r="F148">
            <v>59.8</v>
          </cell>
          <cell r="G148">
            <v>20.36</v>
          </cell>
          <cell r="H148">
            <v>36.450000000000003</v>
          </cell>
          <cell r="I148">
            <v>106.64</v>
          </cell>
          <cell r="J148">
            <v>273.27999999999997</v>
          </cell>
          <cell r="K148">
            <v>10.15</v>
          </cell>
          <cell r="L148">
            <v>9.69</v>
          </cell>
          <cell r="M148">
            <v>3.75</v>
          </cell>
          <cell r="N148">
            <v>0.47</v>
          </cell>
          <cell r="O148">
            <v>27.39</v>
          </cell>
          <cell r="P148">
            <v>0.38</v>
          </cell>
          <cell r="Q148">
            <v>1.01</v>
          </cell>
          <cell r="R148">
            <v>13</v>
          </cell>
        </row>
        <row r="149">
          <cell r="E149">
            <v>13.700000000000101</v>
          </cell>
          <cell r="F149">
            <v>60.25</v>
          </cell>
          <cell r="G149">
            <v>20.5</v>
          </cell>
          <cell r="H149">
            <v>36.909999999999997</v>
          </cell>
          <cell r="I149">
            <v>108.13</v>
          </cell>
          <cell r="J149">
            <v>277.45</v>
          </cell>
          <cell r="K149">
            <v>10.23</v>
          </cell>
          <cell r="L149">
            <v>9.77</v>
          </cell>
          <cell r="M149">
            <v>3.75</v>
          </cell>
          <cell r="N149">
            <v>0.47</v>
          </cell>
          <cell r="O149">
            <v>27.63</v>
          </cell>
          <cell r="P149">
            <v>0.38</v>
          </cell>
          <cell r="Q149">
            <v>1.01</v>
          </cell>
          <cell r="R149">
            <v>13.1</v>
          </cell>
        </row>
        <row r="150">
          <cell r="E150">
            <v>13.8000000000001</v>
          </cell>
          <cell r="F150">
            <v>60.7</v>
          </cell>
          <cell r="G150">
            <v>20.63</v>
          </cell>
          <cell r="H150">
            <v>37.36</v>
          </cell>
          <cell r="I150">
            <v>109.62</v>
          </cell>
          <cell r="J150">
            <v>281.66000000000003</v>
          </cell>
          <cell r="K150">
            <v>10.31</v>
          </cell>
          <cell r="L150">
            <v>9.85</v>
          </cell>
          <cell r="M150">
            <v>3.75</v>
          </cell>
          <cell r="N150">
            <v>0.47</v>
          </cell>
          <cell r="O150">
            <v>27.86</v>
          </cell>
          <cell r="P150">
            <v>0.38</v>
          </cell>
          <cell r="Q150">
            <v>1.01</v>
          </cell>
          <cell r="R150">
            <v>13.2</v>
          </cell>
        </row>
        <row r="151">
          <cell r="E151">
            <v>13.9000000000001</v>
          </cell>
          <cell r="F151">
            <v>61.15</v>
          </cell>
          <cell r="G151">
            <v>20.77</v>
          </cell>
          <cell r="H151">
            <v>37.82</v>
          </cell>
          <cell r="I151">
            <v>111.13</v>
          </cell>
          <cell r="J151">
            <v>285.89999999999998</v>
          </cell>
          <cell r="K151">
            <v>10.39</v>
          </cell>
          <cell r="L151">
            <v>9.93</v>
          </cell>
          <cell r="M151">
            <v>3.75</v>
          </cell>
          <cell r="N151">
            <v>0.47</v>
          </cell>
          <cell r="O151">
            <v>28.1</v>
          </cell>
          <cell r="P151">
            <v>0.38</v>
          </cell>
          <cell r="Q151">
            <v>1.01</v>
          </cell>
          <cell r="R151">
            <v>13.3</v>
          </cell>
        </row>
        <row r="152">
          <cell r="E152">
            <v>14.000000000000099</v>
          </cell>
          <cell r="F152">
            <v>61.6</v>
          </cell>
          <cell r="G152">
            <v>20.9</v>
          </cell>
          <cell r="H152">
            <v>38.28</v>
          </cell>
          <cell r="I152">
            <v>112.64</v>
          </cell>
          <cell r="J152">
            <v>290.18</v>
          </cell>
          <cell r="K152">
            <v>10.47</v>
          </cell>
          <cell r="L152">
            <v>10.01</v>
          </cell>
          <cell r="M152">
            <v>3.75</v>
          </cell>
          <cell r="N152">
            <v>0.47</v>
          </cell>
          <cell r="O152">
            <v>28.33</v>
          </cell>
          <cell r="P152">
            <v>0.38</v>
          </cell>
          <cell r="Q152">
            <v>1.01</v>
          </cell>
          <cell r="R152">
            <v>13.4</v>
          </cell>
        </row>
        <row r="153">
          <cell r="E153">
            <v>14.100000000000099</v>
          </cell>
          <cell r="F153">
            <v>62.05</v>
          </cell>
          <cell r="G153">
            <v>21.04</v>
          </cell>
          <cell r="H153">
            <v>38.75</v>
          </cell>
          <cell r="I153">
            <v>114.17</v>
          </cell>
          <cell r="J153">
            <v>294.56</v>
          </cell>
          <cell r="K153">
            <v>10.55</v>
          </cell>
          <cell r="L153">
            <v>10.09</v>
          </cell>
          <cell r="M153">
            <v>3.75</v>
          </cell>
          <cell r="N153">
            <v>0.47</v>
          </cell>
          <cell r="O153">
            <v>28.57</v>
          </cell>
          <cell r="P153">
            <v>0.38</v>
          </cell>
          <cell r="Q153">
            <v>1.01</v>
          </cell>
          <cell r="R153">
            <v>13.5</v>
          </cell>
        </row>
        <row r="154">
          <cell r="E154">
            <v>14.200000000000101</v>
          </cell>
          <cell r="F154">
            <v>62.3</v>
          </cell>
          <cell r="G154">
            <v>21.17</v>
          </cell>
          <cell r="H154">
            <v>39.21</v>
          </cell>
          <cell r="I154">
            <v>115.7</v>
          </cell>
          <cell r="J154">
            <v>298.83999999999997</v>
          </cell>
          <cell r="K154">
            <v>10.63</v>
          </cell>
          <cell r="L154">
            <v>10.17</v>
          </cell>
          <cell r="M154">
            <v>3.75</v>
          </cell>
          <cell r="N154">
            <v>0.47</v>
          </cell>
          <cell r="O154">
            <v>28.8</v>
          </cell>
          <cell r="P154">
            <v>0.38</v>
          </cell>
          <cell r="Q154">
            <v>1.01</v>
          </cell>
          <cell r="R154">
            <v>13.6</v>
          </cell>
        </row>
        <row r="155">
          <cell r="E155">
            <v>14.3000000000001</v>
          </cell>
          <cell r="F155">
            <v>62.95</v>
          </cell>
          <cell r="G155">
            <v>21.31</v>
          </cell>
          <cell r="H155">
            <v>39.68</v>
          </cell>
          <cell r="I155">
            <v>117.25</v>
          </cell>
          <cell r="J155">
            <v>303.22000000000003</v>
          </cell>
          <cell r="K155">
            <v>10.71</v>
          </cell>
          <cell r="L155">
            <v>10.25</v>
          </cell>
          <cell r="M155">
            <v>3.75</v>
          </cell>
          <cell r="N155">
            <v>0.47</v>
          </cell>
          <cell r="O155">
            <v>29.04</v>
          </cell>
          <cell r="P155">
            <v>0.38</v>
          </cell>
          <cell r="Q155">
            <v>1.01</v>
          </cell>
          <cell r="R155">
            <v>13.7</v>
          </cell>
        </row>
        <row r="156">
          <cell r="E156">
            <v>14.4000000000001</v>
          </cell>
          <cell r="F156">
            <v>63.4</v>
          </cell>
          <cell r="G156">
            <v>21.44</v>
          </cell>
          <cell r="H156">
            <v>40.15</v>
          </cell>
          <cell r="I156">
            <v>118.8</v>
          </cell>
          <cell r="J156">
            <v>307.64</v>
          </cell>
          <cell r="K156">
            <v>10.79</v>
          </cell>
          <cell r="L156">
            <v>10.33</v>
          </cell>
          <cell r="M156">
            <v>3.75</v>
          </cell>
          <cell r="N156">
            <v>0.47</v>
          </cell>
          <cell r="O156">
            <v>29.27</v>
          </cell>
          <cell r="P156">
            <v>0.38</v>
          </cell>
          <cell r="Q156">
            <v>1.01</v>
          </cell>
          <cell r="R156">
            <v>13.8</v>
          </cell>
        </row>
        <row r="157">
          <cell r="E157">
            <v>14.500000000000099</v>
          </cell>
          <cell r="F157">
            <v>63.85</v>
          </cell>
          <cell r="G157">
            <v>21.58</v>
          </cell>
          <cell r="H157">
            <v>40.630000000000003</v>
          </cell>
          <cell r="I157">
            <v>120.37</v>
          </cell>
          <cell r="J157">
            <v>312.08999999999997</v>
          </cell>
          <cell r="K157">
            <v>10.87</v>
          </cell>
          <cell r="L157">
            <v>10.41</v>
          </cell>
          <cell r="M157">
            <v>3.75</v>
          </cell>
          <cell r="N157">
            <v>0.47</v>
          </cell>
          <cell r="O157">
            <v>29.51</v>
          </cell>
          <cell r="P157">
            <v>0.38</v>
          </cell>
          <cell r="Q157">
            <v>1.01</v>
          </cell>
          <cell r="R157">
            <v>13.9</v>
          </cell>
        </row>
        <row r="158">
          <cell r="E158">
            <v>14.600000000000099</v>
          </cell>
          <cell r="F158">
            <v>64.3</v>
          </cell>
          <cell r="G158">
            <v>21.71</v>
          </cell>
          <cell r="H158">
            <v>41.1</v>
          </cell>
          <cell r="I158">
            <v>121.94</v>
          </cell>
          <cell r="J158">
            <v>316.56</v>
          </cell>
          <cell r="K158">
            <v>10.96</v>
          </cell>
          <cell r="L158">
            <v>10.5</v>
          </cell>
          <cell r="M158">
            <v>3.75</v>
          </cell>
          <cell r="N158">
            <v>0.47</v>
          </cell>
          <cell r="O158">
            <v>29.74</v>
          </cell>
          <cell r="P158">
            <v>0.38</v>
          </cell>
          <cell r="Q158">
            <v>1.01</v>
          </cell>
          <cell r="R158">
            <v>14</v>
          </cell>
        </row>
        <row r="159">
          <cell r="E159">
            <v>14.700000000000101</v>
          </cell>
          <cell r="F159">
            <v>64.75</v>
          </cell>
          <cell r="G159">
            <v>21.85</v>
          </cell>
          <cell r="H159">
            <v>41.58</v>
          </cell>
          <cell r="I159">
            <v>123.53</v>
          </cell>
          <cell r="J159">
            <v>312.08</v>
          </cell>
          <cell r="K159">
            <v>11.04</v>
          </cell>
          <cell r="L159">
            <v>10.58</v>
          </cell>
          <cell r="M159">
            <v>3.75</v>
          </cell>
          <cell r="N159">
            <v>0.47</v>
          </cell>
          <cell r="O159">
            <v>29.98</v>
          </cell>
          <cell r="P159">
            <v>0.38</v>
          </cell>
          <cell r="Q159">
            <v>1.01</v>
          </cell>
          <cell r="R159">
            <v>14.1</v>
          </cell>
        </row>
        <row r="160">
          <cell r="E160">
            <v>14.8000000000001</v>
          </cell>
          <cell r="F160">
            <v>65.2</v>
          </cell>
          <cell r="G160">
            <v>21.9</v>
          </cell>
          <cell r="H160">
            <v>42.06</v>
          </cell>
          <cell r="I160">
            <v>125.12</v>
          </cell>
          <cell r="J160">
            <v>325.64</v>
          </cell>
          <cell r="K160">
            <v>11.12</v>
          </cell>
          <cell r="L160">
            <v>10.66</v>
          </cell>
          <cell r="M160">
            <v>3.75</v>
          </cell>
          <cell r="N160">
            <v>0.47</v>
          </cell>
          <cell r="O160">
            <v>30.21</v>
          </cell>
          <cell r="P160">
            <v>0.38</v>
          </cell>
          <cell r="Q160">
            <v>1.01</v>
          </cell>
          <cell r="R160">
            <v>14.2</v>
          </cell>
        </row>
        <row r="161">
          <cell r="E161">
            <v>14.9000000000001</v>
          </cell>
          <cell r="F161">
            <v>65.650000000000006</v>
          </cell>
          <cell r="G161">
            <v>22.12</v>
          </cell>
          <cell r="H161">
            <v>42.55</v>
          </cell>
          <cell r="I161">
            <v>126.73</v>
          </cell>
          <cell r="J161">
            <v>330.22</v>
          </cell>
          <cell r="K161">
            <v>11.2</v>
          </cell>
          <cell r="L161">
            <v>10.74</v>
          </cell>
          <cell r="M161">
            <v>3.75</v>
          </cell>
          <cell r="N161">
            <v>0.47</v>
          </cell>
          <cell r="O161">
            <v>30.45</v>
          </cell>
          <cell r="P161">
            <v>0.38</v>
          </cell>
          <cell r="Q161">
            <v>1.01</v>
          </cell>
          <cell r="R161">
            <v>14.3</v>
          </cell>
        </row>
        <row r="162">
          <cell r="E162">
            <v>15.000000000000099</v>
          </cell>
          <cell r="F162">
            <v>66.099999999999994</v>
          </cell>
          <cell r="G162">
            <v>22.25</v>
          </cell>
          <cell r="H162">
            <v>43.03</v>
          </cell>
          <cell r="I162">
            <v>128.34</v>
          </cell>
          <cell r="J162">
            <v>334.86</v>
          </cell>
          <cell r="K162">
            <v>11.28</v>
          </cell>
          <cell r="L162">
            <v>10.82</v>
          </cell>
          <cell r="M162">
            <v>3.75</v>
          </cell>
          <cell r="N162">
            <v>0.47</v>
          </cell>
          <cell r="O162">
            <v>30.68</v>
          </cell>
          <cell r="P162">
            <v>0.38</v>
          </cell>
          <cell r="Q162">
            <v>1.01</v>
          </cell>
          <cell r="R162">
            <v>14.4</v>
          </cell>
        </row>
        <row r="163">
          <cell r="E163">
            <v>15.100000000000099</v>
          </cell>
          <cell r="F163">
            <v>66.55</v>
          </cell>
          <cell r="G163">
            <v>22.39</v>
          </cell>
          <cell r="H163">
            <v>43.52</v>
          </cell>
          <cell r="I163">
            <v>129.97</v>
          </cell>
          <cell r="J163">
            <v>339.52</v>
          </cell>
          <cell r="K163">
            <v>11.36</v>
          </cell>
          <cell r="L163">
            <v>10.9</v>
          </cell>
          <cell r="M163">
            <v>3.75</v>
          </cell>
          <cell r="N163">
            <v>0.47</v>
          </cell>
          <cell r="O163">
            <v>30.92</v>
          </cell>
          <cell r="P163">
            <v>0.38</v>
          </cell>
          <cell r="Q163">
            <v>1.01</v>
          </cell>
          <cell r="R163">
            <v>14.5</v>
          </cell>
        </row>
        <row r="164">
          <cell r="E164">
            <v>15.200000000000101</v>
          </cell>
          <cell r="F164">
            <v>67</v>
          </cell>
          <cell r="G164">
            <v>22.52</v>
          </cell>
          <cell r="H164">
            <v>44.01</v>
          </cell>
          <cell r="I164">
            <v>131.6</v>
          </cell>
          <cell r="J164">
            <v>344.22</v>
          </cell>
          <cell r="K164">
            <v>11.44</v>
          </cell>
          <cell r="L164">
            <v>10.98</v>
          </cell>
          <cell r="M164">
            <v>3.75</v>
          </cell>
          <cell r="N164">
            <v>0.47</v>
          </cell>
          <cell r="O164">
            <v>31.15</v>
          </cell>
          <cell r="P164">
            <v>0.38</v>
          </cell>
          <cell r="Q164">
            <v>1.01</v>
          </cell>
          <cell r="R164">
            <v>14.6</v>
          </cell>
        </row>
        <row r="165">
          <cell r="E165">
            <v>15.3000000000001</v>
          </cell>
          <cell r="F165">
            <v>67.45</v>
          </cell>
          <cell r="G165">
            <v>22.66</v>
          </cell>
          <cell r="H165">
            <v>44.51</v>
          </cell>
          <cell r="I165">
            <v>133.25</v>
          </cell>
          <cell r="J165">
            <v>348.95</v>
          </cell>
          <cell r="K165">
            <v>11.52</v>
          </cell>
          <cell r="L165">
            <v>11.06</v>
          </cell>
          <cell r="M165">
            <v>3.75</v>
          </cell>
          <cell r="N165">
            <v>0.47</v>
          </cell>
          <cell r="O165">
            <v>31.39</v>
          </cell>
          <cell r="P165">
            <v>0.38</v>
          </cell>
          <cell r="Q165">
            <v>1.01</v>
          </cell>
          <cell r="R165">
            <v>14.7</v>
          </cell>
        </row>
        <row r="166">
          <cell r="E166">
            <v>15.4000000000001</v>
          </cell>
          <cell r="F166">
            <v>67.900000000000006</v>
          </cell>
          <cell r="G166">
            <v>22.79</v>
          </cell>
          <cell r="H166">
            <v>45</v>
          </cell>
          <cell r="I166">
            <v>134.9</v>
          </cell>
          <cell r="J166">
            <v>353.72</v>
          </cell>
          <cell r="K166">
            <v>11.6</v>
          </cell>
          <cell r="L166">
            <v>11.14</v>
          </cell>
          <cell r="M166">
            <v>3.75</v>
          </cell>
          <cell r="N166">
            <v>0.47</v>
          </cell>
          <cell r="O166">
            <v>31.62</v>
          </cell>
          <cell r="P166">
            <v>0.38</v>
          </cell>
          <cell r="Q166">
            <v>1.01</v>
          </cell>
          <cell r="R166">
            <v>14.8</v>
          </cell>
        </row>
        <row r="167">
          <cell r="E167">
            <v>15.500000000000099</v>
          </cell>
          <cell r="F167">
            <v>68.349999999999994</v>
          </cell>
          <cell r="G167">
            <v>22.93</v>
          </cell>
          <cell r="H167">
            <v>45.5</v>
          </cell>
          <cell r="I167">
            <v>136.57</v>
          </cell>
          <cell r="J167">
            <v>358.52</v>
          </cell>
          <cell r="K167">
            <v>11.68</v>
          </cell>
          <cell r="L167">
            <v>11.22</v>
          </cell>
          <cell r="M167">
            <v>3.75</v>
          </cell>
          <cell r="N167">
            <v>0.47</v>
          </cell>
          <cell r="O167">
            <v>31.86</v>
          </cell>
          <cell r="P167">
            <v>0.38</v>
          </cell>
          <cell r="Q167">
            <v>1.01</v>
          </cell>
          <cell r="R167">
            <v>14.9</v>
          </cell>
        </row>
        <row r="168">
          <cell r="E168">
            <v>15.600000000000099</v>
          </cell>
          <cell r="F168">
            <v>68.8</v>
          </cell>
          <cell r="G168">
            <v>23.06</v>
          </cell>
          <cell r="H168">
            <v>46</v>
          </cell>
          <cell r="I168">
            <v>138.34</v>
          </cell>
          <cell r="J168">
            <v>363.26</v>
          </cell>
          <cell r="K168">
            <v>11.76</v>
          </cell>
          <cell r="L168">
            <v>11.3</v>
          </cell>
          <cell r="M168">
            <v>3.75</v>
          </cell>
          <cell r="N168">
            <v>0.47</v>
          </cell>
          <cell r="O168">
            <v>32.090000000000003</v>
          </cell>
          <cell r="P168">
            <v>0.38</v>
          </cell>
          <cell r="Q168">
            <v>1.01</v>
          </cell>
          <cell r="R168">
            <v>15</v>
          </cell>
        </row>
        <row r="169">
          <cell r="E169">
            <v>15.700000000000101</v>
          </cell>
          <cell r="F169">
            <v>69.25</v>
          </cell>
          <cell r="G169">
            <v>23.2</v>
          </cell>
          <cell r="H169">
            <v>46.51</v>
          </cell>
          <cell r="I169">
            <v>139.93</v>
          </cell>
          <cell r="J169">
            <v>638.23</v>
          </cell>
          <cell r="K169">
            <v>11.84</v>
          </cell>
          <cell r="L169">
            <v>11.38</v>
          </cell>
          <cell r="M169">
            <v>3.75</v>
          </cell>
          <cell r="N169">
            <v>0.47</v>
          </cell>
          <cell r="O169">
            <v>32.33</v>
          </cell>
          <cell r="P169">
            <v>0.38</v>
          </cell>
          <cell r="Q169">
            <v>1.01</v>
          </cell>
          <cell r="R169">
            <v>15.1</v>
          </cell>
        </row>
        <row r="170">
          <cell r="E170">
            <v>15.8000000000001</v>
          </cell>
          <cell r="F170">
            <v>69.7</v>
          </cell>
          <cell r="G170">
            <v>23.33</v>
          </cell>
          <cell r="H170">
            <v>47.01</v>
          </cell>
          <cell r="I170">
            <v>141.62</v>
          </cell>
          <cell r="J170">
            <v>373.14</v>
          </cell>
          <cell r="K170">
            <v>11.92</v>
          </cell>
          <cell r="L170">
            <v>11.46</v>
          </cell>
          <cell r="M170">
            <v>3.75</v>
          </cell>
          <cell r="N170">
            <v>0.47</v>
          </cell>
          <cell r="O170">
            <v>32.56</v>
          </cell>
          <cell r="P170">
            <v>0.38</v>
          </cell>
          <cell r="Q170">
            <v>1.01</v>
          </cell>
          <cell r="R170">
            <v>15.2</v>
          </cell>
        </row>
        <row r="171">
          <cell r="E171">
            <v>15.9000000000001</v>
          </cell>
          <cell r="F171">
            <v>70.150000000000006</v>
          </cell>
          <cell r="G171">
            <v>23.47</v>
          </cell>
          <cell r="H171">
            <v>47.52</v>
          </cell>
          <cell r="I171">
            <v>143.33000000000001</v>
          </cell>
          <cell r="J171">
            <v>378.05</v>
          </cell>
          <cell r="K171">
            <v>12.01</v>
          </cell>
          <cell r="L171">
            <v>11.55</v>
          </cell>
          <cell r="M171">
            <v>3.75</v>
          </cell>
          <cell r="N171">
            <v>0.47</v>
          </cell>
          <cell r="O171">
            <v>32.799999999999997</v>
          </cell>
          <cell r="P171">
            <v>0.38</v>
          </cell>
          <cell r="Q171">
            <v>1.01</v>
          </cell>
          <cell r="R171">
            <v>15.3</v>
          </cell>
        </row>
        <row r="172">
          <cell r="E172">
            <v>16.000000000000099</v>
          </cell>
          <cell r="F172">
            <v>70.599999999999994</v>
          </cell>
          <cell r="G172">
            <v>23.6</v>
          </cell>
          <cell r="H172">
            <v>48.03</v>
          </cell>
          <cell r="I172">
            <v>145.04</v>
          </cell>
          <cell r="J172">
            <v>383.03</v>
          </cell>
          <cell r="K172">
            <v>12.09</v>
          </cell>
          <cell r="L172">
            <v>11.63</v>
          </cell>
          <cell r="M172">
            <v>3.75</v>
          </cell>
          <cell r="N172">
            <v>0.47</v>
          </cell>
          <cell r="O172">
            <v>33.03</v>
          </cell>
          <cell r="P172">
            <v>0.38</v>
          </cell>
          <cell r="Q172">
            <v>1.01</v>
          </cell>
          <cell r="R172">
            <v>15.4</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2000000000000"/>
      <sheetName val="3000000000000"/>
      <sheetName val="4000000000000"/>
      <sheetName val="5000000000000"/>
      <sheetName val="COVER"/>
      <sheetName val="index"/>
      <sheetName val="Report"/>
      <sheetName val="BCR"/>
      <sheetName val="abstract"/>
      <sheetName val="proposal"/>
      <sheetName val="rainfall"/>
      <sheetName val="bundqty"/>
      <sheetName val="weir"/>
      <sheetName val="desig cd works"/>
      <sheetName val="est canal"/>
      <sheetName val="cd works"/>
      <sheetName val="Lead "/>
      <sheetName val="Data"/>
      <sheetName val="l.s bund"/>
      <sheetName val="LFcanal"/>
      <sheetName val="RFcanal"/>
      <sheetName val="qrmap"/>
      <sheetName val="Route Map"/>
      <sheetName val="Drawing"/>
      <sheetName val="Old drawings"/>
      <sheetName val="inspn"/>
      <sheetName val="Chart1"/>
      <sheetName val="Sheet1"/>
      <sheetName val="certifc"/>
      <sheetName val="Regime"/>
      <sheetName val="weir heads (2)"/>
      <sheetName val="basicdata"/>
      <sheetName val="weir heads"/>
      <sheetName val="Data-abs"/>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sheetData sheetId="12" refreshError="1"/>
      <sheetData sheetId="13" refreshError="1">
        <row r="60">
          <cell r="E60">
            <v>0.1</v>
          </cell>
          <cell r="F60">
            <v>4.5999999999999996</v>
          </cell>
          <cell r="G60">
            <v>1.38</v>
          </cell>
          <cell r="H60">
            <v>0</v>
          </cell>
          <cell r="I60">
            <v>0</v>
          </cell>
          <cell r="J60">
            <v>1.02</v>
          </cell>
          <cell r="K60">
            <v>0</v>
          </cell>
          <cell r="L60">
            <v>0</v>
          </cell>
          <cell r="M60">
            <v>0</v>
          </cell>
          <cell r="N60">
            <v>0.5</v>
          </cell>
          <cell r="O60">
            <v>0</v>
          </cell>
          <cell r="P60">
            <v>0</v>
          </cell>
          <cell r="Q60">
            <v>0</v>
          </cell>
          <cell r="R60">
            <v>0.1</v>
          </cell>
        </row>
        <row r="61">
          <cell r="E61">
            <v>0.2</v>
          </cell>
          <cell r="F61">
            <v>5</v>
          </cell>
          <cell r="G61">
            <v>1.5</v>
          </cell>
          <cell r="H61">
            <v>0</v>
          </cell>
          <cell r="I61">
            <v>0</v>
          </cell>
          <cell r="J61">
            <v>1.5</v>
          </cell>
          <cell r="K61">
            <v>0</v>
          </cell>
          <cell r="L61">
            <v>0</v>
          </cell>
          <cell r="M61">
            <v>0</v>
          </cell>
          <cell r="N61">
            <v>0.5</v>
          </cell>
          <cell r="O61">
            <v>0</v>
          </cell>
          <cell r="P61">
            <v>0</v>
          </cell>
          <cell r="Q61">
            <v>0</v>
          </cell>
          <cell r="R61">
            <v>0.2</v>
          </cell>
        </row>
        <row r="62">
          <cell r="E62">
            <v>0.3</v>
          </cell>
          <cell r="F62">
            <v>5.4</v>
          </cell>
          <cell r="G62">
            <v>1.62</v>
          </cell>
          <cell r="H62">
            <v>0</v>
          </cell>
          <cell r="I62">
            <v>0</v>
          </cell>
          <cell r="J62">
            <v>2.02</v>
          </cell>
          <cell r="K62">
            <v>0</v>
          </cell>
          <cell r="L62">
            <v>0</v>
          </cell>
          <cell r="M62">
            <v>0</v>
          </cell>
          <cell r="N62">
            <v>0.5</v>
          </cell>
          <cell r="O62">
            <v>0</v>
          </cell>
          <cell r="P62">
            <v>0</v>
          </cell>
          <cell r="Q62">
            <v>0</v>
          </cell>
          <cell r="R62">
            <v>0.3</v>
          </cell>
        </row>
        <row r="63">
          <cell r="E63">
            <v>0.4</v>
          </cell>
          <cell r="F63">
            <v>5.8</v>
          </cell>
          <cell r="G63">
            <v>1.74</v>
          </cell>
          <cell r="H63">
            <v>0</v>
          </cell>
          <cell r="I63">
            <v>0</v>
          </cell>
          <cell r="J63">
            <v>2.58</v>
          </cell>
          <cell r="K63">
            <v>0</v>
          </cell>
          <cell r="L63">
            <v>0</v>
          </cell>
          <cell r="M63">
            <v>0</v>
          </cell>
          <cell r="N63">
            <v>0.5</v>
          </cell>
          <cell r="O63">
            <v>0</v>
          </cell>
          <cell r="P63">
            <v>0</v>
          </cell>
          <cell r="Q63">
            <v>0</v>
          </cell>
          <cell r="R63">
            <v>0.4</v>
          </cell>
        </row>
        <row r="64">
          <cell r="E64">
            <v>0.5</v>
          </cell>
          <cell r="F64">
            <v>6.2</v>
          </cell>
          <cell r="G64">
            <v>1.86</v>
          </cell>
          <cell r="H64">
            <v>0</v>
          </cell>
          <cell r="I64">
            <v>0</v>
          </cell>
          <cell r="J64">
            <v>3.18</v>
          </cell>
          <cell r="K64">
            <v>0</v>
          </cell>
          <cell r="L64">
            <v>0</v>
          </cell>
          <cell r="M64">
            <v>0</v>
          </cell>
          <cell r="N64">
            <v>0.5</v>
          </cell>
          <cell r="O64">
            <v>0</v>
          </cell>
          <cell r="P64">
            <v>0</v>
          </cell>
          <cell r="Q64">
            <v>0</v>
          </cell>
          <cell r="R64">
            <v>0.5</v>
          </cell>
        </row>
        <row r="65">
          <cell r="E65">
            <v>0.6</v>
          </cell>
          <cell r="F65">
            <v>6.6</v>
          </cell>
          <cell r="G65">
            <v>1.98</v>
          </cell>
          <cell r="H65">
            <v>0</v>
          </cell>
          <cell r="I65">
            <v>0</v>
          </cell>
          <cell r="J65">
            <v>3.82</v>
          </cell>
          <cell r="K65">
            <v>0</v>
          </cell>
          <cell r="L65">
            <v>0</v>
          </cell>
          <cell r="M65">
            <v>0</v>
          </cell>
          <cell r="N65">
            <v>0.5</v>
          </cell>
          <cell r="O65">
            <v>0</v>
          </cell>
          <cell r="P65">
            <v>0</v>
          </cell>
          <cell r="Q65">
            <v>0</v>
          </cell>
          <cell r="R65">
            <v>0.6</v>
          </cell>
        </row>
        <row r="66">
          <cell r="E66">
            <v>0.7</v>
          </cell>
          <cell r="F66">
            <v>7</v>
          </cell>
          <cell r="G66">
            <v>2.1</v>
          </cell>
          <cell r="H66">
            <v>0</v>
          </cell>
          <cell r="I66">
            <v>0</v>
          </cell>
          <cell r="J66">
            <v>4.5</v>
          </cell>
          <cell r="K66">
            <v>0</v>
          </cell>
          <cell r="L66">
            <v>0</v>
          </cell>
          <cell r="M66">
            <v>0</v>
          </cell>
          <cell r="N66">
            <v>0.5</v>
          </cell>
          <cell r="O66">
            <v>0</v>
          </cell>
          <cell r="P66">
            <v>0</v>
          </cell>
          <cell r="Q66">
            <v>0</v>
          </cell>
          <cell r="R66">
            <v>0.7</v>
          </cell>
        </row>
        <row r="67">
          <cell r="E67">
            <v>0.8</v>
          </cell>
          <cell r="F67">
            <v>7.4</v>
          </cell>
          <cell r="G67">
            <v>2.2200000000000002</v>
          </cell>
          <cell r="H67">
            <v>0</v>
          </cell>
          <cell r="I67">
            <v>0</v>
          </cell>
          <cell r="J67">
            <v>5.22</v>
          </cell>
          <cell r="K67">
            <v>0</v>
          </cell>
          <cell r="L67">
            <v>0</v>
          </cell>
          <cell r="M67">
            <v>0</v>
          </cell>
          <cell r="N67">
            <v>0.5</v>
          </cell>
          <cell r="O67">
            <v>0</v>
          </cell>
          <cell r="P67">
            <v>0</v>
          </cell>
          <cell r="Q67">
            <v>0</v>
          </cell>
          <cell r="R67">
            <v>0.8</v>
          </cell>
        </row>
        <row r="68">
          <cell r="E68">
            <v>0.9</v>
          </cell>
          <cell r="F68">
            <v>7.8</v>
          </cell>
          <cell r="G68">
            <v>2.34</v>
          </cell>
          <cell r="H68">
            <v>0</v>
          </cell>
          <cell r="I68">
            <v>0</v>
          </cell>
          <cell r="J68">
            <v>5.98</v>
          </cell>
          <cell r="K68">
            <v>0</v>
          </cell>
          <cell r="L68">
            <v>0</v>
          </cell>
          <cell r="M68">
            <v>0</v>
          </cell>
          <cell r="N68">
            <v>0.5</v>
          </cell>
          <cell r="O68">
            <v>0</v>
          </cell>
          <cell r="P68">
            <v>0</v>
          </cell>
          <cell r="Q68">
            <v>0</v>
          </cell>
          <cell r="R68">
            <v>0.9</v>
          </cell>
        </row>
        <row r="69">
          <cell r="E69">
            <v>1</v>
          </cell>
          <cell r="F69">
            <v>8.1999999999999993</v>
          </cell>
          <cell r="G69">
            <v>2.46</v>
          </cell>
          <cell r="H69">
            <v>0</v>
          </cell>
          <cell r="I69">
            <v>0</v>
          </cell>
          <cell r="J69">
            <v>6.78</v>
          </cell>
          <cell r="K69">
            <v>0</v>
          </cell>
          <cell r="L69">
            <v>0</v>
          </cell>
          <cell r="M69">
            <v>0</v>
          </cell>
          <cell r="N69">
            <v>0.5</v>
          </cell>
          <cell r="O69">
            <v>0</v>
          </cell>
          <cell r="P69">
            <v>0</v>
          </cell>
          <cell r="Q69">
            <v>0</v>
          </cell>
          <cell r="R69">
            <v>1</v>
          </cell>
        </row>
        <row r="70">
          <cell r="E70">
            <v>1.1000000000000001</v>
          </cell>
          <cell r="F70">
            <v>8.6</v>
          </cell>
          <cell r="G70">
            <v>2.58</v>
          </cell>
          <cell r="H70">
            <v>0</v>
          </cell>
          <cell r="I70">
            <v>0</v>
          </cell>
          <cell r="J70">
            <v>7.62</v>
          </cell>
          <cell r="K70">
            <v>0</v>
          </cell>
          <cell r="L70">
            <v>0</v>
          </cell>
          <cell r="M70">
            <v>0</v>
          </cell>
          <cell r="N70">
            <v>0.5</v>
          </cell>
          <cell r="O70">
            <v>0</v>
          </cell>
          <cell r="P70">
            <v>0</v>
          </cell>
          <cell r="Q70">
            <v>0</v>
          </cell>
          <cell r="R70">
            <v>1.1000000000000001</v>
          </cell>
        </row>
        <row r="71">
          <cell r="E71">
            <v>1.2</v>
          </cell>
          <cell r="F71">
            <v>9</v>
          </cell>
          <cell r="G71">
            <v>2.7</v>
          </cell>
          <cell r="H71">
            <v>0</v>
          </cell>
          <cell r="I71">
            <v>0</v>
          </cell>
          <cell r="J71">
            <v>8.5</v>
          </cell>
          <cell r="K71">
            <v>0</v>
          </cell>
          <cell r="L71">
            <v>0</v>
          </cell>
          <cell r="M71">
            <v>0</v>
          </cell>
          <cell r="N71">
            <v>0.5</v>
          </cell>
          <cell r="O71">
            <v>0</v>
          </cell>
          <cell r="P71">
            <v>0</v>
          </cell>
          <cell r="Q71">
            <v>0</v>
          </cell>
          <cell r="R71">
            <v>1.2</v>
          </cell>
        </row>
        <row r="72">
          <cell r="E72">
            <v>1.3</v>
          </cell>
          <cell r="F72">
            <v>9.4</v>
          </cell>
          <cell r="G72">
            <v>2.82</v>
          </cell>
          <cell r="H72">
            <v>0</v>
          </cell>
          <cell r="I72">
            <v>0</v>
          </cell>
          <cell r="J72">
            <v>9.42</v>
          </cell>
          <cell r="K72">
            <v>0</v>
          </cell>
          <cell r="L72">
            <v>0</v>
          </cell>
          <cell r="M72">
            <v>0</v>
          </cell>
          <cell r="N72">
            <v>0.5</v>
          </cell>
          <cell r="O72">
            <v>0</v>
          </cell>
          <cell r="P72">
            <v>0</v>
          </cell>
          <cell r="Q72">
            <v>0</v>
          </cell>
          <cell r="R72">
            <v>1.3</v>
          </cell>
        </row>
        <row r="73">
          <cell r="E73">
            <v>1.4</v>
          </cell>
          <cell r="F73">
            <v>9.8000000000000007</v>
          </cell>
          <cell r="G73">
            <v>2.94</v>
          </cell>
          <cell r="H73">
            <v>1.98</v>
          </cell>
          <cell r="I73">
            <v>0</v>
          </cell>
          <cell r="J73">
            <v>10.38</v>
          </cell>
          <cell r="K73">
            <v>0</v>
          </cell>
          <cell r="L73">
            <v>0</v>
          </cell>
          <cell r="M73">
            <v>0</v>
          </cell>
          <cell r="N73">
            <v>0.5</v>
          </cell>
          <cell r="O73">
            <v>0</v>
          </cell>
          <cell r="P73">
            <v>0</v>
          </cell>
          <cell r="Q73">
            <v>0</v>
          </cell>
          <cell r="R73">
            <v>1.4</v>
          </cell>
        </row>
        <row r="74">
          <cell r="E74">
            <v>1.5</v>
          </cell>
          <cell r="F74">
            <v>10.199999999999999</v>
          </cell>
          <cell r="G74">
            <v>3.48</v>
          </cell>
          <cell r="H74">
            <v>1.98</v>
          </cell>
          <cell r="I74">
            <v>0</v>
          </cell>
          <cell r="J74">
            <v>9.09</v>
          </cell>
          <cell r="K74">
            <v>1.57</v>
          </cell>
          <cell r="L74">
            <v>1.1100000000000001</v>
          </cell>
          <cell r="M74">
            <v>0</v>
          </cell>
          <cell r="N74">
            <v>0.47</v>
          </cell>
          <cell r="O74">
            <v>0</v>
          </cell>
          <cell r="P74">
            <v>0</v>
          </cell>
          <cell r="Q74">
            <v>0</v>
          </cell>
          <cell r="R74">
            <v>1.5</v>
          </cell>
        </row>
        <row r="75">
          <cell r="E75">
            <v>1.6</v>
          </cell>
          <cell r="F75">
            <v>10.6</v>
          </cell>
          <cell r="G75">
            <v>3.6</v>
          </cell>
          <cell r="H75">
            <v>1.98</v>
          </cell>
          <cell r="I75">
            <v>0</v>
          </cell>
          <cell r="J75">
            <v>10</v>
          </cell>
          <cell r="K75">
            <v>1.64</v>
          </cell>
          <cell r="L75">
            <v>1.17</v>
          </cell>
          <cell r="M75">
            <v>0</v>
          </cell>
          <cell r="N75">
            <v>0.47</v>
          </cell>
          <cell r="O75">
            <v>0</v>
          </cell>
          <cell r="P75">
            <v>0</v>
          </cell>
          <cell r="Q75">
            <v>0</v>
          </cell>
          <cell r="R75">
            <v>1.6</v>
          </cell>
        </row>
        <row r="76">
          <cell r="E76">
            <v>1.7</v>
          </cell>
          <cell r="F76">
            <v>11</v>
          </cell>
          <cell r="G76">
            <v>3.72</v>
          </cell>
          <cell r="H76">
            <v>1.98</v>
          </cell>
          <cell r="I76">
            <v>0</v>
          </cell>
          <cell r="J76">
            <v>10.95</v>
          </cell>
          <cell r="K76">
            <v>1.7</v>
          </cell>
          <cell r="L76">
            <v>1.24</v>
          </cell>
          <cell r="M76">
            <v>0</v>
          </cell>
          <cell r="N76">
            <v>0.47</v>
          </cell>
          <cell r="O76">
            <v>0</v>
          </cell>
          <cell r="P76">
            <v>0</v>
          </cell>
          <cell r="Q76">
            <v>0</v>
          </cell>
          <cell r="R76">
            <v>1.7</v>
          </cell>
        </row>
        <row r="77">
          <cell r="E77">
            <v>1.8</v>
          </cell>
          <cell r="F77">
            <v>11.4</v>
          </cell>
          <cell r="G77">
            <v>3.84</v>
          </cell>
          <cell r="H77">
            <v>1.98</v>
          </cell>
          <cell r="I77">
            <v>0</v>
          </cell>
          <cell r="J77">
            <v>11.93</v>
          </cell>
          <cell r="K77">
            <v>1.77</v>
          </cell>
          <cell r="L77">
            <v>1.31</v>
          </cell>
          <cell r="M77">
            <v>0</v>
          </cell>
          <cell r="N77">
            <v>0.47</v>
          </cell>
          <cell r="O77">
            <v>0</v>
          </cell>
          <cell r="P77">
            <v>0</v>
          </cell>
          <cell r="Q77">
            <v>0</v>
          </cell>
          <cell r="R77">
            <v>1.8</v>
          </cell>
        </row>
        <row r="78">
          <cell r="E78">
            <v>1.9</v>
          </cell>
          <cell r="F78">
            <v>11.8</v>
          </cell>
          <cell r="G78">
            <v>3.96</v>
          </cell>
          <cell r="H78">
            <v>1.98</v>
          </cell>
          <cell r="I78">
            <v>0</v>
          </cell>
          <cell r="J78">
            <v>12.95</v>
          </cell>
          <cell r="K78">
            <v>1.84</v>
          </cell>
          <cell r="L78">
            <v>1.38</v>
          </cell>
          <cell r="M78">
            <v>0</v>
          </cell>
          <cell r="N78">
            <v>0.47</v>
          </cell>
          <cell r="O78">
            <v>0</v>
          </cell>
          <cell r="P78">
            <v>0</v>
          </cell>
          <cell r="Q78">
            <v>0</v>
          </cell>
          <cell r="R78">
            <v>1.9</v>
          </cell>
        </row>
        <row r="79">
          <cell r="E79">
            <v>2</v>
          </cell>
          <cell r="F79">
            <v>12.2</v>
          </cell>
          <cell r="G79">
            <v>4.08</v>
          </cell>
          <cell r="H79">
            <v>1.98</v>
          </cell>
          <cell r="I79">
            <v>0</v>
          </cell>
          <cell r="J79">
            <v>14.03</v>
          </cell>
          <cell r="K79">
            <v>1.9</v>
          </cell>
          <cell r="L79">
            <v>1.44</v>
          </cell>
          <cell r="M79">
            <v>0</v>
          </cell>
          <cell r="N79">
            <v>0.47</v>
          </cell>
          <cell r="O79">
            <v>0</v>
          </cell>
          <cell r="P79">
            <v>0</v>
          </cell>
          <cell r="Q79">
            <v>0</v>
          </cell>
          <cell r="R79">
            <v>2</v>
          </cell>
        </row>
        <row r="80">
          <cell r="E80">
            <v>2.1</v>
          </cell>
          <cell r="F80">
            <v>12.6</v>
          </cell>
          <cell r="G80">
            <v>4.2</v>
          </cell>
          <cell r="H80">
            <v>1.98</v>
          </cell>
          <cell r="I80">
            <v>0</v>
          </cell>
          <cell r="J80">
            <v>15.13</v>
          </cell>
          <cell r="K80">
            <v>1.97</v>
          </cell>
          <cell r="L80">
            <v>1.51</v>
          </cell>
          <cell r="M80">
            <v>0</v>
          </cell>
          <cell r="N80">
            <v>0.47</v>
          </cell>
          <cell r="O80">
            <v>0</v>
          </cell>
          <cell r="P80">
            <v>0</v>
          </cell>
          <cell r="Q80">
            <v>0</v>
          </cell>
          <cell r="R80">
            <v>2.1</v>
          </cell>
        </row>
        <row r="81">
          <cell r="E81">
            <v>2.2000000000000002</v>
          </cell>
          <cell r="F81">
            <v>13</v>
          </cell>
          <cell r="G81">
            <v>4.32</v>
          </cell>
          <cell r="H81">
            <v>1.978</v>
          </cell>
          <cell r="I81">
            <v>0</v>
          </cell>
          <cell r="J81">
            <v>16.27</v>
          </cell>
          <cell r="K81">
            <v>2.04</v>
          </cell>
          <cell r="L81">
            <v>1.58</v>
          </cell>
          <cell r="M81">
            <v>0</v>
          </cell>
          <cell r="N81">
            <v>0.47</v>
          </cell>
          <cell r="O81">
            <v>0</v>
          </cell>
          <cell r="P81">
            <v>0</v>
          </cell>
          <cell r="Q81">
            <v>0</v>
          </cell>
          <cell r="R81">
            <v>2.2000000000000002</v>
          </cell>
        </row>
        <row r="82">
          <cell r="E82">
            <v>2.2999999999999998</v>
          </cell>
          <cell r="F82">
            <v>13.4</v>
          </cell>
          <cell r="G82">
            <v>4.4400000000000004</v>
          </cell>
          <cell r="H82">
            <v>1.98</v>
          </cell>
          <cell r="I82">
            <v>0</v>
          </cell>
          <cell r="J82">
            <v>17.47</v>
          </cell>
          <cell r="K82">
            <v>2.1</v>
          </cell>
          <cell r="L82">
            <v>1.64</v>
          </cell>
          <cell r="M82">
            <v>0</v>
          </cell>
          <cell r="N82">
            <v>0.47</v>
          </cell>
          <cell r="O82">
            <v>0</v>
          </cell>
          <cell r="P82">
            <v>0</v>
          </cell>
          <cell r="Q82">
            <v>0</v>
          </cell>
          <cell r="R82">
            <v>2.2999999999999998</v>
          </cell>
        </row>
        <row r="83">
          <cell r="E83">
            <v>2.4</v>
          </cell>
          <cell r="F83">
            <v>13.8</v>
          </cell>
          <cell r="G83">
            <v>4.5599999999999996</v>
          </cell>
          <cell r="H83">
            <v>1.98</v>
          </cell>
          <cell r="I83">
            <v>0</v>
          </cell>
          <cell r="J83">
            <v>18.690000000000001</v>
          </cell>
          <cell r="K83">
            <v>2.17</v>
          </cell>
          <cell r="L83">
            <v>1.71</v>
          </cell>
          <cell r="M83">
            <v>0</v>
          </cell>
          <cell r="N83">
            <v>0.47</v>
          </cell>
          <cell r="O83">
            <v>0</v>
          </cell>
          <cell r="P83">
            <v>0</v>
          </cell>
          <cell r="Q83">
            <v>0</v>
          </cell>
          <cell r="R83">
            <v>2.4</v>
          </cell>
        </row>
        <row r="84">
          <cell r="E84">
            <v>2.5</v>
          </cell>
          <cell r="F84">
            <v>14.2</v>
          </cell>
          <cell r="G84">
            <v>4.68</v>
          </cell>
          <cell r="H84">
            <v>1.98</v>
          </cell>
          <cell r="I84">
            <v>0</v>
          </cell>
          <cell r="J84">
            <v>19.95</v>
          </cell>
          <cell r="K84">
            <v>2.2400000000000002</v>
          </cell>
          <cell r="L84">
            <v>1.78</v>
          </cell>
          <cell r="M84">
            <v>0</v>
          </cell>
          <cell r="N84">
            <v>0.47</v>
          </cell>
          <cell r="O84">
            <v>0</v>
          </cell>
          <cell r="P84">
            <v>0</v>
          </cell>
          <cell r="Q84">
            <v>0</v>
          </cell>
          <cell r="R84">
            <v>2.5</v>
          </cell>
        </row>
        <row r="85">
          <cell r="E85">
            <v>2.6</v>
          </cell>
          <cell r="F85">
            <v>14.6</v>
          </cell>
          <cell r="G85">
            <v>4.8</v>
          </cell>
          <cell r="H85">
            <v>1.98</v>
          </cell>
          <cell r="I85">
            <v>0</v>
          </cell>
          <cell r="J85">
            <v>21.25</v>
          </cell>
          <cell r="K85">
            <v>2.31</v>
          </cell>
          <cell r="L85">
            <v>1.85</v>
          </cell>
          <cell r="M85">
            <v>0</v>
          </cell>
          <cell r="N85">
            <v>0.47</v>
          </cell>
          <cell r="O85">
            <v>0</v>
          </cell>
          <cell r="P85">
            <v>0</v>
          </cell>
          <cell r="Q85">
            <v>0</v>
          </cell>
          <cell r="R85">
            <v>2.6</v>
          </cell>
        </row>
        <row r="86">
          <cell r="E86">
            <v>2.7</v>
          </cell>
          <cell r="F86">
            <v>15</v>
          </cell>
          <cell r="G86">
            <v>4.92</v>
          </cell>
          <cell r="H86">
            <v>1.98</v>
          </cell>
          <cell r="I86">
            <v>0</v>
          </cell>
          <cell r="J86">
            <v>22.61</v>
          </cell>
          <cell r="K86">
            <v>2.37</v>
          </cell>
          <cell r="L86">
            <v>1.91</v>
          </cell>
          <cell r="M86">
            <v>0</v>
          </cell>
          <cell r="N86">
            <v>0.47</v>
          </cell>
          <cell r="O86">
            <v>0</v>
          </cell>
          <cell r="P86">
            <v>0</v>
          </cell>
          <cell r="Q86">
            <v>0</v>
          </cell>
          <cell r="R86">
            <v>2.7</v>
          </cell>
        </row>
        <row r="87">
          <cell r="E87">
            <v>2.8</v>
          </cell>
          <cell r="F87">
            <v>15.4</v>
          </cell>
          <cell r="G87">
            <v>5.04</v>
          </cell>
          <cell r="H87">
            <v>2.16</v>
          </cell>
          <cell r="I87">
            <v>0</v>
          </cell>
          <cell r="J87">
            <v>24.1</v>
          </cell>
          <cell r="K87">
            <v>2.44</v>
          </cell>
          <cell r="L87">
            <v>1.98</v>
          </cell>
          <cell r="M87">
            <v>0</v>
          </cell>
          <cell r="N87">
            <v>0.47</v>
          </cell>
          <cell r="O87">
            <v>0</v>
          </cell>
          <cell r="P87">
            <v>0</v>
          </cell>
          <cell r="Q87">
            <v>0</v>
          </cell>
          <cell r="R87">
            <v>2.8</v>
          </cell>
        </row>
        <row r="88">
          <cell r="E88">
            <v>2.9</v>
          </cell>
          <cell r="F88">
            <v>15.8</v>
          </cell>
          <cell r="G88">
            <v>5.16</v>
          </cell>
          <cell r="H88">
            <v>2.35</v>
          </cell>
          <cell r="I88">
            <v>0</v>
          </cell>
          <cell r="J88">
            <v>25.41</v>
          </cell>
          <cell r="K88">
            <v>2.5099999999999998</v>
          </cell>
          <cell r="L88">
            <v>2.0499999999999998</v>
          </cell>
          <cell r="M88">
            <v>0</v>
          </cell>
          <cell r="N88">
            <v>0.47</v>
          </cell>
          <cell r="O88">
            <v>0</v>
          </cell>
          <cell r="P88">
            <v>0</v>
          </cell>
          <cell r="Q88">
            <v>0</v>
          </cell>
          <cell r="R88">
            <v>2.9</v>
          </cell>
        </row>
        <row r="89">
          <cell r="E89">
            <v>3</v>
          </cell>
          <cell r="F89">
            <v>16.2</v>
          </cell>
          <cell r="G89">
            <v>5.28</v>
          </cell>
          <cell r="H89">
            <v>2.5299999999999998</v>
          </cell>
          <cell r="I89">
            <v>0</v>
          </cell>
          <cell r="J89">
            <v>26.89</v>
          </cell>
          <cell r="K89">
            <v>2.57</v>
          </cell>
          <cell r="L89">
            <v>2.11</v>
          </cell>
          <cell r="M89">
            <v>0</v>
          </cell>
          <cell r="N89">
            <v>0.47</v>
          </cell>
          <cell r="O89">
            <v>0</v>
          </cell>
          <cell r="P89">
            <v>0</v>
          </cell>
          <cell r="Q89">
            <v>0</v>
          </cell>
          <cell r="R89">
            <v>3</v>
          </cell>
        </row>
        <row r="90">
          <cell r="E90">
            <v>3.1</v>
          </cell>
          <cell r="F90">
            <v>16.600000000000001</v>
          </cell>
          <cell r="G90">
            <v>5.4</v>
          </cell>
          <cell r="H90">
            <v>2.72</v>
          </cell>
          <cell r="I90">
            <v>0</v>
          </cell>
          <cell r="J90">
            <v>28.39</v>
          </cell>
          <cell r="K90">
            <v>2.64</v>
          </cell>
          <cell r="L90">
            <v>2.1800000000000002</v>
          </cell>
          <cell r="M90">
            <v>0</v>
          </cell>
          <cell r="N90">
            <v>0.47</v>
          </cell>
          <cell r="O90">
            <v>0</v>
          </cell>
          <cell r="P90">
            <v>0</v>
          </cell>
          <cell r="Q90">
            <v>0</v>
          </cell>
          <cell r="R90">
            <v>3.1</v>
          </cell>
        </row>
        <row r="91">
          <cell r="E91">
            <v>3.2</v>
          </cell>
          <cell r="F91">
            <v>17</v>
          </cell>
          <cell r="G91">
            <v>5.52</v>
          </cell>
          <cell r="H91">
            <v>2.91</v>
          </cell>
          <cell r="I91">
            <v>0</v>
          </cell>
          <cell r="J91">
            <v>29.93</v>
          </cell>
          <cell r="K91">
            <v>2.71</v>
          </cell>
          <cell r="L91">
            <v>2.25</v>
          </cell>
          <cell r="M91">
            <v>0</v>
          </cell>
          <cell r="N91">
            <v>0.47</v>
          </cell>
          <cell r="O91">
            <v>0</v>
          </cell>
          <cell r="P91">
            <v>0</v>
          </cell>
          <cell r="Q91">
            <v>0</v>
          </cell>
          <cell r="R91">
            <v>3.2</v>
          </cell>
        </row>
        <row r="92">
          <cell r="E92">
            <v>3.3</v>
          </cell>
          <cell r="F92">
            <v>17.399999999999999</v>
          </cell>
          <cell r="G92">
            <v>5.64</v>
          </cell>
          <cell r="H92">
            <v>3.11</v>
          </cell>
          <cell r="I92">
            <v>0</v>
          </cell>
          <cell r="J92">
            <v>31.53</v>
          </cell>
          <cell r="K92">
            <v>2.77</v>
          </cell>
          <cell r="L92">
            <v>2.31</v>
          </cell>
          <cell r="M92">
            <v>0</v>
          </cell>
          <cell r="N92">
            <v>0.47</v>
          </cell>
          <cell r="O92">
            <v>0</v>
          </cell>
          <cell r="P92">
            <v>0</v>
          </cell>
          <cell r="Q92">
            <v>0</v>
          </cell>
          <cell r="R92">
            <v>3.3</v>
          </cell>
        </row>
        <row r="94">
          <cell r="E94">
            <v>3.4</v>
          </cell>
          <cell r="F94">
            <v>17.8</v>
          </cell>
          <cell r="G94">
            <v>5.76</v>
          </cell>
          <cell r="H94">
            <v>3.03</v>
          </cell>
          <cell r="I94">
            <v>0</v>
          </cell>
          <cell r="J94">
            <v>33.15</v>
          </cell>
          <cell r="K94">
            <v>2.84</v>
          </cell>
          <cell r="L94">
            <v>2.38</v>
          </cell>
          <cell r="M94">
            <v>0</v>
          </cell>
          <cell r="N94">
            <v>0.47</v>
          </cell>
          <cell r="O94">
            <v>0</v>
          </cell>
          <cell r="P94">
            <v>0</v>
          </cell>
          <cell r="Q94">
            <v>0</v>
          </cell>
          <cell r="R94">
            <v>3.4</v>
          </cell>
        </row>
        <row r="95">
          <cell r="E95">
            <v>3.5</v>
          </cell>
          <cell r="F95">
            <v>18</v>
          </cell>
          <cell r="G95">
            <v>7.82</v>
          </cell>
          <cell r="H95">
            <v>3.5</v>
          </cell>
          <cell r="I95">
            <v>0</v>
          </cell>
          <cell r="J95">
            <v>29.63</v>
          </cell>
          <cell r="K95">
            <v>2.91</v>
          </cell>
          <cell r="L95">
            <v>2.4500000000000002</v>
          </cell>
          <cell r="M95">
            <v>2.64</v>
          </cell>
          <cell r="N95">
            <v>0.47</v>
          </cell>
          <cell r="O95">
            <v>2.64</v>
          </cell>
          <cell r="P95">
            <v>0.38</v>
          </cell>
          <cell r="Q95">
            <v>1.01</v>
          </cell>
          <cell r="R95">
            <v>3.05</v>
          </cell>
        </row>
        <row r="96">
          <cell r="E96">
            <v>3.6</v>
          </cell>
          <cell r="F96">
            <v>18.399999999999999</v>
          </cell>
          <cell r="G96">
            <v>7.94</v>
          </cell>
          <cell r="H96">
            <v>3.7</v>
          </cell>
          <cell r="I96">
            <v>0</v>
          </cell>
          <cell r="J96">
            <v>31.17</v>
          </cell>
          <cell r="K96">
            <v>2.98</v>
          </cell>
          <cell r="L96">
            <v>2.52</v>
          </cell>
          <cell r="M96">
            <v>2.64</v>
          </cell>
          <cell r="N96">
            <v>0.47</v>
          </cell>
          <cell r="O96">
            <v>2.8</v>
          </cell>
          <cell r="P96">
            <v>0.38</v>
          </cell>
          <cell r="Q96">
            <v>1.01</v>
          </cell>
          <cell r="R96">
            <v>3.15</v>
          </cell>
        </row>
        <row r="97">
          <cell r="E97">
            <v>3.7</v>
          </cell>
          <cell r="F97">
            <v>18.8</v>
          </cell>
          <cell r="G97">
            <v>8.06</v>
          </cell>
          <cell r="H97">
            <v>3.91</v>
          </cell>
          <cell r="I97">
            <v>0</v>
          </cell>
          <cell r="J97">
            <v>32.78</v>
          </cell>
          <cell r="K97">
            <v>3.04</v>
          </cell>
          <cell r="L97">
            <v>2.58</v>
          </cell>
          <cell r="M97">
            <v>2.64</v>
          </cell>
          <cell r="N97">
            <v>0.47</v>
          </cell>
          <cell r="O97">
            <v>2.95</v>
          </cell>
          <cell r="P97">
            <v>0.38</v>
          </cell>
          <cell r="Q97">
            <v>1.01</v>
          </cell>
          <cell r="R97">
            <v>3.25</v>
          </cell>
        </row>
        <row r="98">
          <cell r="E98">
            <v>3.8</v>
          </cell>
          <cell r="F98">
            <v>19.2</v>
          </cell>
          <cell r="G98">
            <v>8.18</v>
          </cell>
          <cell r="H98">
            <v>4.1100000000000003</v>
          </cell>
          <cell r="I98">
            <v>0</v>
          </cell>
          <cell r="J98">
            <v>34.4</v>
          </cell>
          <cell r="K98">
            <v>3.11</v>
          </cell>
          <cell r="L98">
            <v>2.65</v>
          </cell>
          <cell r="M98">
            <v>2.64</v>
          </cell>
          <cell r="N98">
            <v>0.47</v>
          </cell>
          <cell r="O98">
            <v>3.11</v>
          </cell>
          <cell r="P98">
            <v>0.38</v>
          </cell>
          <cell r="Q98">
            <v>1.01</v>
          </cell>
          <cell r="R98">
            <v>3.35</v>
          </cell>
        </row>
        <row r="99">
          <cell r="E99">
            <v>3.9</v>
          </cell>
          <cell r="F99">
            <v>19.600000000000001</v>
          </cell>
          <cell r="G99">
            <v>8.3000000000000007</v>
          </cell>
          <cell r="H99">
            <v>4.32</v>
          </cell>
          <cell r="I99">
            <v>0</v>
          </cell>
          <cell r="J99">
            <v>36.06</v>
          </cell>
          <cell r="K99">
            <v>3.18</v>
          </cell>
          <cell r="L99">
            <v>2.72</v>
          </cell>
          <cell r="M99">
            <v>2.64</v>
          </cell>
          <cell r="N99">
            <v>0.47</v>
          </cell>
          <cell r="O99">
            <v>3.27</v>
          </cell>
          <cell r="P99">
            <v>0.38</v>
          </cell>
          <cell r="Q99">
            <v>1.01</v>
          </cell>
          <cell r="R99">
            <v>3.45</v>
          </cell>
        </row>
        <row r="100">
          <cell r="E100">
            <v>4</v>
          </cell>
          <cell r="F100">
            <v>20</v>
          </cell>
          <cell r="G100">
            <v>8.42</v>
          </cell>
          <cell r="H100">
            <v>4.53</v>
          </cell>
          <cell r="I100">
            <v>0</v>
          </cell>
          <cell r="J100">
            <v>37.79</v>
          </cell>
          <cell r="K100">
            <v>3.24</v>
          </cell>
          <cell r="L100">
            <v>2.78</v>
          </cell>
          <cell r="M100">
            <v>2.64</v>
          </cell>
          <cell r="N100">
            <v>0.47</v>
          </cell>
          <cell r="O100">
            <v>3.42</v>
          </cell>
          <cell r="P100">
            <v>0.38</v>
          </cell>
          <cell r="Q100">
            <v>1.01</v>
          </cell>
          <cell r="R100">
            <v>3.55</v>
          </cell>
        </row>
        <row r="101">
          <cell r="E101">
            <v>4.0999999999999996</v>
          </cell>
          <cell r="F101">
            <v>20.399999999999999</v>
          </cell>
          <cell r="G101">
            <v>8.5399999999999991</v>
          </cell>
          <cell r="H101">
            <v>4.75</v>
          </cell>
          <cell r="I101">
            <v>0</v>
          </cell>
          <cell r="J101">
            <v>39.53</v>
          </cell>
          <cell r="K101">
            <v>3.31</v>
          </cell>
          <cell r="L101">
            <v>2.85</v>
          </cell>
          <cell r="M101">
            <v>2.64</v>
          </cell>
          <cell r="N101">
            <v>0.47</v>
          </cell>
          <cell r="O101">
            <v>3.58</v>
          </cell>
          <cell r="P101">
            <v>0.38</v>
          </cell>
          <cell r="Q101">
            <v>1.01</v>
          </cell>
          <cell r="R101">
            <v>3.65</v>
          </cell>
        </row>
        <row r="102">
          <cell r="E102">
            <v>4.2</v>
          </cell>
          <cell r="F102">
            <v>20.8</v>
          </cell>
          <cell r="G102">
            <v>8.66</v>
          </cell>
          <cell r="H102">
            <v>4.96</v>
          </cell>
          <cell r="I102">
            <v>0</v>
          </cell>
          <cell r="J102">
            <v>41.31</v>
          </cell>
          <cell r="K102">
            <v>3.38</v>
          </cell>
          <cell r="L102">
            <v>2.92</v>
          </cell>
          <cell r="M102">
            <v>2.64</v>
          </cell>
          <cell r="N102">
            <v>0.47</v>
          </cell>
          <cell r="O102">
            <v>3.74</v>
          </cell>
          <cell r="P102">
            <v>0.38</v>
          </cell>
          <cell r="Q102">
            <v>1.01</v>
          </cell>
          <cell r="R102">
            <v>3.75</v>
          </cell>
        </row>
        <row r="103">
          <cell r="E103">
            <v>4.3</v>
          </cell>
          <cell r="F103">
            <v>21.2</v>
          </cell>
          <cell r="G103">
            <v>8.7799999999999994</v>
          </cell>
          <cell r="H103">
            <v>5.18</v>
          </cell>
          <cell r="I103">
            <v>0</v>
          </cell>
          <cell r="J103">
            <v>43.13</v>
          </cell>
          <cell r="K103">
            <v>3.45</v>
          </cell>
          <cell r="L103">
            <v>2.99</v>
          </cell>
          <cell r="M103">
            <v>2.64</v>
          </cell>
          <cell r="N103">
            <v>0.47</v>
          </cell>
          <cell r="O103">
            <v>3.9</v>
          </cell>
          <cell r="P103">
            <v>0.38</v>
          </cell>
          <cell r="Q103">
            <v>1.01</v>
          </cell>
          <cell r="R103">
            <v>3.85</v>
          </cell>
        </row>
        <row r="104">
          <cell r="E104">
            <v>4.4000000000000004</v>
          </cell>
          <cell r="F104">
            <v>21.6</v>
          </cell>
          <cell r="G104">
            <v>8.9</v>
          </cell>
          <cell r="H104">
            <v>5.4</v>
          </cell>
          <cell r="I104">
            <v>0</v>
          </cell>
          <cell r="J104">
            <v>45.02</v>
          </cell>
          <cell r="K104">
            <v>3.51</v>
          </cell>
          <cell r="L104">
            <v>3.05</v>
          </cell>
          <cell r="M104">
            <v>2.64</v>
          </cell>
          <cell r="N104">
            <v>0.47</v>
          </cell>
          <cell r="O104">
            <v>4.05</v>
          </cell>
          <cell r="P104">
            <v>0.38</v>
          </cell>
          <cell r="Q104">
            <v>1.01</v>
          </cell>
          <cell r="R104">
            <v>3.95</v>
          </cell>
        </row>
        <row r="105">
          <cell r="E105">
            <v>4.5</v>
          </cell>
          <cell r="F105">
            <v>22</v>
          </cell>
          <cell r="G105">
            <v>9.02</v>
          </cell>
          <cell r="H105">
            <v>5.63</v>
          </cell>
          <cell r="I105">
            <v>0</v>
          </cell>
          <cell r="J105">
            <v>46.92</v>
          </cell>
          <cell r="K105">
            <v>3.58</v>
          </cell>
          <cell r="L105">
            <v>3.12</v>
          </cell>
          <cell r="M105">
            <v>2.64</v>
          </cell>
          <cell r="N105">
            <v>0.47</v>
          </cell>
          <cell r="O105">
            <v>4.21</v>
          </cell>
          <cell r="P105">
            <v>0.38</v>
          </cell>
          <cell r="Q105">
            <v>1.01</v>
          </cell>
          <cell r="R105">
            <v>4.05</v>
          </cell>
        </row>
        <row r="106">
          <cell r="E106">
            <v>4.5999999999999996</v>
          </cell>
          <cell r="F106">
            <v>22.4</v>
          </cell>
          <cell r="G106">
            <v>9.14</v>
          </cell>
          <cell r="H106">
            <v>5.85</v>
          </cell>
          <cell r="I106">
            <v>0</v>
          </cell>
          <cell r="J106">
            <v>48.86</v>
          </cell>
          <cell r="K106">
            <v>3.65</v>
          </cell>
          <cell r="L106">
            <v>3.19</v>
          </cell>
          <cell r="M106">
            <v>2.64</v>
          </cell>
          <cell r="N106">
            <v>0.47</v>
          </cell>
          <cell r="O106">
            <v>4.37</v>
          </cell>
          <cell r="P106">
            <v>0.38</v>
          </cell>
          <cell r="Q106">
            <v>1.01</v>
          </cell>
          <cell r="R106">
            <v>4.1500000000000004</v>
          </cell>
        </row>
        <row r="107">
          <cell r="E107">
            <v>4.7</v>
          </cell>
          <cell r="F107">
            <v>22.8</v>
          </cell>
          <cell r="G107">
            <v>9.26</v>
          </cell>
          <cell r="H107">
            <v>6.08</v>
          </cell>
          <cell r="I107">
            <v>0</v>
          </cell>
          <cell r="J107">
            <v>50.86</v>
          </cell>
          <cell r="K107">
            <v>3.71</v>
          </cell>
          <cell r="L107">
            <v>3.25</v>
          </cell>
          <cell r="M107">
            <v>2.64</v>
          </cell>
          <cell r="N107">
            <v>0.47</v>
          </cell>
          <cell r="O107">
            <v>4.53</v>
          </cell>
          <cell r="P107">
            <v>0.38</v>
          </cell>
          <cell r="Q107">
            <v>1.01</v>
          </cell>
          <cell r="R107">
            <v>4.25</v>
          </cell>
        </row>
        <row r="108">
          <cell r="E108">
            <v>4.8</v>
          </cell>
          <cell r="F108">
            <v>23.2</v>
          </cell>
          <cell r="G108">
            <v>9.3800000000000008</v>
          </cell>
          <cell r="H108">
            <v>6.31</v>
          </cell>
          <cell r="I108">
            <v>0</v>
          </cell>
          <cell r="J108">
            <v>52.89</v>
          </cell>
          <cell r="K108">
            <v>3.78</v>
          </cell>
          <cell r="L108">
            <v>3.32</v>
          </cell>
          <cell r="M108">
            <v>2.64</v>
          </cell>
          <cell r="N108">
            <v>0.47</v>
          </cell>
          <cell r="O108">
            <v>4.68</v>
          </cell>
          <cell r="P108">
            <v>0.38</v>
          </cell>
          <cell r="Q108">
            <v>1.01</v>
          </cell>
          <cell r="R108">
            <v>4.3499999999999996</v>
          </cell>
        </row>
        <row r="109">
          <cell r="E109">
            <v>4.9000000000000004</v>
          </cell>
          <cell r="F109">
            <v>23.6</v>
          </cell>
          <cell r="G109">
            <v>9.5</v>
          </cell>
          <cell r="H109">
            <v>6.55</v>
          </cell>
          <cell r="I109">
            <v>0</v>
          </cell>
          <cell r="J109">
            <v>54.95</v>
          </cell>
          <cell r="K109">
            <v>3.85</v>
          </cell>
          <cell r="L109">
            <v>3.39</v>
          </cell>
          <cell r="M109">
            <v>2.64</v>
          </cell>
          <cell r="N109">
            <v>0.47</v>
          </cell>
          <cell r="O109">
            <v>4.84</v>
          </cell>
          <cell r="P109">
            <v>0.38</v>
          </cell>
          <cell r="Q109">
            <v>1.01</v>
          </cell>
          <cell r="R109">
            <v>4.45</v>
          </cell>
        </row>
        <row r="110">
          <cell r="E110">
            <v>5</v>
          </cell>
          <cell r="F110">
            <v>24</v>
          </cell>
          <cell r="G110">
            <v>9.6199999999999992</v>
          </cell>
          <cell r="H110">
            <v>6.78</v>
          </cell>
          <cell r="I110">
            <v>0</v>
          </cell>
          <cell r="J110">
            <v>57.05</v>
          </cell>
          <cell r="K110">
            <v>3.92</v>
          </cell>
          <cell r="L110">
            <v>3.46</v>
          </cell>
          <cell r="M110">
            <v>2.64</v>
          </cell>
          <cell r="N110">
            <v>0.47</v>
          </cell>
          <cell r="O110">
            <v>5</v>
          </cell>
          <cell r="P110">
            <v>0.38</v>
          </cell>
          <cell r="Q110">
            <v>1.01</v>
          </cell>
          <cell r="R110">
            <v>4.55</v>
          </cell>
        </row>
        <row r="111">
          <cell r="E111">
            <v>5.0999999999999996</v>
          </cell>
          <cell r="F111">
            <v>24.4</v>
          </cell>
          <cell r="G111">
            <v>9.74</v>
          </cell>
          <cell r="H111">
            <v>7.01</v>
          </cell>
          <cell r="I111">
            <v>0</v>
          </cell>
          <cell r="J111">
            <v>59.21</v>
          </cell>
          <cell r="K111">
            <v>3.98</v>
          </cell>
          <cell r="L111">
            <v>3.52</v>
          </cell>
          <cell r="M111">
            <v>2.64</v>
          </cell>
          <cell r="N111">
            <v>0.47</v>
          </cell>
          <cell r="O111">
            <v>5.16</v>
          </cell>
          <cell r="P111">
            <v>0.38</v>
          </cell>
          <cell r="Q111">
            <v>1.01</v>
          </cell>
          <cell r="R111">
            <v>4.6500000000000004</v>
          </cell>
        </row>
        <row r="112">
          <cell r="E112">
            <v>5.2</v>
          </cell>
          <cell r="F112">
            <v>24.8</v>
          </cell>
          <cell r="G112">
            <v>9.86</v>
          </cell>
          <cell r="H112">
            <v>7.26</v>
          </cell>
          <cell r="I112">
            <v>0</v>
          </cell>
          <cell r="J112">
            <v>61.4</v>
          </cell>
          <cell r="K112">
            <v>4.05</v>
          </cell>
          <cell r="L112">
            <v>3.59</v>
          </cell>
          <cell r="M112">
            <v>2.64</v>
          </cell>
          <cell r="N112">
            <v>0.47</v>
          </cell>
          <cell r="O112">
            <v>5.31</v>
          </cell>
          <cell r="P112">
            <v>0.38</v>
          </cell>
          <cell r="Q112">
            <v>1.01</v>
          </cell>
          <cell r="R112">
            <v>4.75</v>
          </cell>
        </row>
        <row r="113">
          <cell r="E113">
            <v>5.3</v>
          </cell>
          <cell r="F113">
            <v>25.2</v>
          </cell>
          <cell r="G113">
            <v>9.98</v>
          </cell>
          <cell r="H113">
            <v>7.51</v>
          </cell>
          <cell r="I113">
            <v>0</v>
          </cell>
          <cell r="J113">
            <v>63.62</v>
          </cell>
          <cell r="K113">
            <v>4.12</v>
          </cell>
          <cell r="L113">
            <v>3.66</v>
          </cell>
          <cell r="M113">
            <v>2.64</v>
          </cell>
          <cell r="N113">
            <v>0.47</v>
          </cell>
          <cell r="O113">
            <v>5.47</v>
          </cell>
          <cell r="P113">
            <v>0.38</v>
          </cell>
          <cell r="Q113">
            <v>1.01</v>
          </cell>
          <cell r="R113">
            <v>4.8499999999999996</v>
          </cell>
        </row>
        <row r="114">
          <cell r="E114">
            <v>5.4</v>
          </cell>
          <cell r="F114">
            <v>25.6</v>
          </cell>
          <cell r="G114">
            <v>10.1</v>
          </cell>
          <cell r="H114">
            <v>7.75</v>
          </cell>
          <cell r="I114">
            <v>0</v>
          </cell>
          <cell r="J114">
            <v>65.89</v>
          </cell>
          <cell r="K114">
            <v>4.1900000000000004</v>
          </cell>
          <cell r="L114">
            <v>3.72</v>
          </cell>
          <cell r="M114">
            <v>2.64</v>
          </cell>
          <cell r="N114">
            <v>0.47</v>
          </cell>
          <cell r="O114">
            <v>5.63</v>
          </cell>
          <cell r="P114">
            <v>0.38</v>
          </cell>
          <cell r="Q114">
            <v>1.01</v>
          </cell>
          <cell r="R114">
            <v>4.95</v>
          </cell>
        </row>
        <row r="115">
          <cell r="E115">
            <v>5.5</v>
          </cell>
          <cell r="F115">
            <v>26</v>
          </cell>
          <cell r="G115">
            <v>10.220000000000001</v>
          </cell>
          <cell r="H115">
            <v>8</v>
          </cell>
          <cell r="I115">
            <v>0</v>
          </cell>
          <cell r="J115">
            <v>68.2</v>
          </cell>
          <cell r="K115">
            <v>4.25</v>
          </cell>
          <cell r="L115">
            <v>3.79</v>
          </cell>
          <cell r="M115">
            <v>2.64</v>
          </cell>
          <cell r="N115">
            <v>0.47</v>
          </cell>
          <cell r="O115">
            <v>5.79</v>
          </cell>
          <cell r="P115">
            <v>0.38</v>
          </cell>
          <cell r="Q115">
            <v>1.01</v>
          </cell>
          <cell r="R115">
            <v>5.05</v>
          </cell>
        </row>
        <row r="116">
          <cell r="E116">
            <v>5.6</v>
          </cell>
          <cell r="F116">
            <v>26.4</v>
          </cell>
          <cell r="G116">
            <v>10.34</v>
          </cell>
          <cell r="H116">
            <v>8.25</v>
          </cell>
          <cell r="I116">
            <v>0</v>
          </cell>
          <cell r="J116">
            <v>70.55</v>
          </cell>
          <cell r="K116">
            <v>4.32</v>
          </cell>
          <cell r="L116">
            <v>3.86</v>
          </cell>
          <cell r="M116">
            <v>2.64</v>
          </cell>
          <cell r="N116">
            <v>0.47</v>
          </cell>
          <cell r="O116">
            <v>5.94</v>
          </cell>
          <cell r="P116">
            <v>0.38</v>
          </cell>
          <cell r="Q116">
            <v>1.01</v>
          </cell>
          <cell r="R116">
            <v>5.15</v>
          </cell>
        </row>
        <row r="117">
          <cell r="E117">
            <v>5.7</v>
          </cell>
          <cell r="F117">
            <v>26.8</v>
          </cell>
          <cell r="G117">
            <v>10.46</v>
          </cell>
          <cell r="H117">
            <v>8.51</v>
          </cell>
          <cell r="I117">
            <v>0</v>
          </cell>
          <cell r="J117">
            <v>72.95</v>
          </cell>
          <cell r="K117">
            <v>4.38</v>
          </cell>
          <cell r="L117">
            <v>3.92</v>
          </cell>
          <cell r="M117">
            <v>2.64</v>
          </cell>
          <cell r="N117">
            <v>0.47</v>
          </cell>
          <cell r="O117">
            <v>6.1</v>
          </cell>
          <cell r="P117">
            <v>0.38</v>
          </cell>
          <cell r="Q117">
            <v>1.01</v>
          </cell>
          <cell r="R117">
            <v>5.25</v>
          </cell>
        </row>
        <row r="118">
          <cell r="E118">
            <v>5.8</v>
          </cell>
          <cell r="F118">
            <v>27.2</v>
          </cell>
          <cell r="G118">
            <v>10.58</v>
          </cell>
          <cell r="H118">
            <v>8.76</v>
          </cell>
          <cell r="I118">
            <v>0</v>
          </cell>
          <cell r="J118">
            <v>75.37</v>
          </cell>
          <cell r="K118">
            <v>4.45</v>
          </cell>
          <cell r="L118">
            <v>3.99</v>
          </cell>
          <cell r="M118">
            <v>2.64</v>
          </cell>
          <cell r="N118">
            <v>0.47</v>
          </cell>
          <cell r="O118">
            <v>6.26</v>
          </cell>
          <cell r="P118">
            <v>0.38</v>
          </cell>
          <cell r="Q118">
            <v>1.01</v>
          </cell>
          <cell r="R118">
            <v>5.35</v>
          </cell>
        </row>
        <row r="119">
          <cell r="E119">
            <v>5.9</v>
          </cell>
          <cell r="F119">
            <v>27.6</v>
          </cell>
          <cell r="G119">
            <v>10.7</v>
          </cell>
          <cell r="H119">
            <v>9.02</v>
          </cell>
          <cell r="I119">
            <v>0</v>
          </cell>
          <cell r="J119">
            <v>77.83</v>
          </cell>
          <cell r="K119">
            <v>4.5199999999999996</v>
          </cell>
          <cell r="L119">
            <v>4.0599999999999996</v>
          </cell>
          <cell r="M119">
            <v>2.64</v>
          </cell>
          <cell r="N119">
            <v>0.47</v>
          </cell>
          <cell r="O119">
            <v>6.42</v>
          </cell>
          <cell r="P119">
            <v>0.38</v>
          </cell>
          <cell r="Q119">
            <v>1.01</v>
          </cell>
          <cell r="R119">
            <v>5.45</v>
          </cell>
        </row>
        <row r="120">
          <cell r="E120">
            <v>6</v>
          </cell>
          <cell r="F120">
            <v>28</v>
          </cell>
          <cell r="G120">
            <v>10.82</v>
          </cell>
          <cell r="H120">
            <v>9.2799999999999994</v>
          </cell>
          <cell r="I120">
            <v>0</v>
          </cell>
          <cell r="J120">
            <v>80.34</v>
          </cell>
          <cell r="K120">
            <v>4.59</v>
          </cell>
          <cell r="L120">
            <v>4.13</v>
          </cell>
          <cell r="M120">
            <v>2.64</v>
          </cell>
          <cell r="N120">
            <v>0.47</v>
          </cell>
          <cell r="O120">
            <v>6.57</v>
          </cell>
          <cell r="P120">
            <v>0.38</v>
          </cell>
          <cell r="Q120">
            <v>1.01</v>
          </cell>
          <cell r="R120">
            <v>5.55</v>
          </cell>
        </row>
        <row r="121">
          <cell r="E121">
            <v>6.1</v>
          </cell>
          <cell r="F121">
            <v>28.4</v>
          </cell>
          <cell r="G121">
            <v>10.94</v>
          </cell>
          <cell r="H121">
            <v>9.5500000000000007</v>
          </cell>
          <cell r="I121">
            <v>0</v>
          </cell>
          <cell r="J121">
            <v>82.9</v>
          </cell>
          <cell r="K121">
            <v>4.6500000000000004</v>
          </cell>
          <cell r="L121">
            <v>4.1900000000000004</v>
          </cell>
          <cell r="M121">
            <v>2.64</v>
          </cell>
          <cell r="N121">
            <v>0.47</v>
          </cell>
          <cell r="O121">
            <v>6.73</v>
          </cell>
          <cell r="P121">
            <v>0.38</v>
          </cell>
          <cell r="Q121">
            <v>1.01</v>
          </cell>
          <cell r="R121">
            <v>5.65</v>
          </cell>
        </row>
        <row r="122">
          <cell r="E122">
            <v>6.2</v>
          </cell>
          <cell r="F122">
            <v>28.8</v>
          </cell>
          <cell r="G122">
            <v>11.06</v>
          </cell>
          <cell r="H122">
            <v>9.81</v>
          </cell>
          <cell r="I122">
            <v>0</v>
          </cell>
          <cell r="J122">
            <v>85.48</v>
          </cell>
          <cell r="K122">
            <v>4.72</v>
          </cell>
          <cell r="L122">
            <v>4.26</v>
          </cell>
          <cell r="M122">
            <v>2.64</v>
          </cell>
          <cell r="N122">
            <v>0.47</v>
          </cell>
          <cell r="O122">
            <v>6.89</v>
          </cell>
          <cell r="P122">
            <v>0.38</v>
          </cell>
          <cell r="Q122">
            <v>1.01</v>
          </cell>
          <cell r="R122">
            <v>5.75</v>
          </cell>
        </row>
        <row r="123">
          <cell r="E123">
            <v>6.3</v>
          </cell>
          <cell r="F123">
            <v>29.2</v>
          </cell>
          <cell r="G123">
            <v>11.18</v>
          </cell>
          <cell r="H123">
            <v>10.08</v>
          </cell>
          <cell r="I123">
            <v>0</v>
          </cell>
          <cell r="J123">
            <v>88.1</v>
          </cell>
          <cell r="K123">
            <v>4.79</v>
          </cell>
          <cell r="L123">
            <v>4.33</v>
          </cell>
          <cell r="M123">
            <v>2.64</v>
          </cell>
          <cell r="N123">
            <v>0.47</v>
          </cell>
          <cell r="O123">
            <v>7.05</v>
          </cell>
          <cell r="P123">
            <v>0.38</v>
          </cell>
          <cell r="Q123">
            <v>1.01</v>
          </cell>
          <cell r="R123">
            <v>5.85</v>
          </cell>
        </row>
        <row r="124">
          <cell r="E124">
            <v>6.4</v>
          </cell>
          <cell r="F124">
            <v>29.6</v>
          </cell>
          <cell r="G124">
            <v>11.3</v>
          </cell>
          <cell r="H124">
            <v>10.35</v>
          </cell>
          <cell r="I124">
            <v>0</v>
          </cell>
          <cell r="J124">
            <v>90.79</v>
          </cell>
          <cell r="K124">
            <v>4.8499999999999996</v>
          </cell>
          <cell r="L124">
            <v>4.3899999999999997</v>
          </cell>
          <cell r="M124">
            <v>2.64</v>
          </cell>
          <cell r="N124">
            <v>0.47</v>
          </cell>
          <cell r="O124">
            <v>7.2</v>
          </cell>
          <cell r="P124">
            <v>0.38</v>
          </cell>
          <cell r="Q124">
            <v>1.01</v>
          </cell>
          <cell r="R124">
            <v>5.95</v>
          </cell>
        </row>
        <row r="125">
          <cell r="E125">
            <v>6.5</v>
          </cell>
          <cell r="F125">
            <v>30</v>
          </cell>
          <cell r="G125">
            <v>11.42</v>
          </cell>
          <cell r="H125">
            <v>10.63</v>
          </cell>
          <cell r="I125">
            <v>0</v>
          </cell>
          <cell r="J125">
            <v>93.5</v>
          </cell>
          <cell r="K125">
            <v>4.92</v>
          </cell>
          <cell r="L125">
            <v>4.46</v>
          </cell>
          <cell r="M125">
            <v>2.64</v>
          </cell>
          <cell r="N125">
            <v>0.47</v>
          </cell>
          <cell r="O125">
            <v>7.36</v>
          </cell>
          <cell r="P125">
            <v>0.38</v>
          </cell>
          <cell r="Q125">
            <v>1.01</v>
          </cell>
          <cell r="R125">
            <v>6.05</v>
          </cell>
        </row>
        <row r="126">
          <cell r="E126">
            <v>6.6</v>
          </cell>
          <cell r="F126">
            <v>30.4</v>
          </cell>
          <cell r="G126">
            <v>11.54</v>
          </cell>
          <cell r="H126">
            <v>10.9</v>
          </cell>
          <cell r="I126">
            <v>0</v>
          </cell>
          <cell r="J126">
            <v>96.23</v>
          </cell>
          <cell r="K126">
            <v>4.99</v>
          </cell>
          <cell r="L126">
            <v>4.53</v>
          </cell>
          <cell r="M126">
            <v>2.64</v>
          </cell>
          <cell r="N126">
            <v>0.47</v>
          </cell>
          <cell r="O126">
            <v>7.52</v>
          </cell>
          <cell r="P126">
            <v>0.38</v>
          </cell>
          <cell r="Q126">
            <v>1.01</v>
          </cell>
          <cell r="R126">
            <v>6.15</v>
          </cell>
        </row>
        <row r="127">
          <cell r="E127">
            <v>6.7</v>
          </cell>
          <cell r="F127">
            <v>30.8</v>
          </cell>
          <cell r="G127">
            <v>11.66</v>
          </cell>
          <cell r="H127">
            <v>11.18</v>
          </cell>
          <cell r="I127">
            <v>0</v>
          </cell>
          <cell r="J127">
            <v>99.01</v>
          </cell>
          <cell r="K127">
            <v>5.0599999999999996</v>
          </cell>
          <cell r="L127">
            <v>4.5999999999999996</v>
          </cell>
          <cell r="M127">
            <v>2.64</v>
          </cell>
          <cell r="N127">
            <v>0.47</v>
          </cell>
          <cell r="O127">
            <v>7.68</v>
          </cell>
          <cell r="P127">
            <v>0.38</v>
          </cell>
          <cell r="Q127">
            <v>1.01</v>
          </cell>
          <cell r="R127">
            <v>6.25</v>
          </cell>
        </row>
        <row r="128">
          <cell r="E128">
            <v>6.8</v>
          </cell>
          <cell r="F128">
            <v>31.2</v>
          </cell>
          <cell r="G128">
            <v>11.78</v>
          </cell>
          <cell r="H128">
            <v>11.46</v>
          </cell>
          <cell r="I128">
            <v>0</v>
          </cell>
          <cell r="J128">
            <v>101.86</v>
          </cell>
          <cell r="K128">
            <v>5.12</v>
          </cell>
          <cell r="L128">
            <v>4.66</v>
          </cell>
          <cell r="M128">
            <v>2.64</v>
          </cell>
          <cell r="N128">
            <v>0.47</v>
          </cell>
          <cell r="O128">
            <v>7.83</v>
          </cell>
          <cell r="P128">
            <v>0.38</v>
          </cell>
          <cell r="Q128">
            <v>1.01</v>
          </cell>
          <cell r="R128">
            <v>6.35</v>
          </cell>
        </row>
        <row r="129">
          <cell r="E129">
            <v>6.9</v>
          </cell>
          <cell r="F129">
            <v>31.6</v>
          </cell>
          <cell r="G129">
            <v>11.9</v>
          </cell>
          <cell r="H129">
            <v>11.75</v>
          </cell>
          <cell r="I129">
            <v>0</v>
          </cell>
          <cell r="J129">
            <v>104.72</v>
          </cell>
          <cell r="K129">
            <v>5.19</v>
          </cell>
          <cell r="L129">
            <v>4.7300000000000004</v>
          </cell>
          <cell r="M129">
            <v>2.64</v>
          </cell>
          <cell r="N129">
            <v>0.47</v>
          </cell>
          <cell r="O129">
            <v>7.99</v>
          </cell>
          <cell r="P129">
            <v>0.38</v>
          </cell>
          <cell r="Q129">
            <v>1.01</v>
          </cell>
          <cell r="R129">
            <v>6.45</v>
          </cell>
        </row>
        <row r="130">
          <cell r="E130">
            <v>7</v>
          </cell>
          <cell r="F130">
            <v>32</v>
          </cell>
          <cell r="G130">
            <v>12.02</v>
          </cell>
          <cell r="H130">
            <v>12.03</v>
          </cell>
          <cell r="I130">
            <v>0</v>
          </cell>
          <cell r="J130">
            <v>107.62</v>
          </cell>
          <cell r="K130">
            <v>5.26</v>
          </cell>
          <cell r="L130">
            <v>4.8</v>
          </cell>
          <cell r="M130">
            <v>2.64</v>
          </cell>
          <cell r="N130">
            <v>0.47</v>
          </cell>
          <cell r="O130">
            <v>8.15</v>
          </cell>
          <cell r="P130">
            <v>0.38</v>
          </cell>
          <cell r="Q130">
            <v>1.01</v>
          </cell>
          <cell r="R130">
            <v>6.55</v>
          </cell>
        </row>
        <row r="131">
          <cell r="E131">
            <v>7.1</v>
          </cell>
          <cell r="F131">
            <v>32.4</v>
          </cell>
          <cell r="G131">
            <v>12.14</v>
          </cell>
          <cell r="H131">
            <v>12.32</v>
          </cell>
          <cell r="I131">
            <v>0</v>
          </cell>
          <cell r="J131">
            <v>110.58</v>
          </cell>
          <cell r="K131">
            <v>5.32</v>
          </cell>
          <cell r="L131">
            <v>4.8600000000000003</v>
          </cell>
          <cell r="M131">
            <v>2.64</v>
          </cell>
          <cell r="N131">
            <v>0.47</v>
          </cell>
          <cell r="O131">
            <v>8.31</v>
          </cell>
          <cell r="P131">
            <v>0.38</v>
          </cell>
          <cell r="Q131">
            <v>1.01</v>
          </cell>
          <cell r="R131">
            <v>6.65</v>
          </cell>
        </row>
        <row r="132">
          <cell r="E132">
            <v>7.2</v>
          </cell>
          <cell r="F132">
            <v>32.799999999999997</v>
          </cell>
          <cell r="G132">
            <v>12.26</v>
          </cell>
          <cell r="H132">
            <v>12.61</v>
          </cell>
          <cell r="I132">
            <v>0</v>
          </cell>
          <cell r="J132">
            <v>113.57</v>
          </cell>
          <cell r="K132">
            <v>5.39</v>
          </cell>
          <cell r="L132">
            <v>4.93</v>
          </cell>
          <cell r="M132">
            <v>2.64</v>
          </cell>
          <cell r="N132">
            <v>0.47</v>
          </cell>
          <cell r="O132">
            <v>8.4600000000000009</v>
          </cell>
          <cell r="P132">
            <v>0.38</v>
          </cell>
          <cell r="Q132">
            <v>1.01</v>
          </cell>
          <cell r="R132">
            <v>6.75</v>
          </cell>
        </row>
        <row r="133">
          <cell r="E133">
            <v>7.3</v>
          </cell>
          <cell r="F133">
            <v>33.200000000000003</v>
          </cell>
          <cell r="G133">
            <v>12.38</v>
          </cell>
          <cell r="H133">
            <v>12.91</v>
          </cell>
          <cell r="I133">
            <v>0</v>
          </cell>
          <cell r="J133">
            <v>116.59</v>
          </cell>
          <cell r="K133">
            <v>5.46</v>
          </cell>
          <cell r="L133">
            <v>5</v>
          </cell>
          <cell r="M133">
            <v>2.64</v>
          </cell>
          <cell r="N133">
            <v>0.47</v>
          </cell>
          <cell r="O133">
            <v>8.6199999999999992</v>
          </cell>
          <cell r="P133">
            <v>0.38</v>
          </cell>
          <cell r="Q133">
            <v>1.01</v>
          </cell>
          <cell r="R133">
            <v>6.85</v>
          </cell>
        </row>
        <row r="134">
          <cell r="E134">
            <v>7.4</v>
          </cell>
          <cell r="F134">
            <v>33.6</v>
          </cell>
          <cell r="G134">
            <v>12.5</v>
          </cell>
          <cell r="H134">
            <v>13.2</v>
          </cell>
          <cell r="I134">
            <v>0</v>
          </cell>
          <cell r="J134">
            <v>119.65</v>
          </cell>
          <cell r="K134">
            <v>5.53</v>
          </cell>
          <cell r="L134">
            <v>5.07</v>
          </cell>
          <cell r="M134">
            <v>2.64</v>
          </cell>
          <cell r="N134">
            <v>0.47</v>
          </cell>
          <cell r="O134">
            <v>8.7799999999999994</v>
          </cell>
          <cell r="P134">
            <v>0.38</v>
          </cell>
          <cell r="Q134">
            <v>1.01</v>
          </cell>
          <cell r="R134">
            <v>6.95</v>
          </cell>
        </row>
        <row r="135">
          <cell r="E135">
            <v>7.5</v>
          </cell>
          <cell r="F135">
            <v>34</v>
          </cell>
          <cell r="G135">
            <v>12.62</v>
          </cell>
          <cell r="H135">
            <v>13.54</v>
          </cell>
          <cell r="I135">
            <v>34.97</v>
          </cell>
          <cell r="J135">
            <v>82.87</v>
          </cell>
          <cell r="K135">
            <v>5.59</v>
          </cell>
          <cell r="L135">
            <v>5.13</v>
          </cell>
          <cell r="M135">
            <v>2.64</v>
          </cell>
          <cell r="N135">
            <v>0.47</v>
          </cell>
          <cell r="O135">
            <v>13.87</v>
          </cell>
          <cell r="P135">
            <v>0.38</v>
          </cell>
          <cell r="Q135">
            <v>1.01</v>
          </cell>
          <cell r="R135">
            <v>7.05</v>
          </cell>
        </row>
        <row r="136">
          <cell r="E136">
            <v>7.6</v>
          </cell>
          <cell r="F136">
            <v>34.4</v>
          </cell>
          <cell r="G136">
            <v>12.74</v>
          </cell>
          <cell r="H136">
            <v>13.8</v>
          </cell>
          <cell r="I136">
            <v>35.840000000000003</v>
          </cell>
          <cell r="J136">
            <v>85.07</v>
          </cell>
          <cell r="K136">
            <v>5.66</v>
          </cell>
          <cell r="L136">
            <v>5.2</v>
          </cell>
          <cell r="M136">
            <v>2.64</v>
          </cell>
          <cell r="N136">
            <v>0.47</v>
          </cell>
          <cell r="O136">
            <v>14.1</v>
          </cell>
          <cell r="P136">
            <v>0.38</v>
          </cell>
          <cell r="Q136">
            <v>1.01</v>
          </cell>
          <cell r="R136">
            <v>7.15</v>
          </cell>
        </row>
        <row r="137">
          <cell r="E137">
            <v>7.7</v>
          </cell>
          <cell r="F137">
            <v>34.799999999999997</v>
          </cell>
          <cell r="G137">
            <v>12.86</v>
          </cell>
          <cell r="H137">
            <v>14.11</v>
          </cell>
          <cell r="I137">
            <v>36.729999999999997</v>
          </cell>
          <cell r="J137">
            <v>87.28</v>
          </cell>
          <cell r="K137">
            <v>5.73</v>
          </cell>
          <cell r="L137">
            <v>5.27</v>
          </cell>
          <cell r="M137">
            <v>2.64</v>
          </cell>
          <cell r="N137">
            <v>0.47</v>
          </cell>
          <cell r="O137">
            <v>14.34</v>
          </cell>
          <cell r="P137">
            <v>0.38</v>
          </cell>
          <cell r="Q137">
            <v>1.01</v>
          </cell>
          <cell r="R137">
            <v>7.25</v>
          </cell>
        </row>
        <row r="138">
          <cell r="E138">
            <v>7.8</v>
          </cell>
          <cell r="F138">
            <v>35.200000000000003</v>
          </cell>
          <cell r="G138">
            <v>12.98</v>
          </cell>
          <cell r="H138">
            <v>14.41</v>
          </cell>
          <cell r="I138">
            <v>37.619999999999997</v>
          </cell>
          <cell r="J138">
            <v>89.56</v>
          </cell>
          <cell r="K138">
            <v>5.79</v>
          </cell>
          <cell r="L138">
            <v>5.33</v>
          </cell>
          <cell r="M138">
            <v>2.64</v>
          </cell>
          <cell r="N138">
            <v>0.47</v>
          </cell>
          <cell r="O138">
            <v>14.57</v>
          </cell>
          <cell r="P138">
            <v>0.38</v>
          </cell>
          <cell r="Q138">
            <v>1.01</v>
          </cell>
          <cell r="R138">
            <v>7.35</v>
          </cell>
        </row>
        <row r="139">
          <cell r="E139">
            <v>7.9</v>
          </cell>
          <cell r="F139">
            <v>35.6</v>
          </cell>
          <cell r="G139">
            <v>13.1</v>
          </cell>
          <cell r="H139">
            <v>14.72</v>
          </cell>
          <cell r="I139">
            <v>38.53</v>
          </cell>
          <cell r="J139">
            <v>91.83</v>
          </cell>
          <cell r="K139">
            <v>5.86</v>
          </cell>
          <cell r="L139">
            <v>5.4</v>
          </cell>
          <cell r="M139">
            <v>2.64</v>
          </cell>
          <cell r="N139">
            <v>0.47</v>
          </cell>
          <cell r="O139">
            <v>14.81</v>
          </cell>
          <cell r="P139">
            <v>0.38</v>
          </cell>
          <cell r="Q139">
            <v>1.01</v>
          </cell>
          <cell r="R139">
            <v>7.45</v>
          </cell>
        </row>
        <row r="140">
          <cell r="E140">
            <v>8</v>
          </cell>
          <cell r="F140">
            <v>36</v>
          </cell>
          <cell r="G140">
            <v>13.22</v>
          </cell>
          <cell r="H140">
            <v>15.03</v>
          </cell>
          <cell r="I140">
            <v>39.44</v>
          </cell>
          <cell r="J140">
            <v>94.15</v>
          </cell>
          <cell r="K140">
            <v>5.93</v>
          </cell>
          <cell r="L140">
            <v>5.47</v>
          </cell>
          <cell r="M140">
            <v>2.64</v>
          </cell>
          <cell r="N140">
            <v>0.47</v>
          </cell>
          <cell r="O140">
            <v>15.04</v>
          </cell>
          <cell r="P140">
            <v>0.38</v>
          </cell>
          <cell r="Q140">
            <v>1.01</v>
          </cell>
          <cell r="R140">
            <v>7.55</v>
          </cell>
        </row>
        <row r="141">
          <cell r="E141">
            <v>8.1</v>
          </cell>
          <cell r="F141">
            <v>36.4</v>
          </cell>
          <cell r="G141">
            <v>13.34</v>
          </cell>
          <cell r="H141">
            <v>15.35</v>
          </cell>
          <cell r="I141">
            <v>40.369999999999997</v>
          </cell>
          <cell r="J141">
            <v>96.48</v>
          </cell>
          <cell r="K141">
            <v>6</v>
          </cell>
          <cell r="L141">
            <v>5.54</v>
          </cell>
          <cell r="M141">
            <v>2.64</v>
          </cell>
          <cell r="N141">
            <v>0.47</v>
          </cell>
          <cell r="O141">
            <v>15.28</v>
          </cell>
          <cell r="P141">
            <v>0.38</v>
          </cell>
          <cell r="Q141">
            <v>1.01</v>
          </cell>
          <cell r="R141">
            <v>7.65</v>
          </cell>
        </row>
        <row r="142">
          <cell r="E142">
            <v>8.1999999999999993</v>
          </cell>
          <cell r="F142">
            <v>36.799999999999997</v>
          </cell>
          <cell r="G142">
            <v>13.46</v>
          </cell>
          <cell r="H142">
            <v>15.66</v>
          </cell>
          <cell r="I142">
            <v>41.3</v>
          </cell>
          <cell r="J142">
            <v>98.88</v>
          </cell>
          <cell r="K142">
            <v>6.06</v>
          </cell>
          <cell r="L142">
            <v>5.6</v>
          </cell>
          <cell r="M142">
            <v>2.64</v>
          </cell>
          <cell r="N142">
            <v>0.47</v>
          </cell>
          <cell r="O142">
            <v>15.51</v>
          </cell>
          <cell r="P142">
            <v>0.38</v>
          </cell>
          <cell r="Q142">
            <v>1.01</v>
          </cell>
          <cell r="R142">
            <v>7.75</v>
          </cell>
        </row>
        <row r="143">
          <cell r="E143">
            <v>8.3000000000000007</v>
          </cell>
          <cell r="F143">
            <v>37.200000000000003</v>
          </cell>
          <cell r="G143">
            <v>13.58</v>
          </cell>
          <cell r="H143">
            <v>15.98</v>
          </cell>
          <cell r="I143">
            <v>42.25</v>
          </cell>
          <cell r="J143">
            <v>101.27</v>
          </cell>
          <cell r="K143">
            <v>6.13</v>
          </cell>
          <cell r="L143">
            <v>5.67</v>
          </cell>
          <cell r="M143">
            <v>2.64</v>
          </cell>
          <cell r="N143">
            <v>0.47</v>
          </cell>
          <cell r="O143">
            <v>15.75</v>
          </cell>
          <cell r="P143">
            <v>0.38</v>
          </cell>
          <cell r="Q143">
            <v>1.01</v>
          </cell>
          <cell r="R143">
            <v>7.85</v>
          </cell>
        </row>
        <row r="144">
          <cell r="E144">
            <v>8.4</v>
          </cell>
          <cell r="F144">
            <v>37.6</v>
          </cell>
          <cell r="G144">
            <v>13.7</v>
          </cell>
          <cell r="H144">
            <v>16.3</v>
          </cell>
          <cell r="I144">
            <v>43.2</v>
          </cell>
          <cell r="J144">
            <v>103.71</v>
          </cell>
          <cell r="K144">
            <v>6.2</v>
          </cell>
          <cell r="L144">
            <v>5.74</v>
          </cell>
          <cell r="M144">
            <v>2.64</v>
          </cell>
          <cell r="N144">
            <v>0.47</v>
          </cell>
          <cell r="O144">
            <v>15.98</v>
          </cell>
          <cell r="P144">
            <v>0.38</v>
          </cell>
          <cell r="Q144">
            <v>1.01</v>
          </cell>
          <cell r="R144">
            <v>7.95</v>
          </cell>
        </row>
        <row r="145">
          <cell r="E145">
            <v>8.5</v>
          </cell>
          <cell r="F145">
            <v>38</v>
          </cell>
          <cell r="G145">
            <v>13.82</v>
          </cell>
          <cell r="H145">
            <v>16.63</v>
          </cell>
          <cell r="I145">
            <v>44.17</v>
          </cell>
          <cell r="J145">
            <v>106.18</v>
          </cell>
          <cell r="K145">
            <v>6.26</v>
          </cell>
          <cell r="L145">
            <v>5.8</v>
          </cell>
          <cell r="M145">
            <v>2.64</v>
          </cell>
          <cell r="N145">
            <v>0.47</v>
          </cell>
          <cell r="O145">
            <v>16.22</v>
          </cell>
          <cell r="P145">
            <v>0.38</v>
          </cell>
          <cell r="Q145">
            <v>1.01</v>
          </cell>
          <cell r="R145">
            <v>8.0500000000000007</v>
          </cell>
        </row>
        <row r="146">
          <cell r="E146">
            <v>8.6</v>
          </cell>
          <cell r="F146">
            <v>38.4</v>
          </cell>
          <cell r="G146">
            <v>13.94</v>
          </cell>
          <cell r="H146">
            <v>16.95</v>
          </cell>
          <cell r="I146">
            <v>45.15</v>
          </cell>
          <cell r="J146">
            <v>108.67</v>
          </cell>
          <cell r="K146">
            <v>6.33</v>
          </cell>
          <cell r="L146">
            <v>5.84</v>
          </cell>
          <cell r="M146">
            <v>2.64</v>
          </cell>
          <cell r="N146">
            <v>0.47</v>
          </cell>
          <cell r="O146">
            <v>16.45</v>
          </cell>
          <cell r="P146">
            <v>0.38</v>
          </cell>
          <cell r="Q146">
            <v>1.01</v>
          </cell>
          <cell r="R146">
            <v>8.15</v>
          </cell>
        </row>
        <row r="147">
          <cell r="E147">
            <v>8.6999999999999993</v>
          </cell>
          <cell r="F147">
            <v>38.799999999999997</v>
          </cell>
          <cell r="G147">
            <v>14.06</v>
          </cell>
          <cell r="H147">
            <v>17.25</v>
          </cell>
          <cell r="I147">
            <v>46.13</v>
          </cell>
          <cell r="J147">
            <v>111.19</v>
          </cell>
          <cell r="K147">
            <v>6.4</v>
          </cell>
          <cell r="L147">
            <v>5.94</v>
          </cell>
          <cell r="M147">
            <v>2.64</v>
          </cell>
          <cell r="N147">
            <v>0.47</v>
          </cell>
          <cell r="O147">
            <v>16.690000000000001</v>
          </cell>
          <cell r="P147">
            <v>0.38</v>
          </cell>
          <cell r="Q147">
            <v>1.01</v>
          </cell>
          <cell r="R147">
            <v>8.25</v>
          </cell>
        </row>
        <row r="148">
          <cell r="E148">
            <v>8.8000000000000007</v>
          </cell>
          <cell r="F148">
            <v>39.200000000000003</v>
          </cell>
          <cell r="G148">
            <v>14.18</v>
          </cell>
          <cell r="H148">
            <v>17.61</v>
          </cell>
          <cell r="I148">
            <v>47.12</v>
          </cell>
          <cell r="J148">
            <v>113.69</v>
          </cell>
          <cell r="K148">
            <v>6.46</v>
          </cell>
          <cell r="L148">
            <v>6</v>
          </cell>
          <cell r="M148">
            <v>2.64</v>
          </cell>
          <cell r="N148">
            <v>0.47</v>
          </cell>
          <cell r="O148">
            <v>16.920000000000002</v>
          </cell>
          <cell r="P148">
            <v>0.38</v>
          </cell>
          <cell r="Q148">
            <v>1.01</v>
          </cell>
          <cell r="R148">
            <v>8.35</v>
          </cell>
        </row>
        <row r="149">
          <cell r="E149">
            <v>8.9</v>
          </cell>
          <cell r="F149">
            <v>39.6</v>
          </cell>
          <cell r="G149">
            <v>14.3</v>
          </cell>
          <cell r="H149">
            <v>17.95</v>
          </cell>
          <cell r="I149">
            <v>48.13</v>
          </cell>
          <cell r="J149">
            <v>116.34</v>
          </cell>
          <cell r="K149">
            <v>6.53</v>
          </cell>
          <cell r="L149">
            <v>6.07</v>
          </cell>
          <cell r="M149">
            <v>2.64</v>
          </cell>
          <cell r="N149">
            <v>0.47</v>
          </cell>
          <cell r="O149">
            <v>17.16</v>
          </cell>
          <cell r="P149">
            <v>0.38</v>
          </cell>
          <cell r="Q149">
            <v>1.01</v>
          </cell>
          <cell r="R149">
            <v>8.4499999999999993</v>
          </cell>
        </row>
        <row r="150">
          <cell r="E150">
            <v>9</v>
          </cell>
          <cell r="F150">
            <v>40</v>
          </cell>
          <cell r="G150">
            <v>14.42</v>
          </cell>
          <cell r="H150">
            <v>18.28</v>
          </cell>
          <cell r="I150">
            <v>49.14</v>
          </cell>
          <cell r="J150">
            <v>18.96</v>
          </cell>
          <cell r="K150">
            <v>6.6</v>
          </cell>
          <cell r="L150">
            <v>6.14</v>
          </cell>
          <cell r="M150">
            <v>2.64</v>
          </cell>
          <cell r="N150">
            <v>0.47</v>
          </cell>
          <cell r="O150">
            <v>17.39</v>
          </cell>
          <cell r="P150">
            <v>0.38</v>
          </cell>
          <cell r="Q150">
            <v>1.01</v>
          </cell>
          <cell r="R150">
            <v>8.5500000000000007</v>
          </cell>
        </row>
        <row r="151">
          <cell r="E151">
            <v>9.1</v>
          </cell>
          <cell r="F151">
            <v>40.4</v>
          </cell>
          <cell r="G151">
            <v>14.54</v>
          </cell>
          <cell r="H151">
            <v>18.64</v>
          </cell>
          <cell r="I151">
            <v>50.17</v>
          </cell>
          <cell r="J151">
            <v>121.59</v>
          </cell>
          <cell r="K151">
            <v>6.67</v>
          </cell>
          <cell r="L151">
            <v>6.21</v>
          </cell>
          <cell r="M151">
            <v>2.64</v>
          </cell>
          <cell r="N151">
            <v>0.47</v>
          </cell>
          <cell r="O151">
            <v>17.63</v>
          </cell>
          <cell r="P151">
            <v>0.38</v>
          </cell>
          <cell r="Q151">
            <v>1.01</v>
          </cell>
          <cell r="R151">
            <v>8.65</v>
          </cell>
        </row>
        <row r="152">
          <cell r="E152">
            <v>9.1999999999999993</v>
          </cell>
          <cell r="F152">
            <v>40.799999999999997</v>
          </cell>
          <cell r="G152">
            <v>14.66</v>
          </cell>
          <cell r="H152">
            <v>18.96</v>
          </cell>
          <cell r="I152">
            <v>51.2</v>
          </cell>
          <cell r="J152">
            <v>124.29</v>
          </cell>
          <cell r="K152">
            <v>6.73</v>
          </cell>
          <cell r="L152">
            <v>6.27</v>
          </cell>
          <cell r="M152">
            <v>2.64</v>
          </cell>
          <cell r="N152">
            <v>0.47</v>
          </cell>
          <cell r="O152">
            <v>17.86</v>
          </cell>
          <cell r="P152">
            <v>0.38</v>
          </cell>
          <cell r="Q152">
            <v>1.01</v>
          </cell>
          <cell r="R152">
            <v>8.7499999999999893</v>
          </cell>
        </row>
        <row r="153">
          <cell r="E153">
            <v>9.3000000000000007</v>
          </cell>
          <cell r="F153">
            <v>41.2</v>
          </cell>
          <cell r="G153">
            <v>14.78</v>
          </cell>
          <cell r="H153">
            <v>19.309999999999999</v>
          </cell>
          <cell r="I153">
            <v>52.25</v>
          </cell>
          <cell r="J153">
            <v>126.98</v>
          </cell>
          <cell r="K153">
            <v>6.8</v>
          </cell>
          <cell r="L153">
            <v>6.34</v>
          </cell>
          <cell r="M153">
            <v>2.64</v>
          </cell>
          <cell r="N153">
            <v>0.47</v>
          </cell>
          <cell r="O153">
            <v>18.100000000000001</v>
          </cell>
          <cell r="P153">
            <v>0.38</v>
          </cell>
          <cell r="Q153">
            <v>1.01</v>
          </cell>
          <cell r="R153">
            <v>8.8499999999999908</v>
          </cell>
        </row>
        <row r="154">
          <cell r="E154">
            <v>9.4</v>
          </cell>
          <cell r="F154">
            <v>41.6</v>
          </cell>
          <cell r="G154">
            <v>14.9</v>
          </cell>
          <cell r="H154">
            <v>19.649999999999999</v>
          </cell>
          <cell r="I154">
            <v>53.3</v>
          </cell>
          <cell r="J154">
            <v>129.72</v>
          </cell>
          <cell r="K154">
            <v>6.87</v>
          </cell>
          <cell r="L154">
            <v>6.41</v>
          </cell>
          <cell r="M154">
            <v>2.64</v>
          </cell>
          <cell r="N154">
            <v>0.47</v>
          </cell>
          <cell r="O154">
            <v>18.329999999999998</v>
          </cell>
          <cell r="P154">
            <v>0.38</v>
          </cell>
          <cell r="Q154">
            <v>1.01</v>
          </cell>
          <cell r="R154">
            <v>8.9499999999999904</v>
          </cell>
        </row>
        <row r="155">
          <cell r="E155">
            <v>9.5</v>
          </cell>
          <cell r="F155">
            <v>42</v>
          </cell>
          <cell r="G155">
            <v>15.02</v>
          </cell>
          <cell r="H155">
            <v>20.2</v>
          </cell>
          <cell r="I155">
            <v>54.37</v>
          </cell>
          <cell r="J155">
            <v>132.49</v>
          </cell>
          <cell r="K155">
            <v>6.93</v>
          </cell>
          <cell r="L155">
            <v>6.47</v>
          </cell>
          <cell r="M155">
            <v>2.64</v>
          </cell>
          <cell r="N155">
            <v>0.47</v>
          </cell>
          <cell r="O155">
            <v>18.57</v>
          </cell>
          <cell r="P155">
            <v>0.38</v>
          </cell>
          <cell r="Q155">
            <v>1.01</v>
          </cell>
          <cell r="R155">
            <v>9.0499999999999901</v>
          </cell>
        </row>
        <row r="156">
          <cell r="E156">
            <v>9.6</v>
          </cell>
          <cell r="F156">
            <v>42.4</v>
          </cell>
          <cell r="G156">
            <v>15.14</v>
          </cell>
          <cell r="H156">
            <v>20.350000000000001</v>
          </cell>
          <cell r="I156">
            <v>55.44</v>
          </cell>
          <cell r="J156">
            <v>135.29</v>
          </cell>
          <cell r="K156">
            <v>7</v>
          </cell>
          <cell r="L156">
            <v>6.54</v>
          </cell>
          <cell r="M156">
            <v>2.64</v>
          </cell>
          <cell r="N156">
            <v>0.47</v>
          </cell>
          <cell r="O156">
            <v>18.8</v>
          </cell>
          <cell r="P156">
            <v>0.38</v>
          </cell>
          <cell r="Q156">
            <v>1.01</v>
          </cell>
          <cell r="R156">
            <v>9.1499999999999897</v>
          </cell>
        </row>
        <row r="157">
          <cell r="E157">
            <v>9.6999999999999993</v>
          </cell>
          <cell r="F157">
            <v>42.8</v>
          </cell>
          <cell r="G157">
            <v>15.26</v>
          </cell>
          <cell r="H157">
            <v>20.71</v>
          </cell>
          <cell r="I157">
            <v>56.53</v>
          </cell>
          <cell r="J157">
            <v>138.1</v>
          </cell>
          <cell r="K157">
            <v>7.07</v>
          </cell>
          <cell r="L157">
            <v>6.61</v>
          </cell>
          <cell r="M157">
            <v>2.64</v>
          </cell>
          <cell r="N157">
            <v>0.47</v>
          </cell>
          <cell r="O157">
            <v>19.04</v>
          </cell>
          <cell r="P157">
            <v>0.38</v>
          </cell>
          <cell r="Q157">
            <v>1.01</v>
          </cell>
          <cell r="R157">
            <v>9.2499999999999893</v>
          </cell>
        </row>
        <row r="158">
          <cell r="E158">
            <v>9.8000000000000007</v>
          </cell>
          <cell r="F158">
            <v>43.2</v>
          </cell>
          <cell r="G158">
            <v>15.38</v>
          </cell>
          <cell r="H158">
            <v>21.06</v>
          </cell>
          <cell r="I158">
            <v>57.62</v>
          </cell>
          <cell r="J158">
            <v>140.96</v>
          </cell>
          <cell r="K158">
            <v>7.14</v>
          </cell>
          <cell r="L158">
            <v>6.68</v>
          </cell>
          <cell r="M158">
            <v>2.64</v>
          </cell>
          <cell r="N158">
            <v>0.47</v>
          </cell>
          <cell r="O158">
            <v>19.27</v>
          </cell>
          <cell r="P158">
            <v>0.38</v>
          </cell>
          <cell r="Q158">
            <v>1.01</v>
          </cell>
          <cell r="R158">
            <v>9.3499999999999908</v>
          </cell>
        </row>
        <row r="159">
          <cell r="E159">
            <v>9.9</v>
          </cell>
          <cell r="F159">
            <v>43.6</v>
          </cell>
          <cell r="G159">
            <v>15.5</v>
          </cell>
          <cell r="H159">
            <v>21.42</v>
          </cell>
          <cell r="I159">
            <v>58.73</v>
          </cell>
          <cell r="J159">
            <v>143.85</v>
          </cell>
          <cell r="K159">
            <v>7.2</v>
          </cell>
          <cell r="L159">
            <v>6.74</v>
          </cell>
          <cell r="M159">
            <v>2.64</v>
          </cell>
          <cell r="N159">
            <v>0.47</v>
          </cell>
          <cell r="O159">
            <v>19.510000000000002</v>
          </cell>
          <cell r="P159">
            <v>0.38</v>
          </cell>
          <cell r="Q159">
            <v>1.01</v>
          </cell>
          <cell r="R159">
            <v>9.4499999999999904</v>
          </cell>
        </row>
        <row r="160">
          <cell r="E160">
            <v>10</v>
          </cell>
          <cell r="F160">
            <v>44</v>
          </cell>
          <cell r="G160">
            <v>15.62</v>
          </cell>
          <cell r="H160">
            <v>21.78</v>
          </cell>
          <cell r="I160">
            <v>59.84</v>
          </cell>
          <cell r="J160">
            <v>146.77000000000001</v>
          </cell>
          <cell r="K160">
            <v>7.27</v>
          </cell>
          <cell r="L160">
            <v>6.81</v>
          </cell>
          <cell r="M160">
            <v>2.64</v>
          </cell>
          <cell r="N160">
            <v>0.47</v>
          </cell>
          <cell r="O160">
            <v>19.739999999999998</v>
          </cell>
          <cell r="P160">
            <v>0.38</v>
          </cell>
          <cell r="Q160">
            <v>1.01</v>
          </cell>
          <cell r="R160">
            <v>9.5499999999999901</v>
          </cell>
        </row>
        <row r="161">
          <cell r="E161">
            <v>10.1</v>
          </cell>
          <cell r="F161">
            <v>44.4</v>
          </cell>
          <cell r="G161">
            <v>15.74</v>
          </cell>
          <cell r="H161">
            <v>22.15</v>
          </cell>
          <cell r="I161">
            <v>60.97</v>
          </cell>
          <cell r="J161">
            <v>149.69999999999999</v>
          </cell>
          <cell r="K161">
            <v>7.34</v>
          </cell>
          <cell r="L161">
            <v>6.88</v>
          </cell>
          <cell r="M161">
            <v>2.64</v>
          </cell>
          <cell r="N161">
            <v>0.47</v>
          </cell>
          <cell r="O161">
            <v>19.98</v>
          </cell>
          <cell r="P161">
            <v>0.38</v>
          </cell>
          <cell r="Q161">
            <v>1.01</v>
          </cell>
          <cell r="R161">
            <v>9.6499999999999897</v>
          </cell>
        </row>
        <row r="162">
          <cell r="E162">
            <v>10.199999999999999</v>
          </cell>
          <cell r="F162">
            <v>44.8</v>
          </cell>
          <cell r="G162">
            <v>15.86</v>
          </cell>
          <cell r="H162">
            <v>22.51</v>
          </cell>
          <cell r="I162">
            <v>62.1</v>
          </cell>
          <cell r="J162">
            <v>152.69999999999999</v>
          </cell>
          <cell r="K162">
            <v>7.4</v>
          </cell>
          <cell r="L162">
            <v>6.94</v>
          </cell>
          <cell r="M162">
            <v>2.64</v>
          </cell>
          <cell r="N162">
            <v>0.47</v>
          </cell>
          <cell r="O162">
            <v>20.21</v>
          </cell>
          <cell r="P162">
            <v>0.38</v>
          </cell>
          <cell r="Q162">
            <v>1.01</v>
          </cell>
          <cell r="R162">
            <v>9.7499999999999893</v>
          </cell>
        </row>
        <row r="163">
          <cell r="E163">
            <v>10.3</v>
          </cell>
          <cell r="F163">
            <v>45.2</v>
          </cell>
          <cell r="G163">
            <v>15.98</v>
          </cell>
          <cell r="H163">
            <v>22.88</v>
          </cell>
          <cell r="I163">
            <v>63.25</v>
          </cell>
          <cell r="J163">
            <v>155.69</v>
          </cell>
          <cell r="K163">
            <v>7.47</v>
          </cell>
          <cell r="L163">
            <v>7.01</v>
          </cell>
          <cell r="M163">
            <v>2.64</v>
          </cell>
          <cell r="N163">
            <v>0.47</v>
          </cell>
          <cell r="O163">
            <v>20.45</v>
          </cell>
          <cell r="P163">
            <v>0.38</v>
          </cell>
          <cell r="Q163">
            <v>1.01</v>
          </cell>
          <cell r="R163">
            <v>9.8499999999999908</v>
          </cell>
        </row>
        <row r="164">
          <cell r="E164">
            <v>10.4</v>
          </cell>
          <cell r="F164">
            <v>45.6</v>
          </cell>
          <cell r="G164">
            <v>16.100000000000001</v>
          </cell>
          <cell r="H164">
            <v>23.25</v>
          </cell>
          <cell r="I164">
            <v>64.400000000000006</v>
          </cell>
          <cell r="J164">
            <v>158.72999999999999</v>
          </cell>
          <cell r="K164">
            <v>7.54</v>
          </cell>
          <cell r="L164">
            <v>7.08</v>
          </cell>
          <cell r="M164">
            <v>2.64</v>
          </cell>
          <cell r="N164">
            <v>0.47</v>
          </cell>
          <cell r="O164">
            <v>20.68</v>
          </cell>
          <cell r="P164">
            <v>0.38</v>
          </cell>
          <cell r="Q164">
            <v>1.01</v>
          </cell>
          <cell r="R164">
            <v>9.9499999999999904</v>
          </cell>
        </row>
        <row r="165">
          <cell r="E165">
            <v>10.5</v>
          </cell>
          <cell r="F165">
            <v>45.7</v>
          </cell>
          <cell r="G165">
            <v>16.13</v>
          </cell>
          <cell r="H165">
            <v>23.63</v>
          </cell>
          <cell r="I165">
            <v>65.67</v>
          </cell>
          <cell r="J165">
            <v>161.29</v>
          </cell>
          <cell r="K165">
            <v>7.6</v>
          </cell>
          <cell r="L165">
            <v>7.15</v>
          </cell>
          <cell r="M165">
            <v>3.75</v>
          </cell>
          <cell r="N165">
            <v>0.47</v>
          </cell>
          <cell r="O165">
            <v>20.11</v>
          </cell>
          <cell r="P165">
            <v>0.38</v>
          </cell>
          <cell r="Q165">
            <v>1.01</v>
          </cell>
          <cell r="R165">
            <v>9.9</v>
          </cell>
        </row>
        <row r="166">
          <cell r="E166">
            <v>10.6</v>
          </cell>
          <cell r="F166">
            <v>46.3</v>
          </cell>
          <cell r="G166">
            <v>16.309999999999999</v>
          </cell>
          <cell r="H166">
            <v>24</v>
          </cell>
          <cell r="I166">
            <v>66.739999999999995</v>
          </cell>
          <cell r="J166">
            <v>164.55</v>
          </cell>
          <cell r="K166">
            <v>7.72</v>
          </cell>
          <cell r="L166">
            <v>7.26</v>
          </cell>
          <cell r="M166">
            <v>3.75</v>
          </cell>
          <cell r="N166">
            <v>0.47</v>
          </cell>
          <cell r="O166">
            <v>20.34</v>
          </cell>
          <cell r="P166">
            <v>0.38</v>
          </cell>
          <cell r="Q166">
            <v>1.01</v>
          </cell>
          <cell r="R166">
            <v>10</v>
          </cell>
        </row>
        <row r="167">
          <cell r="E167">
            <v>10.7</v>
          </cell>
          <cell r="F167">
            <v>46.75</v>
          </cell>
          <cell r="G167">
            <v>16.45</v>
          </cell>
          <cell r="H167">
            <v>24.38</v>
          </cell>
          <cell r="I167">
            <v>67.930000000000007</v>
          </cell>
          <cell r="J167">
            <v>167.67</v>
          </cell>
          <cell r="K167">
            <v>7.8</v>
          </cell>
          <cell r="L167">
            <v>7.34</v>
          </cell>
          <cell r="M167">
            <v>3.75</v>
          </cell>
          <cell r="N167">
            <v>0.47</v>
          </cell>
          <cell r="O167">
            <v>20.58</v>
          </cell>
          <cell r="P167">
            <v>0.38</v>
          </cell>
          <cell r="Q167">
            <v>1.01</v>
          </cell>
          <cell r="R167">
            <v>10.1</v>
          </cell>
        </row>
        <row r="168">
          <cell r="E168">
            <v>10.8</v>
          </cell>
          <cell r="F168">
            <v>47.2</v>
          </cell>
          <cell r="G168">
            <v>16.579999999999998</v>
          </cell>
          <cell r="H168">
            <v>24.76</v>
          </cell>
          <cell r="I168">
            <v>69.12</v>
          </cell>
          <cell r="J168">
            <v>170.84</v>
          </cell>
          <cell r="K168">
            <v>7.88</v>
          </cell>
          <cell r="L168">
            <v>7.43</v>
          </cell>
          <cell r="M168">
            <v>3.75</v>
          </cell>
          <cell r="N168">
            <v>0.47</v>
          </cell>
          <cell r="O168">
            <v>20.81</v>
          </cell>
          <cell r="P168">
            <v>0.38</v>
          </cell>
          <cell r="Q168">
            <v>1.01</v>
          </cell>
          <cell r="R168">
            <v>10.199999999999999</v>
          </cell>
        </row>
        <row r="169">
          <cell r="E169">
            <v>10.9</v>
          </cell>
          <cell r="F169">
            <v>47.65</v>
          </cell>
          <cell r="G169">
            <v>16.72</v>
          </cell>
          <cell r="H169">
            <v>25.15</v>
          </cell>
          <cell r="I169">
            <v>70.33</v>
          </cell>
          <cell r="J169">
            <v>174.02</v>
          </cell>
          <cell r="K169">
            <v>7.97</v>
          </cell>
          <cell r="L169">
            <v>7.51</v>
          </cell>
          <cell r="M169">
            <v>3.75</v>
          </cell>
          <cell r="N169">
            <v>0.47</v>
          </cell>
          <cell r="O169">
            <v>21.05</v>
          </cell>
          <cell r="P169">
            <v>0.38</v>
          </cell>
          <cell r="Q169">
            <v>1.01</v>
          </cell>
          <cell r="R169">
            <v>10.3</v>
          </cell>
        </row>
        <row r="170">
          <cell r="E170">
            <v>11</v>
          </cell>
          <cell r="F170">
            <v>48.1</v>
          </cell>
          <cell r="G170">
            <v>16.850000000000001</v>
          </cell>
          <cell r="H170">
            <v>25.52</v>
          </cell>
          <cell r="I170">
            <v>71.540000000000006</v>
          </cell>
          <cell r="J170">
            <v>177.26</v>
          </cell>
          <cell r="K170">
            <v>8.0500000000000007</v>
          </cell>
          <cell r="L170">
            <v>7.59</v>
          </cell>
          <cell r="M170">
            <v>3.75</v>
          </cell>
          <cell r="N170">
            <v>0.47</v>
          </cell>
          <cell r="O170">
            <v>21.28</v>
          </cell>
          <cell r="P170">
            <v>0.38</v>
          </cell>
          <cell r="Q170">
            <v>1.01</v>
          </cell>
          <cell r="R170">
            <v>10.4</v>
          </cell>
        </row>
        <row r="171">
          <cell r="E171">
            <v>11.1</v>
          </cell>
          <cell r="F171">
            <v>48.55</v>
          </cell>
          <cell r="G171">
            <v>16.989999999999998</v>
          </cell>
          <cell r="H171">
            <v>25.92</v>
          </cell>
          <cell r="I171">
            <v>72.77</v>
          </cell>
          <cell r="J171">
            <v>180.5</v>
          </cell>
          <cell r="K171">
            <v>8.1300000000000008</v>
          </cell>
          <cell r="L171">
            <v>7.67</v>
          </cell>
          <cell r="M171">
            <v>3.75</v>
          </cell>
          <cell r="N171">
            <v>0.47</v>
          </cell>
          <cell r="O171">
            <v>21.52</v>
          </cell>
          <cell r="P171">
            <v>0.38</v>
          </cell>
          <cell r="Q171">
            <v>1.01</v>
          </cell>
          <cell r="R171">
            <v>10.5</v>
          </cell>
        </row>
        <row r="172">
          <cell r="E172">
            <v>11.2</v>
          </cell>
          <cell r="F172">
            <v>49</v>
          </cell>
          <cell r="G172">
            <v>17.12</v>
          </cell>
          <cell r="H172">
            <v>26.31</v>
          </cell>
          <cell r="I172">
            <v>74</v>
          </cell>
          <cell r="J172">
            <v>183.8</v>
          </cell>
          <cell r="K172">
            <v>8.2100000000000009</v>
          </cell>
          <cell r="L172">
            <v>7.75</v>
          </cell>
          <cell r="M172">
            <v>3.75</v>
          </cell>
          <cell r="N172">
            <v>0.47</v>
          </cell>
          <cell r="O172">
            <v>21.75</v>
          </cell>
          <cell r="P172">
            <v>0.38</v>
          </cell>
          <cell r="Q172">
            <v>1.01</v>
          </cell>
          <cell r="R172">
            <v>10.6</v>
          </cell>
        </row>
        <row r="173">
          <cell r="E173">
            <v>11.3</v>
          </cell>
          <cell r="F173">
            <v>49.45</v>
          </cell>
          <cell r="G173">
            <v>17.25</v>
          </cell>
          <cell r="H173">
            <v>26.71</v>
          </cell>
          <cell r="I173">
            <v>75.25</v>
          </cell>
          <cell r="J173">
            <v>187.11</v>
          </cell>
          <cell r="K173">
            <v>8.2899999999999991</v>
          </cell>
          <cell r="L173">
            <v>7.83</v>
          </cell>
          <cell r="M173">
            <v>3.75</v>
          </cell>
          <cell r="N173">
            <v>0.47</v>
          </cell>
          <cell r="O173">
            <v>21.79</v>
          </cell>
          <cell r="P173">
            <v>0.38</v>
          </cell>
          <cell r="Q173">
            <v>1.01</v>
          </cell>
          <cell r="R173">
            <v>10.7</v>
          </cell>
        </row>
        <row r="174">
          <cell r="E174">
            <v>11.4</v>
          </cell>
          <cell r="F174">
            <v>49.9</v>
          </cell>
          <cell r="G174">
            <v>17.39</v>
          </cell>
          <cell r="H174">
            <v>27.1</v>
          </cell>
          <cell r="I174">
            <v>76.5</v>
          </cell>
          <cell r="J174">
            <v>190.47</v>
          </cell>
          <cell r="K174">
            <v>8.3699999999999992</v>
          </cell>
          <cell r="L174">
            <v>7.91</v>
          </cell>
          <cell r="M174">
            <v>3.75</v>
          </cell>
          <cell r="N174">
            <v>0.47</v>
          </cell>
          <cell r="O174">
            <v>22.22</v>
          </cell>
          <cell r="P174">
            <v>0.38</v>
          </cell>
          <cell r="Q174">
            <v>1.01</v>
          </cell>
          <cell r="R174">
            <v>10.8</v>
          </cell>
        </row>
        <row r="175">
          <cell r="E175">
            <v>11.5</v>
          </cell>
          <cell r="F175">
            <v>50.35</v>
          </cell>
          <cell r="G175">
            <v>17.53</v>
          </cell>
          <cell r="H175">
            <v>27.5</v>
          </cell>
          <cell r="I175">
            <v>77.77</v>
          </cell>
          <cell r="J175">
            <v>193.83</v>
          </cell>
          <cell r="K175">
            <v>8.4499999999999993</v>
          </cell>
          <cell r="L175">
            <v>7.99</v>
          </cell>
          <cell r="M175">
            <v>3.75</v>
          </cell>
          <cell r="N175">
            <v>0.47</v>
          </cell>
          <cell r="O175">
            <v>22.46</v>
          </cell>
          <cell r="P175">
            <v>0.38</v>
          </cell>
          <cell r="Q175">
            <v>1.01</v>
          </cell>
          <cell r="R175">
            <v>10.9</v>
          </cell>
        </row>
        <row r="176">
          <cell r="E176">
            <v>11.6</v>
          </cell>
          <cell r="F176">
            <v>50.8</v>
          </cell>
          <cell r="G176">
            <v>17.66</v>
          </cell>
          <cell r="H176">
            <v>26.9</v>
          </cell>
          <cell r="I176">
            <v>79.040000000000006</v>
          </cell>
          <cell r="J176">
            <v>197.25</v>
          </cell>
          <cell r="K176">
            <v>8.5299999999999994</v>
          </cell>
          <cell r="L176">
            <v>8.07</v>
          </cell>
          <cell r="M176">
            <v>3.75</v>
          </cell>
          <cell r="N176">
            <v>0.47</v>
          </cell>
          <cell r="O176">
            <v>22.69</v>
          </cell>
          <cell r="P176">
            <v>0.38</v>
          </cell>
          <cell r="Q176">
            <v>1.01</v>
          </cell>
          <cell r="R176">
            <v>11</v>
          </cell>
        </row>
        <row r="177">
          <cell r="E177">
            <v>11.7</v>
          </cell>
          <cell r="F177">
            <v>51.25</v>
          </cell>
          <cell r="G177">
            <v>17.8</v>
          </cell>
          <cell r="H177">
            <v>28.31</v>
          </cell>
          <cell r="I177">
            <v>80.33</v>
          </cell>
          <cell r="J177">
            <v>200.68</v>
          </cell>
          <cell r="K177">
            <v>8.61</v>
          </cell>
          <cell r="L177">
            <v>8.15</v>
          </cell>
          <cell r="M177">
            <v>3.75</v>
          </cell>
          <cell r="N177">
            <v>0.47</v>
          </cell>
          <cell r="O177">
            <v>22.93</v>
          </cell>
          <cell r="P177">
            <v>0.38</v>
          </cell>
          <cell r="Q177">
            <v>1.01</v>
          </cell>
          <cell r="R177">
            <v>11.1</v>
          </cell>
        </row>
        <row r="178">
          <cell r="E178">
            <v>11.8</v>
          </cell>
          <cell r="F178">
            <v>51.7</v>
          </cell>
          <cell r="G178">
            <v>17.93</v>
          </cell>
          <cell r="H178">
            <v>28.71</v>
          </cell>
          <cell r="I178">
            <v>81.62</v>
          </cell>
          <cell r="J178">
            <v>204.19</v>
          </cell>
          <cell r="K178">
            <v>8.69</v>
          </cell>
          <cell r="L178">
            <v>8.23</v>
          </cell>
          <cell r="M178">
            <v>3.75</v>
          </cell>
          <cell r="N178">
            <v>0.47</v>
          </cell>
          <cell r="O178">
            <v>23.16</v>
          </cell>
          <cell r="P178">
            <v>0.38</v>
          </cell>
          <cell r="Q178">
            <v>1.01</v>
          </cell>
          <cell r="R178">
            <v>11.2</v>
          </cell>
        </row>
        <row r="179">
          <cell r="E179">
            <v>11.9</v>
          </cell>
          <cell r="F179">
            <v>52.15</v>
          </cell>
          <cell r="G179">
            <v>18.07</v>
          </cell>
          <cell r="H179">
            <v>29.12</v>
          </cell>
          <cell r="I179">
            <v>82.93</v>
          </cell>
          <cell r="J179">
            <v>207.73</v>
          </cell>
          <cell r="K179">
            <v>8.77</v>
          </cell>
          <cell r="L179">
            <v>7.31</v>
          </cell>
          <cell r="M179">
            <v>3.75</v>
          </cell>
          <cell r="N179">
            <v>0.47</v>
          </cell>
          <cell r="O179">
            <v>23.4</v>
          </cell>
          <cell r="P179">
            <v>0.38</v>
          </cell>
          <cell r="Q179">
            <v>1.01</v>
          </cell>
          <cell r="R179">
            <v>11.3</v>
          </cell>
        </row>
        <row r="180">
          <cell r="E180">
            <v>12</v>
          </cell>
          <cell r="F180">
            <v>52.6</v>
          </cell>
          <cell r="G180">
            <v>18.2</v>
          </cell>
          <cell r="H180">
            <v>29.53</v>
          </cell>
          <cell r="I180">
            <v>84.24</v>
          </cell>
          <cell r="J180">
            <v>211.22</v>
          </cell>
          <cell r="K180">
            <v>8.85</v>
          </cell>
          <cell r="L180">
            <v>8.39</v>
          </cell>
          <cell r="M180">
            <v>3.75</v>
          </cell>
          <cell r="N180">
            <v>0.47</v>
          </cell>
          <cell r="O180">
            <v>23.63</v>
          </cell>
          <cell r="P180">
            <v>0.38</v>
          </cell>
          <cell r="Q180">
            <v>1.01</v>
          </cell>
          <cell r="R180">
            <v>11.4</v>
          </cell>
        </row>
        <row r="181">
          <cell r="E181">
            <v>12.1</v>
          </cell>
          <cell r="F181">
            <v>53.05</v>
          </cell>
          <cell r="G181">
            <v>18.34</v>
          </cell>
          <cell r="H181">
            <v>29.95</v>
          </cell>
          <cell r="I181">
            <v>85.57</v>
          </cell>
          <cell r="J181">
            <v>214.9</v>
          </cell>
          <cell r="K181">
            <v>8.94</v>
          </cell>
          <cell r="L181">
            <v>8.48</v>
          </cell>
          <cell r="M181">
            <v>3.75</v>
          </cell>
          <cell r="N181">
            <v>0.47</v>
          </cell>
          <cell r="O181">
            <v>23.87</v>
          </cell>
          <cell r="P181">
            <v>0.38</v>
          </cell>
          <cell r="Q181">
            <v>1.01</v>
          </cell>
          <cell r="R181">
            <v>11.5</v>
          </cell>
        </row>
        <row r="182">
          <cell r="E182">
            <v>12.2</v>
          </cell>
          <cell r="F182">
            <v>53.5</v>
          </cell>
          <cell r="G182">
            <v>18.47</v>
          </cell>
          <cell r="H182">
            <v>30.36</v>
          </cell>
          <cell r="I182">
            <v>86.9</v>
          </cell>
          <cell r="J182">
            <v>218.56</v>
          </cell>
          <cell r="K182">
            <v>9.02</v>
          </cell>
          <cell r="L182">
            <v>8.56</v>
          </cell>
          <cell r="M182">
            <v>3.75</v>
          </cell>
          <cell r="N182">
            <v>0.47</v>
          </cell>
          <cell r="O182">
            <v>24.1</v>
          </cell>
          <cell r="P182">
            <v>0.38</v>
          </cell>
          <cell r="Q182">
            <v>1.01</v>
          </cell>
          <cell r="R182">
            <v>11.6</v>
          </cell>
        </row>
        <row r="183">
          <cell r="E183">
            <v>12.3</v>
          </cell>
          <cell r="F183">
            <v>53.95</v>
          </cell>
          <cell r="G183">
            <v>18.61</v>
          </cell>
          <cell r="H183">
            <v>30.78</v>
          </cell>
          <cell r="I183">
            <v>88.25</v>
          </cell>
          <cell r="J183">
            <v>222.23</v>
          </cell>
          <cell r="K183">
            <v>9.1</v>
          </cell>
          <cell r="L183">
            <v>8.64</v>
          </cell>
          <cell r="M183">
            <v>3.75</v>
          </cell>
          <cell r="N183">
            <v>0.47</v>
          </cell>
          <cell r="O183">
            <v>24.34</v>
          </cell>
          <cell r="P183">
            <v>0.38</v>
          </cell>
          <cell r="Q183">
            <v>1.01</v>
          </cell>
          <cell r="R183">
            <v>11.7</v>
          </cell>
        </row>
        <row r="184">
          <cell r="E184">
            <v>12.4</v>
          </cell>
          <cell r="F184">
            <v>54.4</v>
          </cell>
          <cell r="G184">
            <v>18.739999999999998</v>
          </cell>
          <cell r="H184">
            <v>31.2</v>
          </cell>
          <cell r="I184">
            <v>89.6</v>
          </cell>
          <cell r="J184">
            <v>225.96</v>
          </cell>
          <cell r="K184">
            <v>9.18</v>
          </cell>
          <cell r="L184">
            <v>8.7200000000000006</v>
          </cell>
          <cell r="M184">
            <v>3.75</v>
          </cell>
          <cell r="N184">
            <v>0.47</v>
          </cell>
          <cell r="O184">
            <v>24.57</v>
          </cell>
          <cell r="P184">
            <v>0.38</v>
          </cell>
          <cell r="Q184">
            <v>1.01</v>
          </cell>
          <cell r="R184">
            <v>11.8</v>
          </cell>
        </row>
        <row r="185">
          <cell r="E185">
            <v>12.5</v>
          </cell>
          <cell r="F185">
            <v>54.85</v>
          </cell>
          <cell r="G185">
            <v>18.88</v>
          </cell>
          <cell r="H185">
            <v>31.63</v>
          </cell>
          <cell r="I185">
            <v>90.97</v>
          </cell>
          <cell r="J185">
            <v>229.71</v>
          </cell>
          <cell r="K185">
            <v>9.26</v>
          </cell>
          <cell r="L185">
            <v>8.8000000000000007</v>
          </cell>
          <cell r="M185">
            <v>3.75</v>
          </cell>
          <cell r="N185">
            <v>0.47</v>
          </cell>
          <cell r="O185">
            <v>24.81</v>
          </cell>
          <cell r="P185">
            <v>0.38</v>
          </cell>
          <cell r="Q185">
            <v>1.01</v>
          </cell>
          <cell r="R185">
            <v>11.9</v>
          </cell>
        </row>
        <row r="186">
          <cell r="E186">
            <v>12.6</v>
          </cell>
          <cell r="F186">
            <v>55.3</v>
          </cell>
          <cell r="G186">
            <v>19.010000000000002</v>
          </cell>
          <cell r="H186">
            <v>32.049999999999997</v>
          </cell>
          <cell r="I186">
            <v>92.34</v>
          </cell>
          <cell r="J186">
            <v>233.5</v>
          </cell>
          <cell r="K186">
            <v>9.34</v>
          </cell>
          <cell r="L186">
            <v>8.8800000000000008</v>
          </cell>
          <cell r="M186">
            <v>3.75</v>
          </cell>
          <cell r="N186">
            <v>0.47</v>
          </cell>
          <cell r="O186">
            <v>25.04</v>
          </cell>
          <cell r="P186">
            <v>0.38</v>
          </cell>
          <cell r="Q186">
            <v>1.01</v>
          </cell>
          <cell r="R186">
            <v>12</v>
          </cell>
        </row>
        <row r="187">
          <cell r="E187">
            <v>12.7</v>
          </cell>
          <cell r="F187">
            <v>55.75</v>
          </cell>
          <cell r="G187">
            <v>19.149999999999999</v>
          </cell>
          <cell r="H187">
            <v>32.479999999999997</v>
          </cell>
          <cell r="I187">
            <v>93.73</v>
          </cell>
          <cell r="J187">
            <v>237.32</v>
          </cell>
          <cell r="K187">
            <v>9.42</v>
          </cell>
          <cell r="L187">
            <v>8.9600000000000009</v>
          </cell>
          <cell r="M187">
            <v>3.75</v>
          </cell>
          <cell r="N187">
            <v>0.47</v>
          </cell>
          <cell r="O187">
            <v>25.28</v>
          </cell>
          <cell r="P187">
            <v>0.38</v>
          </cell>
          <cell r="Q187">
            <v>1.01</v>
          </cell>
          <cell r="R187">
            <v>12.1</v>
          </cell>
        </row>
        <row r="188">
          <cell r="E188">
            <v>12.8</v>
          </cell>
          <cell r="F188">
            <v>56.2</v>
          </cell>
          <cell r="G188">
            <v>19.28</v>
          </cell>
          <cell r="H188">
            <v>32.909999999999997</v>
          </cell>
          <cell r="I188">
            <v>95.12</v>
          </cell>
          <cell r="J188">
            <v>241.18</v>
          </cell>
          <cell r="K188">
            <v>9.5</v>
          </cell>
          <cell r="L188">
            <v>9.0399999999999991</v>
          </cell>
          <cell r="M188">
            <v>3.75</v>
          </cell>
          <cell r="N188">
            <v>0.47</v>
          </cell>
          <cell r="O188">
            <v>25.51</v>
          </cell>
          <cell r="P188">
            <v>0.38</v>
          </cell>
          <cell r="Q188">
            <v>1.01</v>
          </cell>
          <cell r="R188">
            <v>12.2</v>
          </cell>
        </row>
        <row r="189">
          <cell r="E189">
            <v>12.9</v>
          </cell>
          <cell r="F189">
            <v>56.65</v>
          </cell>
          <cell r="G189">
            <v>19.420000000000002</v>
          </cell>
          <cell r="H189">
            <v>33.35</v>
          </cell>
          <cell r="I189">
            <v>96.53</v>
          </cell>
          <cell r="J189">
            <v>245.07</v>
          </cell>
          <cell r="K189">
            <v>9.58</v>
          </cell>
          <cell r="L189">
            <v>9.1199999999999992</v>
          </cell>
          <cell r="M189">
            <v>3.75</v>
          </cell>
          <cell r="N189">
            <v>0.47</v>
          </cell>
          <cell r="O189">
            <v>25.75</v>
          </cell>
          <cell r="P189">
            <v>0.38</v>
          </cell>
          <cell r="Q189">
            <v>1.01</v>
          </cell>
          <cell r="R189">
            <v>12.3</v>
          </cell>
        </row>
        <row r="190">
          <cell r="E190">
            <v>13</v>
          </cell>
          <cell r="F190">
            <v>57.1</v>
          </cell>
          <cell r="G190">
            <v>19.55</v>
          </cell>
          <cell r="H190">
            <v>33.78</v>
          </cell>
          <cell r="I190">
            <v>97.94</v>
          </cell>
          <cell r="J190">
            <v>249</v>
          </cell>
          <cell r="K190">
            <v>9.66</v>
          </cell>
          <cell r="L190">
            <v>9.1999999999999993</v>
          </cell>
          <cell r="M190">
            <v>3.75</v>
          </cell>
          <cell r="N190">
            <v>0.47</v>
          </cell>
          <cell r="O190">
            <v>25.98</v>
          </cell>
          <cell r="P190">
            <v>0.38</v>
          </cell>
          <cell r="Q190">
            <v>1.01</v>
          </cell>
          <cell r="R190">
            <v>12.4</v>
          </cell>
        </row>
        <row r="191">
          <cell r="E191">
            <v>13.1</v>
          </cell>
          <cell r="F191">
            <v>57.55</v>
          </cell>
          <cell r="G191">
            <v>19.690000000000001</v>
          </cell>
          <cell r="H191">
            <v>34.22</v>
          </cell>
          <cell r="I191">
            <v>99.37</v>
          </cell>
          <cell r="J191">
            <v>252.96</v>
          </cell>
          <cell r="K191">
            <v>9.74</v>
          </cell>
          <cell r="L191">
            <v>9.2799999999999994</v>
          </cell>
          <cell r="M191">
            <v>3.75</v>
          </cell>
          <cell r="N191">
            <v>0.47</v>
          </cell>
          <cell r="O191">
            <v>26.22</v>
          </cell>
          <cell r="P191">
            <v>0.38</v>
          </cell>
          <cell r="Q191">
            <v>1.01</v>
          </cell>
          <cell r="R191">
            <v>12.5</v>
          </cell>
        </row>
        <row r="192">
          <cell r="E192">
            <v>13.2</v>
          </cell>
          <cell r="F192">
            <v>58</v>
          </cell>
          <cell r="G192">
            <v>19.82</v>
          </cell>
          <cell r="H192">
            <v>34.659999999999997</v>
          </cell>
          <cell r="I192">
            <v>100.8</v>
          </cell>
          <cell r="J192">
            <v>256.95999999999998</v>
          </cell>
          <cell r="K192">
            <v>9.82</v>
          </cell>
          <cell r="L192">
            <v>9.36</v>
          </cell>
          <cell r="M192">
            <v>3.75</v>
          </cell>
          <cell r="N192">
            <v>0.47</v>
          </cell>
          <cell r="O192">
            <v>26.45</v>
          </cell>
          <cell r="P192">
            <v>0.38</v>
          </cell>
          <cell r="Q192">
            <v>1.01</v>
          </cell>
          <cell r="R192">
            <v>12.6</v>
          </cell>
        </row>
        <row r="193">
          <cell r="E193">
            <v>13.3</v>
          </cell>
          <cell r="F193">
            <v>58.45</v>
          </cell>
          <cell r="G193">
            <v>19.96</v>
          </cell>
          <cell r="H193">
            <v>35.11</v>
          </cell>
          <cell r="I193">
            <v>102.25</v>
          </cell>
          <cell r="J193">
            <v>260.97000000000003</v>
          </cell>
          <cell r="K193">
            <v>9.91</v>
          </cell>
          <cell r="L193">
            <v>9.4499999999999993</v>
          </cell>
          <cell r="M193">
            <v>3.75</v>
          </cell>
          <cell r="N193">
            <v>0.47</v>
          </cell>
          <cell r="O193">
            <v>26.69</v>
          </cell>
          <cell r="P193">
            <v>0.38</v>
          </cell>
          <cell r="Q193">
            <v>1.01</v>
          </cell>
          <cell r="R193">
            <v>12.7</v>
          </cell>
        </row>
        <row r="194">
          <cell r="E194">
            <v>13.4</v>
          </cell>
          <cell r="F194">
            <v>58.9</v>
          </cell>
          <cell r="G194">
            <v>20.09</v>
          </cell>
          <cell r="H194">
            <v>35.549999999999997</v>
          </cell>
          <cell r="I194">
            <v>103.7</v>
          </cell>
          <cell r="J194">
            <v>265.04000000000002</v>
          </cell>
          <cell r="K194">
            <v>9.99</v>
          </cell>
          <cell r="L194">
            <v>9.5299999999999994</v>
          </cell>
          <cell r="M194">
            <v>3.75</v>
          </cell>
          <cell r="N194">
            <v>0.47</v>
          </cell>
          <cell r="O194">
            <v>26.92</v>
          </cell>
          <cell r="P194">
            <v>0.38</v>
          </cell>
          <cell r="Q194">
            <v>1.01</v>
          </cell>
          <cell r="R194">
            <v>12.8</v>
          </cell>
        </row>
        <row r="195">
          <cell r="E195">
            <v>13.5</v>
          </cell>
          <cell r="F195">
            <v>59.35</v>
          </cell>
          <cell r="G195">
            <v>20.23</v>
          </cell>
          <cell r="H195">
            <v>36</v>
          </cell>
          <cell r="I195">
            <v>105.17</v>
          </cell>
          <cell r="J195">
            <v>269.13</v>
          </cell>
          <cell r="K195">
            <v>10.07</v>
          </cell>
          <cell r="L195">
            <v>9.61</v>
          </cell>
          <cell r="M195">
            <v>3.75</v>
          </cell>
          <cell r="N195">
            <v>0.47</v>
          </cell>
          <cell r="O195">
            <v>27.16</v>
          </cell>
          <cell r="P195">
            <v>0.38</v>
          </cell>
          <cell r="Q195">
            <v>1.01</v>
          </cell>
          <cell r="R195">
            <v>12.9</v>
          </cell>
        </row>
        <row r="196">
          <cell r="E196">
            <v>13.600000000000099</v>
          </cell>
          <cell r="F196">
            <v>59.8</v>
          </cell>
          <cell r="G196">
            <v>20.36</v>
          </cell>
          <cell r="H196">
            <v>36.450000000000003</v>
          </cell>
          <cell r="I196">
            <v>106.64</v>
          </cell>
          <cell r="J196">
            <v>273.27999999999997</v>
          </cell>
          <cell r="K196">
            <v>10.15</v>
          </cell>
          <cell r="L196">
            <v>9.69</v>
          </cell>
          <cell r="M196">
            <v>3.75</v>
          </cell>
          <cell r="N196">
            <v>0.47</v>
          </cell>
          <cell r="O196">
            <v>27.39</v>
          </cell>
          <cell r="P196">
            <v>0.38</v>
          </cell>
          <cell r="Q196">
            <v>1.01</v>
          </cell>
          <cell r="R196">
            <v>13</v>
          </cell>
        </row>
        <row r="197">
          <cell r="E197">
            <v>13.700000000000101</v>
          </cell>
          <cell r="F197">
            <v>60.25</v>
          </cell>
          <cell r="G197">
            <v>20.5</v>
          </cell>
          <cell r="H197">
            <v>36.909999999999997</v>
          </cell>
          <cell r="I197">
            <v>108.13</v>
          </cell>
          <cell r="J197">
            <v>277.45</v>
          </cell>
          <cell r="K197">
            <v>10.23</v>
          </cell>
          <cell r="L197">
            <v>9.77</v>
          </cell>
          <cell r="M197">
            <v>3.75</v>
          </cell>
          <cell r="N197">
            <v>0.47</v>
          </cell>
          <cell r="O197">
            <v>27.63</v>
          </cell>
          <cell r="P197">
            <v>0.38</v>
          </cell>
          <cell r="Q197">
            <v>1.01</v>
          </cell>
          <cell r="R197">
            <v>13.1</v>
          </cell>
        </row>
        <row r="198">
          <cell r="E198">
            <v>13.8000000000001</v>
          </cell>
          <cell r="F198">
            <v>60.7</v>
          </cell>
          <cell r="G198">
            <v>20.63</v>
          </cell>
          <cell r="H198">
            <v>37.36</v>
          </cell>
          <cell r="I198">
            <v>109.62</v>
          </cell>
          <cell r="J198">
            <v>281.66000000000003</v>
          </cell>
          <cell r="K198">
            <v>10.31</v>
          </cell>
          <cell r="L198">
            <v>9.85</v>
          </cell>
          <cell r="M198">
            <v>3.75</v>
          </cell>
          <cell r="N198">
            <v>0.47</v>
          </cell>
          <cell r="O198">
            <v>27.86</v>
          </cell>
          <cell r="P198">
            <v>0.38</v>
          </cell>
          <cell r="Q198">
            <v>1.01</v>
          </cell>
          <cell r="R198">
            <v>13.2</v>
          </cell>
        </row>
        <row r="199">
          <cell r="E199">
            <v>13.9000000000001</v>
          </cell>
          <cell r="F199">
            <v>61.15</v>
          </cell>
          <cell r="G199">
            <v>20.77</v>
          </cell>
          <cell r="H199">
            <v>37.82</v>
          </cell>
          <cell r="I199">
            <v>111.13</v>
          </cell>
          <cell r="J199">
            <v>285.89999999999998</v>
          </cell>
          <cell r="K199">
            <v>10.39</v>
          </cell>
          <cell r="L199">
            <v>9.93</v>
          </cell>
          <cell r="M199">
            <v>3.75</v>
          </cell>
          <cell r="N199">
            <v>0.47</v>
          </cell>
          <cell r="O199">
            <v>28.1</v>
          </cell>
          <cell r="P199">
            <v>0.38</v>
          </cell>
          <cell r="Q199">
            <v>1.01</v>
          </cell>
          <cell r="R199">
            <v>13.3</v>
          </cell>
        </row>
        <row r="200">
          <cell r="E200">
            <v>14.000000000000099</v>
          </cell>
          <cell r="F200">
            <v>61.6</v>
          </cell>
          <cell r="G200">
            <v>20.9</v>
          </cell>
          <cell r="H200">
            <v>38.28</v>
          </cell>
          <cell r="I200">
            <v>112.64</v>
          </cell>
          <cell r="J200">
            <v>290.18</v>
          </cell>
          <cell r="K200">
            <v>10.47</v>
          </cell>
          <cell r="L200">
            <v>10.01</v>
          </cell>
          <cell r="M200">
            <v>3.75</v>
          </cell>
          <cell r="N200">
            <v>0.47</v>
          </cell>
          <cell r="O200">
            <v>28.33</v>
          </cell>
          <cell r="P200">
            <v>0.38</v>
          </cell>
          <cell r="Q200">
            <v>1.01</v>
          </cell>
          <cell r="R200">
            <v>13.4</v>
          </cell>
        </row>
        <row r="201">
          <cell r="E201">
            <v>14.100000000000099</v>
          </cell>
          <cell r="F201">
            <v>62.05</v>
          </cell>
          <cell r="G201">
            <v>21.04</v>
          </cell>
          <cell r="H201">
            <v>38.75</v>
          </cell>
          <cell r="I201">
            <v>114.17</v>
          </cell>
          <cell r="J201">
            <v>294.56</v>
          </cell>
          <cell r="K201">
            <v>10.55</v>
          </cell>
          <cell r="L201">
            <v>10.09</v>
          </cell>
          <cell r="M201">
            <v>3.75</v>
          </cell>
          <cell r="N201">
            <v>0.47</v>
          </cell>
          <cell r="O201">
            <v>28.57</v>
          </cell>
          <cell r="P201">
            <v>0.38</v>
          </cell>
          <cell r="Q201">
            <v>1.01</v>
          </cell>
          <cell r="R201">
            <v>13.5</v>
          </cell>
        </row>
        <row r="202">
          <cell r="E202">
            <v>14.200000000000101</v>
          </cell>
          <cell r="F202">
            <v>62.3</v>
          </cell>
          <cell r="G202">
            <v>21.17</v>
          </cell>
          <cell r="H202">
            <v>39.21</v>
          </cell>
          <cell r="I202">
            <v>115.7</v>
          </cell>
          <cell r="J202">
            <v>298.83999999999997</v>
          </cell>
          <cell r="K202">
            <v>10.63</v>
          </cell>
          <cell r="L202">
            <v>10.17</v>
          </cell>
          <cell r="M202">
            <v>3.75</v>
          </cell>
          <cell r="N202">
            <v>0.47</v>
          </cell>
          <cell r="O202">
            <v>28.8</v>
          </cell>
          <cell r="P202">
            <v>0.38</v>
          </cell>
          <cell r="Q202">
            <v>1.01</v>
          </cell>
          <cell r="R202">
            <v>13.6</v>
          </cell>
        </row>
        <row r="203">
          <cell r="E203">
            <v>14.3000000000001</v>
          </cell>
          <cell r="F203">
            <v>62.95</v>
          </cell>
          <cell r="G203">
            <v>21.31</v>
          </cell>
          <cell r="H203">
            <v>39.68</v>
          </cell>
          <cell r="I203">
            <v>117.25</v>
          </cell>
          <cell r="J203">
            <v>303.22000000000003</v>
          </cell>
          <cell r="K203">
            <v>10.71</v>
          </cell>
          <cell r="L203">
            <v>10.25</v>
          </cell>
          <cell r="M203">
            <v>3.75</v>
          </cell>
          <cell r="N203">
            <v>0.47</v>
          </cell>
          <cell r="O203">
            <v>29.04</v>
          </cell>
          <cell r="P203">
            <v>0.38</v>
          </cell>
          <cell r="Q203">
            <v>1.01</v>
          </cell>
          <cell r="R203">
            <v>13.7</v>
          </cell>
        </row>
        <row r="204">
          <cell r="E204">
            <v>14.4000000000001</v>
          </cell>
          <cell r="F204">
            <v>63.4</v>
          </cell>
          <cell r="G204">
            <v>21.44</v>
          </cell>
          <cell r="H204">
            <v>40.15</v>
          </cell>
          <cell r="I204">
            <v>118.8</v>
          </cell>
          <cell r="J204">
            <v>307.64</v>
          </cell>
          <cell r="K204">
            <v>10.79</v>
          </cell>
          <cell r="L204">
            <v>10.33</v>
          </cell>
          <cell r="M204">
            <v>3.75</v>
          </cell>
          <cell r="N204">
            <v>0.47</v>
          </cell>
          <cell r="O204">
            <v>29.27</v>
          </cell>
          <cell r="P204">
            <v>0.38</v>
          </cell>
          <cell r="Q204">
            <v>1.01</v>
          </cell>
          <cell r="R204">
            <v>13.8</v>
          </cell>
        </row>
        <row r="205">
          <cell r="E205">
            <v>14.500000000000099</v>
          </cell>
          <cell r="F205">
            <v>63.85</v>
          </cell>
          <cell r="G205">
            <v>21.58</v>
          </cell>
          <cell r="H205">
            <v>40.630000000000003</v>
          </cell>
          <cell r="I205">
            <v>120.37</v>
          </cell>
          <cell r="J205">
            <v>312.08999999999997</v>
          </cell>
          <cell r="K205">
            <v>10.87</v>
          </cell>
          <cell r="L205">
            <v>10.41</v>
          </cell>
          <cell r="M205">
            <v>3.75</v>
          </cell>
          <cell r="N205">
            <v>0.47</v>
          </cell>
          <cell r="O205">
            <v>29.51</v>
          </cell>
          <cell r="P205">
            <v>0.38</v>
          </cell>
          <cell r="Q205">
            <v>1.01</v>
          </cell>
          <cell r="R205">
            <v>13.9</v>
          </cell>
        </row>
        <row r="206">
          <cell r="E206">
            <v>14.600000000000099</v>
          </cell>
          <cell r="F206">
            <v>64.3</v>
          </cell>
          <cell r="G206">
            <v>21.71</v>
          </cell>
          <cell r="H206">
            <v>41.1</v>
          </cell>
          <cell r="I206">
            <v>121.94</v>
          </cell>
          <cell r="J206">
            <v>316.56</v>
          </cell>
          <cell r="K206">
            <v>10.96</v>
          </cell>
          <cell r="L206">
            <v>10.5</v>
          </cell>
          <cell r="M206">
            <v>3.75</v>
          </cell>
          <cell r="N206">
            <v>0.47</v>
          </cell>
          <cell r="O206">
            <v>29.74</v>
          </cell>
          <cell r="P206">
            <v>0.38</v>
          </cell>
          <cell r="Q206">
            <v>1.01</v>
          </cell>
          <cell r="R206">
            <v>14</v>
          </cell>
        </row>
        <row r="207">
          <cell r="E207">
            <v>14.700000000000101</v>
          </cell>
          <cell r="F207">
            <v>64.75</v>
          </cell>
          <cell r="G207">
            <v>21.85</v>
          </cell>
          <cell r="H207">
            <v>41.58</v>
          </cell>
          <cell r="I207">
            <v>123.53</v>
          </cell>
          <cell r="J207">
            <v>312.08</v>
          </cell>
          <cell r="K207">
            <v>11.04</v>
          </cell>
          <cell r="L207">
            <v>10.58</v>
          </cell>
          <cell r="M207">
            <v>3.75</v>
          </cell>
          <cell r="N207">
            <v>0.47</v>
          </cell>
          <cell r="O207">
            <v>29.98</v>
          </cell>
          <cell r="P207">
            <v>0.38</v>
          </cell>
          <cell r="Q207">
            <v>1.01</v>
          </cell>
          <cell r="R207">
            <v>14.1</v>
          </cell>
        </row>
        <row r="208">
          <cell r="E208">
            <v>14.8000000000001</v>
          </cell>
          <cell r="F208">
            <v>65.2</v>
          </cell>
          <cell r="G208">
            <v>21.9</v>
          </cell>
          <cell r="H208">
            <v>42.06</v>
          </cell>
          <cell r="I208">
            <v>125.12</v>
          </cell>
          <cell r="J208">
            <v>325.64</v>
          </cell>
          <cell r="K208">
            <v>11.12</v>
          </cell>
          <cell r="L208">
            <v>10.66</v>
          </cell>
          <cell r="M208">
            <v>3.75</v>
          </cell>
          <cell r="N208">
            <v>0.47</v>
          </cell>
          <cell r="O208">
            <v>30.21</v>
          </cell>
          <cell r="P208">
            <v>0.38</v>
          </cell>
          <cell r="Q208">
            <v>1.01</v>
          </cell>
          <cell r="R208">
            <v>14.2</v>
          </cell>
        </row>
        <row r="209">
          <cell r="E209">
            <v>14.9000000000001</v>
          </cell>
          <cell r="F209">
            <v>65.650000000000006</v>
          </cell>
          <cell r="G209">
            <v>22.12</v>
          </cell>
          <cell r="H209">
            <v>42.55</v>
          </cell>
          <cell r="I209">
            <v>126.73</v>
          </cell>
          <cell r="J209">
            <v>330.22</v>
          </cell>
          <cell r="K209">
            <v>11.2</v>
          </cell>
          <cell r="L209">
            <v>10.74</v>
          </cell>
          <cell r="M209">
            <v>3.75</v>
          </cell>
          <cell r="N209">
            <v>0.47</v>
          </cell>
          <cell r="O209">
            <v>30.45</v>
          </cell>
          <cell r="P209">
            <v>0.38</v>
          </cell>
          <cell r="Q209">
            <v>1.01</v>
          </cell>
          <cell r="R209">
            <v>14.3</v>
          </cell>
        </row>
        <row r="210">
          <cell r="E210">
            <v>15.000000000000099</v>
          </cell>
          <cell r="F210">
            <v>66.099999999999994</v>
          </cell>
          <cell r="G210">
            <v>22.25</v>
          </cell>
          <cell r="H210">
            <v>43.03</v>
          </cell>
          <cell r="I210">
            <v>128.34</v>
          </cell>
          <cell r="J210">
            <v>334.86</v>
          </cell>
          <cell r="K210">
            <v>11.28</v>
          </cell>
          <cell r="L210">
            <v>10.82</v>
          </cell>
          <cell r="M210">
            <v>3.75</v>
          </cell>
          <cell r="N210">
            <v>0.47</v>
          </cell>
          <cell r="O210">
            <v>30.68</v>
          </cell>
          <cell r="P210">
            <v>0.38</v>
          </cell>
          <cell r="Q210">
            <v>1.01</v>
          </cell>
          <cell r="R210">
            <v>14.4</v>
          </cell>
        </row>
        <row r="211">
          <cell r="E211">
            <v>15.100000000000099</v>
          </cell>
          <cell r="F211">
            <v>66.55</v>
          </cell>
          <cell r="G211">
            <v>22.39</v>
          </cell>
          <cell r="H211">
            <v>43.52</v>
          </cell>
          <cell r="I211">
            <v>129.97</v>
          </cell>
          <cell r="J211">
            <v>339.52</v>
          </cell>
          <cell r="K211">
            <v>11.36</v>
          </cell>
          <cell r="L211">
            <v>10.9</v>
          </cell>
          <cell r="M211">
            <v>3.75</v>
          </cell>
          <cell r="N211">
            <v>0.47</v>
          </cell>
          <cell r="O211">
            <v>30.92</v>
          </cell>
          <cell r="P211">
            <v>0.38</v>
          </cell>
          <cell r="Q211">
            <v>1.01</v>
          </cell>
          <cell r="R211">
            <v>14.5</v>
          </cell>
        </row>
        <row r="212">
          <cell r="E212">
            <v>15.200000000000101</v>
          </cell>
          <cell r="F212">
            <v>67</v>
          </cell>
          <cell r="G212">
            <v>22.52</v>
          </cell>
          <cell r="H212">
            <v>44.01</v>
          </cell>
          <cell r="I212">
            <v>131.6</v>
          </cell>
          <cell r="J212">
            <v>344.22</v>
          </cell>
          <cell r="K212">
            <v>11.44</v>
          </cell>
          <cell r="L212">
            <v>10.98</v>
          </cell>
          <cell r="M212">
            <v>3.75</v>
          </cell>
          <cell r="N212">
            <v>0.47</v>
          </cell>
          <cell r="O212">
            <v>31.15</v>
          </cell>
          <cell r="P212">
            <v>0.38</v>
          </cell>
          <cell r="Q212">
            <v>1.01</v>
          </cell>
          <cell r="R212">
            <v>14.6</v>
          </cell>
        </row>
        <row r="213">
          <cell r="E213">
            <v>15.3000000000001</v>
          </cell>
          <cell r="F213">
            <v>67.45</v>
          </cell>
          <cell r="G213">
            <v>22.66</v>
          </cell>
          <cell r="H213">
            <v>44.51</v>
          </cell>
          <cell r="I213">
            <v>133.25</v>
          </cell>
          <cell r="J213">
            <v>348.95</v>
          </cell>
          <cell r="K213">
            <v>11.52</v>
          </cell>
          <cell r="L213">
            <v>11.06</v>
          </cell>
          <cell r="M213">
            <v>3.75</v>
          </cell>
          <cell r="N213">
            <v>0.47</v>
          </cell>
          <cell r="O213">
            <v>31.39</v>
          </cell>
          <cell r="P213">
            <v>0.38</v>
          </cell>
          <cell r="Q213">
            <v>1.01</v>
          </cell>
          <cell r="R213">
            <v>14.7</v>
          </cell>
        </row>
        <row r="214">
          <cell r="E214">
            <v>15.4000000000001</v>
          </cell>
          <cell r="F214">
            <v>67.900000000000006</v>
          </cell>
          <cell r="G214">
            <v>22.79</v>
          </cell>
          <cell r="H214">
            <v>45</v>
          </cell>
          <cell r="I214">
            <v>134.9</v>
          </cell>
          <cell r="J214">
            <v>353.72</v>
          </cell>
          <cell r="K214">
            <v>11.6</v>
          </cell>
          <cell r="L214">
            <v>11.14</v>
          </cell>
          <cell r="M214">
            <v>3.75</v>
          </cell>
          <cell r="N214">
            <v>0.47</v>
          </cell>
          <cell r="O214">
            <v>31.62</v>
          </cell>
          <cell r="P214">
            <v>0.38</v>
          </cell>
          <cell r="Q214">
            <v>1.01</v>
          </cell>
          <cell r="R214">
            <v>14.8</v>
          </cell>
        </row>
        <row r="215">
          <cell r="E215">
            <v>15.500000000000099</v>
          </cell>
          <cell r="F215">
            <v>68.349999999999994</v>
          </cell>
          <cell r="G215">
            <v>22.93</v>
          </cell>
          <cell r="H215">
            <v>45.5</v>
          </cell>
          <cell r="I215">
            <v>136.57</v>
          </cell>
          <cell r="J215">
            <v>358.52</v>
          </cell>
          <cell r="K215">
            <v>11.68</v>
          </cell>
          <cell r="L215">
            <v>11.22</v>
          </cell>
          <cell r="M215">
            <v>3.75</v>
          </cell>
          <cell r="N215">
            <v>0.47</v>
          </cell>
          <cell r="O215">
            <v>31.86</v>
          </cell>
          <cell r="P215">
            <v>0.38</v>
          </cell>
          <cell r="Q215">
            <v>1.01</v>
          </cell>
          <cell r="R215">
            <v>14.9</v>
          </cell>
        </row>
        <row r="216">
          <cell r="E216">
            <v>15.600000000000099</v>
          </cell>
          <cell r="F216">
            <v>68.8</v>
          </cell>
          <cell r="G216">
            <v>23.06</v>
          </cell>
          <cell r="H216">
            <v>46</v>
          </cell>
          <cell r="I216">
            <v>138.34</v>
          </cell>
          <cell r="J216">
            <v>363.26</v>
          </cell>
          <cell r="K216">
            <v>11.76</v>
          </cell>
          <cell r="L216">
            <v>11.3</v>
          </cell>
          <cell r="M216">
            <v>3.75</v>
          </cell>
          <cell r="N216">
            <v>0.47</v>
          </cell>
          <cell r="O216">
            <v>32.090000000000003</v>
          </cell>
          <cell r="P216">
            <v>0.38</v>
          </cell>
          <cell r="Q216">
            <v>1.01</v>
          </cell>
          <cell r="R216">
            <v>15</v>
          </cell>
        </row>
        <row r="217">
          <cell r="E217">
            <v>15.700000000000101</v>
          </cell>
          <cell r="F217">
            <v>69.25</v>
          </cell>
          <cell r="G217">
            <v>23.2</v>
          </cell>
          <cell r="H217">
            <v>46.51</v>
          </cell>
          <cell r="I217">
            <v>139.93</v>
          </cell>
          <cell r="J217">
            <v>638.23</v>
          </cell>
          <cell r="K217">
            <v>11.84</v>
          </cell>
          <cell r="L217">
            <v>11.38</v>
          </cell>
          <cell r="M217">
            <v>3.75</v>
          </cell>
          <cell r="N217">
            <v>0.47</v>
          </cell>
          <cell r="O217">
            <v>32.33</v>
          </cell>
          <cell r="P217">
            <v>0.38</v>
          </cell>
          <cell r="Q217">
            <v>1.01</v>
          </cell>
          <cell r="R217">
            <v>15.1</v>
          </cell>
        </row>
        <row r="218">
          <cell r="E218">
            <v>15.8000000000001</v>
          </cell>
          <cell r="F218">
            <v>69.7</v>
          </cell>
          <cell r="G218">
            <v>23.33</v>
          </cell>
          <cell r="H218">
            <v>47.01</v>
          </cell>
          <cell r="I218">
            <v>141.62</v>
          </cell>
          <cell r="J218">
            <v>373.14</v>
          </cell>
          <cell r="K218">
            <v>11.92</v>
          </cell>
          <cell r="L218">
            <v>11.46</v>
          </cell>
          <cell r="M218">
            <v>3.75</v>
          </cell>
          <cell r="N218">
            <v>0.47</v>
          </cell>
          <cell r="O218">
            <v>32.56</v>
          </cell>
          <cell r="P218">
            <v>0.38</v>
          </cell>
          <cell r="Q218">
            <v>1.01</v>
          </cell>
          <cell r="R218">
            <v>15.2</v>
          </cell>
        </row>
        <row r="219">
          <cell r="E219">
            <v>15.9000000000001</v>
          </cell>
          <cell r="F219">
            <v>70.150000000000006</v>
          </cell>
          <cell r="G219">
            <v>23.47</v>
          </cell>
          <cell r="H219">
            <v>47.52</v>
          </cell>
          <cell r="I219">
            <v>143.33000000000001</v>
          </cell>
          <cell r="J219">
            <v>378.05</v>
          </cell>
          <cell r="K219">
            <v>12.01</v>
          </cell>
          <cell r="L219">
            <v>11.55</v>
          </cell>
          <cell r="M219">
            <v>3.75</v>
          </cell>
          <cell r="N219">
            <v>0.47</v>
          </cell>
          <cell r="O219">
            <v>32.799999999999997</v>
          </cell>
          <cell r="P219">
            <v>0.38</v>
          </cell>
          <cell r="Q219">
            <v>1.01</v>
          </cell>
          <cell r="R219">
            <v>15.3</v>
          </cell>
        </row>
        <row r="220">
          <cell r="E220">
            <v>16.000000000000099</v>
          </cell>
          <cell r="F220">
            <v>70.599999999999994</v>
          </cell>
          <cell r="G220">
            <v>23.6</v>
          </cell>
          <cell r="H220">
            <v>48.03</v>
          </cell>
          <cell r="I220">
            <v>145.04</v>
          </cell>
          <cell r="J220">
            <v>383.03</v>
          </cell>
          <cell r="K220">
            <v>12.09</v>
          </cell>
          <cell r="L220">
            <v>11.63</v>
          </cell>
          <cell r="M220">
            <v>3.75</v>
          </cell>
          <cell r="N220">
            <v>0.47</v>
          </cell>
          <cell r="O220">
            <v>33.03</v>
          </cell>
          <cell r="P220">
            <v>0.38</v>
          </cell>
          <cell r="Q220">
            <v>1.01</v>
          </cell>
          <cell r="R220">
            <v>15.4</v>
          </cell>
        </row>
      </sheetData>
      <sheetData sheetId="14"/>
      <sheetData sheetId="15"/>
      <sheetData sheetId="16" refreshError="1"/>
      <sheetData sheetId="17"/>
      <sheetData sheetId="18" refreshError="1"/>
      <sheetData sheetId="19" refreshError="1">
        <row r="7">
          <cell r="G7">
            <v>13</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leads"/>
      <sheetName val="lead statement"/>
      <sheetName val="data"/>
      <sheetName val="data existing_do not delete"/>
      <sheetName val="pipe line rates"/>
      <sheetName val="platform estimate"/>
      <sheetName val="bore well ori estimate"/>
      <sheetName val="pipe line sub estimate"/>
      <sheetName val="pipe line data"/>
      <sheetName val="pumpset estimate"/>
      <sheetName val="general abstract"/>
      <sheetName val="Sheet3"/>
    </sheetNames>
    <sheetDataSet>
      <sheetData sheetId="0"/>
      <sheetData sheetId="1"/>
      <sheetData sheetId="2"/>
      <sheetData sheetId="3"/>
      <sheetData sheetId="4" refreshError="1">
        <row r="2">
          <cell r="J2">
            <v>28.5</v>
          </cell>
        </row>
        <row r="3">
          <cell r="J3">
            <v>30.5</v>
          </cell>
        </row>
        <row r="4">
          <cell r="J4">
            <v>31.5</v>
          </cell>
        </row>
        <row r="5">
          <cell r="J5">
            <v>36.5</v>
          </cell>
        </row>
        <row r="6">
          <cell r="J6">
            <v>38</v>
          </cell>
        </row>
        <row r="7">
          <cell r="J7">
            <v>49.5</v>
          </cell>
        </row>
        <row r="8">
          <cell r="J8">
            <v>66</v>
          </cell>
        </row>
        <row r="9">
          <cell r="J9">
            <v>342</v>
          </cell>
        </row>
      </sheetData>
      <sheetData sheetId="5"/>
      <sheetData sheetId="6"/>
      <sheetData sheetId="7"/>
      <sheetData sheetId="8"/>
      <sheetData sheetId="9"/>
      <sheetData sheetId="10"/>
      <sheetData sheetId="11"/>
      <sheetData sheetId="12"/>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leads"/>
      <sheetName val="lead statement"/>
      <sheetName val="data"/>
      <sheetName val="data existing_do not delete"/>
      <sheetName val="pipe line rates"/>
      <sheetName val="platform estimate"/>
      <sheetName val="bore well ori estimate"/>
      <sheetName val="pipe line sub estimate"/>
      <sheetName val="pipe line data"/>
      <sheetName val="pumpset estimate"/>
      <sheetName val="general abstract"/>
      <sheetName val="Sheet3"/>
    </sheetNames>
    <sheetDataSet>
      <sheetData sheetId="0"/>
      <sheetData sheetId="1"/>
      <sheetData sheetId="2"/>
      <sheetData sheetId="3"/>
      <sheetData sheetId="4" refreshError="1">
        <row r="2">
          <cell r="J2">
            <v>28.5</v>
          </cell>
        </row>
        <row r="3">
          <cell r="J3">
            <v>30.5</v>
          </cell>
        </row>
        <row r="4">
          <cell r="J4">
            <v>31.5</v>
          </cell>
        </row>
        <row r="5">
          <cell r="J5">
            <v>36.5</v>
          </cell>
        </row>
        <row r="6">
          <cell r="J6">
            <v>38</v>
          </cell>
        </row>
        <row r="7">
          <cell r="J7">
            <v>49.5</v>
          </cell>
        </row>
        <row r="8">
          <cell r="J8">
            <v>66</v>
          </cell>
        </row>
        <row r="9">
          <cell r="J9">
            <v>342</v>
          </cell>
        </row>
      </sheetData>
      <sheetData sheetId="5"/>
      <sheetData sheetId="6"/>
      <sheetData sheetId="7"/>
      <sheetData sheetId="8"/>
      <sheetData sheetId="9"/>
      <sheetData sheetId="10"/>
      <sheetData sheetId="11"/>
      <sheetData sheetId="12"/>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rates"/>
      <sheetName val="MTC-estimate"/>
      <sheetName val="Gen Abs"/>
      <sheetName val="other rates"/>
      <sheetName val="Data.F8.BTR"/>
      <sheetName val="data existing_do not delete"/>
      <sheetName val="PM&amp;GM"/>
      <sheetName val="AV-PVC"/>
      <sheetName val="DI gate-DI"/>
      <sheetName val="DIgate_PVC "/>
      <sheetName val="PVC"/>
      <sheetName val="leads"/>
      <sheetName val="maya"/>
      <sheetName val="v"/>
      <sheetName val="Levels"/>
      <sheetName val="Bridge Data 2005-06"/>
      <sheetName val="abs road"/>
      <sheetName val="Road data"/>
      <sheetName val="r"/>
      <sheetName val="ewst"/>
      <sheetName val="segments-details"/>
      <sheetName val="int-Dia-hdpe"/>
      <sheetName val="int-Dia-pvc"/>
      <sheetName val="c-data"/>
      <sheetName val="AV-HDPE"/>
      <sheetName val="Di_gate-HDPE"/>
      <sheetName val="Ghanapur to Suraram jn. det"/>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GF Columns"/>
      <sheetName val="bundqty"/>
      <sheetName val="banilad"/>
      <sheetName val="Mactan"/>
      <sheetName val="Mandaue"/>
      <sheetName val="Bitumen trunk"/>
      <sheetName val="Feeder"/>
      <sheetName val="R99 etc"/>
      <sheetName val="Trunk unpaved"/>
      <sheetName val="AV-DI"/>
      <sheetName val="DI"/>
      <sheetName val="scour-DI-CI"/>
      <sheetName val="scour-pvc-hdpe-psc-bwsc"/>
      <sheetName val="MRATES"/>
      <sheetName val="Det. Secty bld"/>
      <sheetName val="QTY"/>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PANEL ANNEXURE"/>
      <sheetName val="SUMP1420KL@HW"/>
      <sheetName val="DATA-BASE"/>
      <sheetName val="DATA-ABSTRACT"/>
      <sheetName val="boredetails"/>
      <sheetName val="Sheet9"/>
      <sheetName val="m1"/>
      <sheetName val="C.R G.F"/>
      <sheetName val="EDWise"/>
      <sheetName val="Weightage-Sub Sht"/>
      <sheetName val="Rates SSR 2008-09"/>
      <sheetName val="GBW"/>
      <sheetName val="Mp-team 1"/>
      <sheetName val="beam-reinft"/>
      <sheetName val="Drawing status"/>
      <sheetName val="R_Det"/>
      <sheetName val="Road Detail Est."/>
      <sheetName val="C.D.Abs.Est."/>
      <sheetName val="t_prsr"/>
      <sheetName val="id"/>
      <sheetName val="wh"/>
      <sheetName val="DATA_PRG"/>
      <sheetName val="AC"/>
      <sheetName val="AV-BWSC&amp;MS"/>
      <sheetName val="AV_AC"/>
      <sheetName val="di_Gate_AC"/>
      <sheetName val="Digate-BWSCP-MS"/>
      <sheetName val="DI_gate_di"/>
      <sheetName val="HDPE"/>
      <sheetName val="Pop"/>
      <sheetName val="hdpe weights"/>
      <sheetName val="PVC weights"/>
      <sheetName val="index"/>
      <sheetName val="RMR"/>
      <sheetName val="AutoOpen Stub Data"/>
      <sheetName val="mbr"/>
      <sheetName val="Datas"/>
      <sheetName val="Estimate "/>
      <sheetName val="MASTER"/>
      <sheetName val="SC-1"/>
      <sheetName val="Main sheet"/>
      <sheetName val="20kL-design-final"/>
      <sheetName val="Nspt-smp-final-ORIGINAL"/>
      <sheetName val="GN-ST-10"/>
      <sheetName val="PRECAST lightconc-II"/>
      <sheetName val="water-hammar-strenght"/>
      <sheetName val="Iocount"/>
      <sheetName val="Quarry"/>
      <sheetName val="Line"/>
      <sheetName val="BTR"/>
      <sheetName val="CRUST"/>
      <sheetName val="QDTS"/>
      <sheetName val="FORM7"/>
      <sheetName val="rdamdata"/>
      <sheetName val="GM&amp;PM EST- final "/>
      <sheetName val="DI-AV-HDPE- Final "/>
      <sheetName val="DI_scour-DI-final"/>
      <sheetName val="DI_scour-pvc-hdpe-psc-bwsc"/>
      <sheetName val="DI SV on DI-final "/>
      <sheetName val="DI Sluice_HDPE"/>
      <sheetName val="pumping main"/>
      <sheetName val="DATA SHEET"/>
      <sheetName val="l"/>
      <sheetName val="#REF"/>
      <sheetName val="labour rates"/>
      <sheetName val="int-Dia"/>
      <sheetName val="mlead"/>
      <sheetName val="BWSCPlt"/>
      <sheetName val="CI"/>
      <sheetName val="G.R.P"/>
      <sheetName val="BM-HOOP"/>
      <sheetName val="PSC REVISED"/>
      <sheetName val="LABOUR RATE"/>
      <sheetName val="Material Rate"/>
      <sheetName val="Abs_CD_2"/>
      <sheetName val="coverpage"/>
      <sheetName val="road est"/>
      <sheetName val="ECV"/>
      <sheetName val="11.Habitations"/>
      <sheetName val="ssr-rates"/>
      <sheetName val="Boq"/>
      <sheetName val="TBAL9697 -group wise  sdpl"/>
      <sheetName val="STAFFSCHED "/>
      <sheetName val="data_existing_do_not_delete"/>
      <sheetName val="GF_Columns"/>
      <sheetName val="sectorwise"/>
      <sheetName val="AB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15">
          <cell r="D15">
            <v>137</v>
          </cell>
        </row>
        <row r="18">
          <cell r="D18">
            <v>137</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heetName val="bundqty"/>
      <sheetName val="Data"/>
      <sheetName val="Labour"/>
      <sheetName val="Material"/>
      <sheetName val="Plant &amp;  Machinery"/>
      <sheetName val="DATA_PRG"/>
      <sheetName val="Leads"/>
      <sheetName val="final abstract"/>
      <sheetName val="concrete"/>
      <sheetName val="data existing_do not delete"/>
      <sheetName val="SALIENT"/>
      <sheetName val="Data o"/>
      <sheetName val="GF Columns"/>
      <sheetName val="sup dat"/>
      <sheetName val="Levels"/>
      <sheetName val="m"/>
      <sheetName val="other rates"/>
      <sheetName val="Hire"/>
      <sheetName val="m1"/>
      <sheetName val="RMR"/>
      <sheetName val="Road data"/>
      <sheetName val="Data.F8.BTR"/>
      <sheetName val="ewst"/>
      <sheetName val="int-Dia"/>
      <sheetName val="habs-list"/>
      <sheetName val="nodes"/>
      <sheetName val="maya"/>
      <sheetName val="MRATES"/>
      <sheetName val="coverpage"/>
      <sheetName val="Data well"/>
      <sheetName val="Ghanapur to Suraram jn. det"/>
      <sheetName val="Set"/>
      <sheetName val="Sheet1"/>
      <sheetName val="t_prsr"/>
      <sheetName val="wh"/>
      <sheetName val="Abs PMRL"/>
      <sheetName val="Basicdata-f"/>
      <sheetName val="Scour-f"/>
      <sheetName val="DISCOUNT"/>
      <sheetName val="Global factors"/>
      <sheetName val="Weightage-Sub Sht"/>
      <sheetName val="OH"/>
      <sheetName val="Basic Rates"/>
      <sheetName val="beam-reinft"/>
      <sheetName val="detls"/>
      <sheetName val="BOQ Distribution"/>
      <sheetName val="Detailed"/>
      <sheetName val="abs road"/>
      <sheetName val="R_Det"/>
      <sheetName val="SSR 2015-16"/>
      <sheetName val="MRoad data"/>
      <sheetName val="data-WC"/>
      <sheetName val="ESTIMATE"/>
      <sheetName val="Nspt-smp-final-ORIGINAL"/>
      <sheetName val="rdamdata"/>
      <sheetName val="Data_F8_BTR"/>
      <sheetName val="Plant_&amp;__Machinery"/>
      <sheetName val="pvc"/>
      <sheetName val="Lead statement ss5"/>
      <sheetName val="Lead_statement_ss5"/>
      <sheetName val="HDPE"/>
      <sheetName val="DI"/>
      <sheetName val="ssr-rates"/>
      <sheetName val="Works"/>
      <sheetName val="General"/>
      <sheetName val="id"/>
      <sheetName val="Bitumen trunk"/>
      <sheetName val="Feeder"/>
      <sheetName val="R99 etc"/>
      <sheetName val="Trunk unpaved"/>
      <sheetName val="mlead"/>
      <sheetName val="DATA-BASE"/>
      <sheetName val="DATA-ABSTRACT"/>
      <sheetName val="Class IV Qtr. Ele"/>
      <sheetName val="Bridge Data 2005-06"/>
      <sheetName val="bom"/>
      <sheetName val="Lead statement"/>
      <sheetName val="GROUND FLOOR"/>
      <sheetName val="Lɥad"/>
      <sheetName val="Main sheet"/>
      <sheetName val="Specification"/>
      <sheetName val="SECPROP"/>
      <sheetName val="CABLENOS."/>
      <sheetName val="Data_F8_BTR2"/>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F8_BTR1"/>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Estimate "/>
      <sheetName val="Specification report"/>
      <sheetName val="Analy"/>
      <sheetName val="1-Pop Proj"/>
      <sheetName val="banilad"/>
      <sheetName val="Rates"/>
      <sheetName val="Cover"/>
      <sheetName val="Convey"/>
      <sheetName val="C.D.Abs.Est."/>
      <sheetName val="clvrt_data"/>
      <sheetName val="Data_F8_BTR3"/>
      <sheetName val="Plant_&amp;__Machinery3"/>
      <sheetName val="Lead_statement_ss53"/>
      <sheetName val="Plant_&amp;__Machinery1"/>
      <sheetName val="Lead_statement_ss51"/>
      <sheetName val="Plant_&amp;__Machinery2"/>
      <sheetName val="Lead_statement_ss52"/>
      <sheetName val="Plant 㫨  Machinery"/>
      <sheetName val="Plant_㫨__Machinery"/>
      <sheetName val="Rates-May-14"/>
      <sheetName val="TOP SLAB-beams"/>
      <sheetName val="int-Dia-pvc"/>
      <sheetName val="water-hammar-strenght"/>
      <sheetName val="hdpe weights"/>
      <sheetName val="PVC weights"/>
      <sheetName val="0000000000000"/>
      <sheetName val="SSR"/>
      <sheetName val="VC 80"/>
      <sheetName val="VC 450"/>
      <sheetName val="hdpe_basic"/>
      <sheetName val="pvc_basic"/>
      <sheetName val="Usage"/>
      <sheetName val="Common "/>
      <sheetName val="Ins &amp; Bonds"/>
      <sheetName val="A-3.1"/>
      <sheetName val="Client req"/>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Tees"/>
      <sheetName val="Delivery mains"/>
      <sheetName val="PROCTOR"/>
      <sheetName val="PH data"/>
      <sheetName val="CONST"/>
      <sheetName val="Mactan"/>
      <sheetName val="Mandaue"/>
      <sheetName val="FORM-W3"/>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BWSCPlt"/>
      <sheetName val="CI"/>
      <sheetName val="G.R.P"/>
      <sheetName val="PSC REVISED"/>
      <sheetName val="TBAL9697 -group wise  sdpl"/>
      <sheetName val="p&amp;m"/>
      <sheetName val="Staff Acco."/>
      <sheetName val="C-data"/>
      <sheetName val="Bed Class"/>
      <sheetName val="Cd"/>
      <sheetName val="CPIPE"/>
      <sheetName val="CPIPE2"/>
      <sheetName val="Cs"/>
      <sheetName val="DVALUE"/>
      <sheetName val="THK"/>
      <sheetName val="SewerCAD MH Data"/>
      <sheetName val="Design 2040 Design Flows-(1)"/>
      <sheetName val="SewerCAD Pipe Data-Actual 2040"/>
      <sheetName val="CONNECT"/>
      <sheetName val="analysis"/>
      <sheetName val="Detailed Estimate"/>
      <sheetName val="(Road-Project)"/>
      <sheetName val="STAFFSCHED "/>
      <sheetName val="Drawing status"/>
      <sheetName val="ELE "/>
    </sheetNames>
    <sheetDataSet>
      <sheetData sheetId="0" refreshError="1"/>
      <sheetData sheetId="1" refreshError="1"/>
      <sheetData sheetId="2" refreshError="1"/>
      <sheetData sheetId="3" refreshError="1"/>
      <sheetData sheetId="4" refreshError="1">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9">
          <cell r="F29">
            <v>44</v>
          </cell>
        </row>
        <row r="30">
          <cell r="F30">
            <v>0.25</v>
          </cell>
        </row>
      </sheetData>
      <sheetData sheetId="5"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s>
    <sheetDataSet>
      <sheetData sheetId="0"/>
      <sheetData sheetId="1"/>
      <sheetData sheetId="2"/>
      <sheetData sheetId="3"/>
      <sheetData sheetId="4" refreshError="1">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s>
    <sheetDataSet>
      <sheetData sheetId="0"/>
      <sheetData sheetId="1"/>
      <sheetData sheetId="2"/>
      <sheetData sheetId="3"/>
      <sheetData sheetId="4" refreshError="1">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r"/>
      <sheetName val="Leads"/>
      <sheetName val="bundqty"/>
      <sheetName val="v"/>
      <sheetName val="may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4">
          <cell r="G4">
            <v>196</v>
          </cell>
        </row>
        <row r="53">
          <cell r="G53">
            <v>234</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wise"/>
      <sheetName val="maya"/>
      <sheetName val="Plant &amp;  Machinery"/>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leads"/>
      <sheetName val="Labour"/>
      <sheetName val="Material"/>
      <sheetName val="Sheet1"/>
      <sheetName val="Work_sheet"/>
      <sheetName val="Data"/>
      <sheetName val="r"/>
      <sheetName val="Dormitory"/>
      <sheetName val="General"/>
      <sheetName val="MRATES"/>
      <sheetName val="Sweeper Machine"/>
      <sheetName val="data existing_do not delete"/>
      <sheetName val="Usage "/>
      <sheetName val="detls"/>
      <sheetName val="Nspt-smp-final-ORIGINAL"/>
      <sheetName val="DATA_PRG"/>
      <sheetName val="ewst"/>
      <sheetName val="SSR 2016-17"/>
      <sheetName val="Sheet2"/>
      <sheetName val="Sheet9"/>
      <sheetName val="beam-reinft"/>
      <sheetName val="v"/>
      <sheetName val="0000000000000"/>
      <sheetName val="cert"/>
      <sheetName val="Rates"/>
      <sheetName val="RMR"/>
      <sheetName val="Road data"/>
      <sheetName val="mlead"/>
      <sheetName val="concrete"/>
      <sheetName val="bundqty"/>
      <sheetName val="abs road"/>
      <sheetName val="R_Det"/>
      <sheetName val="Lead"/>
      <sheetName val="PH data"/>
      <sheetName val="Estt"/>
      <sheetName val="Rates SSR 2008-09"/>
    </sheetNames>
    <sheetDataSet>
      <sheetData sheetId="0"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s>
    <sheetDataSet>
      <sheetData sheetId="0"/>
      <sheetData sheetId="1"/>
      <sheetData sheetId="2"/>
      <sheetData sheetId="3" refreshError="1">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sheetData>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s>
    <sheetDataSet>
      <sheetData sheetId="0"/>
      <sheetData sheetId="1"/>
      <sheetData sheetId="2"/>
      <sheetData sheetId="3" refreshError="1">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sheetData>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s>
    <sheetDataSet>
      <sheetData sheetId="0" refreshError="1">
        <row r="2">
          <cell r="A2" t="str">
            <v>Name of work: BT to road from Chennavaram to Mallavaram (via) Vutukuru.</v>
          </cell>
        </row>
      </sheetData>
      <sheetData sheetId="1"/>
      <sheetData sheetId="2"/>
      <sheetData sheetId="3"/>
      <sheetData sheetId="4"/>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s>
    <sheetDataSet>
      <sheetData sheetId="0" refreshError="1">
        <row r="2">
          <cell r="A2" t="str">
            <v>Name of work: BT to road from Chennavaram to Mallavaram (via) Vutukuru.</v>
          </cell>
        </row>
      </sheetData>
      <sheetData sheetId="1" refreshError="1"/>
      <sheetData sheetId="2" refreshError="1"/>
      <sheetData sheetId="3" refreshError="1"/>
      <sheetData sheetId="4"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pm"/>
      <sheetName val="GM"/>
      <sheetName val="SRs"/>
      <sheetName val="SRs-Rev"/>
      <sheetName val="detls"/>
      <sheetName val="Sheet1"/>
      <sheetName val="Global factors"/>
      <sheetName val="id"/>
      <sheetName val="HDPE"/>
      <sheetName val="DI"/>
      <sheetName val="pvc"/>
      <sheetName val="hdpe_basic"/>
      <sheetName val="pvc_basic"/>
      <sheetName val="Dormitory"/>
      <sheetName val="Summary"/>
      <sheetName val="data existing_do not delete"/>
      <sheetName val="m"/>
      <sheetName val="HDPE-pipe-rates"/>
      <sheetName val="pvc-pipe-rates"/>
      <sheetName val="ww-march-02"/>
      <sheetName val="Road data"/>
      <sheetName val="data-WC"/>
      <sheetName val="Labour"/>
      <sheetName val="LEADS"/>
      <sheetName val="General"/>
      <sheetName val="DATA_PRG"/>
      <sheetName val="r"/>
      <sheetName val="MRATES"/>
      <sheetName val="data"/>
      <sheetName val="SSR 2014-15 Rates"/>
      <sheetName val="Lead statement"/>
      <sheetName val="Specification"/>
      <sheetName val="Sheet1 (2)"/>
      <sheetName val="Data_Base"/>
      <sheetName val="Nspt-smp-final-ORIGINAL"/>
      <sheetName val="Lead"/>
      <sheetName val="stone"/>
      <sheetName val="index"/>
      <sheetName val="Detailed"/>
      <sheetName val="hdpe weights"/>
      <sheetName val="PVC weights"/>
      <sheetName val="pop"/>
      <sheetName val="b asic rates"/>
      <sheetName val="ESTIMATE"/>
      <sheetName val="m1"/>
      <sheetName val="Sheet2"/>
      <sheetName val="sectorwise"/>
      <sheetName val="habs-list"/>
      <sheetName val="int-Dia"/>
      <sheetName val="nodes"/>
      <sheetName val="Material"/>
      <sheetName val="Sheet6"/>
      <sheetName val="0000000000000"/>
      <sheetName val="Abs"/>
      <sheetName val="Rates"/>
      <sheetName val="Note"/>
      <sheetName val="v"/>
      <sheetName val="Rate"/>
      <sheetName val="BOQ"/>
      <sheetName val="economic PM"/>
      <sheetName val="WATER-HAMMER"/>
      <sheetName val="Data rough"/>
      <sheetName val="hdpe-rates"/>
      <sheetName val="pvc-rates"/>
      <sheetName val="ewst"/>
      <sheetName val="Suppl-data"/>
      <sheetName val="Plant &amp;  Machinery"/>
      <sheetName val="civ data"/>
      <sheetName val="SUMP1420KL@HW"/>
      <sheetName val="Det Est"/>
      <sheetName val="Sheet5"/>
      <sheetName val="9 Col"/>
      <sheetName val="G F  (2)"/>
      <sheetName val="ssr-rates"/>
      <sheetName val="Main sheet"/>
      <sheetName val="water-hammar-strenght"/>
      <sheetName val="cpheeo"/>
      <sheetName val="wh_data_r"/>
      <sheetName val="_5wgdhabfinal00_01"/>
      <sheetName val="mlead"/>
      <sheetName val="AV-HDPE"/>
      <sheetName val="Di_gate-HDPE"/>
      <sheetName val="Rising Main"/>
      <sheetName val="Lead  RATES"/>
      <sheetName val="RAFT"/>
      <sheetName val="Quarry"/>
      <sheetName val="lead-st"/>
      <sheetName val="rdamdata"/>
      <sheetName val="beam-reinft"/>
      <sheetName val="Work_sheet"/>
      <sheetName val="RMR"/>
      <sheetName val="l"/>
      <sheetName val="THK"/>
      <sheetName val="BWSCPlt"/>
      <sheetName val="CI"/>
      <sheetName val="Data.F8.BTR"/>
      <sheetName val="G.R.P"/>
      <sheetName val="BM-HOOP"/>
      <sheetName val="PSC REVISED"/>
      <sheetName val="Bitumen trunk"/>
      <sheetName val="Feeder"/>
      <sheetName val="R99 etc"/>
      <sheetName val="Trunk unpaved"/>
      <sheetName val="LEAD (2)"/>
      <sheetName val="t_prsr"/>
      <sheetName val="wh"/>
      <sheetName val="HS 30.04.2015.Final"/>
      <sheetName val="bom"/>
      <sheetName val="FORM7"/>
      <sheetName val="Levels"/>
      <sheetName val="int-Dia-hdpe"/>
      <sheetName val="int-Dia-pvc"/>
      <sheetName val="New33KVSS_E3"/>
      <sheetName val="Prop aug of Ex 33KVSS_E3a"/>
      <sheetName val="Set"/>
      <sheetName val="Relig-place"/>
      <sheetName val="Code"/>
      <sheetName val="D2_CO"/>
      <sheetName val="Z1_DATA"/>
      <sheetName val="MHNO_LEV"/>
      <sheetName val="maya"/>
      <sheetName val="MRoad data"/>
      <sheetName val="Habcodes"/>
      <sheetName val="DATA-BASE"/>
      <sheetName val="DATA-ABSTRACT"/>
      <sheetName val="C-data for paint"/>
      <sheetName val="C-data"/>
      <sheetName val="457 COMP"/>
      <sheetName val="Data o"/>
      <sheetName val="Global_factors"/>
      <sheetName val="R_Det"/>
      <sheetName val=" data sheet "/>
      <sheetName val="labour rates"/>
      <sheetName val="zone-2"/>
      <sheetName val="Iocount"/>
      <sheetName val="C.D.Abs.Est."/>
      <sheetName val="sand"/>
      <sheetName val="Abstract (3)"/>
      <sheetName val="Data_Bit_I"/>
      <sheetName val="Estt"/>
      <sheetName val="SSR 2015-16 Rates"/>
      <sheetName val="Input"/>
      <sheetName val="Footings"/>
      <sheetName val="Civil Boq"/>
      <sheetName val="QTY"/>
      <sheetName val="Line"/>
      <sheetName val="Rates2"/>
      <sheetName val="coverpage"/>
      <sheetName val="Road data-TDR"/>
      <sheetName val="Cover"/>
      <sheetName val="bundqty"/>
      <sheetName val="Data 2"/>
      <sheetName val="ps1"/>
      <sheetName val="Sheet9"/>
      <sheetName val="Usage "/>
      <sheetName val="data_existing_do_not_delete"/>
      <sheetName val="Global_factors1"/>
      <sheetName val="data_existing_do_not_delete1"/>
      <sheetName val="segments-details"/>
      <sheetName val="Road Detail Est."/>
      <sheetName val="CivilOld"/>
      <sheetName val="Timesheet"/>
      <sheetName val="PVC_dia"/>
      <sheetName val="AC"/>
      <sheetName val="AV-BWSC&amp;MS"/>
      <sheetName val="AV_AC"/>
      <sheetName val="AV-DI"/>
      <sheetName val="di_Gate_AC"/>
      <sheetName val="Digate-BWSCP-MS"/>
      <sheetName val="DI_gate_di"/>
      <sheetName val="scour-DI-CI"/>
      <sheetName val="scour-pvc-hdpe-psc-bwsc"/>
      <sheetName val="mas_hab"/>
      <sheetName val="Estimate "/>
      <sheetName val="Calendar"/>
    </sheetNames>
    <sheetDataSet>
      <sheetData sheetId="0">
        <row r="3">
          <cell r="B3">
            <v>2.5</v>
          </cell>
        </row>
      </sheetData>
      <sheetData sheetId="1"/>
      <sheetData sheetId="2"/>
      <sheetData sheetId="3"/>
      <sheetData sheetId="4"/>
      <sheetData sheetId="5" refreshError="1">
        <row r="3">
          <cell r="B3">
            <v>2.5</v>
          </cell>
          <cell r="C3">
            <v>4</v>
          </cell>
          <cell r="D3">
            <v>6</v>
          </cell>
          <cell r="E3">
            <v>10</v>
          </cell>
          <cell r="F3">
            <v>0</v>
          </cell>
          <cell r="G3">
            <v>2.5</v>
          </cell>
          <cell r="H3">
            <v>4</v>
          </cell>
          <cell r="I3">
            <v>6</v>
          </cell>
          <cell r="J3">
            <v>0</v>
          </cell>
          <cell r="K3">
            <v>10</v>
          </cell>
          <cell r="L3">
            <v>2.5</v>
          </cell>
          <cell r="M3">
            <v>4</v>
          </cell>
          <cell r="N3">
            <v>6</v>
          </cell>
          <cell r="O3">
            <v>10</v>
          </cell>
        </row>
        <row r="4">
          <cell r="A4">
            <v>63</v>
          </cell>
          <cell r="B4">
            <v>2.4</v>
          </cell>
          <cell r="C4">
            <v>3.5</v>
          </cell>
          <cell r="D4">
            <v>4.2</v>
          </cell>
          <cell r="E4">
            <v>6.6</v>
          </cell>
          <cell r="F4">
            <v>0</v>
          </cell>
          <cell r="G4">
            <v>58.2</v>
          </cell>
          <cell r="H4">
            <v>56</v>
          </cell>
          <cell r="I4">
            <v>54.6</v>
          </cell>
          <cell r="J4">
            <v>0</v>
          </cell>
          <cell r="K4">
            <v>49.8</v>
          </cell>
          <cell r="L4">
            <v>0.12077586999999999</v>
          </cell>
          <cell r="M4">
            <v>0.15987581000000001</v>
          </cell>
          <cell r="N4">
            <v>0.18601166999999999</v>
          </cell>
          <cell r="O4">
            <v>0.29011769999999998</v>
          </cell>
        </row>
        <row r="5">
          <cell r="A5">
            <v>75</v>
          </cell>
          <cell r="B5">
            <v>2.7</v>
          </cell>
          <cell r="C5">
            <v>4.2</v>
          </cell>
          <cell r="D5">
            <v>4.9000000000000004</v>
          </cell>
          <cell r="E5">
            <v>7.8</v>
          </cell>
          <cell r="F5">
            <v>0</v>
          </cell>
          <cell r="G5">
            <v>69.599999999999994</v>
          </cell>
          <cell r="H5">
            <v>66.599999999999994</v>
          </cell>
          <cell r="I5">
            <v>65.2</v>
          </cell>
          <cell r="J5">
            <v>0</v>
          </cell>
          <cell r="K5">
            <v>59.4</v>
          </cell>
          <cell r="L5">
            <v>8.1953520000000002E-2</v>
          </cell>
          <cell r="M5">
            <v>0.11352882</v>
          </cell>
          <cell r="N5">
            <v>0.12898462999999999</v>
          </cell>
          <cell r="O5">
            <v>0.20303246</v>
          </cell>
        </row>
        <row r="6">
          <cell r="A6">
            <v>90</v>
          </cell>
          <cell r="B6">
            <v>3.2</v>
          </cell>
          <cell r="C6">
            <v>5</v>
          </cell>
          <cell r="D6">
            <v>5.8</v>
          </cell>
          <cell r="E6">
            <v>9.3000000000000007</v>
          </cell>
          <cell r="F6">
            <v>0</v>
          </cell>
          <cell r="G6">
            <v>83.6</v>
          </cell>
          <cell r="H6">
            <v>80</v>
          </cell>
          <cell r="I6">
            <v>78.400000000000006</v>
          </cell>
          <cell r="J6">
            <v>0</v>
          </cell>
          <cell r="K6">
            <v>71.400000000000006</v>
          </cell>
          <cell r="L6">
            <v>5.6430769999999998E-2</v>
          </cell>
          <cell r="M6">
            <v>7.8339149999999996E-2</v>
          </cell>
          <cell r="N6">
            <v>8.8529919999999998E-2</v>
          </cell>
          <cell r="O6">
            <v>0.13998290999999999</v>
          </cell>
        </row>
        <row r="7">
          <cell r="A7">
            <v>110</v>
          </cell>
          <cell r="B7">
            <v>3.9</v>
          </cell>
          <cell r="C7">
            <v>6</v>
          </cell>
          <cell r="D7">
            <v>7.1</v>
          </cell>
          <cell r="E7">
            <v>11.2</v>
          </cell>
          <cell r="F7">
            <v>0</v>
          </cell>
          <cell r="G7">
            <v>102.2</v>
          </cell>
          <cell r="H7">
            <v>98</v>
          </cell>
          <cell r="I7">
            <v>95.8</v>
          </cell>
          <cell r="J7">
            <v>0</v>
          </cell>
          <cell r="K7">
            <v>87.6</v>
          </cell>
          <cell r="L7">
            <v>3.7702720000000002E-2</v>
          </cell>
          <cell r="M7">
            <v>5.1682600000000002E-2</v>
          </cell>
          <cell r="N7">
            <v>5.9342989999999998E-2</v>
          </cell>
          <cell r="O7">
            <v>9.2181170000000007E-2</v>
          </cell>
        </row>
        <row r="8">
          <cell r="A8">
            <v>125</v>
          </cell>
          <cell r="B8">
            <v>4.4000000000000004</v>
          </cell>
          <cell r="C8">
            <v>6.8</v>
          </cell>
          <cell r="D8">
            <v>8</v>
          </cell>
          <cell r="E8">
            <v>12.8</v>
          </cell>
          <cell r="F8">
            <v>0</v>
          </cell>
          <cell r="G8">
            <v>116.2</v>
          </cell>
          <cell r="H8">
            <v>111.4</v>
          </cell>
          <cell r="I8">
            <v>109</v>
          </cell>
          <cell r="J8">
            <v>0</v>
          </cell>
          <cell r="K8">
            <v>99.4</v>
          </cell>
          <cell r="L8">
            <v>2.9054E-2</v>
          </cell>
          <cell r="M8">
            <v>3.993874E-2</v>
          </cell>
          <cell r="N8">
            <v>4.5624539999999998E-2</v>
          </cell>
          <cell r="O8">
            <v>7.1837349999999994E-2</v>
          </cell>
        </row>
        <row r="9">
          <cell r="A9">
            <v>140</v>
          </cell>
          <cell r="B9">
            <v>4.9000000000000004</v>
          </cell>
          <cell r="C9">
            <v>7.6</v>
          </cell>
          <cell r="D9">
            <v>9</v>
          </cell>
          <cell r="E9">
            <v>14.3</v>
          </cell>
          <cell r="F9">
            <v>0</v>
          </cell>
          <cell r="G9">
            <v>130.19999999999999</v>
          </cell>
          <cell r="H9">
            <v>124.8</v>
          </cell>
          <cell r="I9">
            <v>122</v>
          </cell>
          <cell r="J9">
            <v>0</v>
          </cell>
          <cell r="K9">
            <v>111.4</v>
          </cell>
          <cell r="L9">
            <v>2.307209E-2</v>
          </cell>
          <cell r="M9">
            <v>3.1786050000000003E-2</v>
          </cell>
          <cell r="N9">
            <v>3.6509600000000003E-2</v>
          </cell>
          <cell r="O9">
            <v>5.710875E-2</v>
          </cell>
        </row>
        <row r="10">
          <cell r="A10">
            <v>160</v>
          </cell>
          <cell r="B10">
            <v>5.6</v>
          </cell>
          <cell r="C10">
            <v>8.6</v>
          </cell>
          <cell r="D10">
            <v>10.199999999999999</v>
          </cell>
          <cell r="E10">
            <v>16.3</v>
          </cell>
          <cell r="F10">
            <v>0</v>
          </cell>
          <cell r="G10">
            <v>148.80000000000001</v>
          </cell>
          <cell r="H10">
            <v>142.80000000000001</v>
          </cell>
          <cell r="I10">
            <v>139.6</v>
          </cell>
          <cell r="J10">
            <v>0</v>
          </cell>
          <cell r="K10">
            <v>127.4</v>
          </cell>
          <cell r="L10">
            <v>1.7664570000000001E-2</v>
          </cell>
          <cell r="M10">
            <v>2.4146649999999999E-2</v>
          </cell>
          <cell r="N10">
            <v>2.7754689999999999E-2</v>
          </cell>
          <cell r="O10">
            <v>4.3596910000000003E-2</v>
          </cell>
        </row>
        <row r="11">
          <cell r="A11">
            <v>180</v>
          </cell>
          <cell r="B11">
            <v>6.2</v>
          </cell>
          <cell r="C11">
            <v>9.6999999999999993</v>
          </cell>
          <cell r="D11">
            <v>11.5</v>
          </cell>
          <cell r="E11">
            <v>18.3</v>
          </cell>
          <cell r="F11">
            <v>0</v>
          </cell>
          <cell r="G11">
            <v>167.6</v>
          </cell>
          <cell r="H11">
            <v>160.6</v>
          </cell>
          <cell r="I11">
            <v>157</v>
          </cell>
          <cell r="J11">
            <v>0</v>
          </cell>
          <cell r="K11">
            <v>143.4</v>
          </cell>
          <cell r="L11">
            <v>1.38066E-2</v>
          </cell>
          <cell r="M11">
            <v>1.911763E-2</v>
          </cell>
          <cell r="N11">
            <v>2.1970139999999999E-2</v>
          </cell>
          <cell r="O11">
            <v>3.4369049999999998E-2</v>
          </cell>
        </row>
        <row r="12">
          <cell r="A12">
            <v>200</v>
          </cell>
          <cell r="B12">
            <v>6.9</v>
          </cell>
          <cell r="C12">
            <v>10.7</v>
          </cell>
          <cell r="D12">
            <v>12.7</v>
          </cell>
          <cell r="E12">
            <v>20.3</v>
          </cell>
          <cell r="F12">
            <v>0</v>
          </cell>
          <cell r="G12">
            <v>186.2</v>
          </cell>
          <cell r="H12">
            <v>178.6</v>
          </cell>
          <cell r="I12">
            <v>174.6</v>
          </cell>
          <cell r="J12">
            <v>0</v>
          </cell>
          <cell r="K12">
            <v>159.4</v>
          </cell>
          <cell r="L12">
            <v>1.119555E-2</v>
          </cell>
          <cell r="M12">
            <v>1.5397320000000001E-2</v>
          </cell>
          <cell r="N12">
            <v>1.7703989999999999E-2</v>
          </cell>
          <cell r="O12">
            <v>2.7788529999999999E-2</v>
          </cell>
        </row>
        <row r="13">
          <cell r="A13">
            <v>225</v>
          </cell>
          <cell r="B13">
            <v>7.7</v>
          </cell>
          <cell r="C13">
            <v>12</v>
          </cell>
          <cell r="D13">
            <v>14.3</v>
          </cell>
          <cell r="E13">
            <v>22.8</v>
          </cell>
          <cell r="F13">
            <v>0</v>
          </cell>
          <cell r="G13">
            <v>209.6</v>
          </cell>
          <cell r="H13">
            <v>201</v>
          </cell>
          <cell r="I13">
            <v>196.4</v>
          </cell>
          <cell r="J13">
            <v>0</v>
          </cell>
          <cell r="K13">
            <v>179.4</v>
          </cell>
          <cell r="L13">
            <v>8.7976600000000005E-3</v>
          </cell>
          <cell r="M13">
            <v>1.2136030000000001E-2</v>
          </cell>
          <cell r="N13">
            <v>1.3998689999999999E-2</v>
          </cell>
          <cell r="O13">
            <v>2.1916600000000001E-2</v>
          </cell>
        </row>
        <row r="14">
          <cell r="A14">
            <v>250</v>
          </cell>
          <cell r="B14">
            <v>8.6</v>
          </cell>
          <cell r="C14">
            <v>13.3</v>
          </cell>
          <cell r="D14">
            <v>15.8</v>
          </cell>
          <cell r="E14">
            <v>25.3</v>
          </cell>
          <cell r="F14">
            <v>0</v>
          </cell>
          <cell r="G14">
            <v>232.8</v>
          </cell>
          <cell r="H14">
            <v>223.4</v>
          </cell>
          <cell r="I14">
            <v>218.4</v>
          </cell>
          <cell r="J14">
            <v>0</v>
          </cell>
          <cell r="K14">
            <v>199.4</v>
          </cell>
          <cell r="L14">
            <v>7.1510999999999996E-3</v>
          </cell>
          <cell r="M14">
            <v>9.8109100000000008E-3</v>
          </cell>
          <cell r="N14">
            <v>1.128529E-2</v>
          </cell>
          <cell r="O14">
            <v>1.7726700000000001E-2</v>
          </cell>
        </row>
        <row r="15">
          <cell r="A15">
            <v>280</v>
          </cell>
          <cell r="B15">
            <v>9.6</v>
          </cell>
          <cell r="C15">
            <v>14.9</v>
          </cell>
          <cell r="D15">
            <v>17.7</v>
          </cell>
          <cell r="E15">
            <v>28.3</v>
          </cell>
          <cell r="F15">
            <v>0</v>
          </cell>
          <cell r="G15">
            <v>260.8</v>
          </cell>
          <cell r="H15">
            <v>250.2</v>
          </cell>
          <cell r="I15">
            <v>244.6</v>
          </cell>
          <cell r="J15">
            <v>0</v>
          </cell>
          <cell r="K15">
            <v>223.4</v>
          </cell>
          <cell r="L15">
            <v>5.6880000000000003E-3</v>
          </cell>
          <cell r="M15">
            <v>7.8228499999999992E-3</v>
          </cell>
          <cell r="N15">
            <v>8.9982800000000009E-3</v>
          </cell>
          <cell r="O15">
            <v>1.411185E-2</v>
          </cell>
        </row>
        <row r="16">
          <cell r="A16">
            <v>315</v>
          </cell>
          <cell r="B16">
            <v>10.7</v>
          </cell>
          <cell r="C16">
            <v>16.7</v>
          </cell>
          <cell r="D16">
            <v>20</v>
          </cell>
          <cell r="E16">
            <v>31.8</v>
          </cell>
          <cell r="F16">
            <v>0</v>
          </cell>
          <cell r="G16">
            <v>293.60000000000002</v>
          </cell>
          <cell r="H16">
            <v>281.60000000000002</v>
          </cell>
          <cell r="I16">
            <v>275</v>
          </cell>
          <cell r="J16">
            <v>0</v>
          </cell>
          <cell r="K16">
            <v>251.4</v>
          </cell>
          <cell r="L16">
            <v>4.4609999999999997E-3</v>
          </cell>
          <cell r="M16">
            <v>6.1629600000000003E-3</v>
          </cell>
          <cell r="N16">
            <v>7.13615E-3</v>
          </cell>
          <cell r="O16">
            <v>1.113565E-2</v>
          </cell>
        </row>
        <row r="17">
          <cell r="A17">
            <v>355</v>
          </cell>
          <cell r="B17">
            <v>12.1</v>
          </cell>
          <cell r="C17">
            <v>18.8</v>
          </cell>
          <cell r="D17">
            <v>22.3</v>
          </cell>
          <cell r="E17">
            <v>35.799999999999997</v>
          </cell>
          <cell r="F17">
            <v>0</v>
          </cell>
          <cell r="G17">
            <v>330.8</v>
          </cell>
          <cell r="H17">
            <v>317.39999999999998</v>
          </cell>
          <cell r="I17">
            <v>310.39999999999998</v>
          </cell>
          <cell r="J17">
            <v>0</v>
          </cell>
          <cell r="K17">
            <v>283.39999999999998</v>
          </cell>
          <cell r="L17">
            <v>3.52447E-3</v>
          </cell>
          <cell r="M17">
            <v>4.8482100000000004E-3</v>
          </cell>
          <cell r="N17">
            <v>5.5681400000000001E-3</v>
          </cell>
          <cell r="O17">
            <v>8.7573400000000006E-3</v>
          </cell>
        </row>
        <row r="18">
          <cell r="A18">
            <v>400</v>
          </cell>
          <cell r="B18">
            <v>14.2</v>
          </cell>
          <cell r="C18">
            <v>22.1</v>
          </cell>
          <cell r="D18">
            <v>26.3</v>
          </cell>
          <cell r="E18">
            <v>42.1</v>
          </cell>
          <cell r="F18">
            <v>0</v>
          </cell>
          <cell r="G18">
            <v>371.6</v>
          </cell>
          <cell r="H18">
            <v>355.8</v>
          </cell>
          <cell r="I18">
            <v>347.4</v>
          </cell>
          <cell r="J18">
            <v>0</v>
          </cell>
          <cell r="K18">
            <v>315.8</v>
          </cell>
          <cell r="L18">
            <v>2.8537599999999999E-3</v>
          </cell>
          <cell r="M18">
            <v>3.9485299999999996E-3</v>
          </cell>
          <cell r="N18">
            <v>4.5594399999999997E-3</v>
          </cell>
          <cell r="O18">
            <v>7.2346299999999997E-3</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AAAAAAAAAAAAA"/>
      <sheetName val="ssr-rates"/>
      <sheetName val="Sheet2"/>
      <sheetName val="ew OG"/>
      <sheetName val="ew-DiMs"/>
      <sheetName val="PVC"/>
      <sheetName val="HDPE"/>
      <sheetName val="AC"/>
      <sheetName val="DI"/>
      <sheetName val="CI"/>
      <sheetName val="GRP"/>
      <sheetName val="ms 10 mm"/>
      <sheetName val="ms 8 mm"/>
      <sheetName val="ms 6 mm"/>
      <sheetName val="ms data"/>
      <sheetName val="BWSCP"/>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data"/>
      <sheetName val="leads"/>
      <sheetName val="PSC -pv"/>
      <sheetName val="GRP-pv"/>
      <sheetName val="index"/>
      <sheetName val="HDPE-pipe-rates"/>
      <sheetName val="pvc-pipe-rates"/>
      <sheetName val="m"/>
      <sheetName val="detls"/>
      <sheetName val="Lead"/>
      <sheetName val="m1"/>
      <sheetName val="DATA_PRG"/>
      <sheetName val="0000000000000"/>
      <sheetName val="r"/>
      <sheetName val="Plant &amp;  Machinery"/>
      <sheetName val="Labour"/>
      <sheetName val="Material"/>
      <sheetName val="9 Col"/>
      <sheetName val="MS pipesfinal"/>
      <sheetName val="PVC_dia"/>
      <sheetName val="stone"/>
      <sheetName val="table"/>
      <sheetName val="Rates"/>
      <sheetName val="Road Detail Est."/>
      <sheetName val="Road data"/>
      <sheetName val="int-Dia-pvc"/>
      <sheetName val="water-hammar-strenght"/>
      <sheetName val="t_prsr"/>
      <sheetName val="wh"/>
      <sheetName val="WATER-HAMMER"/>
      <sheetName val="Cage 1X1"/>
      <sheetName val="GA"/>
      <sheetName val="BM-HOOP"/>
      <sheetName val="Habcodes"/>
      <sheetName val="economic PM"/>
      <sheetName val="habs-list"/>
      <sheetName val="int-Dia"/>
      <sheetName val="nodes"/>
      <sheetName val="Nspt-smp-final-ORIGINAL"/>
      <sheetName val="LS_COLOR"/>
      <sheetName val="Plant _  Machinery"/>
      <sheetName val="v"/>
      <sheetName val="DATA-BASE"/>
      <sheetName val="DATA-ABSTRACT"/>
      <sheetName val="OSWI Qlfy"/>
      <sheetName val="AEOS Qlfy"/>
      <sheetName val="Quarry"/>
      <sheetName val="ewst"/>
      <sheetName val="sectorwise"/>
      <sheetName val="Sheet3"/>
      <sheetName val="bundqty"/>
      <sheetName val="data existing_do not delete"/>
      <sheetName val="Global factors"/>
      <sheetName val="Data o"/>
      <sheetName val="MTC-estimate"/>
      <sheetName val="ABS"/>
      <sheetName val="other rates"/>
      <sheetName val="Main sheet"/>
      <sheetName val="1-Pop Proj"/>
      <sheetName val="Lead statement"/>
    </sheetNames>
    <sheetDataSet>
      <sheetData sheetId="0" refreshError="1"/>
      <sheetData sheetId="1" refreshError="1"/>
      <sheetData sheetId="2" refreshError="1"/>
      <sheetData sheetId="3"/>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row r="1">
          <cell r="B1" t="str">
            <v>Id</v>
          </cell>
          <cell r="C1" t="str">
            <v>Dia</v>
          </cell>
          <cell r="D1" t="str">
            <v>Class</v>
          </cell>
          <cell r="E1" t="str">
            <v>Weight of Pipe (Kgs/mtr)</v>
          </cell>
          <cell r="F1" t="str">
            <v>SSR Rate 08-09</v>
          </cell>
        </row>
        <row r="2">
          <cell r="B2" t="str">
            <v>a11010</v>
          </cell>
          <cell r="C2">
            <v>110</v>
          </cell>
          <cell r="D2">
            <v>10</v>
          </cell>
          <cell r="E2">
            <v>3.1240000000000001</v>
          </cell>
          <cell r="F2">
            <v>377</v>
          </cell>
        </row>
        <row r="3">
          <cell r="B3" t="str">
            <v>a1104</v>
          </cell>
          <cell r="C3">
            <v>110</v>
          </cell>
          <cell r="D3">
            <v>4</v>
          </cell>
          <cell r="E3">
            <v>1.4530000000000001</v>
          </cell>
          <cell r="F3">
            <v>175</v>
          </cell>
        </row>
        <row r="4">
          <cell r="B4" t="str">
            <v>a1106</v>
          </cell>
          <cell r="C4">
            <v>110</v>
          </cell>
          <cell r="D4">
            <v>6</v>
          </cell>
          <cell r="E4">
            <v>2.0670000000000002</v>
          </cell>
          <cell r="F4">
            <v>250</v>
          </cell>
        </row>
        <row r="5">
          <cell r="B5" t="str">
            <v>a1108</v>
          </cell>
          <cell r="C5">
            <v>110</v>
          </cell>
          <cell r="D5">
            <v>8</v>
          </cell>
          <cell r="E5">
            <v>2.6269999999999998</v>
          </cell>
          <cell r="F5">
            <v>317</v>
          </cell>
        </row>
        <row r="6">
          <cell r="B6" t="str">
            <v>a12510</v>
          </cell>
          <cell r="C6">
            <v>125</v>
          </cell>
          <cell r="D6">
            <v>10</v>
          </cell>
          <cell r="E6">
            <v>4.0510000000000002</v>
          </cell>
          <cell r="F6">
            <v>489</v>
          </cell>
        </row>
        <row r="7">
          <cell r="B7" t="str">
            <v>a1254</v>
          </cell>
          <cell r="C7">
            <v>125</v>
          </cell>
          <cell r="D7">
            <v>4</v>
          </cell>
          <cell r="E7">
            <v>1.8640000000000001</v>
          </cell>
          <cell r="F7">
            <v>225</v>
          </cell>
        </row>
        <row r="8">
          <cell r="B8" t="str">
            <v>a1256</v>
          </cell>
          <cell r="C8">
            <v>125</v>
          </cell>
          <cell r="D8">
            <v>6</v>
          </cell>
          <cell r="E8">
            <v>2.6459999999999999</v>
          </cell>
          <cell r="F8">
            <v>320</v>
          </cell>
        </row>
        <row r="9">
          <cell r="B9" t="str">
            <v>a1258</v>
          </cell>
          <cell r="C9">
            <v>125</v>
          </cell>
          <cell r="D9">
            <v>8</v>
          </cell>
          <cell r="E9">
            <v>3.379</v>
          </cell>
          <cell r="F9">
            <v>408</v>
          </cell>
        </row>
        <row r="10">
          <cell r="B10" t="str">
            <v>a14010</v>
          </cell>
          <cell r="C10">
            <v>140</v>
          </cell>
          <cell r="D10">
            <v>10</v>
          </cell>
          <cell r="E10">
            <v>5.08</v>
          </cell>
          <cell r="F10">
            <v>614</v>
          </cell>
        </row>
        <row r="11">
          <cell r="B11" t="str">
            <v>a1404</v>
          </cell>
          <cell r="C11">
            <v>140</v>
          </cell>
          <cell r="D11">
            <v>4</v>
          </cell>
          <cell r="E11">
            <v>2.3079999999999998</v>
          </cell>
          <cell r="F11">
            <v>279</v>
          </cell>
        </row>
        <row r="12">
          <cell r="B12" t="str">
            <v>a1406</v>
          </cell>
          <cell r="C12">
            <v>140</v>
          </cell>
          <cell r="D12">
            <v>6</v>
          </cell>
          <cell r="E12">
            <v>3.3140000000000001</v>
          </cell>
          <cell r="F12">
            <v>400</v>
          </cell>
        </row>
        <row r="13">
          <cell r="B13" t="str">
            <v>a1408</v>
          </cell>
          <cell r="C13">
            <v>140</v>
          </cell>
          <cell r="D13">
            <v>8</v>
          </cell>
          <cell r="E13">
            <v>4.2249999999999996</v>
          </cell>
          <cell r="F13">
            <v>510</v>
          </cell>
        </row>
        <row r="14">
          <cell r="B14" t="str">
            <v>a16010</v>
          </cell>
          <cell r="C14">
            <v>160</v>
          </cell>
          <cell r="D14">
            <v>10</v>
          </cell>
          <cell r="E14">
            <v>6.6219999999999999</v>
          </cell>
          <cell r="F14">
            <v>800</v>
          </cell>
        </row>
        <row r="15">
          <cell r="B15" t="str">
            <v>a1604</v>
          </cell>
          <cell r="C15">
            <v>160</v>
          </cell>
          <cell r="D15">
            <v>4</v>
          </cell>
          <cell r="E15">
            <v>3.024</v>
          </cell>
          <cell r="F15">
            <v>365</v>
          </cell>
        </row>
        <row r="16">
          <cell r="B16" t="str">
            <v>a1606</v>
          </cell>
          <cell r="C16">
            <v>160</v>
          </cell>
          <cell r="D16">
            <v>6</v>
          </cell>
          <cell r="E16">
            <v>4.3230000000000004</v>
          </cell>
          <cell r="F16">
            <v>522</v>
          </cell>
        </row>
        <row r="17">
          <cell r="B17" t="str">
            <v>a1608</v>
          </cell>
          <cell r="C17">
            <v>160</v>
          </cell>
          <cell r="D17">
            <v>8</v>
          </cell>
          <cell r="E17">
            <v>5.5069999999999997</v>
          </cell>
          <cell r="F17">
            <v>665</v>
          </cell>
        </row>
        <row r="18">
          <cell r="B18" t="str">
            <v>a18010</v>
          </cell>
          <cell r="C18">
            <v>180</v>
          </cell>
          <cell r="D18">
            <v>10</v>
          </cell>
          <cell r="E18">
            <v>8.3680000000000003</v>
          </cell>
          <cell r="F18">
            <v>1011</v>
          </cell>
        </row>
        <row r="19">
          <cell r="B19" t="str">
            <v>a1804</v>
          </cell>
          <cell r="C19">
            <v>180</v>
          </cell>
          <cell r="D19">
            <v>4</v>
          </cell>
          <cell r="E19">
            <v>3.8119999999999998</v>
          </cell>
          <cell r="F19">
            <v>460</v>
          </cell>
        </row>
        <row r="20">
          <cell r="B20" t="str">
            <v>a1806</v>
          </cell>
          <cell r="C20">
            <v>180</v>
          </cell>
          <cell r="D20">
            <v>6</v>
          </cell>
          <cell r="E20">
            <v>5.4420000000000002</v>
          </cell>
          <cell r="F20">
            <v>657</v>
          </cell>
        </row>
        <row r="21">
          <cell r="B21" t="str">
            <v>a1808</v>
          </cell>
          <cell r="C21">
            <v>180</v>
          </cell>
          <cell r="D21">
            <v>8</v>
          </cell>
          <cell r="E21">
            <v>6.9809999999999999</v>
          </cell>
          <cell r="F21">
            <v>843</v>
          </cell>
        </row>
        <row r="22">
          <cell r="B22" t="str">
            <v>a20010</v>
          </cell>
          <cell r="C22">
            <v>200</v>
          </cell>
          <cell r="D22">
            <v>10</v>
          </cell>
          <cell r="E22">
            <v>10.317</v>
          </cell>
          <cell r="F22">
            <v>1246</v>
          </cell>
        </row>
        <row r="23">
          <cell r="B23" t="str">
            <v>a2004</v>
          </cell>
          <cell r="C23">
            <v>200</v>
          </cell>
          <cell r="D23">
            <v>4</v>
          </cell>
          <cell r="E23">
            <v>4.6630000000000003</v>
          </cell>
          <cell r="F23">
            <v>563</v>
          </cell>
        </row>
        <row r="24">
          <cell r="B24" t="str">
            <v>a2006</v>
          </cell>
          <cell r="C24">
            <v>200</v>
          </cell>
          <cell r="D24">
            <v>6</v>
          </cell>
          <cell r="E24">
            <v>6.7409999999999997</v>
          </cell>
          <cell r="F24">
            <v>814</v>
          </cell>
        </row>
        <row r="25">
          <cell r="B25" t="str">
            <v>a2008</v>
          </cell>
          <cell r="C25">
            <v>200</v>
          </cell>
          <cell r="D25">
            <v>8</v>
          </cell>
          <cell r="E25">
            <v>8.6050000000000004</v>
          </cell>
          <cell r="F25">
            <v>1039</v>
          </cell>
        </row>
        <row r="26">
          <cell r="B26" t="str">
            <v>a22510</v>
          </cell>
          <cell r="C26">
            <v>225</v>
          </cell>
          <cell r="D26">
            <v>10</v>
          </cell>
          <cell r="E26">
            <v>13.054</v>
          </cell>
          <cell r="F26">
            <v>1624</v>
          </cell>
        </row>
        <row r="27">
          <cell r="B27" t="str">
            <v>a2254</v>
          </cell>
          <cell r="C27">
            <v>225</v>
          </cell>
          <cell r="D27">
            <v>4</v>
          </cell>
          <cell r="E27">
            <v>5.9169999999999998</v>
          </cell>
          <cell r="F27">
            <v>736</v>
          </cell>
        </row>
        <row r="28">
          <cell r="B28" t="str">
            <v>a2256</v>
          </cell>
          <cell r="C28">
            <v>225</v>
          </cell>
          <cell r="D28">
            <v>6</v>
          </cell>
          <cell r="E28">
            <v>8.4960000000000004</v>
          </cell>
          <cell r="F28">
            <v>1057</v>
          </cell>
        </row>
        <row r="29">
          <cell r="B29" t="str">
            <v>a2258</v>
          </cell>
          <cell r="C29">
            <v>225</v>
          </cell>
          <cell r="D29">
            <v>8</v>
          </cell>
          <cell r="E29">
            <v>10.852</v>
          </cell>
          <cell r="F29">
            <v>1350</v>
          </cell>
        </row>
        <row r="30">
          <cell r="B30" t="str">
            <v>a25010</v>
          </cell>
          <cell r="C30">
            <v>250</v>
          </cell>
          <cell r="D30">
            <v>10</v>
          </cell>
          <cell r="E30">
            <v>16.113</v>
          </cell>
          <cell r="F30">
            <v>2005</v>
          </cell>
        </row>
        <row r="31">
          <cell r="B31" t="str">
            <v>a2504</v>
          </cell>
          <cell r="C31">
            <v>250</v>
          </cell>
          <cell r="D31">
            <v>4</v>
          </cell>
          <cell r="E31">
            <v>7.3209999999999997</v>
          </cell>
          <cell r="F31">
            <v>911</v>
          </cell>
        </row>
        <row r="32">
          <cell r="B32" t="str">
            <v>a2506</v>
          </cell>
          <cell r="C32">
            <v>250</v>
          </cell>
          <cell r="D32">
            <v>6</v>
          </cell>
          <cell r="E32">
            <v>10.484999999999999</v>
          </cell>
          <cell r="F32">
            <v>1301</v>
          </cell>
        </row>
        <row r="33">
          <cell r="B33" t="str">
            <v>a2508</v>
          </cell>
          <cell r="C33">
            <v>250</v>
          </cell>
          <cell r="D33">
            <v>8</v>
          </cell>
          <cell r="E33">
            <v>13.420999999999999</v>
          </cell>
          <cell r="F33">
            <v>1670</v>
          </cell>
        </row>
        <row r="34">
          <cell r="B34" t="str">
            <v>a28010</v>
          </cell>
          <cell r="C34">
            <v>280</v>
          </cell>
          <cell r="D34">
            <v>10</v>
          </cell>
          <cell r="E34">
            <v>20.117999999999999</v>
          </cell>
          <cell r="F34">
            <v>2512</v>
          </cell>
        </row>
        <row r="35">
          <cell r="B35" t="str">
            <v>a2804</v>
          </cell>
          <cell r="C35">
            <v>280</v>
          </cell>
          <cell r="D35">
            <v>4</v>
          </cell>
          <cell r="E35">
            <v>9.1170000000000009</v>
          </cell>
          <cell r="F35">
            <v>1135</v>
          </cell>
        </row>
        <row r="36">
          <cell r="B36" t="str">
            <v>a2806</v>
          </cell>
          <cell r="C36">
            <v>280</v>
          </cell>
          <cell r="D36">
            <v>6</v>
          </cell>
          <cell r="E36">
            <v>13.111000000000001</v>
          </cell>
          <cell r="F36">
            <v>1631</v>
          </cell>
        </row>
        <row r="37">
          <cell r="B37" t="str">
            <v>a2808</v>
          </cell>
          <cell r="C37">
            <v>280</v>
          </cell>
          <cell r="D37">
            <v>8</v>
          </cell>
          <cell r="E37">
            <v>16.795000000000002</v>
          </cell>
          <cell r="F37">
            <v>2090</v>
          </cell>
        </row>
        <row r="38">
          <cell r="B38" t="str">
            <v>a31510</v>
          </cell>
          <cell r="C38">
            <v>315</v>
          </cell>
          <cell r="D38">
            <v>10</v>
          </cell>
          <cell r="E38">
            <v>25.541</v>
          </cell>
          <cell r="F38">
            <v>3178</v>
          </cell>
        </row>
        <row r="39">
          <cell r="B39" t="str">
            <v>a3154</v>
          </cell>
          <cell r="C39">
            <v>315</v>
          </cell>
          <cell r="D39">
            <v>4</v>
          </cell>
          <cell r="E39">
            <v>11.598000000000001</v>
          </cell>
          <cell r="F39">
            <v>1443</v>
          </cell>
        </row>
        <row r="40">
          <cell r="B40" t="str">
            <v>a3156</v>
          </cell>
          <cell r="C40">
            <v>315</v>
          </cell>
          <cell r="D40">
            <v>6</v>
          </cell>
          <cell r="E40">
            <v>16.594000000000001</v>
          </cell>
          <cell r="F40">
            <v>2068</v>
          </cell>
        </row>
        <row r="41">
          <cell r="B41" t="str">
            <v>a3158</v>
          </cell>
          <cell r="C41">
            <v>315</v>
          </cell>
          <cell r="D41">
            <v>8</v>
          </cell>
          <cell r="E41">
            <v>21.260999999999999</v>
          </cell>
          <cell r="F41">
            <v>2646</v>
          </cell>
        </row>
        <row r="42">
          <cell r="B42" t="str">
            <v>a6310</v>
          </cell>
          <cell r="C42">
            <v>63</v>
          </cell>
          <cell r="D42">
            <v>10</v>
          </cell>
          <cell r="E42">
            <v>1.044</v>
          </cell>
          <cell r="F42">
            <v>126</v>
          </cell>
        </row>
        <row r="43">
          <cell r="B43" t="str">
            <v>a634</v>
          </cell>
          <cell r="C43">
            <v>63</v>
          </cell>
          <cell r="D43">
            <v>4</v>
          </cell>
          <cell r="E43">
            <v>0.49099999999999999</v>
          </cell>
          <cell r="F43">
            <v>59</v>
          </cell>
        </row>
        <row r="44">
          <cell r="B44" t="str">
            <v>a636</v>
          </cell>
          <cell r="C44">
            <v>63</v>
          </cell>
          <cell r="D44">
            <v>6</v>
          </cell>
          <cell r="E44">
            <v>0.68300000000000005</v>
          </cell>
          <cell r="F44">
            <v>83</v>
          </cell>
        </row>
        <row r="45">
          <cell r="B45" t="str">
            <v>a638</v>
          </cell>
          <cell r="C45">
            <v>63</v>
          </cell>
          <cell r="D45">
            <v>8</v>
          </cell>
          <cell r="E45">
            <v>0.86799999999999999</v>
          </cell>
          <cell r="F45">
            <v>105</v>
          </cell>
        </row>
        <row r="46">
          <cell r="B46" t="str">
            <v>a7510</v>
          </cell>
          <cell r="C46">
            <v>75</v>
          </cell>
          <cell r="D46">
            <v>10</v>
          </cell>
          <cell r="E46">
            <v>1.474</v>
          </cell>
          <cell r="F46">
            <v>178</v>
          </cell>
        </row>
        <row r="47">
          <cell r="B47" t="str">
            <v>a754</v>
          </cell>
          <cell r="C47">
            <v>75</v>
          </cell>
          <cell r="D47">
            <v>4</v>
          </cell>
          <cell r="E47">
            <v>0.67100000000000004</v>
          </cell>
          <cell r="F47">
            <v>81</v>
          </cell>
        </row>
        <row r="48">
          <cell r="B48" t="str">
            <v>a756</v>
          </cell>
          <cell r="C48">
            <v>75</v>
          </cell>
          <cell r="D48">
            <v>6</v>
          </cell>
          <cell r="E48">
            <v>0.97</v>
          </cell>
          <cell r="F48">
            <v>117</v>
          </cell>
        </row>
        <row r="49">
          <cell r="B49" t="str">
            <v>a758</v>
          </cell>
          <cell r="C49">
            <v>75</v>
          </cell>
          <cell r="D49">
            <v>8</v>
          </cell>
          <cell r="E49">
            <v>1.228</v>
          </cell>
          <cell r="F49">
            <v>148</v>
          </cell>
        </row>
        <row r="50">
          <cell r="B50" t="str">
            <v>a9010</v>
          </cell>
          <cell r="C50">
            <v>90</v>
          </cell>
          <cell r="D50">
            <v>10</v>
          </cell>
          <cell r="E50">
            <v>2.1080000000000001</v>
          </cell>
          <cell r="F50">
            <v>255</v>
          </cell>
        </row>
        <row r="51">
          <cell r="B51" t="str">
            <v>a904</v>
          </cell>
          <cell r="C51">
            <v>90</v>
          </cell>
          <cell r="D51">
            <v>4</v>
          </cell>
          <cell r="E51">
            <v>0.97099999999999997</v>
          </cell>
          <cell r="F51">
            <v>117</v>
          </cell>
        </row>
        <row r="52">
          <cell r="B52" t="str">
            <v>a906</v>
          </cell>
          <cell r="C52">
            <v>90</v>
          </cell>
          <cell r="D52">
            <v>6</v>
          </cell>
          <cell r="E52">
            <v>1.3779999999999999</v>
          </cell>
          <cell r="F52">
            <v>166</v>
          </cell>
        </row>
        <row r="53">
          <cell r="B53" t="str">
            <v>a908</v>
          </cell>
          <cell r="C53">
            <v>90</v>
          </cell>
          <cell r="D53">
            <v>8</v>
          </cell>
          <cell r="E53">
            <v>1.756</v>
          </cell>
          <cell r="F53">
            <v>212</v>
          </cell>
        </row>
      </sheetData>
      <sheetData sheetId="30" refreshError="1"/>
      <sheetData sheetId="31" refreshError="1"/>
      <sheetData sheetId="32" refreshError="1">
        <row r="1">
          <cell r="B1" t="str">
            <v>Id</v>
          </cell>
          <cell r="C1" t="str">
            <v>Dia</v>
          </cell>
          <cell r="D1" t="str">
            <v>Class</v>
          </cell>
          <cell r="E1" t="str">
            <v>Weight of Pipe (Kgs/mtr)</v>
          </cell>
          <cell r="F1" t="str">
            <v>SSR08-09</v>
          </cell>
        </row>
        <row r="2">
          <cell r="B2" t="str">
            <v>a11010</v>
          </cell>
          <cell r="C2">
            <v>110</v>
          </cell>
          <cell r="D2">
            <v>10</v>
          </cell>
          <cell r="E2">
            <v>3.0619999999999998</v>
          </cell>
          <cell r="F2">
            <v>223.3</v>
          </cell>
        </row>
        <row r="3">
          <cell r="B3" t="str">
            <v>a1104</v>
          </cell>
          <cell r="C3">
            <v>110</v>
          </cell>
          <cell r="D3">
            <v>4</v>
          </cell>
          <cell r="E3">
            <v>1.323</v>
          </cell>
          <cell r="F3">
            <v>97.3</v>
          </cell>
        </row>
        <row r="4">
          <cell r="B4" t="str">
            <v>a1106</v>
          </cell>
          <cell r="C4">
            <v>110</v>
          </cell>
          <cell r="D4">
            <v>6</v>
          </cell>
          <cell r="E4">
            <v>1.9019999999999999</v>
          </cell>
          <cell r="F4">
            <v>138.1</v>
          </cell>
        </row>
        <row r="5">
          <cell r="B5" t="str">
            <v>a12510</v>
          </cell>
          <cell r="C5">
            <v>125</v>
          </cell>
          <cell r="D5">
            <v>10</v>
          </cell>
          <cell r="E5">
            <v>3.9289999999999998</v>
          </cell>
          <cell r="F5">
            <v>291.8</v>
          </cell>
        </row>
        <row r="6">
          <cell r="B6" t="str">
            <v>a1254</v>
          </cell>
          <cell r="C6">
            <v>125</v>
          </cell>
          <cell r="D6">
            <v>4</v>
          </cell>
          <cell r="E6">
            <v>1.722</v>
          </cell>
          <cell r="F6">
            <v>126.9</v>
          </cell>
        </row>
        <row r="7">
          <cell r="B7" t="str">
            <v>a1256</v>
          </cell>
          <cell r="C7">
            <v>125</v>
          </cell>
          <cell r="D7">
            <v>6</v>
          </cell>
          <cell r="E7">
            <v>2.5110000000000001</v>
          </cell>
          <cell r="F7">
            <v>174.9</v>
          </cell>
        </row>
        <row r="8">
          <cell r="B8" t="str">
            <v>a14010</v>
          </cell>
          <cell r="C8">
            <v>140</v>
          </cell>
          <cell r="D8">
            <v>10</v>
          </cell>
          <cell r="E8">
            <v>4.9050000000000002</v>
          </cell>
          <cell r="F8">
            <v>359.6</v>
          </cell>
        </row>
        <row r="9">
          <cell r="B9" t="str">
            <v>a1404</v>
          </cell>
          <cell r="C9">
            <v>140</v>
          </cell>
          <cell r="D9">
            <v>4</v>
          </cell>
          <cell r="E9">
            <v>2.1440000000000001</v>
          </cell>
          <cell r="F9">
            <v>158.1</v>
          </cell>
        </row>
        <row r="10">
          <cell r="B10" t="str">
            <v>a1406</v>
          </cell>
          <cell r="C10">
            <v>140</v>
          </cell>
          <cell r="D10">
            <v>6</v>
          </cell>
          <cell r="E10">
            <v>3.1160000000000001</v>
          </cell>
          <cell r="F10">
            <v>226.3</v>
          </cell>
        </row>
        <row r="11">
          <cell r="B11" t="str">
            <v>a16010</v>
          </cell>
          <cell r="C11">
            <v>160</v>
          </cell>
          <cell r="D11">
            <v>10</v>
          </cell>
          <cell r="E11">
            <v>6.4139999999999997</v>
          </cell>
          <cell r="F11">
            <v>474.3</v>
          </cell>
        </row>
        <row r="12">
          <cell r="B12" t="str">
            <v>a1604</v>
          </cell>
          <cell r="C12">
            <v>160</v>
          </cell>
          <cell r="D12">
            <v>4</v>
          </cell>
          <cell r="E12">
            <v>2.7989999999999999</v>
          </cell>
          <cell r="F12">
            <v>208.5</v>
          </cell>
        </row>
        <row r="13">
          <cell r="B13" t="str">
            <v>a1606</v>
          </cell>
          <cell r="C13">
            <v>160</v>
          </cell>
          <cell r="D13">
            <v>6</v>
          </cell>
          <cell r="E13">
            <v>4.0119999999999996</v>
          </cell>
          <cell r="F13">
            <v>293.89999999999998</v>
          </cell>
        </row>
        <row r="14">
          <cell r="B14" t="str">
            <v>a18010</v>
          </cell>
          <cell r="C14">
            <v>180</v>
          </cell>
          <cell r="D14">
            <v>10</v>
          </cell>
          <cell r="E14">
            <v>8.0920000000000005</v>
          </cell>
          <cell r="F14">
            <v>607.4</v>
          </cell>
        </row>
        <row r="15">
          <cell r="B15" t="str">
            <v>a1804</v>
          </cell>
          <cell r="C15">
            <v>180</v>
          </cell>
          <cell r="D15">
            <v>4</v>
          </cell>
          <cell r="E15">
            <v>3.581</v>
          </cell>
          <cell r="F15">
            <v>266</v>
          </cell>
        </row>
        <row r="16">
          <cell r="B16" t="str">
            <v>a1806</v>
          </cell>
          <cell r="C16">
            <v>180</v>
          </cell>
          <cell r="D16">
            <v>6</v>
          </cell>
          <cell r="E16">
            <v>5.1340000000000003</v>
          </cell>
          <cell r="F16">
            <v>379.8</v>
          </cell>
        </row>
        <row r="17">
          <cell r="B17" t="str">
            <v>a20010</v>
          </cell>
          <cell r="C17">
            <v>200</v>
          </cell>
          <cell r="D17">
            <v>10</v>
          </cell>
          <cell r="E17">
            <v>10.000999999999999</v>
          </cell>
          <cell r="F17">
            <v>738</v>
          </cell>
        </row>
        <row r="18">
          <cell r="B18" t="str">
            <v>a2004</v>
          </cell>
          <cell r="C18">
            <v>200</v>
          </cell>
          <cell r="D18">
            <v>4</v>
          </cell>
          <cell r="E18">
            <v>4.3310000000000004</v>
          </cell>
          <cell r="F18">
            <v>323.39999999999998</v>
          </cell>
        </row>
        <row r="19">
          <cell r="B19" t="str">
            <v>a2006</v>
          </cell>
          <cell r="C19">
            <v>200</v>
          </cell>
          <cell r="D19">
            <v>6</v>
          </cell>
          <cell r="E19">
            <v>6.351</v>
          </cell>
          <cell r="F19">
            <v>461</v>
          </cell>
        </row>
        <row r="20">
          <cell r="B20" t="str">
            <v>a22510</v>
          </cell>
          <cell r="C20">
            <v>225</v>
          </cell>
          <cell r="D20">
            <v>10</v>
          </cell>
          <cell r="E20">
            <v>12.675000000000001</v>
          </cell>
          <cell r="F20">
            <v>974.4</v>
          </cell>
        </row>
        <row r="21">
          <cell r="B21" t="str">
            <v>a2254</v>
          </cell>
          <cell r="C21">
            <v>225</v>
          </cell>
          <cell r="D21">
            <v>4</v>
          </cell>
          <cell r="E21">
            <v>5.5110000000000001</v>
          </cell>
          <cell r="F21">
            <v>423.7</v>
          </cell>
        </row>
        <row r="22">
          <cell r="B22" t="str">
            <v>a2256</v>
          </cell>
          <cell r="C22">
            <v>225</v>
          </cell>
          <cell r="D22">
            <v>6</v>
          </cell>
          <cell r="E22">
            <v>7.9749999999999996</v>
          </cell>
          <cell r="F22">
            <v>612</v>
          </cell>
        </row>
        <row r="23">
          <cell r="B23" t="str">
            <v>a25010</v>
          </cell>
          <cell r="C23">
            <v>250</v>
          </cell>
          <cell r="D23">
            <v>10</v>
          </cell>
          <cell r="E23">
            <v>15.686</v>
          </cell>
          <cell r="F23">
            <v>1196.7</v>
          </cell>
        </row>
        <row r="24">
          <cell r="B24" t="str">
            <v>a2504</v>
          </cell>
          <cell r="C24">
            <v>250</v>
          </cell>
          <cell r="D24">
            <v>4</v>
          </cell>
          <cell r="E24">
            <v>6.6740000000000004</v>
          </cell>
          <cell r="F24">
            <v>495.2</v>
          </cell>
        </row>
        <row r="25">
          <cell r="B25" t="str">
            <v>a2506</v>
          </cell>
          <cell r="C25">
            <v>250</v>
          </cell>
          <cell r="D25">
            <v>6</v>
          </cell>
          <cell r="E25">
            <v>9.8859999999999992</v>
          </cell>
          <cell r="F25">
            <v>760.2</v>
          </cell>
        </row>
        <row r="26">
          <cell r="B26" t="str">
            <v>a28010</v>
          </cell>
          <cell r="C26">
            <v>280</v>
          </cell>
          <cell r="D26">
            <v>10</v>
          </cell>
          <cell r="E26">
            <v>19.616</v>
          </cell>
          <cell r="F26">
            <v>1515.4</v>
          </cell>
        </row>
        <row r="27">
          <cell r="B27" t="str">
            <v>a2804</v>
          </cell>
          <cell r="C27">
            <v>280</v>
          </cell>
          <cell r="D27">
            <v>4</v>
          </cell>
          <cell r="E27">
            <v>8.4529999999999994</v>
          </cell>
          <cell r="F27">
            <v>650.5</v>
          </cell>
        </row>
        <row r="28">
          <cell r="B28" t="str">
            <v>a2806</v>
          </cell>
          <cell r="C28">
            <v>280</v>
          </cell>
          <cell r="D28">
            <v>6</v>
          </cell>
          <cell r="E28">
            <v>12.404</v>
          </cell>
          <cell r="F28">
            <v>958.3</v>
          </cell>
        </row>
        <row r="29">
          <cell r="B29" t="str">
            <v>a31510</v>
          </cell>
          <cell r="C29">
            <v>315</v>
          </cell>
          <cell r="D29">
            <v>10</v>
          </cell>
          <cell r="E29">
            <v>24.731999999999999</v>
          </cell>
          <cell r="F29">
            <v>1911.7</v>
          </cell>
        </row>
        <row r="30">
          <cell r="B30" t="str">
            <v>a3154</v>
          </cell>
          <cell r="C30">
            <v>315</v>
          </cell>
          <cell r="D30">
            <v>4</v>
          </cell>
          <cell r="E30">
            <v>10.682</v>
          </cell>
          <cell r="F30">
            <v>825.7</v>
          </cell>
        </row>
        <row r="31">
          <cell r="B31" t="str">
            <v>a3156</v>
          </cell>
          <cell r="C31">
            <v>315</v>
          </cell>
          <cell r="D31">
            <v>6</v>
          </cell>
          <cell r="E31">
            <v>15.723000000000001</v>
          </cell>
          <cell r="F31">
            <v>1204</v>
          </cell>
        </row>
        <row r="32">
          <cell r="B32" t="str">
            <v>a6310</v>
          </cell>
          <cell r="C32">
            <v>63</v>
          </cell>
          <cell r="D32">
            <v>10</v>
          </cell>
          <cell r="E32">
            <v>1.01</v>
          </cell>
          <cell r="F32">
            <v>73.5</v>
          </cell>
        </row>
        <row r="33">
          <cell r="B33" t="str">
            <v>a634</v>
          </cell>
          <cell r="C33">
            <v>63</v>
          </cell>
          <cell r="D33">
            <v>4</v>
          </cell>
          <cell r="E33">
            <v>0.46800000000000003</v>
          </cell>
          <cell r="F33">
            <v>33.5</v>
          </cell>
        </row>
        <row r="34">
          <cell r="B34" t="str">
            <v>a636</v>
          </cell>
          <cell r="C34">
            <v>63</v>
          </cell>
          <cell r="D34">
            <v>6</v>
          </cell>
          <cell r="E34">
            <v>0.66600000000000004</v>
          </cell>
          <cell r="F34">
            <v>47.7</v>
          </cell>
        </row>
        <row r="35">
          <cell r="B35" t="str">
            <v>a7510</v>
          </cell>
          <cell r="C35">
            <v>75</v>
          </cell>
          <cell r="D35">
            <v>10</v>
          </cell>
          <cell r="E35">
            <v>1.4390000000000001</v>
          </cell>
          <cell r="F35">
            <v>104.9</v>
          </cell>
        </row>
        <row r="36">
          <cell r="B36" t="str">
            <v>a754</v>
          </cell>
          <cell r="C36">
            <v>75</v>
          </cell>
          <cell r="D36">
            <v>4</v>
          </cell>
          <cell r="E36">
            <v>0.65500000000000003</v>
          </cell>
          <cell r="F36">
            <v>47.8</v>
          </cell>
        </row>
        <row r="37">
          <cell r="B37" t="str">
            <v>a756</v>
          </cell>
          <cell r="C37">
            <v>75</v>
          </cell>
          <cell r="D37">
            <v>6</v>
          </cell>
          <cell r="E37">
            <v>0.92300000000000004</v>
          </cell>
          <cell r="F37">
            <v>66.5</v>
          </cell>
        </row>
        <row r="38">
          <cell r="B38" t="str">
            <v>a9010</v>
          </cell>
          <cell r="C38">
            <v>90</v>
          </cell>
          <cell r="D38">
            <v>10</v>
          </cell>
          <cell r="E38">
            <v>2.032</v>
          </cell>
          <cell r="F38">
            <v>148.69999999999999</v>
          </cell>
        </row>
        <row r="39">
          <cell r="B39" t="str">
            <v>a904</v>
          </cell>
          <cell r="C39">
            <v>90</v>
          </cell>
          <cell r="D39">
            <v>4</v>
          </cell>
          <cell r="E39">
            <v>0.92400000000000004</v>
          </cell>
          <cell r="F39">
            <v>67.400000000000006</v>
          </cell>
        </row>
        <row r="40">
          <cell r="B40" t="str">
            <v>a906</v>
          </cell>
          <cell r="C40">
            <v>90</v>
          </cell>
          <cell r="D40">
            <v>6</v>
          </cell>
          <cell r="E40">
            <v>1.321</v>
          </cell>
          <cell r="F40">
            <v>95.3</v>
          </cell>
        </row>
      </sheetData>
      <sheetData sheetId="33"/>
      <sheetData sheetId="34" refreshError="1"/>
      <sheetData sheetId="35" refreshError="1"/>
      <sheetData sheetId="36" refreshError="1"/>
      <sheetData sheetId="37" refreshError="1">
        <row r="1">
          <cell r="A1" t="str">
            <v>1999-2000</v>
          </cell>
          <cell r="B1" t="str">
            <v>1998-1999</v>
          </cell>
          <cell r="C1" t="str">
            <v>1997-1998</v>
          </cell>
          <cell r="D1" t="str">
            <v>2000-2001</v>
          </cell>
          <cell r="E1" t="str">
            <v>2001-2002</v>
          </cell>
          <cell r="F1" t="str">
            <v>2002-2003</v>
          </cell>
          <cell r="G1" t="str">
            <v>2003-2004</v>
          </cell>
          <cell r="H1" t="str">
            <v>2004-2005</v>
          </cell>
          <cell r="I1" t="str">
            <v>2005-2006</v>
          </cell>
          <cell r="J1" t="str">
            <v>2006-2007</v>
          </cell>
          <cell r="K1" t="str">
            <v>2007-2008</v>
          </cell>
          <cell r="L1" t="str">
            <v>2008-2009</v>
          </cell>
          <cell r="M1" t="str">
            <v>2009-2010</v>
          </cell>
        </row>
        <row r="2">
          <cell r="K2">
            <v>6</v>
          </cell>
          <cell r="L2">
            <v>7</v>
          </cell>
          <cell r="M2">
            <v>8</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7">
          <cell r="D17">
            <v>689.98</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s>
    <sheetDataSet>
      <sheetData sheetId="0" refreshError="1"/>
      <sheetData sheetId="1"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2" refreshError="1"/>
      <sheetData sheetId="3" refreshError="1"/>
      <sheetData sheetId="4"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s>
    <sheetDataSet>
      <sheetData sheetId="0" refreshError="1"/>
      <sheetData sheetId="1"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2" refreshError="1"/>
      <sheetData sheetId="3" refreshError="1"/>
      <sheetData sheetId="4"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ewst"/>
      <sheetName val="ESTIMATE"/>
      <sheetName val="r"/>
      <sheetName val="m"/>
      <sheetName val="ABS"/>
      <sheetName val="maya"/>
      <sheetName val="Levels"/>
      <sheetName val="Material"/>
      <sheetName val="hdpe weights"/>
      <sheetName val="PVC weights"/>
      <sheetName val="Plant &amp;  Machinery"/>
      <sheetName val="leads"/>
      <sheetName val="sectorwise"/>
      <sheetName val="0000000000000"/>
      <sheetName val="cert"/>
      <sheetName val="v"/>
      <sheetName val="Sheet2"/>
      <sheetName val="HDPE-pipe-rates"/>
      <sheetName val="pvc-pipe-rates"/>
      <sheetName val="Rates SSR 2008-09"/>
      <sheetName val="Usage"/>
      <sheetName val="index"/>
      <sheetName val="DISCOUNT"/>
      <sheetName val="DATA-BASE"/>
      <sheetName val="DATA-ABSTRACT"/>
      <sheetName val="9 Col"/>
      <sheetName val="DATA_PRG"/>
      <sheetName val="Nspt-smp-final-ORIGINAL"/>
      <sheetName val="BM-HOOP"/>
      <sheetName val="DATA-CD (New)"/>
      <sheetName val="Data"/>
      <sheetName val="detls"/>
      <sheetName val="Data o"/>
      <sheetName val="Lead  RATES"/>
      <sheetName val="labour coeff"/>
      <sheetName val="Quarry"/>
      <sheetName val="SUMP1420KL@HW"/>
      <sheetName val="RMR"/>
      <sheetName val="MRATES"/>
      <sheetName val="Mp-team 1"/>
      <sheetName val="Lead statement ss5"/>
      <sheetName val="ssr-rates"/>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Gen abst (2)"/>
      <sheetName val="m1"/>
      <sheetName val="Abstract Estmate "/>
      <sheetName val="lead rates SSR"/>
      <sheetName val="Sheet1 (2)"/>
      <sheetName val="Bitumen trunk"/>
      <sheetName val="Feeder"/>
      <sheetName val="R99 etc"/>
      <sheetName val="Trunk unpaved"/>
      <sheetName val="Road Detail Est."/>
      <sheetName val="Road data"/>
      <sheetName val="int-Dia-hdpe"/>
      <sheetName val="habs-list"/>
      <sheetName val="int-Dia-pvc"/>
      <sheetName val="segments-details"/>
      <sheetName val="Sheet3"/>
      <sheetName val="Calendar"/>
      <sheetName val="CS "/>
      <sheetName val="abs road"/>
      <sheetName val="R_Det"/>
      <sheetName val="Sheet9"/>
      <sheetName val="labour rates"/>
      <sheetName val="Headings"/>
      <sheetName val="Basement Budget"/>
      <sheetName val="HDPE"/>
      <sheetName val="pvc_basic"/>
      <sheetName val="other rates"/>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Sheet5"/>
      <sheetName val="cert"/>
      <sheetName val="Lead"/>
      <sheetName val="Labour"/>
      <sheetName val="Lead statement ss5"/>
      <sheetName val="maya"/>
      <sheetName val="Material"/>
      <sheetName val="Plant &amp;  Machinery"/>
      <sheetName val="Iocount"/>
      <sheetName val="int-Dia"/>
      <sheetName val="habs-list"/>
      <sheetName val="nodes"/>
      <sheetName val="m"/>
      <sheetName val="DATA_PRG"/>
      <sheetName val="SUMP1420KL@HW"/>
      <sheetName val="Sheet1 (2)"/>
      <sheetName val="MRATES"/>
      <sheetName val="Wordsdata"/>
      <sheetName val="detls"/>
      <sheetName val="Sheet3"/>
      <sheetName val="3V 6mt "/>
      <sheetName val="Levels"/>
      <sheetName val="3V 1000PC "/>
      <sheetName val="1V 3mt"/>
      <sheetName val="Road dam"/>
      <sheetName val="r"/>
      <sheetName val="int-Dia-hdpe"/>
      <sheetName val="int-Dia-pvc"/>
      <sheetName val="segments-details"/>
      <sheetName val="Usage"/>
      <sheetName val="87.Gazinagar"/>
      <sheetName val="Input"/>
      <sheetName val="hdpe weights"/>
      <sheetName val="PVC weights"/>
      <sheetName val="index"/>
      <sheetName val="HDPE-pipe-rates"/>
      <sheetName val="pvc-pipe-rates"/>
      <sheetName val="CDdata_(2)"/>
      <sheetName val="CDdata_(2)1"/>
      <sheetName val="Quarry"/>
      <sheetName val="data existing_do not delete"/>
      <sheetName val="labour coeff"/>
      <sheetName val="Boq"/>
      <sheetName val="MRoad data"/>
      <sheetName val="DISCOUNT"/>
      <sheetName val="Basement Budget"/>
      <sheetName val="Indices"/>
      <sheetName val="RMR"/>
      <sheetName val="Sheet1_(2)"/>
      <sheetName val="ESTT"/>
      <sheetName val="R_Det"/>
      <sheetName val="Road data"/>
      <sheetName val="Sheet1"/>
      <sheetName val="IO LIST"/>
      <sheetName val="INPUT SHEET"/>
      <sheetName val="RES-PLANNING"/>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other rates"/>
      <sheetName val="leads"/>
      <sheetName val="RAFT"/>
      <sheetName val="maya"/>
      <sheetName val="FB - 1L"/>
      <sheetName val="r"/>
      <sheetName val="Specification"/>
      <sheetName val="l"/>
      <sheetName val="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4">
          <cell r="G4">
            <v>196</v>
          </cell>
        </row>
        <row r="48">
          <cell r="G48">
            <v>223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8">
          <cell r="D118">
            <v>4581.2</v>
          </cell>
        </row>
      </sheetData>
      <sheetData sheetId="12" refreshError="1"/>
      <sheetData sheetId="13" refreshError="1"/>
      <sheetData sheetId="14" refreshError="1"/>
      <sheetData sheetId="15" refreshError="1">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8">
          <cell r="D118">
            <v>4581.2</v>
          </cell>
        </row>
      </sheetData>
      <sheetData sheetId="12" refreshError="1"/>
      <sheetData sheetId="13" refreshError="1"/>
      <sheetData sheetId="14" refreshError="1"/>
      <sheetData sheetId="15" refreshError="1">
        <row r="17">
          <cell r="D17">
            <v>106</v>
          </cell>
        </row>
        <row r="18">
          <cell r="D18">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Data"/>
      <sheetName val="6.5%"/>
      <sheetName val="10%"/>
      <sheetName val="One vent Pipe"/>
      <sheetName val="Four vents"/>
      <sheetName val="two vents"/>
      <sheetName val="Lead"/>
      <sheetName val="Designs"/>
      <sheetName val="3Vents"/>
      <sheetName val="Abut"/>
      <sheetName val="Pier"/>
      <sheetName val="Speci"/>
      <sheetName val="One vent "/>
      <sheetName val="ewst"/>
      <sheetName val="bundqty"/>
      <sheetName val="r"/>
      <sheetName val="sectorwise"/>
      <sheetName val="v"/>
      <sheetName val="ABS"/>
      <sheetName val="Marteru"/>
      <sheetName val="Plant _  Machinery"/>
      <sheetName val="maya"/>
      <sheetName val="Nspt-smp-final-ORIGINAL"/>
      <sheetName val="Usage "/>
      <sheetName val="Data o"/>
      <sheetName val="beam-reinft"/>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
      <sheetName val="Four_vents"/>
      <sheetName val="two_vents"/>
      <sheetName val="One_vent_"/>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One_vent_Pipe1"/>
      <sheetName val="Four_vents1"/>
      <sheetName val="two_vents1"/>
      <sheetName val="One_vent_1"/>
      <sheetName val="MRATES"/>
      <sheetName val="m"/>
      <sheetName val="Specification"/>
      <sheetName val="cert"/>
      <sheetName val="leads"/>
      <sheetName val="Dormitory"/>
      <sheetName val="Lead  RATES"/>
      <sheetName val="PRECAST lightconc-II"/>
      <sheetName val="Data.F8.BTR"/>
      <sheetName val="lead-st"/>
      <sheetName val="Sheet9"/>
      <sheetName val="m1"/>
      <sheetName val="hdpe weights"/>
      <sheetName val="PVC weights"/>
      <sheetName val="index"/>
      <sheetName val="Input"/>
      <sheetName val="DATA-BASE"/>
      <sheetName val="DATA-ABSTRACT"/>
    </sheetNames>
    <sheetDataSet>
      <sheetData sheetId="0" refreshError="1"/>
      <sheetData sheetId="1" refreshError="1"/>
      <sheetData sheetId="2" refreshError="1"/>
      <sheetData sheetId="3" refreshError="1">
        <row r="3">
          <cell r="D3">
            <v>156</v>
          </cell>
        </row>
        <row r="5">
          <cell r="D5">
            <v>137</v>
          </cell>
        </row>
      </sheetData>
      <sheetData sheetId="4" refreshError="1">
        <row r="4">
          <cell r="D4">
            <v>852.89666666666676</v>
          </cell>
        </row>
        <row r="110">
          <cell r="D110">
            <v>18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Plant _  Machinery"/>
      <sheetName val="Chapt%r-2"/>
      <sheetName val="Plant_&amp;__Machinery"/>
      <sheetName val="Lead_statement"/>
      <sheetName val="Summary_of_Rates"/>
      <sheetName val="Basic_Approach"/>
      <sheetName val="Plant_&amp;__Machinery1"/>
      <sheetName val="Lead_statement1"/>
      <sheetName val="Summary_of_Rates1"/>
      <sheetName val="Basic_Approach1"/>
      <sheetName val="Lead"/>
      <sheetName val="m"/>
      <sheetName val="ewst"/>
      <sheetName val="v"/>
      <sheetName val="Plant_&amp;__Machinery2"/>
      <sheetName val="Lead_statement2"/>
      <sheetName val="Summary_of_Rates2"/>
      <sheetName val="Basic_Approach2"/>
      <sheetName val="Plant____Machinery"/>
      <sheetName val="leads"/>
      <sheetName val="Sheet1 (2)"/>
      <sheetName val="MRATES"/>
      <sheetName val="Common "/>
      <sheetName val="t_prsr"/>
      <sheetName val="wh"/>
      <sheetName val="Iocount"/>
      <sheetName val="HDPE-pipe-rates"/>
      <sheetName val="pvc-pipe-rates"/>
      <sheetName val="hdpe weights"/>
      <sheetName val="PVC weights"/>
      <sheetName val="Sheet5"/>
      <sheetName val="habs-list"/>
      <sheetName val="nodes"/>
      <sheetName val="Data"/>
      <sheetName val="RMR"/>
      <sheetName val="index"/>
      <sheetName val="r"/>
      <sheetName val="detls"/>
      <sheetName val="mlead"/>
      <sheetName val="int-Dia-hdpe"/>
      <sheetName val="int-Dia-pvc"/>
      <sheetName val="hdpe-rates"/>
      <sheetName val="pvc-rates"/>
      <sheetName val="Data.F8.BTR"/>
      <sheetName val="DATA_PRG"/>
      <sheetName val="ssr-rates"/>
      <sheetName val="Sheet3"/>
      <sheetName val="SSR 2014-15 Rates"/>
      <sheetName val="FORM7"/>
      <sheetName val="l"/>
      <sheetName val="PS1"/>
      <sheetName val="Plant 㫨  Machinery"/>
      <sheetName val="Plant_㫨__Machinery"/>
      <sheetName val="Plant_㫨__Machinery1"/>
      <sheetName val="Plant_㫨__Machinery2"/>
      <sheetName val="Rates SSR 2008-09"/>
      <sheetName val="data existing_do not delete"/>
      <sheetName val="DATA-BASE"/>
      <sheetName val="DATA-ABSTRACT"/>
      <sheetName val="Specification report"/>
      <sheetName val="maya"/>
      <sheetName val="Publicbuilding"/>
      <sheetName val="mas_hab"/>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4"/>
      <sheetName val="Lead_statement4"/>
      <sheetName val="Summary_of_Rates4"/>
      <sheetName val="Basic_Approach4"/>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5"/>
      <sheetName val="Lead_statement5"/>
      <sheetName val="Summary_of_Rates5"/>
      <sheetName val="Basic_Approach5"/>
      <sheetName val="Plant____Machinery2"/>
      <sheetName val="Sheet1_(2)1"/>
      <sheetName val="Common_1"/>
      <sheetName val="hdpe_weights1"/>
      <sheetName val="PVC_weights1"/>
      <sheetName val="Road data"/>
      <sheetName val="IO LIST"/>
      <sheetName val="coverpage"/>
      <sheetName val="R_Det"/>
      <sheetName val="BWSCPlt"/>
      <sheetName val="CI"/>
      <sheetName val="DI"/>
      <sheetName val="G.R.P"/>
      <sheetName val="HDPE"/>
      <sheetName val="PSC REVISED"/>
      <sheetName val="pvc"/>
      <sheetName val="ARRR-ver-1104-Chandegaon"/>
      <sheetName val="Bitumen trunk"/>
      <sheetName val="Feeder"/>
      <sheetName val="R99 etc"/>
      <sheetName val="Trunk unpaved"/>
      <sheetName val="Main sheet"/>
      <sheetName val="FB - 1L"/>
      <sheetName val="Activity No (A) ( 12)  "/>
      <sheetName val="covence16-17"/>
      <sheetName val="Alapadu"/>
      <sheetName val="Specification"/>
      <sheetName val="INPUT SHEET"/>
      <sheetName val="RES-PLANNING"/>
      <sheetName val="Macro1"/>
      <sheetName val="0000000000000"/>
      <sheetName val="cert"/>
      <sheetName val="Nspt-smp-final-ORIGINAL"/>
      <sheetName val="id"/>
      <sheetName val="DISCOUNT"/>
      <sheetName val="PRECAST lightconc-II"/>
      <sheetName val="Av.G Level"/>
      <sheetName val="Dn LF Sluice"/>
      <sheetName val="Wordsdata"/>
      <sheetName val="Design"/>
      <sheetName val="lable I"/>
      <sheetName val="Levels"/>
      <sheetName val="Data base"/>
      <sheetName val="MRoad data"/>
      <sheetName val="Pop"/>
      <sheetName val="ew OG"/>
      <sheetName val="Revised rates(SSR 2015-16)"/>
      <sheetName val="Abs"/>
      <sheetName val="PROCTOR"/>
      <sheetName val="SEGMENTS"/>
      <sheetName val="economic PM"/>
      <sheetName val="L040"/>
      <sheetName val="Detailed"/>
      <sheetName val="segments-details"/>
      <sheetName val="I-CO"/>
      <sheetName val="Mp-team 1"/>
      <sheetName val="Rates2"/>
      <sheetName val="abs road"/>
      <sheetName val="Spec"/>
      <sheetName val="Masonry"/>
      <sheetName val="final abstract"/>
      <sheetName val="Set"/>
      <sheetName val="Data 07-08 "/>
      <sheetName val="Indices"/>
      <sheetName val="Gates and Pergola Data"/>
      <sheetName val="Usage"/>
      <sheetName val="2.0m  slab"/>
      <sheetName val="bundqty"/>
      <sheetName val="int-Dia"/>
      <sheetName val="Sheet10"/>
      <sheetName val="bmrm lead"/>
      <sheetName val="ccoddad"/>
      <sheetName val="Sheet7"/>
      <sheetName val="Pormalla ccrd"/>
      <sheetName val="Sheet4"/>
      <sheetName val="Sheet6"/>
      <sheetName val="Sheet9"/>
      <sheetName val="hdpe_basic"/>
      <sheetName val="pvc_basic"/>
      <sheetName val="BM-HOOP"/>
      <sheetName val="Work_sheet"/>
      <sheetName val="Data rough"/>
      <sheetName val="water-hammar-strenght"/>
      <sheetName val=" data sheet "/>
      <sheetName val="TOP SLAB-beams"/>
      <sheetName val="Ward areas"/>
      <sheetName val="labour rates"/>
      <sheetName val="pumping main"/>
      <sheetName val="WATER-HAMMER"/>
      <sheetName val="LABOUR RATE"/>
      <sheetName val="Material Rate"/>
      <sheetName val="Cover sheet"/>
      <sheetName val="PM&amp;GM"/>
      <sheetName val="m1"/>
      <sheetName val="ESTIMATE"/>
      <sheetName val="ww-march-02"/>
      <sheetName val="clvrt_data"/>
      <sheetName val="CBL_OD"/>
      <sheetName val="LOCAL RATES"/>
      <sheetName val="Output"/>
      <sheetName val="GN-ST-10"/>
      <sheetName val="Road Detail Est."/>
      <sheetName val="Process"/>
      <sheetName val="Data-ELSR"/>
      <sheetName val="Mortars"/>
      <sheetName val=" Data -Valves"/>
      <sheetName val="ABS.C.D."/>
      <sheetName val="Data_Bit_I"/>
      <sheetName val="General"/>
      <sheetName val="MTC-estimate"/>
      <sheetName val="Cover"/>
      <sheetName val="Global factors"/>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Gen Abs"/>
      <sheetName val="other rates"/>
      <sheetName val="hdpe-int-Dia"/>
      <sheetName val="E-Table"/>
      <sheetName val="pvc-int-Dia"/>
      <sheetName val="Rates-May-14"/>
      <sheetName val="boredetails"/>
      <sheetName val="Lead statement ss5"/>
      <sheetName val="INPUT-DATA"/>
      <sheetName val="sg-clay(d)"/>
      <sheetName val="dlvoid"/>
      <sheetName val="foundation(V)"/>
      <sheetName val="Main"/>
      <sheetName val="Design of two-way slab"/>
      <sheetName val="Rd.Det.Est"/>
      <sheetName val="Boq"/>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 val="wh_data_R"/>
      <sheetName val="lead-st"/>
      <sheetName val="3405-2014"/>
      <sheetName val="3V 6mt "/>
      <sheetName val="Road dam"/>
      <sheetName val="3V 1000PC "/>
      <sheetName val="1V 3mt"/>
      <sheetName val="_5wgdhabfinal00_01"/>
      <sheetName val="doq-10"/>
      <sheetName val="2. WorkType"/>
      <sheetName val="RAFT"/>
      <sheetName val="DI gate-DI"/>
      <sheetName val="DIgate_PVC "/>
      <sheetName val="data-WC"/>
      <sheetName val="SLAB  DATA"/>
      <sheetName val="sectorwise"/>
      <sheetName val="Quarry"/>
      <sheetName val="Rates"/>
      <sheetName val="PVC_dia"/>
      <sheetName val="_x0000_A"/>
      <sheetName val=""/>
      <sheetName val="A"/>
      <sheetName val="Sketch"/>
      <sheetName val="SS TANK(HOMO)"/>
      <sheetName val="DATA SHEET"/>
      <sheetName val="Hyd_Stmt"/>
      <sheetName val="analysis"/>
      <sheetName val="floor slab-RS2"/>
      <sheetName val="stone"/>
      <sheetName val="C-data"/>
      <sheetName val="wh_data"/>
      <sheetName val="CPHEEO"/>
      <sheetName val="input"/>
      <sheetName val="rdamdata"/>
      <sheetName val="Data-2011-12"/>
      <sheetName val="ultmom"/>
      <sheetName val="Staff Acco."/>
      <sheetName val="Annex- 6 - Delinator"/>
      <sheetName val="1V800"/>
      <sheetName val="BTR"/>
      <sheetName val="GenAbst"/>
      <sheetName val="(Road-Project)"/>
      <sheetName val="Listing Design 1"/>
      <sheetName val="SEIGNIORAGE CHARGES"/>
      <sheetName val="Seign chrgs"/>
      <sheetName val="WD"/>
      <sheetName val="ZP Building  Estimate "/>
      <sheetName val="WD NEW"/>
      <sheetName val="WD NEW (2)"/>
      <sheetName val="WD NEW (3)"/>
      <sheetName val="Ele data "/>
      <sheetName val="CENTERING"/>
      <sheetName val="MACHINARY"/>
      <sheetName val="TRANSPORT"/>
      <sheetName val="C.D.Abs.Est."/>
      <sheetName val="Line"/>
      <sheetName val="Gen Abs (2)"/>
      <sheetName val="Samctioned eestimate"/>
      <sheetName val="working estimate"/>
      <sheetName val="Seiniorage Roads"/>
      <sheetName val="CS"/>
      <sheetName val="CS (2)"/>
      <sheetName val="Inputs"/>
      <sheetName val="HP(9.200)"/>
      <sheetName val="kC"/>
      <sheetName val="prjt"/>
      <sheetName val="Hamlet_Data_2300"/>
      <sheetName val="KEOLARI"/>
      <sheetName val="Lead (Final)"/>
      <sheetName val="Material "/>
      <sheetName val="labour &amp; Centering"/>
      <sheetName val="ABSTRACT"/>
      <sheetName val="(4)F-81 Exp.side"/>
      <sheetName val="New33KVSS_E3"/>
      <sheetName val="Prop aug of Ex 33KVSS_E3a"/>
      <sheetName val="FIRST"/>
      <sheetName val="NALA-LS"/>
      <sheetName val="X-BOX HYD"/>
      <sheetName val="X-TRAIL PIT DETAILS"/>
      <sheetName val="X-BLOCK LEVELS"/>
      <sheetName val="MACRO-BACK UP"/>
      <sheetName val="Side walls (earth)"/>
      <sheetName val="DREV"/>
      <sheetName val="CREV"/>
      <sheetName val="app2"/>
      <sheetName val="Leads 08-09"/>
      <sheetName val="QTY"/>
      <sheetName val="Rising Main"/>
      <sheetName val="ANGAN"/>
      <sheetName val="Rectangular Beam"/>
      <sheetName val="Culverts"/>
      <sheetName val="QUOT_1"/>
      <sheetName val="Scheme Area Details_Block__ C2"/>
      <sheetName val="Analy"/>
      <sheetName val="Form_E6"/>
      <sheetName val="E8"/>
      <sheetName val="E11"/>
      <sheetName val="E6"/>
      <sheetName val="ELE "/>
      <sheetName val="GUNDLASAGAR"/>
      <sheetName val="Habcodes"/>
      <sheetName val="not req 3"/>
      <sheetName val="AV-HDPE"/>
      <sheetName val="Di_gate-HDPE"/>
      <sheetName val="HDPE Manual"/>
      <sheetName val="PUMP_DATA"/>
      <sheetName val="DATA SHEET FOR 2012 - 13"/>
      <sheetName val="data sheet for 2014-15"/>
      <sheetName val="road est"/>
      <sheetName val="Line Road"/>
      <sheetName val="Irrigation"/>
      <sheetName val="hfa_complete_report"/>
      <sheetName val="UDA-list"/>
      <sheetName val="HS 30.04.2015.Final"/>
      <sheetName val="EST- Laxmidevipally"/>
      <sheetName val="Sorted"/>
      <sheetName val="AC"/>
      <sheetName val="AV-BWSC&amp;MS"/>
      <sheetName val="AV_AC"/>
      <sheetName val="AV-DI"/>
      <sheetName val="di_Gate_AC"/>
      <sheetName val="Digate-BWSCP-MS"/>
      <sheetName val="DI_gate_di"/>
      <sheetName val="scour-DI-CI"/>
      <sheetName val="scour-pvc-hdpe-psc-bwsc"/>
      <sheetName val="11.Habitations"/>
    </sheetNames>
    <sheetDataSet>
      <sheetData sheetId="0">
        <row r="6">
          <cell r="G6">
            <v>4082</v>
          </cell>
        </row>
      </sheetData>
      <sheetData sheetId="1">
        <row r="4">
          <cell r="D4">
            <v>137</v>
          </cell>
        </row>
      </sheetData>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row r="6">
          <cell r="G6">
            <v>4082</v>
          </cell>
        </row>
      </sheetData>
      <sheetData sheetId="5">
        <row r="6">
          <cell r="G6">
            <v>4082</v>
          </cell>
        </row>
      </sheetData>
      <sheetData sheetId="6" refreshError="1">
        <row r="6">
          <cell r="G6">
            <v>4082</v>
          </cell>
        </row>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row r="6">
          <cell r="G6">
            <v>4082</v>
          </cell>
        </row>
      </sheetData>
      <sheetData sheetId="8">
        <row r="4">
          <cell r="D4">
            <v>137</v>
          </cell>
        </row>
      </sheetData>
      <sheetData sheetId="9">
        <row r="6">
          <cell r="G6">
            <v>4082</v>
          </cell>
        </row>
      </sheetData>
      <sheetData sheetId="10"/>
      <sheetData sheetId="11">
        <row r="42">
          <cell r="D42">
            <v>13875.8</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6">
          <cell r="G6">
            <v>4082</v>
          </cell>
        </row>
      </sheetData>
      <sheetData sheetId="40"/>
      <sheetData sheetId="41"/>
      <sheetData sheetId="42"/>
      <sheetData sheetId="43">
        <row r="6">
          <cell r="G6">
            <v>4082</v>
          </cell>
        </row>
      </sheetData>
      <sheetData sheetId="44">
        <row r="6">
          <cell r="G6">
            <v>4082</v>
          </cell>
        </row>
      </sheetData>
      <sheetData sheetId="45" refreshError="1"/>
      <sheetData sheetId="46">
        <row r="6">
          <cell r="G6">
            <v>4082</v>
          </cell>
        </row>
      </sheetData>
      <sheetData sheetId="47">
        <row r="6">
          <cell r="G6">
            <v>4082</v>
          </cell>
        </row>
      </sheetData>
      <sheetData sheetId="48">
        <row r="6">
          <cell r="G6">
            <v>4082</v>
          </cell>
        </row>
      </sheetData>
      <sheetData sheetId="49">
        <row r="6">
          <cell r="G6">
            <v>4082</v>
          </cell>
        </row>
      </sheetData>
      <sheetData sheetId="50">
        <row r="6">
          <cell r="G6">
            <v>4082</v>
          </cell>
        </row>
      </sheetData>
      <sheetData sheetId="51">
        <row r="6">
          <cell r="G6">
            <v>4082</v>
          </cell>
        </row>
      </sheetData>
      <sheetData sheetId="52">
        <row r="6">
          <cell r="G6">
            <v>4082</v>
          </cell>
        </row>
      </sheetData>
      <sheetData sheetId="53">
        <row r="6">
          <cell r="G6">
            <v>4082</v>
          </cell>
        </row>
      </sheetData>
      <sheetData sheetId="54" refreshError="1"/>
      <sheetData sheetId="55" refreshError="1"/>
      <sheetData sheetId="56" refreshError="1"/>
      <sheetData sheetId="57" refreshError="1"/>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refreshError="1"/>
      <sheetData sheetId="1" refreshError="1"/>
      <sheetData sheetId="2" refreshError="1">
        <row r="4">
          <cell r="G4">
            <v>206</v>
          </cell>
        </row>
        <row r="5">
          <cell r="G5">
            <v>7150</v>
          </cell>
        </row>
        <row r="6">
          <cell r="G6" t="str">
            <v>Input Rate</v>
          </cell>
        </row>
        <row r="8">
          <cell r="G8">
            <v>128</v>
          </cell>
        </row>
        <row r="9">
          <cell r="G9" t="str">
            <v>Input Rate</v>
          </cell>
        </row>
        <row r="10">
          <cell r="G10">
            <v>516</v>
          </cell>
        </row>
        <row r="11">
          <cell r="G11">
            <v>150</v>
          </cell>
        </row>
        <row r="13">
          <cell r="G13">
            <v>2400</v>
          </cell>
        </row>
        <row r="15">
          <cell r="G15">
            <v>450</v>
          </cell>
        </row>
        <row r="17">
          <cell r="G17">
            <v>520</v>
          </cell>
        </row>
        <row r="19">
          <cell r="G19">
            <v>230</v>
          </cell>
        </row>
        <row r="20">
          <cell r="G20">
            <v>1100</v>
          </cell>
        </row>
        <row r="21">
          <cell r="G21">
            <v>1700</v>
          </cell>
        </row>
        <row r="22">
          <cell r="G22" t="str">
            <v>Input Rate</v>
          </cell>
        </row>
        <row r="23">
          <cell r="G23" t="str">
            <v>Input Rate</v>
          </cell>
        </row>
        <row r="24">
          <cell r="G24" t="str">
            <v>Input Rate</v>
          </cell>
        </row>
        <row r="25">
          <cell r="G25">
            <v>1545</v>
          </cell>
        </row>
        <row r="27">
          <cell r="G27" t="str">
            <v>Input Rate</v>
          </cell>
        </row>
        <row r="28">
          <cell r="G28">
            <v>1725</v>
          </cell>
        </row>
        <row r="29">
          <cell r="G29" t="str">
            <v>Input Rate</v>
          </cell>
        </row>
        <row r="30">
          <cell r="G30" t="str">
            <v>Input Rate</v>
          </cell>
        </row>
        <row r="31">
          <cell r="G31" t="str">
            <v>Input Rate</v>
          </cell>
        </row>
        <row r="34">
          <cell r="G34">
            <v>297</v>
          </cell>
        </row>
        <row r="45">
          <cell r="G45">
            <v>200</v>
          </cell>
        </row>
        <row r="46">
          <cell r="G46">
            <v>234</v>
          </cell>
        </row>
        <row r="47">
          <cell r="G47">
            <v>252</v>
          </cell>
        </row>
        <row r="48">
          <cell r="G48">
            <v>234</v>
          </cell>
        </row>
        <row r="49">
          <cell r="G49">
            <v>11</v>
          </cell>
        </row>
        <row r="51">
          <cell r="G51">
            <v>994</v>
          </cell>
        </row>
        <row r="53">
          <cell r="G53">
            <v>234</v>
          </cell>
        </row>
        <row r="54">
          <cell r="G54">
            <v>777</v>
          </cell>
        </row>
      </sheetData>
      <sheetData sheetId="3" refreshError="1">
        <row r="3">
          <cell r="D3">
            <v>150</v>
          </cell>
        </row>
        <row r="4">
          <cell r="D4">
            <v>131</v>
          </cell>
        </row>
        <row r="5">
          <cell r="D5">
            <v>131</v>
          </cell>
        </row>
        <row r="6">
          <cell r="D6">
            <v>150</v>
          </cell>
        </row>
        <row r="7">
          <cell r="D7">
            <v>150</v>
          </cell>
        </row>
        <row r="8">
          <cell r="D8">
            <v>131</v>
          </cell>
        </row>
        <row r="9">
          <cell r="D9">
            <v>131</v>
          </cell>
        </row>
        <row r="10">
          <cell r="D10">
            <v>150</v>
          </cell>
        </row>
        <row r="11">
          <cell r="D11">
            <v>150</v>
          </cell>
        </row>
        <row r="14">
          <cell r="D14">
            <v>150</v>
          </cell>
        </row>
        <row r="15">
          <cell r="D15">
            <v>131</v>
          </cell>
        </row>
        <row r="16">
          <cell r="D16">
            <v>131</v>
          </cell>
        </row>
        <row r="17">
          <cell r="D17">
            <v>101</v>
          </cell>
        </row>
        <row r="18">
          <cell r="D18">
            <v>131</v>
          </cell>
        </row>
        <row r="19">
          <cell r="D19">
            <v>150</v>
          </cell>
        </row>
        <row r="20">
          <cell r="D20">
            <v>150</v>
          </cell>
        </row>
        <row r="21">
          <cell r="D21">
            <v>150</v>
          </cell>
        </row>
        <row r="22">
          <cell r="D22">
            <v>150</v>
          </cell>
        </row>
        <row r="23">
          <cell r="D23">
            <v>131</v>
          </cell>
        </row>
      </sheetData>
      <sheetData sheetId="4" refreshError="1">
        <row r="3">
          <cell r="D3">
            <v>93.6</v>
          </cell>
        </row>
        <row r="4">
          <cell r="D4" t="str">
            <v>Input Rate</v>
          </cell>
        </row>
        <row r="5">
          <cell r="D5" t="str">
            <v>Input Rate</v>
          </cell>
        </row>
        <row r="6">
          <cell r="D6" t="str">
            <v>Input Rate</v>
          </cell>
        </row>
        <row r="7">
          <cell r="D7" t="str">
            <v>Input Rate</v>
          </cell>
        </row>
        <row r="8">
          <cell r="D8" t="str">
            <v>Input Rate</v>
          </cell>
        </row>
        <row r="9">
          <cell r="D9" t="str">
            <v>Input Rate</v>
          </cell>
        </row>
        <row r="10">
          <cell r="D10" t="str">
            <v>Input Rate</v>
          </cell>
        </row>
        <row r="11">
          <cell r="D11" t="str">
            <v>Input Rate</v>
          </cell>
        </row>
        <row r="12">
          <cell r="D12" t="str">
            <v>Input Rate</v>
          </cell>
        </row>
        <row r="13">
          <cell r="D13" t="str">
            <v>Input Rate</v>
          </cell>
        </row>
        <row r="14">
          <cell r="D14" t="str">
            <v>Input Rate</v>
          </cell>
        </row>
        <row r="15">
          <cell r="D15" t="str">
            <v>Input Rate</v>
          </cell>
        </row>
        <row r="16">
          <cell r="D16" t="str">
            <v>Input Rate</v>
          </cell>
        </row>
        <row r="17">
          <cell r="D17">
            <v>615.35</v>
          </cell>
        </row>
        <row r="18">
          <cell r="D18">
            <v>811.6</v>
          </cell>
        </row>
        <row r="19">
          <cell r="D19">
            <v>560.35</v>
          </cell>
        </row>
        <row r="20">
          <cell r="D20" t="str">
            <v>Input Rate</v>
          </cell>
        </row>
        <row r="21">
          <cell r="D21" t="str">
            <v>Input Rate</v>
          </cell>
        </row>
        <row r="22">
          <cell r="D22" t="str">
            <v>Input Rate</v>
          </cell>
        </row>
        <row r="23">
          <cell r="D23" t="str">
            <v>Input Rate</v>
          </cell>
        </row>
        <row r="24">
          <cell r="D24">
            <v>411.41</v>
          </cell>
        </row>
        <row r="25">
          <cell r="D25">
            <v>519.51</v>
          </cell>
        </row>
        <row r="26">
          <cell r="D26" t="str">
            <v>Input Rate</v>
          </cell>
        </row>
        <row r="27">
          <cell r="D27" t="str">
            <v>Input Rate</v>
          </cell>
        </row>
        <row r="28">
          <cell r="D28">
            <v>167</v>
          </cell>
        </row>
        <row r="29">
          <cell r="D29" t="str">
            <v>Input Rate</v>
          </cell>
        </row>
        <row r="30">
          <cell r="D30" t="str">
            <v>Input Rate</v>
          </cell>
        </row>
        <row r="31">
          <cell r="D31" t="str">
            <v>Input Rate</v>
          </cell>
        </row>
        <row r="32">
          <cell r="D32" t="str">
            <v>Input Rate</v>
          </cell>
        </row>
        <row r="33">
          <cell r="D33" t="str">
            <v>Input Rate</v>
          </cell>
        </row>
        <row r="34">
          <cell r="D34" t="str">
            <v>Input Rate</v>
          </cell>
        </row>
        <row r="35">
          <cell r="D35" t="str">
            <v>Input Rate</v>
          </cell>
        </row>
        <row r="36">
          <cell r="D36">
            <v>22</v>
          </cell>
        </row>
        <row r="37">
          <cell r="D37">
            <v>38.5</v>
          </cell>
        </row>
        <row r="38">
          <cell r="D38" t="str">
            <v>Input Rate</v>
          </cell>
        </row>
        <row r="39">
          <cell r="D39">
            <v>15472.42</v>
          </cell>
        </row>
        <row r="40">
          <cell r="D40" t="str">
            <v>Input Rate</v>
          </cell>
        </row>
        <row r="41">
          <cell r="D41" t="str">
            <v>Input Rate</v>
          </cell>
        </row>
        <row r="42">
          <cell r="D42">
            <v>12895.7</v>
          </cell>
        </row>
        <row r="43">
          <cell r="D43">
            <v>12097.28</v>
          </cell>
        </row>
        <row r="44">
          <cell r="D44" t="str">
            <v>Input Rate</v>
          </cell>
        </row>
        <row r="45">
          <cell r="D45">
            <v>11976.31</v>
          </cell>
        </row>
        <row r="46">
          <cell r="D46">
            <v>16</v>
          </cell>
        </row>
        <row r="47">
          <cell r="D47">
            <v>331.1</v>
          </cell>
        </row>
        <row r="48">
          <cell r="D48" t="str">
            <v>Input Rate</v>
          </cell>
        </row>
        <row r="49">
          <cell r="D49" t="str">
            <v>Input Rate</v>
          </cell>
        </row>
        <row r="50">
          <cell r="D50">
            <v>1.51</v>
          </cell>
        </row>
        <row r="51">
          <cell r="D51">
            <v>2700</v>
          </cell>
        </row>
        <row r="52">
          <cell r="D52">
            <v>65</v>
          </cell>
        </row>
        <row r="54">
          <cell r="D54" t="str">
            <v>Input Rate</v>
          </cell>
        </row>
        <row r="59">
          <cell r="D59" t="str">
            <v>Input Rate</v>
          </cell>
        </row>
        <row r="61">
          <cell r="D61">
            <v>261.2</v>
          </cell>
        </row>
        <row r="62">
          <cell r="D62" t="str">
            <v>Input Rate</v>
          </cell>
        </row>
        <row r="63">
          <cell r="D63" t="str">
            <v>Input Rate</v>
          </cell>
        </row>
        <row r="64">
          <cell r="D64">
            <v>492.85</v>
          </cell>
        </row>
        <row r="65">
          <cell r="D65">
            <v>520.35</v>
          </cell>
        </row>
        <row r="66">
          <cell r="D66">
            <v>520.35</v>
          </cell>
        </row>
        <row r="67">
          <cell r="D67">
            <v>615.35</v>
          </cell>
        </row>
        <row r="68">
          <cell r="D68" t="str">
            <v>Input Rate</v>
          </cell>
        </row>
        <row r="69">
          <cell r="D69">
            <v>46.8</v>
          </cell>
        </row>
        <row r="70">
          <cell r="D70" t="str">
            <v>Input Rate</v>
          </cell>
        </row>
        <row r="72">
          <cell r="D72" t="str">
            <v>Input Rate</v>
          </cell>
        </row>
        <row r="73">
          <cell r="D73" t="str">
            <v>Input Rate</v>
          </cell>
        </row>
        <row r="74">
          <cell r="D74" t="str">
            <v>Input Rate</v>
          </cell>
        </row>
        <row r="75">
          <cell r="D75" t="str">
            <v>Input Rate</v>
          </cell>
        </row>
        <row r="77">
          <cell r="D77" t="str">
            <v>Input Rate</v>
          </cell>
        </row>
        <row r="78">
          <cell r="D78">
            <v>110</v>
          </cell>
        </row>
        <row r="79">
          <cell r="D79" t="str">
            <v>Input Rate</v>
          </cell>
        </row>
        <row r="80">
          <cell r="D80">
            <v>261.2</v>
          </cell>
        </row>
        <row r="83">
          <cell r="D83" t="str">
            <v>Input Rate</v>
          </cell>
        </row>
        <row r="85">
          <cell r="D85" t="str">
            <v>Input Rate</v>
          </cell>
        </row>
        <row r="86">
          <cell r="D86" t="str">
            <v>Input Rate</v>
          </cell>
        </row>
        <row r="87">
          <cell r="D87" t="str">
            <v>Input Rate</v>
          </cell>
        </row>
        <row r="88">
          <cell r="D88" t="str">
            <v>Input Rate</v>
          </cell>
        </row>
        <row r="89">
          <cell r="D89">
            <v>493.1</v>
          </cell>
        </row>
        <row r="90">
          <cell r="D90" t="str">
            <v>Input Rate</v>
          </cell>
        </row>
        <row r="91">
          <cell r="D91" t="str">
            <v>Input Rate</v>
          </cell>
        </row>
        <row r="92">
          <cell r="D92" t="str">
            <v>Input Rate</v>
          </cell>
        </row>
        <row r="93">
          <cell r="D93">
            <v>700</v>
          </cell>
        </row>
        <row r="94">
          <cell r="D94" t="str">
            <v>Input Rate</v>
          </cell>
        </row>
        <row r="95">
          <cell r="D95" t="str">
            <v>Input Rate</v>
          </cell>
        </row>
        <row r="96">
          <cell r="D96" t="str">
            <v>Input Rate</v>
          </cell>
        </row>
        <row r="97">
          <cell r="D97" t="str">
            <v>Input Rate</v>
          </cell>
        </row>
        <row r="99">
          <cell r="D99" t="str">
            <v>Input Rate</v>
          </cell>
        </row>
        <row r="100">
          <cell r="D100" t="str">
            <v>Input Rate</v>
          </cell>
        </row>
        <row r="102">
          <cell r="D102" t="str">
            <v>Input Rate</v>
          </cell>
        </row>
        <row r="103">
          <cell r="D103">
            <v>27500</v>
          </cell>
        </row>
        <row r="104">
          <cell r="D104" t="str">
            <v>Input Rate</v>
          </cell>
        </row>
        <row r="105">
          <cell r="D105" t="str">
            <v>Input Rate</v>
          </cell>
        </row>
        <row r="106">
          <cell r="D106" t="str">
            <v>Input Rate</v>
          </cell>
        </row>
        <row r="107">
          <cell r="D107">
            <v>34500</v>
          </cell>
        </row>
        <row r="108">
          <cell r="D108">
            <v>125</v>
          </cell>
        </row>
        <row r="109">
          <cell r="D109">
            <v>58.7</v>
          </cell>
        </row>
        <row r="110">
          <cell r="D110" t="str">
            <v>Input Rate</v>
          </cell>
        </row>
        <row r="111">
          <cell r="D111" t="str">
            <v>Input Rate</v>
          </cell>
        </row>
        <row r="113">
          <cell r="D113">
            <v>3921</v>
          </cell>
        </row>
        <row r="114">
          <cell r="D114">
            <v>2818</v>
          </cell>
        </row>
        <row r="115">
          <cell r="D115">
            <v>1738.5</v>
          </cell>
        </row>
        <row r="117">
          <cell r="D117">
            <v>837</v>
          </cell>
        </row>
        <row r="118">
          <cell r="D118">
            <v>4866</v>
          </cell>
        </row>
        <row r="119">
          <cell r="D119">
            <v>3600</v>
          </cell>
        </row>
        <row r="120">
          <cell r="D120">
            <v>2017.5</v>
          </cell>
        </row>
        <row r="122">
          <cell r="D122">
            <v>909</v>
          </cell>
        </row>
        <row r="123">
          <cell r="D123">
            <v>65</v>
          </cell>
        </row>
        <row r="124">
          <cell r="D124" t="str">
            <v>Input Rate</v>
          </cell>
        </row>
        <row r="125">
          <cell r="D125">
            <v>162.9</v>
          </cell>
        </row>
        <row r="126">
          <cell r="D126">
            <v>261.2</v>
          </cell>
        </row>
        <row r="127">
          <cell r="D127" t="str">
            <v>Input Rate</v>
          </cell>
        </row>
        <row r="130">
          <cell r="D130">
            <v>27500</v>
          </cell>
        </row>
        <row r="131">
          <cell r="D131">
            <v>28000</v>
          </cell>
        </row>
        <row r="132">
          <cell r="D132">
            <v>276.10000000000002</v>
          </cell>
        </row>
        <row r="133">
          <cell r="D133">
            <v>692.85</v>
          </cell>
        </row>
        <row r="135">
          <cell r="D135" t="str">
            <v>Input Rate</v>
          </cell>
        </row>
        <row r="136">
          <cell r="D136">
            <v>378.1</v>
          </cell>
        </row>
        <row r="137">
          <cell r="D137" t="str">
            <v>Input Rate</v>
          </cell>
        </row>
        <row r="138">
          <cell r="D138">
            <v>331.1</v>
          </cell>
        </row>
        <row r="139">
          <cell r="D139" t="str">
            <v>Input Rate</v>
          </cell>
        </row>
        <row r="140">
          <cell r="D140">
            <v>692.85</v>
          </cell>
        </row>
        <row r="142">
          <cell r="D142">
            <v>615.35</v>
          </cell>
        </row>
        <row r="143">
          <cell r="D143">
            <v>615.35</v>
          </cell>
        </row>
        <row r="144">
          <cell r="D144" t="str">
            <v>Input Rate</v>
          </cell>
        </row>
        <row r="145">
          <cell r="D145" t="str">
            <v>Input Rate</v>
          </cell>
        </row>
        <row r="146">
          <cell r="D146">
            <v>39</v>
          </cell>
        </row>
        <row r="147">
          <cell r="D147" t="str">
            <v>Input Rate</v>
          </cell>
        </row>
        <row r="148">
          <cell r="D148" t="str">
            <v>Input Rate</v>
          </cell>
        </row>
        <row r="149">
          <cell r="D149" t="str">
            <v>Input Rate</v>
          </cell>
        </row>
        <row r="150">
          <cell r="D150" t="str">
            <v>Input Rate</v>
          </cell>
        </row>
        <row r="151">
          <cell r="D151" t="str">
            <v>Input Rate</v>
          </cell>
        </row>
        <row r="152">
          <cell r="D152" t="str">
            <v>Input Rate</v>
          </cell>
        </row>
        <row r="153">
          <cell r="D153" t="str">
            <v>Input Rate</v>
          </cell>
        </row>
        <row r="154">
          <cell r="D154">
            <v>261.2</v>
          </cell>
        </row>
        <row r="155">
          <cell r="D155">
            <v>548.20000000000005</v>
          </cell>
        </row>
        <row r="156">
          <cell r="D156">
            <v>364.21</v>
          </cell>
        </row>
        <row r="157">
          <cell r="D157" t="str">
            <v>Input Rate</v>
          </cell>
        </row>
        <row r="158">
          <cell r="D158" t="str">
            <v>Input Rate</v>
          </cell>
        </row>
        <row r="159">
          <cell r="D159" t="str">
            <v>Input Rate</v>
          </cell>
        </row>
        <row r="160">
          <cell r="D160" t="str">
            <v>Input Rate</v>
          </cell>
        </row>
        <row r="161">
          <cell r="D161" t="str">
            <v>Input Rate</v>
          </cell>
        </row>
        <row r="162">
          <cell r="D162"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Lead statement"/>
      <sheetName val="Chapter-12"/>
    </sheetNames>
    <sheetDataSet>
      <sheetData sheetId="0"/>
      <sheetData sheetId="1"/>
      <sheetData sheetId="2"/>
      <sheetData sheetId="3" refreshError="1">
        <row r="6">
          <cell r="D6">
            <v>156</v>
          </cell>
        </row>
        <row r="11">
          <cell r="D11">
            <v>156</v>
          </cell>
        </row>
      </sheetData>
      <sheetData sheetId="4" refreshError="1">
        <row r="3">
          <cell r="D3"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Arrp data (3)"/>
    </sheetNames>
    <sheetDataSet>
      <sheetData sheetId="0" refreshError="1"/>
      <sheetData sheetId="1" refreshError="1"/>
      <sheetData sheetId="2" refreshError="1"/>
      <sheetData sheetId="3" refreshError="1">
        <row r="7">
          <cell r="D7">
            <v>150</v>
          </cell>
        </row>
        <row r="9">
          <cell r="D9">
            <v>131</v>
          </cell>
        </row>
        <row r="10">
          <cell r="D10">
            <v>150</v>
          </cell>
        </row>
        <row r="20">
          <cell r="D20">
            <v>150</v>
          </cell>
        </row>
        <row r="21">
          <cell r="D21">
            <v>150</v>
          </cell>
        </row>
        <row r="23">
          <cell r="D23">
            <v>131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Arrp data (3)"/>
      <sheetName val="Sheet3"/>
    </sheetNames>
    <sheetDataSet>
      <sheetData sheetId="0"/>
      <sheetData sheetId="1"/>
      <sheetData sheetId="2" refreshError="1">
        <row r="50">
          <cell r="G50">
            <v>200</v>
          </cell>
        </row>
      </sheetData>
      <sheetData sheetId="3" refreshError="1">
        <row r="13">
          <cell r="D13">
            <v>150</v>
          </cell>
        </row>
      </sheetData>
      <sheetData sheetId="4" refreshError="1">
        <row r="53">
          <cell r="D53" t="str">
            <v>Input Rate</v>
          </cell>
        </row>
        <row r="55">
          <cell r="D55" t="str">
            <v>Input Rate</v>
          </cell>
        </row>
        <row r="56">
          <cell r="D56" t="str">
            <v>Input Rate</v>
          </cell>
        </row>
        <row r="81">
          <cell r="D81" t="str">
            <v>Input Rate</v>
          </cell>
        </row>
        <row r="128">
          <cell r="D12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50">
          <cell r="G50">
            <v>200</v>
          </cell>
        </row>
      </sheetData>
      <sheetData sheetId="3" refreshError="1">
        <row r="13">
          <cell r="D13">
            <v>150</v>
          </cell>
        </row>
      </sheetData>
      <sheetData sheetId="4" refreshError="1">
        <row r="53">
          <cell r="D53" t="str">
            <v>Input Rate</v>
          </cell>
        </row>
        <row r="55">
          <cell r="D55" t="str">
            <v>Input Rate</v>
          </cell>
        </row>
        <row r="56">
          <cell r="D56" t="str">
            <v>Input Rate</v>
          </cell>
        </row>
        <row r="58">
          <cell r="D58">
            <v>30</v>
          </cell>
        </row>
        <row r="81">
          <cell r="D81" t="str">
            <v>Input Rate</v>
          </cell>
        </row>
        <row r="84">
          <cell r="D84" t="str">
            <v>Input Rate</v>
          </cell>
        </row>
        <row r="128">
          <cell r="D128"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Data_Base"/>
      <sheetName val="leads"/>
      <sheetName val="PLAN_FEB97"/>
      <sheetName val="Data_Bit_I"/>
      <sheetName val="RMR"/>
      <sheetName val="FB - 1L"/>
      <sheetName val="data existing_do not delete"/>
      <sheetName val="v"/>
      <sheetName val="Levels"/>
      <sheetName val="Road data"/>
      <sheetName val="ABS"/>
      <sheetName val="hdpe weights"/>
      <sheetName val="PVC weights"/>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Note file"/>
      <sheetName val="corr G.ABST27122010"/>
      <sheetName val="cover"/>
      <sheetName val="21-01-2011 GUJJA Abstract"/>
      <sheetName val="gujja road est-21-01-2011"/>
      <sheetName val="gujja det bridge-21-01.2011"/>
      <sheetName val="21-01.2011gujja bridge estt"/>
      <sheetName val="EWE"/>
      <sheetName val="21-01.2011 gujja Seign charges"/>
      <sheetName val="DATA-CD "/>
      <sheetName val="Data-Road "/>
      <sheetName val="Lead"/>
      <sheetName val="water_cost_certificate"/>
      <sheetName val="Model sh"/>
      <sheetName val="Seig_Calculations"/>
      <sheetName val="trans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6">
          <cell r="E6">
            <v>57.4</v>
          </cell>
        </row>
        <row r="7">
          <cell r="E7">
            <v>229.39999999999989</v>
          </cell>
        </row>
        <row r="8">
          <cell r="E8">
            <v>329.99999999999983</v>
          </cell>
        </row>
        <row r="13">
          <cell r="E13">
            <v>329.99999999999983</v>
          </cell>
        </row>
        <row r="20">
          <cell r="E20">
            <v>229.39999999999989</v>
          </cell>
        </row>
        <row r="21">
          <cell r="E21">
            <v>329.99999999999983</v>
          </cell>
        </row>
      </sheetData>
      <sheetData sheetId="14" refreshError="1"/>
      <sheetData sheetId="15" refreshError="1"/>
      <sheetData sheetId="16" refreshError="1"/>
      <sheetData sheetId="17"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INPUT-SHEET"/>
      <sheetName val="COVER"/>
      <sheetName val="Sp Report"/>
      <sheetName val="Gen Abs"/>
      <sheetName val="Camparitive for Gen Abs"/>
      <sheetName val="Bridge estimate"/>
      <sheetName val="Bridge estimate  edited"/>
      <sheetName val="Bridge edited as per MB"/>
      <sheetName val="Camparitive for Bridge portion"/>
      <sheetName val="Camparitive for Approaches"/>
      <sheetName val="Camparitive for Road Furniture"/>
      <sheetName val="S.Cha Bridge and Appr"/>
      <sheetName val="mtc abst"/>
      <sheetName val="Sup datas strip seal,Bearings"/>
      <sheetName val="Girder-Bridge-Data"/>
      <sheetName val="extra datas strip seal"/>
      <sheetName val="LEAD"/>
      <sheetName val="Data-Road "/>
      <sheetName val="DATA-CD"/>
      <sheetName val="Road Furniture-Data"/>
      <sheetName val="Mtc-data"/>
      <sheetName val="Hire"/>
      <sheetName val="other rates"/>
      <sheetName val="NP3 pipes"/>
      <sheetName val="NP3 collars"/>
      <sheetName val="Conv"/>
      <sheetName val="Sheet1"/>
    </sheetNames>
    <sheetDataSet>
      <sheetData sheetId="0"/>
      <sheetData sheetId="1"/>
      <sheetData sheetId="2">
        <row r="3">
          <cell r="C3" t="str">
            <v>Constn.of HLB on R/F Gudeballur to Mandipally (via) Mudumal at 9/0 to 9/2 km of Maganoor(M)</v>
          </cell>
        </row>
        <row r="16">
          <cell r="F16">
            <v>0.125</v>
          </cell>
        </row>
        <row r="17">
          <cell r="F17">
            <v>0.2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ow r="701">
          <cell r="C701" t="str">
            <v>Jeddy Stone Dry Packing for Aprons and Revetments Section 1300 MORD  ,including overhead charges and contractors profit ,but excluding VAT &amp; Seignarage charges.</v>
          </cell>
        </row>
        <row r="714">
          <cell r="G714">
            <v>1017.12</v>
          </cell>
        </row>
      </sheetData>
      <sheetData sheetId="17"/>
      <sheetData sheetId="18">
        <row r="1">
          <cell r="N1" t="str">
            <v>2016-17</v>
          </cell>
        </row>
        <row r="48">
          <cell r="K48">
            <v>0.19614999999999999</v>
          </cell>
        </row>
      </sheetData>
      <sheetData sheetId="19">
        <row r="44">
          <cell r="C44" t="str">
            <v>Construction of embankment with approved material obtained from borrow pits with all lifts, transporting to site, spreading, grading to required slope and compacting to meet requirement of Tables 300.1 and 300.2 with a lead upto 1000 m as per Technical Specification Clause 301.5 MORD/ 305 MORTH including overhead charges &amp; Contractor profit ,but Excluding VAT &amp; Seignarage charges.</v>
          </cell>
        </row>
        <row r="64">
          <cell r="G64">
            <v>185.83034999999995</v>
          </cell>
        </row>
        <row r="89">
          <cell r="C89" t="str">
            <v>Construction of Improved Subgrade /Shoulders by providing  Selected earth having MDD not less than 1.85g/cc with LL &amp; PI not exceeding  40% and 20 respectively and and spreading  in uniform layers with tractor grader on prepared surface and copacted  to OMC  with Vibratory  roller of 80 to 100kN capacity to achieve the desired density, complete as per IRC technical specification clause 303 MoRD,305 MoRT&amp;H by using machinery including all  over heads , and Contractors profit ,but Excluding VAT &amp; Seignarage charges, etc, complete.</v>
          </cell>
        </row>
        <row r="110">
          <cell r="G110">
            <v>221.64</v>
          </cell>
        </row>
        <row r="112">
          <cell r="C112" t="str">
            <v>Construction of granular sub-base  by providing well graded material(Table 400.1) with Grading III  Material  CBR Value not less than  20 and  PI Value less than 6  spreading in uniform layers with Tractor grader on prepared surface, mixing by mix in place method with rotavator  at OMC, and compacting with  Vibratory Roller to achieve the  desired density, complete as per Technical Specification Clause 401 MORD .including contractors profit &amp; Over head charges,but Excluding VAT &amp; Seignarage charges.</v>
          </cell>
        </row>
        <row r="133">
          <cell r="G133">
            <v>984.36</v>
          </cell>
        </row>
        <row r="183">
          <cell r="C183" t="str">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per Tables 400.11 &amp; 400.12 and Technical Specification Clause 406 MORD/ MORTH,including overhead charges &amp; Contractor profit ,but Excluding VAT &amp; Seignarage charges.</v>
          </cell>
        </row>
        <row r="207">
          <cell r="G207">
            <v>1621.6272300000001</v>
          </cell>
        </row>
        <row r="256">
          <cell r="C256" t="str">
            <v>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 ,including overhead charges &amp; Contractors profit ,but Excluding VAT &amp; Seignarage charges.</v>
          </cell>
        </row>
        <row r="274">
          <cell r="G274">
            <v>44.81</v>
          </cell>
        </row>
        <row r="276">
          <cell r="C276" t="str">
            <v>Providing and applying tack coat with Bitumen emulsion (RS-1)  using emulsion  distributor at the rate of 0.25 to 0.30 kg per sqm on the prepared granular surfaces treated with primer &amp; cleaned with Hydraulic broom as per Technical Specification Clause 503 MORD,including overhead charges &amp; Contractors profit ,but Excluding VAT &amp; Seignarage charges.</v>
          </cell>
        </row>
        <row r="292">
          <cell r="G292">
            <v>10.629999999999999</v>
          </cell>
        </row>
        <row r="294">
          <cell r="C294" t="str">
            <v>Providing and laying Open Graded Premix Carpet (OGPC) surfacing material of 20 mm thick composed of 13.20 mm to 5.60 mm size machine crushed hard blasted granite chips using bitumen of VG 30 grade at the rate of 14.60 kgs per 10 sqm area of road surface over tack coat to required line, level, grade to serve as wearing course on previously prepared base including mixing in a Mixer of 6  to 10 T capacity,trasporting the mixer to point of use and rolloing with three wheeled 80-100kN capacity power roller and finishing to required level and grades including cost, conveyance, leads and lifts of all materials from approved sources,  labour charges and hire and operational charges of power road roller and all other machinery, tools and plants, providing barricading for diversion of traffic, erecting red flags other incidental and operational charges etc., complete for finished item of work as per technical specifications clause 508 (ii) of MORD. including all  over heads , and Contractors profit ,but Excluding VAT &amp; Seignarage charges.</v>
          </cell>
        </row>
        <row r="314">
          <cell r="G314">
            <v>123.26</v>
          </cell>
        </row>
        <row r="462">
          <cell r="C462" t="str">
            <v>Providing and laying bituminous Premixed seal coat (Type C) comprising of stone chipping of grading as defined in table 500.16 of MOST with Crushed stone chips of 6.7 mm size 100% passing through 9.5mm seive and retained on 2.36 mm sieve applied @ 0.09 cum per 10 sqm, chips to be premixed by mechanical means with the bitumunous binder using 6.50 kgs of bitumen VG 30 grade for 10 sqm and rolling with power roller including of required line, level, grade to serve as wearing course on previously prepared surface and finishing to required level and grades including cost and conveyance of all materials from approved sources and stacking at site to departmental gauge for  premeasurements,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per technical specification clause 510 of MORD including contractors profit &amp; Over head charges, but Excluding VAT and Seigneorage etc for seal coat.Using Mechanical means</v>
          </cell>
        </row>
        <row r="484">
          <cell r="G484">
            <v>42.1</v>
          </cell>
        </row>
      </sheetData>
      <sheetData sheetId="20"/>
      <sheetData sheetId="21">
        <row r="106">
          <cell r="D106" t="str">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VAT &amp; Seignarage charges.</v>
          </cell>
        </row>
        <row r="142">
          <cell r="H142">
            <v>1511.8136999999999</v>
          </cell>
        </row>
        <row r="149">
          <cell r="D149" t="str">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VAT &amp; Seignarage charges.</v>
          </cell>
        </row>
        <row r="173">
          <cell r="H173">
            <v>1949.049225</v>
          </cell>
        </row>
        <row r="283">
          <cell r="D283" t="str">
            <v>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VAT &amp; Seignarage charges.</v>
          </cell>
        </row>
        <row r="318">
          <cell r="H318">
            <v>8701.7132249999995</v>
          </cell>
        </row>
      </sheetData>
      <sheetData sheetId="22"/>
      <sheetData sheetId="23"/>
      <sheetData sheetId="24">
        <row r="26">
          <cell r="H26">
            <v>0.13614999999999999</v>
          </cell>
        </row>
      </sheetData>
      <sheetData sheetId="25"/>
      <sheetData sheetId="26"/>
      <sheetData sheetId="27"/>
      <sheetData sheetId="28"/>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ExeSummary"/>
      <sheetName val="sReport"/>
      <sheetName val="crust"/>
      <sheetName val="abstract"/>
      <sheetName val="detailed"/>
      <sheetName val="rates"/>
      <sheetName val="initialrate"/>
      <sheetName val="data"/>
      <sheetName val="btrates"/>
      <sheetName val="leads"/>
      <sheetName val="CDdata"/>
      <sheetName val="1v800"/>
      <sheetName val="hp900"/>
      <sheetName val="1v900"/>
      <sheetName val="2v900"/>
      <sheetName val="3v900"/>
      <sheetName val="lchart"/>
      <sheetName val="lchart1"/>
      <sheetName val="CS2"/>
      <sheetName val="LS2"/>
      <sheetName val="CS3"/>
      <sheetName val="LS3"/>
      <sheetName val="CS-ex"/>
      <sheetName val="LS-ex"/>
    </sheetNames>
    <sheetDataSet>
      <sheetData sheetId="0"/>
      <sheetData sheetId="1"/>
      <sheetData sheetId="2"/>
      <sheetData sheetId="3"/>
      <sheetData sheetId="4"/>
      <sheetData sheetId="5"/>
      <sheetData sheetId="6"/>
      <sheetData sheetId="7"/>
      <sheetData sheetId="8"/>
      <sheetData sheetId="9"/>
      <sheetData sheetId="10">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row r="108">
          <cell r="A108">
            <v>101</v>
          </cell>
          <cell r="B108">
            <v>101</v>
          </cell>
          <cell r="C108" t="str">
            <v>KM</v>
          </cell>
          <cell r="D108">
            <v>345.6</v>
          </cell>
          <cell r="E108">
            <v>397.1</v>
          </cell>
        </row>
        <row r="109">
          <cell r="A109">
            <v>102</v>
          </cell>
          <cell r="B109">
            <v>102</v>
          </cell>
          <cell r="C109" t="str">
            <v>KM</v>
          </cell>
          <cell r="D109">
            <v>348.2</v>
          </cell>
          <cell r="E109">
            <v>400.2</v>
          </cell>
        </row>
        <row r="110">
          <cell r="A110">
            <v>103</v>
          </cell>
          <cell r="B110">
            <v>103</v>
          </cell>
          <cell r="C110" t="str">
            <v>KM</v>
          </cell>
          <cell r="D110">
            <v>350.8</v>
          </cell>
          <cell r="E110">
            <v>403.3</v>
          </cell>
        </row>
        <row r="111">
          <cell r="A111">
            <v>104</v>
          </cell>
          <cell r="B111">
            <v>104</v>
          </cell>
          <cell r="C111" t="str">
            <v>KM</v>
          </cell>
          <cell r="D111">
            <v>353.4</v>
          </cell>
          <cell r="E111">
            <v>406.4</v>
          </cell>
        </row>
        <row r="112">
          <cell r="A112">
            <v>105</v>
          </cell>
          <cell r="B112">
            <v>105</v>
          </cell>
          <cell r="C112" t="str">
            <v>KM</v>
          </cell>
          <cell r="D112">
            <v>356</v>
          </cell>
          <cell r="E112">
            <v>409.5</v>
          </cell>
        </row>
        <row r="113">
          <cell r="A113">
            <v>106</v>
          </cell>
          <cell r="B113">
            <v>106</v>
          </cell>
          <cell r="C113" t="str">
            <v>KM</v>
          </cell>
          <cell r="D113">
            <v>358.6</v>
          </cell>
          <cell r="E113">
            <v>412.6</v>
          </cell>
        </row>
        <row r="114">
          <cell r="A114">
            <v>107</v>
          </cell>
          <cell r="B114">
            <v>107</v>
          </cell>
          <cell r="C114" t="str">
            <v>KM</v>
          </cell>
          <cell r="D114">
            <v>361.2</v>
          </cell>
          <cell r="E114">
            <v>415.7</v>
          </cell>
        </row>
        <row r="115">
          <cell r="A115">
            <v>108</v>
          </cell>
          <cell r="B115">
            <v>108</v>
          </cell>
          <cell r="C115" t="str">
            <v>KM</v>
          </cell>
          <cell r="D115">
            <v>363.8</v>
          </cell>
          <cell r="E115">
            <v>418.8</v>
          </cell>
        </row>
        <row r="116">
          <cell r="A116">
            <v>109</v>
          </cell>
          <cell r="B116">
            <v>109</v>
          </cell>
          <cell r="C116" t="str">
            <v>KM</v>
          </cell>
          <cell r="D116">
            <v>366.4</v>
          </cell>
          <cell r="E116">
            <v>421.9</v>
          </cell>
        </row>
        <row r="117">
          <cell r="A117">
            <v>110</v>
          </cell>
          <cell r="B117">
            <v>110</v>
          </cell>
          <cell r="C117" t="str">
            <v>KM</v>
          </cell>
          <cell r="D117">
            <v>369</v>
          </cell>
          <cell r="E117">
            <v>425</v>
          </cell>
        </row>
        <row r="118">
          <cell r="A118">
            <v>111</v>
          </cell>
          <cell r="B118">
            <v>111</v>
          </cell>
          <cell r="C118" t="str">
            <v>KM</v>
          </cell>
          <cell r="D118">
            <v>371.6</v>
          </cell>
          <cell r="E118">
            <v>428.1</v>
          </cell>
        </row>
        <row r="119">
          <cell r="A119">
            <v>112</v>
          </cell>
          <cell r="B119">
            <v>112</v>
          </cell>
          <cell r="C119" t="str">
            <v>KM</v>
          </cell>
          <cell r="D119">
            <v>374.2</v>
          </cell>
          <cell r="E119">
            <v>431.2</v>
          </cell>
        </row>
        <row r="120">
          <cell r="A120">
            <v>113</v>
          </cell>
          <cell r="B120">
            <v>113</v>
          </cell>
          <cell r="C120" t="str">
            <v>KM</v>
          </cell>
          <cell r="D120">
            <v>376.8</v>
          </cell>
          <cell r="E120">
            <v>434.3</v>
          </cell>
        </row>
        <row r="121">
          <cell r="A121">
            <v>114</v>
          </cell>
          <cell r="B121">
            <v>114</v>
          </cell>
          <cell r="C121" t="str">
            <v>KM</v>
          </cell>
          <cell r="D121">
            <v>379.4</v>
          </cell>
          <cell r="E121">
            <v>437.4</v>
          </cell>
        </row>
        <row r="122">
          <cell r="A122">
            <v>115</v>
          </cell>
          <cell r="B122">
            <v>115</v>
          </cell>
          <cell r="C122" t="str">
            <v>KM</v>
          </cell>
          <cell r="D122">
            <v>382</v>
          </cell>
          <cell r="E122">
            <v>440.5</v>
          </cell>
        </row>
        <row r="123">
          <cell r="A123">
            <v>116</v>
          </cell>
          <cell r="B123">
            <v>116</v>
          </cell>
          <cell r="C123" t="str">
            <v>KM</v>
          </cell>
          <cell r="D123">
            <v>384.6</v>
          </cell>
          <cell r="E123">
            <v>443.6</v>
          </cell>
        </row>
        <row r="124">
          <cell r="A124">
            <v>117</v>
          </cell>
          <cell r="B124">
            <v>117</v>
          </cell>
          <cell r="C124" t="str">
            <v>KM</v>
          </cell>
          <cell r="D124">
            <v>387.2</v>
          </cell>
          <cell r="E124">
            <v>446.7</v>
          </cell>
        </row>
        <row r="125">
          <cell r="A125">
            <v>118</v>
          </cell>
          <cell r="B125">
            <v>118</v>
          </cell>
          <cell r="C125" t="str">
            <v>KM</v>
          </cell>
          <cell r="D125">
            <v>389.8</v>
          </cell>
          <cell r="E125">
            <v>449.8</v>
          </cell>
        </row>
        <row r="126">
          <cell r="A126">
            <v>119</v>
          </cell>
          <cell r="B126">
            <v>119</v>
          </cell>
          <cell r="C126" t="str">
            <v>KM</v>
          </cell>
          <cell r="D126">
            <v>392.4</v>
          </cell>
          <cell r="E126">
            <v>452.9</v>
          </cell>
        </row>
        <row r="127">
          <cell r="A127">
            <v>120</v>
          </cell>
          <cell r="B127">
            <v>120</v>
          </cell>
          <cell r="C127" t="str">
            <v>KM</v>
          </cell>
          <cell r="D127">
            <v>395</v>
          </cell>
          <cell r="E127">
            <v>456</v>
          </cell>
        </row>
        <row r="128">
          <cell r="A128">
            <v>121</v>
          </cell>
          <cell r="B128">
            <v>121</v>
          </cell>
          <cell r="C128" t="str">
            <v>KM</v>
          </cell>
          <cell r="D128">
            <v>397.6</v>
          </cell>
          <cell r="E128">
            <v>459.1</v>
          </cell>
        </row>
        <row r="129">
          <cell r="A129">
            <v>122</v>
          </cell>
          <cell r="B129">
            <v>122</v>
          </cell>
          <cell r="C129" t="str">
            <v>KM</v>
          </cell>
          <cell r="D129">
            <v>400.2</v>
          </cell>
          <cell r="E129">
            <v>462.2</v>
          </cell>
        </row>
        <row r="130">
          <cell r="A130">
            <v>123</v>
          </cell>
          <cell r="B130">
            <v>123</v>
          </cell>
          <cell r="C130" t="str">
            <v>KM</v>
          </cell>
          <cell r="D130">
            <v>402.8</v>
          </cell>
          <cell r="E130">
            <v>465.3</v>
          </cell>
        </row>
        <row r="131">
          <cell r="A131">
            <v>124</v>
          </cell>
          <cell r="B131">
            <v>124</v>
          </cell>
          <cell r="C131" t="str">
            <v>KM</v>
          </cell>
          <cell r="D131">
            <v>405.4</v>
          </cell>
          <cell r="E131">
            <v>468.4</v>
          </cell>
        </row>
        <row r="132">
          <cell r="A132">
            <v>125</v>
          </cell>
          <cell r="B132">
            <v>125</v>
          </cell>
          <cell r="C132" t="str">
            <v>KM</v>
          </cell>
          <cell r="D132">
            <v>408</v>
          </cell>
          <cell r="E132">
            <v>471.5</v>
          </cell>
        </row>
        <row r="133">
          <cell r="A133">
            <v>126</v>
          </cell>
          <cell r="B133">
            <v>126</v>
          </cell>
          <cell r="C133" t="str">
            <v>KM</v>
          </cell>
          <cell r="D133">
            <v>410.6</v>
          </cell>
          <cell r="E133">
            <v>474.6</v>
          </cell>
        </row>
        <row r="134">
          <cell r="A134">
            <v>127</v>
          </cell>
          <cell r="B134">
            <v>127</v>
          </cell>
          <cell r="C134" t="str">
            <v>KM</v>
          </cell>
          <cell r="D134">
            <v>413.2</v>
          </cell>
          <cell r="E134">
            <v>477.7</v>
          </cell>
        </row>
        <row r="135">
          <cell r="A135">
            <v>128</v>
          </cell>
          <cell r="B135">
            <v>128</v>
          </cell>
          <cell r="C135" t="str">
            <v>KM</v>
          </cell>
          <cell r="D135">
            <v>415.8</v>
          </cell>
          <cell r="E135">
            <v>480.8</v>
          </cell>
        </row>
        <row r="136">
          <cell r="A136">
            <v>129</v>
          </cell>
          <cell r="B136">
            <v>129</v>
          </cell>
          <cell r="C136" t="str">
            <v>KM</v>
          </cell>
          <cell r="D136">
            <v>418.4</v>
          </cell>
          <cell r="E136">
            <v>483.9</v>
          </cell>
        </row>
        <row r="137">
          <cell r="A137">
            <v>130</v>
          </cell>
          <cell r="B137">
            <v>130</v>
          </cell>
          <cell r="C137" t="str">
            <v>KM</v>
          </cell>
          <cell r="D137">
            <v>421</v>
          </cell>
          <cell r="E137">
            <v>487</v>
          </cell>
        </row>
        <row r="138">
          <cell r="A138">
            <v>131</v>
          </cell>
          <cell r="B138">
            <v>131</v>
          </cell>
          <cell r="C138" t="str">
            <v>KM</v>
          </cell>
          <cell r="D138">
            <v>423.6</v>
          </cell>
          <cell r="E138">
            <v>490.1</v>
          </cell>
        </row>
        <row r="139">
          <cell r="A139">
            <v>132</v>
          </cell>
          <cell r="B139">
            <v>132</v>
          </cell>
          <cell r="C139" t="str">
            <v>KM</v>
          </cell>
          <cell r="D139">
            <v>426.2</v>
          </cell>
          <cell r="E139">
            <v>493.2</v>
          </cell>
        </row>
        <row r="140">
          <cell r="A140">
            <v>133</v>
          </cell>
          <cell r="B140">
            <v>133</v>
          </cell>
          <cell r="C140" t="str">
            <v>KM</v>
          </cell>
          <cell r="D140">
            <v>428.8</v>
          </cell>
          <cell r="E140">
            <v>496.3</v>
          </cell>
        </row>
        <row r="141">
          <cell r="A141">
            <v>134</v>
          </cell>
          <cell r="B141">
            <v>134</v>
          </cell>
          <cell r="C141" t="str">
            <v>KM</v>
          </cell>
          <cell r="D141">
            <v>431.4</v>
          </cell>
          <cell r="E141">
            <v>499.4</v>
          </cell>
        </row>
        <row r="142">
          <cell r="A142">
            <v>135</v>
          </cell>
          <cell r="B142">
            <v>135</v>
          </cell>
          <cell r="C142" t="str">
            <v>KM</v>
          </cell>
          <cell r="D142">
            <v>434</v>
          </cell>
          <cell r="E142">
            <v>502.5</v>
          </cell>
        </row>
        <row r="143">
          <cell r="A143">
            <v>136</v>
          </cell>
          <cell r="B143">
            <v>136</v>
          </cell>
          <cell r="C143" t="str">
            <v>KM</v>
          </cell>
          <cell r="D143">
            <v>436.6</v>
          </cell>
          <cell r="E143">
            <v>505.6</v>
          </cell>
        </row>
        <row r="144">
          <cell r="A144">
            <v>137</v>
          </cell>
          <cell r="B144">
            <v>137</v>
          </cell>
          <cell r="C144" t="str">
            <v>KM</v>
          </cell>
          <cell r="D144">
            <v>439.2</v>
          </cell>
          <cell r="E144">
            <v>508.7</v>
          </cell>
        </row>
        <row r="145">
          <cell r="A145">
            <v>138</v>
          </cell>
          <cell r="B145">
            <v>138</v>
          </cell>
          <cell r="C145" t="str">
            <v>KM</v>
          </cell>
          <cell r="D145">
            <v>441.8</v>
          </cell>
          <cell r="E145">
            <v>511.8</v>
          </cell>
        </row>
        <row r="146">
          <cell r="A146">
            <v>139</v>
          </cell>
          <cell r="B146">
            <v>139</v>
          </cell>
          <cell r="C146" t="str">
            <v>KM</v>
          </cell>
          <cell r="D146">
            <v>444.4</v>
          </cell>
          <cell r="E146">
            <v>514.9</v>
          </cell>
        </row>
        <row r="147">
          <cell r="A147">
            <v>140</v>
          </cell>
          <cell r="B147">
            <v>140</v>
          </cell>
          <cell r="C147" t="str">
            <v>KM</v>
          </cell>
          <cell r="D147">
            <v>447</v>
          </cell>
          <cell r="E147">
            <v>518</v>
          </cell>
        </row>
        <row r="148">
          <cell r="A148">
            <v>141</v>
          </cell>
          <cell r="B148">
            <v>141</v>
          </cell>
          <cell r="C148" t="str">
            <v>KM</v>
          </cell>
          <cell r="D148">
            <v>449.6</v>
          </cell>
          <cell r="E148">
            <v>521.1</v>
          </cell>
        </row>
        <row r="149">
          <cell r="A149">
            <v>142</v>
          </cell>
          <cell r="B149">
            <v>142</v>
          </cell>
          <cell r="C149" t="str">
            <v>KM</v>
          </cell>
          <cell r="D149">
            <v>452.2</v>
          </cell>
          <cell r="E149">
            <v>524.20000000000005</v>
          </cell>
        </row>
        <row r="150">
          <cell r="A150">
            <v>143</v>
          </cell>
          <cell r="B150">
            <v>143</v>
          </cell>
          <cell r="C150" t="str">
            <v>KM</v>
          </cell>
          <cell r="D150">
            <v>454.8</v>
          </cell>
          <cell r="E150">
            <v>527.29999999999995</v>
          </cell>
        </row>
        <row r="151">
          <cell r="A151">
            <v>144</v>
          </cell>
          <cell r="B151">
            <v>144</v>
          </cell>
          <cell r="C151" t="str">
            <v>KM</v>
          </cell>
          <cell r="D151">
            <v>457.4</v>
          </cell>
          <cell r="E151">
            <v>530.4</v>
          </cell>
        </row>
        <row r="152">
          <cell r="A152">
            <v>145</v>
          </cell>
          <cell r="B152">
            <v>145</v>
          </cell>
          <cell r="C152" t="str">
            <v>KM</v>
          </cell>
          <cell r="D152">
            <v>460</v>
          </cell>
          <cell r="E152">
            <v>533.5</v>
          </cell>
        </row>
        <row r="153">
          <cell r="A153">
            <v>146</v>
          </cell>
          <cell r="B153">
            <v>146</v>
          </cell>
          <cell r="C153" t="str">
            <v>KM</v>
          </cell>
          <cell r="D153">
            <v>462.6</v>
          </cell>
          <cell r="E153">
            <v>536.6</v>
          </cell>
        </row>
        <row r="154">
          <cell r="A154">
            <v>147</v>
          </cell>
          <cell r="B154">
            <v>147</v>
          </cell>
          <cell r="C154" t="str">
            <v>KM</v>
          </cell>
          <cell r="D154">
            <v>465.2</v>
          </cell>
          <cell r="E154">
            <v>539.70000000000005</v>
          </cell>
        </row>
        <row r="155">
          <cell r="A155">
            <v>148</v>
          </cell>
          <cell r="B155">
            <v>148</v>
          </cell>
          <cell r="C155" t="str">
            <v>KM</v>
          </cell>
          <cell r="D155">
            <v>467.8</v>
          </cell>
          <cell r="E155">
            <v>542.79999999999995</v>
          </cell>
        </row>
        <row r="156">
          <cell r="A156">
            <v>149</v>
          </cell>
          <cell r="B156">
            <v>149</v>
          </cell>
          <cell r="C156" t="str">
            <v>KM</v>
          </cell>
          <cell r="D156">
            <v>470.4</v>
          </cell>
          <cell r="E156">
            <v>545.9</v>
          </cell>
        </row>
        <row r="157">
          <cell r="A157">
            <v>150</v>
          </cell>
          <cell r="B157">
            <v>150</v>
          </cell>
          <cell r="C157" t="str">
            <v>KM</v>
          </cell>
          <cell r="D157">
            <v>473</v>
          </cell>
          <cell r="E157">
            <v>549</v>
          </cell>
        </row>
        <row r="158">
          <cell r="A158">
            <v>151</v>
          </cell>
          <cell r="B158">
            <v>151</v>
          </cell>
          <cell r="C158" t="str">
            <v>KM</v>
          </cell>
          <cell r="D158">
            <v>475.6</v>
          </cell>
          <cell r="E158">
            <v>552.1</v>
          </cell>
        </row>
        <row r="159">
          <cell r="A159">
            <v>152</v>
          </cell>
          <cell r="B159">
            <v>152</v>
          </cell>
          <cell r="C159" t="str">
            <v>KM</v>
          </cell>
          <cell r="D159">
            <v>478.2</v>
          </cell>
          <cell r="E159">
            <v>555.20000000000005</v>
          </cell>
        </row>
        <row r="160">
          <cell r="A160">
            <v>153</v>
          </cell>
          <cell r="B160">
            <v>153</v>
          </cell>
          <cell r="C160" t="str">
            <v>KM</v>
          </cell>
          <cell r="D160">
            <v>480.8</v>
          </cell>
          <cell r="E160">
            <v>558.29999999999995</v>
          </cell>
        </row>
        <row r="161">
          <cell r="A161">
            <v>154</v>
          </cell>
          <cell r="B161">
            <v>154</v>
          </cell>
          <cell r="C161" t="str">
            <v>KM</v>
          </cell>
          <cell r="D161">
            <v>483.4</v>
          </cell>
          <cell r="E161">
            <v>561.4</v>
          </cell>
        </row>
        <row r="162">
          <cell r="A162">
            <v>155</v>
          </cell>
          <cell r="B162">
            <v>155</v>
          </cell>
          <cell r="C162" t="str">
            <v>KM</v>
          </cell>
          <cell r="D162">
            <v>486</v>
          </cell>
          <cell r="E162">
            <v>564.5</v>
          </cell>
        </row>
        <row r="163">
          <cell r="A163">
            <v>156</v>
          </cell>
          <cell r="B163">
            <v>156</v>
          </cell>
          <cell r="C163" t="str">
            <v>KM</v>
          </cell>
          <cell r="D163">
            <v>488.6</v>
          </cell>
          <cell r="E163">
            <v>567.6</v>
          </cell>
        </row>
        <row r="164">
          <cell r="A164">
            <v>157</v>
          </cell>
          <cell r="B164">
            <v>157</v>
          </cell>
          <cell r="C164" t="str">
            <v>KM</v>
          </cell>
          <cell r="D164">
            <v>491.2</v>
          </cell>
          <cell r="E164">
            <v>570.70000000000005</v>
          </cell>
        </row>
        <row r="165">
          <cell r="A165">
            <v>158</v>
          </cell>
          <cell r="B165">
            <v>158</v>
          </cell>
          <cell r="C165" t="str">
            <v>KM</v>
          </cell>
          <cell r="D165">
            <v>493.8</v>
          </cell>
          <cell r="E165">
            <v>573.79999999999995</v>
          </cell>
        </row>
        <row r="166">
          <cell r="A166">
            <v>159</v>
          </cell>
          <cell r="B166">
            <v>159</v>
          </cell>
          <cell r="C166" t="str">
            <v>KM</v>
          </cell>
          <cell r="D166">
            <v>496.4</v>
          </cell>
          <cell r="E166">
            <v>576.9</v>
          </cell>
        </row>
        <row r="167">
          <cell r="A167">
            <v>160</v>
          </cell>
          <cell r="B167">
            <v>160</v>
          </cell>
          <cell r="C167" t="str">
            <v>KM</v>
          </cell>
          <cell r="D167">
            <v>499</v>
          </cell>
          <cell r="E167">
            <v>580</v>
          </cell>
        </row>
        <row r="168">
          <cell r="A168">
            <v>161</v>
          </cell>
          <cell r="B168">
            <v>161</v>
          </cell>
          <cell r="C168" t="str">
            <v>KM</v>
          </cell>
          <cell r="D168">
            <v>501.6</v>
          </cell>
          <cell r="E168">
            <v>583.1</v>
          </cell>
        </row>
        <row r="169">
          <cell r="A169">
            <v>162</v>
          </cell>
          <cell r="B169">
            <v>162</v>
          </cell>
          <cell r="C169" t="str">
            <v>KM</v>
          </cell>
          <cell r="D169">
            <v>504.2</v>
          </cell>
          <cell r="E169">
            <v>586.20000000000005</v>
          </cell>
        </row>
        <row r="170">
          <cell r="A170">
            <v>163</v>
          </cell>
          <cell r="B170">
            <v>163</v>
          </cell>
          <cell r="C170" t="str">
            <v>KM</v>
          </cell>
          <cell r="D170">
            <v>506.8</v>
          </cell>
          <cell r="E170">
            <v>589.29999999999995</v>
          </cell>
        </row>
        <row r="171">
          <cell r="A171">
            <v>164</v>
          </cell>
          <cell r="B171">
            <v>164</v>
          </cell>
          <cell r="C171" t="str">
            <v>KM</v>
          </cell>
          <cell r="D171">
            <v>509.4</v>
          </cell>
          <cell r="E171">
            <v>592.4</v>
          </cell>
        </row>
        <row r="172">
          <cell r="A172">
            <v>165</v>
          </cell>
          <cell r="B172">
            <v>165</v>
          </cell>
          <cell r="C172" t="str">
            <v>KM</v>
          </cell>
          <cell r="D172">
            <v>512</v>
          </cell>
          <cell r="E172">
            <v>595.5</v>
          </cell>
        </row>
        <row r="173">
          <cell r="A173">
            <v>166</v>
          </cell>
          <cell r="B173">
            <v>166</v>
          </cell>
          <cell r="C173" t="str">
            <v>KM</v>
          </cell>
          <cell r="D173">
            <v>514.6</v>
          </cell>
          <cell r="E173">
            <v>598.6</v>
          </cell>
        </row>
        <row r="174">
          <cell r="A174">
            <v>167</v>
          </cell>
          <cell r="B174">
            <v>167</v>
          </cell>
          <cell r="C174" t="str">
            <v>KM</v>
          </cell>
          <cell r="D174">
            <v>517.20000000000005</v>
          </cell>
          <cell r="E174">
            <v>601.70000000000005</v>
          </cell>
        </row>
        <row r="175">
          <cell r="A175">
            <v>168</v>
          </cell>
          <cell r="B175">
            <v>168</v>
          </cell>
          <cell r="C175" t="str">
            <v>KM</v>
          </cell>
          <cell r="D175">
            <v>519.79999999999995</v>
          </cell>
          <cell r="E175">
            <v>604.79999999999995</v>
          </cell>
        </row>
        <row r="176">
          <cell r="A176">
            <v>169</v>
          </cell>
          <cell r="B176">
            <v>169</v>
          </cell>
          <cell r="C176" t="str">
            <v>KM</v>
          </cell>
          <cell r="D176">
            <v>522.4</v>
          </cell>
          <cell r="E176">
            <v>607.9</v>
          </cell>
        </row>
        <row r="177">
          <cell r="A177">
            <v>170</v>
          </cell>
          <cell r="B177">
            <v>170</v>
          </cell>
          <cell r="C177" t="str">
            <v>KM</v>
          </cell>
          <cell r="D177">
            <v>525</v>
          </cell>
          <cell r="E177">
            <v>611</v>
          </cell>
        </row>
        <row r="178">
          <cell r="A178">
            <v>171</v>
          </cell>
          <cell r="B178">
            <v>171</v>
          </cell>
          <cell r="C178" t="str">
            <v>KM</v>
          </cell>
          <cell r="D178">
            <v>527.6</v>
          </cell>
          <cell r="E178">
            <v>614.1</v>
          </cell>
        </row>
        <row r="179">
          <cell r="A179">
            <v>172</v>
          </cell>
          <cell r="B179">
            <v>172</v>
          </cell>
          <cell r="C179" t="str">
            <v>KM</v>
          </cell>
          <cell r="D179">
            <v>530.20000000000005</v>
          </cell>
          <cell r="E179">
            <v>617.20000000000005</v>
          </cell>
        </row>
        <row r="180">
          <cell r="A180">
            <v>173</v>
          </cell>
          <cell r="B180">
            <v>173</v>
          </cell>
          <cell r="C180" t="str">
            <v>KM</v>
          </cell>
          <cell r="D180">
            <v>532.79999999999995</v>
          </cell>
          <cell r="E180">
            <v>620.29999999999995</v>
          </cell>
        </row>
        <row r="181">
          <cell r="A181">
            <v>174</v>
          </cell>
          <cell r="B181">
            <v>174</v>
          </cell>
          <cell r="C181" t="str">
            <v>KM</v>
          </cell>
          <cell r="D181">
            <v>535.4</v>
          </cell>
          <cell r="E181">
            <v>623.4</v>
          </cell>
        </row>
        <row r="182">
          <cell r="A182">
            <v>175</v>
          </cell>
          <cell r="B182">
            <v>175</v>
          </cell>
          <cell r="C182" t="str">
            <v>KM</v>
          </cell>
          <cell r="D182">
            <v>538</v>
          </cell>
          <cell r="E182">
            <v>626.5</v>
          </cell>
        </row>
        <row r="183">
          <cell r="A183">
            <v>176</v>
          </cell>
          <cell r="B183">
            <v>176</v>
          </cell>
          <cell r="C183" t="str">
            <v>KM</v>
          </cell>
          <cell r="D183">
            <v>540.6</v>
          </cell>
          <cell r="E183">
            <v>629.6</v>
          </cell>
        </row>
        <row r="184">
          <cell r="A184">
            <v>177</v>
          </cell>
          <cell r="B184">
            <v>177</v>
          </cell>
          <cell r="C184" t="str">
            <v>KM</v>
          </cell>
          <cell r="D184">
            <v>543.20000000000005</v>
          </cell>
          <cell r="E184">
            <v>632.70000000000005</v>
          </cell>
        </row>
        <row r="185">
          <cell r="A185">
            <v>178</v>
          </cell>
          <cell r="B185">
            <v>178</v>
          </cell>
          <cell r="C185" t="str">
            <v>KM</v>
          </cell>
          <cell r="D185">
            <v>545.79999999999995</v>
          </cell>
          <cell r="E185">
            <v>635.79999999999995</v>
          </cell>
        </row>
        <row r="186">
          <cell r="A186">
            <v>179</v>
          </cell>
          <cell r="B186">
            <v>179</v>
          </cell>
          <cell r="C186" t="str">
            <v>KM</v>
          </cell>
          <cell r="D186">
            <v>548.4</v>
          </cell>
          <cell r="E186">
            <v>638.9</v>
          </cell>
        </row>
        <row r="187">
          <cell r="A187">
            <v>180</v>
          </cell>
          <cell r="B187">
            <v>180</v>
          </cell>
          <cell r="C187" t="str">
            <v>KM</v>
          </cell>
          <cell r="D187">
            <v>551</v>
          </cell>
          <cell r="E187">
            <v>642</v>
          </cell>
        </row>
        <row r="188">
          <cell r="A188">
            <v>181</v>
          </cell>
          <cell r="B188">
            <v>181</v>
          </cell>
          <cell r="C188" t="str">
            <v>KM</v>
          </cell>
          <cell r="D188">
            <v>553.6</v>
          </cell>
          <cell r="E188">
            <v>645.1</v>
          </cell>
        </row>
        <row r="189">
          <cell r="A189">
            <v>182</v>
          </cell>
          <cell r="B189">
            <v>182</v>
          </cell>
          <cell r="C189" t="str">
            <v>KM</v>
          </cell>
          <cell r="D189">
            <v>556.20000000000005</v>
          </cell>
          <cell r="E189">
            <v>648.20000000000005</v>
          </cell>
        </row>
        <row r="190">
          <cell r="A190">
            <v>183</v>
          </cell>
          <cell r="B190">
            <v>183</v>
          </cell>
          <cell r="C190" t="str">
            <v>KM</v>
          </cell>
          <cell r="D190">
            <v>558.79999999999995</v>
          </cell>
          <cell r="E190">
            <v>651.29999999999995</v>
          </cell>
        </row>
        <row r="191">
          <cell r="A191">
            <v>184</v>
          </cell>
          <cell r="B191">
            <v>184</v>
          </cell>
          <cell r="C191" t="str">
            <v>KM</v>
          </cell>
          <cell r="D191">
            <v>561.4</v>
          </cell>
          <cell r="E191">
            <v>654.4</v>
          </cell>
        </row>
        <row r="192">
          <cell r="A192">
            <v>185</v>
          </cell>
          <cell r="B192">
            <v>185</v>
          </cell>
          <cell r="C192" t="str">
            <v>KM</v>
          </cell>
          <cell r="D192">
            <v>564</v>
          </cell>
          <cell r="E192">
            <v>657.5</v>
          </cell>
        </row>
        <row r="193">
          <cell r="A193">
            <v>186</v>
          </cell>
          <cell r="B193">
            <v>186</v>
          </cell>
          <cell r="C193" t="str">
            <v>KM</v>
          </cell>
          <cell r="D193">
            <v>566.6</v>
          </cell>
          <cell r="E193">
            <v>660.6</v>
          </cell>
        </row>
        <row r="194">
          <cell r="A194">
            <v>187</v>
          </cell>
          <cell r="B194">
            <v>187</v>
          </cell>
          <cell r="C194" t="str">
            <v>KM</v>
          </cell>
          <cell r="D194">
            <v>569.20000000000005</v>
          </cell>
          <cell r="E194">
            <v>663.7</v>
          </cell>
        </row>
        <row r="195">
          <cell r="A195">
            <v>188</v>
          </cell>
          <cell r="B195">
            <v>188</v>
          </cell>
          <cell r="C195" t="str">
            <v>KM</v>
          </cell>
          <cell r="D195">
            <v>571.79999999999995</v>
          </cell>
          <cell r="E195">
            <v>666.8</v>
          </cell>
        </row>
        <row r="196">
          <cell r="A196">
            <v>189</v>
          </cell>
          <cell r="B196">
            <v>189</v>
          </cell>
          <cell r="C196" t="str">
            <v>KM</v>
          </cell>
          <cell r="D196">
            <v>574.4</v>
          </cell>
          <cell r="E196">
            <v>669.9</v>
          </cell>
        </row>
        <row r="197">
          <cell r="A197">
            <v>190</v>
          </cell>
          <cell r="B197">
            <v>190</v>
          </cell>
          <cell r="C197" t="str">
            <v>KM</v>
          </cell>
          <cell r="D197">
            <v>577</v>
          </cell>
          <cell r="E197">
            <v>673</v>
          </cell>
        </row>
        <row r="198">
          <cell r="A198">
            <v>191</v>
          </cell>
          <cell r="B198">
            <v>191</v>
          </cell>
          <cell r="C198" t="str">
            <v>KM</v>
          </cell>
          <cell r="D198">
            <v>579.6</v>
          </cell>
          <cell r="E198">
            <v>676.1</v>
          </cell>
        </row>
        <row r="199">
          <cell r="A199">
            <v>192</v>
          </cell>
          <cell r="B199">
            <v>192</v>
          </cell>
          <cell r="C199" t="str">
            <v>KM</v>
          </cell>
          <cell r="D199">
            <v>582.20000000000005</v>
          </cell>
          <cell r="E199">
            <v>679.2</v>
          </cell>
        </row>
        <row r="200">
          <cell r="A200">
            <v>193</v>
          </cell>
          <cell r="B200">
            <v>193</v>
          </cell>
          <cell r="C200" t="str">
            <v>KM</v>
          </cell>
          <cell r="D200">
            <v>584.79999999999995</v>
          </cell>
          <cell r="E200">
            <v>682.3</v>
          </cell>
        </row>
        <row r="201">
          <cell r="A201">
            <v>194</v>
          </cell>
          <cell r="B201">
            <v>194</v>
          </cell>
          <cell r="C201" t="str">
            <v>KM</v>
          </cell>
          <cell r="D201">
            <v>587.4</v>
          </cell>
          <cell r="E201">
            <v>685.4</v>
          </cell>
        </row>
        <row r="202">
          <cell r="A202">
            <v>195</v>
          </cell>
          <cell r="B202">
            <v>195</v>
          </cell>
          <cell r="C202" t="str">
            <v>KM</v>
          </cell>
          <cell r="D202">
            <v>590</v>
          </cell>
          <cell r="E202">
            <v>688.5</v>
          </cell>
        </row>
        <row r="203">
          <cell r="A203">
            <v>196</v>
          </cell>
          <cell r="B203">
            <v>196</v>
          </cell>
          <cell r="C203" t="str">
            <v>KM</v>
          </cell>
          <cell r="D203">
            <v>592.6</v>
          </cell>
          <cell r="E203">
            <v>691.6</v>
          </cell>
        </row>
        <row r="204">
          <cell r="A204">
            <v>197</v>
          </cell>
          <cell r="B204">
            <v>197</v>
          </cell>
          <cell r="C204" t="str">
            <v>KM</v>
          </cell>
          <cell r="D204">
            <v>595.20000000000005</v>
          </cell>
          <cell r="E204">
            <v>694.7</v>
          </cell>
        </row>
        <row r="205">
          <cell r="A205">
            <v>198</v>
          </cell>
          <cell r="B205">
            <v>198</v>
          </cell>
          <cell r="C205" t="str">
            <v>KM</v>
          </cell>
          <cell r="D205">
            <v>597.79999999999995</v>
          </cell>
          <cell r="E205">
            <v>697.8</v>
          </cell>
        </row>
        <row r="206">
          <cell r="A206">
            <v>199</v>
          </cell>
          <cell r="B206">
            <v>199</v>
          </cell>
          <cell r="C206" t="str">
            <v>KM</v>
          </cell>
          <cell r="D206">
            <v>600.4</v>
          </cell>
          <cell r="E206">
            <v>700.9</v>
          </cell>
        </row>
        <row r="207">
          <cell r="A207">
            <v>200</v>
          </cell>
          <cell r="B207">
            <v>200</v>
          </cell>
          <cell r="C207" t="str">
            <v>KM</v>
          </cell>
          <cell r="D207">
            <v>603</v>
          </cell>
          <cell r="E207">
            <v>704</v>
          </cell>
        </row>
        <row r="208">
          <cell r="A208">
            <v>201</v>
          </cell>
          <cell r="B208">
            <v>201</v>
          </cell>
          <cell r="C208" t="str">
            <v>KM</v>
          </cell>
          <cell r="D208">
            <v>605.6</v>
          </cell>
          <cell r="E208">
            <v>707.1</v>
          </cell>
        </row>
        <row r="209">
          <cell r="A209">
            <v>202</v>
          </cell>
          <cell r="B209">
            <v>202</v>
          </cell>
          <cell r="C209" t="str">
            <v>KM</v>
          </cell>
          <cell r="D209">
            <v>608.20000000000005</v>
          </cell>
          <cell r="E209">
            <v>710.2</v>
          </cell>
        </row>
        <row r="210">
          <cell r="A210">
            <v>203</v>
          </cell>
          <cell r="B210">
            <v>203</v>
          </cell>
          <cell r="C210" t="str">
            <v>KM</v>
          </cell>
          <cell r="D210">
            <v>610.79999999999995</v>
          </cell>
          <cell r="E210">
            <v>713.3</v>
          </cell>
        </row>
        <row r="211">
          <cell r="A211">
            <v>204</v>
          </cell>
          <cell r="B211">
            <v>204</v>
          </cell>
          <cell r="C211" t="str">
            <v>KM</v>
          </cell>
          <cell r="D211">
            <v>613.4</v>
          </cell>
          <cell r="E211">
            <v>716.4</v>
          </cell>
        </row>
        <row r="212">
          <cell r="A212">
            <v>205</v>
          </cell>
          <cell r="B212">
            <v>205</v>
          </cell>
          <cell r="C212" t="str">
            <v>KM</v>
          </cell>
          <cell r="D212">
            <v>616</v>
          </cell>
          <cell r="E212">
            <v>719.5</v>
          </cell>
        </row>
        <row r="213">
          <cell r="A213">
            <v>206</v>
          </cell>
          <cell r="B213">
            <v>206</v>
          </cell>
          <cell r="C213" t="str">
            <v>KM</v>
          </cell>
          <cell r="D213">
            <v>618.6</v>
          </cell>
          <cell r="E213">
            <v>722.6</v>
          </cell>
        </row>
        <row r="214">
          <cell r="A214">
            <v>207</v>
          </cell>
          <cell r="B214">
            <v>207</v>
          </cell>
          <cell r="C214" t="str">
            <v>KM</v>
          </cell>
          <cell r="D214">
            <v>621.20000000000005</v>
          </cell>
          <cell r="E214">
            <v>725.7</v>
          </cell>
        </row>
        <row r="215">
          <cell r="A215">
            <v>208</v>
          </cell>
          <cell r="B215">
            <v>208</v>
          </cell>
          <cell r="C215" t="str">
            <v>KM</v>
          </cell>
          <cell r="D215">
            <v>623.79999999999995</v>
          </cell>
          <cell r="E215">
            <v>728.8</v>
          </cell>
        </row>
        <row r="216">
          <cell r="A216">
            <v>209</v>
          </cell>
          <cell r="B216">
            <v>209</v>
          </cell>
          <cell r="C216" t="str">
            <v>KM</v>
          </cell>
          <cell r="D216">
            <v>626.4</v>
          </cell>
          <cell r="E216">
            <v>731.9</v>
          </cell>
        </row>
        <row r="217">
          <cell r="A217">
            <v>210</v>
          </cell>
          <cell r="B217">
            <v>210</v>
          </cell>
          <cell r="C217" t="str">
            <v>KM</v>
          </cell>
          <cell r="D217">
            <v>629</v>
          </cell>
          <cell r="E217">
            <v>735</v>
          </cell>
        </row>
        <row r="218">
          <cell r="A218">
            <v>211</v>
          </cell>
          <cell r="B218">
            <v>211</v>
          </cell>
          <cell r="C218" t="str">
            <v>KM</v>
          </cell>
          <cell r="D218">
            <v>631.6</v>
          </cell>
          <cell r="E218">
            <v>738.1</v>
          </cell>
        </row>
        <row r="219">
          <cell r="A219">
            <v>212</v>
          </cell>
          <cell r="B219">
            <v>212</v>
          </cell>
          <cell r="C219" t="str">
            <v>KM</v>
          </cell>
          <cell r="D219">
            <v>634.20000000000005</v>
          </cell>
          <cell r="E219">
            <v>741.2</v>
          </cell>
        </row>
        <row r="220">
          <cell r="A220">
            <v>213</v>
          </cell>
          <cell r="B220">
            <v>213</v>
          </cell>
          <cell r="C220" t="str">
            <v>KM</v>
          </cell>
          <cell r="D220">
            <v>636.79999999999995</v>
          </cell>
          <cell r="E220">
            <v>744.3</v>
          </cell>
        </row>
        <row r="221">
          <cell r="A221">
            <v>214</v>
          </cell>
          <cell r="B221">
            <v>214</v>
          </cell>
          <cell r="C221" t="str">
            <v>KM</v>
          </cell>
          <cell r="D221">
            <v>639.4</v>
          </cell>
          <cell r="E221">
            <v>747.4</v>
          </cell>
        </row>
        <row r="222">
          <cell r="A222">
            <v>215</v>
          </cell>
          <cell r="B222">
            <v>215</v>
          </cell>
          <cell r="C222" t="str">
            <v>KM</v>
          </cell>
          <cell r="D222">
            <v>642</v>
          </cell>
          <cell r="E222">
            <v>750.5</v>
          </cell>
        </row>
        <row r="223">
          <cell r="A223">
            <v>216</v>
          </cell>
          <cell r="B223">
            <v>216</v>
          </cell>
          <cell r="C223" t="str">
            <v>KM</v>
          </cell>
          <cell r="D223">
            <v>644.6</v>
          </cell>
          <cell r="E223">
            <v>753.6</v>
          </cell>
        </row>
        <row r="224">
          <cell r="A224">
            <v>217</v>
          </cell>
          <cell r="B224">
            <v>217</v>
          </cell>
          <cell r="C224" t="str">
            <v>KM</v>
          </cell>
          <cell r="D224">
            <v>647.20000000000005</v>
          </cell>
          <cell r="E224">
            <v>756.7</v>
          </cell>
        </row>
        <row r="225">
          <cell r="A225">
            <v>218</v>
          </cell>
          <cell r="B225">
            <v>218</v>
          </cell>
          <cell r="C225" t="str">
            <v>KM</v>
          </cell>
          <cell r="D225">
            <v>649.79999999999995</v>
          </cell>
          <cell r="E225">
            <v>759.8</v>
          </cell>
        </row>
        <row r="226">
          <cell r="A226">
            <v>219</v>
          </cell>
          <cell r="B226">
            <v>219</v>
          </cell>
          <cell r="C226" t="str">
            <v>KM</v>
          </cell>
          <cell r="D226">
            <v>652.4</v>
          </cell>
          <cell r="E226">
            <v>762.9</v>
          </cell>
        </row>
        <row r="227">
          <cell r="A227">
            <v>220</v>
          </cell>
          <cell r="B227">
            <v>220</v>
          </cell>
          <cell r="C227" t="str">
            <v>KM</v>
          </cell>
          <cell r="D227">
            <v>655</v>
          </cell>
          <cell r="E227">
            <v>766</v>
          </cell>
        </row>
        <row r="228">
          <cell r="A228">
            <v>221</v>
          </cell>
          <cell r="B228">
            <v>221</v>
          </cell>
          <cell r="C228" t="str">
            <v>KM</v>
          </cell>
          <cell r="D228">
            <v>657.6</v>
          </cell>
          <cell r="E228">
            <v>769.1</v>
          </cell>
        </row>
        <row r="229">
          <cell r="A229">
            <v>222</v>
          </cell>
          <cell r="B229">
            <v>222</v>
          </cell>
          <cell r="C229" t="str">
            <v>KM</v>
          </cell>
          <cell r="D229">
            <v>660.2</v>
          </cell>
          <cell r="E229">
            <v>772.2</v>
          </cell>
        </row>
        <row r="230">
          <cell r="A230">
            <v>223</v>
          </cell>
          <cell r="B230">
            <v>223</v>
          </cell>
          <cell r="C230" t="str">
            <v>KM</v>
          </cell>
          <cell r="D230">
            <v>662.8</v>
          </cell>
          <cell r="E230">
            <v>775.3</v>
          </cell>
        </row>
        <row r="231">
          <cell r="A231">
            <v>224</v>
          </cell>
          <cell r="B231">
            <v>224</v>
          </cell>
          <cell r="C231" t="str">
            <v>KM</v>
          </cell>
          <cell r="D231">
            <v>665.4</v>
          </cell>
          <cell r="E231">
            <v>778.4</v>
          </cell>
        </row>
        <row r="232">
          <cell r="A232">
            <v>225</v>
          </cell>
          <cell r="B232">
            <v>225</v>
          </cell>
          <cell r="C232" t="str">
            <v>KM</v>
          </cell>
          <cell r="D232">
            <v>668</v>
          </cell>
          <cell r="E232">
            <v>781.5</v>
          </cell>
        </row>
        <row r="233">
          <cell r="A233">
            <v>226</v>
          </cell>
          <cell r="B233">
            <v>226</v>
          </cell>
          <cell r="C233" t="str">
            <v>KM</v>
          </cell>
          <cell r="D233">
            <v>670.6</v>
          </cell>
          <cell r="E233">
            <v>784.6</v>
          </cell>
        </row>
        <row r="234">
          <cell r="A234">
            <v>227</v>
          </cell>
          <cell r="B234">
            <v>227</v>
          </cell>
          <cell r="C234" t="str">
            <v>KM</v>
          </cell>
          <cell r="D234">
            <v>673.2</v>
          </cell>
          <cell r="E234">
            <v>787.7</v>
          </cell>
        </row>
        <row r="235">
          <cell r="A235">
            <v>228</v>
          </cell>
          <cell r="B235">
            <v>228</v>
          </cell>
          <cell r="C235" t="str">
            <v>KM</v>
          </cell>
          <cell r="D235">
            <v>675.8</v>
          </cell>
          <cell r="E235">
            <v>790.8</v>
          </cell>
        </row>
        <row r="236">
          <cell r="A236">
            <v>229</v>
          </cell>
          <cell r="B236">
            <v>229</v>
          </cell>
          <cell r="C236" t="str">
            <v>KM</v>
          </cell>
          <cell r="D236">
            <v>678.4</v>
          </cell>
          <cell r="E236">
            <v>793.9</v>
          </cell>
        </row>
        <row r="237">
          <cell r="A237">
            <v>230</v>
          </cell>
          <cell r="B237">
            <v>230</v>
          </cell>
          <cell r="C237" t="str">
            <v>KM</v>
          </cell>
          <cell r="D237">
            <v>681</v>
          </cell>
          <cell r="E237">
            <v>797</v>
          </cell>
        </row>
        <row r="238">
          <cell r="A238">
            <v>231</v>
          </cell>
          <cell r="B238">
            <v>231</v>
          </cell>
          <cell r="C238" t="str">
            <v>KM</v>
          </cell>
          <cell r="D238">
            <v>683.6</v>
          </cell>
          <cell r="E238">
            <v>800.1</v>
          </cell>
        </row>
        <row r="239">
          <cell r="A239">
            <v>232</v>
          </cell>
          <cell r="B239">
            <v>232</v>
          </cell>
          <cell r="C239" t="str">
            <v>KM</v>
          </cell>
          <cell r="D239">
            <v>686.2</v>
          </cell>
          <cell r="E239">
            <v>803.2</v>
          </cell>
        </row>
        <row r="240">
          <cell r="A240">
            <v>233</v>
          </cell>
          <cell r="B240">
            <v>233</v>
          </cell>
          <cell r="C240" t="str">
            <v>KM</v>
          </cell>
          <cell r="D240">
            <v>688.8</v>
          </cell>
          <cell r="E240">
            <v>806.3</v>
          </cell>
        </row>
        <row r="241">
          <cell r="A241">
            <v>234</v>
          </cell>
          <cell r="B241">
            <v>234</v>
          </cell>
          <cell r="C241" t="str">
            <v>KM</v>
          </cell>
          <cell r="D241">
            <v>691.4</v>
          </cell>
          <cell r="E241">
            <v>809.4</v>
          </cell>
        </row>
        <row r="242">
          <cell r="A242">
            <v>235</v>
          </cell>
          <cell r="B242">
            <v>235</v>
          </cell>
          <cell r="C242" t="str">
            <v>KM</v>
          </cell>
          <cell r="D242">
            <v>694</v>
          </cell>
          <cell r="E242">
            <v>812.5</v>
          </cell>
        </row>
        <row r="243">
          <cell r="A243">
            <v>236</v>
          </cell>
          <cell r="B243">
            <v>236</v>
          </cell>
          <cell r="C243" t="str">
            <v>KM</v>
          </cell>
          <cell r="D243">
            <v>696.6</v>
          </cell>
          <cell r="E243">
            <v>815.6</v>
          </cell>
        </row>
        <row r="244">
          <cell r="A244">
            <v>237</v>
          </cell>
          <cell r="B244">
            <v>237</v>
          </cell>
          <cell r="C244" t="str">
            <v>KM</v>
          </cell>
          <cell r="D244">
            <v>699.2</v>
          </cell>
          <cell r="E244">
            <v>818.7</v>
          </cell>
        </row>
        <row r="245">
          <cell r="A245">
            <v>238</v>
          </cell>
          <cell r="B245">
            <v>238</v>
          </cell>
          <cell r="C245" t="str">
            <v>KM</v>
          </cell>
          <cell r="D245">
            <v>701.8</v>
          </cell>
          <cell r="E245">
            <v>821.8</v>
          </cell>
        </row>
        <row r="246">
          <cell r="A246">
            <v>239</v>
          </cell>
          <cell r="B246">
            <v>239</v>
          </cell>
          <cell r="C246" t="str">
            <v>KM</v>
          </cell>
          <cell r="D246">
            <v>704.4</v>
          </cell>
          <cell r="E246">
            <v>824.9</v>
          </cell>
        </row>
        <row r="247">
          <cell r="A247">
            <v>240</v>
          </cell>
          <cell r="B247">
            <v>240</v>
          </cell>
          <cell r="C247" t="str">
            <v>KM</v>
          </cell>
          <cell r="D247">
            <v>707</v>
          </cell>
          <cell r="E247">
            <v>828</v>
          </cell>
        </row>
        <row r="248">
          <cell r="A248">
            <v>241</v>
          </cell>
          <cell r="B248">
            <v>241</v>
          </cell>
          <cell r="C248" t="str">
            <v>KM</v>
          </cell>
          <cell r="D248">
            <v>709.6</v>
          </cell>
          <cell r="E248">
            <v>831.1</v>
          </cell>
        </row>
        <row r="249">
          <cell r="A249">
            <v>242</v>
          </cell>
          <cell r="B249">
            <v>242</v>
          </cell>
          <cell r="C249" t="str">
            <v>KM</v>
          </cell>
          <cell r="D249">
            <v>712.2</v>
          </cell>
          <cell r="E249">
            <v>834.2</v>
          </cell>
        </row>
        <row r="250">
          <cell r="A250">
            <v>243</v>
          </cell>
          <cell r="B250">
            <v>243</v>
          </cell>
          <cell r="C250" t="str">
            <v>KM</v>
          </cell>
          <cell r="D250">
            <v>714.8</v>
          </cell>
          <cell r="E250">
            <v>837.3</v>
          </cell>
        </row>
        <row r="251">
          <cell r="A251">
            <v>244</v>
          </cell>
          <cell r="B251">
            <v>244</v>
          </cell>
          <cell r="C251" t="str">
            <v>KM</v>
          </cell>
          <cell r="D251">
            <v>717.4</v>
          </cell>
          <cell r="E251">
            <v>840.4</v>
          </cell>
        </row>
        <row r="252">
          <cell r="A252">
            <v>245</v>
          </cell>
          <cell r="B252">
            <v>245</v>
          </cell>
          <cell r="C252" t="str">
            <v>KM</v>
          </cell>
          <cell r="D252">
            <v>720</v>
          </cell>
          <cell r="E252">
            <v>843.5</v>
          </cell>
        </row>
        <row r="253">
          <cell r="A253">
            <v>246</v>
          </cell>
          <cell r="B253">
            <v>246</v>
          </cell>
          <cell r="C253" t="str">
            <v>KM</v>
          </cell>
          <cell r="D253">
            <v>722.6</v>
          </cell>
          <cell r="E253">
            <v>846.6</v>
          </cell>
        </row>
        <row r="254">
          <cell r="A254">
            <v>247</v>
          </cell>
          <cell r="B254">
            <v>247</v>
          </cell>
          <cell r="C254" t="str">
            <v>KM</v>
          </cell>
          <cell r="D254">
            <v>725.2</v>
          </cell>
          <cell r="E254">
            <v>849.7</v>
          </cell>
        </row>
        <row r="255">
          <cell r="A255">
            <v>248</v>
          </cell>
          <cell r="B255">
            <v>248</v>
          </cell>
          <cell r="C255" t="str">
            <v>KM</v>
          </cell>
          <cell r="D255">
            <v>727.8</v>
          </cell>
          <cell r="E255">
            <v>852.8</v>
          </cell>
        </row>
        <row r="256">
          <cell r="A256">
            <v>249</v>
          </cell>
          <cell r="B256">
            <v>249</v>
          </cell>
          <cell r="C256" t="str">
            <v>KM</v>
          </cell>
          <cell r="D256">
            <v>730.4</v>
          </cell>
          <cell r="E256">
            <v>855.9</v>
          </cell>
        </row>
        <row r="257">
          <cell r="A257">
            <v>250</v>
          </cell>
          <cell r="B257">
            <v>250</v>
          </cell>
          <cell r="C257" t="str">
            <v>KM</v>
          </cell>
          <cell r="D257">
            <v>733</v>
          </cell>
          <cell r="E257">
            <v>859</v>
          </cell>
        </row>
        <row r="258">
          <cell r="A258">
            <v>251</v>
          </cell>
          <cell r="B258">
            <v>251</v>
          </cell>
          <cell r="C258" t="str">
            <v>KM</v>
          </cell>
          <cell r="D258">
            <v>735.6</v>
          </cell>
          <cell r="E258">
            <v>862.1</v>
          </cell>
        </row>
        <row r="259">
          <cell r="A259">
            <v>252</v>
          </cell>
          <cell r="B259">
            <v>252</v>
          </cell>
          <cell r="C259" t="str">
            <v>KM</v>
          </cell>
          <cell r="D259">
            <v>738.2</v>
          </cell>
          <cell r="E259">
            <v>865.2</v>
          </cell>
        </row>
        <row r="260">
          <cell r="A260">
            <v>253</v>
          </cell>
          <cell r="B260">
            <v>253</v>
          </cell>
          <cell r="C260" t="str">
            <v>KM</v>
          </cell>
          <cell r="D260">
            <v>740.8</v>
          </cell>
          <cell r="E260">
            <v>868.3</v>
          </cell>
        </row>
        <row r="261">
          <cell r="A261">
            <v>254</v>
          </cell>
          <cell r="B261">
            <v>254</v>
          </cell>
          <cell r="C261" t="str">
            <v>KM</v>
          </cell>
          <cell r="D261">
            <v>743.4</v>
          </cell>
          <cell r="E261">
            <v>871.4</v>
          </cell>
        </row>
        <row r="262">
          <cell r="A262">
            <v>255</v>
          </cell>
          <cell r="B262">
            <v>255</v>
          </cell>
          <cell r="C262" t="str">
            <v>KM</v>
          </cell>
          <cell r="D262">
            <v>746</v>
          </cell>
          <cell r="E262">
            <v>874.5</v>
          </cell>
        </row>
        <row r="263">
          <cell r="A263">
            <v>256</v>
          </cell>
          <cell r="B263">
            <v>256</v>
          </cell>
          <cell r="C263" t="str">
            <v>KM</v>
          </cell>
          <cell r="D263">
            <v>748.6</v>
          </cell>
          <cell r="E263">
            <v>877.6</v>
          </cell>
        </row>
        <row r="264">
          <cell r="A264">
            <v>257</v>
          </cell>
          <cell r="B264">
            <v>257</v>
          </cell>
          <cell r="C264" t="str">
            <v>KM</v>
          </cell>
          <cell r="D264">
            <v>751.2</v>
          </cell>
          <cell r="E264">
            <v>880.7</v>
          </cell>
        </row>
        <row r="265">
          <cell r="A265">
            <v>258</v>
          </cell>
          <cell r="B265">
            <v>258</v>
          </cell>
          <cell r="C265" t="str">
            <v>KM</v>
          </cell>
          <cell r="D265">
            <v>753.8</v>
          </cell>
          <cell r="E265">
            <v>883.8</v>
          </cell>
        </row>
        <row r="266">
          <cell r="A266">
            <v>259</v>
          </cell>
          <cell r="B266">
            <v>259</v>
          </cell>
          <cell r="C266" t="str">
            <v>KM</v>
          </cell>
          <cell r="D266">
            <v>756.4</v>
          </cell>
          <cell r="E266">
            <v>886.9</v>
          </cell>
        </row>
        <row r="267">
          <cell r="A267">
            <v>260</v>
          </cell>
          <cell r="B267">
            <v>260</v>
          </cell>
          <cell r="C267" t="str">
            <v>KM</v>
          </cell>
          <cell r="D267">
            <v>759</v>
          </cell>
          <cell r="E267">
            <v>890</v>
          </cell>
        </row>
        <row r="268">
          <cell r="A268">
            <v>261</v>
          </cell>
          <cell r="B268">
            <v>261</v>
          </cell>
          <cell r="C268" t="str">
            <v>KM</v>
          </cell>
          <cell r="D268">
            <v>761.6</v>
          </cell>
          <cell r="E268">
            <v>893.1</v>
          </cell>
        </row>
        <row r="269">
          <cell r="A269">
            <v>262</v>
          </cell>
          <cell r="B269">
            <v>262</v>
          </cell>
          <cell r="C269" t="str">
            <v>KM</v>
          </cell>
          <cell r="D269">
            <v>764.2</v>
          </cell>
          <cell r="E269">
            <v>896.2</v>
          </cell>
        </row>
        <row r="270">
          <cell r="A270">
            <v>263</v>
          </cell>
          <cell r="B270">
            <v>263</v>
          </cell>
          <cell r="C270" t="str">
            <v>KM</v>
          </cell>
          <cell r="D270">
            <v>766.8</v>
          </cell>
          <cell r="E270">
            <v>899.3</v>
          </cell>
        </row>
        <row r="271">
          <cell r="A271">
            <v>264</v>
          </cell>
          <cell r="B271">
            <v>264</v>
          </cell>
          <cell r="C271" t="str">
            <v>KM</v>
          </cell>
          <cell r="D271">
            <v>769.4</v>
          </cell>
          <cell r="E271">
            <v>902.4</v>
          </cell>
        </row>
        <row r="272">
          <cell r="A272">
            <v>265</v>
          </cell>
          <cell r="B272">
            <v>265</v>
          </cell>
          <cell r="C272" t="str">
            <v>KM</v>
          </cell>
          <cell r="D272">
            <v>772</v>
          </cell>
          <cell r="E272">
            <v>905.5</v>
          </cell>
        </row>
        <row r="273">
          <cell r="A273">
            <v>266</v>
          </cell>
          <cell r="B273">
            <v>266</v>
          </cell>
          <cell r="C273" t="str">
            <v>KM</v>
          </cell>
          <cell r="D273">
            <v>774.6</v>
          </cell>
          <cell r="E273">
            <v>908.6</v>
          </cell>
        </row>
        <row r="274">
          <cell r="A274">
            <v>267</v>
          </cell>
          <cell r="B274">
            <v>267</v>
          </cell>
          <cell r="C274" t="str">
            <v>KM</v>
          </cell>
          <cell r="D274">
            <v>777.2</v>
          </cell>
          <cell r="E274">
            <v>911.7</v>
          </cell>
        </row>
        <row r="275">
          <cell r="A275">
            <v>268</v>
          </cell>
          <cell r="B275">
            <v>268</v>
          </cell>
          <cell r="C275" t="str">
            <v>KM</v>
          </cell>
          <cell r="D275">
            <v>779.8</v>
          </cell>
          <cell r="E275">
            <v>914.8</v>
          </cell>
        </row>
        <row r="276">
          <cell r="A276">
            <v>269</v>
          </cell>
          <cell r="B276">
            <v>269</v>
          </cell>
          <cell r="C276" t="str">
            <v>KM</v>
          </cell>
          <cell r="D276">
            <v>782.4</v>
          </cell>
          <cell r="E276">
            <v>917.9</v>
          </cell>
        </row>
        <row r="277">
          <cell r="A277">
            <v>270</v>
          </cell>
          <cell r="B277">
            <v>270</v>
          </cell>
          <cell r="C277" t="str">
            <v>KM</v>
          </cell>
          <cell r="D277">
            <v>785</v>
          </cell>
          <cell r="E277">
            <v>921</v>
          </cell>
        </row>
        <row r="278">
          <cell r="A278">
            <v>271</v>
          </cell>
          <cell r="B278">
            <v>271</v>
          </cell>
          <cell r="C278" t="str">
            <v>KM</v>
          </cell>
          <cell r="D278">
            <v>787.6</v>
          </cell>
          <cell r="E278">
            <v>924.1</v>
          </cell>
        </row>
        <row r="279">
          <cell r="A279">
            <v>272</v>
          </cell>
          <cell r="B279">
            <v>272</v>
          </cell>
          <cell r="C279" t="str">
            <v>KM</v>
          </cell>
          <cell r="D279">
            <v>790.2</v>
          </cell>
          <cell r="E279">
            <v>927.2</v>
          </cell>
        </row>
        <row r="280">
          <cell r="A280">
            <v>273</v>
          </cell>
          <cell r="B280">
            <v>273</v>
          </cell>
          <cell r="C280" t="str">
            <v>KM</v>
          </cell>
          <cell r="D280">
            <v>792.8</v>
          </cell>
          <cell r="E280">
            <v>930.3</v>
          </cell>
        </row>
        <row r="281">
          <cell r="A281">
            <v>274</v>
          </cell>
          <cell r="B281">
            <v>274</v>
          </cell>
          <cell r="C281" t="str">
            <v>KM</v>
          </cell>
          <cell r="D281">
            <v>795.4</v>
          </cell>
          <cell r="E281">
            <v>933.4</v>
          </cell>
        </row>
        <row r="282">
          <cell r="A282">
            <v>275</v>
          </cell>
          <cell r="B282">
            <v>275</v>
          </cell>
          <cell r="C282" t="str">
            <v>KM</v>
          </cell>
          <cell r="D282">
            <v>798</v>
          </cell>
          <cell r="E282">
            <v>936.5</v>
          </cell>
        </row>
        <row r="283">
          <cell r="A283">
            <v>276</v>
          </cell>
          <cell r="B283">
            <v>276</v>
          </cell>
          <cell r="C283" t="str">
            <v>KM</v>
          </cell>
          <cell r="D283">
            <v>800.6</v>
          </cell>
          <cell r="E283">
            <v>939.6</v>
          </cell>
        </row>
        <row r="284">
          <cell r="A284">
            <v>277</v>
          </cell>
          <cell r="B284">
            <v>277</v>
          </cell>
          <cell r="C284" t="str">
            <v>KM</v>
          </cell>
          <cell r="D284">
            <v>803.2</v>
          </cell>
          <cell r="E284">
            <v>942.7</v>
          </cell>
        </row>
        <row r="285">
          <cell r="A285">
            <v>278</v>
          </cell>
          <cell r="B285">
            <v>278</v>
          </cell>
          <cell r="C285" t="str">
            <v>KM</v>
          </cell>
          <cell r="D285">
            <v>805.8</v>
          </cell>
          <cell r="E285">
            <v>945.8</v>
          </cell>
        </row>
        <row r="286">
          <cell r="A286">
            <v>279</v>
          </cell>
          <cell r="B286">
            <v>279</v>
          </cell>
          <cell r="C286" t="str">
            <v>KM</v>
          </cell>
          <cell r="D286">
            <v>808.4</v>
          </cell>
          <cell r="E286">
            <v>948.9</v>
          </cell>
        </row>
        <row r="287">
          <cell r="A287">
            <v>280</v>
          </cell>
          <cell r="B287">
            <v>280</v>
          </cell>
          <cell r="C287" t="str">
            <v>KM</v>
          </cell>
          <cell r="D287">
            <v>811</v>
          </cell>
          <cell r="E287">
            <v>952</v>
          </cell>
        </row>
        <row r="288">
          <cell r="A288">
            <v>281</v>
          </cell>
          <cell r="B288">
            <v>281</v>
          </cell>
          <cell r="C288" t="str">
            <v>KM</v>
          </cell>
          <cell r="D288">
            <v>813.6</v>
          </cell>
          <cell r="E288">
            <v>955.1</v>
          </cell>
        </row>
        <row r="289">
          <cell r="A289">
            <v>282</v>
          </cell>
          <cell r="B289">
            <v>282</v>
          </cell>
          <cell r="C289" t="str">
            <v>KM</v>
          </cell>
          <cell r="D289">
            <v>816.2</v>
          </cell>
          <cell r="E289">
            <v>958.2</v>
          </cell>
        </row>
        <row r="290">
          <cell r="A290">
            <v>283</v>
          </cell>
          <cell r="B290">
            <v>283</v>
          </cell>
          <cell r="C290" t="str">
            <v>KM</v>
          </cell>
          <cell r="D290">
            <v>818.8</v>
          </cell>
          <cell r="E290">
            <v>961.3</v>
          </cell>
        </row>
        <row r="291">
          <cell r="A291">
            <v>284</v>
          </cell>
          <cell r="B291">
            <v>284</v>
          </cell>
          <cell r="C291" t="str">
            <v>KM</v>
          </cell>
          <cell r="D291">
            <v>821.4</v>
          </cell>
          <cell r="E291">
            <v>964.4</v>
          </cell>
        </row>
        <row r="292">
          <cell r="A292">
            <v>285</v>
          </cell>
          <cell r="B292">
            <v>285</v>
          </cell>
          <cell r="C292" t="str">
            <v>KM</v>
          </cell>
          <cell r="D292">
            <v>824</v>
          </cell>
          <cell r="E292">
            <v>967.5</v>
          </cell>
        </row>
        <row r="293">
          <cell r="A293">
            <v>286</v>
          </cell>
          <cell r="B293">
            <v>286</v>
          </cell>
          <cell r="C293" t="str">
            <v>KM</v>
          </cell>
          <cell r="D293">
            <v>826.6</v>
          </cell>
          <cell r="E293">
            <v>970.6</v>
          </cell>
        </row>
        <row r="294">
          <cell r="A294">
            <v>287</v>
          </cell>
          <cell r="B294">
            <v>287</v>
          </cell>
          <cell r="C294" t="str">
            <v>KM</v>
          </cell>
          <cell r="D294">
            <v>829.2</v>
          </cell>
          <cell r="E294">
            <v>973.7</v>
          </cell>
        </row>
        <row r="295">
          <cell r="A295">
            <v>288</v>
          </cell>
          <cell r="B295">
            <v>288</v>
          </cell>
          <cell r="C295" t="str">
            <v>KM</v>
          </cell>
          <cell r="D295">
            <v>831.8</v>
          </cell>
          <cell r="E295">
            <v>976.8</v>
          </cell>
        </row>
        <row r="296">
          <cell r="A296">
            <v>289</v>
          </cell>
          <cell r="B296">
            <v>289</v>
          </cell>
          <cell r="C296" t="str">
            <v>KM</v>
          </cell>
          <cell r="D296">
            <v>834.4</v>
          </cell>
          <cell r="E296">
            <v>979.9</v>
          </cell>
        </row>
        <row r="297">
          <cell r="A297">
            <v>290</v>
          </cell>
          <cell r="B297">
            <v>290</v>
          </cell>
          <cell r="C297" t="str">
            <v>KM</v>
          </cell>
          <cell r="D297">
            <v>837</v>
          </cell>
          <cell r="E297">
            <v>983</v>
          </cell>
        </row>
        <row r="298">
          <cell r="A298">
            <v>291</v>
          </cell>
          <cell r="B298">
            <v>291</v>
          </cell>
          <cell r="C298" t="str">
            <v>KM</v>
          </cell>
          <cell r="D298">
            <v>839.6</v>
          </cell>
          <cell r="E298">
            <v>986.1</v>
          </cell>
        </row>
        <row r="299">
          <cell r="A299">
            <v>292</v>
          </cell>
          <cell r="B299">
            <v>292</v>
          </cell>
          <cell r="C299" t="str">
            <v>KM</v>
          </cell>
          <cell r="D299">
            <v>842.2</v>
          </cell>
          <cell r="E299">
            <v>989.2</v>
          </cell>
        </row>
        <row r="300">
          <cell r="A300">
            <v>293</v>
          </cell>
          <cell r="B300">
            <v>293</v>
          </cell>
          <cell r="C300" t="str">
            <v>KM</v>
          </cell>
          <cell r="D300">
            <v>844.8</v>
          </cell>
          <cell r="E300">
            <v>992.3</v>
          </cell>
        </row>
        <row r="301">
          <cell r="A301">
            <v>294</v>
          </cell>
          <cell r="B301">
            <v>294</v>
          </cell>
          <cell r="C301" t="str">
            <v>KM</v>
          </cell>
          <cell r="D301">
            <v>847.4</v>
          </cell>
          <cell r="E301">
            <v>995.4</v>
          </cell>
        </row>
        <row r="302">
          <cell r="A302">
            <v>295</v>
          </cell>
          <cell r="B302">
            <v>295</v>
          </cell>
          <cell r="C302" t="str">
            <v>KM</v>
          </cell>
          <cell r="D302">
            <v>850</v>
          </cell>
          <cell r="E302">
            <v>998.5</v>
          </cell>
        </row>
        <row r="303">
          <cell r="A303">
            <v>296</v>
          </cell>
          <cell r="B303">
            <v>296</v>
          </cell>
          <cell r="C303" t="str">
            <v>KM</v>
          </cell>
          <cell r="D303">
            <v>852.6</v>
          </cell>
          <cell r="E303">
            <v>1001.6</v>
          </cell>
        </row>
        <row r="304">
          <cell r="A304">
            <v>297</v>
          </cell>
          <cell r="B304">
            <v>297</v>
          </cell>
          <cell r="C304" t="str">
            <v>KM</v>
          </cell>
          <cell r="D304">
            <v>855.2</v>
          </cell>
          <cell r="E304">
            <v>1004.7</v>
          </cell>
        </row>
        <row r="305">
          <cell r="A305">
            <v>298</v>
          </cell>
          <cell r="B305">
            <v>298</v>
          </cell>
          <cell r="C305" t="str">
            <v>KM</v>
          </cell>
          <cell r="D305">
            <v>857.8</v>
          </cell>
          <cell r="E305">
            <v>1007.8</v>
          </cell>
        </row>
        <row r="306">
          <cell r="A306">
            <v>299</v>
          </cell>
          <cell r="B306">
            <v>299</v>
          </cell>
          <cell r="C306" t="str">
            <v>KM</v>
          </cell>
          <cell r="D306">
            <v>860.4</v>
          </cell>
          <cell r="E306">
            <v>1010.9</v>
          </cell>
        </row>
        <row r="307">
          <cell r="A307">
            <v>300</v>
          </cell>
          <cell r="B307">
            <v>300</v>
          </cell>
          <cell r="C307" t="str">
            <v>KM</v>
          </cell>
          <cell r="D307">
            <v>863</v>
          </cell>
          <cell r="E307">
            <v>1014</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ExeSummary"/>
      <sheetName val="sReport"/>
      <sheetName val="crust"/>
      <sheetName val="abstract"/>
      <sheetName val="detailed"/>
      <sheetName val="rates"/>
      <sheetName val="initialrate"/>
      <sheetName val="data"/>
      <sheetName val="btrates"/>
      <sheetName val="leads"/>
      <sheetName val="CDdata"/>
      <sheetName val="1v800"/>
      <sheetName val="hp900"/>
      <sheetName val="1v900"/>
      <sheetName val="2v900"/>
      <sheetName val="3v900"/>
      <sheetName val="lchart"/>
      <sheetName val="lchart1"/>
      <sheetName val="CS2"/>
      <sheetName val="LS2"/>
      <sheetName val="CS3"/>
      <sheetName val="LS3"/>
      <sheetName val="CS-ex"/>
      <sheetName val="LS-ex"/>
    </sheetNames>
    <sheetDataSet>
      <sheetData sheetId="0"/>
      <sheetData sheetId="1"/>
      <sheetData sheetId="2"/>
      <sheetData sheetId="3"/>
      <sheetData sheetId="4"/>
      <sheetData sheetId="5"/>
      <sheetData sheetId="6"/>
      <sheetData sheetId="7"/>
      <sheetData sheetId="8"/>
      <sheetData sheetId="9"/>
      <sheetData sheetId="10">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row r="108">
          <cell r="A108">
            <v>101</v>
          </cell>
          <cell r="B108">
            <v>101</v>
          </cell>
          <cell r="C108" t="str">
            <v>KM</v>
          </cell>
          <cell r="D108">
            <v>345.6</v>
          </cell>
          <cell r="E108">
            <v>397.1</v>
          </cell>
        </row>
        <row r="109">
          <cell r="A109">
            <v>102</v>
          </cell>
          <cell r="B109">
            <v>102</v>
          </cell>
          <cell r="C109" t="str">
            <v>KM</v>
          </cell>
          <cell r="D109">
            <v>348.2</v>
          </cell>
          <cell r="E109">
            <v>400.2</v>
          </cell>
        </row>
        <row r="110">
          <cell r="A110">
            <v>103</v>
          </cell>
          <cell r="B110">
            <v>103</v>
          </cell>
          <cell r="C110" t="str">
            <v>KM</v>
          </cell>
          <cell r="D110">
            <v>350.8</v>
          </cell>
          <cell r="E110">
            <v>403.3</v>
          </cell>
        </row>
        <row r="111">
          <cell r="A111">
            <v>104</v>
          </cell>
          <cell r="B111">
            <v>104</v>
          </cell>
          <cell r="C111" t="str">
            <v>KM</v>
          </cell>
          <cell r="D111">
            <v>353.4</v>
          </cell>
          <cell r="E111">
            <v>406.4</v>
          </cell>
        </row>
        <row r="112">
          <cell r="A112">
            <v>105</v>
          </cell>
          <cell r="B112">
            <v>105</v>
          </cell>
          <cell r="C112" t="str">
            <v>KM</v>
          </cell>
          <cell r="D112">
            <v>356</v>
          </cell>
          <cell r="E112">
            <v>409.5</v>
          </cell>
        </row>
        <row r="113">
          <cell r="A113">
            <v>106</v>
          </cell>
          <cell r="B113">
            <v>106</v>
          </cell>
          <cell r="C113" t="str">
            <v>KM</v>
          </cell>
          <cell r="D113">
            <v>358.6</v>
          </cell>
          <cell r="E113">
            <v>412.6</v>
          </cell>
        </row>
        <row r="114">
          <cell r="A114">
            <v>107</v>
          </cell>
          <cell r="B114">
            <v>107</v>
          </cell>
          <cell r="C114" t="str">
            <v>KM</v>
          </cell>
          <cell r="D114">
            <v>361.2</v>
          </cell>
          <cell r="E114">
            <v>415.7</v>
          </cell>
        </row>
        <row r="115">
          <cell r="A115">
            <v>108</v>
          </cell>
          <cell r="B115">
            <v>108</v>
          </cell>
          <cell r="C115" t="str">
            <v>KM</v>
          </cell>
          <cell r="D115">
            <v>363.8</v>
          </cell>
          <cell r="E115">
            <v>418.8</v>
          </cell>
        </row>
        <row r="116">
          <cell r="A116">
            <v>109</v>
          </cell>
          <cell r="B116">
            <v>109</v>
          </cell>
          <cell r="C116" t="str">
            <v>KM</v>
          </cell>
          <cell r="D116">
            <v>366.4</v>
          </cell>
          <cell r="E116">
            <v>421.9</v>
          </cell>
        </row>
        <row r="117">
          <cell r="A117">
            <v>110</v>
          </cell>
          <cell r="B117">
            <v>110</v>
          </cell>
          <cell r="C117" t="str">
            <v>KM</v>
          </cell>
          <cell r="D117">
            <v>369</v>
          </cell>
          <cell r="E117">
            <v>425</v>
          </cell>
        </row>
        <row r="118">
          <cell r="A118">
            <v>111</v>
          </cell>
          <cell r="B118">
            <v>111</v>
          </cell>
          <cell r="C118" t="str">
            <v>KM</v>
          </cell>
          <cell r="D118">
            <v>371.6</v>
          </cell>
          <cell r="E118">
            <v>428.1</v>
          </cell>
        </row>
        <row r="119">
          <cell r="A119">
            <v>112</v>
          </cell>
          <cell r="B119">
            <v>112</v>
          </cell>
          <cell r="C119" t="str">
            <v>KM</v>
          </cell>
          <cell r="D119">
            <v>374.2</v>
          </cell>
          <cell r="E119">
            <v>431.2</v>
          </cell>
        </row>
        <row r="120">
          <cell r="A120">
            <v>113</v>
          </cell>
          <cell r="B120">
            <v>113</v>
          </cell>
          <cell r="C120" t="str">
            <v>KM</v>
          </cell>
          <cell r="D120">
            <v>376.8</v>
          </cell>
          <cell r="E120">
            <v>434.3</v>
          </cell>
        </row>
        <row r="121">
          <cell r="A121">
            <v>114</v>
          </cell>
          <cell r="B121">
            <v>114</v>
          </cell>
          <cell r="C121" t="str">
            <v>KM</v>
          </cell>
          <cell r="D121">
            <v>379.4</v>
          </cell>
          <cell r="E121">
            <v>437.4</v>
          </cell>
        </row>
        <row r="122">
          <cell r="A122">
            <v>115</v>
          </cell>
          <cell r="B122">
            <v>115</v>
          </cell>
          <cell r="C122" t="str">
            <v>KM</v>
          </cell>
          <cell r="D122">
            <v>382</v>
          </cell>
          <cell r="E122">
            <v>440.5</v>
          </cell>
        </row>
        <row r="123">
          <cell r="A123">
            <v>116</v>
          </cell>
          <cell r="B123">
            <v>116</v>
          </cell>
          <cell r="C123" t="str">
            <v>KM</v>
          </cell>
          <cell r="D123">
            <v>384.6</v>
          </cell>
          <cell r="E123">
            <v>443.6</v>
          </cell>
        </row>
        <row r="124">
          <cell r="A124">
            <v>117</v>
          </cell>
          <cell r="B124">
            <v>117</v>
          </cell>
          <cell r="C124" t="str">
            <v>KM</v>
          </cell>
          <cell r="D124">
            <v>387.2</v>
          </cell>
          <cell r="E124">
            <v>446.7</v>
          </cell>
        </row>
        <row r="125">
          <cell r="A125">
            <v>118</v>
          </cell>
          <cell r="B125">
            <v>118</v>
          </cell>
          <cell r="C125" t="str">
            <v>KM</v>
          </cell>
          <cell r="D125">
            <v>389.8</v>
          </cell>
          <cell r="E125">
            <v>449.8</v>
          </cell>
        </row>
        <row r="126">
          <cell r="A126">
            <v>119</v>
          </cell>
          <cell r="B126">
            <v>119</v>
          </cell>
          <cell r="C126" t="str">
            <v>KM</v>
          </cell>
          <cell r="D126">
            <v>392.4</v>
          </cell>
          <cell r="E126">
            <v>452.9</v>
          </cell>
        </row>
        <row r="127">
          <cell r="A127">
            <v>120</v>
          </cell>
          <cell r="B127">
            <v>120</v>
          </cell>
          <cell r="C127" t="str">
            <v>KM</v>
          </cell>
          <cell r="D127">
            <v>395</v>
          </cell>
          <cell r="E127">
            <v>456</v>
          </cell>
        </row>
        <row r="128">
          <cell r="A128">
            <v>121</v>
          </cell>
          <cell r="B128">
            <v>121</v>
          </cell>
          <cell r="C128" t="str">
            <v>KM</v>
          </cell>
          <cell r="D128">
            <v>397.6</v>
          </cell>
          <cell r="E128">
            <v>459.1</v>
          </cell>
        </row>
        <row r="129">
          <cell r="A129">
            <v>122</v>
          </cell>
          <cell r="B129">
            <v>122</v>
          </cell>
          <cell r="C129" t="str">
            <v>KM</v>
          </cell>
          <cell r="D129">
            <v>400.2</v>
          </cell>
          <cell r="E129">
            <v>462.2</v>
          </cell>
        </row>
        <row r="130">
          <cell r="A130">
            <v>123</v>
          </cell>
          <cell r="B130">
            <v>123</v>
          </cell>
          <cell r="C130" t="str">
            <v>KM</v>
          </cell>
          <cell r="D130">
            <v>402.8</v>
          </cell>
          <cell r="E130">
            <v>465.3</v>
          </cell>
        </row>
        <row r="131">
          <cell r="A131">
            <v>124</v>
          </cell>
          <cell r="B131">
            <v>124</v>
          </cell>
          <cell r="C131" t="str">
            <v>KM</v>
          </cell>
          <cell r="D131">
            <v>405.4</v>
          </cell>
          <cell r="E131">
            <v>468.4</v>
          </cell>
        </row>
        <row r="132">
          <cell r="A132">
            <v>125</v>
          </cell>
          <cell r="B132">
            <v>125</v>
          </cell>
          <cell r="C132" t="str">
            <v>KM</v>
          </cell>
          <cell r="D132">
            <v>408</v>
          </cell>
          <cell r="E132">
            <v>471.5</v>
          </cell>
        </row>
        <row r="133">
          <cell r="A133">
            <v>126</v>
          </cell>
          <cell r="B133">
            <v>126</v>
          </cell>
          <cell r="C133" t="str">
            <v>KM</v>
          </cell>
          <cell r="D133">
            <v>410.6</v>
          </cell>
          <cell r="E133">
            <v>474.6</v>
          </cell>
        </row>
        <row r="134">
          <cell r="A134">
            <v>127</v>
          </cell>
          <cell r="B134">
            <v>127</v>
          </cell>
          <cell r="C134" t="str">
            <v>KM</v>
          </cell>
          <cell r="D134">
            <v>413.2</v>
          </cell>
          <cell r="E134">
            <v>477.7</v>
          </cell>
        </row>
        <row r="135">
          <cell r="A135">
            <v>128</v>
          </cell>
          <cell r="B135">
            <v>128</v>
          </cell>
          <cell r="C135" t="str">
            <v>KM</v>
          </cell>
          <cell r="D135">
            <v>415.8</v>
          </cell>
          <cell r="E135">
            <v>480.8</v>
          </cell>
        </row>
        <row r="136">
          <cell r="A136">
            <v>129</v>
          </cell>
          <cell r="B136">
            <v>129</v>
          </cell>
          <cell r="C136" t="str">
            <v>KM</v>
          </cell>
          <cell r="D136">
            <v>418.4</v>
          </cell>
          <cell r="E136">
            <v>483.9</v>
          </cell>
        </row>
        <row r="137">
          <cell r="A137">
            <v>130</v>
          </cell>
          <cell r="B137">
            <v>130</v>
          </cell>
          <cell r="C137" t="str">
            <v>KM</v>
          </cell>
          <cell r="D137">
            <v>421</v>
          </cell>
          <cell r="E137">
            <v>487</v>
          </cell>
        </row>
        <row r="138">
          <cell r="A138">
            <v>131</v>
          </cell>
          <cell r="B138">
            <v>131</v>
          </cell>
          <cell r="C138" t="str">
            <v>KM</v>
          </cell>
          <cell r="D138">
            <v>423.6</v>
          </cell>
          <cell r="E138">
            <v>490.1</v>
          </cell>
        </row>
        <row r="139">
          <cell r="A139">
            <v>132</v>
          </cell>
          <cell r="B139">
            <v>132</v>
          </cell>
          <cell r="C139" t="str">
            <v>KM</v>
          </cell>
          <cell r="D139">
            <v>426.2</v>
          </cell>
          <cell r="E139">
            <v>493.2</v>
          </cell>
        </row>
        <row r="140">
          <cell r="A140">
            <v>133</v>
          </cell>
          <cell r="B140">
            <v>133</v>
          </cell>
          <cell r="C140" t="str">
            <v>KM</v>
          </cell>
          <cell r="D140">
            <v>428.8</v>
          </cell>
          <cell r="E140">
            <v>496.3</v>
          </cell>
        </row>
        <row r="141">
          <cell r="A141">
            <v>134</v>
          </cell>
          <cell r="B141">
            <v>134</v>
          </cell>
          <cell r="C141" t="str">
            <v>KM</v>
          </cell>
          <cell r="D141">
            <v>431.4</v>
          </cell>
          <cell r="E141">
            <v>499.4</v>
          </cell>
        </row>
        <row r="142">
          <cell r="A142">
            <v>135</v>
          </cell>
          <cell r="B142">
            <v>135</v>
          </cell>
          <cell r="C142" t="str">
            <v>KM</v>
          </cell>
          <cell r="D142">
            <v>434</v>
          </cell>
          <cell r="E142">
            <v>502.5</v>
          </cell>
        </row>
        <row r="143">
          <cell r="A143">
            <v>136</v>
          </cell>
          <cell r="B143">
            <v>136</v>
          </cell>
          <cell r="C143" t="str">
            <v>KM</v>
          </cell>
          <cell r="D143">
            <v>436.6</v>
          </cell>
          <cell r="E143">
            <v>505.6</v>
          </cell>
        </row>
        <row r="144">
          <cell r="A144">
            <v>137</v>
          </cell>
          <cell r="B144">
            <v>137</v>
          </cell>
          <cell r="C144" t="str">
            <v>KM</v>
          </cell>
          <cell r="D144">
            <v>439.2</v>
          </cell>
          <cell r="E144">
            <v>508.7</v>
          </cell>
        </row>
        <row r="145">
          <cell r="A145">
            <v>138</v>
          </cell>
          <cell r="B145">
            <v>138</v>
          </cell>
          <cell r="C145" t="str">
            <v>KM</v>
          </cell>
          <cell r="D145">
            <v>441.8</v>
          </cell>
          <cell r="E145">
            <v>511.8</v>
          </cell>
        </row>
        <row r="146">
          <cell r="A146">
            <v>139</v>
          </cell>
          <cell r="B146">
            <v>139</v>
          </cell>
          <cell r="C146" t="str">
            <v>KM</v>
          </cell>
          <cell r="D146">
            <v>444.4</v>
          </cell>
          <cell r="E146">
            <v>514.9</v>
          </cell>
        </row>
        <row r="147">
          <cell r="A147">
            <v>140</v>
          </cell>
          <cell r="B147">
            <v>140</v>
          </cell>
          <cell r="C147" t="str">
            <v>KM</v>
          </cell>
          <cell r="D147">
            <v>447</v>
          </cell>
          <cell r="E147">
            <v>518</v>
          </cell>
        </row>
        <row r="148">
          <cell r="A148">
            <v>141</v>
          </cell>
          <cell r="B148">
            <v>141</v>
          </cell>
          <cell r="C148" t="str">
            <v>KM</v>
          </cell>
          <cell r="D148">
            <v>449.6</v>
          </cell>
          <cell r="E148">
            <v>521.1</v>
          </cell>
        </row>
        <row r="149">
          <cell r="A149">
            <v>142</v>
          </cell>
          <cell r="B149">
            <v>142</v>
          </cell>
          <cell r="C149" t="str">
            <v>KM</v>
          </cell>
          <cell r="D149">
            <v>452.2</v>
          </cell>
          <cell r="E149">
            <v>524.20000000000005</v>
          </cell>
        </row>
        <row r="150">
          <cell r="A150">
            <v>143</v>
          </cell>
          <cell r="B150">
            <v>143</v>
          </cell>
          <cell r="C150" t="str">
            <v>KM</v>
          </cell>
          <cell r="D150">
            <v>454.8</v>
          </cell>
          <cell r="E150">
            <v>527.29999999999995</v>
          </cell>
        </row>
        <row r="151">
          <cell r="A151">
            <v>144</v>
          </cell>
          <cell r="B151">
            <v>144</v>
          </cell>
          <cell r="C151" t="str">
            <v>KM</v>
          </cell>
          <cell r="D151">
            <v>457.4</v>
          </cell>
          <cell r="E151">
            <v>530.4</v>
          </cell>
        </row>
        <row r="152">
          <cell r="A152">
            <v>145</v>
          </cell>
          <cell r="B152">
            <v>145</v>
          </cell>
          <cell r="C152" t="str">
            <v>KM</v>
          </cell>
          <cell r="D152">
            <v>460</v>
          </cell>
          <cell r="E152">
            <v>533.5</v>
          </cell>
        </row>
        <row r="153">
          <cell r="A153">
            <v>146</v>
          </cell>
          <cell r="B153">
            <v>146</v>
          </cell>
          <cell r="C153" t="str">
            <v>KM</v>
          </cell>
          <cell r="D153">
            <v>462.6</v>
          </cell>
          <cell r="E153">
            <v>536.6</v>
          </cell>
        </row>
        <row r="154">
          <cell r="A154">
            <v>147</v>
          </cell>
          <cell r="B154">
            <v>147</v>
          </cell>
          <cell r="C154" t="str">
            <v>KM</v>
          </cell>
          <cell r="D154">
            <v>465.2</v>
          </cell>
          <cell r="E154">
            <v>539.70000000000005</v>
          </cell>
        </row>
        <row r="155">
          <cell r="A155">
            <v>148</v>
          </cell>
          <cell r="B155">
            <v>148</v>
          </cell>
          <cell r="C155" t="str">
            <v>KM</v>
          </cell>
          <cell r="D155">
            <v>467.8</v>
          </cell>
          <cell r="E155">
            <v>542.79999999999995</v>
          </cell>
        </row>
        <row r="156">
          <cell r="A156">
            <v>149</v>
          </cell>
          <cell r="B156">
            <v>149</v>
          </cell>
          <cell r="C156" t="str">
            <v>KM</v>
          </cell>
          <cell r="D156">
            <v>470.4</v>
          </cell>
          <cell r="E156">
            <v>545.9</v>
          </cell>
        </row>
        <row r="157">
          <cell r="A157">
            <v>150</v>
          </cell>
          <cell r="B157">
            <v>150</v>
          </cell>
          <cell r="C157" t="str">
            <v>KM</v>
          </cell>
          <cell r="D157">
            <v>473</v>
          </cell>
          <cell r="E157">
            <v>549</v>
          </cell>
        </row>
        <row r="158">
          <cell r="A158">
            <v>151</v>
          </cell>
          <cell r="B158">
            <v>151</v>
          </cell>
          <cell r="C158" t="str">
            <v>KM</v>
          </cell>
          <cell r="D158">
            <v>475.6</v>
          </cell>
          <cell r="E158">
            <v>552.1</v>
          </cell>
        </row>
        <row r="159">
          <cell r="A159">
            <v>152</v>
          </cell>
          <cell r="B159">
            <v>152</v>
          </cell>
          <cell r="C159" t="str">
            <v>KM</v>
          </cell>
          <cell r="D159">
            <v>478.2</v>
          </cell>
          <cell r="E159">
            <v>555.20000000000005</v>
          </cell>
        </row>
        <row r="160">
          <cell r="A160">
            <v>153</v>
          </cell>
          <cell r="B160">
            <v>153</v>
          </cell>
          <cell r="C160" t="str">
            <v>KM</v>
          </cell>
          <cell r="D160">
            <v>480.8</v>
          </cell>
          <cell r="E160">
            <v>558.29999999999995</v>
          </cell>
        </row>
        <row r="161">
          <cell r="A161">
            <v>154</v>
          </cell>
          <cell r="B161">
            <v>154</v>
          </cell>
          <cell r="C161" t="str">
            <v>KM</v>
          </cell>
          <cell r="D161">
            <v>483.4</v>
          </cell>
          <cell r="E161">
            <v>561.4</v>
          </cell>
        </row>
        <row r="162">
          <cell r="A162">
            <v>155</v>
          </cell>
          <cell r="B162">
            <v>155</v>
          </cell>
          <cell r="C162" t="str">
            <v>KM</v>
          </cell>
          <cell r="D162">
            <v>486</v>
          </cell>
          <cell r="E162">
            <v>564.5</v>
          </cell>
        </row>
        <row r="163">
          <cell r="A163">
            <v>156</v>
          </cell>
          <cell r="B163">
            <v>156</v>
          </cell>
          <cell r="C163" t="str">
            <v>KM</v>
          </cell>
          <cell r="D163">
            <v>488.6</v>
          </cell>
          <cell r="E163">
            <v>567.6</v>
          </cell>
        </row>
        <row r="164">
          <cell r="A164">
            <v>157</v>
          </cell>
          <cell r="B164">
            <v>157</v>
          </cell>
          <cell r="C164" t="str">
            <v>KM</v>
          </cell>
          <cell r="D164">
            <v>491.2</v>
          </cell>
          <cell r="E164">
            <v>570.70000000000005</v>
          </cell>
        </row>
        <row r="165">
          <cell r="A165">
            <v>158</v>
          </cell>
          <cell r="B165">
            <v>158</v>
          </cell>
          <cell r="C165" t="str">
            <v>KM</v>
          </cell>
          <cell r="D165">
            <v>493.8</v>
          </cell>
          <cell r="E165">
            <v>573.79999999999995</v>
          </cell>
        </row>
        <row r="166">
          <cell r="A166">
            <v>159</v>
          </cell>
          <cell r="B166">
            <v>159</v>
          </cell>
          <cell r="C166" t="str">
            <v>KM</v>
          </cell>
          <cell r="D166">
            <v>496.4</v>
          </cell>
          <cell r="E166">
            <v>576.9</v>
          </cell>
        </row>
        <row r="167">
          <cell r="A167">
            <v>160</v>
          </cell>
          <cell r="B167">
            <v>160</v>
          </cell>
          <cell r="C167" t="str">
            <v>KM</v>
          </cell>
          <cell r="D167">
            <v>499</v>
          </cell>
          <cell r="E167">
            <v>580</v>
          </cell>
        </row>
        <row r="168">
          <cell r="A168">
            <v>161</v>
          </cell>
          <cell r="B168">
            <v>161</v>
          </cell>
          <cell r="C168" t="str">
            <v>KM</v>
          </cell>
          <cell r="D168">
            <v>501.6</v>
          </cell>
          <cell r="E168">
            <v>583.1</v>
          </cell>
        </row>
        <row r="169">
          <cell r="A169">
            <v>162</v>
          </cell>
          <cell r="B169">
            <v>162</v>
          </cell>
          <cell r="C169" t="str">
            <v>KM</v>
          </cell>
          <cell r="D169">
            <v>504.2</v>
          </cell>
          <cell r="E169">
            <v>586.20000000000005</v>
          </cell>
        </row>
        <row r="170">
          <cell r="A170">
            <v>163</v>
          </cell>
          <cell r="B170">
            <v>163</v>
          </cell>
          <cell r="C170" t="str">
            <v>KM</v>
          </cell>
          <cell r="D170">
            <v>506.8</v>
          </cell>
          <cell r="E170">
            <v>589.29999999999995</v>
          </cell>
        </row>
        <row r="171">
          <cell r="A171">
            <v>164</v>
          </cell>
          <cell r="B171">
            <v>164</v>
          </cell>
          <cell r="C171" t="str">
            <v>KM</v>
          </cell>
          <cell r="D171">
            <v>509.4</v>
          </cell>
          <cell r="E171">
            <v>592.4</v>
          </cell>
        </row>
        <row r="172">
          <cell r="A172">
            <v>165</v>
          </cell>
          <cell r="B172">
            <v>165</v>
          </cell>
          <cell r="C172" t="str">
            <v>KM</v>
          </cell>
          <cell r="D172">
            <v>512</v>
          </cell>
          <cell r="E172">
            <v>595.5</v>
          </cell>
        </row>
        <row r="173">
          <cell r="A173">
            <v>166</v>
          </cell>
          <cell r="B173">
            <v>166</v>
          </cell>
          <cell r="C173" t="str">
            <v>KM</v>
          </cell>
          <cell r="D173">
            <v>514.6</v>
          </cell>
          <cell r="E173">
            <v>598.6</v>
          </cell>
        </row>
        <row r="174">
          <cell r="A174">
            <v>167</v>
          </cell>
          <cell r="B174">
            <v>167</v>
          </cell>
          <cell r="C174" t="str">
            <v>KM</v>
          </cell>
          <cell r="D174">
            <v>517.20000000000005</v>
          </cell>
          <cell r="E174">
            <v>601.70000000000005</v>
          </cell>
        </row>
        <row r="175">
          <cell r="A175">
            <v>168</v>
          </cell>
          <cell r="B175">
            <v>168</v>
          </cell>
          <cell r="C175" t="str">
            <v>KM</v>
          </cell>
          <cell r="D175">
            <v>519.79999999999995</v>
          </cell>
          <cell r="E175">
            <v>604.79999999999995</v>
          </cell>
        </row>
        <row r="176">
          <cell r="A176">
            <v>169</v>
          </cell>
          <cell r="B176">
            <v>169</v>
          </cell>
          <cell r="C176" t="str">
            <v>KM</v>
          </cell>
          <cell r="D176">
            <v>522.4</v>
          </cell>
          <cell r="E176">
            <v>607.9</v>
          </cell>
        </row>
        <row r="177">
          <cell r="A177">
            <v>170</v>
          </cell>
          <cell r="B177">
            <v>170</v>
          </cell>
          <cell r="C177" t="str">
            <v>KM</v>
          </cell>
          <cell r="D177">
            <v>525</v>
          </cell>
          <cell r="E177">
            <v>611</v>
          </cell>
        </row>
        <row r="178">
          <cell r="A178">
            <v>171</v>
          </cell>
          <cell r="B178">
            <v>171</v>
          </cell>
          <cell r="C178" t="str">
            <v>KM</v>
          </cell>
          <cell r="D178">
            <v>527.6</v>
          </cell>
          <cell r="E178">
            <v>614.1</v>
          </cell>
        </row>
        <row r="179">
          <cell r="A179">
            <v>172</v>
          </cell>
          <cell r="B179">
            <v>172</v>
          </cell>
          <cell r="C179" t="str">
            <v>KM</v>
          </cell>
          <cell r="D179">
            <v>530.20000000000005</v>
          </cell>
          <cell r="E179">
            <v>617.20000000000005</v>
          </cell>
        </row>
        <row r="180">
          <cell r="A180">
            <v>173</v>
          </cell>
          <cell r="B180">
            <v>173</v>
          </cell>
          <cell r="C180" t="str">
            <v>KM</v>
          </cell>
          <cell r="D180">
            <v>532.79999999999995</v>
          </cell>
          <cell r="E180">
            <v>620.29999999999995</v>
          </cell>
        </row>
        <row r="181">
          <cell r="A181">
            <v>174</v>
          </cell>
          <cell r="B181">
            <v>174</v>
          </cell>
          <cell r="C181" t="str">
            <v>KM</v>
          </cell>
          <cell r="D181">
            <v>535.4</v>
          </cell>
          <cell r="E181">
            <v>623.4</v>
          </cell>
        </row>
        <row r="182">
          <cell r="A182">
            <v>175</v>
          </cell>
          <cell r="B182">
            <v>175</v>
          </cell>
          <cell r="C182" t="str">
            <v>KM</v>
          </cell>
          <cell r="D182">
            <v>538</v>
          </cell>
          <cell r="E182">
            <v>626.5</v>
          </cell>
        </row>
        <row r="183">
          <cell r="A183">
            <v>176</v>
          </cell>
          <cell r="B183">
            <v>176</v>
          </cell>
          <cell r="C183" t="str">
            <v>KM</v>
          </cell>
          <cell r="D183">
            <v>540.6</v>
          </cell>
          <cell r="E183">
            <v>629.6</v>
          </cell>
        </row>
        <row r="184">
          <cell r="A184">
            <v>177</v>
          </cell>
          <cell r="B184">
            <v>177</v>
          </cell>
          <cell r="C184" t="str">
            <v>KM</v>
          </cell>
          <cell r="D184">
            <v>543.20000000000005</v>
          </cell>
          <cell r="E184">
            <v>632.70000000000005</v>
          </cell>
        </row>
        <row r="185">
          <cell r="A185">
            <v>178</v>
          </cell>
          <cell r="B185">
            <v>178</v>
          </cell>
          <cell r="C185" t="str">
            <v>KM</v>
          </cell>
          <cell r="D185">
            <v>545.79999999999995</v>
          </cell>
          <cell r="E185">
            <v>635.79999999999995</v>
          </cell>
        </row>
        <row r="186">
          <cell r="A186">
            <v>179</v>
          </cell>
          <cell r="B186">
            <v>179</v>
          </cell>
          <cell r="C186" t="str">
            <v>KM</v>
          </cell>
          <cell r="D186">
            <v>548.4</v>
          </cell>
          <cell r="E186">
            <v>638.9</v>
          </cell>
        </row>
        <row r="187">
          <cell r="A187">
            <v>180</v>
          </cell>
          <cell r="B187">
            <v>180</v>
          </cell>
          <cell r="C187" t="str">
            <v>KM</v>
          </cell>
          <cell r="D187">
            <v>551</v>
          </cell>
          <cell r="E187">
            <v>642</v>
          </cell>
        </row>
        <row r="188">
          <cell r="A188">
            <v>181</v>
          </cell>
          <cell r="B188">
            <v>181</v>
          </cell>
          <cell r="C188" t="str">
            <v>KM</v>
          </cell>
          <cell r="D188">
            <v>553.6</v>
          </cell>
          <cell r="E188">
            <v>645.1</v>
          </cell>
        </row>
        <row r="189">
          <cell r="A189">
            <v>182</v>
          </cell>
          <cell r="B189">
            <v>182</v>
          </cell>
          <cell r="C189" t="str">
            <v>KM</v>
          </cell>
          <cell r="D189">
            <v>556.20000000000005</v>
          </cell>
          <cell r="E189">
            <v>648.20000000000005</v>
          </cell>
        </row>
        <row r="190">
          <cell r="A190">
            <v>183</v>
          </cell>
          <cell r="B190">
            <v>183</v>
          </cell>
          <cell r="C190" t="str">
            <v>KM</v>
          </cell>
          <cell r="D190">
            <v>558.79999999999995</v>
          </cell>
          <cell r="E190">
            <v>651.29999999999995</v>
          </cell>
        </row>
        <row r="191">
          <cell r="A191">
            <v>184</v>
          </cell>
          <cell r="B191">
            <v>184</v>
          </cell>
          <cell r="C191" t="str">
            <v>KM</v>
          </cell>
          <cell r="D191">
            <v>561.4</v>
          </cell>
          <cell r="E191">
            <v>654.4</v>
          </cell>
        </row>
        <row r="192">
          <cell r="A192">
            <v>185</v>
          </cell>
          <cell r="B192">
            <v>185</v>
          </cell>
          <cell r="C192" t="str">
            <v>KM</v>
          </cell>
          <cell r="D192">
            <v>564</v>
          </cell>
          <cell r="E192">
            <v>657.5</v>
          </cell>
        </row>
        <row r="193">
          <cell r="A193">
            <v>186</v>
          </cell>
          <cell r="B193">
            <v>186</v>
          </cell>
          <cell r="C193" t="str">
            <v>KM</v>
          </cell>
          <cell r="D193">
            <v>566.6</v>
          </cell>
          <cell r="E193">
            <v>660.6</v>
          </cell>
        </row>
        <row r="194">
          <cell r="A194">
            <v>187</v>
          </cell>
          <cell r="B194">
            <v>187</v>
          </cell>
          <cell r="C194" t="str">
            <v>KM</v>
          </cell>
          <cell r="D194">
            <v>569.20000000000005</v>
          </cell>
          <cell r="E194">
            <v>663.7</v>
          </cell>
        </row>
        <row r="195">
          <cell r="A195">
            <v>188</v>
          </cell>
          <cell r="B195">
            <v>188</v>
          </cell>
          <cell r="C195" t="str">
            <v>KM</v>
          </cell>
          <cell r="D195">
            <v>571.79999999999995</v>
          </cell>
          <cell r="E195">
            <v>666.8</v>
          </cell>
        </row>
        <row r="196">
          <cell r="A196">
            <v>189</v>
          </cell>
          <cell r="B196">
            <v>189</v>
          </cell>
          <cell r="C196" t="str">
            <v>KM</v>
          </cell>
          <cell r="D196">
            <v>574.4</v>
          </cell>
          <cell r="E196">
            <v>669.9</v>
          </cell>
        </row>
        <row r="197">
          <cell r="A197">
            <v>190</v>
          </cell>
          <cell r="B197">
            <v>190</v>
          </cell>
          <cell r="C197" t="str">
            <v>KM</v>
          </cell>
          <cell r="D197">
            <v>577</v>
          </cell>
          <cell r="E197">
            <v>673</v>
          </cell>
        </row>
        <row r="198">
          <cell r="A198">
            <v>191</v>
          </cell>
          <cell r="B198">
            <v>191</v>
          </cell>
          <cell r="C198" t="str">
            <v>KM</v>
          </cell>
          <cell r="D198">
            <v>579.6</v>
          </cell>
          <cell r="E198">
            <v>676.1</v>
          </cell>
        </row>
        <row r="199">
          <cell r="A199">
            <v>192</v>
          </cell>
          <cell r="B199">
            <v>192</v>
          </cell>
          <cell r="C199" t="str">
            <v>KM</v>
          </cell>
          <cell r="D199">
            <v>582.20000000000005</v>
          </cell>
          <cell r="E199">
            <v>679.2</v>
          </cell>
        </row>
        <row r="200">
          <cell r="A200">
            <v>193</v>
          </cell>
          <cell r="B200">
            <v>193</v>
          </cell>
          <cell r="C200" t="str">
            <v>KM</v>
          </cell>
          <cell r="D200">
            <v>584.79999999999995</v>
          </cell>
          <cell r="E200">
            <v>682.3</v>
          </cell>
        </row>
        <row r="201">
          <cell r="A201">
            <v>194</v>
          </cell>
          <cell r="B201">
            <v>194</v>
          </cell>
          <cell r="C201" t="str">
            <v>KM</v>
          </cell>
          <cell r="D201">
            <v>587.4</v>
          </cell>
          <cell r="E201">
            <v>685.4</v>
          </cell>
        </row>
        <row r="202">
          <cell r="A202">
            <v>195</v>
          </cell>
          <cell r="B202">
            <v>195</v>
          </cell>
          <cell r="C202" t="str">
            <v>KM</v>
          </cell>
          <cell r="D202">
            <v>590</v>
          </cell>
          <cell r="E202">
            <v>688.5</v>
          </cell>
        </row>
        <row r="203">
          <cell r="A203">
            <v>196</v>
          </cell>
          <cell r="B203">
            <v>196</v>
          </cell>
          <cell r="C203" t="str">
            <v>KM</v>
          </cell>
          <cell r="D203">
            <v>592.6</v>
          </cell>
          <cell r="E203">
            <v>691.6</v>
          </cell>
        </row>
        <row r="204">
          <cell r="A204">
            <v>197</v>
          </cell>
          <cell r="B204">
            <v>197</v>
          </cell>
          <cell r="C204" t="str">
            <v>KM</v>
          </cell>
          <cell r="D204">
            <v>595.20000000000005</v>
          </cell>
          <cell r="E204">
            <v>694.7</v>
          </cell>
        </row>
        <row r="205">
          <cell r="A205">
            <v>198</v>
          </cell>
          <cell r="B205">
            <v>198</v>
          </cell>
          <cell r="C205" t="str">
            <v>KM</v>
          </cell>
          <cell r="D205">
            <v>597.79999999999995</v>
          </cell>
          <cell r="E205">
            <v>697.8</v>
          </cell>
        </row>
        <row r="206">
          <cell r="A206">
            <v>199</v>
          </cell>
          <cell r="B206">
            <v>199</v>
          </cell>
          <cell r="C206" t="str">
            <v>KM</v>
          </cell>
          <cell r="D206">
            <v>600.4</v>
          </cell>
          <cell r="E206">
            <v>700.9</v>
          </cell>
        </row>
        <row r="207">
          <cell r="A207">
            <v>200</v>
          </cell>
          <cell r="B207">
            <v>200</v>
          </cell>
          <cell r="C207" t="str">
            <v>KM</v>
          </cell>
          <cell r="D207">
            <v>603</v>
          </cell>
          <cell r="E207">
            <v>704</v>
          </cell>
        </row>
        <row r="208">
          <cell r="A208">
            <v>201</v>
          </cell>
          <cell r="B208">
            <v>201</v>
          </cell>
          <cell r="C208" t="str">
            <v>KM</v>
          </cell>
          <cell r="D208">
            <v>605.6</v>
          </cell>
          <cell r="E208">
            <v>707.1</v>
          </cell>
        </row>
        <row r="209">
          <cell r="A209">
            <v>202</v>
          </cell>
          <cell r="B209">
            <v>202</v>
          </cell>
          <cell r="C209" t="str">
            <v>KM</v>
          </cell>
          <cell r="D209">
            <v>608.20000000000005</v>
          </cell>
          <cell r="E209">
            <v>710.2</v>
          </cell>
        </row>
        <row r="210">
          <cell r="A210">
            <v>203</v>
          </cell>
          <cell r="B210">
            <v>203</v>
          </cell>
          <cell r="C210" t="str">
            <v>KM</v>
          </cell>
          <cell r="D210">
            <v>610.79999999999995</v>
          </cell>
          <cell r="E210">
            <v>713.3</v>
          </cell>
        </row>
        <row r="211">
          <cell r="A211">
            <v>204</v>
          </cell>
          <cell r="B211">
            <v>204</v>
          </cell>
          <cell r="C211" t="str">
            <v>KM</v>
          </cell>
          <cell r="D211">
            <v>613.4</v>
          </cell>
          <cell r="E211">
            <v>716.4</v>
          </cell>
        </row>
        <row r="212">
          <cell r="A212">
            <v>205</v>
          </cell>
          <cell r="B212">
            <v>205</v>
          </cell>
          <cell r="C212" t="str">
            <v>KM</v>
          </cell>
          <cell r="D212">
            <v>616</v>
          </cell>
          <cell r="E212">
            <v>719.5</v>
          </cell>
        </row>
        <row r="213">
          <cell r="A213">
            <v>206</v>
          </cell>
          <cell r="B213">
            <v>206</v>
          </cell>
          <cell r="C213" t="str">
            <v>KM</v>
          </cell>
          <cell r="D213">
            <v>618.6</v>
          </cell>
          <cell r="E213">
            <v>722.6</v>
          </cell>
        </row>
        <row r="214">
          <cell r="A214">
            <v>207</v>
          </cell>
          <cell r="B214">
            <v>207</v>
          </cell>
          <cell r="C214" t="str">
            <v>KM</v>
          </cell>
          <cell r="D214">
            <v>621.20000000000005</v>
          </cell>
          <cell r="E214">
            <v>725.7</v>
          </cell>
        </row>
        <row r="215">
          <cell r="A215">
            <v>208</v>
          </cell>
          <cell r="B215">
            <v>208</v>
          </cell>
          <cell r="C215" t="str">
            <v>KM</v>
          </cell>
          <cell r="D215">
            <v>623.79999999999995</v>
          </cell>
          <cell r="E215">
            <v>728.8</v>
          </cell>
        </row>
        <row r="216">
          <cell r="A216">
            <v>209</v>
          </cell>
          <cell r="B216">
            <v>209</v>
          </cell>
          <cell r="C216" t="str">
            <v>KM</v>
          </cell>
          <cell r="D216">
            <v>626.4</v>
          </cell>
          <cell r="E216">
            <v>731.9</v>
          </cell>
        </row>
        <row r="217">
          <cell r="A217">
            <v>210</v>
          </cell>
          <cell r="B217">
            <v>210</v>
          </cell>
          <cell r="C217" t="str">
            <v>KM</v>
          </cell>
          <cell r="D217">
            <v>629</v>
          </cell>
          <cell r="E217">
            <v>735</v>
          </cell>
        </row>
        <row r="218">
          <cell r="A218">
            <v>211</v>
          </cell>
          <cell r="B218">
            <v>211</v>
          </cell>
          <cell r="C218" t="str">
            <v>KM</v>
          </cell>
          <cell r="D218">
            <v>631.6</v>
          </cell>
          <cell r="E218">
            <v>738.1</v>
          </cell>
        </row>
        <row r="219">
          <cell r="A219">
            <v>212</v>
          </cell>
          <cell r="B219">
            <v>212</v>
          </cell>
          <cell r="C219" t="str">
            <v>KM</v>
          </cell>
          <cell r="D219">
            <v>634.20000000000005</v>
          </cell>
          <cell r="E219">
            <v>741.2</v>
          </cell>
        </row>
        <row r="220">
          <cell r="A220">
            <v>213</v>
          </cell>
          <cell r="B220">
            <v>213</v>
          </cell>
          <cell r="C220" t="str">
            <v>KM</v>
          </cell>
          <cell r="D220">
            <v>636.79999999999995</v>
          </cell>
          <cell r="E220">
            <v>744.3</v>
          </cell>
        </row>
        <row r="221">
          <cell r="A221">
            <v>214</v>
          </cell>
          <cell r="B221">
            <v>214</v>
          </cell>
          <cell r="C221" t="str">
            <v>KM</v>
          </cell>
          <cell r="D221">
            <v>639.4</v>
          </cell>
          <cell r="E221">
            <v>747.4</v>
          </cell>
        </row>
        <row r="222">
          <cell r="A222">
            <v>215</v>
          </cell>
          <cell r="B222">
            <v>215</v>
          </cell>
          <cell r="C222" t="str">
            <v>KM</v>
          </cell>
          <cell r="D222">
            <v>642</v>
          </cell>
          <cell r="E222">
            <v>750.5</v>
          </cell>
        </row>
        <row r="223">
          <cell r="A223">
            <v>216</v>
          </cell>
          <cell r="B223">
            <v>216</v>
          </cell>
          <cell r="C223" t="str">
            <v>KM</v>
          </cell>
          <cell r="D223">
            <v>644.6</v>
          </cell>
          <cell r="E223">
            <v>753.6</v>
          </cell>
        </row>
        <row r="224">
          <cell r="A224">
            <v>217</v>
          </cell>
          <cell r="B224">
            <v>217</v>
          </cell>
          <cell r="C224" t="str">
            <v>KM</v>
          </cell>
          <cell r="D224">
            <v>647.20000000000005</v>
          </cell>
          <cell r="E224">
            <v>756.7</v>
          </cell>
        </row>
        <row r="225">
          <cell r="A225">
            <v>218</v>
          </cell>
          <cell r="B225">
            <v>218</v>
          </cell>
          <cell r="C225" t="str">
            <v>KM</v>
          </cell>
          <cell r="D225">
            <v>649.79999999999995</v>
          </cell>
          <cell r="E225">
            <v>759.8</v>
          </cell>
        </row>
        <row r="226">
          <cell r="A226">
            <v>219</v>
          </cell>
          <cell r="B226">
            <v>219</v>
          </cell>
          <cell r="C226" t="str">
            <v>KM</v>
          </cell>
          <cell r="D226">
            <v>652.4</v>
          </cell>
          <cell r="E226">
            <v>762.9</v>
          </cell>
        </row>
        <row r="227">
          <cell r="A227">
            <v>220</v>
          </cell>
          <cell r="B227">
            <v>220</v>
          </cell>
          <cell r="C227" t="str">
            <v>KM</v>
          </cell>
          <cell r="D227">
            <v>655</v>
          </cell>
          <cell r="E227">
            <v>766</v>
          </cell>
        </row>
        <row r="228">
          <cell r="A228">
            <v>221</v>
          </cell>
          <cell r="B228">
            <v>221</v>
          </cell>
          <cell r="C228" t="str">
            <v>KM</v>
          </cell>
          <cell r="D228">
            <v>657.6</v>
          </cell>
          <cell r="E228">
            <v>769.1</v>
          </cell>
        </row>
        <row r="229">
          <cell r="A229">
            <v>222</v>
          </cell>
          <cell r="B229">
            <v>222</v>
          </cell>
          <cell r="C229" t="str">
            <v>KM</v>
          </cell>
          <cell r="D229">
            <v>660.2</v>
          </cell>
          <cell r="E229">
            <v>772.2</v>
          </cell>
        </row>
        <row r="230">
          <cell r="A230">
            <v>223</v>
          </cell>
          <cell r="B230">
            <v>223</v>
          </cell>
          <cell r="C230" t="str">
            <v>KM</v>
          </cell>
          <cell r="D230">
            <v>662.8</v>
          </cell>
          <cell r="E230">
            <v>775.3</v>
          </cell>
        </row>
        <row r="231">
          <cell r="A231">
            <v>224</v>
          </cell>
          <cell r="B231">
            <v>224</v>
          </cell>
          <cell r="C231" t="str">
            <v>KM</v>
          </cell>
          <cell r="D231">
            <v>665.4</v>
          </cell>
          <cell r="E231">
            <v>778.4</v>
          </cell>
        </row>
        <row r="232">
          <cell r="A232">
            <v>225</v>
          </cell>
          <cell r="B232">
            <v>225</v>
          </cell>
          <cell r="C232" t="str">
            <v>KM</v>
          </cell>
          <cell r="D232">
            <v>668</v>
          </cell>
          <cell r="E232">
            <v>781.5</v>
          </cell>
        </row>
        <row r="233">
          <cell r="A233">
            <v>226</v>
          </cell>
          <cell r="B233">
            <v>226</v>
          </cell>
          <cell r="C233" t="str">
            <v>KM</v>
          </cell>
          <cell r="D233">
            <v>670.6</v>
          </cell>
          <cell r="E233">
            <v>784.6</v>
          </cell>
        </row>
        <row r="234">
          <cell r="A234">
            <v>227</v>
          </cell>
          <cell r="B234">
            <v>227</v>
          </cell>
          <cell r="C234" t="str">
            <v>KM</v>
          </cell>
          <cell r="D234">
            <v>673.2</v>
          </cell>
          <cell r="E234">
            <v>787.7</v>
          </cell>
        </row>
        <row r="235">
          <cell r="A235">
            <v>228</v>
          </cell>
          <cell r="B235">
            <v>228</v>
          </cell>
          <cell r="C235" t="str">
            <v>KM</v>
          </cell>
          <cell r="D235">
            <v>675.8</v>
          </cell>
          <cell r="E235">
            <v>790.8</v>
          </cell>
        </row>
        <row r="236">
          <cell r="A236">
            <v>229</v>
          </cell>
          <cell r="B236">
            <v>229</v>
          </cell>
          <cell r="C236" t="str">
            <v>KM</v>
          </cell>
          <cell r="D236">
            <v>678.4</v>
          </cell>
          <cell r="E236">
            <v>793.9</v>
          </cell>
        </row>
        <row r="237">
          <cell r="A237">
            <v>230</v>
          </cell>
          <cell r="B237">
            <v>230</v>
          </cell>
          <cell r="C237" t="str">
            <v>KM</v>
          </cell>
          <cell r="D237">
            <v>681</v>
          </cell>
          <cell r="E237">
            <v>797</v>
          </cell>
        </row>
        <row r="238">
          <cell r="A238">
            <v>231</v>
          </cell>
          <cell r="B238">
            <v>231</v>
          </cell>
          <cell r="C238" t="str">
            <v>KM</v>
          </cell>
          <cell r="D238">
            <v>683.6</v>
          </cell>
          <cell r="E238">
            <v>800.1</v>
          </cell>
        </row>
        <row r="239">
          <cell r="A239">
            <v>232</v>
          </cell>
          <cell r="B239">
            <v>232</v>
          </cell>
          <cell r="C239" t="str">
            <v>KM</v>
          </cell>
          <cell r="D239">
            <v>686.2</v>
          </cell>
          <cell r="E239">
            <v>803.2</v>
          </cell>
        </row>
        <row r="240">
          <cell r="A240">
            <v>233</v>
          </cell>
          <cell r="B240">
            <v>233</v>
          </cell>
          <cell r="C240" t="str">
            <v>KM</v>
          </cell>
          <cell r="D240">
            <v>688.8</v>
          </cell>
          <cell r="E240">
            <v>806.3</v>
          </cell>
        </row>
        <row r="241">
          <cell r="A241">
            <v>234</v>
          </cell>
          <cell r="B241">
            <v>234</v>
          </cell>
          <cell r="C241" t="str">
            <v>KM</v>
          </cell>
          <cell r="D241">
            <v>691.4</v>
          </cell>
          <cell r="E241">
            <v>809.4</v>
          </cell>
        </row>
        <row r="242">
          <cell r="A242">
            <v>235</v>
          </cell>
          <cell r="B242">
            <v>235</v>
          </cell>
          <cell r="C242" t="str">
            <v>KM</v>
          </cell>
          <cell r="D242">
            <v>694</v>
          </cell>
          <cell r="E242">
            <v>812.5</v>
          </cell>
        </row>
        <row r="243">
          <cell r="A243">
            <v>236</v>
          </cell>
          <cell r="B243">
            <v>236</v>
          </cell>
          <cell r="C243" t="str">
            <v>KM</v>
          </cell>
          <cell r="D243">
            <v>696.6</v>
          </cell>
          <cell r="E243">
            <v>815.6</v>
          </cell>
        </row>
        <row r="244">
          <cell r="A244">
            <v>237</v>
          </cell>
          <cell r="B244">
            <v>237</v>
          </cell>
          <cell r="C244" t="str">
            <v>KM</v>
          </cell>
          <cell r="D244">
            <v>699.2</v>
          </cell>
          <cell r="E244">
            <v>818.7</v>
          </cell>
        </row>
        <row r="245">
          <cell r="A245">
            <v>238</v>
          </cell>
          <cell r="B245">
            <v>238</v>
          </cell>
          <cell r="C245" t="str">
            <v>KM</v>
          </cell>
          <cell r="D245">
            <v>701.8</v>
          </cell>
          <cell r="E245">
            <v>821.8</v>
          </cell>
        </row>
        <row r="246">
          <cell r="A246">
            <v>239</v>
          </cell>
          <cell r="B246">
            <v>239</v>
          </cell>
          <cell r="C246" t="str">
            <v>KM</v>
          </cell>
          <cell r="D246">
            <v>704.4</v>
          </cell>
          <cell r="E246">
            <v>824.9</v>
          </cell>
        </row>
        <row r="247">
          <cell r="A247">
            <v>240</v>
          </cell>
          <cell r="B247">
            <v>240</v>
          </cell>
          <cell r="C247" t="str">
            <v>KM</v>
          </cell>
          <cell r="D247">
            <v>707</v>
          </cell>
          <cell r="E247">
            <v>828</v>
          </cell>
        </row>
        <row r="248">
          <cell r="A248">
            <v>241</v>
          </cell>
          <cell r="B248">
            <v>241</v>
          </cell>
          <cell r="C248" t="str">
            <v>KM</v>
          </cell>
          <cell r="D248">
            <v>709.6</v>
          </cell>
          <cell r="E248">
            <v>831.1</v>
          </cell>
        </row>
        <row r="249">
          <cell r="A249">
            <v>242</v>
          </cell>
          <cell r="B249">
            <v>242</v>
          </cell>
          <cell r="C249" t="str">
            <v>KM</v>
          </cell>
          <cell r="D249">
            <v>712.2</v>
          </cell>
          <cell r="E249">
            <v>834.2</v>
          </cell>
        </row>
        <row r="250">
          <cell r="A250">
            <v>243</v>
          </cell>
          <cell r="B250">
            <v>243</v>
          </cell>
          <cell r="C250" t="str">
            <v>KM</v>
          </cell>
          <cell r="D250">
            <v>714.8</v>
          </cell>
          <cell r="E250">
            <v>837.3</v>
          </cell>
        </row>
        <row r="251">
          <cell r="A251">
            <v>244</v>
          </cell>
          <cell r="B251">
            <v>244</v>
          </cell>
          <cell r="C251" t="str">
            <v>KM</v>
          </cell>
          <cell r="D251">
            <v>717.4</v>
          </cell>
          <cell r="E251">
            <v>840.4</v>
          </cell>
        </row>
        <row r="252">
          <cell r="A252">
            <v>245</v>
          </cell>
          <cell r="B252">
            <v>245</v>
          </cell>
          <cell r="C252" t="str">
            <v>KM</v>
          </cell>
          <cell r="D252">
            <v>720</v>
          </cell>
          <cell r="E252">
            <v>843.5</v>
          </cell>
        </row>
        <row r="253">
          <cell r="A253">
            <v>246</v>
          </cell>
          <cell r="B253">
            <v>246</v>
          </cell>
          <cell r="C253" t="str">
            <v>KM</v>
          </cell>
          <cell r="D253">
            <v>722.6</v>
          </cell>
          <cell r="E253">
            <v>846.6</v>
          </cell>
        </row>
        <row r="254">
          <cell r="A254">
            <v>247</v>
          </cell>
          <cell r="B254">
            <v>247</v>
          </cell>
          <cell r="C254" t="str">
            <v>KM</v>
          </cell>
          <cell r="D254">
            <v>725.2</v>
          </cell>
          <cell r="E254">
            <v>849.7</v>
          </cell>
        </row>
        <row r="255">
          <cell r="A255">
            <v>248</v>
          </cell>
          <cell r="B255">
            <v>248</v>
          </cell>
          <cell r="C255" t="str">
            <v>KM</v>
          </cell>
          <cell r="D255">
            <v>727.8</v>
          </cell>
          <cell r="E255">
            <v>852.8</v>
          </cell>
        </row>
        <row r="256">
          <cell r="A256">
            <v>249</v>
          </cell>
          <cell r="B256">
            <v>249</v>
          </cell>
          <cell r="C256" t="str">
            <v>KM</v>
          </cell>
          <cell r="D256">
            <v>730.4</v>
          </cell>
          <cell r="E256">
            <v>855.9</v>
          </cell>
        </row>
        <row r="257">
          <cell r="A257">
            <v>250</v>
          </cell>
          <cell r="B257">
            <v>250</v>
          </cell>
          <cell r="C257" t="str">
            <v>KM</v>
          </cell>
          <cell r="D257">
            <v>733</v>
          </cell>
          <cell r="E257">
            <v>859</v>
          </cell>
        </row>
        <row r="258">
          <cell r="A258">
            <v>251</v>
          </cell>
          <cell r="B258">
            <v>251</v>
          </cell>
          <cell r="C258" t="str">
            <v>KM</v>
          </cell>
          <cell r="D258">
            <v>735.6</v>
          </cell>
          <cell r="E258">
            <v>862.1</v>
          </cell>
        </row>
        <row r="259">
          <cell r="A259">
            <v>252</v>
          </cell>
          <cell r="B259">
            <v>252</v>
          </cell>
          <cell r="C259" t="str">
            <v>KM</v>
          </cell>
          <cell r="D259">
            <v>738.2</v>
          </cell>
          <cell r="E259">
            <v>865.2</v>
          </cell>
        </row>
        <row r="260">
          <cell r="A260">
            <v>253</v>
          </cell>
          <cell r="B260">
            <v>253</v>
          </cell>
          <cell r="C260" t="str">
            <v>KM</v>
          </cell>
          <cell r="D260">
            <v>740.8</v>
          </cell>
          <cell r="E260">
            <v>868.3</v>
          </cell>
        </row>
        <row r="261">
          <cell r="A261">
            <v>254</v>
          </cell>
          <cell r="B261">
            <v>254</v>
          </cell>
          <cell r="C261" t="str">
            <v>KM</v>
          </cell>
          <cell r="D261">
            <v>743.4</v>
          </cell>
          <cell r="E261">
            <v>871.4</v>
          </cell>
        </row>
        <row r="262">
          <cell r="A262">
            <v>255</v>
          </cell>
          <cell r="B262">
            <v>255</v>
          </cell>
          <cell r="C262" t="str">
            <v>KM</v>
          </cell>
          <cell r="D262">
            <v>746</v>
          </cell>
          <cell r="E262">
            <v>874.5</v>
          </cell>
        </row>
        <row r="263">
          <cell r="A263">
            <v>256</v>
          </cell>
          <cell r="B263">
            <v>256</v>
          </cell>
          <cell r="C263" t="str">
            <v>KM</v>
          </cell>
          <cell r="D263">
            <v>748.6</v>
          </cell>
          <cell r="E263">
            <v>877.6</v>
          </cell>
        </row>
        <row r="264">
          <cell r="A264">
            <v>257</v>
          </cell>
          <cell r="B264">
            <v>257</v>
          </cell>
          <cell r="C264" t="str">
            <v>KM</v>
          </cell>
          <cell r="D264">
            <v>751.2</v>
          </cell>
          <cell r="E264">
            <v>880.7</v>
          </cell>
        </row>
        <row r="265">
          <cell r="A265">
            <v>258</v>
          </cell>
          <cell r="B265">
            <v>258</v>
          </cell>
          <cell r="C265" t="str">
            <v>KM</v>
          </cell>
          <cell r="D265">
            <v>753.8</v>
          </cell>
          <cell r="E265">
            <v>883.8</v>
          </cell>
        </row>
        <row r="266">
          <cell r="A266">
            <v>259</v>
          </cell>
          <cell r="B266">
            <v>259</v>
          </cell>
          <cell r="C266" t="str">
            <v>KM</v>
          </cell>
          <cell r="D266">
            <v>756.4</v>
          </cell>
          <cell r="E266">
            <v>886.9</v>
          </cell>
        </row>
        <row r="267">
          <cell r="A267">
            <v>260</v>
          </cell>
          <cell r="B267">
            <v>260</v>
          </cell>
          <cell r="C267" t="str">
            <v>KM</v>
          </cell>
          <cell r="D267">
            <v>759</v>
          </cell>
          <cell r="E267">
            <v>890</v>
          </cell>
        </row>
        <row r="268">
          <cell r="A268">
            <v>261</v>
          </cell>
          <cell r="B268">
            <v>261</v>
          </cell>
          <cell r="C268" t="str">
            <v>KM</v>
          </cell>
          <cell r="D268">
            <v>761.6</v>
          </cell>
          <cell r="E268">
            <v>893.1</v>
          </cell>
        </row>
        <row r="269">
          <cell r="A269">
            <v>262</v>
          </cell>
          <cell r="B269">
            <v>262</v>
          </cell>
          <cell r="C269" t="str">
            <v>KM</v>
          </cell>
          <cell r="D269">
            <v>764.2</v>
          </cell>
          <cell r="E269">
            <v>896.2</v>
          </cell>
        </row>
        <row r="270">
          <cell r="A270">
            <v>263</v>
          </cell>
          <cell r="B270">
            <v>263</v>
          </cell>
          <cell r="C270" t="str">
            <v>KM</v>
          </cell>
          <cell r="D270">
            <v>766.8</v>
          </cell>
          <cell r="E270">
            <v>899.3</v>
          </cell>
        </row>
        <row r="271">
          <cell r="A271">
            <v>264</v>
          </cell>
          <cell r="B271">
            <v>264</v>
          </cell>
          <cell r="C271" t="str">
            <v>KM</v>
          </cell>
          <cell r="D271">
            <v>769.4</v>
          </cell>
          <cell r="E271">
            <v>902.4</v>
          </cell>
        </row>
        <row r="272">
          <cell r="A272">
            <v>265</v>
          </cell>
          <cell r="B272">
            <v>265</v>
          </cell>
          <cell r="C272" t="str">
            <v>KM</v>
          </cell>
          <cell r="D272">
            <v>772</v>
          </cell>
          <cell r="E272">
            <v>905.5</v>
          </cell>
        </row>
        <row r="273">
          <cell r="A273">
            <v>266</v>
          </cell>
          <cell r="B273">
            <v>266</v>
          </cell>
          <cell r="C273" t="str">
            <v>KM</v>
          </cell>
          <cell r="D273">
            <v>774.6</v>
          </cell>
          <cell r="E273">
            <v>908.6</v>
          </cell>
        </row>
        <row r="274">
          <cell r="A274">
            <v>267</v>
          </cell>
          <cell r="B274">
            <v>267</v>
          </cell>
          <cell r="C274" t="str">
            <v>KM</v>
          </cell>
          <cell r="D274">
            <v>777.2</v>
          </cell>
          <cell r="E274">
            <v>911.7</v>
          </cell>
        </row>
        <row r="275">
          <cell r="A275">
            <v>268</v>
          </cell>
          <cell r="B275">
            <v>268</v>
          </cell>
          <cell r="C275" t="str">
            <v>KM</v>
          </cell>
          <cell r="D275">
            <v>779.8</v>
          </cell>
          <cell r="E275">
            <v>914.8</v>
          </cell>
        </row>
        <row r="276">
          <cell r="A276">
            <v>269</v>
          </cell>
          <cell r="B276">
            <v>269</v>
          </cell>
          <cell r="C276" t="str">
            <v>KM</v>
          </cell>
          <cell r="D276">
            <v>782.4</v>
          </cell>
          <cell r="E276">
            <v>917.9</v>
          </cell>
        </row>
        <row r="277">
          <cell r="A277">
            <v>270</v>
          </cell>
          <cell r="B277">
            <v>270</v>
          </cell>
          <cell r="C277" t="str">
            <v>KM</v>
          </cell>
          <cell r="D277">
            <v>785</v>
          </cell>
          <cell r="E277">
            <v>921</v>
          </cell>
        </row>
        <row r="278">
          <cell r="A278">
            <v>271</v>
          </cell>
          <cell r="B278">
            <v>271</v>
          </cell>
          <cell r="C278" t="str">
            <v>KM</v>
          </cell>
          <cell r="D278">
            <v>787.6</v>
          </cell>
          <cell r="E278">
            <v>924.1</v>
          </cell>
        </row>
        <row r="279">
          <cell r="A279">
            <v>272</v>
          </cell>
          <cell r="B279">
            <v>272</v>
          </cell>
          <cell r="C279" t="str">
            <v>KM</v>
          </cell>
          <cell r="D279">
            <v>790.2</v>
          </cell>
          <cell r="E279">
            <v>927.2</v>
          </cell>
        </row>
        <row r="280">
          <cell r="A280">
            <v>273</v>
          </cell>
          <cell r="B280">
            <v>273</v>
          </cell>
          <cell r="C280" t="str">
            <v>KM</v>
          </cell>
          <cell r="D280">
            <v>792.8</v>
          </cell>
          <cell r="E280">
            <v>930.3</v>
          </cell>
        </row>
        <row r="281">
          <cell r="A281">
            <v>274</v>
          </cell>
          <cell r="B281">
            <v>274</v>
          </cell>
          <cell r="C281" t="str">
            <v>KM</v>
          </cell>
          <cell r="D281">
            <v>795.4</v>
          </cell>
          <cell r="E281">
            <v>933.4</v>
          </cell>
        </row>
        <row r="282">
          <cell r="A282">
            <v>275</v>
          </cell>
          <cell r="B282">
            <v>275</v>
          </cell>
          <cell r="C282" t="str">
            <v>KM</v>
          </cell>
          <cell r="D282">
            <v>798</v>
          </cell>
          <cell r="E282">
            <v>936.5</v>
          </cell>
        </row>
        <row r="283">
          <cell r="A283">
            <v>276</v>
          </cell>
          <cell r="B283">
            <v>276</v>
          </cell>
          <cell r="C283" t="str">
            <v>KM</v>
          </cell>
          <cell r="D283">
            <v>800.6</v>
          </cell>
          <cell r="E283">
            <v>939.6</v>
          </cell>
        </row>
        <row r="284">
          <cell r="A284">
            <v>277</v>
          </cell>
          <cell r="B284">
            <v>277</v>
          </cell>
          <cell r="C284" t="str">
            <v>KM</v>
          </cell>
          <cell r="D284">
            <v>803.2</v>
          </cell>
          <cell r="E284">
            <v>942.7</v>
          </cell>
        </row>
        <row r="285">
          <cell r="A285">
            <v>278</v>
          </cell>
          <cell r="B285">
            <v>278</v>
          </cell>
          <cell r="C285" t="str">
            <v>KM</v>
          </cell>
          <cell r="D285">
            <v>805.8</v>
          </cell>
          <cell r="E285">
            <v>945.8</v>
          </cell>
        </row>
        <row r="286">
          <cell r="A286">
            <v>279</v>
          </cell>
          <cell r="B286">
            <v>279</v>
          </cell>
          <cell r="C286" t="str">
            <v>KM</v>
          </cell>
          <cell r="D286">
            <v>808.4</v>
          </cell>
          <cell r="E286">
            <v>948.9</v>
          </cell>
        </row>
        <row r="287">
          <cell r="A287">
            <v>280</v>
          </cell>
          <cell r="B287">
            <v>280</v>
          </cell>
          <cell r="C287" t="str">
            <v>KM</v>
          </cell>
          <cell r="D287">
            <v>811</v>
          </cell>
          <cell r="E287">
            <v>952</v>
          </cell>
        </row>
        <row r="288">
          <cell r="A288">
            <v>281</v>
          </cell>
          <cell r="B288">
            <v>281</v>
          </cell>
          <cell r="C288" t="str">
            <v>KM</v>
          </cell>
          <cell r="D288">
            <v>813.6</v>
          </cell>
          <cell r="E288">
            <v>955.1</v>
          </cell>
        </row>
        <row r="289">
          <cell r="A289">
            <v>282</v>
          </cell>
          <cell r="B289">
            <v>282</v>
          </cell>
          <cell r="C289" t="str">
            <v>KM</v>
          </cell>
          <cell r="D289">
            <v>816.2</v>
          </cell>
          <cell r="E289">
            <v>958.2</v>
          </cell>
        </row>
        <row r="290">
          <cell r="A290">
            <v>283</v>
          </cell>
          <cell r="B290">
            <v>283</v>
          </cell>
          <cell r="C290" t="str">
            <v>KM</v>
          </cell>
          <cell r="D290">
            <v>818.8</v>
          </cell>
          <cell r="E290">
            <v>961.3</v>
          </cell>
        </row>
        <row r="291">
          <cell r="A291">
            <v>284</v>
          </cell>
          <cell r="B291">
            <v>284</v>
          </cell>
          <cell r="C291" t="str">
            <v>KM</v>
          </cell>
          <cell r="D291">
            <v>821.4</v>
          </cell>
          <cell r="E291">
            <v>964.4</v>
          </cell>
        </row>
        <row r="292">
          <cell r="A292">
            <v>285</v>
          </cell>
          <cell r="B292">
            <v>285</v>
          </cell>
          <cell r="C292" t="str">
            <v>KM</v>
          </cell>
          <cell r="D292">
            <v>824</v>
          </cell>
          <cell r="E292">
            <v>967.5</v>
          </cell>
        </row>
        <row r="293">
          <cell r="A293">
            <v>286</v>
          </cell>
          <cell r="B293">
            <v>286</v>
          </cell>
          <cell r="C293" t="str">
            <v>KM</v>
          </cell>
          <cell r="D293">
            <v>826.6</v>
          </cell>
          <cell r="E293">
            <v>970.6</v>
          </cell>
        </row>
        <row r="294">
          <cell r="A294">
            <v>287</v>
          </cell>
          <cell r="B294">
            <v>287</v>
          </cell>
          <cell r="C294" t="str">
            <v>KM</v>
          </cell>
          <cell r="D294">
            <v>829.2</v>
          </cell>
          <cell r="E294">
            <v>973.7</v>
          </cell>
        </row>
        <row r="295">
          <cell r="A295">
            <v>288</v>
          </cell>
          <cell r="B295">
            <v>288</v>
          </cell>
          <cell r="C295" t="str">
            <v>KM</v>
          </cell>
          <cell r="D295">
            <v>831.8</v>
          </cell>
          <cell r="E295">
            <v>976.8</v>
          </cell>
        </row>
        <row r="296">
          <cell r="A296">
            <v>289</v>
          </cell>
          <cell r="B296">
            <v>289</v>
          </cell>
          <cell r="C296" t="str">
            <v>KM</v>
          </cell>
          <cell r="D296">
            <v>834.4</v>
          </cell>
          <cell r="E296">
            <v>979.9</v>
          </cell>
        </row>
        <row r="297">
          <cell r="A297">
            <v>290</v>
          </cell>
          <cell r="B297">
            <v>290</v>
          </cell>
          <cell r="C297" t="str">
            <v>KM</v>
          </cell>
          <cell r="D297">
            <v>837</v>
          </cell>
          <cell r="E297">
            <v>983</v>
          </cell>
        </row>
        <row r="298">
          <cell r="A298">
            <v>291</v>
          </cell>
          <cell r="B298">
            <v>291</v>
          </cell>
          <cell r="C298" t="str">
            <v>KM</v>
          </cell>
          <cell r="D298">
            <v>839.6</v>
          </cell>
          <cell r="E298">
            <v>986.1</v>
          </cell>
        </row>
        <row r="299">
          <cell r="A299">
            <v>292</v>
          </cell>
          <cell r="B299">
            <v>292</v>
          </cell>
          <cell r="C299" t="str">
            <v>KM</v>
          </cell>
          <cell r="D299">
            <v>842.2</v>
          </cell>
          <cell r="E299">
            <v>989.2</v>
          </cell>
        </row>
        <row r="300">
          <cell r="A300">
            <v>293</v>
          </cell>
          <cell r="B300">
            <v>293</v>
          </cell>
          <cell r="C300" t="str">
            <v>KM</v>
          </cell>
          <cell r="D300">
            <v>844.8</v>
          </cell>
          <cell r="E300">
            <v>992.3</v>
          </cell>
        </row>
        <row r="301">
          <cell r="A301">
            <v>294</v>
          </cell>
          <cell r="B301">
            <v>294</v>
          </cell>
          <cell r="C301" t="str">
            <v>KM</v>
          </cell>
          <cell r="D301">
            <v>847.4</v>
          </cell>
          <cell r="E301">
            <v>995.4</v>
          </cell>
        </row>
        <row r="302">
          <cell r="A302">
            <v>295</v>
          </cell>
          <cell r="B302">
            <v>295</v>
          </cell>
          <cell r="C302" t="str">
            <v>KM</v>
          </cell>
          <cell r="D302">
            <v>850</v>
          </cell>
          <cell r="E302">
            <v>998.5</v>
          </cell>
        </row>
        <row r="303">
          <cell r="A303">
            <v>296</v>
          </cell>
          <cell r="B303">
            <v>296</v>
          </cell>
          <cell r="C303" t="str">
            <v>KM</v>
          </cell>
          <cell r="D303">
            <v>852.6</v>
          </cell>
          <cell r="E303">
            <v>1001.6</v>
          </cell>
        </row>
        <row r="304">
          <cell r="A304">
            <v>297</v>
          </cell>
          <cell r="B304">
            <v>297</v>
          </cell>
          <cell r="C304" t="str">
            <v>KM</v>
          </cell>
          <cell r="D304">
            <v>855.2</v>
          </cell>
          <cell r="E304">
            <v>1004.7</v>
          </cell>
        </row>
        <row r="305">
          <cell r="A305">
            <v>298</v>
          </cell>
          <cell r="B305">
            <v>298</v>
          </cell>
          <cell r="C305" t="str">
            <v>KM</v>
          </cell>
          <cell r="D305">
            <v>857.8</v>
          </cell>
          <cell r="E305">
            <v>1007.8</v>
          </cell>
        </row>
        <row r="306">
          <cell r="A306">
            <v>299</v>
          </cell>
          <cell r="B306">
            <v>299</v>
          </cell>
          <cell r="C306" t="str">
            <v>KM</v>
          </cell>
          <cell r="D306">
            <v>860.4</v>
          </cell>
          <cell r="E306">
            <v>1010.9</v>
          </cell>
        </row>
        <row r="307">
          <cell r="A307">
            <v>300</v>
          </cell>
          <cell r="B307">
            <v>300</v>
          </cell>
          <cell r="C307" t="str">
            <v>KM</v>
          </cell>
          <cell r="D307">
            <v>863</v>
          </cell>
          <cell r="E307">
            <v>1014</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refreshError="1"/>
      <sheetData sheetId="1" refreshError="1"/>
      <sheetData sheetId="2" refreshError="1"/>
      <sheetData sheetId="3" refreshError="1">
        <row r="5">
          <cell r="D5">
            <v>131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Data"/>
      <sheetName val="drain rm data"/>
      <sheetName val="LOWEST RATES"/>
      <sheetName val="drain_rm_data"/>
      <sheetName val="LOWEST_RATES"/>
      <sheetName val="drain_rm_data1"/>
      <sheetName val="LOWEST_RATES1"/>
      <sheetName val="leads"/>
      <sheetName val="Labour"/>
      <sheetName val="Material"/>
      <sheetName val="Plant &amp;  Machinery"/>
      <sheetName val="Lookup"/>
      <sheetName val="drain_rm_data2"/>
      <sheetName val="LOWEST_RATES2"/>
      <sheetName val="Plant_&amp;__Machinery"/>
      <sheetName val="maya"/>
      <sheetName val="ESTIMATE"/>
      <sheetName val="abs road"/>
      <sheetName val="Road data"/>
      <sheetName val="0000000000000"/>
      <sheetName val="Data_Bit_I"/>
      <sheetName val="R_Det"/>
      <sheetName val="Sheet1 (2)"/>
      <sheetName val="Sheet1"/>
      <sheetName val="v"/>
      <sheetName val="mlead"/>
      <sheetName val="Plant 㫨  Machinery"/>
      <sheetName val="Plant_㫨__Machinery"/>
      <sheetName val="Pipe Areas"/>
      <sheetName val="r"/>
      <sheetName val="sectorwise"/>
      <sheetName val="banilad"/>
      <sheetName val="Quarry"/>
      <sheetName val="Elc.Stnd.Data-18-19-final "/>
      <sheetName val="Elc.Stnd.Data-17-18 "/>
      <sheetName val="Nspt-smp-final-ORIGINAL"/>
      <sheetName val="Design_abf"/>
      <sheetName val="Rates"/>
      <sheetName val="Av.G Level"/>
      <sheetName val="Sheet2"/>
      <sheetName val="CD Data"/>
      <sheetName val="MRATES"/>
      <sheetName val="drain_rm_data3"/>
      <sheetName val="LOWEST_RATES3"/>
      <sheetName val="Plant_&amp;__Machinery1"/>
      <sheetName val="abs_road"/>
      <sheetName val="Road_data"/>
      <sheetName val="Sheet1_(2)"/>
      <sheetName val="GROUND"/>
      <sheetName val="SECOND"/>
      <sheetName val="HS 1 BPT (2)all bpts"/>
      <sheetName val="ssr-rates"/>
      <sheetName val="Levels"/>
      <sheetName val="Sheet3"/>
      <sheetName val="nodes"/>
      <sheetName val="hdpe weights"/>
      <sheetName val="ww-march-02"/>
      <sheetName val="Elc.Stnd.Data-18-19"/>
      <sheetName val="Road Detail Est."/>
      <sheetName val="drain_rm_data4"/>
      <sheetName val="LOWEST_RATES4"/>
      <sheetName val="Plant_&amp;__Machinery2"/>
      <sheetName val="abs_road1"/>
      <sheetName val="Road_data1"/>
      <sheetName val="data existing_do not delete"/>
      <sheetName val="labour &amp; Centering"/>
      <sheetName val="GA"/>
      <sheetName val="Convey"/>
      <sheetName val="m"/>
      <sheetName val="rdamdata"/>
      <sheetName val="lead-st"/>
      <sheetName val="COVER"/>
      <sheetName val="Data 07-08 "/>
      <sheetName val="Rate Analysis"/>
      <sheetName val="final abstract"/>
      <sheetName val="Part-A"/>
      <sheetName val="Flight-1"/>
      <sheetName val="LEAD STATEMENT"/>
      <sheetName val="HEAD"/>
      <sheetName val="Input"/>
      <sheetName val="elect."/>
      <sheetName val="DETAILED  BOQ"/>
      <sheetName val="steel SF (slab-2)"/>
      <sheetName val="Elc.Stnd.Data-17-18-final "/>
      <sheetName val="RMR"/>
      <sheetName val="coverpage"/>
      <sheetName val="habs-list"/>
      <sheetName val="int-Dia"/>
      <sheetName val="HDPE-pipe-rates"/>
      <sheetName val="pvc-pipe-rates"/>
      <sheetName val="DATA_PRG"/>
      <sheetName val="l"/>
      <sheetName val="Cut Off Statement"/>
      <sheetName val="Lead-2014-15"/>
      <sheetName val="Specification"/>
      <sheetName val="Road data.PS"/>
      <sheetName val="eligibilty"/>
      <sheetName val="Sheet1_(2)1"/>
      <sheetName val="Plant_㫨__Machinery1"/>
      <sheetName val="Pipe_Areas"/>
      <sheetName val="Elc_Stnd_Data-18-19-final_"/>
      <sheetName val="Elc_Stnd_Data-17-18_"/>
      <sheetName val="Av_G_Level"/>
      <sheetName val="CD_Data"/>
      <sheetName val="HS final-2"/>
      <sheetName val="FORM7"/>
      <sheetName val="Sheet5"/>
      <sheetName val="Data o"/>
      <sheetName val="int-Dia-hdpe"/>
      <sheetName val="Lead 09-10"/>
      <sheetName val="Elc.data-20-21"/>
      <sheetName val="data- Civil"/>
      <sheetName val="2a.Est. Drainage System"/>
      <sheetName val="data- MS Gates &amp; Grills"/>
      <sheetName val="MS-Truss data"/>
      <sheetName val="HS 30.04.2015.Final"/>
      <sheetName val="ID"/>
      <sheetName val="HDPE"/>
      <sheetName val="Sheet9"/>
      <sheetName val="HS 1"/>
      <sheetName val="zone-8"/>
      <sheetName val="MHNO_LEV"/>
      <sheetName val="ewst"/>
      <sheetName val="3405-2014"/>
      <sheetName val="wh_data_R"/>
      <sheetName val="wh_data"/>
      <sheetName val="CPHEEO"/>
      <sheetName val="detls"/>
      <sheetName val="Bitumen trunk"/>
      <sheetName val="Feeder"/>
      <sheetName val="R99 etc"/>
      <sheetName val="Trunk unpaved"/>
      <sheetName val="data1"/>
      <sheetName val="TS memo"/>
      <sheetName val="stone"/>
      <sheetName val="index"/>
      <sheetName val="narsib~1"/>
      <sheetName val="SUMP1420KL@HW"/>
      <sheetName val="SPT vs PHI"/>
      <sheetName val="Abs"/>
      <sheetName val="DATA-BASE"/>
      <sheetName val="DATA-ABSTRACT"/>
      <sheetName val="PVC"/>
      <sheetName val="Detailed"/>
      <sheetName val="Wordsdata"/>
      <sheetName val="segments-details"/>
      <sheetName val="int-Dia-pvc"/>
      <sheetName val="mlead "/>
      <sheetName val="dBase"/>
      <sheetName val="PROCTOR"/>
      <sheetName val="Mp-team 1"/>
      <sheetName val="Staff Acco."/>
      <sheetName val="mas_hab"/>
      <sheetName val="Iocount"/>
      <sheetName val="C.D.Abs.Est."/>
      <sheetName val="t_prsr"/>
      <sheetName val="wh"/>
      <sheetName val="INPUT-SHEET"/>
      <sheetName val="other rates"/>
      <sheetName val="Lead  RATES"/>
      <sheetName val="RAFT"/>
      <sheetName val="ABUT"/>
      <sheetName val="SSR 2015-16"/>
      <sheetName val="sand"/>
      <sheetName val="WATER-HAMMER"/>
      <sheetName val="DI"/>
      <sheetName val="BWSCPlt"/>
      <sheetName val="CI"/>
      <sheetName val="G.R.P"/>
      <sheetName val="PSC REVISED"/>
      <sheetName val="mroad data"/>
      <sheetName val="Data rough"/>
      <sheetName val="PVC weights"/>
      <sheetName val="Lead Distance"/>
      <sheetName val="Works"/>
      <sheetName val="General"/>
      <sheetName val="INPUT SHEET"/>
      <sheetName val="RES-PLANNING"/>
      <sheetName val="Macro1"/>
      <sheetName val="PS1"/>
      <sheetName val="Hydraulic Design (Pipe)"/>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Plant_&amp;__Machinery"/>
      <sheetName val="Summary_of_Rates"/>
      <sheetName val="Basic_Approach"/>
      <sheetName val="Plant_&amp;__Machinery1"/>
      <sheetName val="Summary_of_Rates1"/>
      <sheetName val="Basic_Approach1"/>
      <sheetName val="Lead"/>
      <sheetName val="ESTIMATE"/>
      <sheetName val="DATA"/>
      <sheetName val="materials"/>
      <sheetName val="pvc"/>
      <sheetName val="leads"/>
      <sheetName val="abs road"/>
      <sheetName val="Road data"/>
      <sheetName val="Data_Bit_I"/>
      <sheetName val="habs-list"/>
      <sheetName val="nodes"/>
      <sheetName val="MRATES"/>
      <sheetName val="m"/>
      <sheetName val="Global factors"/>
      <sheetName val="lead-st"/>
      <sheetName val="rdamdata"/>
      <sheetName val="Lookup"/>
      <sheetName val="Specification report"/>
      <sheetName val="Plant _  Machinery"/>
      <sheetName val="Plant_&amp;__Machinery5"/>
      <sheetName val="Summary_of_Rates5"/>
      <sheetName val="Basic_Approach5"/>
      <sheetName val="Plant_&amp;__Machinery3"/>
      <sheetName val="Summary_of_Rates3"/>
      <sheetName val="Basic_Approach3"/>
      <sheetName val="Plant_&amp;__Machinery2"/>
      <sheetName val="Summary_of_Rates2"/>
      <sheetName val="Basic_Approach2"/>
      <sheetName val="Plant_&amp;__Machinery4"/>
      <sheetName val="Summary_of_Rates4"/>
      <sheetName val="Basic_Approach4"/>
      <sheetName val="Data_Base"/>
      <sheetName val="detls"/>
      <sheetName val="r"/>
      <sheetName val="l"/>
      <sheetName val="Levels"/>
      <sheetName val="maya"/>
      <sheetName val="ssr-rates"/>
      <sheetName val="PRECAST lightconc-II"/>
      <sheetName val="v"/>
      <sheetName val="Nspt-smp-final-ORIGINAL"/>
      <sheetName val="Elc.Stnd.Data-17-18 "/>
      <sheetName val="RCC-Rates"/>
      <sheetName val="data-WC"/>
      <sheetName val="hdpe weights"/>
      <sheetName val="PVC weights"/>
      <sheetName val="index"/>
      <sheetName val="Data.F8.BTR"/>
      <sheetName val="DATA-BASE"/>
      <sheetName val="DATA-ABSTRACT"/>
      <sheetName val="2.0m  slab"/>
      <sheetName val="ewst"/>
      <sheetName val="Data-ELSR"/>
      <sheetName val="Mortars"/>
      <sheetName val=" Data -Valves"/>
      <sheetName val="C.D.Abs.Est."/>
      <sheetName val="RAFT"/>
      <sheetName val="Pipe Areas"/>
      <sheetName val="RMR"/>
      <sheetName val="Quarry"/>
    </sheetNames>
    <sheetDataSet>
      <sheetData sheetId="0" refreshError="1"/>
      <sheetData sheetId="1" refreshError="1"/>
      <sheetData sheetId="2" refreshError="1">
        <row r="4">
          <cell r="G4">
            <v>196</v>
          </cell>
        </row>
        <row r="5">
          <cell r="G5">
            <v>6328</v>
          </cell>
        </row>
        <row r="8">
          <cell r="G8">
            <v>120</v>
          </cell>
        </row>
        <row r="10">
          <cell r="G10">
            <v>692</v>
          </cell>
        </row>
        <row r="19">
          <cell r="G19">
            <v>230</v>
          </cell>
        </row>
        <row r="21">
          <cell r="G21">
            <v>1700</v>
          </cell>
        </row>
        <row r="24">
          <cell r="G24">
            <v>6328</v>
          </cell>
        </row>
        <row r="51">
          <cell r="G51">
            <v>754</v>
          </cell>
        </row>
      </sheetData>
      <sheetData sheetId="3" refreshError="1"/>
      <sheetData sheetId="4" refreshError="1">
        <row r="4">
          <cell r="D4" t="str">
            <v>Input Rate</v>
          </cell>
        </row>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4">
          <cell r="D64"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row r="5">
          <cell r="G5">
            <v>6328</v>
          </cell>
        </row>
      </sheetData>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sheetData sheetId="3"/>
      <sheetData sheetId="4">
        <row r="58">
          <cell r="D58" t="str">
            <v>Input Rate</v>
          </cell>
        </row>
        <row r="84">
          <cell r="D84"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refreshError="1"/>
      <sheetData sheetId="1" refreshError="1"/>
      <sheetData sheetId="2" refreshError="1"/>
      <sheetData sheetId="3" refreshError="1"/>
      <sheetData sheetId="4" refreshError="1">
        <row r="129">
          <cell r="D129">
            <v>28000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sheetData>
      <sheetData sheetId="1" refreshError="1"/>
      <sheetData sheetId="2"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sheetData>
      <sheetData sheetId="1" refreshError="1"/>
      <sheetData sheetId="2"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ExeSummary"/>
      <sheetName val="sReport"/>
      <sheetName val="crust"/>
      <sheetName val="abstract"/>
      <sheetName val="detailed"/>
      <sheetName val="rates"/>
      <sheetName val="initialrate"/>
      <sheetName val="data"/>
      <sheetName val="lead-st"/>
      <sheetName val="CDdata"/>
      <sheetName val="btrates"/>
      <sheetName val="lchart1 (2)"/>
      <sheetName val="leads"/>
      <sheetName val="1v800"/>
      <sheetName val="hp900"/>
      <sheetName val="1v900"/>
      <sheetName val="2v900"/>
      <sheetName val="3v900"/>
      <sheetName val="lchart"/>
      <sheetName val="lchart1"/>
      <sheetName val="CS2"/>
      <sheetName val="LS2"/>
      <sheetName val="CS3"/>
      <sheetName val="LS3"/>
      <sheetName val="CS-ex"/>
      <sheetName val="LS-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4">
          <cell r="H4">
            <v>134</v>
          </cell>
        </row>
        <row r="5">
          <cell r="H5">
            <v>106</v>
          </cell>
        </row>
        <row r="6">
          <cell r="H6">
            <v>83</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ExeSummary"/>
      <sheetName val="sReport"/>
      <sheetName val="crust"/>
      <sheetName val="abstract"/>
      <sheetName val="detailed"/>
      <sheetName val="rates"/>
      <sheetName val="initialrate"/>
      <sheetName val="data"/>
      <sheetName val="lead-st"/>
      <sheetName val="CDdata"/>
      <sheetName val="btrates"/>
      <sheetName val="lchart1 (2)"/>
      <sheetName val="leads"/>
      <sheetName val="1v800"/>
      <sheetName val="hp900"/>
      <sheetName val="1v900"/>
      <sheetName val="2v900"/>
      <sheetName val="3v900"/>
      <sheetName val="lchart"/>
      <sheetName val="lchart1"/>
      <sheetName val="CS2"/>
      <sheetName val="LS2"/>
      <sheetName val="CS3"/>
      <sheetName val="LS3"/>
      <sheetName val="CS-ex"/>
      <sheetName val="LS-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4">
          <cell r="H4">
            <v>134</v>
          </cell>
        </row>
        <row r="5">
          <cell r="H5">
            <v>106</v>
          </cell>
        </row>
        <row r="6">
          <cell r="H6">
            <v>83</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Estimate (2)"/>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s>
    <sheetDataSet>
      <sheetData sheetId="0"/>
      <sheetData sheetId="1">
        <row r="4">
          <cell r="B4" t="str">
            <v>Description of Item</v>
          </cell>
        </row>
        <row r="6">
          <cell r="B6">
            <v>2</v>
          </cell>
        </row>
        <row r="7">
          <cell r="B7" t="str">
            <v>Earth work excavation and depositing on bank with an initial lead of 10 m and initial lift of 2 m, including seigniorage and labour charges etc. complete- in BC soils as per SS no. 20-B for foundations</v>
          </cell>
        </row>
        <row r="10">
          <cell r="B10" t="str">
            <v>Filling with local sand including cost and conveyance of all materials and all labour charges for watering and ramming etc complete</v>
          </cell>
        </row>
        <row r="14">
          <cell r="B14" t="str">
            <v>C.C.(1:4:8)mix using 40 mm HBG metal including cost and conveyance of all materials and labour charges etc. complete-1cum</v>
          </cell>
        </row>
        <row r="17">
          <cell r="B17" t="str">
            <v>Country Brick masonary in cement mortar(1:6), including cost, seigniorage and conveyance of all materials and labour charges etc. complete for basements</v>
          </cell>
        </row>
        <row r="18">
          <cell r="B18" t="str">
            <v>Washing plat form alround</v>
          </cell>
        </row>
        <row r="19">
          <cell r="B19" t="str">
            <v>Washing plat form above G L</v>
          </cell>
        </row>
        <row r="21">
          <cell r="B21" t="str">
            <v>Flooring with PCC(1:4:8) 100 mm thick over that V.C.C.(1:1.5:3) mix using 20 mm HBG chips - 50 mm thick including bedding over that with cement mortar(1:3) 12 mm thick  including cost, seigniorage and conveyance charges etc. complete.</v>
          </cell>
        </row>
        <row r="22">
          <cell r="B22" t="str">
            <v xml:space="preserve">Washing plat form alround out side </v>
          </cell>
        </row>
        <row r="24">
          <cell r="B24" t="str">
            <v xml:space="preserve">Plastering with Cement Mortar (1:5) - 12 mm thick, including cost, seigniorage and conveyance of all materials and labour charges etc. complete </v>
          </cell>
        </row>
        <row r="27">
          <cell r="B27" t="str">
            <v>Provision for unforceen item of work</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Estimate (2)"/>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s>
    <sheetDataSet>
      <sheetData sheetId="0"/>
      <sheetData sheetId="1">
        <row r="4">
          <cell r="B4" t="str">
            <v>Description of Item</v>
          </cell>
        </row>
        <row r="6">
          <cell r="B6">
            <v>2</v>
          </cell>
        </row>
        <row r="7">
          <cell r="B7" t="str">
            <v>Earth work excavation and depositing on bank with an initial lead of 10 m and initial lift of 2 m, including seigniorage and labour charges etc. complete- in BC soils as per SS no. 20-B for foundations</v>
          </cell>
        </row>
        <row r="10">
          <cell r="B10" t="str">
            <v>Filling with local sand including cost and conveyance of all materials and all labour charges for watering and ramming etc complete</v>
          </cell>
        </row>
        <row r="14">
          <cell r="B14" t="str">
            <v>C.C.(1:4:8)mix using 40 mm HBG metal including cost and conveyance of all materials and labour charges etc. complete-1cum</v>
          </cell>
        </row>
        <row r="17">
          <cell r="B17" t="str">
            <v>Country Brick masonary in cement mortar(1:6), including cost, seigniorage and conveyance of all materials and labour charges etc. complete for basements</v>
          </cell>
        </row>
        <row r="18">
          <cell r="B18" t="str">
            <v>Washing plat form alround</v>
          </cell>
        </row>
        <row r="19">
          <cell r="B19" t="str">
            <v>Washing plat form above G L</v>
          </cell>
        </row>
        <row r="21">
          <cell r="B21" t="str">
            <v>Flooring with PCC(1:4:8) 100 mm thick over that V.C.C.(1:1.5:3) mix using 20 mm HBG chips - 50 mm thick including bedding over that with cement mortar(1:3) 12 mm thick  including cost, seigniorage and conveyance charges etc. complete.</v>
          </cell>
        </row>
        <row r="22">
          <cell r="B22" t="str">
            <v xml:space="preserve">Washing plat form alround out side </v>
          </cell>
        </row>
        <row r="24">
          <cell r="B24" t="str">
            <v xml:space="preserve">Plastering with Cement Mortar (1:5) - 12 mm thick, including cost, seigniorage and conveyance of all materials and labour charges etc. complete </v>
          </cell>
        </row>
        <row r="27">
          <cell r="B27" t="str">
            <v>Provision for unforceen item of work</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_zphs"/>
      <sheetName val="data"/>
      <sheetName val="v"/>
      <sheetName val="r"/>
      <sheetName val="l"/>
    </sheetNames>
    <sheetDataSet>
      <sheetData sheetId="0" refreshError="1"/>
      <sheetData sheetId="1" refreshError="1"/>
      <sheetData sheetId="2"/>
      <sheetData sheetId="3">
        <row r="46">
          <cell r="I46">
            <v>17</v>
          </cell>
        </row>
      </sheetData>
      <sheetData sheetId="4">
        <row r="8">
          <cell r="J8">
            <v>33</v>
          </cell>
        </row>
        <row r="9">
          <cell r="J9">
            <v>30</v>
          </cell>
        </row>
        <row r="10">
          <cell r="J10">
            <v>35</v>
          </cell>
        </row>
      </sheetData>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_zphs"/>
      <sheetName val="data"/>
      <sheetName val="v"/>
      <sheetName val="r"/>
      <sheetName val="l"/>
    </sheetNames>
    <sheetDataSet>
      <sheetData sheetId="0" refreshError="1"/>
      <sheetData sheetId="1" refreshError="1"/>
      <sheetData sheetId="2"/>
      <sheetData sheetId="3">
        <row r="46">
          <cell r="I46">
            <v>17</v>
          </cell>
        </row>
      </sheetData>
      <sheetData sheetId="4">
        <row r="8">
          <cell r="J8">
            <v>33</v>
          </cell>
        </row>
        <row r="9">
          <cell r="J9">
            <v>30</v>
          </cell>
        </row>
        <row r="10">
          <cell r="J10">
            <v>35</v>
          </cell>
        </row>
      </sheetData>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ExeSummary"/>
      <sheetName val="sReport"/>
      <sheetName val="abstract"/>
      <sheetName val="detailed"/>
      <sheetName val="2v600"/>
      <sheetName val="rates"/>
      <sheetName val="initialrate"/>
      <sheetName val="data"/>
      <sheetName val="CDdata"/>
      <sheetName val="leadchart"/>
      <sheetName val="crust"/>
      <sheetName val="CS-ex"/>
      <sheetName val="LS-ex"/>
      <sheetName val="keymap"/>
      <sheetName val="leads"/>
      <sheetName val="r"/>
      <sheetName val="l"/>
      <sheetName val="Lead"/>
      <sheetName val="HDPE-pipe-rates"/>
      <sheetName val="pvc-pipe-rates"/>
      <sheetName val="Data_Renuals"/>
      <sheetName val="MRATES"/>
      <sheetName val="mas_hab"/>
      <sheetName val="Labour"/>
      <sheetName val="Material"/>
      <sheetName val="Plant &amp;  Machinery"/>
    </sheetNames>
    <sheetDataSet>
      <sheetData sheetId="0">
        <row r="4">
          <cell r="H4">
            <v>156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4">
          <cell r="H4">
            <v>156</v>
          </cell>
        </row>
        <row r="14">
          <cell r="H14">
            <v>19.5</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sectorwise"/>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Material"/>
      <sheetName val="Data"/>
      <sheetName val="lead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_Renuals"/>
      <sheetName val="Gen Abst"/>
      <sheetName val="CC Road _Data"/>
      <sheetName val="CC PVMT"/>
      <sheetName val=" BT Estimate"/>
      <sheetName val="Lead  RATES"/>
      <sheetName val="Lead charges 07-08"/>
      <sheetName val="Data_patch work"/>
    </sheetNames>
    <sheetDataSet>
      <sheetData sheetId="0" refreshError="1"/>
      <sheetData sheetId="1" refreshError="1"/>
      <sheetData sheetId="2" refreshError="1"/>
      <sheetData sheetId="3" refreshError="1"/>
      <sheetData sheetId="4"/>
      <sheetData sheetId="5" refreshError="1">
        <row r="8">
          <cell r="M8">
            <v>687.7</v>
          </cell>
        </row>
        <row r="9">
          <cell r="M9">
            <v>1165.7</v>
          </cell>
        </row>
        <row r="11">
          <cell r="M11">
            <v>890.7</v>
          </cell>
        </row>
        <row r="12">
          <cell r="M12">
            <v>765.7</v>
          </cell>
        </row>
        <row r="15">
          <cell r="M15">
            <v>29483.539199999999</v>
          </cell>
        </row>
        <row r="16">
          <cell r="M16">
            <v>23093</v>
          </cell>
        </row>
      </sheetData>
      <sheetData sheetId="6" refreshError="1"/>
      <sheetData sheetId="7"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EC 7.00"/>
      <sheetName val="SPEC 14.00"/>
      <sheetName val="SPEC 24.00"/>
      <sheetName val="SPEC 6.00"/>
      <sheetName val="Lead"/>
      <sheetName val="Data_Renuals"/>
      <sheetName val="V BIT 25.00"/>
      <sheetName val="IV BIT 21.00"/>
      <sheetName val="III BIT 28.00"/>
      <sheetName val="I BIT 24.50"/>
      <sheetName val="B-M 6.00"/>
      <sheetName val="B-M 24.00"/>
      <sheetName val="CR 24.00"/>
      <sheetName val="CR 6.00"/>
      <sheetName val="CR 14.00"/>
      <sheetName val="Schedule"/>
      <sheetName val="Conveyance"/>
      <sheetName val="SPEC_7_00"/>
      <sheetName val="SPEC_14_00"/>
      <sheetName val="SPEC_24_00"/>
      <sheetName val="SPEC_6_00"/>
      <sheetName val="V_BIT_25_00"/>
      <sheetName val="IV_BIT_21_00"/>
      <sheetName val="III_BIT_28_00"/>
      <sheetName val="I_BIT_24_50"/>
      <sheetName val="B-M_6_00"/>
      <sheetName val="B-M_24_00"/>
      <sheetName val="CR_24_00"/>
      <sheetName val="CR_6_00"/>
      <sheetName val="CR_14_00"/>
      <sheetName val="Plant &amp;  Machinery"/>
      <sheetName val="Material"/>
      <sheetName val="Labour"/>
      <sheetName val="Sheet2"/>
      <sheetName val="sectorwise"/>
      <sheetName val="0000000000000"/>
      <sheetName val="hdpe weights"/>
      <sheetName val="PVC weights"/>
      <sheetName val="index"/>
      <sheetName val="DATA"/>
      <sheetName val="r"/>
      <sheetName val="Lead  RATES"/>
      <sheetName val="ABS"/>
      <sheetName val="maya"/>
      <sheetName val="MRATES"/>
      <sheetName val="MRoad data"/>
      <sheetName val="int-Dia"/>
      <sheetName val="habs-list"/>
      <sheetName val="nodes"/>
      <sheetName val="v"/>
      <sheetName val="Lead statement ss5"/>
      <sheetName val="leads"/>
      <sheetName val="HDPE-pipe-rates"/>
      <sheetName val="pvc-pipe-rates"/>
      <sheetName val="Sheet3"/>
      <sheetName val="Levels"/>
      <sheetName val="m"/>
      <sheetName val="M.R.O"/>
      <sheetName val="Nspt-smp-final-ORIGINAL"/>
      <sheetName val="DATA_PRG"/>
      <sheetName val="Road data"/>
      <sheetName val="Data.F8.BTR"/>
      <sheetName val="Bitumen trunk"/>
      <sheetName val="Feeder"/>
      <sheetName val="R99 etc"/>
      <sheetName val="Trunk unpaved"/>
      <sheetName val="agreement"/>
      <sheetName val="RATES"/>
      <sheetName val="Gen Abs"/>
      <sheetName val="data existing_do not delete"/>
      <sheetName val="rdamdata"/>
      <sheetName val="ewst"/>
      <sheetName val="Sheet1"/>
      <sheetName val="JAWAHAR-hyd-original"/>
      <sheetName val="l"/>
      <sheetName val="DATA-BASE"/>
      <sheetName val="DATA-ABSTRACT"/>
      <sheetName val="p&amp;m"/>
      <sheetName val="Sheet9"/>
      <sheetName val="Lead statement"/>
      <sheetName val="Specification"/>
      <sheetName val="Usage"/>
      <sheetName val="Main sheet"/>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efreshError="1">
        <row r="22">
          <cell r="B22">
            <v>0</v>
          </cell>
        </row>
      </sheetData>
      <sheetData sheetId="1"/>
      <sheetData sheetId="2" refreshError="1"/>
      <sheetData sheetId="3"/>
      <sheetData sheetId="4"/>
      <sheetData sheetId="5"/>
      <sheetData sheetId="6"/>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2">
          <cell r="B22">
            <v>0</v>
          </cell>
        </row>
      </sheetData>
      <sheetData sheetId="1"/>
      <sheetData sheetId="2" refreshError="1"/>
      <sheetData sheetId="3"/>
      <sheetData sheetId="4"/>
      <sheetData sheetId="5"/>
      <sheetData sheetId="6"/>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5">
          <cell r="D1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5">
          <cell r="D1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LEAD"/>
      <sheetName val="Data-Road "/>
      <sheetName val="DATA-CD"/>
      <sheetName val="Road Furniture-Data"/>
      <sheetName val="other rates"/>
      <sheetName val="Hire"/>
      <sheetName val="Conv"/>
      <sheetName val="NP3 pipes"/>
      <sheetName val="NP3 collars"/>
    </sheetNames>
    <sheetDataSet>
      <sheetData sheetId="0" refreshError="1"/>
      <sheetData sheetId="1" refreshError="1"/>
      <sheetData sheetId="2" refreshError="1">
        <row r="46">
          <cell r="K46">
            <v>0.125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LEAD"/>
      <sheetName val="Data-Road "/>
      <sheetName val="DATA-CD"/>
      <sheetName val="Road Furniture-Data"/>
      <sheetName val="other rates"/>
      <sheetName val="Hire"/>
      <sheetName val="Conv"/>
      <sheetName val="NP3 pipes"/>
      <sheetName val="NP3 collars"/>
    </sheetNames>
    <sheetDataSet>
      <sheetData sheetId="0"/>
      <sheetData sheetId="1"/>
      <sheetData sheetId="2">
        <row r="46">
          <cell r="K46">
            <v>0.125</v>
          </cell>
        </row>
      </sheetData>
      <sheetData sheetId="3"/>
      <sheetData sheetId="4"/>
      <sheetData sheetId="5"/>
      <sheetData sheetId="6"/>
      <sheetData sheetId="7"/>
      <sheetData sheetId="8"/>
      <sheetData sheetId="9"/>
      <sheetData sheetId="10"/>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pm-tsb"/>
      <sheetName val="ssr-rates"/>
      <sheetName val="t_prsr"/>
      <sheetName val="id"/>
      <sheetName val="wh"/>
      <sheetName val="id_whmr"/>
      <sheetName val="WATER-HAMMER"/>
      <sheetName val="pvc-pipe-rates"/>
      <sheetName val="GA"/>
      <sheetName val="JAWAHAR-hyd-original"/>
      <sheetName val="DATA"/>
      <sheetName val="hdpe weights"/>
      <sheetName val="PVC weights"/>
      <sheetName val="Lead"/>
      <sheetName val="Labour"/>
      <sheetName val="DATA_PRG"/>
      <sheetName val="r"/>
      <sheetName val="m1"/>
      <sheetName val="l"/>
      <sheetName val="m"/>
      <sheetName val="ESTIMATE"/>
      <sheetName val="Levels"/>
      <sheetName val="0000000000000"/>
      <sheetName val="PVC_dia"/>
      <sheetName val="Data.F8.BTR"/>
      <sheetName val="sand"/>
      <sheetName val="stone"/>
      <sheetName val="index"/>
      <sheetName val="Sheet3"/>
      <sheetName val="CD Data"/>
      <sheetName val="Data_"/>
      <sheetName val="Rate"/>
      <sheetName val="Input"/>
      <sheetName val="economic PM"/>
      <sheetName val="Sheet1"/>
      <sheetName val="Cul_detail"/>
      <sheetName val="Plant &amp;  Machinery"/>
      <sheetName val="Material"/>
      <sheetName val="mas_hab"/>
      <sheetName val="detls"/>
      <sheetName val="coverpage"/>
      <sheetName val="LEAD (2)"/>
      <sheetName val="Mortars"/>
      <sheetName val="DISCHARGE"/>
      <sheetName val="water-hammar-strenght"/>
      <sheetName val="MRATES"/>
      <sheetName val="wh_data_R"/>
      <sheetName val="AV-HDPE"/>
      <sheetName val="Di_gate-HDPE"/>
      <sheetName val="rdamdata"/>
      <sheetName val="Abstract"/>
      <sheetName val="hdpe-rates"/>
      <sheetName val="pvc-rates"/>
      <sheetName val="Nspt-smp-final-ORIGINAL"/>
      <sheetName val="v"/>
      <sheetName val="BWSCPlt"/>
      <sheetName val="CI"/>
      <sheetName val="DI"/>
      <sheetName val="G.R.P"/>
      <sheetName val="HDPE"/>
      <sheetName val="PSC REVISED"/>
      <sheetName val="pvc"/>
      <sheetName val="LEAD S 10-11"/>
      <sheetName val="Road data"/>
      <sheetName val="NA"/>
      <sheetName val="Steel Structure"/>
      <sheetName val="Longitudinal"/>
      <sheetName val="Sheet2"/>
      <sheetName val="int-Dia-pvc"/>
      <sheetName val="HS final-2"/>
      <sheetName val="LEAD STATEMENT"/>
      <sheetName val=" data sheet "/>
      <sheetName val="CPHEEO"/>
      <sheetName val="wh_data"/>
      <sheetName val="HDPE-pipe-rates"/>
      <sheetName val="DATA-BASE"/>
      <sheetName val="DATA-ABSTRACT"/>
      <sheetName val="11.Habitations"/>
      <sheetName val="Summary"/>
      <sheetName val="RMR"/>
      <sheetName val="DISCOUNT"/>
      <sheetName val="int-Dia-hdpe"/>
      <sheetName val="ewst"/>
      <sheetName val="DATA SHEET"/>
      <sheetName val="_5wgdhabfinal00_01"/>
      <sheetName val="RCC,Ret. Wall"/>
      <sheetName val="Quotes"/>
      <sheetName val="leads"/>
      <sheetName val="Cd"/>
      <sheetName val="Cs"/>
      <sheetName val="CPIPE"/>
      <sheetName val="THK"/>
      <sheetName val="CPIPE 1"/>
      <sheetName val="SPT vs PHI"/>
      <sheetName val="Usage"/>
      <sheetName val="Common "/>
      <sheetName val="General"/>
      <sheetName val="lead-st"/>
      <sheetName val="HS 1"/>
      <sheetName val="Road Detail Est."/>
      <sheetName val="nodes"/>
      <sheetName val="RATES"/>
      <sheetName val="C-data"/>
      <sheetName val="Lead statement ss5"/>
      <sheetName val="Bitumen trunk"/>
      <sheetName val="Feeder"/>
      <sheetName val="R99 etc"/>
      <sheetName val="Trunk unpaved"/>
      <sheetName val="Detailed"/>
      <sheetName val="ws-abs"/>
      <sheetName val="design"/>
      <sheetName val="habs-list"/>
      <sheetName val="CLEAR OVER FALL DROP"/>
      <sheetName val="TELs"/>
      <sheetName val="Data-ELSR"/>
      <sheetName val="other rates"/>
      <sheetName val="Leads Entry"/>
      <sheetName val="Codes"/>
      <sheetName val="int-Dia"/>
      <sheetName val="Data_Base"/>
      <sheetName val="pop"/>
      <sheetName val="hdpe_basic"/>
      <sheetName val="pvc_basic"/>
      <sheetName val="ohsrb"/>
      <sheetName val="Lookup"/>
      <sheetName val="mlead"/>
      <sheetName val="Z1_DATA"/>
      <sheetName val="M.R.O"/>
      <sheetName val="Sheet1 (2)"/>
      <sheetName val="OPD-Civil"/>
      <sheetName val="AV-BWSC&amp;MS"/>
      <sheetName val="AV_AC"/>
      <sheetName val="AV-DI"/>
      <sheetName val="di_Gate_AC"/>
      <sheetName val="Digate-BWSCP-MS"/>
      <sheetName val="DI_gate_di"/>
      <sheetName val="scour-DI-CI"/>
      <sheetName val="scour-pvc-hdpe-psc-bwsc"/>
      <sheetName val="boredetails"/>
      <sheetName val="Data rough"/>
      <sheetName val="Cover Page"/>
      <sheetName val="3"/>
      <sheetName val="40"/>
      <sheetName val="Ward areas"/>
      <sheetName val="Main sheet"/>
      <sheetName val="Data 2007-08"/>
      <sheetName val="ww-march-02"/>
    </sheetNames>
    <sheetDataSet>
      <sheetData sheetId="0">
        <row r="3">
          <cell r="A3" t="str">
            <v>CODE</v>
          </cell>
        </row>
      </sheetData>
      <sheetData sheetId="1">
        <row r="4">
          <cell r="A4" t="str">
            <v>PVC463</v>
          </cell>
        </row>
      </sheetData>
      <sheetData sheetId="2" refreshError="1">
        <row r="3">
          <cell r="A3" t="str">
            <v>CODE</v>
          </cell>
          <cell r="B3" t="str">
            <v>TYPE</v>
          </cell>
          <cell r="C3" t="str">
            <v>CLASS</v>
          </cell>
          <cell r="D3" t="str">
            <v>Unit</v>
          </cell>
          <cell r="E3" t="str">
            <v>Without surge</v>
          </cell>
          <cell r="F3" t="str">
            <v>with surge</v>
          </cell>
          <cell r="G3" t="str">
            <v>Site test pressure</v>
          </cell>
          <cell r="H3" t="str">
            <v>Remarks</v>
          </cell>
        </row>
        <row r="4">
          <cell r="A4" t="str">
            <v>PVC4</v>
          </cell>
          <cell r="B4" t="str">
            <v>PVC</v>
          </cell>
          <cell r="C4">
            <v>4</v>
          </cell>
          <cell r="D4" t="str">
            <v>kg/cm2</v>
          </cell>
          <cell r="E4">
            <v>40</v>
          </cell>
          <cell r="F4">
            <v>40</v>
          </cell>
        </row>
        <row r="5">
          <cell r="A5" t="str">
            <v>PVC6</v>
          </cell>
          <cell r="B5" t="str">
            <v>PVC</v>
          </cell>
          <cell r="C5">
            <v>6</v>
          </cell>
          <cell r="D5" t="str">
            <v>kg/cm2</v>
          </cell>
          <cell r="E5">
            <v>60</v>
          </cell>
          <cell r="F5">
            <v>60</v>
          </cell>
        </row>
        <row r="6">
          <cell r="A6" t="str">
            <v>PVC10</v>
          </cell>
          <cell r="B6" t="str">
            <v>PVC</v>
          </cell>
          <cell r="C6">
            <v>10</v>
          </cell>
          <cell r="D6" t="str">
            <v>kg/cm2</v>
          </cell>
          <cell r="E6">
            <v>100</v>
          </cell>
          <cell r="F6">
            <v>100</v>
          </cell>
        </row>
        <row r="7">
          <cell r="A7" t="str">
            <v>HDPE4</v>
          </cell>
          <cell r="B7" t="str">
            <v>HDPE</v>
          </cell>
          <cell r="C7">
            <v>4</v>
          </cell>
          <cell r="D7" t="str">
            <v>kg/cm2</v>
          </cell>
          <cell r="E7">
            <v>40</v>
          </cell>
          <cell r="F7">
            <v>60</v>
          </cell>
        </row>
        <row r="8">
          <cell r="A8" t="str">
            <v>HDPE6</v>
          </cell>
          <cell r="B8" t="str">
            <v>HDPE</v>
          </cell>
          <cell r="C8">
            <v>6</v>
          </cell>
          <cell r="D8" t="str">
            <v>kg/cm2</v>
          </cell>
          <cell r="E8">
            <v>60</v>
          </cell>
          <cell r="F8">
            <v>90</v>
          </cell>
        </row>
        <row r="9">
          <cell r="A9" t="str">
            <v>HDPE8</v>
          </cell>
          <cell r="B9" t="str">
            <v>HDPE</v>
          </cell>
          <cell r="C9">
            <v>8</v>
          </cell>
          <cell r="D9" t="str">
            <v>kg/cm2</v>
          </cell>
          <cell r="E9">
            <v>80</v>
          </cell>
          <cell r="F9">
            <v>120</v>
          </cell>
        </row>
        <row r="10">
          <cell r="A10" t="str">
            <v>HDPE10</v>
          </cell>
          <cell r="B10" t="str">
            <v>HDPE</v>
          </cell>
          <cell r="C10">
            <v>10</v>
          </cell>
          <cell r="D10" t="str">
            <v>kg/cm2</v>
          </cell>
          <cell r="E10">
            <v>100</v>
          </cell>
          <cell r="F10">
            <v>150</v>
          </cell>
        </row>
        <row r="11">
          <cell r="A11" t="str">
            <v>DIK7</v>
          </cell>
          <cell r="B11" t="str">
            <v>DI</v>
          </cell>
          <cell r="C11" t="str">
            <v>K7</v>
          </cell>
          <cell r="D11">
            <v>0</v>
          </cell>
          <cell r="E11">
            <v>80</v>
          </cell>
          <cell r="F11">
            <v>125</v>
          </cell>
        </row>
        <row r="12">
          <cell r="A12" t="str">
            <v>DIK9</v>
          </cell>
          <cell r="B12" t="str">
            <v>DI</v>
          </cell>
          <cell r="C12" t="str">
            <v>K9</v>
          </cell>
          <cell r="D12">
            <v>0</v>
          </cell>
          <cell r="E12">
            <v>320</v>
          </cell>
          <cell r="F12">
            <v>570</v>
          </cell>
        </row>
        <row r="13">
          <cell r="A13" t="str">
            <v>ACCL-15</v>
          </cell>
          <cell r="B13" t="str">
            <v>AC</v>
          </cell>
          <cell r="C13" t="str">
            <v>CL-15</v>
          </cell>
          <cell r="D13">
            <v>0</v>
          </cell>
          <cell r="E13">
            <v>75</v>
          </cell>
          <cell r="F13">
            <v>112.5</v>
          </cell>
        </row>
        <row r="14">
          <cell r="A14" t="str">
            <v>ACCL-20</v>
          </cell>
          <cell r="B14" t="str">
            <v>AC</v>
          </cell>
          <cell r="C14" t="str">
            <v>CL-20</v>
          </cell>
          <cell r="D14">
            <v>0</v>
          </cell>
          <cell r="E14">
            <v>100</v>
          </cell>
          <cell r="F14">
            <v>150</v>
          </cell>
        </row>
        <row r="15">
          <cell r="A15" t="str">
            <v>ACCL-25</v>
          </cell>
          <cell r="B15" t="str">
            <v>AC</v>
          </cell>
          <cell r="C15" t="str">
            <v>CL-25</v>
          </cell>
          <cell r="D15">
            <v>0</v>
          </cell>
          <cell r="E15">
            <v>125</v>
          </cell>
          <cell r="F15">
            <v>187.5</v>
          </cell>
        </row>
        <row r="16">
          <cell r="A16" t="str">
            <v>BWSC12</v>
          </cell>
          <cell r="B16" t="str">
            <v>BWSC</v>
          </cell>
          <cell r="C16">
            <v>12</v>
          </cell>
          <cell r="D16" t="str">
            <v>kg/cm2</v>
          </cell>
          <cell r="E16">
            <v>80</v>
          </cell>
          <cell r="F16">
            <v>120</v>
          </cell>
        </row>
        <row r="17">
          <cell r="A17" t="str">
            <v>BWSC14</v>
          </cell>
          <cell r="B17" t="str">
            <v>BWSC</v>
          </cell>
          <cell r="C17">
            <v>14</v>
          </cell>
          <cell r="D17" t="str">
            <v>kg/cm2</v>
          </cell>
          <cell r="E17">
            <v>93.333333333333343</v>
          </cell>
          <cell r="F17">
            <v>140</v>
          </cell>
        </row>
        <row r="18">
          <cell r="A18" t="str">
            <v>BWSC16</v>
          </cell>
          <cell r="B18" t="str">
            <v>BWSC</v>
          </cell>
          <cell r="C18">
            <v>16</v>
          </cell>
          <cell r="D18" t="str">
            <v>kg/cm2</v>
          </cell>
          <cell r="E18">
            <v>106.66666666666666</v>
          </cell>
          <cell r="F18">
            <v>160</v>
          </cell>
        </row>
        <row r="19">
          <cell r="A19" t="str">
            <v>BWSC18</v>
          </cell>
          <cell r="B19" t="str">
            <v>BWSC</v>
          </cell>
          <cell r="C19">
            <v>18</v>
          </cell>
          <cell r="D19" t="str">
            <v>kg/cm2</v>
          </cell>
          <cell r="E19">
            <v>120</v>
          </cell>
          <cell r="F19">
            <v>180</v>
          </cell>
        </row>
        <row r="20">
          <cell r="A20" t="str">
            <v>BWSC20</v>
          </cell>
          <cell r="B20" t="str">
            <v>BWSC</v>
          </cell>
          <cell r="C20">
            <v>20</v>
          </cell>
          <cell r="D20" t="str">
            <v>kg/cm2</v>
          </cell>
          <cell r="E20">
            <v>133.33333333333334</v>
          </cell>
          <cell r="F20">
            <v>200</v>
          </cell>
        </row>
        <row r="21">
          <cell r="A21" t="str">
            <v>BWSC22</v>
          </cell>
          <cell r="B21" t="str">
            <v>BWSC</v>
          </cell>
          <cell r="C21">
            <v>22</v>
          </cell>
          <cell r="D21" t="str">
            <v>kg/cm2</v>
          </cell>
          <cell r="E21">
            <v>146.66666666666666</v>
          </cell>
          <cell r="F21">
            <v>220</v>
          </cell>
        </row>
        <row r="22">
          <cell r="A22" t="str">
            <v>BWSC24</v>
          </cell>
          <cell r="B22" t="str">
            <v>BWSC</v>
          </cell>
          <cell r="C22">
            <v>24</v>
          </cell>
          <cell r="D22" t="str">
            <v>kg/cm2</v>
          </cell>
          <cell r="E22">
            <v>160</v>
          </cell>
          <cell r="F22">
            <v>240</v>
          </cell>
        </row>
        <row r="23">
          <cell r="A23" t="str">
            <v>BWSC26</v>
          </cell>
          <cell r="B23" t="str">
            <v>BWSC</v>
          </cell>
          <cell r="C23">
            <v>26</v>
          </cell>
          <cell r="D23" t="str">
            <v>kg/cm2</v>
          </cell>
          <cell r="E23">
            <v>173.33333333333331</v>
          </cell>
          <cell r="F23">
            <v>260</v>
          </cell>
        </row>
        <row r="24">
          <cell r="A24" t="str">
            <v>BWSC28</v>
          </cell>
          <cell r="B24" t="str">
            <v>BWSC</v>
          </cell>
          <cell r="C24">
            <v>28</v>
          </cell>
          <cell r="D24" t="str">
            <v>kg/cm2</v>
          </cell>
          <cell r="E24">
            <v>186.66666666666669</v>
          </cell>
          <cell r="F24">
            <v>280</v>
          </cell>
        </row>
        <row r="25">
          <cell r="A25" t="str">
            <v>BWSC30</v>
          </cell>
          <cell r="B25" t="str">
            <v>BWSC</v>
          </cell>
          <cell r="C25">
            <v>30</v>
          </cell>
          <cell r="D25" t="str">
            <v>kg/cm2</v>
          </cell>
          <cell r="E25">
            <v>200</v>
          </cell>
          <cell r="F25">
            <v>300</v>
          </cell>
        </row>
        <row r="26">
          <cell r="A26" t="str">
            <v>GRP3</v>
          </cell>
          <cell r="B26" t="str">
            <v>GRP</v>
          </cell>
          <cell r="C26">
            <v>3</v>
          </cell>
          <cell r="D26" t="str">
            <v>bar</v>
          </cell>
          <cell r="E26">
            <v>30</v>
          </cell>
          <cell r="F26">
            <v>42</v>
          </cell>
        </row>
        <row r="27">
          <cell r="A27" t="str">
            <v>GRP6</v>
          </cell>
          <cell r="B27" t="str">
            <v>GRP</v>
          </cell>
          <cell r="C27">
            <v>6</v>
          </cell>
          <cell r="D27" t="str">
            <v>bar</v>
          </cell>
          <cell r="E27">
            <v>60</v>
          </cell>
          <cell r="F27">
            <v>84</v>
          </cell>
        </row>
        <row r="28">
          <cell r="A28" t="str">
            <v>GRP9</v>
          </cell>
          <cell r="B28" t="str">
            <v>GRP</v>
          </cell>
          <cell r="C28">
            <v>9</v>
          </cell>
          <cell r="D28" t="str">
            <v>bar</v>
          </cell>
          <cell r="E28">
            <v>90</v>
          </cell>
          <cell r="F28">
            <v>126</v>
          </cell>
        </row>
        <row r="29">
          <cell r="A29" t="str">
            <v>GRP12</v>
          </cell>
          <cell r="B29" t="str">
            <v>GRP</v>
          </cell>
          <cell r="C29">
            <v>12</v>
          </cell>
          <cell r="D29" t="str">
            <v>bar</v>
          </cell>
          <cell r="E29">
            <v>120</v>
          </cell>
          <cell r="F29">
            <v>168</v>
          </cell>
        </row>
        <row r="30">
          <cell r="A30" t="str">
            <v>GRP15</v>
          </cell>
          <cell r="B30" t="str">
            <v>GRP</v>
          </cell>
          <cell r="C30">
            <v>15</v>
          </cell>
          <cell r="D30" t="str">
            <v>bar</v>
          </cell>
          <cell r="E30">
            <v>150</v>
          </cell>
          <cell r="F30">
            <v>210</v>
          </cell>
        </row>
        <row r="31">
          <cell r="A31" t="str">
            <v>PSC6</v>
          </cell>
          <cell r="B31" t="str">
            <v>PSC</v>
          </cell>
          <cell r="C31">
            <v>6</v>
          </cell>
          <cell r="D31" t="str">
            <v>kg/cm2</v>
          </cell>
          <cell r="E31">
            <v>40</v>
          </cell>
          <cell r="F31">
            <v>0</v>
          </cell>
          <cell r="G31">
            <v>0</v>
          </cell>
          <cell r="H31" t="str">
            <v>in gravity only</v>
          </cell>
        </row>
        <row r="32">
          <cell r="A32" t="str">
            <v>PSC8</v>
          </cell>
          <cell r="B32" t="str">
            <v>PSC</v>
          </cell>
          <cell r="C32">
            <v>8</v>
          </cell>
          <cell r="D32" t="str">
            <v>kg/cm2</v>
          </cell>
          <cell r="E32">
            <v>53</v>
          </cell>
          <cell r="F32">
            <v>0</v>
          </cell>
          <cell r="G32">
            <v>0</v>
          </cell>
          <cell r="H32" t="str">
            <v>in gravity only</v>
          </cell>
        </row>
        <row r="33">
          <cell r="A33" t="str">
            <v>PSC10</v>
          </cell>
          <cell r="B33" t="str">
            <v>PSC</v>
          </cell>
          <cell r="C33">
            <v>10</v>
          </cell>
          <cell r="D33" t="str">
            <v>kg/cm2</v>
          </cell>
          <cell r="E33">
            <v>67</v>
          </cell>
          <cell r="F33">
            <v>0</v>
          </cell>
          <cell r="G33">
            <v>0</v>
          </cell>
          <cell r="H33" t="str">
            <v>in gravity only</v>
          </cell>
        </row>
        <row r="34">
          <cell r="A34" t="str">
            <v>PSC12</v>
          </cell>
          <cell r="B34" t="str">
            <v>PSC</v>
          </cell>
          <cell r="C34">
            <v>12</v>
          </cell>
          <cell r="D34" t="str">
            <v>kg/cm2</v>
          </cell>
          <cell r="E34">
            <v>80</v>
          </cell>
          <cell r="F34">
            <v>0</v>
          </cell>
          <cell r="G34">
            <v>0</v>
          </cell>
          <cell r="H34" t="str">
            <v>in gravity only</v>
          </cell>
        </row>
        <row r="35">
          <cell r="A35" t="str">
            <v>PSC16</v>
          </cell>
          <cell r="B35" t="str">
            <v>PSC</v>
          </cell>
          <cell r="C35">
            <v>16</v>
          </cell>
          <cell r="D35" t="str">
            <v>kg/cm2</v>
          </cell>
          <cell r="E35">
            <v>106</v>
          </cell>
          <cell r="F35">
            <v>0</v>
          </cell>
          <cell r="G35">
            <v>0</v>
          </cell>
          <cell r="H35" t="str">
            <v>in gravity only</v>
          </cell>
        </row>
        <row r="36">
          <cell r="A36" t="str">
            <v>MS5</v>
          </cell>
          <cell r="B36" t="str">
            <v>MS</v>
          </cell>
          <cell r="C36">
            <v>5</v>
          </cell>
          <cell r="D36" t="str">
            <v>mm</v>
          </cell>
          <cell r="E36">
            <v>100</v>
          </cell>
          <cell r="F36">
            <v>100</v>
          </cell>
        </row>
        <row r="37">
          <cell r="A37" t="str">
            <v>MS6</v>
          </cell>
          <cell r="B37" t="str">
            <v>MS</v>
          </cell>
          <cell r="C37">
            <v>6</v>
          </cell>
          <cell r="D37" t="str">
            <v>mm</v>
          </cell>
          <cell r="E37">
            <v>150</v>
          </cell>
          <cell r="F37">
            <v>150</v>
          </cell>
        </row>
        <row r="38">
          <cell r="A38" t="str">
            <v>MS8</v>
          </cell>
          <cell r="B38" t="str">
            <v>MS</v>
          </cell>
          <cell r="C38">
            <v>8</v>
          </cell>
          <cell r="D38" t="str">
            <v>mm</v>
          </cell>
          <cell r="E38">
            <v>200</v>
          </cell>
          <cell r="F38">
            <v>200</v>
          </cell>
        </row>
        <row r="39">
          <cell r="A39" t="str">
            <v>MS10</v>
          </cell>
          <cell r="B39" t="str">
            <v>MS</v>
          </cell>
          <cell r="C39">
            <v>10</v>
          </cell>
          <cell r="D39" t="str">
            <v>mm</v>
          </cell>
          <cell r="E39">
            <v>250</v>
          </cell>
          <cell r="F39">
            <v>250</v>
          </cell>
        </row>
      </sheetData>
      <sheetData sheetId="3"/>
      <sheetData sheetId="4" refreshError="1">
        <row r="4">
          <cell r="A4" t="str">
            <v>PVC463</v>
          </cell>
          <cell r="B4" t="str">
            <v>PVC</v>
          </cell>
          <cell r="C4">
            <v>63</v>
          </cell>
          <cell r="D4">
            <v>4</v>
          </cell>
          <cell r="E4">
            <v>0.18543008999999999</v>
          </cell>
        </row>
        <row r="5">
          <cell r="A5" t="str">
            <v>PVC475</v>
          </cell>
          <cell r="B5" t="str">
            <v>PVC</v>
          </cell>
          <cell r="C5">
            <v>75</v>
          </cell>
          <cell r="D5">
            <v>4</v>
          </cell>
          <cell r="E5">
            <v>0.12858473000000001</v>
          </cell>
        </row>
        <row r="6">
          <cell r="A6" t="str">
            <v>PVC490</v>
          </cell>
          <cell r="B6" t="str">
            <v>PVC</v>
          </cell>
          <cell r="C6">
            <v>90</v>
          </cell>
          <cell r="D6">
            <v>4</v>
          </cell>
          <cell r="E6">
            <v>8.8417140000000005E-2</v>
          </cell>
        </row>
        <row r="7">
          <cell r="A7" t="str">
            <v>PVC4110</v>
          </cell>
          <cell r="B7" t="str">
            <v>PVC</v>
          </cell>
          <cell r="C7">
            <v>110</v>
          </cell>
          <cell r="D7">
            <v>4</v>
          </cell>
          <cell r="E7">
            <v>5.7090519999999999E-2</v>
          </cell>
        </row>
        <row r="8">
          <cell r="A8" t="str">
            <v>PVC4125</v>
          </cell>
          <cell r="B8" t="str">
            <v>PVC</v>
          </cell>
          <cell r="C8">
            <v>125</v>
          </cell>
          <cell r="D8">
            <v>4</v>
          </cell>
          <cell r="E8">
            <v>4.4137429999999998E-2</v>
          </cell>
        </row>
        <row r="9">
          <cell r="A9" t="str">
            <v>PVC4140</v>
          </cell>
          <cell r="B9" t="str">
            <v>PVC</v>
          </cell>
          <cell r="C9">
            <v>140</v>
          </cell>
          <cell r="D9">
            <v>4</v>
          </cell>
          <cell r="E9">
            <v>3.5140060000000001E-2</v>
          </cell>
        </row>
        <row r="10">
          <cell r="A10" t="str">
            <v>PVC4160</v>
          </cell>
          <cell r="B10" t="str">
            <v>PVC</v>
          </cell>
          <cell r="C10">
            <v>160</v>
          </cell>
          <cell r="D10">
            <v>4</v>
          </cell>
          <cell r="E10">
            <v>2.6738720000000001E-2</v>
          </cell>
        </row>
        <row r="11">
          <cell r="A11" t="str">
            <v>PVC4180</v>
          </cell>
          <cell r="B11" t="str">
            <v>PVC</v>
          </cell>
          <cell r="C11">
            <v>180</v>
          </cell>
          <cell r="D11">
            <v>4</v>
          </cell>
          <cell r="E11">
            <v>2.1296240000000001E-2</v>
          </cell>
        </row>
        <row r="12">
          <cell r="A12" t="str">
            <v>PVC4200</v>
          </cell>
          <cell r="B12" t="str">
            <v>PVC</v>
          </cell>
          <cell r="C12">
            <v>200</v>
          </cell>
          <cell r="D12">
            <v>4</v>
          </cell>
          <cell r="E12">
            <v>1.696429E-2</v>
          </cell>
        </row>
        <row r="13">
          <cell r="A13" t="str">
            <v>PVC4225</v>
          </cell>
          <cell r="B13" t="str">
            <v>PVC</v>
          </cell>
          <cell r="C13">
            <v>225</v>
          </cell>
          <cell r="D13">
            <v>4</v>
          </cell>
          <cell r="E13">
            <v>1.3456060000000001E-2</v>
          </cell>
        </row>
        <row r="14">
          <cell r="A14" t="str">
            <v>PVC4250</v>
          </cell>
          <cell r="B14" t="str">
            <v>PVC</v>
          </cell>
          <cell r="C14">
            <v>250</v>
          </cell>
          <cell r="D14">
            <v>4</v>
          </cell>
          <cell r="E14">
            <v>1.073005E-2</v>
          </cell>
        </row>
        <row r="15">
          <cell r="A15" t="str">
            <v>PVC4280</v>
          </cell>
          <cell r="B15" t="str">
            <v>PVC</v>
          </cell>
          <cell r="C15">
            <v>280</v>
          </cell>
          <cell r="D15">
            <v>4</v>
          </cell>
          <cell r="E15">
            <v>8.6408000000000006E-3</v>
          </cell>
        </row>
        <row r="16">
          <cell r="A16" t="str">
            <v>PVC4315</v>
          </cell>
          <cell r="B16" t="str">
            <v>PVC</v>
          </cell>
          <cell r="C16">
            <v>315</v>
          </cell>
          <cell r="D16">
            <v>4</v>
          </cell>
          <cell r="E16">
            <v>6.8145999999999997E-3</v>
          </cell>
        </row>
        <row r="17">
          <cell r="A17" t="str">
            <v>PVC4355</v>
          </cell>
          <cell r="B17" t="str">
            <v>PVC</v>
          </cell>
          <cell r="C17">
            <v>355</v>
          </cell>
          <cell r="D17">
            <v>4</v>
          </cell>
        </row>
        <row r="18">
          <cell r="A18" t="str">
            <v>PVC4400</v>
          </cell>
          <cell r="B18" t="str">
            <v>PVC</v>
          </cell>
          <cell r="C18">
            <v>400</v>
          </cell>
          <cell r="D18">
            <v>4</v>
          </cell>
        </row>
        <row r="19">
          <cell r="A19" t="str">
            <v>PVC663</v>
          </cell>
          <cell r="B19" t="str">
            <v>PVC</v>
          </cell>
          <cell r="C19">
            <v>63</v>
          </cell>
          <cell r="D19">
            <v>6</v>
          </cell>
          <cell r="E19">
            <v>0.23433302</v>
          </cell>
        </row>
        <row r="20">
          <cell r="A20" t="str">
            <v>PVC675</v>
          </cell>
          <cell r="B20" t="str">
            <v>PVC</v>
          </cell>
          <cell r="C20">
            <v>75</v>
          </cell>
          <cell r="D20">
            <v>6</v>
          </cell>
          <cell r="E20">
            <v>0.16123288999999999</v>
          </cell>
        </row>
        <row r="21">
          <cell r="A21" t="str">
            <v>PVC690</v>
          </cell>
          <cell r="B21" t="str">
            <v>PVC</v>
          </cell>
          <cell r="C21">
            <v>90</v>
          </cell>
          <cell r="D21">
            <v>6</v>
          </cell>
          <cell r="E21">
            <v>0.11155078</v>
          </cell>
        </row>
        <row r="22">
          <cell r="A22" t="str">
            <v>PVC6110</v>
          </cell>
          <cell r="B22" t="str">
            <v>PVC</v>
          </cell>
          <cell r="C22">
            <v>110</v>
          </cell>
          <cell r="D22">
            <v>6</v>
          </cell>
          <cell r="E22">
            <v>7.2138649999999999E-2</v>
          </cell>
        </row>
        <row r="23">
          <cell r="A23" t="str">
            <v>PVC6125</v>
          </cell>
          <cell r="B23" t="str">
            <v>PVC</v>
          </cell>
          <cell r="C23">
            <v>125</v>
          </cell>
          <cell r="D23">
            <v>6</v>
          </cell>
          <cell r="E23">
            <v>5.6748119999999999E-2</v>
          </cell>
        </row>
        <row r="24">
          <cell r="A24" t="str">
            <v>PVC6140</v>
          </cell>
          <cell r="B24" t="str">
            <v>PVC</v>
          </cell>
          <cell r="C24">
            <v>140</v>
          </cell>
          <cell r="D24">
            <v>6</v>
          </cell>
          <cell r="E24">
            <v>4.4685620000000002E-2</v>
          </cell>
        </row>
        <row r="25">
          <cell r="A25" t="str">
            <v>PVC6160</v>
          </cell>
          <cell r="B25" t="str">
            <v>PVC</v>
          </cell>
          <cell r="C25">
            <v>160</v>
          </cell>
          <cell r="D25">
            <v>6</v>
          </cell>
          <cell r="E25">
            <v>3.389437E-2</v>
          </cell>
        </row>
        <row r="26">
          <cell r="A26" t="str">
            <v>PVC6180</v>
          </cell>
          <cell r="B26" t="str">
            <v>PVC</v>
          </cell>
          <cell r="C26">
            <v>180</v>
          </cell>
          <cell r="D26">
            <v>6</v>
          </cell>
          <cell r="E26">
            <v>2.7106479999999999E-2</v>
          </cell>
        </row>
        <row r="27">
          <cell r="A27" t="str">
            <v>PVC6200</v>
          </cell>
          <cell r="B27" t="str">
            <v>PVC</v>
          </cell>
          <cell r="C27">
            <v>200</v>
          </cell>
          <cell r="D27">
            <v>6</v>
          </cell>
          <cell r="E27">
            <v>2.197735E-2</v>
          </cell>
        </row>
        <row r="28">
          <cell r="A28" t="str">
            <v>PVC6225</v>
          </cell>
          <cell r="B28" t="str">
            <v>PVC</v>
          </cell>
          <cell r="C28">
            <v>225</v>
          </cell>
          <cell r="D28">
            <v>6</v>
          </cell>
          <cell r="E28">
            <v>1.6981139999999999E-2</v>
          </cell>
        </row>
        <row r="29">
          <cell r="A29" t="str">
            <v>PVC6250</v>
          </cell>
          <cell r="B29" t="str">
            <v>PVC</v>
          </cell>
          <cell r="C29">
            <v>250</v>
          </cell>
          <cell r="D29">
            <v>6</v>
          </cell>
          <cell r="E29">
            <v>1.3992569999999999E-2</v>
          </cell>
        </row>
        <row r="30">
          <cell r="A30" t="str">
            <v>PVC6280</v>
          </cell>
          <cell r="B30" t="str">
            <v>PVC</v>
          </cell>
          <cell r="C30">
            <v>280</v>
          </cell>
          <cell r="D30">
            <v>6</v>
          </cell>
          <cell r="E30">
            <v>1.11714E-2</v>
          </cell>
        </row>
        <row r="31">
          <cell r="A31" t="str">
            <v>PVC6315</v>
          </cell>
          <cell r="B31" t="str">
            <v>PVC</v>
          </cell>
          <cell r="C31">
            <v>315</v>
          </cell>
          <cell r="D31">
            <v>6</v>
          </cell>
          <cell r="E31">
            <v>8.83894E-3</v>
          </cell>
        </row>
        <row r="32">
          <cell r="A32" t="str">
            <v>PVC6355</v>
          </cell>
          <cell r="B32" t="str">
            <v>PVC</v>
          </cell>
          <cell r="C32">
            <v>355</v>
          </cell>
          <cell r="D32">
            <v>6</v>
          </cell>
        </row>
        <row r="33">
          <cell r="A33" t="str">
            <v>PVC6400</v>
          </cell>
          <cell r="B33" t="str">
            <v>PVC</v>
          </cell>
          <cell r="C33">
            <v>400</v>
          </cell>
          <cell r="D33">
            <v>6</v>
          </cell>
        </row>
        <row r="34">
          <cell r="A34" t="str">
            <v>PVC1063</v>
          </cell>
          <cell r="B34" t="str">
            <v>PVC</v>
          </cell>
          <cell r="C34">
            <v>63</v>
          </cell>
          <cell r="D34">
            <v>10</v>
          </cell>
          <cell r="E34">
            <v>0.32104532000000002</v>
          </cell>
        </row>
        <row r="35">
          <cell r="A35" t="str">
            <v>PVC1075</v>
          </cell>
          <cell r="B35" t="str">
            <v>PVC</v>
          </cell>
          <cell r="C35">
            <v>75</v>
          </cell>
          <cell r="D35">
            <v>10</v>
          </cell>
          <cell r="E35">
            <v>0.22725295000000001</v>
          </cell>
        </row>
        <row r="36">
          <cell r="A36" t="str">
            <v>PVC1090</v>
          </cell>
          <cell r="B36" t="str">
            <v>PVC</v>
          </cell>
          <cell r="C36">
            <v>90</v>
          </cell>
          <cell r="D36">
            <v>10</v>
          </cell>
          <cell r="E36">
            <v>0.15387228999999999</v>
          </cell>
        </row>
        <row r="37">
          <cell r="A37" t="str">
            <v>PVC10110</v>
          </cell>
          <cell r="B37" t="str">
            <v>PVC</v>
          </cell>
          <cell r="C37">
            <v>110</v>
          </cell>
          <cell r="D37">
            <v>10</v>
          </cell>
          <cell r="E37">
            <v>0.10460234</v>
          </cell>
        </row>
        <row r="38">
          <cell r="A38" t="str">
            <v>PVC10125</v>
          </cell>
          <cell r="B38" t="str">
            <v>PVC</v>
          </cell>
          <cell r="C38">
            <v>125</v>
          </cell>
          <cell r="D38">
            <v>10</v>
          </cell>
          <cell r="E38">
            <v>8.0446829999999997E-2</v>
          </cell>
        </row>
        <row r="39">
          <cell r="A39" t="str">
            <v>PVC10140</v>
          </cell>
          <cell r="B39" t="str">
            <v>PVC</v>
          </cell>
          <cell r="C39">
            <v>140</v>
          </cell>
          <cell r="D39">
            <v>10</v>
          </cell>
          <cell r="E39">
            <v>6.3783359999999997E-2</v>
          </cell>
        </row>
        <row r="40">
          <cell r="A40" t="str">
            <v>PVC10160</v>
          </cell>
          <cell r="B40" t="str">
            <v>PVC</v>
          </cell>
          <cell r="C40">
            <v>160</v>
          </cell>
          <cell r="D40">
            <v>10</v>
          </cell>
          <cell r="E40">
            <v>4.8945219999999998E-2</v>
          </cell>
        </row>
        <row r="41">
          <cell r="A41" t="str">
            <v>PVC10180</v>
          </cell>
          <cell r="B41" t="str">
            <v>PVC</v>
          </cell>
          <cell r="C41">
            <v>180</v>
          </cell>
          <cell r="D41">
            <v>10</v>
          </cell>
          <cell r="E41">
            <v>3.846807E-2</v>
          </cell>
        </row>
        <row r="42">
          <cell r="A42" t="str">
            <v>PVC10200</v>
          </cell>
          <cell r="B42" t="str">
            <v>PVC</v>
          </cell>
          <cell r="C42">
            <v>200</v>
          </cell>
          <cell r="D42">
            <v>10</v>
          </cell>
          <cell r="E42">
            <v>3.1225429999999998E-2</v>
          </cell>
        </row>
        <row r="43">
          <cell r="A43" t="str">
            <v>PVC10225</v>
          </cell>
          <cell r="B43" t="str">
            <v>PVC</v>
          </cell>
          <cell r="C43">
            <v>225</v>
          </cell>
          <cell r="D43">
            <v>10</v>
          </cell>
          <cell r="E43">
            <v>2.4689409999999998E-2</v>
          </cell>
        </row>
        <row r="44">
          <cell r="A44" t="str">
            <v>PVC10250</v>
          </cell>
          <cell r="B44" t="str">
            <v>PVC</v>
          </cell>
          <cell r="C44">
            <v>250</v>
          </cell>
          <cell r="D44">
            <v>10</v>
          </cell>
          <cell r="E44">
            <v>2.0009740000000002E-2</v>
          </cell>
        </row>
        <row r="45">
          <cell r="A45" t="str">
            <v>PVC10280</v>
          </cell>
          <cell r="B45" t="str">
            <v>PVC</v>
          </cell>
          <cell r="C45">
            <v>280</v>
          </cell>
          <cell r="D45">
            <v>10</v>
          </cell>
          <cell r="E45">
            <v>1.5945839999999999E-2</v>
          </cell>
        </row>
        <row r="46">
          <cell r="A46" t="str">
            <v>PVC10315</v>
          </cell>
          <cell r="B46" t="str">
            <v>PVC</v>
          </cell>
          <cell r="C46">
            <v>315</v>
          </cell>
          <cell r="D46">
            <v>10</v>
          </cell>
          <cell r="E46">
            <v>1.2535569999999999E-2</v>
          </cell>
        </row>
        <row r="47">
          <cell r="A47" t="str">
            <v>PVC10355</v>
          </cell>
          <cell r="B47" t="str">
            <v>PVC</v>
          </cell>
          <cell r="C47">
            <v>355</v>
          </cell>
          <cell r="D47">
            <v>10</v>
          </cell>
        </row>
        <row r="48">
          <cell r="A48" t="str">
            <v>PVC10400</v>
          </cell>
          <cell r="B48" t="str">
            <v>PVC</v>
          </cell>
          <cell r="C48">
            <v>400</v>
          </cell>
          <cell r="D48">
            <v>10</v>
          </cell>
        </row>
        <row r="49">
          <cell r="A49" t="str">
            <v>HDPE463</v>
          </cell>
          <cell r="B49" t="str">
            <v>HDPE</v>
          </cell>
          <cell r="C49">
            <v>63</v>
          </cell>
          <cell r="D49">
            <v>4</v>
          </cell>
          <cell r="E49">
            <v>0.14190616</v>
          </cell>
        </row>
        <row r="50">
          <cell r="A50" t="str">
            <v>HDPE475</v>
          </cell>
          <cell r="B50" t="str">
            <v>HDPE</v>
          </cell>
          <cell r="C50">
            <v>75</v>
          </cell>
          <cell r="D50">
            <v>4</v>
          </cell>
          <cell r="E50">
            <v>9.6530119999999997E-2</v>
          </cell>
        </row>
        <row r="51">
          <cell r="A51" t="str">
            <v>HDPE490</v>
          </cell>
          <cell r="B51" t="str">
            <v>HDPE</v>
          </cell>
          <cell r="C51">
            <v>90</v>
          </cell>
          <cell r="D51">
            <v>4</v>
          </cell>
          <cell r="E51">
            <v>6.7277240000000002E-2</v>
          </cell>
        </row>
        <row r="52">
          <cell r="A52" t="str">
            <v>HDPE4110</v>
          </cell>
          <cell r="B52" t="str">
            <v>HDPE</v>
          </cell>
          <cell r="C52">
            <v>110</v>
          </cell>
          <cell r="D52">
            <v>4</v>
          </cell>
          <cell r="E52">
            <v>4.4963049999999997E-2</v>
          </cell>
        </row>
        <row r="53">
          <cell r="A53" t="str">
            <v>HDPE4125</v>
          </cell>
          <cell r="B53" t="str">
            <v>HDPE</v>
          </cell>
          <cell r="C53">
            <v>125</v>
          </cell>
          <cell r="D53">
            <v>4</v>
          </cell>
          <cell r="E53">
            <v>3.444945E-2</v>
          </cell>
        </row>
        <row r="54">
          <cell r="A54" t="str">
            <v>HDPE4140</v>
          </cell>
          <cell r="B54" t="str">
            <v>HDPE</v>
          </cell>
          <cell r="C54">
            <v>140</v>
          </cell>
          <cell r="D54">
            <v>4</v>
          </cell>
          <cell r="E54">
            <v>2.7231419999999999E-2</v>
          </cell>
        </row>
        <row r="55">
          <cell r="A55" t="str">
            <v>HDPE4160</v>
          </cell>
          <cell r="B55" t="str">
            <v>HDPE</v>
          </cell>
          <cell r="C55">
            <v>160</v>
          </cell>
          <cell r="D55">
            <v>4</v>
          </cell>
          <cell r="E55">
            <v>2.0879809999999999E-2</v>
          </cell>
        </row>
        <row r="56">
          <cell r="A56" t="str">
            <v>HDPE4180</v>
          </cell>
          <cell r="B56" t="str">
            <v>HDPE</v>
          </cell>
          <cell r="C56">
            <v>180</v>
          </cell>
          <cell r="D56">
            <v>4</v>
          </cell>
          <cell r="E56">
            <v>1.6365379999999999E-2</v>
          </cell>
        </row>
        <row r="57">
          <cell r="A57" t="str">
            <v>HDPE4200</v>
          </cell>
          <cell r="B57" t="str">
            <v>HDPE</v>
          </cell>
          <cell r="C57">
            <v>200</v>
          </cell>
          <cell r="D57">
            <v>4</v>
          </cell>
          <cell r="E57">
            <v>1.3170319999999999E-2</v>
          </cell>
        </row>
        <row r="58">
          <cell r="A58" t="str">
            <v>HDPE4225</v>
          </cell>
          <cell r="B58" t="str">
            <v>HDPE</v>
          </cell>
          <cell r="C58">
            <v>225</v>
          </cell>
          <cell r="D58">
            <v>4</v>
          </cell>
          <cell r="E58">
            <v>1.0415840000000001E-2</v>
          </cell>
        </row>
        <row r="59">
          <cell r="A59" t="str">
            <v>HDPE4250</v>
          </cell>
          <cell r="B59" t="str">
            <v>HDPE</v>
          </cell>
          <cell r="C59">
            <v>250</v>
          </cell>
          <cell r="D59">
            <v>4</v>
          </cell>
          <cell r="E59">
            <v>8.4430900000000003E-3</v>
          </cell>
        </row>
        <row r="60">
          <cell r="A60" t="str">
            <v>HDPE4280</v>
          </cell>
          <cell r="B60" t="str">
            <v>HDPE</v>
          </cell>
          <cell r="C60">
            <v>280</v>
          </cell>
          <cell r="D60">
            <v>4</v>
          </cell>
          <cell r="E60">
            <v>6.6874600000000001E-3</v>
          </cell>
        </row>
        <row r="61">
          <cell r="A61" t="str">
            <v>HDPE4315</v>
          </cell>
          <cell r="B61" t="str">
            <v>HDPE</v>
          </cell>
          <cell r="C61">
            <v>315</v>
          </cell>
          <cell r="D61">
            <v>4</v>
          </cell>
          <cell r="E61">
            <v>5.3085700000000003E-3</v>
          </cell>
        </row>
        <row r="62">
          <cell r="A62" t="str">
            <v>HDPE4355</v>
          </cell>
          <cell r="B62" t="str">
            <v>HDPE</v>
          </cell>
          <cell r="C62">
            <v>355</v>
          </cell>
          <cell r="D62">
            <v>4</v>
          </cell>
          <cell r="E62">
            <v>4.1521800000000001E-3</v>
          </cell>
        </row>
        <row r="63">
          <cell r="A63" t="str">
            <v>HDPE4400</v>
          </cell>
          <cell r="B63" t="str">
            <v>HDPE</v>
          </cell>
          <cell r="C63">
            <v>400</v>
          </cell>
          <cell r="D63">
            <v>4</v>
          </cell>
          <cell r="E63">
            <v>3.3752399999999998E-3</v>
          </cell>
        </row>
        <row r="64">
          <cell r="A64" t="str">
            <v>HDPE663</v>
          </cell>
          <cell r="B64" t="str">
            <v>HDPE</v>
          </cell>
          <cell r="C64">
            <v>63</v>
          </cell>
          <cell r="D64">
            <v>6</v>
          </cell>
          <cell r="E64">
            <v>0.18601166999999999</v>
          </cell>
        </row>
        <row r="65">
          <cell r="A65" t="str">
            <v>HDPE675</v>
          </cell>
          <cell r="B65" t="str">
            <v>HDPE</v>
          </cell>
          <cell r="C65">
            <v>75</v>
          </cell>
          <cell r="D65">
            <v>6</v>
          </cell>
          <cell r="E65">
            <v>0.13124984000000001</v>
          </cell>
        </row>
        <row r="66">
          <cell r="A66" t="str">
            <v>HDPE690</v>
          </cell>
          <cell r="B66" t="str">
            <v>HDPE</v>
          </cell>
          <cell r="C66">
            <v>90</v>
          </cell>
          <cell r="D66">
            <v>6</v>
          </cell>
          <cell r="E66">
            <v>8.9834079999999997E-2</v>
          </cell>
        </row>
        <row r="67">
          <cell r="A67" t="str">
            <v>HDPE6110</v>
          </cell>
          <cell r="B67" t="str">
            <v>HDPE</v>
          </cell>
          <cell r="C67">
            <v>110</v>
          </cell>
          <cell r="D67">
            <v>6</v>
          </cell>
          <cell r="E67">
            <v>6.0057289999999999E-2</v>
          </cell>
        </row>
        <row r="68">
          <cell r="A68" t="str">
            <v>HDPE6125</v>
          </cell>
          <cell r="B68" t="str">
            <v>HDPE</v>
          </cell>
          <cell r="C68">
            <v>125</v>
          </cell>
          <cell r="D68">
            <v>6</v>
          </cell>
          <cell r="E68">
            <v>4.6109839999999999E-2</v>
          </cell>
        </row>
        <row r="69">
          <cell r="A69" t="str">
            <v>HDPE6140</v>
          </cell>
          <cell r="B69" t="str">
            <v>HDPE</v>
          </cell>
          <cell r="C69">
            <v>140</v>
          </cell>
          <cell r="D69">
            <v>6</v>
          </cell>
          <cell r="E69">
            <v>3.6509600000000003E-2</v>
          </cell>
        </row>
        <row r="70">
          <cell r="A70" t="str">
            <v>HDPE6160</v>
          </cell>
          <cell r="B70" t="str">
            <v>HDPE</v>
          </cell>
          <cell r="C70">
            <v>160</v>
          </cell>
          <cell r="D70">
            <v>6</v>
          </cell>
          <cell r="E70">
            <v>2.798571E-2</v>
          </cell>
        </row>
        <row r="71">
          <cell r="A71" t="str">
            <v>HDPE6180</v>
          </cell>
          <cell r="B71" t="str">
            <v>HDPE</v>
          </cell>
          <cell r="C71">
            <v>180</v>
          </cell>
          <cell r="D71">
            <v>6</v>
          </cell>
          <cell r="E71">
            <v>2.1970139999999999E-2</v>
          </cell>
        </row>
        <row r="72">
          <cell r="A72" t="str">
            <v>HDPE6200</v>
          </cell>
          <cell r="B72" t="str">
            <v>HDPE</v>
          </cell>
          <cell r="C72">
            <v>200</v>
          </cell>
          <cell r="D72">
            <v>6</v>
          </cell>
          <cell r="E72">
            <v>1.7822089999999999E-2</v>
          </cell>
        </row>
        <row r="73">
          <cell r="A73" t="str">
            <v>HDPE6225</v>
          </cell>
          <cell r="B73" t="str">
            <v>HDPE</v>
          </cell>
          <cell r="C73">
            <v>225</v>
          </cell>
          <cell r="D73">
            <v>6</v>
          </cell>
          <cell r="E73">
            <v>1.3399869E-2</v>
          </cell>
        </row>
        <row r="74">
          <cell r="A74" t="str">
            <v>HDPE6250</v>
          </cell>
          <cell r="B74" t="str">
            <v>HDPE</v>
          </cell>
          <cell r="C74">
            <v>250</v>
          </cell>
          <cell r="D74">
            <v>6</v>
          </cell>
          <cell r="E74">
            <v>1.1345650000000001E-2</v>
          </cell>
        </row>
        <row r="75">
          <cell r="A75" t="str">
            <v>HDPE6280</v>
          </cell>
          <cell r="B75" t="str">
            <v>HDPE</v>
          </cell>
          <cell r="C75">
            <v>280</v>
          </cell>
          <cell r="D75">
            <v>6</v>
          </cell>
          <cell r="E75">
            <v>8.9982800000000009E-3</v>
          </cell>
        </row>
        <row r="76">
          <cell r="A76" t="str">
            <v>HDPE6315</v>
          </cell>
          <cell r="B76" t="str">
            <v>HDPE</v>
          </cell>
          <cell r="C76">
            <v>315</v>
          </cell>
          <cell r="D76">
            <v>6</v>
          </cell>
          <cell r="E76">
            <v>7.1059900000000004E-3</v>
          </cell>
        </row>
        <row r="77">
          <cell r="A77" t="str">
            <v>HDPE6355</v>
          </cell>
          <cell r="B77" t="str">
            <v>HDPE</v>
          </cell>
          <cell r="C77">
            <v>355</v>
          </cell>
          <cell r="D77">
            <v>6</v>
          </cell>
          <cell r="E77">
            <v>5.5891700000000001E-3</v>
          </cell>
        </row>
        <row r="78">
          <cell r="A78" t="str">
            <v>HDPE6400</v>
          </cell>
          <cell r="B78" t="str">
            <v>HDPE</v>
          </cell>
          <cell r="C78">
            <v>400</v>
          </cell>
          <cell r="D78">
            <v>6</v>
          </cell>
          <cell r="E78">
            <v>4.5743600000000004E-3</v>
          </cell>
        </row>
        <row r="79">
          <cell r="A79" t="str">
            <v>HDPE863</v>
          </cell>
          <cell r="B79" t="str">
            <v>HDPE</v>
          </cell>
          <cell r="C79">
            <v>63</v>
          </cell>
          <cell r="D79">
            <v>8</v>
          </cell>
          <cell r="E79">
            <v>0.23469723000000001</v>
          </cell>
        </row>
        <row r="80">
          <cell r="A80" t="str">
            <v>HDPE875</v>
          </cell>
          <cell r="B80" t="str">
            <v>HDPE</v>
          </cell>
          <cell r="C80">
            <v>75</v>
          </cell>
          <cell r="D80">
            <v>8</v>
          </cell>
          <cell r="E80">
            <v>0.16487373</v>
          </cell>
        </row>
        <row r="81">
          <cell r="A81" t="str">
            <v>HDPE890</v>
          </cell>
          <cell r="B81" t="str">
            <v>HDPE</v>
          </cell>
          <cell r="C81">
            <v>90</v>
          </cell>
          <cell r="D81">
            <v>8</v>
          </cell>
          <cell r="E81">
            <v>0.11332006</v>
          </cell>
        </row>
        <row r="82">
          <cell r="A82" t="str">
            <v>HDPE8110</v>
          </cell>
          <cell r="B82" t="str">
            <v>HDPE</v>
          </cell>
          <cell r="C82">
            <v>110</v>
          </cell>
          <cell r="D82">
            <v>8</v>
          </cell>
          <cell r="E82">
            <v>7.5948070000000006E-2</v>
          </cell>
        </row>
        <row r="83">
          <cell r="A83" t="str">
            <v>HDPE8125</v>
          </cell>
          <cell r="B83" t="str">
            <v>HDPE</v>
          </cell>
          <cell r="C83">
            <v>125</v>
          </cell>
          <cell r="D83">
            <v>8</v>
          </cell>
          <cell r="E83">
            <v>5.8441779999999999E-2</v>
          </cell>
        </row>
        <row r="84">
          <cell r="A84" t="str">
            <v>HDPE8140</v>
          </cell>
          <cell r="B84" t="str">
            <v>HDPE</v>
          </cell>
          <cell r="C84">
            <v>140</v>
          </cell>
          <cell r="D84">
            <v>8</v>
          </cell>
          <cell r="E84">
            <v>4.6356929999999998E-2</v>
          </cell>
        </row>
        <row r="85">
          <cell r="A85" t="str">
            <v>HDPE8160</v>
          </cell>
          <cell r="B85" t="str">
            <v>HDPE</v>
          </cell>
          <cell r="C85">
            <v>160</v>
          </cell>
          <cell r="D85">
            <v>8</v>
          </cell>
          <cell r="E85">
            <v>3.5307140000000001E-2</v>
          </cell>
        </row>
        <row r="86">
          <cell r="A86" t="str">
            <v>HDPE8180</v>
          </cell>
          <cell r="B86" t="str">
            <v>HDPE</v>
          </cell>
          <cell r="C86">
            <v>180</v>
          </cell>
          <cell r="D86">
            <v>8</v>
          </cell>
          <cell r="E86">
            <v>2.7965110000000001E-2</v>
          </cell>
        </row>
        <row r="87">
          <cell r="A87" t="str">
            <v>HDPE8200</v>
          </cell>
          <cell r="B87" t="str">
            <v>HDPE</v>
          </cell>
          <cell r="C87">
            <v>200</v>
          </cell>
          <cell r="D87">
            <v>8</v>
          </cell>
          <cell r="E87">
            <v>2.25635E-2</v>
          </cell>
        </row>
        <row r="88">
          <cell r="A88" t="str">
            <v>HDPE8225</v>
          </cell>
          <cell r="B88" t="str">
            <v>HDPE</v>
          </cell>
          <cell r="C88">
            <v>225</v>
          </cell>
          <cell r="D88">
            <v>8</v>
          </cell>
          <cell r="E88">
            <v>1.7758380000000001E-2</v>
          </cell>
        </row>
        <row r="89">
          <cell r="A89" t="str">
            <v>HDPE8250</v>
          </cell>
          <cell r="B89" t="str">
            <v>HDPE</v>
          </cell>
          <cell r="C89">
            <v>250</v>
          </cell>
          <cell r="D89">
            <v>8</v>
          </cell>
          <cell r="E89">
            <v>1.4406810000000001E-2</v>
          </cell>
        </row>
        <row r="90">
          <cell r="A90" t="str">
            <v>HDPE8280</v>
          </cell>
          <cell r="B90" t="str">
            <v>HDPE</v>
          </cell>
          <cell r="C90">
            <v>280</v>
          </cell>
          <cell r="D90">
            <v>8</v>
          </cell>
          <cell r="E90">
            <v>1.1444640000000001E-2</v>
          </cell>
        </row>
        <row r="91">
          <cell r="A91" t="str">
            <v>HDPE8315</v>
          </cell>
          <cell r="B91" t="str">
            <v>HDPE</v>
          </cell>
          <cell r="C91">
            <v>315</v>
          </cell>
          <cell r="D91">
            <v>8</v>
          </cell>
          <cell r="E91">
            <v>9.0469000000000001E-3</v>
          </cell>
        </row>
        <row r="92">
          <cell r="A92" t="str">
            <v>HDPE8355</v>
          </cell>
          <cell r="B92" t="str">
            <v>HDPE</v>
          </cell>
          <cell r="C92">
            <v>355</v>
          </cell>
          <cell r="D92">
            <v>8</v>
          </cell>
          <cell r="E92">
            <v>7.0990999999999997E-3</v>
          </cell>
        </row>
        <row r="93">
          <cell r="A93" t="str">
            <v>HDPE8400</v>
          </cell>
          <cell r="B93" t="str">
            <v>HDPE</v>
          </cell>
          <cell r="C93">
            <v>400</v>
          </cell>
          <cell r="D93">
            <v>8</v>
          </cell>
          <cell r="E93">
            <v>5.8412100000000003E-3</v>
          </cell>
        </row>
        <row r="94">
          <cell r="A94" t="str">
            <v>HDPE1063</v>
          </cell>
          <cell r="B94" t="str">
            <v>HDPE</v>
          </cell>
          <cell r="C94">
            <v>63</v>
          </cell>
          <cell r="D94">
            <v>10</v>
          </cell>
          <cell r="E94">
            <v>0.29011769999999998</v>
          </cell>
        </row>
        <row r="95">
          <cell r="A95" t="str">
            <v>HDPE1075</v>
          </cell>
          <cell r="B95" t="str">
            <v>HDPE</v>
          </cell>
          <cell r="C95">
            <v>75</v>
          </cell>
          <cell r="D95">
            <v>10</v>
          </cell>
          <cell r="E95">
            <v>0.20303246</v>
          </cell>
        </row>
        <row r="96">
          <cell r="A96" t="str">
            <v>HDPE1090</v>
          </cell>
          <cell r="B96" t="str">
            <v>HDPE</v>
          </cell>
          <cell r="C96">
            <v>90</v>
          </cell>
          <cell r="D96">
            <v>10</v>
          </cell>
          <cell r="E96">
            <v>0.13998290999999999</v>
          </cell>
        </row>
        <row r="97">
          <cell r="A97" t="str">
            <v>HDPE10110</v>
          </cell>
          <cell r="B97" t="str">
            <v>HDPE</v>
          </cell>
          <cell r="C97">
            <v>110</v>
          </cell>
          <cell r="D97">
            <v>10</v>
          </cell>
          <cell r="E97">
            <v>9.2181170000000007E-2</v>
          </cell>
        </row>
        <row r="98">
          <cell r="A98" t="str">
            <v>HDPE10125</v>
          </cell>
          <cell r="B98" t="str">
            <v>HDPE</v>
          </cell>
          <cell r="C98">
            <v>125</v>
          </cell>
          <cell r="D98">
            <v>10</v>
          </cell>
          <cell r="E98">
            <v>7.1837349999999994E-2</v>
          </cell>
        </row>
        <row r="99">
          <cell r="A99" t="str">
            <v>HDPE10140</v>
          </cell>
          <cell r="B99" t="str">
            <v>HDPE</v>
          </cell>
          <cell r="C99">
            <v>140</v>
          </cell>
          <cell r="D99">
            <v>10</v>
          </cell>
          <cell r="E99">
            <v>5.710875E-2</v>
          </cell>
        </row>
        <row r="100">
          <cell r="A100" t="str">
            <v>HDPE10160</v>
          </cell>
          <cell r="B100" t="str">
            <v>HDPE</v>
          </cell>
          <cell r="C100">
            <v>160</v>
          </cell>
          <cell r="D100">
            <v>10</v>
          </cell>
          <cell r="E100">
            <v>4.3596910000000003E-2</v>
          </cell>
        </row>
        <row r="101">
          <cell r="A101" t="str">
            <v>HDPE10180</v>
          </cell>
          <cell r="B101" t="str">
            <v>HDPE</v>
          </cell>
          <cell r="C101">
            <v>180</v>
          </cell>
          <cell r="D101">
            <v>10</v>
          </cell>
          <cell r="E101">
            <v>3.4369049999999998E-2</v>
          </cell>
        </row>
        <row r="102">
          <cell r="A102" t="str">
            <v>HDPE10200</v>
          </cell>
          <cell r="B102" t="str">
            <v>HDPE</v>
          </cell>
          <cell r="C102">
            <v>200</v>
          </cell>
          <cell r="D102">
            <v>10</v>
          </cell>
          <cell r="E102">
            <v>2.7788529999999999E-2</v>
          </cell>
        </row>
        <row r="103">
          <cell r="A103" t="str">
            <v>HDPE10225</v>
          </cell>
          <cell r="B103" t="str">
            <v>HDPE</v>
          </cell>
          <cell r="C103">
            <v>225</v>
          </cell>
          <cell r="D103">
            <v>10</v>
          </cell>
          <cell r="E103">
            <v>2.1916600000000001E-2</v>
          </cell>
        </row>
        <row r="104">
          <cell r="A104" t="str">
            <v>HDPE10250</v>
          </cell>
          <cell r="B104" t="str">
            <v>HDPE</v>
          </cell>
          <cell r="C104">
            <v>250</v>
          </cell>
          <cell r="D104">
            <v>10</v>
          </cell>
          <cell r="E104">
            <v>1.7726700000000001E-2</v>
          </cell>
        </row>
        <row r="105">
          <cell r="A105" t="str">
            <v>HDPE10280</v>
          </cell>
          <cell r="B105" t="str">
            <v>HDPE</v>
          </cell>
          <cell r="C105">
            <v>280</v>
          </cell>
          <cell r="D105">
            <v>10</v>
          </cell>
          <cell r="E105">
            <v>1.411185E-2</v>
          </cell>
        </row>
        <row r="106">
          <cell r="A106" t="str">
            <v>HDPE10315</v>
          </cell>
          <cell r="B106" t="str">
            <v>HDPE</v>
          </cell>
          <cell r="C106">
            <v>315</v>
          </cell>
          <cell r="D106">
            <v>10</v>
          </cell>
          <cell r="E106">
            <v>1.113565E-2</v>
          </cell>
        </row>
        <row r="107">
          <cell r="A107" t="str">
            <v>HDPE10355</v>
          </cell>
          <cell r="B107" t="str">
            <v>HDPE</v>
          </cell>
          <cell r="C107">
            <v>355</v>
          </cell>
          <cell r="D107">
            <v>10</v>
          </cell>
          <cell r="E107">
            <v>8.7573400000000006E-3</v>
          </cell>
        </row>
        <row r="108">
          <cell r="A108" t="str">
            <v>HDPE10400</v>
          </cell>
          <cell r="B108" t="str">
            <v>HDPE</v>
          </cell>
          <cell r="C108">
            <v>400</v>
          </cell>
          <cell r="D108">
            <v>10</v>
          </cell>
          <cell r="E108">
            <v>7.2346299999999997E-3</v>
          </cell>
        </row>
        <row r="109">
          <cell r="A109" t="str">
            <v>DIK780</v>
          </cell>
          <cell r="B109" t="str">
            <v>DI</v>
          </cell>
          <cell r="C109">
            <v>80</v>
          </cell>
          <cell r="D109" t="str">
            <v>K7</v>
          </cell>
          <cell r="E109">
            <v>0.44062878999999999</v>
          </cell>
        </row>
        <row r="110">
          <cell r="A110" t="str">
            <v>DIK7100</v>
          </cell>
          <cell r="B110" t="str">
            <v>DI</v>
          </cell>
          <cell r="C110">
            <v>100</v>
          </cell>
          <cell r="D110" t="str">
            <v>K7</v>
          </cell>
          <cell r="E110">
            <v>0.27642460000000002</v>
          </cell>
        </row>
        <row r="111">
          <cell r="A111" t="str">
            <v>DIK7125</v>
          </cell>
          <cell r="B111" t="str">
            <v>DI</v>
          </cell>
          <cell r="C111">
            <v>125</v>
          </cell>
          <cell r="D111" t="str">
            <v>K7</v>
          </cell>
          <cell r="E111">
            <v>0.17273380999999999</v>
          </cell>
        </row>
        <row r="112">
          <cell r="A112" t="str">
            <v>DIK7150</v>
          </cell>
          <cell r="B112" t="str">
            <v>DI</v>
          </cell>
          <cell r="C112">
            <v>150</v>
          </cell>
          <cell r="D112" t="str">
            <v>K7</v>
          </cell>
          <cell r="E112">
            <v>0.11724899</v>
          </cell>
        </row>
        <row r="113">
          <cell r="A113" t="str">
            <v>DIK7200</v>
          </cell>
          <cell r="B113" t="str">
            <v>DI</v>
          </cell>
          <cell r="C113">
            <v>200</v>
          </cell>
          <cell r="D113" t="str">
            <v>K7</v>
          </cell>
          <cell r="E113">
            <v>6.3194700000000006E-2</v>
          </cell>
        </row>
        <row r="114">
          <cell r="A114" t="str">
            <v>DIK7250</v>
          </cell>
          <cell r="B114" t="str">
            <v>DI</v>
          </cell>
          <cell r="C114">
            <v>250</v>
          </cell>
          <cell r="D114" t="str">
            <v>K7</v>
          </cell>
          <cell r="E114">
            <v>3.9072299999999997E-2</v>
          </cell>
        </row>
        <row r="115">
          <cell r="A115" t="str">
            <v>DIK7300</v>
          </cell>
          <cell r="B115" t="str">
            <v>DI</v>
          </cell>
          <cell r="C115">
            <v>300</v>
          </cell>
          <cell r="D115" t="str">
            <v>K7</v>
          </cell>
          <cell r="E115">
            <v>2.6645039999999998E-2</v>
          </cell>
        </row>
        <row r="116">
          <cell r="A116" t="str">
            <v>DIK7350</v>
          </cell>
          <cell r="B116" t="str">
            <v>DI</v>
          </cell>
          <cell r="C116">
            <v>350</v>
          </cell>
          <cell r="D116" t="str">
            <v>K7</v>
          </cell>
          <cell r="E116">
            <v>1.9241250000000001E-2</v>
          </cell>
        </row>
        <row r="117">
          <cell r="A117" t="str">
            <v>DIK7400</v>
          </cell>
          <cell r="B117" t="str">
            <v>DI</v>
          </cell>
          <cell r="C117">
            <v>400</v>
          </cell>
          <cell r="D117" t="str">
            <v>K7</v>
          </cell>
          <cell r="E117">
            <v>1.446828E-2</v>
          </cell>
        </row>
        <row r="118">
          <cell r="A118" t="str">
            <v>DIK7450</v>
          </cell>
          <cell r="B118" t="str">
            <v>DI</v>
          </cell>
          <cell r="C118">
            <v>450</v>
          </cell>
          <cell r="D118" t="str">
            <v>K7</v>
          </cell>
          <cell r="E118">
            <v>1.129026E-2</v>
          </cell>
        </row>
        <row r="119">
          <cell r="A119" t="str">
            <v>DIK7500</v>
          </cell>
          <cell r="B119" t="str">
            <v>DI</v>
          </cell>
          <cell r="C119">
            <v>500</v>
          </cell>
          <cell r="D119" t="str">
            <v>K7</v>
          </cell>
          <cell r="E119">
            <v>9.1722999999999996E-3</v>
          </cell>
        </row>
        <row r="120">
          <cell r="A120" t="str">
            <v>DIK7600</v>
          </cell>
          <cell r="B120" t="str">
            <v>DI</v>
          </cell>
          <cell r="C120">
            <v>600</v>
          </cell>
          <cell r="D120" t="str">
            <v>K7</v>
          </cell>
          <cell r="E120">
            <v>6.1336200000000002E-3</v>
          </cell>
        </row>
        <row r="121">
          <cell r="A121" t="str">
            <v>DIK7700</v>
          </cell>
          <cell r="B121" t="str">
            <v>DI</v>
          </cell>
          <cell r="C121">
            <v>700</v>
          </cell>
          <cell r="D121" t="str">
            <v>K7</v>
          </cell>
          <cell r="E121">
            <v>4.43203E-3</v>
          </cell>
        </row>
        <row r="122">
          <cell r="A122" t="str">
            <v>DIK7800</v>
          </cell>
          <cell r="B122" t="str">
            <v>DI</v>
          </cell>
          <cell r="C122">
            <v>800</v>
          </cell>
          <cell r="D122" t="str">
            <v>K7</v>
          </cell>
          <cell r="E122">
            <v>3.46E-3</v>
          </cell>
        </row>
        <row r="123">
          <cell r="A123" t="str">
            <v>DIK7900</v>
          </cell>
          <cell r="B123" t="str">
            <v>DI</v>
          </cell>
          <cell r="C123">
            <v>900</v>
          </cell>
          <cell r="D123" t="str">
            <v>K7</v>
          </cell>
          <cell r="E123">
            <v>2.7039999999999998E-3</v>
          </cell>
        </row>
        <row r="124">
          <cell r="A124" t="str">
            <v>DIK71000</v>
          </cell>
          <cell r="B124" t="str">
            <v>DI</v>
          </cell>
          <cell r="C124">
            <v>1000</v>
          </cell>
          <cell r="D124" t="str">
            <v>K7</v>
          </cell>
          <cell r="E124">
            <v>2.1710000000000002E-3</v>
          </cell>
        </row>
        <row r="125">
          <cell r="A125" t="str">
            <v>DIK980</v>
          </cell>
          <cell r="B125" t="str">
            <v>DI</v>
          </cell>
          <cell r="C125">
            <v>80</v>
          </cell>
          <cell r="D125" t="str">
            <v>K9</v>
          </cell>
          <cell r="E125">
            <v>0.44674092999999998</v>
          </cell>
        </row>
        <row r="126">
          <cell r="A126" t="str">
            <v>DIK9100</v>
          </cell>
          <cell r="B126" t="str">
            <v>DI</v>
          </cell>
          <cell r="C126">
            <v>100</v>
          </cell>
          <cell r="D126" t="str">
            <v>K9</v>
          </cell>
          <cell r="E126">
            <v>0.28143876000000001</v>
          </cell>
        </row>
        <row r="127">
          <cell r="A127" t="str">
            <v>DIK9125</v>
          </cell>
          <cell r="B127" t="str">
            <v>DI</v>
          </cell>
          <cell r="C127">
            <v>125</v>
          </cell>
          <cell r="D127" t="str">
            <v>K9</v>
          </cell>
          <cell r="E127">
            <v>0.17677221000000001</v>
          </cell>
        </row>
        <row r="128">
          <cell r="A128" t="str">
            <v>DIK9150</v>
          </cell>
          <cell r="B128" t="str">
            <v>DI</v>
          </cell>
          <cell r="C128">
            <v>150</v>
          </cell>
          <cell r="D128" t="str">
            <v>K9</v>
          </cell>
          <cell r="E128">
            <v>0.12062616</v>
          </cell>
        </row>
        <row r="129">
          <cell r="A129" t="str">
            <v>DIK9200</v>
          </cell>
          <cell r="B129" t="str">
            <v>DI</v>
          </cell>
          <cell r="C129">
            <v>200</v>
          </cell>
          <cell r="D129" t="str">
            <v>K9</v>
          </cell>
          <cell r="E129">
            <v>6.5587969999999995E-2</v>
          </cell>
        </row>
        <row r="130">
          <cell r="A130" t="str">
            <v>DIK9250</v>
          </cell>
          <cell r="B130" t="str">
            <v>DI</v>
          </cell>
          <cell r="C130">
            <v>250</v>
          </cell>
          <cell r="D130" t="str">
            <v>K9</v>
          </cell>
          <cell r="E130">
            <v>4.099121E-2</v>
          </cell>
        </row>
        <row r="131">
          <cell r="A131" t="str">
            <v>DIK9300</v>
          </cell>
          <cell r="B131" t="str">
            <v>DI</v>
          </cell>
          <cell r="C131">
            <v>300</v>
          </cell>
          <cell r="D131" t="str">
            <v>K9</v>
          </cell>
          <cell r="E131">
            <v>2.7896819999999999E-2</v>
          </cell>
        </row>
        <row r="132">
          <cell r="A132" t="str">
            <v>DIK9350</v>
          </cell>
          <cell r="B132" t="str">
            <v>DI</v>
          </cell>
          <cell r="C132">
            <v>350</v>
          </cell>
          <cell r="D132" t="str">
            <v>K9</v>
          </cell>
          <cell r="E132">
            <v>2.018907E-2</v>
          </cell>
        </row>
        <row r="133">
          <cell r="A133" t="str">
            <v>DIK9400</v>
          </cell>
          <cell r="B133" t="str">
            <v>DI</v>
          </cell>
          <cell r="C133">
            <v>400</v>
          </cell>
          <cell r="D133" t="str">
            <v>K9</v>
          </cell>
          <cell r="E133">
            <v>1.5224649999999999E-2</v>
          </cell>
        </row>
        <row r="134">
          <cell r="A134" t="str">
            <v>DIK9450</v>
          </cell>
          <cell r="B134" t="str">
            <v>DI</v>
          </cell>
          <cell r="C134">
            <v>450</v>
          </cell>
          <cell r="D134" t="str">
            <v>K9</v>
          </cell>
          <cell r="E134">
            <v>1.189698E-2</v>
          </cell>
        </row>
        <row r="135">
          <cell r="A135" t="str">
            <v>DIK9500</v>
          </cell>
          <cell r="B135" t="str">
            <v>DI</v>
          </cell>
          <cell r="C135">
            <v>500</v>
          </cell>
          <cell r="D135" t="str">
            <v>K9</v>
          </cell>
          <cell r="E135">
            <v>9.5228499999999994E-3</v>
          </cell>
        </row>
        <row r="136">
          <cell r="A136" t="str">
            <v>DIK9600</v>
          </cell>
          <cell r="B136" t="str">
            <v>DI</v>
          </cell>
          <cell r="C136">
            <v>600</v>
          </cell>
          <cell r="D136" t="str">
            <v>K9</v>
          </cell>
          <cell r="E136">
            <v>6.4950299999999997E-3</v>
          </cell>
        </row>
        <row r="137">
          <cell r="A137" t="str">
            <v>DIK9700</v>
          </cell>
          <cell r="B137" t="str">
            <v>DI</v>
          </cell>
          <cell r="C137">
            <v>700</v>
          </cell>
          <cell r="D137" t="str">
            <v>K9</v>
          </cell>
          <cell r="E137">
            <v>4.7030300000000004E-3</v>
          </cell>
        </row>
        <row r="138">
          <cell r="A138" t="str">
            <v>DIK9800</v>
          </cell>
          <cell r="B138" t="str">
            <v>DI</v>
          </cell>
          <cell r="C138">
            <v>800</v>
          </cell>
          <cell r="D138" t="str">
            <v>K9</v>
          </cell>
          <cell r="E138">
            <v>3.5560000000000001E-3</v>
          </cell>
        </row>
        <row r="139">
          <cell r="A139" t="str">
            <v>DIK9900</v>
          </cell>
          <cell r="B139" t="str">
            <v>DI</v>
          </cell>
          <cell r="C139">
            <v>900</v>
          </cell>
          <cell r="D139" t="str">
            <v>K9</v>
          </cell>
          <cell r="E139">
            <v>2.7820000000000002E-3</v>
          </cell>
        </row>
        <row r="140">
          <cell r="A140" t="str">
            <v>DIK91000</v>
          </cell>
          <cell r="B140" t="str">
            <v>DI</v>
          </cell>
          <cell r="C140">
            <v>1000</v>
          </cell>
          <cell r="D140" t="str">
            <v>K9</v>
          </cell>
          <cell r="E140">
            <v>2.2339999999999999E-3</v>
          </cell>
        </row>
        <row r="141">
          <cell r="A141" t="str">
            <v>CILA80</v>
          </cell>
          <cell r="B141" t="str">
            <v>CI</v>
          </cell>
          <cell r="C141">
            <v>80</v>
          </cell>
          <cell r="D141" t="str">
            <v>LA</v>
          </cell>
          <cell r="E141">
            <v>0.42134937</v>
          </cell>
        </row>
        <row r="142">
          <cell r="A142" t="str">
            <v>CILA100</v>
          </cell>
          <cell r="B142" t="str">
            <v>CI</v>
          </cell>
          <cell r="C142">
            <v>100</v>
          </cell>
          <cell r="D142" t="str">
            <v>LA</v>
          </cell>
          <cell r="E142">
            <v>0.26354917999999999</v>
          </cell>
        </row>
        <row r="143">
          <cell r="A143" t="str">
            <v>CILA125</v>
          </cell>
          <cell r="B143" t="str">
            <v>CI</v>
          </cell>
          <cell r="C143">
            <v>125</v>
          </cell>
          <cell r="D143" t="str">
            <v>LA</v>
          </cell>
          <cell r="E143">
            <v>0.16458881</v>
          </cell>
        </row>
        <row r="144">
          <cell r="A144" t="str">
            <v>CILA150</v>
          </cell>
          <cell r="B144" t="str">
            <v>CI</v>
          </cell>
          <cell r="C144">
            <v>150</v>
          </cell>
          <cell r="D144" t="str">
            <v>LA</v>
          </cell>
          <cell r="E144">
            <v>0.1119054</v>
          </cell>
        </row>
        <row r="145">
          <cell r="A145" t="str">
            <v>CILA200</v>
          </cell>
          <cell r="B145" t="str">
            <v>CI</v>
          </cell>
          <cell r="C145">
            <v>200</v>
          </cell>
          <cell r="D145" t="str">
            <v>LA</v>
          </cell>
          <cell r="E145">
            <v>6.0923489999999997E-2</v>
          </cell>
        </row>
        <row r="146">
          <cell r="A146" t="str">
            <v>CILA250</v>
          </cell>
          <cell r="B146" t="str">
            <v>CI</v>
          </cell>
          <cell r="C146">
            <v>250</v>
          </cell>
          <cell r="D146" t="str">
            <v>LA</v>
          </cell>
          <cell r="E146">
            <v>3.7938600000000003E-2</v>
          </cell>
        </row>
        <row r="147">
          <cell r="A147" t="str">
            <v>CILA300</v>
          </cell>
          <cell r="B147" t="str">
            <v>CI</v>
          </cell>
          <cell r="C147">
            <v>300</v>
          </cell>
          <cell r="D147" t="str">
            <v>LA</v>
          </cell>
          <cell r="E147">
            <v>2.5768249999999999E-2</v>
          </cell>
        </row>
        <row r="148">
          <cell r="A148" t="str">
            <v>CILA350</v>
          </cell>
          <cell r="B148" t="str">
            <v>CI</v>
          </cell>
          <cell r="C148">
            <v>350</v>
          </cell>
          <cell r="D148" t="str">
            <v>LA</v>
          </cell>
          <cell r="E148">
            <v>1.8623480000000001E-2</v>
          </cell>
        </row>
        <row r="149">
          <cell r="A149" t="str">
            <v>CILA400</v>
          </cell>
          <cell r="B149" t="str">
            <v>CI</v>
          </cell>
          <cell r="C149">
            <v>400</v>
          </cell>
          <cell r="D149" t="str">
            <v>LA</v>
          </cell>
          <cell r="E149">
            <v>1.4039009999999999E-2</v>
          </cell>
        </row>
        <row r="150">
          <cell r="A150" t="str">
            <v>CILA450</v>
          </cell>
          <cell r="B150" t="str">
            <v>CI</v>
          </cell>
          <cell r="C150">
            <v>450</v>
          </cell>
          <cell r="D150" t="str">
            <v>LA</v>
          </cell>
          <cell r="E150">
            <v>1.094637E-2</v>
          </cell>
        </row>
        <row r="151">
          <cell r="A151" t="str">
            <v>CILA500</v>
          </cell>
          <cell r="B151" t="str">
            <v>CI</v>
          </cell>
          <cell r="C151">
            <v>500</v>
          </cell>
          <cell r="D151" t="str">
            <v>LA</v>
          </cell>
          <cell r="E151">
            <v>8.7807100000000006E-3</v>
          </cell>
        </row>
        <row r="152">
          <cell r="A152" t="str">
            <v>CILA600</v>
          </cell>
          <cell r="B152" t="str">
            <v>CI</v>
          </cell>
          <cell r="C152">
            <v>600</v>
          </cell>
          <cell r="D152" t="str">
            <v>LA</v>
          </cell>
          <cell r="E152">
            <v>5.9830999999999999E-3</v>
          </cell>
        </row>
        <row r="153">
          <cell r="A153" t="str">
            <v>CILA700</v>
          </cell>
          <cell r="B153" t="str">
            <v>CI</v>
          </cell>
          <cell r="C153">
            <v>700</v>
          </cell>
          <cell r="D153" t="str">
            <v>LA</v>
          </cell>
          <cell r="E153">
            <v>4.3369599999999999E-3</v>
          </cell>
        </row>
        <row r="154">
          <cell r="A154" t="str">
            <v>CILA800</v>
          </cell>
          <cell r="B154" t="str">
            <v>CI</v>
          </cell>
          <cell r="C154">
            <v>800</v>
          </cell>
          <cell r="D154" t="str">
            <v>LA</v>
          </cell>
        </row>
        <row r="155">
          <cell r="A155" t="str">
            <v>CILA900</v>
          </cell>
          <cell r="B155" t="str">
            <v>CI</v>
          </cell>
          <cell r="C155">
            <v>900</v>
          </cell>
          <cell r="D155" t="str">
            <v>LA</v>
          </cell>
        </row>
        <row r="156">
          <cell r="A156" t="str">
            <v>CILA1000</v>
          </cell>
          <cell r="B156" t="str">
            <v>CI</v>
          </cell>
          <cell r="C156">
            <v>1000</v>
          </cell>
          <cell r="D156" t="str">
            <v>LA</v>
          </cell>
        </row>
        <row r="157">
          <cell r="A157" t="str">
            <v>ACCL-1580</v>
          </cell>
          <cell r="B157" t="str">
            <v>AC</v>
          </cell>
          <cell r="C157">
            <v>80</v>
          </cell>
          <cell r="D157" t="str">
            <v>CL-15</v>
          </cell>
          <cell r="E157">
            <v>0.38304658000000003</v>
          </cell>
        </row>
        <row r="158">
          <cell r="A158" t="str">
            <v>ACCL-15100</v>
          </cell>
          <cell r="B158" t="str">
            <v>AC</v>
          </cell>
          <cell r="C158">
            <v>100</v>
          </cell>
          <cell r="D158" t="str">
            <v>CL-15</v>
          </cell>
          <cell r="E158">
            <v>0.23711628000000001</v>
          </cell>
        </row>
        <row r="159">
          <cell r="A159" t="str">
            <v>ACCL-15125</v>
          </cell>
          <cell r="B159" t="str">
            <v>AC</v>
          </cell>
          <cell r="C159">
            <v>125</v>
          </cell>
          <cell r="D159" t="str">
            <v>CL-15</v>
          </cell>
          <cell r="E159">
            <v>0.14769853999999999</v>
          </cell>
        </row>
        <row r="160">
          <cell r="A160" t="str">
            <v>ACCL-15150</v>
          </cell>
          <cell r="B160" t="str">
            <v>AC</v>
          </cell>
          <cell r="C160">
            <v>150</v>
          </cell>
          <cell r="D160" t="str">
            <v>CL-15</v>
          </cell>
          <cell r="E160">
            <v>0.10222343</v>
          </cell>
        </row>
        <row r="161">
          <cell r="A161" t="str">
            <v>ACCL-15200</v>
          </cell>
          <cell r="B161" t="str">
            <v>AC</v>
          </cell>
          <cell r="C161">
            <v>200</v>
          </cell>
          <cell r="D161" t="str">
            <v>CL-15</v>
          </cell>
          <cell r="E161">
            <v>5.686766E-2</v>
          </cell>
        </row>
        <row r="162">
          <cell r="A162" t="str">
            <v>ACCL-15250</v>
          </cell>
          <cell r="B162" t="str">
            <v>AC</v>
          </cell>
          <cell r="C162">
            <v>250</v>
          </cell>
          <cell r="D162" t="str">
            <v>CL-15</v>
          </cell>
          <cell r="E162">
            <v>3.4747130000000001E-2</v>
          </cell>
        </row>
        <row r="163">
          <cell r="A163" t="str">
            <v>ACCL-15300</v>
          </cell>
          <cell r="B163" t="str">
            <v>AC</v>
          </cell>
          <cell r="C163">
            <v>300</v>
          </cell>
          <cell r="D163" t="str">
            <v>CL-15</v>
          </cell>
          <cell r="E163">
            <v>2.4009329999999999E-2</v>
          </cell>
        </row>
        <row r="164">
          <cell r="A164" t="str">
            <v>ACCL-15350</v>
          </cell>
          <cell r="B164" t="str">
            <v>AC</v>
          </cell>
          <cell r="C164">
            <v>350</v>
          </cell>
          <cell r="D164" t="str">
            <v>CL-15</v>
          </cell>
          <cell r="E164">
            <v>1.7161269999999999E-2</v>
          </cell>
        </row>
        <row r="165">
          <cell r="A165" t="str">
            <v>ACCL-15400</v>
          </cell>
          <cell r="B165" t="str">
            <v>AC</v>
          </cell>
          <cell r="C165">
            <v>400</v>
          </cell>
          <cell r="D165" t="str">
            <v>CL-15</v>
          </cell>
          <cell r="E165">
            <v>1.3139100000000001E-2</v>
          </cell>
        </row>
        <row r="166">
          <cell r="A166" t="str">
            <v>ACCL-15450</v>
          </cell>
          <cell r="B166" t="str">
            <v>AC</v>
          </cell>
          <cell r="C166">
            <v>450</v>
          </cell>
          <cell r="D166" t="str">
            <v>CL-15</v>
          </cell>
          <cell r="E166">
            <v>1.032952E-2</v>
          </cell>
        </row>
        <row r="167">
          <cell r="A167" t="str">
            <v>ACCL-15500</v>
          </cell>
          <cell r="B167" t="str">
            <v>AC</v>
          </cell>
          <cell r="C167">
            <v>500</v>
          </cell>
          <cell r="D167" t="str">
            <v>CL-15</v>
          </cell>
          <cell r="E167">
            <v>8.3325299999999995E-3</v>
          </cell>
        </row>
        <row r="168">
          <cell r="A168" t="str">
            <v>ACCL-15600</v>
          </cell>
          <cell r="B168" t="str">
            <v>AC</v>
          </cell>
          <cell r="C168">
            <v>600</v>
          </cell>
          <cell r="D168" t="str">
            <v>CL-15</v>
          </cell>
          <cell r="E168">
            <v>5.7954800000000004E-3</v>
          </cell>
        </row>
        <row r="169">
          <cell r="A169" t="str">
            <v>ACCL-15700</v>
          </cell>
          <cell r="B169" t="str">
            <v>AC</v>
          </cell>
          <cell r="C169">
            <v>700</v>
          </cell>
          <cell r="D169" t="str">
            <v>CL-15</v>
          </cell>
          <cell r="E169">
            <v>4.1431899999999997E-3</v>
          </cell>
        </row>
        <row r="170">
          <cell r="A170" t="str">
            <v>ACCL-15800</v>
          </cell>
          <cell r="B170" t="str">
            <v>AC</v>
          </cell>
          <cell r="C170">
            <v>800</v>
          </cell>
          <cell r="D170" t="str">
            <v>CL-15</v>
          </cell>
        </row>
        <row r="171">
          <cell r="A171" t="str">
            <v>ACCL-15900</v>
          </cell>
          <cell r="B171" t="str">
            <v>AC</v>
          </cell>
          <cell r="C171">
            <v>900</v>
          </cell>
          <cell r="D171" t="str">
            <v>CL-15</v>
          </cell>
        </row>
        <row r="172">
          <cell r="A172" t="str">
            <v>ACCL-151000</v>
          </cell>
          <cell r="B172" t="str">
            <v>AC</v>
          </cell>
          <cell r="C172">
            <v>1000</v>
          </cell>
          <cell r="D172" t="str">
            <v>CL-15</v>
          </cell>
        </row>
        <row r="173">
          <cell r="A173" t="str">
            <v>ACCL-2080</v>
          </cell>
          <cell r="B173" t="str">
            <v>AC</v>
          </cell>
          <cell r="C173">
            <v>80</v>
          </cell>
          <cell r="D173" t="str">
            <v>CL-20</v>
          </cell>
          <cell r="E173">
            <v>0.39302129000000002</v>
          </cell>
        </row>
        <row r="174">
          <cell r="A174" t="str">
            <v>ACCL-20100</v>
          </cell>
          <cell r="B174" t="str">
            <v>AC</v>
          </cell>
          <cell r="C174">
            <v>100</v>
          </cell>
          <cell r="D174" t="str">
            <v>CL-20</v>
          </cell>
          <cell r="E174">
            <v>0.25075900000000001</v>
          </cell>
        </row>
        <row r="175">
          <cell r="A175" t="str">
            <v>ACCL-20125</v>
          </cell>
          <cell r="B175" t="str">
            <v>AC</v>
          </cell>
          <cell r="C175">
            <v>125</v>
          </cell>
          <cell r="D175" t="str">
            <v>CL-20</v>
          </cell>
          <cell r="E175">
            <v>0.15518667</v>
          </cell>
        </row>
        <row r="176">
          <cell r="A176" t="str">
            <v>ACCL-20150</v>
          </cell>
          <cell r="B176" t="str">
            <v>AC</v>
          </cell>
          <cell r="C176">
            <v>150</v>
          </cell>
          <cell r="D176" t="str">
            <v>CL-20</v>
          </cell>
          <cell r="E176">
            <v>0.10739696999999999</v>
          </cell>
        </row>
        <row r="177">
          <cell r="A177" t="str">
            <v>ACCL-20200</v>
          </cell>
          <cell r="B177" t="str">
            <v>AC</v>
          </cell>
          <cell r="C177">
            <v>200</v>
          </cell>
          <cell r="D177" t="str">
            <v>CL-20</v>
          </cell>
          <cell r="E177">
            <v>6.0410800000000001E-2</v>
          </cell>
        </row>
        <row r="178">
          <cell r="A178" t="str">
            <v>ACCL-20250</v>
          </cell>
          <cell r="B178" t="str">
            <v>AC</v>
          </cell>
          <cell r="C178">
            <v>250</v>
          </cell>
          <cell r="D178" t="str">
            <v>CL-20</v>
          </cell>
          <cell r="E178">
            <v>3.7282559999999999E-2</v>
          </cell>
        </row>
        <row r="179">
          <cell r="A179" t="str">
            <v>ACCL-20300</v>
          </cell>
          <cell r="B179" t="str">
            <v>AC</v>
          </cell>
          <cell r="C179">
            <v>300</v>
          </cell>
          <cell r="D179" t="str">
            <v>CL-20</v>
          </cell>
          <cell r="E179">
            <v>2.5768249999999999E-2</v>
          </cell>
        </row>
        <row r="180">
          <cell r="A180" t="str">
            <v>ACCL-20350</v>
          </cell>
          <cell r="B180" t="str">
            <v>AC</v>
          </cell>
          <cell r="C180">
            <v>350</v>
          </cell>
          <cell r="D180" t="str">
            <v>CL-20</v>
          </cell>
          <cell r="E180">
            <v>1.836115E-2</v>
          </cell>
        </row>
        <row r="181">
          <cell r="A181" t="str">
            <v>ACCL-20400</v>
          </cell>
          <cell r="B181" t="str">
            <v>AC</v>
          </cell>
          <cell r="C181">
            <v>400</v>
          </cell>
          <cell r="D181" t="str">
            <v>CL-20</v>
          </cell>
          <cell r="E181">
            <v>1.411681E-2</v>
          </cell>
        </row>
        <row r="182">
          <cell r="A182" t="str">
            <v>ACCL-20450</v>
          </cell>
          <cell r="B182" t="str">
            <v>AC</v>
          </cell>
          <cell r="C182">
            <v>450</v>
          </cell>
          <cell r="D182" t="str">
            <v>CL-20</v>
          </cell>
          <cell r="E182">
            <v>1.111783E-2</v>
          </cell>
        </row>
        <row r="183">
          <cell r="A183" t="str">
            <v>ACCL-20500</v>
          </cell>
          <cell r="B183" t="str">
            <v>AC</v>
          </cell>
          <cell r="C183">
            <v>500</v>
          </cell>
          <cell r="D183" t="str">
            <v>CL-20</v>
          </cell>
          <cell r="E183">
            <v>8.9815899999999994E-3</v>
          </cell>
        </row>
        <row r="184">
          <cell r="A184" t="str">
            <v>ACCL-20600</v>
          </cell>
          <cell r="B184" t="str">
            <v>AC</v>
          </cell>
          <cell r="C184">
            <v>600</v>
          </cell>
          <cell r="D184" t="str">
            <v>CL-20</v>
          </cell>
          <cell r="E184">
            <v>6.2119100000000002E-3</v>
          </cell>
        </row>
        <row r="185">
          <cell r="A185" t="str">
            <v>ACCL-20700</v>
          </cell>
          <cell r="B185" t="str">
            <v>AC</v>
          </cell>
          <cell r="C185">
            <v>700</v>
          </cell>
          <cell r="D185" t="str">
            <v>CL-20</v>
          </cell>
          <cell r="E185">
            <v>4.4866000000000003E-3</v>
          </cell>
        </row>
        <row r="186">
          <cell r="A186" t="str">
            <v>ACCL-20800</v>
          </cell>
          <cell r="B186" t="str">
            <v>AC</v>
          </cell>
          <cell r="C186">
            <v>800</v>
          </cell>
          <cell r="D186" t="str">
            <v>CL-20</v>
          </cell>
        </row>
        <row r="187">
          <cell r="A187" t="str">
            <v>ACCL-20900</v>
          </cell>
          <cell r="B187" t="str">
            <v>AC</v>
          </cell>
          <cell r="C187">
            <v>900</v>
          </cell>
          <cell r="D187" t="str">
            <v>CL-20</v>
          </cell>
        </row>
        <row r="188">
          <cell r="A188" t="str">
            <v>ACCL-201000</v>
          </cell>
          <cell r="B188" t="str">
            <v>AC</v>
          </cell>
          <cell r="C188">
            <v>1000</v>
          </cell>
          <cell r="D188" t="str">
            <v>CL-20</v>
          </cell>
        </row>
        <row r="189">
          <cell r="A189" t="str">
            <v>ACCL-2580</v>
          </cell>
          <cell r="B189" t="str">
            <v>AC</v>
          </cell>
          <cell r="C189">
            <v>80</v>
          </cell>
          <cell r="D189" t="str">
            <v>CL-25</v>
          </cell>
          <cell r="E189">
            <v>0.40577602000000002</v>
          </cell>
        </row>
        <row r="190">
          <cell r="A190" t="str">
            <v>ACCL-25100</v>
          </cell>
          <cell r="B190" t="str">
            <v>AC</v>
          </cell>
          <cell r="C190">
            <v>100</v>
          </cell>
          <cell r="D190" t="str">
            <v>CL-25</v>
          </cell>
          <cell r="E190">
            <v>0.25884439999999997</v>
          </cell>
        </row>
        <row r="191">
          <cell r="A191" t="str">
            <v>ACCL-25125</v>
          </cell>
          <cell r="B191" t="str">
            <v>AC</v>
          </cell>
          <cell r="C191">
            <v>125</v>
          </cell>
          <cell r="D191" t="str">
            <v>CL-25</v>
          </cell>
          <cell r="E191">
            <v>0.16146394999999999</v>
          </cell>
        </row>
        <row r="192">
          <cell r="A192" t="str">
            <v>ACCL-25150</v>
          </cell>
          <cell r="B192" t="str">
            <v>AC</v>
          </cell>
          <cell r="C192">
            <v>150</v>
          </cell>
          <cell r="D192" t="str">
            <v>CL-25</v>
          </cell>
          <cell r="E192">
            <v>0.11212774</v>
          </cell>
        </row>
        <row r="193">
          <cell r="A193" t="str">
            <v>ACCL-25200</v>
          </cell>
          <cell r="B193" t="str">
            <v>AC</v>
          </cell>
          <cell r="C193">
            <v>200</v>
          </cell>
          <cell r="D193" t="str">
            <v>CL-25</v>
          </cell>
          <cell r="E193">
            <v>6.2883410000000001E-2</v>
          </cell>
        </row>
        <row r="194">
          <cell r="A194" t="str">
            <v>ACCL-25250</v>
          </cell>
          <cell r="B194" t="str">
            <v>AC</v>
          </cell>
          <cell r="C194">
            <v>250</v>
          </cell>
          <cell r="D194" t="str">
            <v>CL-25</v>
          </cell>
          <cell r="E194">
            <v>3.8927059999999999E-2</v>
          </cell>
        </row>
        <row r="195">
          <cell r="A195" t="str">
            <v>ACCL-25300</v>
          </cell>
          <cell r="B195" t="str">
            <v>AC</v>
          </cell>
          <cell r="C195">
            <v>300</v>
          </cell>
          <cell r="D195" t="str">
            <v>CL-25</v>
          </cell>
          <cell r="E195">
            <v>2.70771E-2</v>
          </cell>
        </row>
        <row r="196">
          <cell r="A196" t="str">
            <v>ACCL-25350</v>
          </cell>
          <cell r="B196" t="str">
            <v>AC</v>
          </cell>
          <cell r="C196">
            <v>350</v>
          </cell>
          <cell r="D196" t="str">
            <v>CL-25</v>
          </cell>
          <cell r="E196">
            <v>1.9356430000000001E-2</v>
          </cell>
        </row>
        <row r="197">
          <cell r="A197" t="str">
            <v>ACCL-25400</v>
          </cell>
          <cell r="B197" t="str">
            <v>AC</v>
          </cell>
          <cell r="C197">
            <v>400</v>
          </cell>
          <cell r="D197" t="str">
            <v>CL-25</v>
          </cell>
          <cell r="E197">
            <v>1.4781620000000001E-2</v>
          </cell>
        </row>
        <row r="198">
          <cell r="A198" t="str">
            <v>ACCL-25450</v>
          </cell>
          <cell r="B198" t="str">
            <v>AC</v>
          </cell>
          <cell r="C198">
            <v>450</v>
          </cell>
          <cell r="D198" t="str">
            <v>CL-25</v>
          </cell>
          <cell r="E198">
            <v>1.1655489999999999E-2</v>
          </cell>
        </row>
        <row r="199">
          <cell r="A199" t="str">
            <v>ACCL-25500</v>
          </cell>
          <cell r="B199" t="str">
            <v>AC</v>
          </cell>
          <cell r="C199">
            <v>500</v>
          </cell>
          <cell r="D199" t="str">
            <v>CL-25</v>
          </cell>
          <cell r="E199">
            <v>9.4253300000000009E-3</v>
          </cell>
        </row>
        <row r="200">
          <cell r="A200" t="str">
            <v>ACCL-25600</v>
          </cell>
          <cell r="B200" t="str">
            <v>AC</v>
          </cell>
          <cell r="C200">
            <v>600</v>
          </cell>
          <cell r="D200" t="str">
            <v>CL-25</v>
          </cell>
          <cell r="E200">
            <v>6.5406800000000001E-3</v>
          </cell>
        </row>
        <row r="201">
          <cell r="A201" t="str">
            <v>ACCL-25700</v>
          </cell>
          <cell r="B201" t="str">
            <v>AC</v>
          </cell>
          <cell r="C201">
            <v>700</v>
          </cell>
          <cell r="D201" t="str">
            <v>CL-25</v>
          </cell>
          <cell r="E201">
            <v>4.7490700000000002E-3</v>
          </cell>
        </row>
        <row r="202">
          <cell r="A202" t="str">
            <v>ACCL-25800</v>
          </cell>
          <cell r="B202" t="str">
            <v>AC</v>
          </cell>
          <cell r="C202">
            <v>800</v>
          </cell>
          <cell r="D202" t="str">
            <v>CL-25</v>
          </cell>
        </row>
        <row r="203">
          <cell r="A203" t="str">
            <v>ACCL-25900</v>
          </cell>
          <cell r="B203" t="str">
            <v>AC</v>
          </cell>
          <cell r="C203">
            <v>900</v>
          </cell>
          <cell r="D203" t="str">
            <v>CL-25</v>
          </cell>
        </row>
        <row r="204">
          <cell r="A204" t="str">
            <v>ACCL-251000</v>
          </cell>
          <cell r="B204" t="str">
            <v>AC</v>
          </cell>
          <cell r="C204">
            <v>1000</v>
          </cell>
          <cell r="D204" t="str">
            <v>CL-25</v>
          </cell>
        </row>
        <row r="205">
          <cell r="A205" t="str">
            <v>BWSC12350</v>
          </cell>
          <cell r="B205" t="str">
            <v>BWSC</v>
          </cell>
          <cell r="C205">
            <v>350</v>
          </cell>
          <cell r="D205">
            <v>12</v>
          </cell>
          <cell r="E205">
            <v>2.0523E-2</v>
          </cell>
        </row>
        <row r="206">
          <cell r="A206" t="str">
            <v>BWSC12400</v>
          </cell>
          <cell r="B206" t="str">
            <v>BWSC</v>
          </cell>
          <cell r="C206">
            <v>400</v>
          </cell>
          <cell r="D206">
            <v>12</v>
          </cell>
          <cell r="E206">
            <v>1.5350000000000001E-2</v>
          </cell>
        </row>
        <row r="207">
          <cell r="A207" t="str">
            <v>BWSC12450</v>
          </cell>
          <cell r="B207" t="str">
            <v>BWSC</v>
          </cell>
          <cell r="C207">
            <v>450</v>
          </cell>
          <cell r="D207">
            <v>12</v>
          </cell>
          <cell r="E207">
            <v>1.1861E-2</v>
          </cell>
        </row>
        <row r="208">
          <cell r="A208" t="str">
            <v>BWSC12500</v>
          </cell>
          <cell r="B208" t="str">
            <v>BWSC</v>
          </cell>
          <cell r="C208">
            <v>500</v>
          </cell>
          <cell r="D208">
            <v>12</v>
          </cell>
          <cell r="E208">
            <v>9.5840000000000005E-3</v>
          </cell>
        </row>
        <row r="209">
          <cell r="A209" t="str">
            <v>BWSC12600</v>
          </cell>
          <cell r="B209" t="str">
            <v>BWSC</v>
          </cell>
          <cell r="C209">
            <v>600</v>
          </cell>
          <cell r="D209">
            <v>12</v>
          </cell>
          <cell r="E209">
            <v>6.476E-3</v>
          </cell>
        </row>
        <row r="210">
          <cell r="A210" t="str">
            <v>BWSC12700</v>
          </cell>
          <cell r="B210" t="str">
            <v>BWSC</v>
          </cell>
          <cell r="C210">
            <v>700</v>
          </cell>
          <cell r="D210">
            <v>12</v>
          </cell>
          <cell r="E210">
            <v>4.5970000000000004E-3</v>
          </cell>
        </row>
        <row r="211">
          <cell r="A211" t="str">
            <v>BWSC12800</v>
          </cell>
          <cell r="B211" t="str">
            <v>BWSC</v>
          </cell>
          <cell r="C211">
            <v>800</v>
          </cell>
          <cell r="D211">
            <v>12</v>
          </cell>
          <cell r="E211">
            <v>3.408E-3</v>
          </cell>
        </row>
        <row r="212">
          <cell r="A212" t="str">
            <v>BWSC12900</v>
          </cell>
          <cell r="B212" t="str">
            <v>BWSC</v>
          </cell>
          <cell r="C212">
            <v>900</v>
          </cell>
          <cell r="D212">
            <v>12</v>
          </cell>
          <cell r="E212">
            <v>2.6519999999999998E-3</v>
          </cell>
        </row>
        <row r="213">
          <cell r="A213" t="str">
            <v>BWSC121000</v>
          </cell>
          <cell r="B213" t="str">
            <v>BWSC</v>
          </cell>
          <cell r="C213">
            <v>1000</v>
          </cell>
          <cell r="D213">
            <v>12</v>
          </cell>
          <cell r="E213">
            <v>2.0899999999999998E-3</v>
          </cell>
        </row>
        <row r="214">
          <cell r="A214" t="str">
            <v>BWSC14350</v>
          </cell>
          <cell r="B214" t="str">
            <v>BWSC</v>
          </cell>
          <cell r="C214">
            <v>350</v>
          </cell>
          <cell r="D214">
            <v>14</v>
          </cell>
          <cell r="E214">
            <v>2.0523E-2</v>
          </cell>
        </row>
        <row r="215">
          <cell r="A215" t="str">
            <v>BWSC14400</v>
          </cell>
          <cell r="B215" t="str">
            <v>BWSC</v>
          </cell>
          <cell r="C215">
            <v>400</v>
          </cell>
          <cell r="D215">
            <v>14</v>
          </cell>
          <cell r="E215">
            <v>1.5350000000000001E-2</v>
          </cell>
        </row>
        <row r="216">
          <cell r="A216" t="str">
            <v>BWSC14450</v>
          </cell>
          <cell r="B216" t="str">
            <v>BWSC</v>
          </cell>
          <cell r="C216">
            <v>450</v>
          </cell>
          <cell r="D216">
            <v>14</v>
          </cell>
          <cell r="E216">
            <v>1.1861E-2</v>
          </cell>
        </row>
        <row r="217">
          <cell r="A217" t="str">
            <v>BWSC14500</v>
          </cell>
          <cell r="B217" t="str">
            <v>BWSC</v>
          </cell>
          <cell r="C217">
            <v>500</v>
          </cell>
          <cell r="D217">
            <v>14</v>
          </cell>
          <cell r="E217">
            <v>9.5840000000000005E-3</v>
          </cell>
        </row>
        <row r="218">
          <cell r="A218" t="str">
            <v>BWSC14600</v>
          </cell>
          <cell r="B218" t="str">
            <v>BWSC</v>
          </cell>
          <cell r="C218">
            <v>600</v>
          </cell>
          <cell r="D218">
            <v>14</v>
          </cell>
          <cell r="E218">
            <v>6.476E-3</v>
          </cell>
        </row>
        <row r="219">
          <cell r="A219" t="str">
            <v>BWSC14700</v>
          </cell>
          <cell r="B219" t="str">
            <v>BWSC</v>
          </cell>
          <cell r="C219">
            <v>700</v>
          </cell>
          <cell r="D219">
            <v>14</v>
          </cell>
          <cell r="E219">
            <v>4.5970000000000004E-3</v>
          </cell>
        </row>
        <row r="220">
          <cell r="A220" t="str">
            <v>BWSC14800</v>
          </cell>
          <cell r="B220" t="str">
            <v>BWSC</v>
          </cell>
          <cell r="C220">
            <v>800</v>
          </cell>
          <cell r="D220">
            <v>14</v>
          </cell>
          <cell r="E220">
            <v>3.408E-3</v>
          </cell>
        </row>
        <row r="221">
          <cell r="A221" t="str">
            <v>BWSC14900</v>
          </cell>
          <cell r="B221" t="str">
            <v>BWSC</v>
          </cell>
          <cell r="C221">
            <v>900</v>
          </cell>
          <cell r="D221">
            <v>14</v>
          </cell>
          <cell r="E221">
            <v>2.6519999999999998E-3</v>
          </cell>
        </row>
        <row r="222">
          <cell r="A222" t="str">
            <v>BWSC141000</v>
          </cell>
          <cell r="B222" t="str">
            <v>BWSC</v>
          </cell>
          <cell r="C222">
            <v>1000</v>
          </cell>
          <cell r="D222">
            <v>14</v>
          </cell>
          <cell r="E222">
            <v>2.0899999999999998E-3</v>
          </cell>
        </row>
        <row r="223">
          <cell r="A223" t="str">
            <v>BWSC16350</v>
          </cell>
          <cell r="B223" t="str">
            <v>BWSC</v>
          </cell>
          <cell r="C223">
            <v>350</v>
          </cell>
          <cell r="D223">
            <v>16</v>
          </cell>
          <cell r="E223">
            <v>2.0523E-2</v>
          </cell>
        </row>
        <row r="224">
          <cell r="A224" t="str">
            <v>BWSC16400</v>
          </cell>
          <cell r="B224" t="str">
            <v>BWSC</v>
          </cell>
          <cell r="C224">
            <v>400</v>
          </cell>
          <cell r="D224">
            <v>16</v>
          </cell>
          <cell r="E224">
            <v>1.5350000000000001E-2</v>
          </cell>
        </row>
        <row r="225">
          <cell r="A225" t="str">
            <v>BWSC16450</v>
          </cell>
          <cell r="B225" t="str">
            <v>BWSC</v>
          </cell>
          <cell r="C225">
            <v>450</v>
          </cell>
          <cell r="D225">
            <v>16</v>
          </cell>
          <cell r="E225">
            <v>1.1861E-2</v>
          </cell>
        </row>
        <row r="226">
          <cell r="A226" t="str">
            <v>BWSC16500</v>
          </cell>
          <cell r="B226" t="str">
            <v>BWSC</v>
          </cell>
          <cell r="C226">
            <v>500</v>
          </cell>
          <cell r="D226">
            <v>16</v>
          </cell>
          <cell r="E226">
            <v>9.5840000000000005E-3</v>
          </cell>
        </row>
        <row r="227">
          <cell r="A227" t="str">
            <v>BWSC16600</v>
          </cell>
          <cell r="B227" t="str">
            <v>BWSC</v>
          </cell>
          <cell r="C227">
            <v>600</v>
          </cell>
          <cell r="D227">
            <v>16</v>
          </cell>
          <cell r="E227">
            <v>6.476E-3</v>
          </cell>
        </row>
        <row r="228">
          <cell r="A228" t="str">
            <v>BWSC16700</v>
          </cell>
          <cell r="B228" t="str">
            <v>BWSC</v>
          </cell>
          <cell r="C228">
            <v>700</v>
          </cell>
          <cell r="D228">
            <v>16</v>
          </cell>
          <cell r="E228">
            <v>4.5970000000000004E-3</v>
          </cell>
        </row>
        <row r="229">
          <cell r="A229" t="str">
            <v>BWSC16800</v>
          </cell>
          <cell r="B229" t="str">
            <v>BWSC</v>
          </cell>
          <cell r="C229">
            <v>800</v>
          </cell>
          <cell r="D229">
            <v>16</v>
          </cell>
          <cell r="E229">
            <v>3.408E-3</v>
          </cell>
        </row>
        <row r="230">
          <cell r="A230" t="str">
            <v>BWSC16900</v>
          </cell>
          <cell r="B230" t="str">
            <v>BWSC</v>
          </cell>
          <cell r="C230">
            <v>900</v>
          </cell>
          <cell r="D230">
            <v>16</v>
          </cell>
          <cell r="E230">
            <v>2.6519999999999998E-3</v>
          </cell>
        </row>
        <row r="231">
          <cell r="A231" t="str">
            <v>BWSC161000</v>
          </cell>
          <cell r="B231" t="str">
            <v>BWSC</v>
          </cell>
          <cell r="C231">
            <v>1000</v>
          </cell>
          <cell r="D231">
            <v>16</v>
          </cell>
          <cell r="E231">
            <v>2.0899999999999998E-3</v>
          </cell>
        </row>
        <row r="232">
          <cell r="A232" t="str">
            <v>BWSC18350</v>
          </cell>
          <cell r="B232" t="str">
            <v>BWSC</v>
          </cell>
          <cell r="C232">
            <v>350</v>
          </cell>
          <cell r="D232">
            <v>18</v>
          </cell>
          <cell r="E232">
            <v>2.0523E-2</v>
          </cell>
        </row>
        <row r="233">
          <cell r="A233" t="str">
            <v>BWSC18400</v>
          </cell>
          <cell r="B233" t="str">
            <v>BWSC</v>
          </cell>
          <cell r="C233">
            <v>400</v>
          </cell>
          <cell r="D233">
            <v>18</v>
          </cell>
          <cell r="E233">
            <v>1.5350000000000001E-2</v>
          </cell>
        </row>
        <row r="234">
          <cell r="A234" t="str">
            <v>BWSC18450</v>
          </cell>
          <cell r="B234" t="str">
            <v>BWSC</v>
          </cell>
          <cell r="C234">
            <v>450</v>
          </cell>
          <cell r="D234">
            <v>18</v>
          </cell>
          <cell r="E234">
            <v>1.1861E-2</v>
          </cell>
        </row>
        <row r="235">
          <cell r="A235" t="str">
            <v>BWSC18500</v>
          </cell>
          <cell r="B235" t="str">
            <v>BWSC</v>
          </cell>
          <cell r="C235">
            <v>500</v>
          </cell>
          <cell r="D235">
            <v>18</v>
          </cell>
          <cell r="E235">
            <v>9.5840000000000005E-3</v>
          </cell>
        </row>
        <row r="236">
          <cell r="A236" t="str">
            <v>BWSC18600</v>
          </cell>
          <cell r="B236" t="str">
            <v>BWSC</v>
          </cell>
          <cell r="C236">
            <v>600</v>
          </cell>
          <cell r="D236">
            <v>18</v>
          </cell>
          <cell r="E236">
            <v>6.476E-3</v>
          </cell>
        </row>
        <row r="237">
          <cell r="A237" t="str">
            <v>BWSC18700</v>
          </cell>
          <cell r="B237" t="str">
            <v>BWSC</v>
          </cell>
          <cell r="C237">
            <v>700</v>
          </cell>
          <cell r="D237">
            <v>18</v>
          </cell>
          <cell r="E237">
            <v>4.5970000000000004E-3</v>
          </cell>
        </row>
        <row r="238">
          <cell r="A238" t="str">
            <v>BWSC18800</v>
          </cell>
          <cell r="B238" t="str">
            <v>BWSC</v>
          </cell>
          <cell r="C238">
            <v>800</v>
          </cell>
          <cell r="D238">
            <v>18</v>
          </cell>
          <cell r="E238">
            <v>3.408E-3</v>
          </cell>
        </row>
        <row r="239">
          <cell r="A239" t="str">
            <v>BWSC18900</v>
          </cell>
          <cell r="B239" t="str">
            <v>BWSC</v>
          </cell>
          <cell r="C239">
            <v>900</v>
          </cell>
          <cell r="D239">
            <v>18</v>
          </cell>
          <cell r="E239">
            <v>2.6519999999999998E-3</v>
          </cell>
        </row>
        <row r="240">
          <cell r="A240" t="str">
            <v>BWSC181000</v>
          </cell>
          <cell r="B240" t="str">
            <v>BWSC</v>
          </cell>
          <cell r="C240">
            <v>1000</v>
          </cell>
          <cell r="D240">
            <v>18</v>
          </cell>
          <cell r="E240">
            <v>2.0899999999999998E-3</v>
          </cell>
        </row>
        <row r="241">
          <cell r="A241" t="str">
            <v>BWSC20350</v>
          </cell>
          <cell r="B241" t="str">
            <v>BWSC</v>
          </cell>
          <cell r="C241">
            <v>350</v>
          </cell>
          <cell r="D241">
            <v>20</v>
          </cell>
          <cell r="E241">
            <v>2.0523E-2</v>
          </cell>
        </row>
        <row r="242">
          <cell r="A242" t="str">
            <v>BWSC20400</v>
          </cell>
          <cell r="B242" t="str">
            <v>BWSC</v>
          </cell>
          <cell r="C242">
            <v>400</v>
          </cell>
          <cell r="D242">
            <v>20</v>
          </cell>
          <cell r="E242">
            <v>1.5350000000000001E-2</v>
          </cell>
        </row>
        <row r="243">
          <cell r="A243" t="str">
            <v>BWSC20450</v>
          </cell>
          <cell r="B243" t="str">
            <v>BWSC</v>
          </cell>
          <cell r="C243">
            <v>450</v>
          </cell>
          <cell r="D243">
            <v>20</v>
          </cell>
          <cell r="E243">
            <v>1.1861E-2</v>
          </cell>
        </row>
        <row r="244">
          <cell r="A244" t="str">
            <v>BWSC20500</v>
          </cell>
          <cell r="B244" t="str">
            <v>BWSC</v>
          </cell>
          <cell r="C244">
            <v>500</v>
          </cell>
          <cell r="D244">
            <v>20</v>
          </cell>
          <cell r="E244">
            <v>9.5840000000000005E-3</v>
          </cell>
        </row>
        <row r="245">
          <cell r="A245" t="str">
            <v>BWSC20600</v>
          </cell>
          <cell r="B245" t="str">
            <v>BWSC</v>
          </cell>
          <cell r="C245">
            <v>600</v>
          </cell>
          <cell r="D245">
            <v>20</v>
          </cell>
          <cell r="E245">
            <v>6.476E-3</v>
          </cell>
        </row>
        <row r="246">
          <cell r="A246" t="str">
            <v>BWSC20700</v>
          </cell>
          <cell r="B246" t="str">
            <v>BWSC</v>
          </cell>
          <cell r="C246">
            <v>700</v>
          </cell>
          <cell r="D246">
            <v>20</v>
          </cell>
          <cell r="E246">
            <v>4.5970000000000004E-3</v>
          </cell>
        </row>
        <row r="247">
          <cell r="A247" t="str">
            <v>BWSC20800</v>
          </cell>
          <cell r="B247" t="str">
            <v>BWSC</v>
          </cell>
          <cell r="C247">
            <v>800</v>
          </cell>
          <cell r="D247">
            <v>20</v>
          </cell>
          <cell r="E247">
            <v>3.408E-3</v>
          </cell>
        </row>
        <row r="248">
          <cell r="A248" t="str">
            <v>BWSC20900</v>
          </cell>
          <cell r="B248" t="str">
            <v>BWSC</v>
          </cell>
          <cell r="C248">
            <v>900</v>
          </cell>
          <cell r="D248">
            <v>20</v>
          </cell>
          <cell r="E248">
            <v>2.6519999999999998E-3</v>
          </cell>
        </row>
        <row r="249">
          <cell r="A249" t="str">
            <v>BWSC201000</v>
          </cell>
          <cell r="B249" t="str">
            <v>BWSC</v>
          </cell>
          <cell r="C249">
            <v>1000</v>
          </cell>
          <cell r="D249">
            <v>20</v>
          </cell>
          <cell r="E249">
            <v>2.0899999999999998E-3</v>
          </cell>
        </row>
        <row r="250">
          <cell r="A250" t="str">
            <v>BWSC22350</v>
          </cell>
          <cell r="B250" t="str">
            <v>BWSC</v>
          </cell>
          <cell r="C250">
            <v>350</v>
          </cell>
          <cell r="D250">
            <v>22</v>
          </cell>
          <cell r="E250">
            <v>2.0523E-2</v>
          </cell>
        </row>
        <row r="251">
          <cell r="A251" t="str">
            <v>BWSC22400</v>
          </cell>
          <cell r="B251" t="str">
            <v>BWSC</v>
          </cell>
          <cell r="C251">
            <v>400</v>
          </cell>
          <cell r="D251">
            <v>22</v>
          </cell>
          <cell r="E251">
            <v>1.5350000000000001E-2</v>
          </cell>
        </row>
        <row r="252">
          <cell r="A252" t="str">
            <v>BWSC22450</v>
          </cell>
          <cell r="B252" t="str">
            <v>BWSC</v>
          </cell>
          <cell r="C252">
            <v>450</v>
          </cell>
          <cell r="D252">
            <v>22</v>
          </cell>
          <cell r="E252">
            <v>1.1861E-2</v>
          </cell>
        </row>
        <row r="253">
          <cell r="A253" t="str">
            <v>BWSC22500</v>
          </cell>
          <cell r="B253" t="str">
            <v>BWSC</v>
          </cell>
          <cell r="C253">
            <v>500</v>
          </cell>
          <cell r="D253">
            <v>22</v>
          </cell>
          <cell r="E253">
            <v>9.5840000000000005E-3</v>
          </cell>
        </row>
        <row r="254">
          <cell r="A254" t="str">
            <v>BWSC22600</v>
          </cell>
          <cell r="B254" t="str">
            <v>BWSC</v>
          </cell>
          <cell r="C254">
            <v>600</v>
          </cell>
          <cell r="D254">
            <v>22</v>
          </cell>
          <cell r="E254">
            <v>6.476E-3</v>
          </cell>
        </row>
        <row r="255">
          <cell r="A255" t="str">
            <v>BWSC22700</v>
          </cell>
          <cell r="B255" t="str">
            <v>BWSC</v>
          </cell>
          <cell r="C255">
            <v>700</v>
          </cell>
          <cell r="D255">
            <v>22</v>
          </cell>
          <cell r="E255">
            <v>4.5970000000000004E-3</v>
          </cell>
        </row>
        <row r="256">
          <cell r="A256" t="str">
            <v>BWSC22800</v>
          </cell>
          <cell r="B256" t="str">
            <v>BWSC</v>
          </cell>
          <cell r="C256">
            <v>800</v>
          </cell>
          <cell r="D256">
            <v>22</v>
          </cell>
          <cell r="E256">
            <v>3.408E-3</v>
          </cell>
        </row>
        <row r="257">
          <cell r="A257" t="str">
            <v>BWSC22900</v>
          </cell>
          <cell r="B257" t="str">
            <v>BWSC</v>
          </cell>
          <cell r="C257">
            <v>900</v>
          </cell>
          <cell r="D257">
            <v>22</v>
          </cell>
          <cell r="E257">
            <v>2.6519999999999998E-3</v>
          </cell>
        </row>
        <row r="258">
          <cell r="A258" t="str">
            <v>BWSC221000</v>
          </cell>
          <cell r="B258" t="str">
            <v>BWSC</v>
          </cell>
          <cell r="C258">
            <v>1000</v>
          </cell>
          <cell r="D258">
            <v>22</v>
          </cell>
          <cell r="E258">
            <v>2.0899999999999998E-3</v>
          </cell>
        </row>
        <row r="259">
          <cell r="A259" t="str">
            <v>BWSC24350</v>
          </cell>
          <cell r="B259" t="str">
            <v>BWSC</v>
          </cell>
          <cell r="C259">
            <v>350</v>
          </cell>
          <cell r="D259">
            <v>24</v>
          </cell>
          <cell r="E259">
            <v>2.0523E-2</v>
          </cell>
        </row>
        <row r="260">
          <cell r="A260" t="str">
            <v>BWSC24400</v>
          </cell>
          <cell r="B260" t="str">
            <v>BWSC</v>
          </cell>
          <cell r="C260">
            <v>400</v>
          </cell>
          <cell r="D260">
            <v>24</v>
          </cell>
          <cell r="E260">
            <v>1.5350000000000001E-2</v>
          </cell>
        </row>
        <row r="261">
          <cell r="A261" t="str">
            <v>BWSC24450</v>
          </cell>
          <cell r="B261" t="str">
            <v>BWSC</v>
          </cell>
          <cell r="C261">
            <v>450</v>
          </cell>
          <cell r="D261">
            <v>24</v>
          </cell>
          <cell r="E261">
            <v>1.1861E-2</v>
          </cell>
        </row>
        <row r="262">
          <cell r="A262" t="str">
            <v>BWSC24500</v>
          </cell>
          <cell r="B262" t="str">
            <v>BWSC</v>
          </cell>
          <cell r="C262">
            <v>500</v>
          </cell>
          <cell r="D262">
            <v>24</v>
          </cell>
          <cell r="E262">
            <v>9.5840000000000005E-3</v>
          </cell>
        </row>
        <row r="263">
          <cell r="A263" t="str">
            <v>BWSC24600</v>
          </cell>
          <cell r="B263" t="str">
            <v>BWSC</v>
          </cell>
          <cell r="C263">
            <v>600</v>
          </cell>
          <cell r="D263">
            <v>24</v>
          </cell>
          <cell r="E263">
            <v>6.476E-3</v>
          </cell>
        </row>
        <row r="264">
          <cell r="A264" t="str">
            <v>BWSC24700</v>
          </cell>
          <cell r="B264" t="str">
            <v>BWSC</v>
          </cell>
          <cell r="C264">
            <v>700</v>
          </cell>
          <cell r="D264">
            <v>24</v>
          </cell>
          <cell r="E264">
            <v>4.5970000000000004E-3</v>
          </cell>
        </row>
        <row r="265">
          <cell r="A265" t="str">
            <v>BWSC24800</v>
          </cell>
          <cell r="B265" t="str">
            <v>BWSC</v>
          </cell>
          <cell r="C265">
            <v>800</v>
          </cell>
          <cell r="D265">
            <v>24</v>
          </cell>
          <cell r="E265">
            <v>3.408E-3</v>
          </cell>
        </row>
        <row r="266">
          <cell r="A266" t="str">
            <v>BWSC24900</v>
          </cell>
          <cell r="B266" t="str">
            <v>BWSC</v>
          </cell>
          <cell r="C266">
            <v>900</v>
          </cell>
          <cell r="D266">
            <v>24</v>
          </cell>
          <cell r="E266">
            <v>2.6519999999999998E-3</v>
          </cell>
        </row>
        <row r="267">
          <cell r="A267" t="str">
            <v>BWSC241000</v>
          </cell>
          <cell r="B267" t="str">
            <v>BWSC</v>
          </cell>
          <cell r="C267">
            <v>1000</v>
          </cell>
          <cell r="D267">
            <v>24</v>
          </cell>
          <cell r="E267">
            <v>2.0899999999999998E-3</v>
          </cell>
        </row>
        <row r="268">
          <cell r="A268" t="str">
            <v>BWSC26350</v>
          </cell>
          <cell r="B268" t="str">
            <v>BWSC</v>
          </cell>
          <cell r="C268">
            <v>350</v>
          </cell>
          <cell r="D268">
            <v>26</v>
          </cell>
          <cell r="E268">
            <v>2.0523E-2</v>
          </cell>
        </row>
        <row r="269">
          <cell r="A269" t="str">
            <v>BWSC26400</v>
          </cell>
          <cell r="B269" t="str">
            <v>BWSC</v>
          </cell>
          <cell r="C269">
            <v>400</v>
          </cell>
          <cell r="D269">
            <v>26</v>
          </cell>
          <cell r="E269">
            <v>1.5350000000000001E-2</v>
          </cell>
        </row>
        <row r="270">
          <cell r="A270" t="str">
            <v>BWSC26450</v>
          </cell>
          <cell r="B270" t="str">
            <v>BWSC</v>
          </cell>
          <cell r="C270">
            <v>450</v>
          </cell>
          <cell r="D270">
            <v>26</v>
          </cell>
          <cell r="E270">
            <v>1.1861E-2</v>
          </cell>
        </row>
        <row r="271">
          <cell r="A271" t="str">
            <v>BWSC26500</v>
          </cell>
          <cell r="B271" t="str">
            <v>BWSC</v>
          </cell>
          <cell r="C271">
            <v>500</v>
          </cell>
          <cell r="D271">
            <v>26</v>
          </cell>
          <cell r="E271">
            <v>9.5840000000000005E-3</v>
          </cell>
        </row>
        <row r="272">
          <cell r="A272" t="str">
            <v>BWSC26600</v>
          </cell>
          <cell r="B272" t="str">
            <v>BWSC</v>
          </cell>
          <cell r="C272">
            <v>600</v>
          </cell>
          <cell r="D272">
            <v>26</v>
          </cell>
          <cell r="E272">
            <v>6.476E-3</v>
          </cell>
        </row>
        <row r="273">
          <cell r="A273" t="str">
            <v>BWSC26700</v>
          </cell>
          <cell r="B273" t="str">
            <v>BWSC</v>
          </cell>
          <cell r="C273">
            <v>700</v>
          </cell>
          <cell r="D273">
            <v>26</v>
          </cell>
          <cell r="E273">
            <v>4.5970000000000004E-3</v>
          </cell>
        </row>
        <row r="274">
          <cell r="A274" t="str">
            <v>BWSC26800</v>
          </cell>
          <cell r="B274" t="str">
            <v>BWSC</v>
          </cell>
          <cell r="C274">
            <v>800</v>
          </cell>
          <cell r="D274">
            <v>26</v>
          </cell>
          <cell r="E274">
            <v>3.408E-3</v>
          </cell>
        </row>
        <row r="275">
          <cell r="A275" t="str">
            <v>BWSC26900</v>
          </cell>
          <cell r="B275" t="str">
            <v>BWSC</v>
          </cell>
          <cell r="C275">
            <v>900</v>
          </cell>
          <cell r="D275">
            <v>26</v>
          </cell>
          <cell r="E275">
            <v>2.6519999999999998E-3</v>
          </cell>
        </row>
        <row r="276">
          <cell r="A276" t="str">
            <v>BWSC261000</v>
          </cell>
          <cell r="B276" t="str">
            <v>BWSC</v>
          </cell>
          <cell r="C276">
            <v>1000</v>
          </cell>
          <cell r="D276">
            <v>26</v>
          </cell>
          <cell r="E276">
            <v>2.0899999999999998E-3</v>
          </cell>
        </row>
        <row r="277">
          <cell r="A277" t="str">
            <v>BWSC28350</v>
          </cell>
          <cell r="B277" t="str">
            <v>BWSC</v>
          </cell>
          <cell r="C277">
            <v>350</v>
          </cell>
          <cell r="D277">
            <v>28</v>
          </cell>
          <cell r="E277">
            <v>2.0523E-2</v>
          </cell>
        </row>
        <row r="278">
          <cell r="A278" t="str">
            <v>BWSC28400</v>
          </cell>
          <cell r="B278" t="str">
            <v>BWSC</v>
          </cell>
          <cell r="C278">
            <v>400</v>
          </cell>
          <cell r="D278">
            <v>28</v>
          </cell>
          <cell r="E278">
            <v>1.5350000000000001E-2</v>
          </cell>
        </row>
        <row r="279">
          <cell r="A279" t="str">
            <v>BWSC28450</v>
          </cell>
          <cell r="B279" t="str">
            <v>BWSC</v>
          </cell>
          <cell r="C279">
            <v>450</v>
          </cell>
          <cell r="D279">
            <v>28</v>
          </cell>
          <cell r="E279">
            <v>1.1861E-2</v>
          </cell>
        </row>
        <row r="280">
          <cell r="A280" t="str">
            <v>BWSC28500</v>
          </cell>
          <cell r="B280" t="str">
            <v>BWSC</v>
          </cell>
          <cell r="C280">
            <v>500</v>
          </cell>
          <cell r="D280">
            <v>28</v>
          </cell>
          <cell r="E280">
            <v>9.5840000000000005E-3</v>
          </cell>
        </row>
        <row r="281">
          <cell r="A281" t="str">
            <v>BWSC28600</v>
          </cell>
          <cell r="B281" t="str">
            <v>BWSC</v>
          </cell>
          <cell r="C281">
            <v>600</v>
          </cell>
          <cell r="D281">
            <v>28</v>
          </cell>
          <cell r="E281">
            <v>6.476E-3</v>
          </cell>
        </row>
        <row r="282">
          <cell r="A282" t="str">
            <v>BWSC28700</v>
          </cell>
          <cell r="B282" t="str">
            <v>BWSC</v>
          </cell>
          <cell r="C282">
            <v>700</v>
          </cell>
          <cell r="D282">
            <v>28</v>
          </cell>
          <cell r="E282">
            <v>4.5970000000000004E-3</v>
          </cell>
        </row>
        <row r="283">
          <cell r="A283" t="str">
            <v>BWSC28800</v>
          </cell>
          <cell r="B283" t="str">
            <v>BWSC</v>
          </cell>
          <cell r="C283">
            <v>800</v>
          </cell>
          <cell r="D283">
            <v>28</v>
          </cell>
          <cell r="E283">
            <v>3.408E-3</v>
          </cell>
        </row>
        <row r="284">
          <cell r="A284" t="str">
            <v>BWSC28900</v>
          </cell>
          <cell r="B284" t="str">
            <v>BWSC</v>
          </cell>
          <cell r="C284">
            <v>900</v>
          </cell>
          <cell r="D284">
            <v>28</v>
          </cell>
          <cell r="E284">
            <v>2.6519999999999998E-3</v>
          </cell>
        </row>
        <row r="285">
          <cell r="A285" t="str">
            <v>BWSC281000</v>
          </cell>
          <cell r="B285" t="str">
            <v>BWSC</v>
          </cell>
          <cell r="C285">
            <v>1000</v>
          </cell>
          <cell r="D285">
            <v>28</v>
          </cell>
          <cell r="E285">
            <v>2.0899999999999998E-3</v>
          </cell>
        </row>
        <row r="286">
          <cell r="A286" t="str">
            <v>BWSC30350</v>
          </cell>
          <cell r="B286" t="str">
            <v>BWSC</v>
          </cell>
          <cell r="C286">
            <v>350</v>
          </cell>
          <cell r="D286">
            <v>30</v>
          </cell>
          <cell r="E286">
            <v>2.0523E-2</v>
          </cell>
        </row>
        <row r="287">
          <cell r="A287" t="str">
            <v>BWSC30400</v>
          </cell>
          <cell r="B287" t="str">
            <v>BWSC</v>
          </cell>
          <cell r="C287">
            <v>400</v>
          </cell>
          <cell r="D287">
            <v>30</v>
          </cell>
          <cell r="E287">
            <v>1.5350000000000001E-2</v>
          </cell>
        </row>
        <row r="288">
          <cell r="A288" t="str">
            <v>BWSC30450</v>
          </cell>
          <cell r="B288" t="str">
            <v>BWSC</v>
          </cell>
          <cell r="C288">
            <v>450</v>
          </cell>
          <cell r="D288">
            <v>30</v>
          </cell>
          <cell r="E288">
            <v>1.1861E-2</v>
          </cell>
        </row>
        <row r="289">
          <cell r="A289" t="str">
            <v>BWSC30500</v>
          </cell>
          <cell r="B289" t="str">
            <v>BWSC</v>
          </cell>
          <cell r="C289">
            <v>500</v>
          </cell>
          <cell r="D289">
            <v>30</v>
          </cell>
          <cell r="E289">
            <v>9.5840000000000005E-3</v>
          </cell>
        </row>
        <row r="290">
          <cell r="A290" t="str">
            <v>BWSC30600</v>
          </cell>
          <cell r="B290" t="str">
            <v>BWSC</v>
          </cell>
          <cell r="C290">
            <v>600</v>
          </cell>
          <cell r="D290">
            <v>30</v>
          </cell>
          <cell r="E290">
            <v>6.476E-3</v>
          </cell>
        </row>
        <row r="291">
          <cell r="A291" t="str">
            <v>BWSC30700</v>
          </cell>
          <cell r="B291" t="str">
            <v>BWSC</v>
          </cell>
          <cell r="C291">
            <v>700</v>
          </cell>
          <cell r="D291">
            <v>30</v>
          </cell>
          <cell r="E291">
            <v>4.5970000000000004E-3</v>
          </cell>
        </row>
        <row r="292">
          <cell r="A292" t="str">
            <v>BWSC30800</v>
          </cell>
          <cell r="B292" t="str">
            <v>BWSC</v>
          </cell>
          <cell r="C292">
            <v>800</v>
          </cell>
          <cell r="D292">
            <v>30</v>
          </cell>
          <cell r="E292">
            <v>3.408E-3</v>
          </cell>
        </row>
        <row r="293">
          <cell r="A293" t="str">
            <v>BWSC30900</v>
          </cell>
          <cell r="B293" t="str">
            <v>BWSC</v>
          </cell>
          <cell r="C293">
            <v>900</v>
          </cell>
          <cell r="D293">
            <v>30</v>
          </cell>
          <cell r="E293">
            <v>2.6519999999999998E-3</v>
          </cell>
        </row>
        <row r="294">
          <cell r="A294" t="str">
            <v>BWSC301000</v>
          </cell>
          <cell r="B294" t="str">
            <v>BWSC</v>
          </cell>
          <cell r="C294">
            <v>1000</v>
          </cell>
          <cell r="D294">
            <v>30</v>
          </cell>
          <cell r="E294">
            <v>2.0899999999999998E-3</v>
          </cell>
        </row>
        <row r="295">
          <cell r="A295" t="str">
            <v>GRP3350</v>
          </cell>
          <cell r="B295" t="str">
            <v>GRP</v>
          </cell>
          <cell r="C295">
            <v>350</v>
          </cell>
          <cell r="D295">
            <v>3</v>
          </cell>
          <cell r="E295">
            <v>1.0975652715298897E-2</v>
          </cell>
        </row>
        <row r="296">
          <cell r="A296" t="str">
            <v>GRP3400</v>
          </cell>
          <cell r="B296" t="str">
            <v>GRP</v>
          </cell>
          <cell r="C296">
            <v>400</v>
          </cell>
          <cell r="D296">
            <v>3</v>
          </cell>
          <cell r="E296">
            <v>7.9556725974866023E-3</v>
          </cell>
        </row>
        <row r="297">
          <cell r="A297" t="str">
            <v>GRP3450</v>
          </cell>
          <cell r="B297" t="str">
            <v>GRP</v>
          </cell>
          <cell r="C297">
            <v>450</v>
          </cell>
          <cell r="D297">
            <v>3</v>
          </cell>
          <cell r="E297">
            <v>5.9834184193067351E-3</v>
          </cell>
        </row>
        <row r="298">
          <cell r="A298" t="str">
            <v>GRP3500</v>
          </cell>
          <cell r="B298" t="str">
            <v>GRP</v>
          </cell>
          <cell r="C298">
            <v>500</v>
          </cell>
          <cell r="D298">
            <v>3</v>
          </cell>
          <cell r="E298">
            <v>4.7554642015215018E-3</v>
          </cell>
        </row>
        <row r="299">
          <cell r="A299" t="str">
            <v>GRP3600</v>
          </cell>
          <cell r="B299" t="str">
            <v>GRP</v>
          </cell>
          <cell r="C299">
            <v>600</v>
          </cell>
          <cell r="D299">
            <v>3</v>
          </cell>
          <cell r="E299">
            <v>3.203466906792339E-3</v>
          </cell>
        </row>
        <row r="300">
          <cell r="A300" t="str">
            <v>GRP3700</v>
          </cell>
          <cell r="B300" t="str">
            <v>GRP</v>
          </cell>
          <cell r="C300">
            <v>700</v>
          </cell>
          <cell r="D300">
            <v>3</v>
          </cell>
          <cell r="E300">
            <v>2.3459375981768698E-3</v>
          </cell>
        </row>
        <row r="301">
          <cell r="A301" t="str">
            <v>GRP3800</v>
          </cell>
          <cell r="B301" t="str">
            <v>GRP</v>
          </cell>
          <cell r="C301">
            <v>800</v>
          </cell>
          <cell r="D301">
            <v>3</v>
          </cell>
          <cell r="E301">
            <v>1.7603857144661225E-3</v>
          </cell>
        </row>
        <row r="302">
          <cell r="A302" t="str">
            <v>GRP3900</v>
          </cell>
          <cell r="B302" t="str">
            <v>GRP</v>
          </cell>
          <cell r="C302">
            <v>900</v>
          </cell>
          <cell r="D302">
            <v>3</v>
          </cell>
          <cell r="E302">
            <v>1.3683103950304948E-3</v>
          </cell>
        </row>
        <row r="303">
          <cell r="A303" t="str">
            <v>GRP31000</v>
          </cell>
          <cell r="B303" t="str">
            <v>GRP</v>
          </cell>
          <cell r="C303">
            <v>1000</v>
          </cell>
          <cell r="D303">
            <v>3</v>
          </cell>
          <cell r="E303">
            <v>1.0933236422011789E-3</v>
          </cell>
        </row>
        <row r="304">
          <cell r="A304" t="str">
            <v>GRP6350</v>
          </cell>
          <cell r="B304" t="str">
            <v>GRP</v>
          </cell>
          <cell r="C304">
            <v>350</v>
          </cell>
          <cell r="D304">
            <v>6</v>
          </cell>
          <cell r="E304">
            <v>1.0975652715298897E-2</v>
          </cell>
        </row>
        <row r="305">
          <cell r="A305" t="str">
            <v>GRP6400</v>
          </cell>
          <cell r="B305" t="str">
            <v>GRP</v>
          </cell>
          <cell r="C305">
            <v>400</v>
          </cell>
          <cell r="D305">
            <v>6</v>
          </cell>
          <cell r="E305">
            <v>7.9556725974866023E-3</v>
          </cell>
        </row>
        <row r="306">
          <cell r="A306" t="str">
            <v>GRP6450</v>
          </cell>
          <cell r="B306" t="str">
            <v>GRP</v>
          </cell>
          <cell r="C306">
            <v>450</v>
          </cell>
          <cell r="D306">
            <v>6</v>
          </cell>
          <cell r="E306">
            <v>5.9834184193067351E-3</v>
          </cell>
        </row>
        <row r="307">
          <cell r="A307" t="str">
            <v>GRP6500</v>
          </cell>
          <cell r="B307" t="str">
            <v>GRP</v>
          </cell>
          <cell r="C307">
            <v>500</v>
          </cell>
          <cell r="D307">
            <v>6</v>
          </cell>
          <cell r="E307">
            <v>4.7554642015215018E-3</v>
          </cell>
        </row>
        <row r="308">
          <cell r="A308" t="str">
            <v>GRP6600</v>
          </cell>
          <cell r="B308" t="str">
            <v>GRP</v>
          </cell>
          <cell r="C308">
            <v>600</v>
          </cell>
          <cell r="D308">
            <v>6</v>
          </cell>
          <cell r="E308">
            <v>3.203466906792339E-3</v>
          </cell>
        </row>
        <row r="309">
          <cell r="A309" t="str">
            <v>GRP6700</v>
          </cell>
          <cell r="B309" t="str">
            <v>GRP</v>
          </cell>
          <cell r="C309">
            <v>700</v>
          </cell>
          <cell r="D309">
            <v>6</v>
          </cell>
          <cell r="E309">
            <v>2.3459375981768698E-3</v>
          </cell>
        </row>
        <row r="310">
          <cell r="A310" t="str">
            <v>GRP6800</v>
          </cell>
          <cell r="B310" t="str">
            <v>GRP</v>
          </cell>
          <cell r="C310">
            <v>800</v>
          </cell>
          <cell r="D310">
            <v>6</v>
          </cell>
          <cell r="E310">
            <v>1.7603857144661225E-3</v>
          </cell>
        </row>
        <row r="311">
          <cell r="A311" t="str">
            <v>GRP6900</v>
          </cell>
          <cell r="B311" t="str">
            <v>GRP</v>
          </cell>
          <cell r="C311">
            <v>900</v>
          </cell>
          <cell r="D311">
            <v>6</v>
          </cell>
          <cell r="E311">
            <v>1.3683103950304948E-3</v>
          </cell>
        </row>
        <row r="312">
          <cell r="A312" t="str">
            <v>GRP61000</v>
          </cell>
          <cell r="B312" t="str">
            <v>GRP</v>
          </cell>
          <cell r="C312">
            <v>1000</v>
          </cell>
          <cell r="D312">
            <v>6</v>
          </cell>
          <cell r="E312">
            <v>1.0933236422011789E-3</v>
          </cell>
        </row>
        <row r="313">
          <cell r="A313" t="str">
            <v>GRP9350</v>
          </cell>
          <cell r="B313" t="str">
            <v>GRP</v>
          </cell>
          <cell r="C313">
            <v>350</v>
          </cell>
          <cell r="D313">
            <v>9</v>
          </cell>
          <cell r="E313">
            <v>1.0975652715298897E-2</v>
          </cell>
        </row>
        <row r="314">
          <cell r="A314" t="str">
            <v>GRP9400</v>
          </cell>
          <cell r="B314" t="str">
            <v>GRP</v>
          </cell>
          <cell r="C314">
            <v>400</v>
          </cell>
          <cell r="D314">
            <v>9</v>
          </cell>
          <cell r="E314">
            <v>7.9556725974866023E-3</v>
          </cell>
        </row>
        <row r="315">
          <cell r="A315" t="str">
            <v>GRP9450</v>
          </cell>
          <cell r="B315" t="str">
            <v>GRP</v>
          </cell>
          <cell r="C315">
            <v>450</v>
          </cell>
          <cell r="D315">
            <v>9</v>
          </cell>
          <cell r="E315">
            <v>5.9834184193067351E-3</v>
          </cell>
        </row>
        <row r="316">
          <cell r="A316" t="str">
            <v>GRP9500</v>
          </cell>
          <cell r="B316" t="str">
            <v>GRP</v>
          </cell>
          <cell r="C316">
            <v>500</v>
          </cell>
          <cell r="D316">
            <v>9</v>
          </cell>
          <cell r="E316">
            <v>4.7554642015215018E-3</v>
          </cell>
        </row>
        <row r="317">
          <cell r="A317" t="str">
            <v>GRP9600</v>
          </cell>
          <cell r="B317" t="str">
            <v>GRP</v>
          </cell>
          <cell r="C317">
            <v>600</v>
          </cell>
          <cell r="D317">
            <v>9</v>
          </cell>
          <cell r="E317">
            <v>3.203466906792339E-3</v>
          </cell>
        </row>
        <row r="318">
          <cell r="A318" t="str">
            <v>GRP9700</v>
          </cell>
          <cell r="B318" t="str">
            <v>GRP</v>
          </cell>
          <cell r="C318">
            <v>700</v>
          </cell>
          <cell r="D318">
            <v>9</v>
          </cell>
          <cell r="E318">
            <v>2.3459375981768698E-3</v>
          </cell>
        </row>
        <row r="319">
          <cell r="A319" t="str">
            <v>GRP9800</v>
          </cell>
          <cell r="B319" t="str">
            <v>GRP</v>
          </cell>
          <cell r="C319">
            <v>800</v>
          </cell>
          <cell r="D319">
            <v>9</v>
          </cell>
          <cell r="E319">
            <v>1.7603857144661225E-3</v>
          </cell>
        </row>
        <row r="320">
          <cell r="A320" t="str">
            <v>GRP9900</v>
          </cell>
          <cell r="B320" t="str">
            <v>GRP</v>
          </cell>
          <cell r="C320">
            <v>900</v>
          </cell>
          <cell r="D320">
            <v>9</v>
          </cell>
          <cell r="E320">
            <v>1.3683103950304948E-3</v>
          </cell>
        </row>
        <row r="321">
          <cell r="A321" t="str">
            <v>GRP91000</v>
          </cell>
          <cell r="B321" t="str">
            <v>GRP</v>
          </cell>
          <cell r="C321">
            <v>1000</v>
          </cell>
          <cell r="D321">
            <v>9</v>
          </cell>
          <cell r="E321">
            <v>1.0933236422011789E-3</v>
          </cell>
        </row>
        <row r="322">
          <cell r="A322" t="str">
            <v>GRP12350</v>
          </cell>
          <cell r="B322" t="str">
            <v>GRP</v>
          </cell>
          <cell r="C322">
            <v>350</v>
          </cell>
          <cell r="D322">
            <v>12</v>
          </cell>
          <cell r="E322">
            <v>1.0975652715298897E-2</v>
          </cell>
        </row>
        <row r="323">
          <cell r="A323" t="str">
            <v>GRP12400</v>
          </cell>
          <cell r="B323" t="str">
            <v>GRP</v>
          </cell>
          <cell r="C323">
            <v>400</v>
          </cell>
          <cell r="D323">
            <v>12</v>
          </cell>
          <cell r="E323">
            <v>7.9556725974866023E-3</v>
          </cell>
        </row>
        <row r="324">
          <cell r="A324" t="str">
            <v>GRP12450</v>
          </cell>
          <cell r="B324" t="str">
            <v>GRP</v>
          </cell>
          <cell r="C324">
            <v>450</v>
          </cell>
          <cell r="D324">
            <v>12</v>
          </cell>
          <cell r="E324">
            <v>5.9834184193067351E-3</v>
          </cell>
        </row>
        <row r="325">
          <cell r="A325" t="str">
            <v>GRP12500</v>
          </cell>
          <cell r="B325" t="str">
            <v>GRP</v>
          </cell>
          <cell r="C325">
            <v>500</v>
          </cell>
          <cell r="D325">
            <v>12</v>
          </cell>
          <cell r="E325">
            <v>4.7554642015215018E-3</v>
          </cell>
        </row>
        <row r="326">
          <cell r="A326" t="str">
            <v>GRP12600</v>
          </cell>
          <cell r="B326" t="str">
            <v>GRP</v>
          </cell>
          <cell r="C326">
            <v>600</v>
          </cell>
          <cell r="D326">
            <v>12</v>
          </cell>
          <cell r="E326">
            <v>3.203466906792339E-3</v>
          </cell>
        </row>
        <row r="327">
          <cell r="A327" t="str">
            <v>GRP12700</v>
          </cell>
          <cell r="B327" t="str">
            <v>GRP</v>
          </cell>
          <cell r="C327">
            <v>700</v>
          </cell>
          <cell r="D327">
            <v>12</v>
          </cell>
          <cell r="E327">
            <v>2.3459375981768698E-3</v>
          </cell>
        </row>
        <row r="328">
          <cell r="A328" t="str">
            <v>GRP12800</v>
          </cell>
          <cell r="B328" t="str">
            <v>GRP</v>
          </cell>
          <cell r="C328">
            <v>800</v>
          </cell>
          <cell r="D328">
            <v>12</v>
          </cell>
          <cell r="E328">
            <v>1.7603857144661225E-3</v>
          </cell>
        </row>
        <row r="329">
          <cell r="A329" t="str">
            <v>GRP12900</v>
          </cell>
          <cell r="B329" t="str">
            <v>GRP</v>
          </cell>
          <cell r="C329">
            <v>900</v>
          </cell>
          <cell r="D329">
            <v>12</v>
          </cell>
          <cell r="E329">
            <v>1.3683103950304948E-3</v>
          </cell>
        </row>
        <row r="330">
          <cell r="A330" t="str">
            <v>GRP121000</v>
          </cell>
          <cell r="B330" t="str">
            <v>GRP</v>
          </cell>
          <cell r="C330">
            <v>1000</v>
          </cell>
          <cell r="D330">
            <v>12</v>
          </cell>
          <cell r="E330">
            <v>1.0933236422011789E-3</v>
          </cell>
        </row>
        <row r="331">
          <cell r="A331" t="str">
            <v>GRP15350</v>
          </cell>
          <cell r="B331" t="str">
            <v>GRP</v>
          </cell>
          <cell r="C331">
            <v>350</v>
          </cell>
          <cell r="D331">
            <v>15</v>
          </cell>
          <cell r="E331">
            <v>1.0975652715298897E-2</v>
          </cell>
        </row>
        <row r="332">
          <cell r="A332" t="str">
            <v>GRP15400</v>
          </cell>
          <cell r="B332" t="str">
            <v>GRP</v>
          </cell>
          <cell r="C332">
            <v>400</v>
          </cell>
          <cell r="D332">
            <v>15</v>
          </cell>
          <cell r="E332">
            <v>7.9556725974866023E-3</v>
          </cell>
        </row>
        <row r="333">
          <cell r="A333" t="str">
            <v>GRP15450</v>
          </cell>
          <cell r="B333" t="str">
            <v>GRP</v>
          </cell>
          <cell r="C333">
            <v>450</v>
          </cell>
          <cell r="D333">
            <v>15</v>
          </cell>
          <cell r="E333">
            <v>5.9834184193067351E-3</v>
          </cell>
        </row>
        <row r="334">
          <cell r="A334" t="str">
            <v>GRP15500</v>
          </cell>
          <cell r="B334" t="str">
            <v>GRP</v>
          </cell>
          <cell r="C334">
            <v>500</v>
          </cell>
          <cell r="D334">
            <v>15</v>
          </cell>
          <cell r="E334">
            <v>4.7554642015215018E-3</v>
          </cell>
        </row>
        <row r="335">
          <cell r="A335" t="str">
            <v>GRP15600</v>
          </cell>
          <cell r="B335" t="str">
            <v>GRP</v>
          </cell>
          <cell r="C335">
            <v>600</v>
          </cell>
          <cell r="D335">
            <v>15</v>
          </cell>
          <cell r="E335">
            <v>3.203466906792339E-3</v>
          </cell>
        </row>
        <row r="336">
          <cell r="A336" t="str">
            <v>GRP15700</v>
          </cell>
          <cell r="B336" t="str">
            <v>GRP</v>
          </cell>
          <cell r="C336">
            <v>700</v>
          </cell>
          <cell r="D336">
            <v>15</v>
          </cell>
          <cell r="E336">
            <v>2.3459375981768698E-3</v>
          </cell>
        </row>
        <row r="337">
          <cell r="A337" t="str">
            <v>GRP15800</v>
          </cell>
          <cell r="B337" t="str">
            <v>GRP</v>
          </cell>
          <cell r="C337">
            <v>800</v>
          </cell>
          <cell r="D337">
            <v>15</v>
          </cell>
          <cell r="E337">
            <v>1.7603857144661225E-3</v>
          </cell>
        </row>
        <row r="338">
          <cell r="A338" t="str">
            <v>GRP15900</v>
          </cell>
          <cell r="B338" t="str">
            <v>GRP</v>
          </cell>
          <cell r="C338">
            <v>900</v>
          </cell>
          <cell r="D338">
            <v>15</v>
          </cell>
          <cell r="E338">
            <v>1.3683103950304948E-3</v>
          </cell>
        </row>
        <row r="339">
          <cell r="A339" t="str">
            <v>GRP151000</v>
          </cell>
          <cell r="B339" t="str">
            <v>GRP</v>
          </cell>
          <cell r="C339">
            <v>1000</v>
          </cell>
          <cell r="D339">
            <v>15</v>
          </cell>
          <cell r="E339">
            <v>1.0933236422011789E-3</v>
          </cell>
        </row>
        <row r="340">
          <cell r="A340" t="str">
            <v>MS580</v>
          </cell>
          <cell r="B340" t="str">
            <v>MS</v>
          </cell>
          <cell r="C340">
            <v>80</v>
          </cell>
          <cell r="D340">
            <v>5</v>
          </cell>
          <cell r="E340">
            <v>0.44763501953807294</v>
          </cell>
        </row>
        <row r="341">
          <cell r="A341" t="str">
            <v>MS5100</v>
          </cell>
          <cell r="B341" t="str">
            <v>MS</v>
          </cell>
          <cell r="C341">
            <v>100</v>
          </cell>
          <cell r="D341">
            <v>5</v>
          </cell>
          <cell r="E341">
            <v>0.28172911817464441</v>
          </cell>
        </row>
        <row r="342">
          <cell r="A342" t="str">
            <v>MS5125</v>
          </cell>
          <cell r="B342" t="str">
            <v>MS</v>
          </cell>
          <cell r="C342">
            <v>125</v>
          </cell>
          <cell r="D342">
            <v>5</v>
          </cell>
          <cell r="E342">
            <v>0.17670588008918739</v>
          </cell>
        </row>
        <row r="343">
          <cell r="A343" t="str">
            <v>MS5150</v>
          </cell>
          <cell r="B343" t="str">
            <v>MS</v>
          </cell>
          <cell r="C343">
            <v>150</v>
          </cell>
          <cell r="D343">
            <v>5</v>
          </cell>
          <cell r="E343">
            <v>0.1203559550870736</v>
          </cell>
        </row>
        <row r="344">
          <cell r="A344" t="str">
            <v>MS5200</v>
          </cell>
          <cell r="B344" t="str">
            <v>MS</v>
          </cell>
          <cell r="C344">
            <v>200</v>
          </cell>
          <cell r="D344">
            <v>5</v>
          </cell>
          <cell r="E344">
            <v>6.5263272230967728E-2</v>
          </cell>
        </row>
        <row r="345">
          <cell r="A345" t="str">
            <v>MS5250</v>
          </cell>
          <cell r="B345" t="str">
            <v>MS</v>
          </cell>
          <cell r="C345">
            <v>250</v>
          </cell>
          <cell r="D345">
            <v>5</v>
          </cell>
          <cell r="E345">
            <v>4.0365987618053101E-2</v>
          </cell>
        </row>
        <row r="346">
          <cell r="A346" t="str">
            <v>MS5300</v>
          </cell>
          <cell r="B346" t="str">
            <v>MS</v>
          </cell>
          <cell r="C346">
            <v>300</v>
          </cell>
          <cell r="D346">
            <v>5</v>
          </cell>
          <cell r="E346">
            <v>2.7149925384405988E-2</v>
          </cell>
        </row>
        <row r="347">
          <cell r="A347" t="str">
            <v>MS5350</v>
          </cell>
          <cell r="B347" t="str">
            <v>MS</v>
          </cell>
          <cell r="C347">
            <v>350</v>
          </cell>
          <cell r="D347">
            <v>5</v>
          </cell>
          <cell r="E347">
            <v>1.9356431019806542E-2</v>
          </cell>
        </row>
        <row r="348">
          <cell r="A348" t="str">
            <v>MS5400</v>
          </cell>
          <cell r="B348" t="str">
            <v>MS</v>
          </cell>
          <cell r="C348">
            <v>400</v>
          </cell>
          <cell r="D348">
            <v>5</v>
          </cell>
          <cell r="E348">
            <v>1.4405608178647762E-2</v>
          </cell>
        </row>
        <row r="349">
          <cell r="A349" t="str">
            <v>MS5450</v>
          </cell>
          <cell r="B349" t="str">
            <v>MS</v>
          </cell>
          <cell r="C349">
            <v>450</v>
          </cell>
          <cell r="D349">
            <v>5</v>
          </cell>
          <cell r="E349">
            <v>1.1080958002156163E-2</v>
          </cell>
        </row>
        <row r="350">
          <cell r="A350" t="str">
            <v>MS5500</v>
          </cell>
          <cell r="B350" t="str">
            <v>MS</v>
          </cell>
          <cell r="C350">
            <v>500</v>
          </cell>
          <cell r="D350">
            <v>5</v>
          </cell>
          <cell r="E350">
            <v>9.4564882682788183E-3</v>
          </cell>
        </row>
        <row r="351">
          <cell r="A351" t="str">
            <v>MS5600</v>
          </cell>
          <cell r="B351" t="str">
            <v>MS</v>
          </cell>
          <cell r="C351">
            <v>600</v>
          </cell>
          <cell r="D351">
            <v>5</v>
          </cell>
          <cell r="E351">
            <v>6.3122155140126306E-3</v>
          </cell>
        </row>
        <row r="352">
          <cell r="A352" t="str">
            <v>MS5700</v>
          </cell>
          <cell r="B352" t="str">
            <v>MS</v>
          </cell>
          <cell r="C352">
            <v>700</v>
          </cell>
          <cell r="D352">
            <v>5</v>
          </cell>
          <cell r="E352">
            <v>4.4705770867339263E-3</v>
          </cell>
        </row>
        <row r="353">
          <cell r="A353" t="str">
            <v>MS5800</v>
          </cell>
          <cell r="B353" t="str">
            <v>MS</v>
          </cell>
          <cell r="C353">
            <v>800</v>
          </cell>
          <cell r="D353">
            <v>5</v>
          </cell>
          <cell r="E353">
            <v>3.3078325681283466E-3</v>
          </cell>
        </row>
        <row r="354">
          <cell r="A354" t="str">
            <v>MS5900</v>
          </cell>
          <cell r="B354" t="str">
            <v>MS</v>
          </cell>
          <cell r="C354">
            <v>900</v>
          </cell>
          <cell r="D354">
            <v>5</v>
          </cell>
          <cell r="E354">
            <v>2.5313456378705372E-3</v>
          </cell>
        </row>
        <row r="355">
          <cell r="A355" t="str">
            <v>MS51000</v>
          </cell>
          <cell r="B355" t="str">
            <v>MS</v>
          </cell>
          <cell r="C355">
            <v>1000</v>
          </cell>
          <cell r="D355">
            <v>5</v>
          </cell>
          <cell r="E355">
            <v>1.9896854169279173E-3</v>
          </cell>
        </row>
        <row r="356">
          <cell r="A356" t="str">
            <v>MS680</v>
          </cell>
          <cell r="B356" t="str">
            <v>MS</v>
          </cell>
          <cell r="C356">
            <v>80</v>
          </cell>
          <cell r="D356">
            <v>6</v>
          </cell>
          <cell r="E356">
            <v>0.45280496521282065</v>
          </cell>
        </row>
        <row r="357">
          <cell r="A357" t="str">
            <v>MS6100</v>
          </cell>
          <cell r="B357" t="str">
            <v>MS</v>
          </cell>
          <cell r="C357">
            <v>100</v>
          </cell>
          <cell r="D357">
            <v>6</v>
          </cell>
          <cell r="E357">
            <v>0.28567677919814038</v>
          </cell>
        </row>
        <row r="358">
          <cell r="A358" t="str">
            <v>MS6125</v>
          </cell>
          <cell r="B358" t="str">
            <v>MS</v>
          </cell>
          <cell r="C358">
            <v>125</v>
          </cell>
          <cell r="D358">
            <v>6</v>
          </cell>
          <cell r="E358">
            <v>0.17969120716569961</v>
          </cell>
        </row>
        <row r="359">
          <cell r="A359" t="str">
            <v>MS6150</v>
          </cell>
          <cell r="B359" t="str">
            <v>MS</v>
          </cell>
          <cell r="C359">
            <v>150</v>
          </cell>
          <cell r="D359">
            <v>6</v>
          </cell>
          <cell r="E359">
            <v>0.12271241672860235</v>
          </cell>
        </row>
        <row r="360">
          <cell r="A360" t="str">
            <v>MS6200</v>
          </cell>
          <cell r="B360" t="str">
            <v>MS</v>
          </cell>
          <cell r="C360">
            <v>200</v>
          </cell>
          <cell r="D360">
            <v>6</v>
          </cell>
          <cell r="E360">
            <v>6.6857830461507978E-2</v>
          </cell>
        </row>
        <row r="361">
          <cell r="A361" t="str">
            <v>MS6250</v>
          </cell>
          <cell r="B361" t="str">
            <v>MS</v>
          </cell>
          <cell r="C361">
            <v>250</v>
          </cell>
          <cell r="D361">
            <v>6</v>
          </cell>
          <cell r="E361">
            <v>4.1524573044152947E-2</v>
          </cell>
        </row>
        <row r="362">
          <cell r="A362" t="str">
            <v>MS6300</v>
          </cell>
          <cell r="B362" t="str">
            <v>MS</v>
          </cell>
          <cell r="C362">
            <v>300</v>
          </cell>
          <cell r="D362">
            <v>6</v>
          </cell>
          <cell r="E362">
            <v>2.8031935845870212E-2</v>
          </cell>
        </row>
        <row r="363">
          <cell r="A363" t="str">
            <v>MS6350</v>
          </cell>
          <cell r="B363" t="str">
            <v>MS</v>
          </cell>
          <cell r="C363">
            <v>350</v>
          </cell>
          <cell r="D363">
            <v>6</v>
          </cell>
          <cell r="E363">
            <v>2.0050645445549766E-2</v>
          </cell>
        </row>
        <row r="364">
          <cell r="A364" t="str">
            <v>MS6400</v>
          </cell>
          <cell r="B364" t="str">
            <v>MS</v>
          </cell>
          <cell r="C364">
            <v>400</v>
          </cell>
          <cell r="D364">
            <v>6</v>
          </cell>
          <cell r="E364">
            <v>1.4965966472239189E-2</v>
          </cell>
        </row>
        <row r="365">
          <cell r="A365" t="str">
            <v>MS6450</v>
          </cell>
          <cell r="B365" t="str">
            <v>MS</v>
          </cell>
          <cell r="C365">
            <v>450</v>
          </cell>
          <cell r="D365">
            <v>6</v>
          </cell>
          <cell r="E365">
            <v>1.1542349824438186E-2</v>
          </cell>
        </row>
        <row r="366">
          <cell r="A366" t="str">
            <v>MS6500</v>
          </cell>
          <cell r="B366" t="str">
            <v>MS</v>
          </cell>
          <cell r="C366">
            <v>500</v>
          </cell>
          <cell r="D366">
            <v>6</v>
          </cell>
          <cell r="E366">
            <v>9.7083778722101138E-3</v>
          </cell>
        </row>
        <row r="367">
          <cell r="A367" t="str">
            <v>MS6600</v>
          </cell>
          <cell r="B367" t="str">
            <v>MS</v>
          </cell>
          <cell r="C367">
            <v>600</v>
          </cell>
          <cell r="D367">
            <v>6</v>
          </cell>
          <cell r="E367">
            <v>6.4994475496481961E-3</v>
          </cell>
        </row>
        <row r="368">
          <cell r="A368" t="str">
            <v>MS6700</v>
          </cell>
          <cell r="B368" t="str">
            <v>MS</v>
          </cell>
          <cell r="C368">
            <v>700</v>
          </cell>
          <cell r="D368">
            <v>6</v>
          </cell>
          <cell r="E368">
            <v>4.6148901820264763E-3</v>
          </cell>
        </row>
        <row r="369">
          <cell r="A369" t="str">
            <v>MS6800</v>
          </cell>
          <cell r="B369" t="str">
            <v>MS</v>
          </cell>
          <cell r="C369">
            <v>800</v>
          </cell>
          <cell r="D369">
            <v>6</v>
          </cell>
          <cell r="E369">
            <v>3.4221836778655233E-3</v>
          </cell>
        </row>
        <row r="370">
          <cell r="A370" t="str">
            <v>MS6900</v>
          </cell>
          <cell r="B370" t="str">
            <v>MS</v>
          </cell>
          <cell r="C370">
            <v>900</v>
          </cell>
          <cell r="D370">
            <v>6</v>
          </cell>
          <cell r="E370">
            <v>2.6239622511437747E-3</v>
          </cell>
        </row>
        <row r="371">
          <cell r="A371" t="str">
            <v>MS61000</v>
          </cell>
          <cell r="B371" t="str">
            <v>MS</v>
          </cell>
          <cell r="C371">
            <v>1000</v>
          </cell>
          <cell r="D371">
            <v>6</v>
          </cell>
          <cell r="E371">
            <v>2.0660503314271768E-3</v>
          </cell>
        </row>
        <row r="372">
          <cell r="A372" t="str">
            <v>MS880</v>
          </cell>
          <cell r="B372" t="str">
            <v>MS</v>
          </cell>
          <cell r="C372">
            <v>80</v>
          </cell>
          <cell r="D372">
            <v>8</v>
          </cell>
          <cell r="E372">
            <v>0.45952654229689427</v>
          </cell>
        </row>
        <row r="373">
          <cell r="A373" t="str">
            <v>MS8100</v>
          </cell>
          <cell r="B373" t="str">
            <v>MS</v>
          </cell>
          <cell r="C373">
            <v>100</v>
          </cell>
          <cell r="D373">
            <v>8</v>
          </cell>
          <cell r="E373">
            <v>0.29085291180687162</v>
          </cell>
        </row>
        <row r="374">
          <cell r="A374" t="str">
            <v>MS8125</v>
          </cell>
          <cell r="B374" t="str">
            <v>MS</v>
          </cell>
          <cell r="C374">
            <v>125</v>
          </cell>
          <cell r="D374">
            <v>8</v>
          </cell>
          <cell r="E374">
            <v>0.18364471503695795</v>
          </cell>
        </row>
        <row r="375">
          <cell r="A375" t="str">
            <v>MS8150</v>
          </cell>
          <cell r="B375" t="str">
            <v>MS</v>
          </cell>
          <cell r="C375">
            <v>150</v>
          </cell>
          <cell r="D375">
            <v>8</v>
          </cell>
          <cell r="E375">
            <v>0.1258623270250655</v>
          </cell>
        </row>
        <row r="376">
          <cell r="A376" t="str">
            <v>MS8200</v>
          </cell>
          <cell r="B376" t="str">
            <v>MS</v>
          </cell>
          <cell r="C376">
            <v>200</v>
          </cell>
          <cell r="D376">
            <v>8</v>
          </cell>
          <cell r="E376">
            <v>6.9025734409838821E-2</v>
          </cell>
        </row>
        <row r="377">
          <cell r="A377" t="str">
            <v>MS8250</v>
          </cell>
          <cell r="B377" t="str">
            <v>MS</v>
          </cell>
          <cell r="C377">
            <v>250</v>
          </cell>
          <cell r="D377">
            <v>8</v>
          </cell>
          <cell r="E377">
            <v>4.3123589856303622E-2</v>
          </cell>
        </row>
        <row r="378">
          <cell r="A378" t="str">
            <v>MS8300</v>
          </cell>
          <cell r="B378" t="str">
            <v>MS</v>
          </cell>
          <cell r="C378">
            <v>300</v>
          </cell>
          <cell r="D378">
            <v>8</v>
          </cell>
          <cell r="E378">
            <v>2.9265675129784442E-2</v>
          </cell>
        </row>
        <row r="379">
          <cell r="A379" t="str">
            <v>MS8350</v>
          </cell>
          <cell r="B379" t="str">
            <v>MS</v>
          </cell>
          <cell r="C379">
            <v>350</v>
          </cell>
          <cell r="D379">
            <v>8</v>
          </cell>
          <cell r="E379">
            <v>2.103346807607382E-2</v>
          </cell>
        </row>
        <row r="380">
          <cell r="A380" t="str">
            <v>MS8400</v>
          </cell>
          <cell r="B380" t="str">
            <v>MS</v>
          </cell>
          <cell r="C380">
            <v>400</v>
          </cell>
          <cell r="D380">
            <v>8</v>
          </cell>
          <cell r="E380">
            <v>1.5767963913301992E-2</v>
          </cell>
        </row>
        <row r="381">
          <cell r="A381" t="str">
            <v>MS8450</v>
          </cell>
          <cell r="B381" t="str">
            <v>MS</v>
          </cell>
          <cell r="C381">
            <v>450</v>
          </cell>
          <cell r="D381">
            <v>8</v>
          </cell>
          <cell r="E381">
            <v>1.2209259470661465E-2</v>
          </cell>
        </row>
        <row r="382">
          <cell r="A382" t="str">
            <v>MS8500</v>
          </cell>
          <cell r="B382" t="str">
            <v>MS</v>
          </cell>
          <cell r="C382">
            <v>500</v>
          </cell>
          <cell r="D382">
            <v>8</v>
          </cell>
          <cell r="E382">
            <v>1.0098140196823273E-2</v>
          </cell>
        </row>
        <row r="383">
          <cell r="A383" t="str">
            <v>MS8600</v>
          </cell>
          <cell r="B383" t="str">
            <v>MS</v>
          </cell>
          <cell r="C383">
            <v>600</v>
          </cell>
          <cell r="D383">
            <v>8</v>
          </cell>
          <cell r="E383">
            <v>6.7925117479099417E-3</v>
          </cell>
        </row>
        <row r="384">
          <cell r="A384" t="str">
            <v>MS8700</v>
          </cell>
          <cell r="B384" t="str">
            <v>MS</v>
          </cell>
          <cell r="C384">
            <v>700</v>
          </cell>
          <cell r="D384">
            <v>8</v>
          </cell>
          <cell r="E384">
            <v>4.8430482808344937E-3</v>
          </cell>
        </row>
        <row r="385">
          <cell r="A385" t="str">
            <v>MS8800</v>
          </cell>
          <cell r="B385" t="str">
            <v>MS</v>
          </cell>
          <cell r="C385">
            <v>800</v>
          </cell>
          <cell r="D385">
            <v>8</v>
          </cell>
          <cell r="E385">
            <v>3.6045692428866012E-3</v>
          </cell>
        </row>
        <row r="386">
          <cell r="A386" t="str">
            <v>MS8900</v>
          </cell>
          <cell r="B386" t="str">
            <v>MS</v>
          </cell>
          <cell r="C386">
            <v>900</v>
          </cell>
          <cell r="D386">
            <v>8</v>
          </cell>
          <cell r="E386">
            <v>2.7728373438349013E-3</v>
          </cell>
        </row>
        <row r="387">
          <cell r="A387" t="str">
            <v>MS81000</v>
          </cell>
          <cell r="B387" t="str">
            <v>MS</v>
          </cell>
          <cell r="C387">
            <v>1000</v>
          </cell>
          <cell r="D387">
            <v>8</v>
          </cell>
          <cell r="E387">
            <v>2.1896576690407276E-3</v>
          </cell>
        </row>
        <row r="388">
          <cell r="A388" t="str">
            <v>MS1080</v>
          </cell>
          <cell r="B388" t="str">
            <v>MS</v>
          </cell>
          <cell r="C388">
            <v>80</v>
          </cell>
          <cell r="D388">
            <v>10</v>
          </cell>
          <cell r="E388">
            <v>0.46370606964042055</v>
          </cell>
        </row>
        <row r="389">
          <cell r="A389" t="str">
            <v>MS10100</v>
          </cell>
          <cell r="B389" t="str">
            <v>MS</v>
          </cell>
          <cell r="C389">
            <v>100</v>
          </cell>
          <cell r="D389">
            <v>10</v>
          </cell>
          <cell r="E389">
            <v>0.29409698707001236</v>
          </cell>
        </row>
        <row r="390">
          <cell r="A390" t="str">
            <v>MS10125</v>
          </cell>
          <cell r="B390" t="str">
            <v>MS</v>
          </cell>
          <cell r="C390">
            <v>125</v>
          </cell>
          <cell r="D390">
            <v>10</v>
          </cell>
          <cell r="E390">
            <v>0.18614586355639784</v>
          </cell>
        </row>
        <row r="391">
          <cell r="A391" t="str">
            <v>MS10150</v>
          </cell>
          <cell r="B391" t="str">
            <v>MS</v>
          </cell>
          <cell r="C391">
            <v>150</v>
          </cell>
          <cell r="D391">
            <v>10</v>
          </cell>
          <cell r="E391">
            <v>0.12787283287045303</v>
          </cell>
        </row>
        <row r="392">
          <cell r="A392" t="str">
            <v>MS10200</v>
          </cell>
          <cell r="B392" t="str">
            <v>MS</v>
          </cell>
          <cell r="C392">
            <v>200</v>
          </cell>
          <cell r="D392">
            <v>10</v>
          </cell>
          <cell r="E392">
            <v>7.0432279543661103E-2</v>
          </cell>
        </row>
        <row r="393">
          <cell r="A393" t="str">
            <v>MS10250</v>
          </cell>
          <cell r="B393" t="str">
            <v>MS</v>
          </cell>
          <cell r="C393">
            <v>250</v>
          </cell>
          <cell r="D393">
            <v>10</v>
          </cell>
          <cell r="E393">
            <v>4.4176470022296847E-2</v>
          </cell>
        </row>
        <row r="394">
          <cell r="A394" t="str">
            <v>MS10300</v>
          </cell>
          <cell r="B394" t="str">
            <v>MS</v>
          </cell>
          <cell r="C394">
            <v>300</v>
          </cell>
          <cell r="D394">
            <v>10</v>
          </cell>
          <cell r="E394">
            <v>3.00889887717684E-2</v>
          </cell>
        </row>
        <row r="395">
          <cell r="A395" t="str">
            <v>MS10350</v>
          </cell>
          <cell r="B395" t="str">
            <v>MS</v>
          </cell>
          <cell r="C395">
            <v>350</v>
          </cell>
          <cell r="D395">
            <v>10</v>
          </cell>
          <cell r="E395">
            <v>2.1697389952903722E-2</v>
          </cell>
        </row>
        <row r="396">
          <cell r="A396" t="str">
            <v>MS10400</v>
          </cell>
          <cell r="B396" t="str">
            <v>MS</v>
          </cell>
          <cell r="C396">
            <v>400</v>
          </cell>
          <cell r="D396">
            <v>10</v>
          </cell>
          <cell r="E396">
            <v>1.6315818057741932E-2</v>
          </cell>
        </row>
        <row r="397">
          <cell r="A397" t="str">
            <v>MS10450</v>
          </cell>
          <cell r="B397" t="str">
            <v>MS</v>
          </cell>
          <cell r="C397">
            <v>450</v>
          </cell>
          <cell r="D397">
            <v>10</v>
          </cell>
          <cell r="E397">
            <v>1.2669531590855564E-2</v>
          </cell>
        </row>
        <row r="398">
          <cell r="A398" t="str">
            <v>MS10500</v>
          </cell>
          <cell r="B398" t="str">
            <v>MS</v>
          </cell>
          <cell r="C398">
            <v>500</v>
          </cell>
          <cell r="D398">
            <v>10</v>
          </cell>
          <cell r="E398">
            <v>1.0386167434530968E-2</v>
          </cell>
        </row>
        <row r="399">
          <cell r="A399" t="str">
            <v>MS10600</v>
          </cell>
          <cell r="B399" t="str">
            <v>MS</v>
          </cell>
          <cell r="C399">
            <v>600</v>
          </cell>
          <cell r="D399">
            <v>10</v>
          </cell>
          <cell r="E399">
            <v>7.0118303827614269E-3</v>
          </cell>
        </row>
        <row r="400">
          <cell r="A400" t="str">
            <v>MS10700</v>
          </cell>
          <cell r="B400" t="str">
            <v>MS</v>
          </cell>
          <cell r="C400">
            <v>700</v>
          </cell>
          <cell r="D400">
            <v>10</v>
          </cell>
          <cell r="E400">
            <v>5.0157040285272545E-3</v>
          </cell>
        </row>
        <row r="401">
          <cell r="A401" t="str">
            <v>MS10800</v>
          </cell>
          <cell r="B401" t="str">
            <v>MS</v>
          </cell>
          <cell r="C401">
            <v>800</v>
          </cell>
          <cell r="D401">
            <v>10</v>
          </cell>
          <cell r="E401">
            <v>3.7439586655367086E-3</v>
          </cell>
        </row>
        <row r="402">
          <cell r="A402" t="str">
            <v>MS10900</v>
          </cell>
          <cell r="B402" t="str">
            <v>MS</v>
          </cell>
          <cell r="C402">
            <v>900</v>
          </cell>
          <cell r="D402">
            <v>10</v>
          </cell>
          <cell r="E402">
            <v>2.8876270297607219E-3</v>
          </cell>
        </row>
        <row r="403">
          <cell r="A403" t="str">
            <v>MS101000</v>
          </cell>
          <cell r="B403" t="str">
            <v>MS</v>
          </cell>
          <cell r="C403">
            <v>1000</v>
          </cell>
          <cell r="D403">
            <v>10</v>
          </cell>
          <cell r="E403">
            <v>2.2857263916803332E-3</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pm40"/>
      <sheetName val="SRs"/>
      <sheetName val="SRs-Rev"/>
      <sheetName val="PM 70"/>
      <sheetName val="GM 70"/>
      <sheetName val="PM estimate"/>
      <sheetName val="PM 40rev  (2)"/>
      <sheetName val="data"/>
      <sheetName val="PM 40rev "/>
      <sheetName val="GM estimate"/>
      <sheetName val="GM 40 OHs AC (2)"/>
      <sheetName val="GM 40 OHs AC"/>
      <sheetName val="GM 40 OHs"/>
      <sheetName val="GM 40 "/>
      <sheetName val="detls"/>
      <sheetName val="pm pipes"/>
      <sheetName val="gm pipes"/>
      <sheetName val="altr"/>
      <sheetName val="0000000000000"/>
      <sheetName val="GM 40  (AC) (2)"/>
      <sheetName val="GM 40  (AC)"/>
      <sheetName val="PM (2)"/>
      <sheetName val="PM"/>
      <sheetName val="population"/>
      <sheetName val="POP "/>
      <sheetName val="HYD STA M"/>
      <sheetName val="PVC_dia"/>
      <sheetName val="pm-est (NEW)"/>
      <sheetName val="hyd "/>
      <sheetName val="maint est"/>
      <sheetName val="pm-est (2)"/>
      <sheetName val="GM-est"/>
      <sheetName val="pm-est"/>
      <sheetName val="OHSR GOT"/>
      <sheetName val="Sheet3"/>
      <sheetName val="Original"/>
      <sheetName val="proposal"/>
      <sheetName val="proforma"/>
      <sheetName val="1000000000000"/>
      <sheetName val="2000000000000"/>
      <sheetName val="3000000000000"/>
      <sheetName val="4000000000000"/>
      <sheetName val="5000000000000"/>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Sheet1"/>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SSR"/>
      <sheetName val="Hydraulic design"/>
      <sheetName val="cw 110kl"/>
      <sheetName val="sp dis"/>
      <sheetName val="Det-sp dis"/>
      <sheetName val="PH 6x4"/>
      <sheetName val="WMqrts"/>
      <sheetName val="road"/>
      <sheetName val="lead_data"/>
      <sheetName val="cWALLS"/>
      <sheetName val="diff steel qty"/>
      <sheetName val="Pmest-2"/>
      <sheetName val="PMest-1"/>
      <sheetName val="ABSTRACT"/>
      <sheetName val="GMest2"/>
      <sheetName val="GMest phase1"/>
      <sheetName val="GMest"/>
      <sheetName val="grp"/>
      <sheetName val="psc"/>
      <sheetName val="HDPE"/>
      <sheetName val="pvc"/>
      <sheetName val="CI"/>
      <sheetName val="DI"/>
      <sheetName val="ewelj "/>
      <sheetName val="EW,L &amp;J_pipes"/>
      <sheetName val="DI_on pedestals"/>
      <sheetName val="HDPE sluice valve"/>
      <sheetName val="PVC sluice val)"/>
      <sheetName val="Scour all"/>
      <sheetName val="PVC Air valves"/>
      <sheetName val="valves"/>
      <sheetName val="Valve Chambers"/>
      <sheetName val="O&amp;M"/>
      <sheetName val="annualmai "/>
      <sheetName val="Sheet1 (2)"/>
      <sheetName val="HYDRAULIC SSTATEMENT"/>
      <sheetName val="WATER-HAMMER"/>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hdpe_basic"/>
      <sheetName val="pvc_basic"/>
      <sheetName val="t_prsr"/>
      <sheetName val="wh"/>
      <sheetName val="mcon pm"/>
      <sheetName val="RMR"/>
      <sheetName val="v"/>
      <sheetName val="r"/>
      <sheetName val="GA"/>
      <sheetName val="PH 6x"/>
      <sheetName val="Labour"/>
      <sheetName val="sand"/>
      <sheetName val="stone"/>
      <sheetName val="index"/>
      <sheetName val="pvc-pipe-rates"/>
      <sheetName val="Sheet2"/>
      <sheetName val="l"/>
      <sheetName val="Lead"/>
      <sheetName val="Material"/>
      <sheetName val="Plant &amp;  Machinery"/>
      <sheetName val="Road data"/>
      <sheetName val="data existing_do not delete"/>
      <sheetName val="m"/>
      <sheetName val="sch"/>
      <sheetName val="Data.F8.BTR"/>
      <sheetName val="Global factors"/>
      <sheetName val="mcon_pm"/>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1"/>
      <sheetName val="R_Det"/>
      <sheetName val="m1"/>
      <sheetName val="Levels"/>
      <sheetName val="ESTIMATE"/>
      <sheetName val="ssr-rates"/>
      <sheetName val="Data_"/>
      <sheetName val="Main sheet"/>
      <sheetName val="Nspt-smp-final-ORIGINAL"/>
      <sheetName val="other rates"/>
      <sheetName val="PM_705"/>
      <sheetName val="GM_705"/>
      <sheetName val="PM_estimate5"/>
      <sheetName val="PM_40rev__(2)5"/>
      <sheetName val="PM_40rev_5"/>
      <sheetName val="GM_estimate5"/>
      <sheetName val="GM_40_OHs_AC_(2)5"/>
      <sheetName val="GM_40_OHs_AC5"/>
      <sheetName val="GM_40_OHs5"/>
      <sheetName val="GM_40_5"/>
      <sheetName val="pm_pipes5"/>
      <sheetName val="gm_pipes5"/>
      <sheetName val="GM_40__(AC)_(2)5"/>
      <sheetName val="GM_40__(AC)5"/>
      <sheetName val="PM_(2)5"/>
      <sheetName val="POP_5"/>
      <sheetName val="HYD_STA_M5"/>
      <sheetName val="pm-est_(NEW)5"/>
      <sheetName val="hyd_5"/>
      <sheetName val="maint_est5"/>
      <sheetName val="pm-est_(2)5"/>
      <sheetName val="OHSR_GOT5"/>
      <sheetName val="econ_pm5"/>
      <sheetName val="Infiltration_well_(2)5"/>
      <sheetName val="F_slip5"/>
      <sheetName val="General__AB5"/>
      <sheetName val="OHSR_10KL_6_305"/>
      <sheetName val="OHSR10_kl11_55"/>
      <sheetName val="OHSR20kl6_35"/>
      <sheetName val="OHSR15_kl_6_35"/>
      <sheetName val="OHSR20KL8_35"/>
      <sheetName val="OHSR_40_9_455"/>
      <sheetName val="OHSR60_9_455"/>
      <sheetName val="OHBR40-det_est5"/>
      <sheetName val="Hydraulic_design5"/>
      <sheetName val="cw_110kl5"/>
      <sheetName val="sp_dis5"/>
      <sheetName val="Det-sp_dis5"/>
      <sheetName val="PH_6x45"/>
      <sheetName val="diff_steel_qty5"/>
      <sheetName val="GMest_phase15"/>
      <sheetName val="ewelj_5"/>
      <sheetName val="EW,L_&amp;J_pipes5"/>
      <sheetName val="DI_on_pedestals5"/>
      <sheetName val="HDPE_sluice_valve5"/>
      <sheetName val="PVC_sluice_val)5"/>
      <sheetName val="Scour_all5"/>
      <sheetName val="PVC_Air_valves5"/>
      <sheetName val="Valve_Chambers5"/>
      <sheetName val="annualmai_5"/>
      <sheetName val="Sheet1_(2)5"/>
      <sheetName val="HYDRAULIC_SSTATEMENT5"/>
      <sheetName val="mcon_pm5"/>
      <sheetName val="PH_6x2"/>
      <sheetName val="Plant_&amp;__Machinery2"/>
      <sheetName val="Road_data2"/>
      <sheetName val="data_existing_do_not_delete2"/>
      <sheetName val="Data_F8_BTR2"/>
      <sheetName val="Global_factors2"/>
      <sheetName val="PM_703"/>
      <sheetName val="GM_703"/>
      <sheetName val="PM_estimate3"/>
      <sheetName val="PM_40rev__(2)3"/>
      <sheetName val="PM_40rev_3"/>
      <sheetName val="GM_estimate3"/>
      <sheetName val="GM_40_OHs_AC_(2)3"/>
      <sheetName val="GM_40_OHs_AC3"/>
      <sheetName val="GM_40_OHs3"/>
      <sheetName val="GM_40_3"/>
      <sheetName val="pm_pipes3"/>
      <sheetName val="gm_pipes3"/>
      <sheetName val="GM_40__(AC)_(2)3"/>
      <sheetName val="GM_40__(AC)3"/>
      <sheetName val="PM_(2)3"/>
      <sheetName val="POP_3"/>
      <sheetName val="HYD_STA_M3"/>
      <sheetName val="pm-est_(NEW)3"/>
      <sheetName val="hyd_3"/>
      <sheetName val="maint_est3"/>
      <sheetName val="pm-est_(2)3"/>
      <sheetName val="OHSR_GOT3"/>
      <sheetName val="econ_pm3"/>
      <sheetName val="Infiltration_well_(2)3"/>
      <sheetName val="F_slip3"/>
      <sheetName val="General__AB3"/>
      <sheetName val="OHSR_10KL_6_303"/>
      <sheetName val="OHSR10_kl11_53"/>
      <sheetName val="OHSR20kl6_33"/>
      <sheetName val="OHSR15_kl_6_33"/>
      <sheetName val="OHSR20KL8_33"/>
      <sheetName val="OHSR_40_9_453"/>
      <sheetName val="OHSR60_9_453"/>
      <sheetName val="OHBR40-det_est3"/>
      <sheetName val="Hydraulic_design3"/>
      <sheetName val="cw_110kl3"/>
      <sheetName val="sp_dis3"/>
      <sheetName val="Det-sp_dis3"/>
      <sheetName val="PH_6x43"/>
      <sheetName val="diff_steel_qty3"/>
      <sheetName val="GMest_phase13"/>
      <sheetName val="ewelj_3"/>
      <sheetName val="EW,L_&amp;J_pipes3"/>
      <sheetName val="DI_on_pedestals3"/>
      <sheetName val="HDPE_sluice_valve3"/>
      <sheetName val="PVC_sluice_val)3"/>
      <sheetName val="Scour_all3"/>
      <sheetName val="PVC_Air_valves3"/>
      <sheetName val="Valve_Chambers3"/>
      <sheetName val="annualmai_3"/>
      <sheetName val="Sheet1_(2)3"/>
      <sheetName val="HYDRAULIC_SSTATEMENT3"/>
      <sheetName val="mcon_pm3"/>
      <sheetName val="PM_702"/>
      <sheetName val="GM_702"/>
      <sheetName val="PM_estimate2"/>
      <sheetName val="PM_40rev__(2)2"/>
      <sheetName val="PM_40rev_2"/>
      <sheetName val="GM_estimate2"/>
      <sheetName val="GM_40_OHs_AC_(2)2"/>
      <sheetName val="GM_40_OHs_AC2"/>
      <sheetName val="GM_40_OHs2"/>
      <sheetName val="GM_40_2"/>
      <sheetName val="pm_pipes2"/>
      <sheetName val="gm_pipes2"/>
      <sheetName val="GM_40__(AC)_(2)2"/>
      <sheetName val="GM_40__(AC)2"/>
      <sheetName val="PM_(2)2"/>
      <sheetName val="POP_2"/>
      <sheetName val="HYD_STA_M2"/>
      <sheetName val="pm-est_(NEW)2"/>
      <sheetName val="hyd_2"/>
      <sheetName val="maint_est2"/>
      <sheetName val="pm-est_(2)2"/>
      <sheetName val="OHSR_GOT2"/>
      <sheetName val="econ_pm2"/>
      <sheetName val="Infiltration_well_(2)2"/>
      <sheetName val="F_slip2"/>
      <sheetName val="General__AB2"/>
      <sheetName val="OHSR_10KL_6_302"/>
      <sheetName val="OHSR10_kl11_52"/>
      <sheetName val="OHSR20kl6_32"/>
      <sheetName val="OHSR15_kl_6_32"/>
      <sheetName val="OHSR20KL8_32"/>
      <sheetName val="OHSR_40_9_452"/>
      <sheetName val="OHSR60_9_452"/>
      <sheetName val="OHBR40-det_est2"/>
      <sheetName val="Hydraulic_design2"/>
      <sheetName val="cw_110kl2"/>
      <sheetName val="sp_dis2"/>
      <sheetName val="Det-sp_dis2"/>
      <sheetName val="PH_6x42"/>
      <sheetName val="diff_steel_qty2"/>
      <sheetName val="GMest_phase12"/>
      <sheetName val="ewelj_2"/>
      <sheetName val="EW,L_&amp;J_pipes2"/>
      <sheetName val="DI_on_pedestals2"/>
      <sheetName val="HDPE_sluice_valve2"/>
      <sheetName val="PVC_sluice_val)2"/>
      <sheetName val="Scour_all2"/>
      <sheetName val="PVC_Air_valves2"/>
      <sheetName val="Valve_Chambers2"/>
      <sheetName val="annualmai_2"/>
      <sheetName val="Sheet1_(2)2"/>
      <sheetName val="HYDRAULIC_SSTATEMENT2"/>
      <sheetName val="mcon_pm2"/>
      <sheetName val="PH_6x"/>
      <sheetName val="Plant_&amp;__Machinery"/>
      <sheetName val="Road_data"/>
      <sheetName val="data_existing_do_not_delete"/>
      <sheetName val="Data_F8_BTR"/>
      <sheetName val="Global_factors"/>
      <sheetName val="PM_704"/>
      <sheetName val="GM_704"/>
      <sheetName val="PM_estimate4"/>
      <sheetName val="PM_40rev__(2)4"/>
      <sheetName val="PM_40rev_4"/>
      <sheetName val="GM_estimate4"/>
      <sheetName val="GM_40_OHs_AC_(2)4"/>
      <sheetName val="GM_40_OHs_AC4"/>
      <sheetName val="GM_40_OHs4"/>
      <sheetName val="GM_40_4"/>
      <sheetName val="pm_pipes4"/>
      <sheetName val="gm_pipes4"/>
      <sheetName val="GM_40__(AC)_(2)4"/>
      <sheetName val="GM_40__(AC)4"/>
      <sheetName val="PM_(2)4"/>
      <sheetName val="POP_4"/>
      <sheetName val="HYD_STA_M4"/>
      <sheetName val="pm-est_(NEW)4"/>
      <sheetName val="hyd_4"/>
      <sheetName val="maint_est4"/>
      <sheetName val="pm-est_(2)4"/>
      <sheetName val="OHSR_GOT4"/>
      <sheetName val="econ_pm4"/>
      <sheetName val="Infiltration_well_(2)4"/>
      <sheetName val="F_slip4"/>
      <sheetName val="General__AB4"/>
      <sheetName val="OHSR_10KL_6_304"/>
      <sheetName val="OHSR10_kl11_54"/>
      <sheetName val="OHSR20kl6_34"/>
      <sheetName val="OHSR15_kl_6_34"/>
      <sheetName val="OHSR20KL8_34"/>
      <sheetName val="OHSR_40_9_454"/>
      <sheetName val="OHSR60_9_454"/>
      <sheetName val="OHBR40-det_est4"/>
      <sheetName val="Hydraulic_design4"/>
      <sheetName val="cw_110kl4"/>
      <sheetName val="sp_dis4"/>
      <sheetName val="Det-sp_dis4"/>
      <sheetName val="PH_6x44"/>
      <sheetName val="diff_steel_qty4"/>
      <sheetName val="GMest_phase14"/>
      <sheetName val="ewelj_4"/>
      <sheetName val="EW,L_&amp;J_pipes4"/>
      <sheetName val="DI_on_pedestals4"/>
      <sheetName val="HDPE_sluice_valve4"/>
      <sheetName val="PVC_sluice_val)4"/>
      <sheetName val="Scour_all4"/>
      <sheetName val="PVC_Air_valves4"/>
      <sheetName val="Valve_Chambers4"/>
      <sheetName val="annualmai_4"/>
      <sheetName val="Sheet1_(2)4"/>
      <sheetName val="HYDRAULIC_SSTATEMENT4"/>
      <sheetName val="mcon_pm4"/>
      <sheetName val="PH_6x1"/>
      <sheetName val="Plant_&amp;__Machinery1"/>
      <sheetName val="Road_data1"/>
      <sheetName val="data_existing_do_not_delete1"/>
      <sheetName val="Data_F8_BTR1"/>
      <sheetName val="Global_factors1"/>
      <sheetName val="Iocount"/>
      <sheetName val="Lead statement"/>
      <sheetName val="Data o"/>
      <sheetName val="PRICE BID"/>
      <sheetName val="CLEAR OVER FALL DROP"/>
      <sheetName val="DISCHARGE"/>
      <sheetName val="LEAD-c"/>
      <sheetName val="other rates-C"/>
      <sheetName val="int-Dia-pvc"/>
      <sheetName val="bASICDATA"/>
      <sheetName val="Data-Road "/>
      <sheetName val="DATA-CD "/>
      <sheetName val="id"/>
      <sheetName val="LEAD (2)"/>
      <sheetName val="leads"/>
      <sheetName val="RATES"/>
      <sheetName val="MRATES"/>
      <sheetName val="sp di"/>
      <sheetName val="EDWise"/>
      <sheetName val="PVC weights"/>
      <sheetName val="JAWAHAR-hyd-original"/>
      <sheetName val="mas_hab"/>
      <sheetName val="sp dip"/>
      <sheetName val="hdpe weights"/>
      <sheetName val="CD Data"/>
      <sheetName val="Bitumen trunk"/>
      <sheetName val="Feeder"/>
      <sheetName val="R99 etc"/>
      <sheetName val="Trunk unpaved"/>
      <sheetName val="General"/>
      <sheetName val="Conveyance"/>
      <sheetName val="TELs"/>
      <sheetName val=" data sheet "/>
      <sheetName val="DATA_PRG"/>
      <sheetName val="economic PM"/>
      <sheetName val="Sheet9"/>
      <sheetName val="AUTDATA"/>
      <sheetName val="DATA SHEET"/>
      <sheetName val="Cul_detail"/>
      <sheetName val="Measurment"/>
      <sheetName val="MPR_PA_1"/>
      <sheetName val="KGP.hyd rev GLBR"/>
      <sheetName val="Valves workable"/>
      <sheetName val="Rates_PVC"/>
      <sheetName val="Rate"/>
      <sheetName val="coverpage"/>
      <sheetName val="PM&amp;GM"/>
      <sheetName val="input"/>
      <sheetName val="Leads Entry"/>
      <sheetName val="Gen Abs"/>
      <sheetName val="Road Detail Est."/>
      <sheetName val="Title"/>
      <sheetName val="Note"/>
      <sheetName val="Input &amp; Calculations"/>
      <sheetName val="Design"/>
      <sheetName val="REL"/>
      <sheetName val="RA-markate"/>
      <sheetName val="prs"/>
      <sheetName val="Schdl"/>
      <sheetName val="Longitudinal"/>
      <sheetName val="Data_Base"/>
      <sheetName val="OPD-Civil"/>
      <sheetName val="Mortars"/>
      <sheetName val="Coversheet"/>
      <sheetName val="segments-details"/>
      <sheetName val="Boq"/>
      <sheetName val="Lead statement ss5"/>
      <sheetName val="int-Dia-hdpe"/>
      <sheetName val="habs-list"/>
      <sheetName val="SUMP1420KL@HW"/>
      <sheetName val="sp_dip"/>
      <sheetName val="hdpe_weights"/>
      <sheetName val="other_rates"/>
      <sheetName val="Habcodes"/>
      <sheetName val="Sheet5"/>
      <sheetName val="int-Dia"/>
      <sheetName val="Usage"/>
      <sheetName val="Common "/>
      <sheetName val="PRELIM5"/>
      <sheetName val="wh_data_R"/>
      <sheetName val="abs road"/>
      <sheetName val="Work_sheet"/>
      <sheetName val="BM-HOOP"/>
      <sheetName val="Detailed"/>
      <sheetName val="hdpe-int-Dia"/>
      <sheetName val="E-Table"/>
      <sheetName val="pvc-int-Dia"/>
      <sheetName val="water-hammar-strenght"/>
      <sheetName val="mlead"/>
      <sheetName val="BWSCPlt"/>
      <sheetName val="G.R.P"/>
      <sheetName val="PSC REVISED"/>
      <sheetName val="Staff Acco."/>
      <sheetName val="AV-HDPE"/>
      <sheetName val="Di_gate-HDPE"/>
      <sheetName val="rdamdata"/>
      <sheetName val="Gnl_Abstrct"/>
      <sheetName val="WORK DONE"/>
      <sheetName val="sectorwise"/>
      <sheetName val="p&amp;m"/>
      <sheetName val="Boq - Flats"/>
      <sheetName val="BTR"/>
      <sheetName val="CPHEEO"/>
      <sheetName val="wh_data"/>
      <sheetName val="hdpe-rates"/>
      <sheetName val="pvc-rates"/>
      <sheetName val="lead-st"/>
      <sheetName val="AV-PVC"/>
      <sheetName val="DIgate_PVC "/>
      <sheetName val="DI gate-DI"/>
      <sheetName val="HDPE-pipe-rates"/>
      <sheetName val="Bill_amt_qty_cc_1"/>
      <sheetName val="ws-abs"/>
      <sheetName val="HS 1"/>
      <sheetName val="Lead  RATES"/>
      <sheetName val="quarry"/>
      <sheetName val="Gravity Main-Jukkal"/>
      <sheetName val="HS final-2"/>
      <sheetName val="co_5"/>
      <sheetName val="Hydraulic Design (Pipe)"/>
      <sheetName val="LEAD S 10-11"/>
      <sheetName val="Mp-team 1"/>
      <sheetName val="capacity-ohsrs"/>
      <sheetName val="PH Sanctioned"/>
      <sheetName val="7.Ben reg"/>
      <sheetName val="ew OG machine manual"/>
      <sheetName val="PVC mac"/>
      <sheetName val="Basic Rates"/>
      <sheetName val="Revised rates(SSR 2021-22)"/>
      <sheetName val="ew OG total manual"/>
      <sheetName val="Chap3-StromDrnDsn"/>
      <sheetName val="AV-DI"/>
      <sheetName val="scour-DI-CI"/>
      <sheetName val="scour-pvc-hdpe-psc-bwsc"/>
      <sheetName val="OverviewBarmer"/>
      <sheetName val="Project Management Main"/>
      <sheetName val="GF SB Ok "/>
      <sheetName val="Labour &amp; Plant"/>
      <sheetName val="BASE_ALL"/>
      <sheetName val="SLAB DESIGN"/>
      <sheetName val="EST"/>
      <sheetName val="Rising Main"/>
      <sheetName val="HYDRAULICS"/>
      <sheetName val="Below_Earth"/>
      <sheetName val="REVENUES &amp; BS"/>
      <sheetName val="ABUT MASTER"/>
      <sheetName val="Stability Abutment"/>
      <sheetName val="03-HYDRAULIC"/>
      <sheetName val="KEOLARI"/>
      <sheetName val="BREAKUP OF OIL"/>
      <sheetName val="Cover sheet"/>
      <sheetName val="Cs"/>
      <sheetName val="CPIPE"/>
      <sheetName val="THK"/>
      <sheetName val="CPIPE 1"/>
      <sheetName val="Cd"/>
      <sheetName val="Lead (Final)"/>
      <sheetName val="Field Values"/>
      <sheetName val="S By pass estimate"/>
      <sheetName val="Line (2)"/>
      <sheetName val="elec-data"/>
      <sheetName val="loadcal"/>
      <sheetName val="Rd.Det.Est"/>
      <sheetName val="C.D.Data (Morth)"/>
      <sheetName val="Rd.Data"/>
      <sheetName val="maya"/>
      <sheetName val="In Put"/>
      <sheetName val="ew OG"/>
      <sheetName val="Revised rates(SSR 2019-20)"/>
      <sheetName val="GUNTUR"/>
      <sheetName val="List (2)"/>
      <sheetName val="Discom Details"/>
      <sheetName val="dist dump"/>
      <sheetName val="dump"/>
      <sheetName val="MO EY"/>
      <sheetName val="MO CY"/>
      <sheetName val="PUMP_DATA"/>
      <sheetName val="1-Pop Proj"/>
      <sheetName val="Prjt"/>
      <sheetName val="TABLES"/>
      <sheetName val="labour &amp; Centering"/>
      <sheetName val="Abs"/>
      <sheetName val="Z1_DATA"/>
      <sheetName val="MHNO_LEV"/>
      <sheetName val="temp-SDData (2)"/>
      <sheetName val="ewst"/>
      <sheetName val="MRoad data"/>
      <sheetName val="Rates-May-14"/>
      <sheetName val="INPUT SHEET"/>
      <sheetName val="RES-PLANNING"/>
      <sheetName val="Macro1"/>
      <sheetName val="Material "/>
      <sheetName val="Data base"/>
      <sheetName val="Av.G Level"/>
      <sheetName val="Sheet11"/>
      <sheetName val=" datas"/>
      <sheetName val="Design of two-way slab"/>
      <sheetName val="Rectangular Beam"/>
      <sheetName val="bldg"/>
      <sheetName val="FIRST"/>
      <sheetName val="Activity No (A) ( 12)  "/>
      <sheetName val="NALA-LS"/>
      <sheetName val="X-BOX HYD"/>
      <sheetName val="X-TRAIL PIT DETAILS"/>
      <sheetName val="X-BLOCK LEVELS"/>
      <sheetName val="MACRO-BACK UP"/>
      <sheetName val="Side walls (earth)"/>
      <sheetName val="FORM7"/>
      <sheetName val="boredetails"/>
      <sheetName val="Newabstract"/>
      <sheetName val="ww-march-02"/>
      <sheetName val="DATA-BASE"/>
      <sheetName val="DATA-ABSTRACT"/>
      <sheetName val="bundq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6">
          <cell r="A26">
            <v>63</v>
          </cell>
          <cell r="B26">
            <v>0</v>
          </cell>
          <cell r="C26">
            <v>1.9</v>
          </cell>
          <cell r="D26">
            <v>2.7</v>
          </cell>
          <cell r="E26">
            <v>4.0999999999999996</v>
          </cell>
          <cell r="F26">
            <v>0</v>
          </cell>
          <cell r="G26">
            <v>0</v>
          </cell>
          <cell r="H26">
            <v>59.2</v>
          </cell>
          <cell r="I26">
            <v>57.6</v>
          </cell>
          <cell r="J26">
            <v>0</v>
          </cell>
          <cell r="K26">
            <v>54.8</v>
          </cell>
          <cell r="L26">
            <v>0</v>
          </cell>
          <cell r="M26">
            <v>0.18543008999999999</v>
          </cell>
          <cell r="N26">
            <v>0.23433302</v>
          </cell>
          <cell r="O26">
            <v>0.32104532000000002</v>
          </cell>
        </row>
        <row r="27">
          <cell r="A27">
            <v>75</v>
          </cell>
          <cell r="B27">
            <v>0</v>
          </cell>
          <cell r="C27">
            <v>2.2000000000000002</v>
          </cell>
          <cell r="D27">
            <v>3.1</v>
          </cell>
          <cell r="E27">
            <v>4.9000000000000004</v>
          </cell>
          <cell r="F27">
            <v>0</v>
          </cell>
          <cell r="G27">
            <v>0</v>
          </cell>
          <cell r="H27">
            <v>70.599999999999994</v>
          </cell>
          <cell r="I27">
            <v>68.8</v>
          </cell>
          <cell r="J27">
            <v>0</v>
          </cell>
          <cell r="K27">
            <v>65.2</v>
          </cell>
          <cell r="L27">
            <v>0</v>
          </cell>
          <cell r="M27">
            <v>0.12855473000000001</v>
          </cell>
          <cell r="N27">
            <v>0.16123288999999999</v>
          </cell>
          <cell r="O27">
            <v>0.22725295000000001</v>
          </cell>
        </row>
        <row r="28">
          <cell r="A28">
            <v>90</v>
          </cell>
          <cell r="B28">
            <v>0</v>
          </cell>
          <cell r="C28">
            <v>2.6</v>
          </cell>
          <cell r="D28">
            <v>3.7</v>
          </cell>
          <cell r="E28">
            <v>5.7</v>
          </cell>
          <cell r="F28">
            <v>0</v>
          </cell>
          <cell r="G28">
            <v>0</v>
          </cell>
          <cell r="H28">
            <v>84.8</v>
          </cell>
          <cell r="I28">
            <v>82.6</v>
          </cell>
          <cell r="J28">
            <v>0</v>
          </cell>
          <cell r="K28">
            <v>78.599999999999994</v>
          </cell>
          <cell r="L28">
            <v>0</v>
          </cell>
          <cell r="M28">
            <v>8.8417140000000005E-2</v>
          </cell>
          <cell r="N28">
            <v>0.11155078</v>
          </cell>
          <cell r="O28">
            <v>0.15387228999999999</v>
          </cell>
        </row>
        <row r="29">
          <cell r="A29">
            <v>110</v>
          </cell>
          <cell r="B29">
            <v>0</v>
          </cell>
          <cell r="C29">
            <v>3</v>
          </cell>
          <cell r="D29">
            <v>4.3</v>
          </cell>
          <cell r="E29">
            <v>7.1</v>
          </cell>
          <cell r="F29">
            <v>0</v>
          </cell>
          <cell r="G29">
            <v>0</v>
          </cell>
          <cell r="H29">
            <v>104</v>
          </cell>
          <cell r="I29">
            <v>101.4</v>
          </cell>
          <cell r="J29">
            <v>0</v>
          </cell>
          <cell r="K29">
            <v>95.8</v>
          </cell>
          <cell r="L29">
            <v>0</v>
          </cell>
          <cell r="M29">
            <v>5.7090519999999999E-2</v>
          </cell>
          <cell r="N29">
            <v>7.2138649999999999E-2</v>
          </cell>
          <cell r="O29">
            <v>0.10460234</v>
          </cell>
        </row>
        <row r="30">
          <cell r="A30">
            <v>125</v>
          </cell>
          <cell r="B30">
            <v>0</v>
          </cell>
          <cell r="C30">
            <v>3.4</v>
          </cell>
          <cell r="D30">
            <v>5</v>
          </cell>
          <cell r="E30">
            <v>8</v>
          </cell>
          <cell r="F30">
            <v>0</v>
          </cell>
          <cell r="G30">
            <v>0</v>
          </cell>
          <cell r="H30">
            <v>118.2</v>
          </cell>
          <cell r="I30">
            <v>115</v>
          </cell>
          <cell r="J30">
            <v>0</v>
          </cell>
          <cell r="K30">
            <v>109</v>
          </cell>
          <cell r="L30">
            <v>0</v>
          </cell>
          <cell r="M30">
            <v>4.4137429999999998E-2</v>
          </cell>
          <cell r="N30">
            <v>5.6748119999999999E-2</v>
          </cell>
          <cell r="O30">
            <v>8.0446829999999997E-2</v>
          </cell>
        </row>
        <row r="31">
          <cell r="A31">
            <v>140</v>
          </cell>
          <cell r="B31">
            <v>0</v>
          </cell>
          <cell r="C31">
            <v>3.8</v>
          </cell>
          <cell r="D31">
            <v>5.5</v>
          </cell>
          <cell r="E31">
            <v>8.9</v>
          </cell>
          <cell r="F31">
            <v>0</v>
          </cell>
          <cell r="G31">
            <v>0</v>
          </cell>
          <cell r="H31">
            <v>132.4</v>
          </cell>
          <cell r="I31">
            <v>129</v>
          </cell>
          <cell r="J31">
            <v>0</v>
          </cell>
          <cell r="K31">
            <v>122.2</v>
          </cell>
          <cell r="L31">
            <v>0</v>
          </cell>
          <cell r="M31">
            <v>3.5140060000000001E-2</v>
          </cell>
          <cell r="N31">
            <v>4.4685620000000002E-2</v>
          </cell>
          <cell r="O31">
            <v>6.3783359999999997E-2</v>
          </cell>
        </row>
        <row r="32">
          <cell r="A32">
            <v>160</v>
          </cell>
          <cell r="B32">
            <v>0</v>
          </cell>
          <cell r="C32">
            <v>4.3</v>
          </cell>
          <cell r="D32">
            <v>6.2</v>
          </cell>
          <cell r="E32">
            <v>10.199999999999999</v>
          </cell>
          <cell r="F32">
            <v>0</v>
          </cell>
          <cell r="G32">
            <v>0</v>
          </cell>
          <cell r="H32">
            <v>151.4</v>
          </cell>
          <cell r="I32">
            <v>147.6</v>
          </cell>
          <cell r="J32">
            <v>0</v>
          </cell>
          <cell r="K32">
            <v>139.6</v>
          </cell>
          <cell r="L32">
            <v>0</v>
          </cell>
          <cell r="M32">
            <v>2.6738720000000001E-2</v>
          </cell>
          <cell r="N32">
            <v>3.389437E-2</v>
          </cell>
          <cell r="O32">
            <v>4.8945219999999998E-2</v>
          </cell>
        </row>
        <row r="33">
          <cell r="A33">
            <v>180</v>
          </cell>
          <cell r="B33">
            <v>0</v>
          </cell>
          <cell r="C33">
            <v>4.9000000000000004</v>
          </cell>
          <cell r="D33">
            <v>7.1</v>
          </cell>
          <cell r="E33">
            <v>11.4</v>
          </cell>
          <cell r="F33">
            <v>0</v>
          </cell>
          <cell r="G33">
            <v>0</v>
          </cell>
          <cell r="H33">
            <v>170.2</v>
          </cell>
          <cell r="I33">
            <v>165.8</v>
          </cell>
          <cell r="J33">
            <v>0</v>
          </cell>
          <cell r="K33">
            <v>157.19999999999999</v>
          </cell>
          <cell r="L33">
            <v>0</v>
          </cell>
          <cell r="M33">
            <v>2.1296240000000001E-2</v>
          </cell>
          <cell r="N33">
            <v>2.7106479999999999E-2</v>
          </cell>
          <cell r="O33">
            <v>3.846807E-2</v>
          </cell>
        </row>
        <row r="34">
          <cell r="A34">
            <v>200</v>
          </cell>
          <cell r="B34">
            <v>0</v>
          </cell>
          <cell r="C34">
            <v>5.3</v>
          </cell>
          <cell r="D34">
            <v>7.9</v>
          </cell>
          <cell r="E34">
            <v>12.7</v>
          </cell>
          <cell r="F34">
            <v>0</v>
          </cell>
          <cell r="G34">
            <v>0</v>
          </cell>
          <cell r="H34">
            <v>189.4</v>
          </cell>
          <cell r="I34">
            <v>184.2</v>
          </cell>
          <cell r="J34">
            <v>0</v>
          </cell>
          <cell r="K34">
            <v>174.6</v>
          </cell>
          <cell r="L34">
            <v>0</v>
          </cell>
          <cell r="M34">
            <v>1.696429E-2</v>
          </cell>
          <cell r="N34">
            <v>2.197735E-2</v>
          </cell>
          <cell r="O34">
            <v>3.1225429999999998E-2</v>
          </cell>
        </row>
        <row r="35">
          <cell r="A35">
            <v>225</v>
          </cell>
          <cell r="B35">
            <v>0</v>
          </cell>
          <cell r="C35">
            <v>6</v>
          </cell>
          <cell r="D35">
            <v>8.6</v>
          </cell>
          <cell r="E35">
            <v>14.3</v>
          </cell>
          <cell r="F35">
            <v>0</v>
          </cell>
          <cell r="G35">
            <v>0</v>
          </cell>
          <cell r="H35">
            <v>213</v>
          </cell>
          <cell r="I35">
            <v>207.8</v>
          </cell>
          <cell r="J35">
            <v>0</v>
          </cell>
          <cell r="K35">
            <v>196.4</v>
          </cell>
          <cell r="L35">
            <v>0</v>
          </cell>
          <cell r="M35">
            <v>1.3456060000000001E-2</v>
          </cell>
          <cell r="N35">
            <v>1.6981139999999999E-2</v>
          </cell>
          <cell r="O35">
            <v>2.4689409999999998E-2</v>
          </cell>
        </row>
        <row r="36">
          <cell r="A36">
            <v>250</v>
          </cell>
          <cell r="B36">
            <v>0</v>
          </cell>
          <cell r="C36">
            <v>6.5</v>
          </cell>
          <cell r="D36">
            <v>9.8000000000000007</v>
          </cell>
          <cell r="E36">
            <v>15.9</v>
          </cell>
          <cell r="F36">
            <v>0</v>
          </cell>
          <cell r="G36">
            <v>0</v>
          </cell>
          <cell r="H36">
            <v>237</v>
          </cell>
          <cell r="I36">
            <v>230.4</v>
          </cell>
          <cell r="J36">
            <v>0</v>
          </cell>
          <cell r="K36">
            <v>218.2</v>
          </cell>
          <cell r="L36">
            <v>0</v>
          </cell>
          <cell r="M36">
            <v>1.073005E-2</v>
          </cell>
          <cell r="N36">
            <v>1.3992569999999999E-2</v>
          </cell>
          <cell r="O36">
            <v>2.0009740000000002E-2</v>
          </cell>
        </row>
        <row r="37">
          <cell r="A37">
            <v>280</v>
          </cell>
          <cell r="B37">
            <v>0</v>
          </cell>
          <cell r="C37">
            <v>7.4</v>
          </cell>
          <cell r="D37">
            <v>11</v>
          </cell>
          <cell r="E37">
            <v>17.8</v>
          </cell>
          <cell r="F37">
            <v>0</v>
          </cell>
          <cell r="G37">
            <v>0</v>
          </cell>
          <cell r="H37">
            <v>265.2</v>
          </cell>
          <cell r="I37">
            <v>258</v>
          </cell>
          <cell r="J37">
            <v>0</v>
          </cell>
          <cell r="K37">
            <v>244.4</v>
          </cell>
          <cell r="L37">
            <v>0</v>
          </cell>
          <cell r="M37">
            <v>8.6408000000000006E-3</v>
          </cell>
          <cell r="N37">
            <v>1.11714E-2</v>
          </cell>
          <cell r="O37">
            <v>1.5945839999999999E-2</v>
          </cell>
        </row>
        <row r="38">
          <cell r="A38">
            <v>315</v>
          </cell>
          <cell r="B38">
            <v>0</v>
          </cell>
          <cell r="C38">
            <v>8.3000000000000007</v>
          </cell>
          <cell r="D38">
            <v>12.4</v>
          </cell>
          <cell r="E38">
            <v>19.899999999999999</v>
          </cell>
          <cell r="F38">
            <v>0</v>
          </cell>
          <cell r="G38">
            <v>0</v>
          </cell>
          <cell r="H38">
            <v>298.39999999999998</v>
          </cell>
          <cell r="I38">
            <v>290.2</v>
          </cell>
          <cell r="J38">
            <v>0</v>
          </cell>
          <cell r="K38">
            <v>275.2</v>
          </cell>
          <cell r="L38">
            <v>0</v>
          </cell>
          <cell r="M38">
            <v>6.8145999999999997E-3</v>
          </cell>
          <cell r="N38">
            <v>8.83894E-3</v>
          </cell>
          <cell r="O38">
            <v>1.2535569999999999E-2</v>
          </cell>
        </row>
      </sheetData>
      <sheetData sheetId="16" refreshError="1"/>
      <sheetData sheetId="17" refreshError="1"/>
      <sheetData sheetId="18" refreshError="1"/>
      <sheetData sheetId="19" refreshError="1"/>
      <sheetData sheetId="20">
        <row r="26">
          <cell r="A26">
            <v>18</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ow r="26">
          <cell r="A26">
            <v>18</v>
          </cell>
        </row>
      </sheetData>
      <sheetData sheetId="193">
        <row r="26">
          <cell r="A26">
            <v>18</v>
          </cell>
        </row>
      </sheetData>
      <sheetData sheetId="194">
        <row r="26">
          <cell r="A26">
            <v>18</v>
          </cell>
        </row>
      </sheetData>
      <sheetData sheetId="195">
        <row r="26">
          <cell r="A26">
            <v>18</v>
          </cell>
        </row>
      </sheetData>
      <sheetData sheetId="196">
        <row r="26">
          <cell r="A26">
            <v>18</v>
          </cell>
        </row>
      </sheetData>
      <sheetData sheetId="197">
        <row r="26">
          <cell r="A26">
            <v>18</v>
          </cell>
        </row>
      </sheetData>
      <sheetData sheetId="198">
        <row r="26">
          <cell r="A26">
            <v>18</v>
          </cell>
        </row>
      </sheetData>
      <sheetData sheetId="199">
        <row r="26">
          <cell r="A26">
            <v>18</v>
          </cell>
        </row>
      </sheetData>
      <sheetData sheetId="200">
        <row r="26">
          <cell r="A26">
            <v>18</v>
          </cell>
        </row>
      </sheetData>
      <sheetData sheetId="201">
        <row r="26">
          <cell r="A26">
            <v>18</v>
          </cell>
        </row>
      </sheetData>
      <sheetData sheetId="202">
        <row r="26">
          <cell r="A26">
            <v>18</v>
          </cell>
        </row>
      </sheetData>
      <sheetData sheetId="203">
        <row r="26">
          <cell r="A26">
            <v>18</v>
          </cell>
        </row>
      </sheetData>
      <sheetData sheetId="204">
        <row r="26">
          <cell r="A26">
            <v>18</v>
          </cell>
        </row>
      </sheetData>
      <sheetData sheetId="205">
        <row r="26">
          <cell r="A26">
            <v>18</v>
          </cell>
        </row>
      </sheetData>
      <sheetData sheetId="206">
        <row r="26">
          <cell r="A26">
            <v>18</v>
          </cell>
        </row>
      </sheetData>
      <sheetData sheetId="207">
        <row r="26">
          <cell r="A26">
            <v>18</v>
          </cell>
        </row>
      </sheetData>
      <sheetData sheetId="208">
        <row r="26">
          <cell r="A26">
            <v>18</v>
          </cell>
        </row>
      </sheetData>
      <sheetData sheetId="209">
        <row r="26">
          <cell r="A26">
            <v>18</v>
          </cell>
        </row>
      </sheetData>
      <sheetData sheetId="210">
        <row r="26">
          <cell r="A26">
            <v>18</v>
          </cell>
        </row>
      </sheetData>
      <sheetData sheetId="211">
        <row r="26">
          <cell r="A26">
            <v>18</v>
          </cell>
        </row>
      </sheetData>
      <sheetData sheetId="212">
        <row r="26">
          <cell r="A26">
            <v>18</v>
          </cell>
        </row>
      </sheetData>
      <sheetData sheetId="213">
        <row r="26">
          <cell r="A26">
            <v>18</v>
          </cell>
        </row>
      </sheetData>
      <sheetData sheetId="214">
        <row r="26">
          <cell r="A26">
            <v>18</v>
          </cell>
        </row>
      </sheetData>
      <sheetData sheetId="215">
        <row r="26">
          <cell r="A26">
            <v>18</v>
          </cell>
        </row>
      </sheetData>
      <sheetData sheetId="216">
        <row r="26">
          <cell r="A26">
            <v>18</v>
          </cell>
        </row>
      </sheetData>
      <sheetData sheetId="217">
        <row r="26">
          <cell r="A26">
            <v>18</v>
          </cell>
        </row>
      </sheetData>
      <sheetData sheetId="218">
        <row r="26">
          <cell r="A26">
            <v>18</v>
          </cell>
        </row>
      </sheetData>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ow r="26">
          <cell r="A26">
            <v>18</v>
          </cell>
        </row>
      </sheetData>
      <sheetData sheetId="257"/>
      <sheetData sheetId="258">
        <row r="26">
          <cell r="A26">
            <v>18</v>
          </cell>
        </row>
      </sheetData>
      <sheetData sheetId="259">
        <row r="26">
          <cell r="A26">
            <v>18</v>
          </cell>
        </row>
      </sheetData>
      <sheetData sheetId="260"/>
      <sheetData sheetId="261"/>
      <sheetData sheetId="262"/>
      <sheetData sheetId="263">
        <row r="26">
          <cell r="A26">
            <v>18</v>
          </cell>
        </row>
      </sheetData>
      <sheetData sheetId="264">
        <row r="26">
          <cell r="A26">
            <v>18</v>
          </cell>
        </row>
      </sheetData>
      <sheetData sheetId="265">
        <row r="26">
          <cell r="A26">
            <v>18</v>
          </cell>
        </row>
      </sheetData>
      <sheetData sheetId="266">
        <row r="26">
          <cell r="A26">
            <v>18</v>
          </cell>
        </row>
      </sheetData>
      <sheetData sheetId="267">
        <row r="26">
          <cell r="A26">
            <v>18</v>
          </cell>
        </row>
      </sheetData>
      <sheetData sheetId="268">
        <row r="26">
          <cell r="A26">
            <v>18</v>
          </cell>
        </row>
      </sheetData>
      <sheetData sheetId="269">
        <row r="26">
          <cell r="A26">
            <v>18</v>
          </cell>
        </row>
      </sheetData>
      <sheetData sheetId="270">
        <row r="26">
          <cell r="A26">
            <v>18</v>
          </cell>
        </row>
      </sheetData>
      <sheetData sheetId="271">
        <row r="26">
          <cell r="A26">
            <v>18</v>
          </cell>
        </row>
      </sheetData>
      <sheetData sheetId="272">
        <row r="26">
          <cell r="A26">
            <v>18</v>
          </cell>
        </row>
      </sheetData>
      <sheetData sheetId="273">
        <row r="26">
          <cell r="A26">
            <v>18</v>
          </cell>
        </row>
      </sheetData>
      <sheetData sheetId="274"/>
      <sheetData sheetId="275">
        <row r="26">
          <cell r="A26">
            <v>18</v>
          </cell>
        </row>
      </sheetData>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row r="26">
          <cell r="A26">
            <v>18</v>
          </cell>
        </row>
      </sheetData>
      <sheetData sheetId="335"/>
      <sheetData sheetId="336">
        <row r="26">
          <cell r="A26">
            <v>18</v>
          </cell>
        </row>
      </sheetData>
      <sheetData sheetId="337">
        <row r="26">
          <cell r="A26">
            <v>18</v>
          </cell>
        </row>
      </sheetData>
      <sheetData sheetId="338">
        <row r="26">
          <cell r="A26">
            <v>18</v>
          </cell>
        </row>
      </sheetData>
      <sheetData sheetId="339">
        <row r="26">
          <cell r="A26">
            <v>18</v>
          </cell>
        </row>
      </sheetData>
      <sheetData sheetId="340">
        <row r="26">
          <cell r="A26">
            <v>18</v>
          </cell>
        </row>
      </sheetData>
      <sheetData sheetId="341">
        <row r="26">
          <cell r="A26">
            <v>18</v>
          </cell>
        </row>
      </sheetData>
      <sheetData sheetId="342">
        <row r="26">
          <cell r="A26">
            <v>18</v>
          </cell>
        </row>
      </sheetData>
      <sheetData sheetId="343">
        <row r="26">
          <cell r="A26">
            <v>18</v>
          </cell>
        </row>
      </sheetData>
      <sheetData sheetId="344">
        <row r="26">
          <cell r="A26">
            <v>18</v>
          </cell>
        </row>
      </sheetData>
      <sheetData sheetId="345">
        <row r="26">
          <cell r="A26">
            <v>18</v>
          </cell>
        </row>
      </sheetData>
      <sheetData sheetId="346">
        <row r="26">
          <cell r="A26">
            <v>18</v>
          </cell>
        </row>
      </sheetData>
      <sheetData sheetId="347">
        <row r="26">
          <cell r="A26">
            <v>18</v>
          </cell>
        </row>
      </sheetData>
      <sheetData sheetId="348">
        <row r="26">
          <cell r="A26">
            <v>18</v>
          </cell>
        </row>
      </sheetData>
      <sheetData sheetId="349">
        <row r="26">
          <cell r="A26">
            <v>18</v>
          </cell>
        </row>
      </sheetData>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refreshError="1"/>
      <sheetData sheetId="481" refreshError="1"/>
      <sheetData sheetId="482" refreshError="1"/>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int-Dia-pvc"/>
      <sheetName val="detls"/>
      <sheetName val="t_prsr"/>
      <sheetName val="DATA"/>
      <sheetName val="data-WC"/>
      <sheetName val="wh"/>
      <sheetName val="Lead"/>
      <sheetName val="R_Det"/>
      <sheetName val="maya"/>
      <sheetName val="PVC weights"/>
      <sheetName val="m"/>
      <sheetName val="leads"/>
      <sheetName val="RATES"/>
      <sheetName val="PVC_dia"/>
      <sheetName val="Leads Entry"/>
      <sheetName val="sand"/>
      <sheetName val="stone"/>
      <sheetName val="index"/>
      <sheetName val="BTR (2)"/>
      <sheetName val="Road data"/>
      <sheetName val="MTC-estimate"/>
      <sheetName val="Bitumen trunk"/>
      <sheetName val="Feeder"/>
      <sheetName val="R99 etc"/>
      <sheetName val="Trunk unpaved"/>
      <sheetName val="Road Detail Est."/>
      <sheetName val="pvc-rates"/>
      <sheetName val="Lead statement ss5"/>
      <sheetName val="v"/>
      <sheetName val="lead-st"/>
      <sheetName val="Data.F8.BTR"/>
      <sheetName val="rdamdata"/>
      <sheetName val="Specification"/>
      <sheetName val="Plant _  Machinery"/>
      <sheetName val="wordsdata"/>
      <sheetName val="C-data"/>
      <sheetName val="r"/>
      <sheetName val="Line"/>
      <sheetName val="RateAnalysis"/>
      <sheetName val="MRATES"/>
      <sheetName val="segments-details"/>
      <sheetName val="int-Dia-hdpe"/>
      <sheetName val="habs-list"/>
      <sheetName val="Sheet3"/>
      <sheetName val="WATER-HAMMER"/>
      <sheetName val="General"/>
      <sheetName val="LEAD S 10-11"/>
      <sheetName val="CD Data"/>
      <sheetName val="l"/>
      <sheetName val="Levels"/>
      <sheetName val="abs road"/>
      <sheetName val="Data_Base"/>
      <sheetName val="pvc-pipe-rates"/>
      <sheetName val="0000000000000"/>
      <sheetName val="RMR"/>
      <sheetName val="Main sheet"/>
      <sheetName val="MRoad data"/>
      <sheetName val="LEAD STATEMENT"/>
      <sheetName val="DATA SHEET"/>
      <sheetName val="Sheet5"/>
      <sheetName val="ssr-rates"/>
      <sheetName val="PWH"/>
      <sheetName val="quarry"/>
      <sheetName val="other rates"/>
      <sheetName val="GA"/>
      <sheetName val="DATA_PRG"/>
      <sheetName val="pvc_basic"/>
      <sheetName val="pvc"/>
      <sheetName val="Estt"/>
      <sheetName val="LEAD (2)"/>
      <sheetName val="Iocount"/>
      <sheetName val="ID"/>
      <sheetName val="bar bending"/>
      <sheetName val="HDPE"/>
      <sheetName val="coverpage"/>
      <sheetName val="Ward areas"/>
      <sheetName val="DI"/>
      <sheetName val="HDPE-pipe-rates"/>
      <sheetName val="hdpe weights"/>
      <sheetName val="THK"/>
      <sheetName val="PRELIM5"/>
      <sheetName val="wh_data_R"/>
      <sheetName val="data existing_do not delete"/>
      <sheetName val="Zi-co"/>
      <sheetName val="head loss calc"/>
      <sheetName val="Conveyance"/>
      <sheetName val="Usage"/>
      <sheetName val="Common "/>
      <sheetName val="SSR 2014-15 Rates"/>
      <sheetName val="Det Est"/>
      <sheetName val="Sheet9"/>
      <sheetName val="hdpe-rates"/>
      <sheetName val="water-hammar-strenght"/>
      <sheetName val="joinery data"/>
      <sheetName val="hdpe_basic"/>
    </sheetNames>
    <sheetDataSet>
      <sheetData sheetId="0" refreshError="1"/>
      <sheetData sheetId="1" refreshError="1"/>
      <sheetData sheetId="2" refreshError="1">
        <row r="9">
          <cell r="G9" t="str">
            <v>Input Rate</v>
          </cell>
        </row>
        <row r="27">
          <cell r="G27" t="str">
            <v>Input Rate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Plant &amp;  Machinery"/>
      <sheetName val="detls"/>
      <sheetName val="Line"/>
      <sheetName val="R_Det"/>
      <sheetName val="abs road"/>
      <sheetName val="int-Dia-pvc"/>
      <sheetName val="Levels"/>
      <sheetName val="Road data"/>
      <sheetName val="Data"/>
      <sheetName val="Data_Base"/>
      <sheetName val="Material"/>
      <sheetName val="other rates"/>
      <sheetName val="Data Road Rev"/>
      <sheetName val="maya"/>
      <sheetName val="RATES"/>
      <sheetName val="DISCHARGE"/>
      <sheetName val="m"/>
      <sheetName val="PVC weights"/>
      <sheetName val="index"/>
      <sheetName val="Road Detail Est."/>
      <sheetName val="C.D.Abs.Est."/>
      <sheetName val="Title"/>
      <sheetName val="Usage"/>
      <sheetName val="PVC_dia"/>
      <sheetName val="Nspt-smp-final-ORIGINAL"/>
      <sheetName val="r"/>
      <sheetName val="l"/>
      <sheetName val="pvc-pipe-rates"/>
      <sheetName val="v"/>
      <sheetName val="Specification"/>
      <sheetName val="t_prsr"/>
      <sheetName val="wh"/>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design"/>
      <sheetName val="Lead"/>
      <sheetName val="Data"/>
      <sheetName val="est "/>
      <sheetName val="Levels"/>
      <sheetName val="Road data"/>
      <sheetName val=" data sheet "/>
      <sheetName val="LEAD STATEMENT"/>
      <sheetName val="detls"/>
      <sheetName val="pvc-pipe-rates"/>
      <sheetName val="DATA SHEET"/>
      <sheetName val="Labour"/>
      <sheetName val="Material"/>
      <sheetName val="Plant &amp;  Machinery"/>
      <sheetName val="Quarry"/>
      <sheetName val="Road Detail Est."/>
      <sheetName val="2A_2008_09_ABST_GENSCST"/>
      <sheetName val="v"/>
      <sheetName val="r"/>
      <sheetName val="Plant 㫨  Machinery"/>
      <sheetName val="CLEAR OVER FALL DROP"/>
      <sheetName val="TELs"/>
      <sheetName val="leads"/>
      <sheetName val="m"/>
      <sheetName val="WATER-HAMMER"/>
      <sheetName val="lead-st"/>
      <sheetName val="Data_Base"/>
      <sheetName val="mas_hab"/>
      <sheetName val="other rates"/>
      <sheetName val="Sheet1"/>
      <sheetName val="Input"/>
      <sheetName val="ssr-rates"/>
      <sheetName val="C-data"/>
      <sheetName val="pop"/>
      <sheetName val="t_prsr"/>
      <sheetName val="wh"/>
      <sheetName val="PVC weights"/>
      <sheetName val="MRATES"/>
      <sheetName val="INTIAL_RATES"/>
      <sheetName val="bldg"/>
      <sheetName val="RMR"/>
      <sheetName val="BTR (2)"/>
      <sheetName val="Line"/>
      <sheetName val="est_"/>
      <sheetName val="Road_data"/>
      <sheetName val="Plant_&amp;__Machinery"/>
      <sheetName val="_data_sheet_"/>
      <sheetName val="LEAD_STATEMENT"/>
      <sheetName val="est_1"/>
      <sheetName val="Road_data1"/>
      <sheetName val="Plant_&amp;__Machinery1"/>
      <sheetName val="_data_sheet_1"/>
      <sheetName val="LEAD_STATEMENT1"/>
      <sheetName val="LEAD-c"/>
      <sheetName val="other rates-C"/>
      <sheetName val="int-Dia-pvc"/>
      <sheetName val="sand"/>
      <sheetName val="stone"/>
      <sheetName val="index"/>
      <sheetName val="Rates"/>
      <sheetName val=" DATA SHEET"/>
      <sheetName val="sectorwise"/>
      <sheetName val="data existing_do not delete"/>
      <sheetName val="Boq"/>
      <sheetName val="coverpage"/>
      <sheetName val="C.D.Data (Morth)"/>
      <sheetName val="bASICDATA"/>
      <sheetName val="PVC_dia"/>
      <sheetName val="data-WC"/>
      <sheetName val="LEAD S 10-11"/>
      <sheetName val="R_Det"/>
      <sheetName val="M30"/>
      <sheetName val="Miscellaneous"/>
      <sheetName val="Road_All"/>
      <sheetName val="Summary_Slab_Karbook"/>
      <sheetName val="HDPE"/>
      <sheetName val="DI"/>
      <sheetName val="pvc"/>
      <sheetName val="Nspt-smp-final-ORIGINAL"/>
      <sheetName val="CD Data"/>
      <sheetName val="ws-abs"/>
      <sheetName val="Bitumen trunk"/>
      <sheetName val="Feeder"/>
      <sheetName val="R99 etc"/>
      <sheetName val="Trunk unpaved"/>
      <sheetName val="SLAB  DATA"/>
      <sheetName val="2"/>
      <sheetName val="3"/>
      <sheetName val="4"/>
      <sheetName val="6"/>
      <sheetName val="6A"/>
      <sheetName val="7"/>
      <sheetName val="pvc-rates"/>
      <sheetName val="Lead  RATES"/>
      <sheetName val="Leads Entry"/>
      <sheetName val="Part-A"/>
      <sheetName val="JAWAHAR-hyd-original"/>
      <sheetName val="GA"/>
      <sheetName val="Iocount"/>
      <sheetName val="int-dia-hdpe"/>
      <sheetName val="HS 1 BPT (2)"/>
      <sheetName val="HS 1"/>
      <sheetName val="Estt"/>
      <sheetName val="DATA_PRG"/>
      <sheetName val="THK"/>
      <sheetName val="wh_data"/>
      <sheetName val="wh_data_R"/>
      <sheetName val="CPHEEO"/>
      <sheetName val="Ward areas"/>
      <sheetName val="LEAD (2)"/>
      <sheetName val="maya"/>
      <sheetName val="Specification"/>
      <sheetName val="final abstract"/>
      <sheetName val="Summary"/>
      <sheetName val="title"/>
      <sheetName val="pier design"/>
      <sheetName val="Sheet2"/>
      <sheetName val="Sheet3"/>
      <sheetName val="BTR"/>
      <sheetName val="ABS"/>
      <sheetName val="DATA-BASE"/>
      <sheetName val="DATA-ABSTRACT"/>
      <sheetName val="R_Det esst"/>
      <sheetName val="EST"/>
      <sheetName val="RA-markate"/>
      <sheetName val="10. &amp; 11. Rate Code &amp; BQ"/>
      <sheetName val="m1"/>
      <sheetName val="hdpe-rates"/>
      <sheetName val="rdamdata"/>
      <sheetName val="1-Pop Proj"/>
      <sheetName val="Rising Main"/>
      <sheetName val="mlead"/>
      <sheetName val="abs road"/>
      <sheetName val="Cover"/>
      <sheetName val="Road data (3)"/>
      <sheetName val="Det.SC2"/>
      <sheetName val="Data_Bit_I"/>
      <sheetName val="Lookup"/>
      <sheetName val="Rates SSR 2008-09"/>
      <sheetName val="GF SB Ok "/>
      <sheetName val="X-2"/>
      <sheetName val="SUMP1420KL@HW"/>
      <sheetName val="Rd.Det.Est"/>
      <sheetName val="COLUMN"/>
      <sheetName val="SPECS"/>
      <sheetName val="#REF"/>
      <sheetName val="Machinery"/>
      <sheetName val="temp-SDData (2)"/>
      <sheetName val="ewst"/>
      <sheetName val="segments-details"/>
      <sheetName val="habs-lis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vels"/>
      <sheetName val="Data"/>
      <sheetName val="pvc-pipe-rates"/>
      <sheetName val="Labour"/>
      <sheetName val="Material"/>
      <sheetName val="Plant &amp;  Machinery"/>
      <sheetName val="Lead"/>
      <sheetName val="Det Est"/>
      <sheetName val="m"/>
      <sheetName val="data existing_do not delete"/>
      <sheetName val="lead_st"/>
      <sheetName val="Road data"/>
      <sheetName val="r"/>
      <sheetName val="LEAD.2014-15 West"/>
      <sheetName val="DATA SHEET"/>
      <sheetName val="leads"/>
      <sheetName val="Rates SSR 2008-09"/>
      <sheetName val="Road Detail Est."/>
      <sheetName val="quarry"/>
      <sheetName val=" data sheet "/>
      <sheetName val="MRATES"/>
      <sheetName val="RATES"/>
      <sheetName val="maya"/>
      <sheetName val="C-data"/>
      <sheetName val="PVC_dia"/>
      <sheetName val="CDdata_(2)"/>
      <sheetName val="cwaydata_(2)"/>
      <sheetName val="CDdata_(3)"/>
      <sheetName val="CDdata_(2)1"/>
      <sheetName val="cwaydata_(2)1"/>
      <sheetName val="CDdata_(3)1"/>
      <sheetName val="LEAD STATEMENT"/>
      <sheetName val="SLAB  DATA"/>
      <sheetName val="detls"/>
      <sheetName val="Data.F8.BTR"/>
      <sheetName val="Sheet1"/>
      <sheetName val="R_Det"/>
      <sheetName val="ABS"/>
      <sheetName val="SubAnalysis"/>
      <sheetName val="ssr-rates"/>
      <sheetName val="Det.SC2"/>
      <sheetName val="sectorwise"/>
      <sheetName val="Bill-12"/>
      <sheetName val="CABLE DATA"/>
      <sheetName val="Cable-data"/>
      <sheetName val="boq"/>
      <sheetName val="Sheet2"/>
      <sheetName val="Cd"/>
      <sheetName val="Cs"/>
      <sheetName val="CPIPE"/>
      <sheetName val="THK"/>
      <sheetName val="CPIPE 1"/>
      <sheetName val="GA"/>
      <sheetName val="t_prsr"/>
      <sheetName val="wh"/>
      <sheetName val="DATA_PRG"/>
      <sheetName val="PLAN_FEB97"/>
    </sheetNames>
    <sheetDataSet>
      <sheetData sheetId="0">
        <row r="12">
          <cell r="L12">
            <v>360</v>
          </cell>
        </row>
      </sheetData>
      <sheetData sheetId="1" refreshError="1"/>
      <sheetData sheetId="2"/>
      <sheetData sheetId="3"/>
      <sheetData sheetId="4"/>
      <sheetData sheetId="5"/>
      <sheetData sheetId="6"/>
      <sheetData sheetId="7"/>
      <sheetData sheetId="8"/>
      <sheetData sheetId="9"/>
      <sheetData sheetId="10"/>
      <sheetData sheetId="11"/>
      <sheetData sheetId="12" refreshError="1">
        <row r="12">
          <cell r="L12">
            <v>360</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row r="12">
          <cell r="L12">
            <v>360</v>
          </cell>
        </row>
      </sheetData>
      <sheetData sheetId="13"/>
      <sheetData sheetId="14"/>
      <sheetData sheetId="15"/>
      <sheetData sheetId="16"/>
      <sheetData sheetId="17"/>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 esti"/>
      <sheetName val="wor - toil"/>
      <sheetName val="Cover_Sheet (2)"/>
      <sheetName val="toilet"/>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Labour_Charges"/>
      <sheetName val="Labour_Charges(detl)"/>
      <sheetName val="Specification"/>
      <sheetName val="Core_SSR"/>
    </sheetNames>
    <sheetDataSet>
      <sheetData sheetId="0"/>
      <sheetData sheetId="1"/>
      <sheetData sheetId="2"/>
      <sheetData sheetId="3"/>
      <sheetData sheetId="4"/>
      <sheetData sheetId="5"/>
      <sheetData sheetId="6"/>
      <sheetData sheetId="7">
        <row r="5">
          <cell r="A5">
            <v>1</v>
          </cell>
          <cell r="B5" t="str">
            <v>Peddapulivarru</v>
          </cell>
          <cell r="C5" t="str">
            <v>Akkivaripalem</v>
          </cell>
          <cell r="D5" t="str">
            <v>Bhattiprolu</v>
          </cell>
          <cell r="E5" t="str">
            <v>Zoolapalem</v>
          </cell>
          <cell r="F5">
            <v>10</v>
          </cell>
          <cell r="G5" t="str">
            <v>Zoolapalem</v>
          </cell>
          <cell r="H5">
            <v>10</v>
          </cell>
          <cell r="I5" t="str">
            <v>Lam</v>
          </cell>
          <cell r="J5">
            <v>67</v>
          </cell>
          <cell r="K5" t="str">
            <v>Kolluru</v>
          </cell>
          <cell r="L5">
            <v>14</v>
          </cell>
          <cell r="M5" t="str">
            <v>Vejandla</v>
          </cell>
          <cell r="N5">
            <v>44</v>
          </cell>
          <cell r="O5" t="str">
            <v>Vejandla</v>
          </cell>
          <cell r="P5">
            <v>44</v>
          </cell>
          <cell r="Q5" t="str">
            <v>Repalle</v>
          </cell>
          <cell r="R5">
            <v>13</v>
          </cell>
          <cell r="S5" t="str">
            <v>I.B patnam</v>
          </cell>
          <cell r="T5">
            <v>107</v>
          </cell>
          <cell r="Y5" t="str">
            <v>Repalle</v>
          </cell>
          <cell r="Z5">
            <v>13</v>
          </cell>
          <cell r="AA5">
            <v>0.2</v>
          </cell>
        </row>
        <row r="6">
          <cell r="A6">
            <v>2</v>
          </cell>
          <cell r="B6" t="str">
            <v>Allamudi</v>
          </cell>
          <cell r="C6" t="str">
            <v>Allamudi</v>
          </cell>
          <cell r="D6" t="str">
            <v>Bhattiprolu</v>
          </cell>
          <cell r="E6" t="str">
            <v>Zillepalli</v>
          </cell>
          <cell r="F6">
            <v>7</v>
          </cell>
          <cell r="G6" t="str">
            <v>Zoolapalem</v>
          </cell>
          <cell r="H6">
            <v>20</v>
          </cell>
          <cell r="I6" t="str">
            <v>Lam</v>
          </cell>
          <cell r="J6">
            <v>73</v>
          </cell>
          <cell r="K6" t="str">
            <v>Kolluru</v>
          </cell>
          <cell r="L6">
            <v>21</v>
          </cell>
          <cell r="M6" t="str">
            <v>Vejandla</v>
          </cell>
          <cell r="N6">
            <v>51</v>
          </cell>
          <cell r="O6" t="str">
            <v>Vejandla</v>
          </cell>
          <cell r="P6">
            <v>51</v>
          </cell>
          <cell r="Q6" t="str">
            <v>Repalle</v>
          </cell>
          <cell r="R6">
            <v>8</v>
          </cell>
          <cell r="S6" t="str">
            <v>I.B patnam</v>
          </cell>
          <cell r="T6">
            <v>113</v>
          </cell>
          <cell r="Y6" t="str">
            <v>Repalle</v>
          </cell>
          <cell r="Z6">
            <v>8</v>
          </cell>
          <cell r="AA6">
            <v>0.2</v>
          </cell>
        </row>
        <row r="7">
          <cell r="A7">
            <v>3</v>
          </cell>
          <cell r="B7" t="str">
            <v>Bhattiprolu</v>
          </cell>
          <cell r="C7" t="str">
            <v>Bhattiprolu</v>
          </cell>
          <cell r="D7" t="str">
            <v>Bhattiprolu</v>
          </cell>
          <cell r="E7" t="str">
            <v>Zoolapalem</v>
          </cell>
          <cell r="F7">
            <v>11</v>
          </cell>
          <cell r="G7" t="str">
            <v>Zoolapalem</v>
          </cell>
          <cell r="H7">
            <v>11</v>
          </cell>
          <cell r="I7" t="str">
            <v>Lam</v>
          </cell>
          <cell r="J7">
            <v>65</v>
          </cell>
          <cell r="K7" t="str">
            <v>Kolluru</v>
          </cell>
          <cell r="L7">
            <v>15</v>
          </cell>
          <cell r="M7" t="str">
            <v>Vejandla</v>
          </cell>
          <cell r="N7">
            <v>43</v>
          </cell>
          <cell r="O7" t="str">
            <v>Vejandla</v>
          </cell>
          <cell r="P7">
            <v>43</v>
          </cell>
          <cell r="Q7" t="str">
            <v>Repalle</v>
          </cell>
          <cell r="R7">
            <v>15</v>
          </cell>
          <cell r="S7" t="str">
            <v>I.B patnam</v>
          </cell>
          <cell r="T7">
            <v>105</v>
          </cell>
          <cell r="Y7" t="str">
            <v>Repalle</v>
          </cell>
          <cell r="Z7">
            <v>15</v>
          </cell>
          <cell r="AA7">
            <v>0.2</v>
          </cell>
        </row>
        <row r="8">
          <cell r="A8">
            <v>4</v>
          </cell>
          <cell r="B8" t="str">
            <v>Chintamotu</v>
          </cell>
          <cell r="C8" t="str">
            <v>Chintamotu</v>
          </cell>
          <cell r="D8" t="str">
            <v>Bhattiprolu</v>
          </cell>
          <cell r="E8" t="str">
            <v>Zoolapalem</v>
          </cell>
          <cell r="F8">
            <v>4</v>
          </cell>
          <cell r="G8" t="str">
            <v>Zoolapalem</v>
          </cell>
          <cell r="H8">
            <v>4</v>
          </cell>
          <cell r="I8" t="str">
            <v>Lam</v>
          </cell>
          <cell r="J8">
            <v>70</v>
          </cell>
          <cell r="K8" t="str">
            <v>Kolluru</v>
          </cell>
          <cell r="L8">
            <v>14</v>
          </cell>
          <cell r="M8" t="str">
            <v>Vejandla</v>
          </cell>
          <cell r="N8">
            <v>46</v>
          </cell>
          <cell r="O8" t="str">
            <v>Vejandla</v>
          </cell>
          <cell r="P8">
            <v>46</v>
          </cell>
          <cell r="Q8" t="str">
            <v>Repalle</v>
          </cell>
          <cell r="R8">
            <v>13</v>
          </cell>
          <cell r="S8" t="str">
            <v>I.B patnam</v>
          </cell>
          <cell r="T8">
            <v>108</v>
          </cell>
          <cell r="Y8" t="str">
            <v>Repalle</v>
          </cell>
          <cell r="Z8">
            <v>13</v>
          </cell>
          <cell r="AA8">
            <v>0.2</v>
          </cell>
        </row>
        <row r="9">
          <cell r="A9">
            <v>5</v>
          </cell>
          <cell r="B9" t="str">
            <v>Gorigapudi</v>
          </cell>
          <cell r="C9" t="str">
            <v>Dasaripalem Harizanawada H/O Gorigapudi</v>
          </cell>
          <cell r="D9" t="str">
            <v>Bhattiprolu</v>
          </cell>
          <cell r="E9" t="str">
            <v>Oleru</v>
          </cell>
          <cell r="F9">
            <v>5</v>
          </cell>
          <cell r="G9" t="str">
            <v>Oleru</v>
          </cell>
          <cell r="H9">
            <v>5</v>
          </cell>
          <cell r="I9" t="str">
            <v>Lam</v>
          </cell>
          <cell r="J9">
            <v>76</v>
          </cell>
          <cell r="K9" t="str">
            <v>Kolluru</v>
          </cell>
          <cell r="L9">
            <v>16</v>
          </cell>
          <cell r="M9" t="str">
            <v>Vejandla</v>
          </cell>
          <cell r="N9">
            <v>57</v>
          </cell>
          <cell r="O9" t="str">
            <v>Vejandla</v>
          </cell>
          <cell r="P9">
            <v>57</v>
          </cell>
          <cell r="Q9" t="str">
            <v>Repalle</v>
          </cell>
          <cell r="R9">
            <v>7</v>
          </cell>
          <cell r="S9" t="str">
            <v>I.B patnam</v>
          </cell>
          <cell r="T9">
            <v>110</v>
          </cell>
          <cell r="Y9" t="str">
            <v>Repalle</v>
          </cell>
          <cell r="Z9">
            <v>7</v>
          </cell>
          <cell r="AA9">
            <v>0.2</v>
          </cell>
        </row>
        <row r="10">
          <cell r="A10">
            <v>6</v>
          </cell>
          <cell r="B10" t="str">
            <v>Gorigapudi</v>
          </cell>
          <cell r="C10" t="str">
            <v>Gorigapudi</v>
          </cell>
          <cell r="D10" t="str">
            <v>Bhattiprolu</v>
          </cell>
          <cell r="E10" t="str">
            <v>Oleru</v>
          </cell>
          <cell r="F10">
            <v>6.5</v>
          </cell>
          <cell r="G10" t="str">
            <v>Oleru</v>
          </cell>
          <cell r="H10">
            <v>6.5</v>
          </cell>
          <cell r="I10" t="str">
            <v>Lam</v>
          </cell>
          <cell r="J10">
            <v>74</v>
          </cell>
          <cell r="K10" t="str">
            <v>Kolluru</v>
          </cell>
          <cell r="L10">
            <v>16</v>
          </cell>
          <cell r="M10" t="str">
            <v>Vejandla</v>
          </cell>
          <cell r="N10">
            <v>55</v>
          </cell>
          <cell r="O10" t="str">
            <v>Vejandla</v>
          </cell>
          <cell r="P10">
            <v>55</v>
          </cell>
          <cell r="Q10" t="str">
            <v>Repalle</v>
          </cell>
          <cell r="R10">
            <v>8</v>
          </cell>
          <cell r="S10" t="str">
            <v>I.B patnam</v>
          </cell>
          <cell r="T10">
            <v>108</v>
          </cell>
          <cell r="Y10" t="str">
            <v>Repalle</v>
          </cell>
          <cell r="Z10">
            <v>8</v>
          </cell>
          <cell r="AA10">
            <v>0.2</v>
          </cell>
        </row>
        <row r="11">
          <cell r="A11">
            <v>7</v>
          </cell>
          <cell r="B11" t="str">
            <v>Ilavaram</v>
          </cell>
          <cell r="C11" t="str">
            <v>Ilavaram</v>
          </cell>
          <cell r="D11" t="str">
            <v>Bhattiprolu</v>
          </cell>
          <cell r="E11" t="str">
            <v>Local</v>
          </cell>
          <cell r="F11">
            <v>4</v>
          </cell>
          <cell r="G11" t="str">
            <v>Zoolapalem</v>
          </cell>
          <cell r="H11">
            <v>13</v>
          </cell>
          <cell r="I11" t="str">
            <v>Lam</v>
          </cell>
          <cell r="J11">
            <v>68</v>
          </cell>
          <cell r="K11" t="str">
            <v>Kolluru</v>
          </cell>
          <cell r="L11">
            <v>18</v>
          </cell>
          <cell r="M11" t="str">
            <v>Vejandla</v>
          </cell>
          <cell r="N11">
            <v>46</v>
          </cell>
          <cell r="O11" t="str">
            <v>Vejandla</v>
          </cell>
          <cell r="P11">
            <v>46</v>
          </cell>
          <cell r="Q11" t="str">
            <v>Repalle</v>
          </cell>
          <cell r="R11">
            <v>18</v>
          </cell>
          <cell r="S11" t="str">
            <v>I.B patnam</v>
          </cell>
          <cell r="T11">
            <v>109</v>
          </cell>
          <cell r="Y11" t="str">
            <v>Repalle</v>
          </cell>
          <cell r="Z11">
            <v>18</v>
          </cell>
          <cell r="AA11">
            <v>0</v>
          </cell>
        </row>
        <row r="12">
          <cell r="A12">
            <v>8</v>
          </cell>
          <cell r="B12" t="str">
            <v>Kannegantivaripalem</v>
          </cell>
          <cell r="C12" t="str">
            <v>Kannegantivaripalem</v>
          </cell>
          <cell r="D12" t="str">
            <v>Bhattiprolu</v>
          </cell>
          <cell r="E12" t="str">
            <v>Penumudi</v>
          </cell>
          <cell r="F12">
            <v>8.5</v>
          </cell>
          <cell r="G12" t="str">
            <v>Penumudi</v>
          </cell>
          <cell r="H12">
            <v>8.5</v>
          </cell>
          <cell r="I12" t="str">
            <v>Lam</v>
          </cell>
          <cell r="J12">
            <v>78</v>
          </cell>
          <cell r="K12" t="str">
            <v>Kolluru</v>
          </cell>
          <cell r="L12">
            <v>18</v>
          </cell>
          <cell r="M12" t="str">
            <v>Vejandla</v>
          </cell>
          <cell r="N12">
            <v>54</v>
          </cell>
          <cell r="O12" t="str">
            <v>Vejandla</v>
          </cell>
          <cell r="P12">
            <v>54</v>
          </cell>
          <cell r="Q12" t="str">
            <v>Repalle</v>
          </cell>
          <cell r="R12">
            <v>6</v>
          </cell>
          <cell r="S12" t="str">
            <v>I.B patnam</v>
          </cell>
          <cell r="T12">
            <v>111</v>
          </cell>
          <cell r="Y12" t="str">
            <v>Repalle</v>
          </cell>
          <cell r="Z12">
            <v>6</v>
          </cell>
          <cell r="AA12">
            <v>0.2</v>
          </cell>
        </row>
        <row r="13">
          <cell r="A13">
            <v>9</v>
          </cell>
          <cell r="B13" t="str">
            <v>Peddapulivarru</v>
          </cell>
          <cell r="C13" t="str">
            <v>Kollapalem</v>
          </cell>
          <cell r="D13" t="str">
            <v>Bhattiprolu</v>
          </cell>
          <cell r="E13" t="str">
            <v>Oleru</v>
          </cell>
          <cell r="F13">
            <v>8</v>
          </cell>
          <cell r="G13" t="str">
            <v>Oleru</v>
          </cell>
          <cell r="H13">
            <v>8</v>
          </cell>
          <cell r="I13" t="str">
            <v>Lam</v>
          </cell>
          <cell r="J13">
            <v>71</v>
          </cell>
          <cell r="K13" t="str">
            <v>Kolluru</v>
          </cell>
          <cell r="L13">
            <v>18</v>
          </cell>
          <cell r="M13" t="str">
            <v>Vejandla</v>
          </cell>
          <cell r="N13">
            <v>48</v>
          </cell>
          <cell r="O13" t="str">
            <v>Vejandla</v>
          </cell>
          <cell r="P13">
            <v>48</v>
          </cell>
          <cell r="Q13" t="str">
            <v>Repalle</v>
          </cell>
          <cell r="R13">
            <v>9</v>
          </cell>
          <cell r="S13" t="str">
            <v>I.B patnam</v>
          </cell>
          <cell r="T13">
            <v>108</v>
          </cell>
          <cell r="Y13" t="str">
            <v>Repalle</v>
          </cell>
          <cell r="Z13">
            <v>9</v>
          </cell>
          <cell r="AA13">
            <v>0.2</v>
          </cell>
        </row>
        <row r="14">
          <cell r="A14">
            <v>10</v>
          </cell>
          <cell r="B14" t="str">
            <v>Konetipuram</v>
          </cell>
          <cell r="C14" t="str">
            <v>Konetipuram</v>
          </cell>
          <cell r="D14" t="str">
            <v>Bhattiprolu</v>
          </cell>
          <cell r="E14" t="str">
            <v>Zillepalli</v>
          </cell>
          <cell r="F14">
            <v>5</v>
          </cell>
          <cell r="G14" t="str">
            <v>Zoolapalem</v>
          </cell>
          <cell r="H14">
            <v>17</v>
          </cell>
          <cell r="I14" t="str">
            <v>Lam</v>
          </cell>
          <cell r="J14">
            <v>69</v>
          </cell>
          <cell r="K14" t="str">
            <v>Kolluru</v>
          </cell>
          <cell r="L14">
            <v>19</v>
          </cell>
          <cell r="M14" t="str">
            <v>Vejandla</v>
          </cell>
          <cell r="N14">
            <v>48</v>
          </cell>
          <cell r="O14" t="str">
            <v>Vejandla</v>
          </cell>
          <cell r="P14">
            <v>48</v>
          </cell>
          <cell r="Q14" t="str">
            <v>Repalle</v>
          </cell>
          <cell r="R14">
            <v>10</v>
          </cell>
          <cell r="S14" t="str">
            <v>I.B patnam</v>
          </cell>
          <cell r="T14">
            <v>111</v>
          </cell>
          <cell r="Y14" t="str">
            <v>Repalle</v>
          </cell>
          <cell r="Z14">
            <v>10</v>
          </cell>
          <cell r="AA14">
            <v>0.2</v>
          </cell>
        </row>
        <row r="15">
          <cell r="A15">
            <v>11</v>
          </cell>
          <cell r="B15" t="str">
            <v>Vellaturu</v>
          </cell>
          <cell r="C15" t="str">
            <v>Malapalli H/O Vellatur</v>
          </cell>
          <cell r="D15" t="str">
            <v>Bhattiprolu</v>
          </cell>
          <cell r="E15" t="str">
            <v>Zoolapalem</v>
          </cell>
          <cell r="F15">
            <v>6</v>
          </cell>
          <cell r="G15" t="str">
            <v>Zoolapalem</v>
          </cell>
          <cell r="H15">
            <v>6</v>
          </cell>
          <cell r="I15" t="str">
            <v>Lam</v>
          </cell>
          <cell r="J15">
            <v>65</v>
          </cell>
          <cell r="K15" t="str">
            <v>Kolluru</v>
          </cell>
          <cell r="L15">
            <v>10</v>
          </cell>
          <cell r="M15" t="str">
            <v>Vejandla</v>
          </cell>
          <cell r="N15">
            <v>41</v>
          </cell>
          <cell r="O15" t="str">
            <v>Vejandla</v>
          </cell>
          <cell r="P15">
            <v>41</v>
          </cell>
          <cell r="Q15" t="str">
            <v>Repalle</v>
          </cell>
          <cell r="R15">
            <v>19</v>
          </cell>
          <cell r="S15" t="str">
            <v>I.B patnam</v>
          </cell>
          <cell r="T15">
            <v>103</v>
          </cell>
          <cell r="Y15" t="str">
            <v>Repalle</v>
          </cell>
          <cell r="Z15">
            <v>19</v>
          </cell>
          <cell r="AA15">
            <v>0.2</v>
          </cell>
        </row>
        <row r="16">
          <cell r="A16">
            <v>12</v>
          </cell>
          <cell r="B16" t="str">
            <v>Oleru</v>
          </cell>
          <cell r="C16" t="str">
            <v>Oleru</v>
          </cell>
          <cell r="D16" t="str">
            <v>Bhattiprolu</v>
          </cell>
          <cell r="E16" t="str">
            <v>Oleru</v>
          </cell>
          <cell r="F16">
            <v>6</v>
          </cell>
          <cell r="G16" t="str">
            <v>Oleru</v>
          </cell>
          <cell r="H16">
            <v>6</v>
          </cell>
          <cell r="I16" t="str">
            <v>Lam</v>
          </cell>
          <cell r="J16">
            <v>73</v>
          </cell>
          <cell r="K16" t="str">
            <v>Kolluru</v>
          </cell>
          <cell r="L16">
            <v>18</v>
          </cell>
          <cell r="M16" t="str">
            <v>Vejandla</v>
          </cell>
          <cell r="N16">
            <v>51</v>
          </cell>
          <cell r="O16" t="str">
            <v>Vejandla</v>
          </cell>
          <cell r="P16">
            <v>51</v>
          </cell>
          <cell r="Q16" t="str">
            <v>Repalle</v>
          </cell>
          <cell r="R16">
            <v>7</v>
          </cell>
          <cell r="S16" t="str">
            <v>I.B patnam</v>
          </cell>
          <cell r="T16">
            <v>111</v>
          </cell>
          <cell r="Y16" t="str">
            <v>Repalle</v>
          </cell>
          <cell r="Z16">
            <v>7</v>
          </cell>
          <cell r="AA16">
            <v>0.2</v>
          </cell>
        </row>
        <row r="17">
          <cell r="A17">
            <v>13</v>
          </cell>
          <cell r="B17" t="str">
            <v>Konetipuram</v>
          </cell>
          <cell r="C17" t="str">
            <v>Padamatipalem</v>
          </cell>
          <cell r="D17" t="str">
            <v>Bhattiprolu</v>
          </cell>
          <cell r="E17" t="str">
            <v>Zillepalli</v>
          </cell>
          <cell r="F17">
            <v>4</v>
          </cell>
          <cell r="G17" t="str">
            <v>Zoolapalem</v>
          </cell>
          <cell r="H17">
            <v>19</v>
          </cell>
          <cell r="I17" t="str">
            <v>Lam</v>
          </cell>
          <cell r="J17">
            <v>71</v>
          </cell>
          <cell r="K17" t="str">
            <v>Kolluru</v>
          </cell>
          <cell r="L17">
            <v>21</v>
          </cell>
          <cell r="M17" t="str">
            <v>Vejandla</v>
          </cell>
          <cell r="N17">
            <v>50</v>
          </cell>
          <cell r="O17" t="str">
            <v>Vejandla</v>
          </cell>
          <cell r="P17">
            <v>50</v>
          </cell>
          <cell r="Q17" t="str">
            <v>Repalle</v>
          </cell>
          <cell r="R17">
            <v>8</v>
          </cell>
          <cell r="S17" t="str">
            <v>I.B patnam</v>
          </cell>
          <cell r="T17">
            <v>113</v>
          </cell>
          <cell r="Y17" t="str">
            <v>Repalle</v>
          </cell>
          <cell r="Z17">
            <v>8</v>
          </cell>
          <cell r="AA17">
            <v>0.2</v>
          </cell>
        </row>
        <row r="18">
          <cell r="A18">
            <v>14</v>
          </cell>
          <cell r="B18" t="str">
            <v>Pallekona</v>
          </cell>
          <cell r="C18" t="str">
            <v>Pallekona</v>
          </cell>
          <cell r="D18" t="str">
            <v>Bhattiprolu</v>
          </cell>
          <cell r="E18" t="str">
            <v>Zillepalli</v>
          </cell>
          <cell r="F18">
            <v>6</v>
          </cell>
          <cell r="G18" t="str">
            <v>Zoolapalem</v>
          </cell>
          <cell r="H18">
            <v>19</v>
          </cell>
          <cell r="I18" t="str">
            <v>Lam</v>
          </cell>
          <cell r="J18">
            <v>72</v>
          </cell>
          <cell r="K18" t="str">
            <v>Kolluru</v>
          </cell>
          <cell r="L18">
            <v>20</v>
          </cell>
          <cell r="M18" t="str">
            <v>Vejandla</v>
          </cell>
          <cell r="N18">
            <v>50</v>
          </cell>
          <cell r="O18" t="str">
            <v>Vejandla</v>
          </cell>
          <cell r="P18">
            <v>50</v>
          </cell>
          <cell r="Q18" t="str">
            <v>Repalle</v>
          </cell>
          <cell r="R18">
            <v>8</v>
          </cell>
          <cell r="S18" t="str">
            <v>I.B patnam</v>
          </cell>
          <cell r="T18">
            <v>113</v>
          </cell>
          <cell r="Y18" t="str">
            <v>Repalle</v>
          </cell>
          <cell r="Z18">
            <v>8</v>
          </cell>
          <cell r="AA18">
            <v>0.2</v>
          </cell>
        </row>
        <row r="19">
          <cell r="A19">
            <v>15</v>
          </cell>
          <cell r="B19" t="str">
            <v>Oleru</v>
          </cell>
          <cell r="C19" t="str">
            <v>Pallipalem</v>
          </cell>
          <cell r="D19" t="str">
            <v>Bhattiprolu</v>
          </cell>
          <cell r="E19" t="str">
            <v>Oleru</v>
          </cell>
          <cell r="F19">
            <v>6</v>
          </cell>
          <cell r="G19" t="str">
            <v>Oleru</v>
          </cell>
          <cell r="H19">
            <v>6</v>
          </cell>
          <cell r="I19" t="str">
            <v>Lam</v>
          </cell>
          <cell r="J19">
            <v>75</v>
          </cell>
          <cell r="K19" t="str">
            <v>Kolluru</v>
          </cell>
          <cell r="L19">
            <v>20</v>
          </cell>
          <cell r="M19" t="str">
            <v>Vejandla</v>
          </cell>
          <cell r="N19">
            <v>53</v>
          </cell>
          <cell r="O19" t="str">
            <v>Vejandla</v>
          </cell>
          <cell r="P19">
            <v>53</v>
          </cell>
          <cell r="Q19" t="str">
            <v>Repalle</v>
          </cell>
          <cell r="R19">
            <v>17</v>
          </cell>
          <cell r="S19" t="str">
            <v>I.B patnam</v>
          </cell>
          <cell r="T19">
            <v>114</v>
          </cell>
          <cell r="Y19" t="str">
            <v>Repalle</v>
          </cell>
          <cell r="Z19">
            <v>17</v>
          </cell>
          <cell r="AA19">
            <v>0.2</v>
          </cell>
        </row>
        <row r="20">
          <cell r="A20">
            <v>16</v>
          </cell>
          <cell r="B20" t="str">
            <v>Peddalanka</v>
          </cell>
          <cell r="C20" t="str">
            <v>Pedalanka</v>
          </cell>
          <cell r="D20" t="str">
            <v>Bhattiprolu</v>
          </cell>
          <cell r="E20" t="str">
            <v>Zoolapalem</v>
          </cell>
          <cell r="F20">
            <v>4</v>
          </cell>
          <cell r="G20" t="str">
            <v>Zoolapalem</v>
          </cell>
          <cell r="H20">
            <v>4</v>
          </cell>
          <cell r="I20" t="str">
            <v>Lam</v>
          </cell>
          <cell r="J20">
            <v>71</v>
          </cell>
          <cell r="K20" t="str">
            <v>Kolluru</v>
          </cell>
          <cell r="L20">
            <v>15</v>
          </cell>
          <cell r="M20" t="str">
            <v>Vejandla</v>
          </cell>
          <cell r="N20">
            <v>47</v>
          </cell>
          <cell r="O20" t="str">
            <v>Vejandla</v>
          </cell>
          <cell r="P20">
            <v>47</v>
          </cell>
          <cell r="Q20" t="str">
            <v>Repalle</v>
          </cell>
          <cell r="R20">
            <v>13</v>
          </cell>
          <cell r="S20" t="str">
            <v>I.B patnam</v>
          </cell>
          <cell r="T20">
            <v>109</v>
          </cell>
          <cell r="Y20" t="str">
            <v>Repalle</v>
          </cell>
          <cell r="Z20">
            <v>13</v>
          </cell>
          <cell r="AA20">
            <v>0.2</v>
          </cell>
        </row>
        <row r="21">
          <cell r="A21">
            <v>17</v>
          </cell>
          <cell r="B21" t="str">
            <v>Peddapulivarru</v>
          </cell>
          <cell r="C21" t="str">
            <v>Pedapalem</v>
          </cell>
          <cell r="D21" t="str">
            <v>Bhattiprolu</v>
          </cell>
          <cell r="E21" t="str">
            <v>Zoolapalem</v>
          </cell>
          <cell r="F21">
            <v>8</v>
          </cell>
          <cell r="G21" t="str">
            <v>Zoolapalem</v>
          </cell>
          <cell r="H21">
            <v>8</v>
          </cell>
          <cell r="I21" t="str">
            <v>Lam</v>
          </cell>
          <cell r="J21">
            <v>67</v>
          </cell>
          <cell r="K21" t="str">
            <v>Kolluru</v>
          </cell>
          <cell r="L21">
            <v>12</v>
          </cell>
          <cell r="M21" t="str">
            <v>Vejandla</v>
          </cell>
          <cell r="N21">
            <v>43</v>
          </cell>
          <cell r="O21" t="str">
            <v>Vejandla</v>
          </cell>
          <cell r="P21">
            <v>43</v>
          </cell>
          <cell r="Q21" t="str">
            <v>Repalle</v>
          </cell>
          <cell r="R21">
            <v>18</v>
          </cell>
          <cell r="S21" t="str">
            <v>I.B patnam</v>
          </cell>
          <cell r="T21">
            <v>108</v>
          </cell>
          <cell r="Y21" t="str">
            <v>Repalle</v>
          </cell>
          <cell r="Z21">
            <v>18</v>
          </cell>
          <cell r="AA21">
            <v>0.2</v>
          </cell>
        </row>
        <row r="22">
          <cell r="A22">
            <v>18</v>
          </cell>
          <cell r="B22" t="str">
            <v>Peddapulivarru</v>
          </cell>
          <cell r="C22" t="str">
            <v>Pedapulivarru</v>
          </cell>
          <cell r="D22" t="str">
            <v>Bhattiprolu</v>
          </cell>
          <cell r="E22" t="str">
            <v>Zoolapalem</v>
          </cell>
          <cell r="F22">
            <v>10</v>
          </cell>
          <cell r="G22" t="str">
            <v>Zoolapalem</v>
          </cell>
          <cell r="H22">
            <v>10</v>
          </cell>
          <cell r="I22" t="str">
            <v>Lam</v>
          </cell>
          <cell r="J22">
            <v>68</v>
          </cell>
          <cell r="K22" t="str">
            <v>Kolluru</v>
          </cell>
          <cell r="L22">
            <v>13</v>
          </cell>
          <cell r="M22" t="str">
            <v>Vejandla</v>
          </cell>
          <cell r="N22">
            <v>45</v>
          </cell>
          <cell r="O22" t="str">
            <v>Vejandla</v>
          </cell>
          <cell r="P22">
            <v>45</v>
          </cell>
          <cell r="Q22" t="str">
            <v>Repalle</v>
          </cell>
          <cell r="R22">
            <v>12</v>
          </cell>
          <cell r="S22" t="str">
            <v>I.B patnam</v>
          </cell>
          <cell r="T22">
            <v>106</v>
          </cell>
          <cell r="Y22" t="str">
            <v>Repalle</v>
          </cell>
          <cell r="Z22">
            <v>12</v>
          </cell>
          <cell r="AA22">
            <v>0.2</v>
          </cell>
        </row>
        <row r="23">
          <cell r="A23">
            <v>19</v>
          </cell>
          <cell r="B23" t="str">
            <v>Pesarlanka</v>
          </cell>
          <cell r="C23" t="str">
            <v>Pesarlanka</v>
          </cell>
          <cell r="D23" t="str">
            <v>Bhattiprolu</v>
          </cell>
          <cell r="E23" t="str">
            <v>Zoolapalem</v>
          </cell>
          <cell r="F23">
            <v>5</v>
          </cell>
          <cell r="G23" t="str">
            <v>Zoolapalem</v>
          </cell>
          <cell r="H23">
            <v>5</v>
          </cell>
          <cell r="I23" t="str">
            <v>Lam</v>
          </cell>
          <cell r="J23">
            <v>72</v>
          </cell>
          <cell r="K23" t="str">
            <v>Kolluru</v>
          </cell>
          <cell r="L23">
            <v>16</v>
          </cell>
          <cell r="M23" t="str">
            <v>Vejandla</v>
          </cell>
          <cell r="N23">
            <v>48</v>
          </cell>
          <cell r="O23" t="str">
            <v>Vejandla</v>
          </cell>
          <cell r="P23">
            <v>48</v>
          </cell>
          <cell r="Q23" t="str">
            <v>Repalle</v>
          </cell>
          <cell r="R23">
            <v>14</v>
          </cell>
          <cell r="S23" t="str">
            <v>I.B patnam</v>
          </cell>
          <cell r="T23">
            <v>110</v>
          </cell>
          <cell r="Y23" t="str">
            <v>Repalle</v>
          </cell>
          <cell r="Z23">
            <v>14</v>
          </cell>
          <cell r="AA23">
            <v>0.2</v>
          </cell>
        </row>
        <row r="24">
          <cell r="A24">
            <v>20</v>
          </cell>
          <cell r="B24" t="str">
            <v>Rachuru</v>
          </cell>
          <cell r="C24" t="str">
            <v>Rachuru</v>
          </cell>
          <cell r="D24" t="str">
            <v>Bhattiprolu</v>
          </cell>
          <cell r="E24" t="str">
            <v>Zoolapalem</v>
          </cell>
          <cell r="F24">
            <v>18</v>
          </cell>
          <cell r="G24" t="str">
            <v>Zoolapalem</v>
          </cell>
          <cell r="H24">
            <v>18</v>
          </cell>
          <cell r="I24" t="str">
            <v>Lam</v>
          </cell>
          <cell r="J24">
            <v>74</v>
          </cell>
          <cell r="K24" t="str">
            <v>Kolluru</v>
          </cell>
          <cell r="L24">
            <v>22</v>
          </cell>
          <cell r="M24" t="str">
            <v>Vejandla</v>
          </cell>
          <cell r="N24">
            <v>52</v>
          </cell>
          <cell r="O24" t="str">
            <v>Vejandla</v>
          </cell>
          <cell r="P24">
            <v>52</v>
          </cell>
          <cell r="Q24" t="str">
            <v>Repalle</v>
          </cell>
          <cell r="R24">
            <v>10</v>
          </cell>
          <cell r="S24" t="str">
            <v>I.B patnam</v>
          </cell>
          <cell r="T24">
            <v>115</v>
          </cell>
          <cell r="Y24" t="str">
            <v>Repalle</v>
          </cell>
          <cell r="Z24">
            <v>10</v>
          </cell>
          <cell r="AA24">
            <v>0.2</v>
          </cell>
        </row>
        <row r="25">
          <cell r="A25">
            <v>21</v>
          </cell>
          <cell r="B25" t="str">
            <v>Surepalli</v>
          </cell>
          <cell r="C25" t="str">
            <v>Surepalli</v>
          </cell>
          <cell r="D25" t="str">
            <v>Bhattiprolu</v>
          </cell>
          <cell r="E25" t="str">
            <v>Zillepalli</v>
          </cell>
          <cell r="F25">
            <v>6</v>
          </cell>
          <cell r="G25" t="str">
            <v>Zoolapalem</v>
          </cell>
          <cell r="H25">
            <v>13</v>
          </cell>
          <cell r="I25" t="str">
            <v>Lam</v>
          </cell>
          <cell r="J25">
            <v>68</v>
          </cell>
          <cell r="K25" t="str">
            <v>Kolluru</v>
          </cell>
          <cell r="L25">
            <v>18</v>
          </cell>
          <cell r="M25" t="str">
            <v>Vejandla</v>
          </cell>
          <cell r="N25">
            <v>47</v>
          </cell>
          <cell r="O25" t="str">
            <v>Vejandla</v>
          </cell>
          <cell r="P25">
            <v>47</v>
          </cell>
          <cell r="Q25" t="str">
            <v>Repalle</v>
          </cell>
          <cell r="R25">
            <v>11</v>
          </cell>
          <cell r="S25" t="str">
            <v>I.B patnam</v>
          </cell>
          <cell r="T25">
            <v>110</v>
          </cell>
          <cell r="Y25" t="str">
            <v>Repalle</v>
          </cell>
          <cell r="Z25">
            <v>11</v>
          </cell>
          <cell r="AA25">
            <v>0.2</v>
          </cell>
        </row>
        <row r="26">
          <cell r="A26">
            <v>22</v>
          </cell>
          <cell r="B26" t="str">
            <v>Surepalli</v>
          </cell>
          <cell r="C26" t="str">
            <v>Tatavaripalem</v>
          </cell>
          <cell r="D26" t="str">
            <v>Bhattiprolu</v>
          </cell>
          <cell r="E26" t="str">
            <v>Zillepalli</v>
          </cell>
          <cell r="F26">
            <v>5</v>
          </cell>
          <cell r="G26" t="str">
            <v>Zoolapalem</v>
          </cell>
          <cell r="H26">
            <v>14</v>
          </cell>
          <cell r="I26" t="str">
            <v>Lam</v>
          </cell>
          <cell r="J26">
            <v>69</v>
          </cell>
          <cell r="K26" t="str">
            <v>Kolluru</v>
          </cell>
          <cell r="L26">
            <v>19</v>
          </cell>
          <cell r="M26" t="str">
            <v>Vejandla</v>
          </cell>
          <cell r="N26">
            <v>48</v>
          </cell>
          <cell r="O26" t="str">
            <v>Vejandla</v>
          </cell>
          <cell r="P26">
            <v>48</v>
          </cell>
          <cell r="Q26" t="str">
            <v>Repalle</v>
          </cell>
          <cell r="R26">
            <v>12</v>
          </cell>
          <cell r="S26" t="str">
            <v>I.B patnam</v>
          </cell>
          <cell r="T26">
            <v>111</v>
          </cell>
          <cell r="Y26" t="str">
            <v>Repalle</v>
          </cell>
          <cell r="Z26">
            <v>12</v>
          </cell>
          <cell r="AA26">
            <v>0.2</v>
          </cell>
        </row>
        <row r="27">
          <cell r="A27">
            <v>23</v>
          </cell>
          <cell r="B27" t="str">
            <v>Oleru</v>
          </cell>
          <cell r="C27" t="str">
            <v>Turpupalem H/O Oleru</v>
          </cell>
          <cell r="D27" t="str">
            <v>Bhattiprolu</v>
          </cell>
          <cell r="E27" t="str">
            <v>Penumudi</v>
          </cell>
          <cell r="F27">
            <v>4</v>
          </cell>
          <cell r="G27" t="str">
            <v>Penumudi</v>
          </cell>
          <cell r="H27">
            <v>4</v>
          </cell>
          <cell r="I27" t="str">
            <v>Lam</v>
          </cell>
          <cell r="J27">
            <v>75</v>
          </cell>
          <cell r="K27" t="str">
            <v>Kolluru</v>
          </cell>
          <cell r="L27">
            <v>20</v>
          </cell>
          <cell r="M27" t="str">
            <v>Vejandla</v>
          </cell>
          <cell r="N27">
            <v>53</v>
          </cell>
          <cell r="O27" t="str">
            <v>Vejandla</v>
          </cell>
          <cell r="P27">
            <v>53</v>
          </cell>
          <cell r="Q27" t="str">
            <v>Repalle</v>
          </cell>
          <cell r="R27">
            <v>5</v>
          </cell>
          <cell r="S27" t="str">
            <v>I.B patnam</v>
          </cell>
          <cell r="T27">
            <v>113</v>
          </cell>
          <cell r="Y27" t="str">
            <v>Repalle</v>
          </cell>
          <cell r="Z27">
            <v>5</v>
          </cell>
          <cell r="AA27">
            <v>0.2</v>
          </cell>
        </row>
        <row r="28">
          <cell r="A28">
            <v>24</v>
          </cell>
          <cell r="B28" t="str">
            <v>Gorigapudi</v>
          </cell>
          <cell r="C28" t="str">
            <v>Varikutivaripalem</v>
          </cell>
          <cell r="D28" t="str">
            <v>Bhattiprolu</v>
          </cell>
          <cell r="E28" t="str">
            <v>Oleru</v>
          </cell>
          <cell r="F28">
            <v>7</v>
          </cell>
          <cell r="G28" t="str">
            <v>Oleru</v>
          </cell>
          <cell r="H28">
            <v>7</v>
          </cell>
          <cell r="I28" t="str">
            <v>Lam</v>
          </cell>
          <cell r="J28">
            <v>76</v>
          </cell>
          <cell r="K28" t="str">
            <v>Kolluru</v>
          </cell>
          <cell r="L28">
            <v>16</v>
          </cell>
          <cell r="M28" t="str">
            <v>Vejandla</v>
          </cell>
          <cell r="N28">
            <v>57</v>
          </cell>
          <cell r="O28" t="str">
            <v>Vejandla</v>
          </cell>
          <cell r="P28">
            <v>57</v>
          </cell>
          <cell r="Q28" t="str">
            <v>Repalle</v>
          </cell>
          <cell r="R28">
            <v>7</v>
          </cell>
          <cell r="S28" t="str">
            <v>I.B patnam</v>
          </cell>
          <cell r="T28">
            <v>118</v>
          </cell>
          <cell r="Y28" t="str">
            <v>Repalle</v>
          </cell>
          <cell r="Z28">
            <v>7</v>
          </cell>
          <cell r="AA28">
            <v>0.2</v>
          </cell>
        </row>
        <row r="29">
          <cell r="A29">
            <v>25</v>
          </cell>
          <cell r="B29" t="str">
            <v>Vellaturu</v>
          </cell>
          <cell r="C29" t="str">
            <v>Vellaturu</v>
          </cell>
          <cell r="D29" t="str">
            <v>Bhattiprolu</v>
          </cell>
          <cell r="E29" t="str">
            <v>Zoolapalem</v>
          </cell>
          <cell r="F29">
            <v>6</v>
          </cell>
          <cell r="G29" t="str">
            <v>Zoolapalem</v>
          </cell>
          <cell r="H29">
            <v>6</v>
          </cell>
          <cell r="I29" t="str">
            <v>Lam</v>
          </cell>
          <cell r="J29">
            <v>65</v>
          </cell>
          <cell r="K29" t="str">
            <v>Kolluru</v>
          </cell>
          <cell r="L29">
            <v>10</v>
          </cell>
          <cell r="M29" t="str">
            <v>Vejandla</v>
          </cell>
          <cell r="N29">
            <v>41</v>
          </cell>
          <cell r="O29" t="str">
            <v>Vejandla</v>
          </cell>
          <cell r="P29">
            <v>41</v>
          </cell>
          <cell r="Q29" t="str">
            <v>Repalle</v>
          </cell>
          <cell r="R29">
            <v>19</v>
          </cell>
          <cell r="S29" t="str">
            <v>I.B patnam</v>
          </cell>
          <cell r="T29">
            <v>103</v>
          </cell>
          <cell r="Y29" t="str">
            <v>Repalle</v>
          </cell>
          <cell r="Z29">
            <v>19</v>
          </cell>
          <cell r="AA29">
            <v>0</v>
          </cell>
        </row>
        <row r="30">
          <cell r="A30">
            <v>26</v>
          </cell>
          <cell r="B30" t="str">
            <v>Surepalli</v>
          </cell>
          <cell r="C30" t="str">
            <v>Vemavaram</v>
          </cell>
          <cell r="D30" t="str">
            <v>Bhattiprolu</v>
          </cell>
          <cell r="E30" t="str">
            <v>Zillepalli</v>
          </cell>
          <cell r="F30">
            <v>7</v>
          </cell>
          <cell r="G30" t="str">
            <v>Zoolapalem</v>
          </cell>
          <cell r="H30">
            <v>12</v>
          </cell>
          <cell r="I30" t="str">
            <v>Lam</v>
          </cell>
          <cell r="J30">
            <v>67</v>
          </cell>
          <cell r="K30" t="str">
            <v>Kolluru</v>
          </cell>
          <cell r="L30">
            <v>17</v>
          </cell>
          <cell r="M30" t="str">
            <v>Vejandla</v>
          </cell>
          <cell r="N30">
            <v>46</v>
          </cell>
          <cell r="O30" t="str">
            <v>Vejandla</v>
          </cell>
          <cell r="P30">
            <v>46</v>
          </cell>
          <cell r="Q30" t="str">
            <v>Repalle</v>
          </cell>
          <cell r="R30">
            <v>12</v>
          </cell>
          <cell r="S30" t="str">
            <v>I.B patnam</v>
          </cell>
          <cell r="T30">
            <v>108</v>
          </cell>
          <cell r="Y30" t="str">
            <v>Repalle</v>
          </cell>
          <cell r="Z30">
            <v>12</v>
          </cell>
          <cell r="AA30">
            <v>0.2</v>
          </cell>
        </row>
        <row r="31">
          <cell r="A31">
            <v>27</v>
          </cell>
          <cell r="B31" t="str">
            <v>Balusulapalem</v>
          </cell>
          <cell r="C31" t="str">
            <v>Akkalavenkatareddipalem of Balusulapalem</v>
          </cell>
          <cell r="D31" t="str">
            <v>Cherukupalli</v>
          </cell>
          <cell r="E31" t="str">
            <v>Chandolu</v>
          </cell>
          <cell r="F31">
            <v>9</v>
          </cell>
          <cell r="G31" t="str">
            <v>Zoolapalem</v>
          </cell>
          <cell r="H31">
            <v>35</v>
          </cell>
          <cell r="I31" t="str">
            <v>Lam</v>
          </cell>
          <cell r="J31">
            <v>56</v>
          </cell>
          <cell r="K31" t="str">
            <v>Kolluru</v>
          </cell>
          <cell r="L31">
            <v>35</v>
          </cell>
          <cell r="M31" t="str">
            <v>Vejandla</v>
          </cell>
          <cell r="N31">
            <v>38</v>
          </cell>
          <cell r="O31" t="str">
            <v>Vejandla</v>
          </cell>
          <cell r="P31">
            <v>38</v>
          </cell>
          <cell r="Q31" t="str">
            <v>Ponnuru</v>
          </cell>
          <cell r="R31">
            <v>15</v>
          </cell>
          <cell r="S31" t="str">
            <v>I.B patnam</v>
          </cell>
          <cell r="T31">
            <v>92</v>
          </cell>
          <cell r="Y31" t="str">
            <v>Ponnuru</v>
          </cell>
          <cell r="Z31">
            <v>15</v>
          </cell>
          <cell r="AA31">
            <v>0</v>
          </cell>
        </row>
        <row r="32">
          <cell r="A32">
            <v>28</v>
          </cell>
          <cell r="B32" t="str">
            <v>Thummalapalem</v>
          </cell>
          <cell r="C32" t="str">
            <v>Akkalavenkatareddipalem of Thummalapalem</v>
          </cell>
          <cell r="D32" t="str">
            <v>Cherukupalli</v>
          </cell>
          <cell r="E32" t="str">
            <v>Chandolu</v>
          </cell>
          <cell r="F32">
            <v>9</v>
          </cell>
          <cell r="G32" t="str">
            <v>Zoolapalem</v>
          </cell>
          <cell r="H32">
            <v>35</v>
          </cell>
          <cell r="I32" t="str">
            <v>Lam</v>
          </cell>
          <cell r="J32">
            <v>55</v>
          </cell>
          <cell r="K32" t="str">
            <v>Kolluru</v>
          </cell>
          <cell r="L32">
            <v>35</v>
          </cell>
          <cell r="M32" t="str">
            <v>Vejandla</v>
          </cell>
          <cell r="N32">
            <v>37</v>
          </cell>
          <cell r="O32" t="str">
            <v>Vejandla</v>
          </cell>
          <cell r="P32">
            <v>37</v>
          </cell>
          <cell r="Q32" t="str">
            <v>Ponnuru</v>
          </cell>
          <cell r="R32">
            <v>14</v>
          </cell>
          <cell r="S32" t="str">
            <v>I.B patnam</v>
          </cell>
          <cell r="T32">
            <v>92</v>
          </cell>
          <cell r="Y32" t="str">
            <v>Ponnuru</v>
          </cell>
          <cell r="Z32">
            <v>14</v>
          </cell>
          <cell r="AA32">
            <v>0</v>
          </cell>
        </row>
        <row r="33">
          <cell r="A33">
            <v>29</v>
          </cell>
          <cell r="B33" t="str">
            <v>Allavaripalem</v>
          </cell>
          <cell r="C33" t="str">
            <v>Allavaripalem</v>
          </cell>
          <cell r="D33" t="str">
            <v>Cherukupalli</v>
          </cell>
          <cell r="E33" t="str">
            <v>Chandolu</v>
          </cell>
          <cell r="F33">
            <v>23</v>
          </cell>
          <cell r="G33" t="str">
            <v>Zoolapalem</v>
          </cell>
          <cell r="H33">
            <v>24</v>
          </cell>
          <cell r="I33" t="str">
            <v>Lam</v>
          </cell>
          <cell r="J33">
            <v>70</v>
          </cell>
          <cell r="K33" t="str">
            <v>Kolluru</v>
          </cell>
          <cell r="L33">
            <v>24</v>
          </cell>
          <cell r="M33" t="str">
            <v>Vejandla</v>
          </cell>
          <cell r="N33">
            <v>49</v>
          </cell>
          <cell r="O33" t="str">
            <v>Vejandla</v>
          </cell>
          <cell r="P33">
            <v>49</v>
          </cell>
          <cell r="Q33" t="str">
            <v>Ponnuru</v>
          </cell>
          <cell r="R33">
            <v>30</v>
          </cell>
          <cell r="S33" t="str">
            <v>I.B patnam</v>
          </cell>
          <cell r="T33">
            <v>96</v>
          </cell>
          <cell r="Y33" t="str">
            <v>Ponnuru</v>
          </cell>
          <cell r="Z33">
            <v>30</v>
          </cell>
          <cell r="AA33">
            <v>0</v>
          </cell>
        </row>
        <row r="34">
          <cell r="A34">
            <v>30</v>
          </cell>
          <cell r="B34" t="str">
            <v>Nadimpalli</v>
          </cell>
          <cell r="C34" t="str">
            <v>Anaganivaripalem</v>
          </cell>
          <cell r="D34" t="str">
            <v>Cherukupalli</v>
          </cell>
          <cell r="E34" t="str">
            <v>Chandolu</v>
          </cell>
          <cell r="F34">
            <v>16</v>
          </cell>
          <cell r="G34" t="str">
            <v>Zoolapalem</v>
          </cell>
          <cell r="H34">
            <v>26</v>
          </cell>
          <cell r="I34" t="str">
            <v>Lam</v>
          </cell>
          <cell r="J34">
            <v>63</v>
          </cell>
          <cell r="K34" t="str">
            <v>Kolluru</v>
          </cell>
          <cell r="L34">
            <v>26</v>
          </cell>
          <cell r="M34" t="str">
            <v>Vejandla</v>
          </cell>
          <cell r="N34">
            <v>42</v>
          </cell>
          <cell r="O34" t="str">
            <v>Vejandla</v>
          </cell>
          <cell r="P34">
            <v>42</v>
          </cell>
          <cell r="Q34" t="str">
            <v>Ponnuru</v>
          </cell>
          <cell r="R34">
            <v>23</v>
          </cell>
          <cell r="S34" t="str">
            <v>I.B patnam</v>
          </cell>
          <cell r="T34">
            <v>89</v>
          </cell>
          <cell r="Y34" t="str">
            <v>Ponnuru</v>
          </cell>
          <cell r="Z34">
            <v>23</v>
          </cell>
          <cell r="AA34">
            <v>0</v>
          </cell>
        </row>
        <row r="35">
          <cell r="A35">
            <v>31</v>
          </cell>
          <cell r="B35" t="str">
            <v>Arepalli</v>
          </cell>
          <cell r="C35" t="str">
            <v>Areapalli</v>
          </cell>
          <cell r="D35" t="str">
            <v>Cherukupalli</v>
          </cell>
          <cell r="E35" t="str">
            <v>Chandolu</v>
          </cell>
          <cell r="F35">
            <v>16</v>
          </cell>
          <cell r="G35" t="str">
            <v>Zoolapalem</v>
          </cell>
          <cell r="H35">
            <v>30</v>
          </cell>
          <cell r="I35" t="str">
            <v>Lam</v>
          </cell>
          <cell r="J35">
            <v>63</v>
          </cell>
          <cell r="K35" t="str">
            <v>Kolluru</v>
          </cell>
          <cell r="L35">
            <v>30</v>
          </cell>
          <cell r="M35" t="str">
            <v>Vejandla</v>
          </cell>
          <cell r="N35">
            <v>42</v>
          </cell>
          <cell r="O35" t="str">
            <v>Vejandla</v>
          </cell>
          <cell r="P35">
            <v>42</v>
          </cell>
          <cell r="Q35" t="str">
            <v>Ponnuru</v>
          </cell>
          <cell r="R35">
            <v>23</v>
          </cell>
          <cell r="S35" t="str">
            <v>I.B patnam</v>
          </cell>
          <cell r="T35">
            <v>90</v>
          </cell>
          <cell r="Y35" t="str">
            <v>Ponnuru</v>
          </cell>
          <cell r="Z35">
            <v>23</v>
          </cell>
          <cell r="AA35">
            <v>0</v>
          </cell>
        </row>
        <row r="36">
          <cell r="A36">
            <v>32</v>
          </cell>
          <cell r="B36" t="str">
            <v>Arumbaka</v>
          </cell>
          <cell r="C36" t="str">
            <v>Arumbaka</v>
          </cell>
          <cell r="D36" t="str">
            <v>Cherukupalli</v>
          </cell>
          <cell r="E36" t="str">
            <v>Chandolu</v>
          </cell>
          <cell r="F36">
            <v>10</v>
          </cell>
          <cell r="G36" t="str">
            <v>Zoolapalem</v>
          </cell>
          <cell r="H36">
            <v>29</v>
          </cell>
          <cell r="I36" t="str">
            <v>Lam</v>
          </cell>
          <cell r="J36">
            <v>57</v>
          </cell>
          <cell r="K36" t="str">
            <v>Kolluru</v>
          </cell>
          <cell r="L36">
            <v>29</v>
          </cell>
          <cell r="M36" t="str">
            <v>Vejandla</v>
          </cell>
          <cell r="N36">
            <v>38</v>
          </cell>
          <cell r="O36" t="str">
            <v>Vejandla</v>
          </cell>
          <cell r="P36">
            <v>38</v>
          </cell>
          <cell r="Q36" t="str">
            <v>Ponnuru</v>
          </cell>
          <cell r="R36">
            <v>17</v>
          </cell>
          <cell r="S36" t="str">
            <v>I.B patnam</v>
          </cell>
          <cell r="T36">
            <v>86</v>
          </cell>
          <cell r="Y36" t="str">
            <v>Ponnuru</v>
          </cell>
          <cell r="Z36">
            <v>17</v>
          </cell>
          <cell r="AA36">
            <v>0</v>
          </cell>
        </row>
        <row r="37">
          <cell r="A37">
            <v>33</v>
          </cell>
          <cell r="B37" t="str">
            <v>Balusulapalem</v>
          </cell>
          <cell r="C37" t="str">
            <v>Atlavenkatareddipalem</v>
          </cell>
          <cell r="D37" t="str">
            <v>Cherukupalli</v>
          </cell>
          <cell r="E37" t="str">
            <v>Chandolu</v>
          </cell>
          <cell r="F37">
            <v>9</v>
          </cell>
          <cell r="G37" t="str">
            <v>Zoolapalem</v>
          </cell>
          <cell r="H37">
            <v>35</v>
          </cell>
          <cell r="I37" t="str">
            <v>Lam</v>
          </cell>
          <cell r="J37">
            <v>56</v>
          </cell>
          <cell r="K37" t="str">
            <v>Kolluru</v>
          </cell>
          <cell r="L37">
            <v>35</v>
          </cell>
          <cell r="M37" t="str">
            <v>Vejandla</v>
          </cell>
          <cell r="N37">
            <v>38</v>
          </cell>
          <cell r="O37" t="str">
            <v>Vejandla</v>
          </cell>
          <cell r="P37">
            <v>38</v>
          </cell>
          <cell r="Q37" t="str">
            <v>Ponnuru</v>
          </cell>
          <cell r="R37">
            <v>15</v>
          </cell>
          <cell r="S37" t="str">
            <v>I.B patnam</v>
          </cell>
          <cell r="T37">
            <v>92</v>
          </cell>
          <cell r="Y37" t="str">
            <v>Ponnuru</v>
          </cell>
          <cell r="Z37">
            <v>15</v>
          </cell>
          <cell r="AA37">
            <v>0</v>
          </cell>
        </row>
        <row r="38">
          <cell r="A38">
            <v>34</v>
          </cell>
          <cell r="B38" t="str">
            <v>Arepalli</v>
          </cell>
          <cell r="C38" t="str">
            <v>Avulavaripalem</v>
          </cell>
          <cell r="D38" t="str">
            <v>Cherukupalli</v>
          </cell>
          <cell r="E38" t="str">
            <v>Chandolu</v>
          </cell>
          <cell r="F38">
            <v>19</v>
          </cell>
          <cell r="G38" t="str">
            <v>Zoolapalem</v>
          </cell>
          <cell r="H38">
            <v>29</v>
          </cell>
          <cell r="I38" t="str">
            <v>Lam</v>
          </cell>
          <cell r="J38">
            <v>66</v>
          </cell>
          <cell r="K38" t="str">
            <v>Kolluru</v>
          </cell>
          <cell r="L38">
            <v>29</v>
          </cell>
          <cell r="M38" t="str">
            <v>Vejandla</v>
          </cell>
          <cell r="N38">
            <v>45</v>
          </cell>
          <cell r="O38" t="str">
            <v>Vejandla</v>
          </cell>
          <cell r="P38">
            <v>45</v>
          </cell>
          <cell r="Q38" t="str">
            <v>Ponnuru</v>
          </cell>
          <cell r="R38">
            <v>26</v>
          </cell>
          <cell r="S38" t="str">
            <v>I.B patnam</v>
          </cell>
          <cell r="T38">
            <v>92</v>
          </cell>
          <cell r="Y38" t="str">
            <v>Ponnuru</v>
          </cell>
          <cell r="Z38">
            <v>26</v>
          </cell>
          <cell r="AA38">
            <v>0</v>
          </cell>
        </row>
        <row r="39">
          <cell r="A39">
            <v>35</v>
          </cell>
          <cell r="B39" t="str">
            <v>Arepalli</v>
          </cell>
          <cell r="C39" t="str">
            <v>Badevaripalem</v>
          </cell>
          <cell r="D39" t="str">
            <v>Cherukupalli</v>
          </cell>
          <cell r="E39" t="str">
            <v>Chandolu</v>
          </cell>
          <cell r="F39">
            <v>19</v>
          </cell>
          <cell r="G39" t="str">
            <v>Zoolapalem</v>
          </cell>
          <cell r="H39">
            <v>29</v>
          </cell>
          <cell r="I39" t="str">
            <v>Lam</v>
          </cell>
          <cell r="J39">
            <v>66</v>
          </cell>
          <cell r="K39" t="str">
            <v>Kolluru</v>
          </cell>
          <cell r="L39">
            <v>29</v>
          </cell>
          <cell r="M39" t="str">
            <v>Vejandla</v>
          </cell>
          <cell r="N39">
            <v>45</v>
          </cell>
          <cell r="O39" t="str">
            <v>Vejandla</v>
          </cell>
          <cell r="P39">
            <v>45</v>
          </cell>
          <cell r="Q39" t="str">
            <v>Ponnuru</v>
          </cell>
          <cell r="R39">
            <v>26</v>
          </cell>
          <cell r="S39" t="str">
            <v>I.B patnam</v>
          </cell>
          <cell r="T39">
            <v>92</v>
          </cell>
          <cell r="Y39" t="str">
            <v>Ponnuru</v>
          </cell>
          <cell r="Z39">
            <v>26</v>
          </cell>
          <cell r="AA39">
            <v>0</v>
          </cell>
        </row>
        <row r="40">
          <cell r="A40">
            <v>36</v>
          </cell>
          <cell r="B40" t="str">
            <v>Balusulapalem</v>
          </cell>
          <cell r="C40" t="str">
            <v>Balusulapalem</v>
          </cell>
          <cell r="D40" t="str">
            <v>Cherukupalli</v>
          </cell>
          <cell r="E40" t="str">
            <v>Chandolu</v>
          </cell>
          <cell r="F40">
            <v>12</v>
          </cell>
          <cell r="G40" t="str">
            <v>Zoolapalem</v>
          </cell>
          <cell r="H40">
            <v>32</v>
          </cell>
          <cell r="I40" t="str">
            <v>Lam</v>
          </cell>
          <cell r="J40">
            <v>59</v>
          </cell>
          <cell r="K40" t="str">
            <v>Kolluru</v>
          </cell>
          <cell r="L40">
            <v>32</v>
          </cell>
          <cell r="M40" t="str">
            <v>Vejandla</v>
          </cell>
          <cell r="N40">
            <v>41</v>
          </cell>
          <cell r="O40" t="str">
            <v>Vejandla</v>
          </cell>
          <cell r="P40">
            <v>41</v>
          </cell>
          <cell r="Q40" t="str">
            <v>Ponnuru</v>
          </cell>
          <cell r="R40">
            <v>18</v>
          </cell>
          <cell r="S40" t="str">
            <v>I.B patnam</v>
          </cell>
          <cell r="T40">
            <v>89</v>
          </cell>
          <cell r="Y40" t="str">
            <v>Ponnuru</v>
          </cell>
          <cell r="Z40">
            <v>18</v>
          </cell>
          <cell r="AA40">
            <v>0</v>
          </cell>
        </row>
        <row r="41">
          <cell r="A41">
            <v>37</v>
          </cell>
          <cell r="B41" t="str">
            <v>Balusulapalem</v>
          </cell>
          <cell r="C41" t="str">
            <v>Bysanivaripalem</v>
          </cell>
          <cell r="D41" t="str">
            <v>Cherukupalli</v>
          </cell>
          <cell r="E41" t="str">
            <v>Chandolu</v>
          </cell>
          <cell r="F41">
            <v>12</v>
          </cell>
          <cell r="G41" t="str">
            <v>Zoolapalem</v>
          </cell>
          <cell r="H41">
            <v>32</v>
          </cell>
          <cell r="I41" t="str">
            <v>Lam</v>
          </cell>
          <cell r="J41">
            <v>59</v>
          </cell>
          <cell r="K41" t="str">
            <v>Kolluru</v>
          </cell>
          <cell r="L41">
            <v>32</v>
          </cell>
          <cell r="M41" t="str">
            <v>Vejandla</v>
          </cell>
          <cell r="N41">
            <v>41</v>
          </cell>
          <cell r="O41" t="str">
            <v>Vejandla</v>
          </cell>
          <cell r="P41">
            <v>41</v>
          </cell>
          <cell r="Q41" t="str">
            <v>Ponnuru</v>
          </cell>
          <cell r="R41">
            <v>18</v>
          </cell>
          <cell r="S41" t="str">
            <v>I.B patnam</v>
          </cell>
          <cell r="T41">
            <v>89</v>
          </cell>
          <cell r="Y41" t="str">
            <v>Ponnuru</v>
          </cell>
          <cell r="Z41">
            <v>18</v>
          </cell>
          <cell r="AA41">
            <v>0</v>
          </cell>
        </row>
        <row r="42">
          <cell r="A42">
            <v>38</v>
          </cell>
          <cell r="B42" t="str">
            <v>Cherukupalli</v>
          </cell>
          <cell r="C42" t="str">
            <v>Cherukupalli</v>
          </cell>
          <cell r="D42" t="str">
            <v>Cherukupalli</v>
          </cell>
          <cell r="E42" t="str">
            <v>Chandolu</v>
          </cell>
          <cell r="F42">
            <v>11</v>
          </cell>
          <cell r="G42" t="str">
            <v>Zoolapalem</v>
          </cell>
          <cell r="H42">
            <v>28</v>
          </cell>
          <cell r="I42" t="str">
            <v>Lam</v>
          </cell>
          <cell r="J42">
            <v>58</v>
          </cell>
          <cell r="K42" t="str">
            <v>Kolluru</v>
          </cell>
          <cell r="L42">
            <v>28</v>
          </cell>
          <cell r="M42" t="str">
            <v>Vejandla</v>
          </cell>
          <cell r="N42">
            <v>37</v>
          </cell>
          <cell r="O42" t="str">
            <v>Vejandla</v>
          </cell>
          <cell r="P42">
            <v>37</v>
          </cell>
          <cell r="Q42" t="str">
            <v>Ponnuru</v>
          </cell>
          <cell r="R42">
            <v>18</v>
          </cell>
          <cell r="S42" t="str">
            <v>I.B patnam</v>
          </cell>
          <cell r="T42">
            <v>85</v>
          </cell>
          <cell r="Y42" t="str">
            <v>Ponnuru</v>
          </cell>
          <cell r="Z42">
            <v>18</v>
          </cell>
          <cell r="AA42">
            <v>0</v>
          </cell>
        </row>
        <row r="43">
          <cell r="A43">
            <v>39</v>
          </cell>
          <cell r="B43" t="str">
            <v>Arepalli</v>
          </cell>
          <cell r="C43" t="str">
            <v>Domavaripalem</v>
          </cell>
          <cell r="D43" t="str">
            <v>Cherukupalli</v>
          </cell>
          <cell r="E43" t="str">
            <v>Chandolu</v>
          </cell>
          <cell r="F43">
            <v>15</v>
          </cell>
          <cell r="G43" t="str">
            <v>Zoolapalem</v>
          </cell>
          <cell r="H43">
            <v>32</v>
          </cell>
          <cell r="I43" t="str">
            <v>Lam</v>
          </cell>
          <cell r="J43">
            <v>62</v>
          </cell>
          <cell r="K43" t="str">
            <v>Kolluru</v>
          </cell>
          <cell r="L43">
            <v>32</v>
          </cell>
          <cell r="M43" t="str">
            <v>Vejandla</v>
          </cell>
          <cell r="N43">
            <v>41</v>
          </cell>
          <cell r="O43" t="str">
            <v>Vejandla</v>
          </cell>
          <cell r="P43">
            <v>41</v>
          </cell>
          <cell r="Q43" t="str">
            <v>Ponnuru</v>
          </cell>
          <cell r="R43">
            <v>22</v>
          </cell>
          <cell r="S43" t="str">
            <v>I.B patnam</v>
          </cell>
          <cell r="T43">
            <v>89</v>
          </cell>
          <cell r="Y43" t="str">
            <v>Ponnuru</v>
          </cell>
          <cell r="Z43">
            <v>22</v>
          </cell>
          <cell r="AA43">
            <v>0</v>
          </cell>
        </row>
        <row r="44">
          <cell r="A44">
            <v>40</v>
          </cell>
          <cell r="B44" t="str">
            <v>Thummalapalem</v>
          </cell>
          <cell r="C44" t="str">
            <v>Dundivenkatareddipalem</v>
          </cell>
          <cell r="D44" t="str">
            <v>Cherukupalli</v>
          </cell>
          <cell r="E44" t="str">
            <v>Chandolu</v>
          </cell>
          <cell r="F44">
            <v>9</v>
          </cell>
          <cell r="G44" t="str">
            <v>Zoolapalem</v>
          </cell>
          <cell r="H44">
            <v>35</v>
          </cell>
          <cell r="I44" t="str">
            <v>Lam</v>
          </cell>
          <cell r="J44">
            <v>55</v>
          </cell>
          <cell r="K44" t="str">
            <v>Kolluru</v>
          </cell>
          <cell r="L44">
            <v>35</v>
          </cell>
          <cell r="M44" t="str">
            <v>Vejandla</v>
          </cell>
          <cell r="N44">
            <v>37</v>
          </cell>
          <cell r="O44" t="str">
            <v>Vejandla</v>
          </cell>
          <cell r="P44">
            <v>37</v>
          </cell>
          <cell r="Q44" t="str">
            <v>Ponnuru</v>
          </cell>
          <cell r="R44">
            <v>14</v>
          </cell>
          <cell r="S44" t="str">
            <v>I.B patnam</v>
          </cell>
          <cell r="T44">
            <v>92</v>
          </cell>
          <cell r="Y44" t="str">
            <v>Ponnuru</v>
          </cell>
          <cell r="Z44">
            <v>14</v>
          </cell>
          <cell r="AA44">
            <v>0</v>
          </cell>
        </row>
        <row r="45">
          <cell r="A45">
            <v>41</v>
          </cell>
          <cell r="B45" t="str">
            <v>Arepalli</v>
          </cell>
          <cell r="C45" t="str">
            <v>Gandhinagar</v>
          </cell>
          <cell r="D45" t="str">
            <v>Cherukupalli</v>
          </cell>
          <cell r="E45" t="str">
            <v>Chandolu</v>
          </cell>
          <cell r="F45">
            <v>19</v>
          </cell>
          <cell r="G45" t="str">
            <v>Zoolapalem</v>
          </cell>
          <cell r="H45">
            <v>29</v>
          </cell>
          <cell r="I45" t="str">
            <v>Lam</v>
          </cell>
          <cell r="J45">
            <v>66</v>
          </cell>
          <cell r="K45" t="str">
            <v>Kolluru</v>
          </cell>
          <cell r="L45">
            <v>29</v>
          </cell>
          <cell r="M45" t="str">
            <v>Vejandla</v>
          </cell>
          <cell r="N45">
            <v>45</v>
          </cell>
          <cell r="O45" t="str">
            <v>Vejandla</v>
          </cell>
          <cell r="P45">
            <v>45</v>
          </cell>
          <cell r="Q45" t="str">
            <v>Ponnuru</v>
          </cell>
          <cell r="R45">
            <v>26</v>
          </cell>
          <cell r="S45" t="str">
            <v>I.B patnam</v>
          </cell>
          <cell r="T45">
            <v>92</v>
          </cell>
          <cell r="Y45" t="str">
            <v>Ponnuru</v>
          </cell>
          <cell r="Z45">
            <v>26</v>
          </cell>
          <cell r="AA45">
            <v>0</v>
          </cell>
        </row>
        <row r="46">
          <cell r="A46">
            <v>42</v>
          </cell>
          <cell r="B46" t="str">
            <v>Balusulapalem</v>
          </cell>
          <cell r="C46" t="str">
            <v>Gangiboinavaripalem</v>
          </cell>
          <cell r="D46" t="str">
            <v>Cherukupalli</v>
          </cell>
          <cell r="E46" t="str">
            <v>Chandolu</v>
          </cell>
          <cell r="F46">
            <v>9</v>
          </cell>
          <cell r="G46" t="str">
            <v>Zoolapalem</v>
          </cell>
          <cell r="H46">
            <v>35</v>
          </cell>
          <cell r="I46" t="str">
            <v>Lam</v>
          </cell>
          <cell r="J46">
            <v>56</v>
          </cell>
          <cell r="K46" t="str">
            <v>Kolluru</v>
          </cell>
          <cell r="L46">
            <v>35</v>
          </cell>
          <cell r="M46" t="str">
            <v>Vejandla</v>
          </cell>
          <cell r="N46">
            <v>38</v>
          </cell>
          <cell r="O46" t="str">
            <v>Vejandla</v>
          </cell>
          <cell r="P46">
            <v>38</v>
          </cell>
          <cell r="Q46" t="str">
            <v>Ponnuru</v>
          </cell>
          <cell r="R46">
            <v>15</v>
          </cell>
          <cell r="S46" t="str">
            <v>I.B patnam</v>
          </cell>
          <cell r="T46">
            <v>92</v>
          </cell>
          <cell r="Y46" t="str">
            <v>Ponnuru</v>
          </cell>
          <cell r="Z46">
            <v>15</v>
          </cell>
          <cell r="AA46">
            <v>0</v>
          </cell>
        </row>
        <row r="47">
          <cell r="A47">
            <v>43</v>
          </cell>
          <cell r="B47" t="str">
            <v>Nadimpalli</v>
          </cell>
          <cell r="C47" t="str">
            <v>Gollapalem</v>
          </cell>
          <cell r="D47" t="str">
            <v>Cherukupalli</v>
          </cell>
          <cell r="E47" t="str">
            <v>Chandolu</v>
          </cell>
          <cell r="F47">
            <v>16</v>
          </cell>
          <cell r="G47" t="str">
            <v>Zoolapalem</v>
          </cell>
          <cell r="H47">
            <v>23</v>
          </cell>
          <cell r="I47" t="str">
            <v>Lam</v>
          </cell>
          <cell r="J47">
            <v>63</v>
          </cell>
          <cell r="K47" t="str">
            <v>Kolluru</v>
          </cell>
          <cell r="L47">
            <v>23</v>
          </cell>
          <cell r="M47" t="str">
            <v>Vejandla</v>
          </cell>
          <cell r="N47">
            <v>42</v>
          </cell>
          <cell r="O47" t="str">
            <v>Vejandla</v>
          </cell>
          <cell r="P47">
            <v>42</v>
          </cell>
          <cell r="Q47" t="str">
            <v>Ponnuru</v>
          </cell>
          <cell r="R47">
            <v>23</v>
          </cell>
          <cell r="S47" t="str">
            <v>I.B patnam</v>
          </cell>
          <cell r="T47">
            <v>89</v>
          </cell>
          <cell r="Y47" t="str">
            <v>Ponnuru</v>
          </cell>
          <cell r="Z47">
            <v>23</v>
          </cell>
          <cell r="AA47">
            <v>0</v>
          </cell>
        </row>
        <row r="48">
          <cell r="A48">
            <v>44</v>
          </cell>
          <cell r="B48" t="str">
            <v>Gudavalli</v>
          </cell>
          <cell r="C48" t="str">
            <v>Gudavalli</v>
          </cell>
          <cell r="D48" t="str">
            <v>Cherukupalli</v>
          </cell>
          <cell r="E48" t="str">
            <v>Chandolu</v>
          </cell>
          <cell r="F48">
            <v>17</v>
          </cell>
          <cell r="G48" t="str">
            <v>Zoolapalem</v>
          </cell>
          <cell r="H48">
            <v>22</v>
          </cell>
          <cell r="I48" t="str">
            <v>Lam</v>
          </cell>
          <cell r="J48">
            <v>64</v>
          </cell>
          <cell r="K48" t="str">
            <v>Kolluru</v>
          </cell>
          <cell r="L48">
            <v>22</v>
          </cell>
          <cell r="M48" t="str">
            <v>Vejandla</v>
          </cell>
          <cell r="N48">
            <v>43</v>
          </cell>
          <cell r="O48" t="str">
            <v>Vejandla</v>
          </cell>
          <cell r="P48">
            <v>43</v>
          </cell>
          <cell r="Q48" t="str">
            <v>Ponnuru</v>
          </cell>
          <cell r="R48">
            <v>24</v>
          </cell>
          <cell r="S48" t="str">
            <v>I.B patnam</v>
          </cell>
          <cell r="T48">
            <v>90</v>
          </cell>
          <cell r="Y48" t="str">
            <v>Ponnuru</v>
          </cell>
          <cell r="Z48">
            <v>24</v>
          </cell>
          <cell r="AA48">
            <v>0</v>
          </cell>
        </row>
        <row r="49">
          <cell r="A49">
            <v>45</v>
          </cell>
          <cell r="B49" t="str">
            <v>Gullapalli</v>
          </cell>
          <cell r="C49" t="str">
            <v>Gullapalli</v>
          </cell>
          <cell r="D49" t="str">
            <v>Cherukupalli</v>
          </cell>
          <cell r="E49" t="str">
            <v>Chandolu</v>
          </cell>
          <cell r="F49">
            <v>12</v>
          </cell>
          <cell r="G49" t="str">
            <v>Zoolapalem</v>
          </cell>
          <cell r="H49">
            <v>27</v>
          </cell>
          <cell r="I49" t="str">
            <v>Lam</v>
          </cell>
          <cell r="J49">
            <v>59</v>
          </cell>
          <cell r="K49" t="str">
            <v>Kolluru</v>
          </cell>
          <cell r="L49">
            <v>27</v>
          </cell>
          <cell r="M49" t="str">
            <v>Vejandla</v>
          </cell>
          <cell r="N49">
            <v>38</v>
          </cell>
          <cell r="O49" t="str">
            <v>Vejandla</v>
          </cell>
          <cell r="P49">
            <v>38</v>
          </cell>
          <cell r="Q49" t="str">
            <v>Ponnuru</v>
          </cell>
          <cell r="R49">
            <v>19</v>
          </cell>
          <cell r="S49" t="str">
            <v>I.B patnam</v>
          </cell>
          <cell r="T49">
            <v>86</v>
          </cell>
          <cell r="Y49" t="str">
            <v>Ponnuru</v>
          </cell>
          <cell r="Z49">
            <v>19</v>
          </cell>
          <cell r="AA49">
            <v>0</v>
          </cell>
        </row>
        <row r="50">
          <cell r="A50">
            <v>46</v>
          </cell>
          <cell r="B50" t="str">
            <v>Arumbaka</v>
          </cell>
          <cell r="C50" t="str">
            <v>Harijanawada H/O Arumbaka</v>
          </cell>
          <cell r="D50" t="str">
            <v>Cherukupalli</v>
          </cell>
          <cell r="E50" t="str">
            <v>Chandolu</v>
          </cell>
          <cell r="F50">
            <v>10</v>
          </cell>
          <cell r="G50" t="str">
            <v>Zoolapalem</v>
          </cell>
          <cell r="H50">
            <v>29</v>
          </cell>
          <cell r="I50" t="str">
            <v>Lam</v>
          </cell>
          <cell r="J50">
            <v>57</v>
          </cell>
          <cell r="K50" t="str">
            <v>Kolluru</v>
          </cell>
          <cell r="L50">
            <v>29</v>
          </cell>
          <cell r="M50" t="str">
            <v>Vejandla</v>
          </cell>
          <cell r="N50">
            <v>38</v>
          </cell>
          <cell r="O50" t="str">
            <v>Vejandla</v>
          </cell>
          <cell r="P50">
            <v>38</v>
          </cell>
          <cell r="Q50" t="str">
            <v>Ponnuru</v>
          </cell>
          <cell r="R50">
            <v>17</v>
          </cell>
          <cell r="S50" t="str">
            <v>I.B patnam</v>
          </cell>
          <cell r="T50">
            <v>86</v>
          </cell>
          <cell r="Y50" t="str">
            <v>Ponnuru</v>
          </cell>
          <cell r="Z50">
            <v>17</v>
          </cell>
          <cell r="AA50">
            <v>0</v>
          </cell>
        </row>
        <row r="51">
          <cell r="A51">
            <v>47</v>
          </cell>
          <cell r="B51" t="str">
            <v>Thummalapalem</v>
          </cell>
          <cell r="C51" t="str">
            <v>Jonnalagaddavaripalem</v>
          </cell>
          <cell r="D51" t="str">
            <v>Cherukupalli</v>
          </cell>
          <cell r="E51" t="str">
            <v>Chandolu</v>
          </cell>
          <cell r="F51">
            <v>10</v>
          </cell>
          <cell r="G51" t="str">
            <v>Zoolapalem</v>
          </cell>
          <cell r="H51">
            <v>32</v>
          </cell>
          <cell r="I51" t="str">
            <v>Lam</v>
          </cell>
          <cell r="J51">
            <v>57</v>
          </cell>
          <cell r="K51" t="str">
            <v>Kolluru</v>
          </cell>
          <cell r="L51">
            <v>32</v>
          </cell>
          <cell r="M51" t="str">
            <v>Vejandla</v>
          </cell>
          <cell r="N51">
            <v>41</v>
          </cell>
          <cell r="O51" t="str">
            <v>Vejandla</v>
          </cell>
          <cell r="P51">
            <v>41</v>
          </cell>
          <cell r="Q51" t="str">
            <v>Ponnuru</v>
          </cell>
          <cell r="R51">
            <v>15</v>
          </cell>
          <cell r="S51" t="str">
            <v>I.B patnam</v>
          </cell>
          <cell r="T51">
            <v>88</v>
          </cell>
          <cell r="Y51" t="str">
            <v>Ponnuru</v>
          </cell>
          <cell r="Z51">
            <v>15</v>
          </cell>
          <cell r="AA51">
            <v>0</v>
          </cell>
        </row>
        <row r="52">
          <cell r="A52">
            <v>48</v>
          </cell>
          <cell r="B52" t="str">
            <v>Arumbaka</v>
          </cell>
          <cell r="C52" t="str">
            <v>Kaminenivaripalem</v>
          </cell>
          <cell r="D52" t="str">
            <v>Cherukupalli</v>
          </cell>
          <cell r="E52" t="str">
            <v>Chandolu</v>
          </cell>
          <cell r="F52">
            <v>13</v>
          </cell>
          <cell r="G52" t="str">
            <v>Zoolapalem</v>
          </cell>
          <cell r="H52">
            <v>30</v>
          </cell>
          <cell r="I52" t="str">
            <v>Lam</v>
          </cell>
          <cell r="J52">
            <v>60</v>
          </cell>
          <cell r="K52" t="str">
            <v>Kolluru</v>
          </cell>
          <cell r="L52">
            <v>30</v>
          </cell>
          <cell r="M52" t="str">
            <v>Vejandla</v>
          </cell>
          <cell r="N52">
            <v>39</v>
          </cell>
          <cell r="O52" t="str">
            <v>Vejandla</v>
          </cell>
          <cell r="P52">
            <v>39</v>
          </cell>
          <cell r="Q52" t="str">
            <v>Ponnuru</v>
          </cell>
          <cell r="R52">
            <v>20</v>
          </cell>
          <cell r="S52" t="str">
            <v>I.B patnam</v>
          </cell>
          <cell r="T52">
            <v>87</v>
          </cell>
          <cell r="Y52" t="str">
            <v>Ponnuru</v>
          </cell>
          <cell r="Z52">
            <v>20</v>
          </cell>
          <cell r="AA52">
            <v>0</v>
          </cell>
        </row>
        <row r="53">
          <cell r="A53">
            <v>49</v>
          </cell>
          <cell r="B53" t="str">
            <v>Kanagala</v>
          </cell>
          <cell r="C53" t="str">
            <v>Kanagala</v>
          </cell>
          <cell r="D53" t="str">
            <v>Cherukupalli</v>
          </cell>
          <cell r="E53" t="str">
            <v>Chandolu</v>
          </cell>
          <cell r="F53">
            <v>19</v>
          </cell>
          <cell r="G53" t="str">
            <v>Zoolapalem</v>
          </cell>
          <cell r="H53">
            <v>20</v>
          </cell>
          <cell r="I53" t="str">
            <v>Lam</v>
          </cell>
          <cell r="J53">
            <v>66</v>
          </cell>
          <cell r="K53" t="str">
            <v>Kolluru</v>
          </cell>
          <cell r="L53">
            <v>20</v>
          </cell>
          <cell r="M53" t="str">
            <v>Vejandla</v>
          </cell>
          <cell r="N53">
            <v>45</v>
          </cell>
          <cell r="O53" t="str">
            <v>Vejandla</v>
          </cell>
          <cell r="P53">
            <v>45</v>
          </cell>
          <cell r="Q53" t="str">
            <v>Ponnuru</v>
          </cell>
          <cell r="R53">
            <v>26</v>
          </cell>
          <cell r="S53" t="str">
            <v>I.B patnam</v>
          </cell>
          <cell r="T53">
            <v>92</v>
          </cell>
          <cell r="Y53" t="str">
            <v>Ponnuru</v>
          </cell>
          <cell r="Z53">
            <v>26</v>
          </cell>
          <cell r="AA53">
            <v>0</v>
          </cell>
        </row>
        <row r="54">
          <cell r="A54">
            <v>50</v>
          </cell>
          <cell r="B54" t="str">
            <v>Kavuru</v>
          </cell>
          <cell r="C54" t="str">
            <v>Kavuru</v>
          </cell>
          <cell r="D54" t="str">
            <v>Cherukupalli</v>
          </cell>
          <cell r="E54" t="str">
            <v>Chandolu</v>
          </cell>
          <cell r="F54">
            <v>9</v>
          </cell>
          <cell r="G54" t="str">
            <v>Zoolapalem</v>
          </cell>
          <cell r="H54">
            <v>31</v>
          </cell>
          <cell r="I54" t="str">
            <v>Lam</v>
          </cell>
          <cell r="J54">
            <v>56</v>
          </cell>
          <cell r="K54" t="str">
            <v>Kolluru</v>
          </cell>
          <cell r="L54">
            <v>31</v>
          </cell>
          <cell r="M54" t="str">
            <v>Vejandla</v>
          </cell>
          <cell r="N54">
            <v>40</v>
          </cell>
          <cell r="O54" t="str">
            <v>Vejandla</v>
          </cell>
          <cell r="P54">
            <v>40</v>
          </cell>
          <cell r="Q54" t="str">
            <v>Ponnuru</v>
          </cell>
          <cell r="R54">
            <v>15</v>
          </cell>
          <cell r="S54" t="str">
            <v>I.B patnam</v>
          </cell>
          <cell r="T54">
            <v>88</v>
          </cell>
          <cell r="Y54" t="str">
            <v>Ponnuru</v>
          </cell>
          <cell r="Z54">
            <v>15</v>
          </cell>
          <cell r="AA54">
            <v>0</v>
          </cell>
        </row>
        <row r="55">
          <cell r="A55">
            <v>51</v>
          </cell>
          <cell r="B55" t="str">
            <v>Kunchalavaripalem</v>
          </cell>
          <cell r="C55" t="str">
            <v>Kunchalavaripalem</v>
          </cell>
          <cell r="D55" t="str">
            <v>Cherukupalli</v>
          </cell>
          <cell r="E55" t="str">
            <v>Chandolu</v>
          </cell>
          <cell r="F55">
            <v>4</v>
          </cell>
          <cell r="G55" t="str">
            <v>Zoolapalem</v>
          </cell>
          <cell r="H55">
            <v>35</v>
          </cell>
          <cell r="I55" t="str">
            <v>Lam</v>
          </cell>
          <cell r="J55">
            <v>51</v>
          </cell>
          <cell r="K55" t="str">
            <v>Kolluru</v>
          </cell>
          <cell r="L55">
            <v>35</v>
          </cell>
          <cell r="M55" t="str">
            <v>Vejandla</v>
          </cell>
          <cell r="N55">
            <v>33</v>
          </cell>
          <cell r="O55" t="str">
            <v>Vejandla</v>
          </cell>
          <cell r="P55">
            <v>33</v>
          </cell>
          <cell r="Q55" t="str">
            <v>Ponnuru</v>
          </cell>
          <cell r="R55">
            <v>10</v>
          </cell>
          <cell r="S55" t="str">
            <v>I.B patnam</v>
          </cell>
          <cell r="T55">
            <v>92</v>
          </cell>
          <cell r="Y55" t="str">
            <v>Ponnuru</v>
          </cell>
          <cell r="Z55">
            <v>10</v>
          </cell>
          <cell r="AA55">
            <v>0</v>
          </cell>
        </row>
        <row r="56">
          <cell r="A56">
            <v>52</v>
          </cell>
          <cell r="B56" t="str">
            <v>Gullapalli</v>
          </cell>
          <cell r="C56" t="str">
            <v>Kurrapalem</v>
          </cell>
          <cell r="D56" t="str">
            <v>Cherukupalli</v>
          </cell>
          <cell r="E56" t="str">
            <v>Chandolu</v>
          </cell>
          <cell r="F56">
            <v>14</v>
          </cell>
          <cell r="G56" t="str">
            <v>Zoolapalem</v>
          </cell>
          <cell r="H56">
            <v>29</v>
          </cell>
          <cell r="I56" t="str">
            <v>Lam</v>
          </cell>
          <cell r="J56">
            <v>61</v>
          </cell>
          <cell r="K56" t="str">
            <v>Kolluru</v>
          </cell>
          <cell r="L56">
            <v>29</v>
          </cell>
          <cell r="M56" t="str">
            <v>Vejandla</v>
          </cell>
          <cell r="N56">
            <v>40</v>
          </cell>
          <cell r="O56" t="str">
            <v>Vejandla</v>
          </cell>
          <cell r="P56">
            <v>40</v>
          </cell>
          <cell r="Q56" t="str">
            <v>Ponnuru</v>
          </cell>
          <cell r="R56">
            <v>21</v>
          </cell>
          <cell r="S56" t="str">
            <v>I.B patnam</v>
          </cell>
          <cell r="T56">
            <v>88</v>
          </cell>
          <cell r="Y56" t="str">
            <v>Ponnuru</v>
          </cell>
          <cell r="Z56">
            <v>21</v>
          </cell>
          <cell r="AA56">
            <v>0</v>
          </cell>
        </row>
        <row r="57">
          <cell r="A57">
            <v>53</v>
          </cell>
          <cell r="B57" t="str">
            <v>Allavaripalem</v>
          </cell>
          <cell r="C57" t="str">
            <v>Kuretivaripalem</v>
          </cell>
          <cell r="D57" t="str">
            <v>Cherukupalli</v>
          </cell>
          <cell r="E57" t="str">
            <v>Chandolu</v>
          </cell>
          <cell r="F57">
            <v>24</v>
          </cell>
          <cell r="G57" t="str">
            <v>Zoolapalem</v>
          </cell>
          <cell r="H57">
            <v>25</v>
          </cell>
          <cell r="I57" t="str">
            <v>Lam</v>
          </cell>
          <cell r="J57">
            <v>71</v>
          </cell>
          <cell r="K57" t="str">
            <v>Kolluru</v>
          </cell>
          <cell r="L57">
            <v>25</v>
          </cell>
          <cell r="M57" t="str">
            <v>Vejandla</v>
          </cell>
          <cell r="N57">
            <v>50</v>
          </cell>
          <cell r="O57" t="str">
            <v>Vejandla</v>
          </cell>
          <cell r="P57">
            <v>50</v>
          </cell>
          <cell r="Q57" t="str">
            <v>Ponnuru</v>
          </cell>
          <cell r="R57">
            <v>31</v>
          </cell>
          <cell r="S57" t="str">
            <v>I.B patnam</v>
          </cell>
          <cell r="T57">
            <v>97</v>
          </cell>
          <cell r="Y57" t="str">
            <v>Ponnuru</v>
          </cell>
          <cell r="Z57">
            <v>31</v>
          </cell>
          <cell r="AA57">
            <v>0</v>
          </cell>
        </row>
        <row r="58">
          <cell r="A58">
            <v>54</v>
          </cell>
          <cell r="B58" t="str">
            <v>Nadimpalli</v>
          </cell>
          <cell r="C58" t="str">
            <v>Madigapalli H/O Nadimpalli</v>
          </cell>
          <cell r="D58" t="str">
            <v>Cherukupalli</v>
          </cell>
          <cell r="E58" t="str">
            <v>Chandolu</v>
          </cell>
          <cell r="F58">
            <v>16</v>
          </cell>
          <cell r="G58" t="str">
            <v>Zoolapalem</v>
          </cell>
          <cell r="H58">
            <v>23</v>
          </cell>
          <cell r="I58" t="str">
            <v>Lam</v>
          </cell>
          <cell r="J58">
            <v>63</v>
          </cell>
          <cell r="K58" t="str">
            <v>Kolluru</v>
          </cell>
          <cell r="L58">
            <v>23</v>
          </cell>
          <cell r="M58" t="str">
            <v>Vejandla</v>
          </cell>
          <cell r="N58">
            <v>42</v>
          </cell>
          <cell r="O58" t="str">
            <v>Vejandla</v>
          </cell>
          <cell r="P58">
            <v>42</v>
          </cell>
          <cell r="Q58" t="str">
            <v>Ponnuru</v>
          </cell>
          <cell r="R58">
            <v>23</v>
          </cell>
          <cell r="S58" t="str">
            <v>I.B patnam</v>
          </cell>
          <cell r="T58">
            <v>89</v>
          </cell>
          <cell r="Y58" t="str">
            <v>Ponnuru</v>
          </cell>
          <cell r="Z58">
            <v>23</v>
          </cell>
          <cell r="AA58">
            <v>0</v>
          </cell>
        </row>
        <row r="59">
          <cell r="A59">
            <v>55</v>
          </cell>
          <cell r="B59" t="str">
            <v>Balusulapalem</v>
          </cell>
          <cell r="C59" t="str">
            <v>Malapalli of Arepalli</v>
          </cell>
          <cell r="D59" t="str">
            <v>Cherukupalli</v>
          </cell>
          <cell r="E59" t="str">
            <v>Chandolu</v>
          </cell>
          <cell r="F59">
            <v>16</v>
          </cell>
          <cell r="G59" t="str">
            <v>Zoolapalem</v>
          </cell>
          <cell r="H59">
            <v>30</v>
          </cell>
          <cell r="I59" t="str">
            <v>Lam</v>
          </cell>
          <cell r="J59">
            <v>63</v>
          </cell>
          <cell r="K59" t="str">
            <v>Kolluru</v>
          </cell>
          <cell r="L59">
            <v>30</v>
          </cell>
          <cell r="M59" t="str">
            <v>Vejandla</v>
          </cell>
          <cell r="N59">
            <v>42</v>
          </cell>
          <cell r="O59" t="str">
            <v>Vejandla</v>
          </cell>
          <cell r="P59">
            <v>42</v>
          </cell>
          <cell r="Q59" t="str">
            <v>Ponnuru</v>
          </cell>
          <cell r="R59">
            <v>23</v>
          </cell>
          <cell r="S59" t="str">
            <v>I.B patnam</v>
          </cell>
          <cell r="T59">
            <v>90</v>
          </cell>
          <cell r="Y59" t="str">
            <v>Ponnuru</v>
          </cell>
          <cell r="Z59">
            <v>23</v>
          </cell>
          <cell r="AA59">
            <v>0</v>
          </cell>
        </row>
        <row r="60">
          <cell r="A60">
            <v>56</v>
          </cell>
          <cell r="B60" t="str">
            <v>Arepalli</v>
          </cell>
          <cell r="C60" t="str">
            <v>Mathivaripalem</v>
          </cell>
          <cell r="D60" t="str">
            <v>Cherukupalli</v>
          </cell>
          <cell r="E60" t="str">
            <v>Chandolu</v>
          </cell>
          <cell r="F60">
            <v>19</v>
          </cell>
          <cell r="G60" t="str">
            <v>Zoolapalem</v>
          </cell>
          <cell r="H60">
            <v>29</v>
          </cell>
          <cell r="I60" t="str">
            <v>Lam</v>
          </cell>
          <cell r="J60">
            <v>66</v>
          </cell>
          <cell r="K60" t="str">
            <v>Kolluru</v>
          </cell>
          <cell r="L60">
            <v>29</v>
          </cell>
          <cell r="M60" t="str">
            <v>Vejandla</v>
          </cell>
          <cell r="N60">
            <v>45</v>
          </cell>
          <cell r="O60" t="str">
            <v>Vejandla</v>
          </cell>
          <cell r="P60">
            <v>45</v>
          </cell>
          <cell r="Q60" t="str">
            <v>Ponnuru</v>
          </cell>
          <cell r="R60">
            <v>26</v>
          </cell>
          <cell r="S60" t="str">
            <v>I.B patnam</v>
          </cell>
          <cell r="T60">
            <v>92</v>
          </cell>
          <cell r="Y60" t="str">
            <v>Ponnuru</v>
          </cell>
          <cell r="Z60">
            <v>26</v>
          </cell>
          <cell r="AA60">
            <v>0</v>
          </cell>
        </row>
        <row r="61">
          <cell r="A61">
            <v>57</v>
          </cell>
          <cell r="B61" t="str">
            <v>Balusulapalem</v>
          </cell>
          <cell r="C61" t="str">
            <v>Mettagowdapalem</v>
          </cell>
          <cell r="D61" t="str">
            <v>Cherukupalli</v>
          </cell>
          <cell r="E61" t="str">
            <v>Chandolu</v>
          </cell>
          <cell r="F61">
            <v>10</v>
          </cell>
          <cell r="G61" t="str">
            <v>Zoolapalem</v>
          </cell>
          <cell r="H61">
            <v>34</v>
          </cell>
          <cell r="I61" t="str">
            <v>Lam</v>
          </cell>
          <cell r="J61">
            <v>57</v>
          </cell>
          <cell r="K61" t="str">
            <v>Kolluru</v>
          </cell>
          <cell r="L61">
            <v>34</v>
          </cell>
          <cell r="M61" t="str">
            <v>Vejandla</v>
          </cell>
          <cell r="N61">
            <v>39</v>
          </cell>
          <cell r="O61" t="str">
            <v>Vejandla</v>
          </cell>
          <cell r="P61">
            <v>39</v>
          </cell>
          <cell r="Q61" t="str">
            <v>Ponnuru</v>
          </cell>
          <cell r="R61">
            <v>16</v>
          </cell>
          <cell r="S61" t="str">
            <v>I.B patnam</v>
          </cell>
          <cell r="T61">
            <v>91</v>
          </cell>
          <cell r="Y61" t="str">
            <v>Ponnuru</v>
          </cell>
          <cell r="Z61">
            <v>16</v>
          </cell>
          <cell r="AA61">
            <v>0</v>
          </cell>
        </row>
        <row r="62">
          <cell r="A62">
            <v>58</v>
          </cell>
          <cell r="B62" t="str">
            <v>Rambhotlapalem</v>
          </cell>
          <cell r="C62" t="str">
            <v>Moravagupalem</v>
          </cell>
          <cell r="D62" t="str">
            <v>Cherukupalli</v>
          </cell>
          <cell r="E62" t="str">
            <v>Chandolu</v>
          </cell>
          <cell r="F62">
            <v>7</v>
          </cell>
          <cell r="G62" t="str">
            <v>Zoolapalem</v>
          </cell>
          <cell r="H62">
            <v>36</v>
          </cell>
          <cell r="I62" t="str">
            <v>Lam</v>
          </cell>
          <cell r="J62">
            <v>54</v>
          </cell>
          <cell r="K62" t="str">
            <v>Kolluru</v>
          </cell>
          <cell r="L62">
            <v>36</v>
          </cell>
          <cell r="M62" t="str">
            <v>Vejandla</v>
          </cell>
          <cell r="N62">
            <v>55</v>
          </cell>
          <cell r="O62" t="str">
            <v>Vejandla</v>
          </cell>
          <cell r="P62">
            <v>36</v>
          </cell>
          <cell r="Q62" t="str">
            <v>Ponnuru</v>
          </cell>
          <cell r="R62">
            <v>13</v>
          </cell>
          <cell r="S62" t="str">
            <v>I.B patnam</v>
          </cell>
          <cell r="T62">
            <v>91</v>
          </cell>
          <cell r="Y62" t="str">
            <v>Ponnuru</v>
          </cell>
          <cell r="Z62">
            <v>13</v>
          </cell>
          <cell r="AA62">
            <v>0</v>
          </cell>
        </row>
        <row r="63">
          <cell r="A63">
            <v>59</v>
          </cell>
          <cell r="B63" t="str">
            <v>Nadimpalli</v>
          </cell>
          <cell r="C63" t="str">
            <v>Nadimpalli</v>
          </cell>
          <cell r="D63" t="str">
            <v>Cherukupalli</v>
          </cell>
          <cell r="E63" t="str">
            <v>Chandolu</v>
          </cell>
          <cell r="F63">
            <v>16</v>
          </cell>
          <cell r="G63" t="str">
            <v>Zoolapalem</v>
          </cell>
          <cell r="H63">
            <v>23</v>
          </cell>
          <cell r="I63" t="str">
            <v>Lam</v>
          </cell>
          <cell r="J63">
            <v>63</v>
          </cell>
          <cell r="K63" t="str">
            <v>Kolluru</v>
          </cell>
          <cell r="L63">
            <v>23</v>
          </cell>
          <cell r="M63" t="str">
            <v>Vejandla</v>
          </cell>
          <cell r="N63">
            <v>42</v>
          </cell>
          <cell r="O63" t="str">
            <v>Vejandla</v>
          </cell>
          <cell r="P63">
            <v>42</v>
          </cell>
          <cell r="Q63" t="str">
            <v>Ponnuru</v>
          </cell>
          <cell r="R63">
            <v>23</v>
          </cell>
          <cell r="S63" t="str">
            <v>I.B patnam</v>
          </cell>
          <cell r="T63">
            <v>89</v>
          </cell>
          <cell r="Y63" t="str">
            <v>Ponnuru</v>
          </cell>
          <cell r="Z63">
            <v>23</v>
          </cell>
          <cell r="AA63">
            <v>0</v>
          </cell>
        </row>
        <row r="64">
          <cell r="A64">
            <v>60</v>
          </cell>
          <cell r="B64" t="str">
            <v>Rajavolu</v>
          </cell>
          <cell r="C64" t="str">
            <v>Padamatipalem</v>
          </cell>
          <cell r="D64" t="str">
            <v>Cherukupalli</v>
          </cell>
          <cell r="E64" t="str">
            <v>Chandolu</v>
          </cell>
          <cell r="F64">
            <v>20</v>
          </cell>
          <cell r="G64" t="str">
            <v>Zoolapalem</v>
          </cell>
          <cell r="H64">
            <v>27</v>
          </cell>
          <cell r="I64" t="str">
            <v>Lam</v>
          </cell>
          <cell r="J64">
            <v>67</v>
          </cell>
          <cell r="K64" t="str">
            <v>Kolluru</v>
          </cell>
          <cell r="L64">
            <v>25</v>
          </cell>
          <cell r="M64" t="str">
            <v>Vejandla</v>
          </cell>
          <cell r="N64">
            <v>46</v>
          </cell>
          <cell r="O64" t="str">
            <v>Vejandla</v>
          </cell>
          <cell r="P64">
            <v>46</v>
          </cell>
          <cell r="Q64" t="str">
            <v>Ponnuru</v>
          </cell>
          <cell r="R64">
            <v>27</v>
          </cell>
          <cell r="S64" t="str">
            <v>I.B patnam</v>
          </cell>
          <cell r="T64">
            <v>93</v>
          </cell>
          <cell r="Y64" t="str">
            <v>Ponnuru</v>
          </cell>
          <cell r="Z64">
            <v>27</v>
          </cell>
          <cell r="AA64">
            <v>0</v>
          </cell>
        </row>
        <row r="65">
          <cell r="A65">
            <v>61</v>
          </cell>
          <cell r="B65" t="str">
            <v>Arepalli</v>
          </cell>
          <cell r="C65" t="str">
            <v>Prasadamvaripalem</v>
          </cell>
          <cell r="D65" t="str">
            <v>Cherukupalli</v>
          </cell>
          <cell r="E65" t="str">
            <v>Chandolu</v>
          </cell>
          <cell r="F65">
            <v>16</v>
          </cell>
          <cell r="G65" t="str">
            <v>Zoolapalem</v>
          </cell>
          <cell r="H65">
            <v>30</v>
          </cell>
          <cell r="I65" t="str">
            <v>Lam</v>
          </cell>
          <cell r="J65">
            <v>63</v>
          </cell>
          <cell r="K65" t="str">
            <v>Kolluru</v>
          </cell>
          <cell r="L65">
            <v>30</v>
          </cell>
          <cell r="M65" t="str">
            <v>Vejandla</v>
          </cell>
          <cell r="N65">
            <v>42</v>
          </cell>
          <cell r="O65" t="str">
            <v>Vejandla</v>
          </cell>
          <cell r="P65">
            <v>42</v>
          </cell>
          <cell r="Q65" t="str">
            <v>Ponnuru</v>
          </cell>
          <cell r="R65">
            <v>23</v>
          </cell>
          <cell r="S65" t="str">
            <v>I.B patnam</v>
          </cell>
          <cell r="T65">
            <v>90</v>
          </cell>
          <cell r="Y65" t="str">
            <v>Ponnuru</v>
          </cell>
          <cell r="Z65">
            <v>23</v>
          </cell>
          <cell r="AA65">
            <v>0</v>
          </cell>
        </row>
        <row r="66">
          <cell r="A66">
            <v>62</v>
          </cell>
          <cell r="B66" t="str">
            <v>Balusulapalem</v>
          </cell>
          <cell r="C66" t="str">
            <v>Pittuammireddipalem</v>
          </cell>
          <cell r="D66" t="str">
            <v>Cherukupalli</v>
          </cell>
          <cell r="E66" t="str">
            <v>Chandolu</v>
          </cell>
          <cell r="F66">
            <v>9</v>
          </cell>
          <cell r="G66" t="str">
            <v>Zoolapalem</v>
          </cell>
          <cell r="H66">
            <v>35</v>
          </cell>
          <cell r="I66" t="str">
            <v>Lam</v>
          </cell>
          <cell r="J66">
            <v>56</v>
          </cell>
          <cell r="K66" t="str">
            <v>Kolluru</v>
          </cell>
          <cell r="L66">
            <v>35</v>
          </cell>
          <cell r="M66" t="str">
            <v>Vejandla</v>
          </cell>
          <cell r="N66">
            <v>38</v>
          </cell>
          <cell r="O66" t="str">
            <v>Vejandla</v>
          </cell>
          <cell r="P66">
            <v>38</v>
          </cell>
          <cell r="Q66" t="str">
            <v>Ponnuru</v>
          </cell>
          <cell r="R66">
            <v>15</v>
          </cell>
          <cell r="S66" t="str">
            <v>I.B patnam</v>
          </cell>
          <cell r="T66">
            <v>92</v>
          </cell>
          <cell r="Y66" t="str">
            <v>Ponnuru</v>
          </cell>
          <cell r="Z66">
            <v>15</v>
          </cell>
          <cell r="AA66">
            <v>0</v>
          </cell>
        </row>
        <row r="67">
          <cell r="A67">
            <v>63</v>
          </cell>
          <cell r="B67" t="str">
            <v>Rambhotlapalem</v>
          </cell>
          <cell r="C67" t="str">
            <v>Pittukotireddipalem</v>
          </cell>
          <cell r="D67" t="str">
            <v>Cherukupalli</v>
          </cell>
          <cell r="E67" t="str">
            <v>Chandolu</v>
          </cell>
          <cell r="F67">
            <v>7</v>
          </cell>
          <cell r="G67" t="str">
            <v>Zoolapalem</v>
          </cell>
          <cell r="H67">
            <v>36</v>
          </cell>
          <cell r="I67" t="str">
            <v>Lam</v>
          </cell>
          <cell r="J67">
            <v>54</v>
          </cell>
          <cell r="K67" t="str">
            <v>Kolluru</v>
          </cell>
          <cell r="L67">
            <v>36</v>
          </cell>
          <cell r="M67" t="str">
            <v>Vejandla</v>
          </cell>
          <cell r="N67">
            <v>36</v>
          </cell>
          <cell r="O67" t="str">
            <v>Vejandla</v>
          </cell>
          <cell r="P67">
            <v>36</v>
          </cell>
          <cell r="Q67" t="str">
            <v>Ponnuru</v>
          </cell>
          <cell r="R67">
            <v>13</v>
          </cell>
          <cell r="S67" t="str">
            <v>I.B patnam</v>
          </cell>
          <cell r="T67">
            <v>91</v>
          </cell>
          <cell r="Y67" t="str">
            <v>Ponnuru</v>
          </cell>
          <cell r="Z67">
            <v>13</v>
          </cell>
          <cell r="AA67">
            <v>0</v>
          </cell>
        </row>
        <row r="68">
          <cell r="A68">
            <v>64</v>
          </cell>
          <cell r="B68" t="str">
            <v>Arumbaka</v>
          </cell>
          <cell r="C68" t="str">
            <v>Podilivaripalem</v>
          </cell>
          <cell r="D68" t="str">
            <v>Cherukupalli</v>
          </cell>
          <cell r="E68" t="str">
            <v>Chandolu</v>
          </cell>
          <cell r="F68">
            <v>10</v>
          </cell>
          <cell r="G68" t="str">
            <v>Zoolapalem</v>
          </cell>
          <cell r="H68">
            <v>29</v>
          </cell>
          <cell r="I68" t="str">
            <v>Lam</v>
          </cell>
          <cell r="J68">
            <v>57</v>
          </cell>
          <cell r="K68" t="str">
            <v>Kolluru</v>
          </cell>
          <cell r="L68">
            <v>29</v>
          </cell>
          <cell r="M68" t="str">
            <v>Vejandla</v>
          </cell>
          <cell r="N68">
            <v>38</v>
          </cell>
          <cell r="O68" t="str">
            <v>Vejandla</v>
          </cell>
          <cell r="P68">
            <v>38</v>
          </cell>
          <cell r="Q68" t="str">
            <v>Ponnuru</v>
          </cell>
          <cell r="R68">
            <v>17</v>
          </cell>
          <cell r="S68" t="str">
            <v>I.B patnam</v>
          </cell>
          <cell r="T68">
            <v>86</v>
          </cell>
          <cell r="Y68" t="str">
            <v>Ponnuru</v>
          </cell>
          <cell r="Z68">
            <v>17</v>
          </cell>
          <cell r="AA68">
            <v>0</v>
          </cell>
        </row>
        <row r="69">
          <cell r="A69">
            <v>65</v>
          </cell>
          <cell r="B69" t="str">
            <v>Rambhotlapalem</v>
          </cell>
          <cell r="C69" t="str">
            <v>Pagadamvaripalem</v>
          </cell>
          <cell r="D69" t="str">
            <v>Cherukupalli</v>
          </cell>
          <cell r="E69" t="str">
            <v>Chandolu</v>
          </cell>
          <cell r="F69">
            <v>6</v>
          </cell>
          <cell r="G69" t="str">
            <v>Zoolapalem</v>
          </cell>
          <cell r="H69">
            <v>33</v>
          </cell>
          <cell r="I69" t="str">
            <v>Lam</v>
          </cell>
          <cell r="J69">
            <v>53</v>
          </cell>
          <cell r="K69" t="str">
            <v>Kolluru</v>
          </cell>
          <cell r="L69">
            <v>33</v>
          </cell>
          <cell r="M69" t="str">
            <v>Vejandla</v>
          </cell>
          <cell r="N69">
            <v>35</v>
          </cell>
          <cell r="O69" t="str">
            <v>Vejandla</v>
          </cell>
          <cell r="P69">
            <v>35</v>
          </cell>
          <cell r="Q69" t="str">
            <v>Ponnuru</v>
          </cell>
          <cell r="R69">
            <v>12</v>
          </cell>
          <cell r="S69" t="str">
            <v>I.B patnam</v>
          </cell>
          <cell r="T69">
            <v>90</v>
          </cell>
          <cell r="Y69" t="str">
            <v>Ponnuru</v>
          </cell>
          <cell r="Z69">
            <v>12</v>
          </cell>
          <cell r="AA69">
            <v>0</v>
          </cell>
        </row>
        <row r="70">
          <cell r="A70">
            <v>66</v>
          </cell>
          <cell r="B70" t="str">
            <v>Ponnapalli</v>
          </cell>
          <cell r="C70" t="str">
            <v>Ponnapalli</v>
          </cell>
          <cell r="D70" t="str">
            <v>Cherukupalli</v>
          </cell>
          <cell r="E70" t="str">
            <v>Chandolu</v>
          </cell>
          <cell r="F70">
            <v>14</v>
          </cell>
          <cell r="G70" t="str">
            <v>Zoolapalem</v>
          </cell>
          <cell r="H70">
            <v>25</v>
          </cell>
          <cell r="I70" t="str">
            <v>Lam</v>
          </cell>
          <cell r="J70">
            <v>61</v>
          </cell>
          <cell r="K70" t="str">
            <v>Kolluru</v>
          </cell>
          <cell r="L70">
            <v>25</v>
          </cell>
          <cell r="M70" t="str">
            <v>Vejandla</v>
          </cell>
          <cell r="N70">
            <v>40</v>
          </cell>
          <cell r="O70" t="str">
            <v>Vejandla</v>
          </cell>
          <cell r="P70">
            <v>40</v>
          </cell>
          <cell r="Q70" t="str">
            <v>Ponnuru</v>
          </cell>
          <cell r="R70">
            <v>21</v>
          </cell>
          <cell r="S70" t="str">
            <v>I.B patnam</v>
          </cell>
          <cell r="T70">
            <v>87</v>
          </cell>
          <cell r="Y70" t="str">
            <v>Ponnuru</v>
          </cell>
          <cell r="Z70">
            <v>21</v>
          </cell>
          <cell r="AA70">
            <v>0</v>
          </cell>
        </row>
        <row r="71">
          <cell r="A71">
            <v>67</v>
          </cell>
          <cell r="B71" t="str">
            <v>Arepalli</v>
          </cell>
          <cell r="C71" t="str">
            <v>Puligaddavaripalem</v>
          </cell>
          <cell r="D71" t="str">
            <v>Cherukupalli</v>
          </cell>
          <cell r="E71" t="str">
            <v>Chandolu</v>
          </cell>
          <cell r="F71">
            <v>15</v>
          </cell>
          <cell r="G71" t="str">
            <v>Zoolapalem</v>
          </cell>
          <cell r="H71">
            <v>32</v>
          </cell>
          <cell r="I71" t="str">
            <v>Lam</v>
          </cell>
          <cell r="J71">
            <v>62</v>
          </cell>
          <cell r="K71" t="str">
            <v>Kolluru</v>
          </cell>
          <cell r="L71">
            <v>32</v>
          </cell>
          <cell r="M71" t="str">
            <v>Vejandla</v>
          </cell>
          <cell r="N71">
            <v>41</v>
          </cell>
          <cell r="O71" t="str">
            <v>Vejandla</v>
          </cell>
          <cell r="P71">
            <v>41</v>
          </cell>
          <cell r="Q71" t="str">
            <v>Ponnuru</v>
          </cell>
          <cell r="R71">
            <v>22</v>
          </cell>
          <cell r="S71" t="str">
            <v>I.B patnam</v>
          </cell>
          <cell r="T71">
            <v>89</v>
          </cell>
          <cell r="Y71" t="str">
            <v>Ponnuru</v>
          </cell>
          <cell r="Z71">
            <v>22</v>
          </cell>
          <cell r="AA71">
            <v>0</v>
          </cell>
        </row>
        <row r="72">
          <cell r="A72">
            <v>68</v>
          </cell>
          <cell r="B72" t="str">
            <v>Arumbaka</v>
          </cell>
          <cell r="C72" t="str">
            <v>Puligaddavaripalem</v>
          </cell>
          <cell r="D72" t="str">
            <v>Cherukupalli</v>
          </cell>
          <cell r="E72" t="str">
            <v>Chandolu</v>
          </cell>
          <cell r="F72">
            <v>15</v>
          </cell>
          <cell r="G72" t="str">
            <v>Zoolapalem</v>
          </cell>
          <cell r="H72">
            <v>32</v>
          </cell>
          <cell r="I72" t="str">
            <v>Lam</v>
          </cell>
          <cell r="J72">
            <v>62</v>
          </cell>
          <cell r="K72" t="str">
            <v>Kolluru</v>
          </cell>
          <cell r="L72">
            <v>32</v>
          </cell>
          <cell r="M72" t="str">
            <v>Vejandla</v>
          </cell>
          <cell r="N72">
            <v>41</v>
          </cell>
          <cell r="O72" t="str">
            <v>Vejandla</v>
          </cell>
          <cell r="P72">
            <v>41</v>
          </cell>
          <cell r="Q72" t="str">
            <v>Ponnuru</v>
          </cell>
          <cell r="R72">
            <v>22</v>
          </cell>
          <cell r="S72" t="str">
            <v>I.B patnam</v>
          </cell>
          <cell r="T72">
            <v>89</v>
          </cell>
          <cell r="Y72" t="str">
            <v>Ponnuru</v>
          </cell>
          <cell r="Z72">
            <v>22</v>
          </cell>
          <cell r="AA72">
            <v>0</v>
          </cell>
        </row>
        <row r="73">
          <cell r="A73">
            <v>69</v>
          </cell>
          <cell r="B73" t="str">
            <v>Thummalapalem</v>
          </cell>
          <cell r="C73" t="str">
            <v>Puligaddavaripalem</v>
          </cell>
          <cell r="D73" t="str">
            <v>Cherukupalli</v>
          </cell>
          <cell r="E73" t="str">
            <v>Chandolu</v>
          </cell>
          <cell r="F73">
            <v>15</v>
          </cell>
          <cell r="G73" t="str">
            <v>Zoolapalem</v>
          </cell>
          <cell r="H73">
            <v>32</v>
          </cell>
          <cell r="I73" t="str">
            <v>Lam</v>
          </cell>
          <cell r="J73">
            <v>62</v>
          </cell>
          <cell r="K73" t="str">
            <v>Kolluru</v>
          </cell>
          <cell r="L73">
            <v>32</v>
          </cell>
          <cell r="M73" t="str">
            <v>Vejandla</v>
          </cell>
          <cell r="N73">
            <v>41</v>
          </cell>
          <cell r="O73" t="str">
            <v>Vejandla</v>
          </cell>
          <cell r="P73">
            <v>41</v>
          </cell>
          <cell r="Q73" t="str">
            <v>Ponnuru</v>
          </cell>
          <cell r="R73">
            <v>22</v>
          </cell>
          <cell r="S73" t="str">
            <v>I.B patnam</v>
          </cell>
          <cell r="T73">
            <v>89</v>
          </cell>
          <cell r="Y73" t="str">
            <v>Ponnuru</v>
          </cell>
          <cell r="Z73">
            <v>22</v>
          </cell>
          <cell r="AA73">
            <v>0</v>
          </cell>
        </row>
        <row r="74">
          <cell r="A74">
            <v>70</v>
          </cell>
          <cell r="B74" t="str">
            <v>Arepalli</v>
          </cell>
          <cell r="C74" t="str">
            <v>Pushadapuvaripalem</v>
          </cell>
          <cell r="D74" t="str">
            <v>Cherukupalli</v>
          </cell>
          <cell r="E74" t="str">
            <v>Chandolu</v>
          </cell>
          <cell r="F74">
            <v>19</v>
          </cell>
          <cell r="G74" t="str">
            <v>Zoolapalem</v>
          </cell>
          <cell r="H74">
            <v>29</v>
          </cell>
          <cell r="I74" t="str">
            <v>Lam</v>
          </cell>
          <cell r="J74">
            <v>66</v>
          </cell>
          <cell r="K74" t="str">
            <v>Kolluru</v>
          </cell>
          <cell r="L74">
            <v>29</v>
          </cell>
          <cell r="M74" t="str">
            <v>Vejandla</v>
          </cell>
          <cell r="N74">
            <v>45</v>
          </cell>
          <cell r="O74" t="str">
            <v>Vejandla</v>
          </cell>
          <cell r="P74">
            <v>45</v>
          </cell>
          <cell r="Q74" t="str">
            <v>Ponnuru</v>
          </cell>
          <cell r="R74">
            <v>26</v>
          </cell>
          <cell r="S74" t="str">
            <v>I.B patnam</v>
          </cell>
          <cell r="T74">
            <v>92</v>
          </cell>
          <cell r="Y74" t="str">
            <v>Ponnuru</v>
          </cell>
          <cell r="Z74">
            <v>26</v>
          </cell>
          <cell r="AA74">
            <v>0</v>
          </cell>
        </row>
        <row r="75">
          <cell r="A75">
            <v>71</v>
          </cell>
          <cell r="B75" t="str">
            <v>Arepalli</v>
          </cell>
          <cell r="C75" t="str">
            <v>Puttavaripalem</v>
          </cell>
          <cell r="D75" t="str">
            <v>Cherukupalli</v>
          </cell>
          <cell r="E75" t="str">
            <v>Chandolu</v>
          </cell>
          <cell r="F75">
            <v>15</v>
          </cell>
          <cell r="G75" t="str">
            <v>Zoolapalem</v>
          </cell>
          <cell r="H75">
            <v>32</v>
          </cell>
          <cell r="I75" t="str">
            <v>Lam</v>
          </cell>
          <cell r="J75">
            <v>62</v>
          </cell>
          <cell r="K75" t="str">
            <v>Kolluru</v>
          </cell>
          <cell r="L75">
            <v>32</v>
          </cell>
          <cell r="M75" t="str">
            <v>Vejandla</v>
          </cell>
          <cell r="N75">
            <v>41</v>
          </cell>
          <cell r="O75" t="str">
            <v>Vejandla</v>
          </cell>
          <cell r="P75">
            <v>41</v>
          </cell>
          <cell r="Q75" t="str">
            <v>Ponnuru</v>
          </cell>
          <cell r="R75">
            <v>22</v>
          </cell>
          <cell r="S75" t="str">
            <v>I.B patnam</v>
          </cell>
          <cell r="T75">
            <v>89</v>
          </cell>
          <cell r="Y75" t="str">
            <v>Ponnuru</v>
          </cell>
          <cell r="Z75">
            <v>22</v>
          </cell>
          <cell r="AA75">
            <v>0</v>
          </cell>
        </row>
        <row r="76">
          <cell r="A76">
            <v>72</v>
          </cell>
          <cell r="B76" t="str">
            <v>Rajavolu</v>
          </cell>
          <cell r="C76" t="str">
            <v xml:space="preserve">Rajavolu </v>
          </cell>
          <cell r="D76" t="str">
            <v>Cherukupalli</v>
          </cell>
          <cell r="E76" t="str">
            <v>Chandolu</v>
          </cell>
          <cell r="F76">
            <v>20</v>
          </cell>
          <cell r="G76" t="str">
            <v>Zoolapalem</v>
          </cell>
          <cell r="H76">
            <v>27</v>
          </cell>
          <cell r="I76" t="str">
            <v>Lam</v>
          </cell>
          <cell r="J76">
            <v>67</v>
          </cell>
          <cell r="K76" t="str">
            <v>Kolluru</v>
          </cell>
          <cell r="L76">
            <v>25</v>
          </cell>
          <cell r="M76" t="str">
            <v>Vejandla</v>
          </cell>
          <cell r="N76">
            <v>46</v>
          </cell>
          <cell r="O76" t="str">
            <v>Vejandla</v>
          </cell>
          <cell r="P76">
            <v>46</v>
          </cell>
          <cell r="Q76" t="str">
            <v>Ponnuru</v>
          </cell>
          <cell r="R76">
            <v>27</v>
          </cell>
          <cell r="S76" t="str">
            <v>I.B patnam</v>
          </cell>
          <cell r="T76">
            <v>93</v>
          </cell>
          <cell r="Y76" t="str">
            <v>Ponnuru</v>
          </cell>
          <cell r="Z76">
            <v>27</v>
          </cell>
          <cell r="AA76">
            <v>0</v>
          </cell>
        </row>
        <row r="77">
          <cell r="A77">
            <v>73</v>
          </cell>
          <cell r="B77" t="str">
            <v>Rambhotlapalem</v>
          </cell>
          <cell r="C77" t="str">
            <v>Rambhotlapalem</v>
          </cell>
          <cell r="D77" t="str">
            <v>Cherukupalli</v>
          </cell>
          <cell r="E77" t="str">
            <v>Chandolu</v>
          </cell>
          <cell r="F77">
            <v>6</v>
          </cell>
          <cell r="G77" t="str">
            <v>Zoolapalem</v>
          </cell>
          <cell r="H77">
            <v>33</v>
          </cell>
          <cell r="I77" t="str">
            <v>Lam</v>
          </cell>
          <cell r="J77">
            <v>53</v>
          </cell>
          <cell r="K77" t="str">
            <v>Kolluru</v>
          </cell>
          <cell r="L77">
            <v>33</v>
          </cell>
          <cell r="M77" t="str">
            <v>Vejandla</v>
          </cell>
          <cell r="N77">
            <v>35</v>
          </cell>
          <cell r="O77" t="str">
            <v>Vejandla</v>
          </cell>
          <cell r="P77">
            <v>35</v>
          </cell>
          <cell r="Q77" t="str">
            <v>Ponnuru</v>
          </cell>
          <cell r="R77">
            <v>12</v>
          </cell>
          <cell r="S77" t="str">
            <v>I.B patnam</v>
          </cell>
          <cell r="T77">
            <v>90</v>
          </cell>
          <cell r="Y77" t="str">
            <v>Ponnuru</v>
          </cell>
          <cell r="Z77">
            <v>12</v>
          </cell>
          <cell r="AA77">
            <v>0</v>
          </cell>
        </row>
        <row r="78">
          <cell r="A78">
            <v>74</v>
          </cell>
          <cell r="B78" t="str">
            <v>Thummalapalem</v>
          </cell>
          <cell r="C78" t="str">
            <v>Sheshireddipalem</v>
          </cell>
          <cell r="D78" t="str">
            <v>Cherukupalli</v>
          </cell>
          <cell r="E78" t="str">
            <v>Chandolu</v>
          </cell>
          <cell r="F78">
            <v>9</v>
          </cell>
          <cell r="G78" t="str">
            <v>Zoolapalem</v>
          </cell>
          <cell r="H78">
            <v>35</v>
          </cell>
          <cell r="I78" t="str">
            <v>Lam</v>
          </cell>
          <cell r="J78">
            <v>55</v>
          </cell>
          <cell r="K78" t="str">
            <v>Kolluru</v>
          </cell>
          <cell r="L78">
            <v>35</v>
          </cell>
          <cell r="M78" t="str">
            <v>Vejandla</v>
          </cell>
          <cell r="N78">
            <v>37</v>
          </cell>
          <cell r="O78" t="str">
            <v>Vejandla</v>
          </cell>
          <cell r="P78">
            <v>37</v>
          </cell>
          <cell r="Q78" t="str">
            <v>Ponnuru</v>
          </cell>
          <cell r="R78">
            <v>14</v>
          </cell>
          <cell r="S78" t="str">
            <v>I.B patnam</v>
          </cell>
          <cell r="T78">
            <v>92</v>
          </cell>
          <cell r="Y78" t="str">
            <v>Ponnuru</v>
          </cell>
          <cell r="Z78">
            <v>14</v>
          </cell>
          <cell r="AA78">
            <v>0</v>
          </cell>
        </row>
        <row r="79">
          <cell r="A79">
            <v>75</v>
          </cell>
          <cell r="B79" t="str">
            <v>Thummalapalem</v>
          </cell>
          <cell r="C79" t="str">
            <v>Sitaramireddipalem</v>
          </cell>
          <cell r="D79" t="str">
            <v>Cherukupalli</v>
          </cell>
          <cell r="E79" t="str">
            <v>Chandolu</v>
          </cell>
          <cell r="F79">
            <v>9</v>
          </cell>
          <cell r="G79" t="str">
            <v>Zoolapalem</v>
          </cell>
          <cell r="H79">
            <v>35</v>
          </cell>
          <cell r="I79" t="str">
            <v>Lam</v>
          </cell>
          <cell r="J79">
            <v>55</v>
          </cell>
          <cell r="K79" t="str">
            <v>Kolluru</v>
          </cell>
          <cell r="L79">
            <v>35</v>
          </cell>
          <cell r="M79" t="str">
            <v>Vejandla</v>
          </cell>
          <cell r="N79">
            <v>37</v>
          </cell>
          <cell r="O79" t="str">
            <v>Vejandla</v>
          </cell>
          <cell r="P79">
            <v>37</v>
          </cell>
          <cell r="Q79" t="str">
            <v>Ponnuru</v>
          </cell>
          <cell r="R79">
            <v>14</v>
          </cell>
          <cell r="S79" t="str">
            <v>I.B patnam</v>
          </cell>
          <cell r="T79">
            <v>92</v>
          </cell>
          <cell r="Y79" t="str">
            <v>Ponnuru</v>
          </cell>
          <cell r="Z79">
            <v>14</v>
          </cell>
          <cell r="AA79">
            <v>0</v>
          </cell>
        </row>
        <row r="80">
          <cell r="A80">
            <v>76</v>
          </cell>
          <cell r="B80" t="str">
            <v>Nadimpalli</v>
          </cell>
          <cell r="C80" t="str">
            <v>Sivarampuram</v>
          </cell>
          <cell r="D80" t="str">
            <v>Cherukupalli</v>
          </cell>
          <cell r="E80" t="str">
            <v>Chandolu</v>
          </cell>
          <cell r="F80">
            <v>16</v>
          </cell>
          <cell r="G80" t="str">
            <v>Zoolapalem</v>
          </cell>
          <cell r="H80">
            <v>23</v>
          </cell>
          <cell r="I80" t="str">
            <v>Lam</v>
          </cell>
          <cell r="J80">
            <v>63</v>
          </cell>
          <cell r="K80" t="str">
            <v>Kolluru</v>
          </cell>
          <cell r="L80">
            <v>23</v>
          </cell>
          <cell r="M80" t="str">
            <v>Vejandla</v>
          </cell>
          <cell r="N80">
            <v>42</v>
          </cell>
          <cell r="O80" t="str">
            <v>Vejandla</v>
          </cell>
          <cell r="P80">
            <v>42</v>
          </cell>
          <cell r="Q80" t="str">
            <v>Ponnuru</v>
          </cell>
          <cell r="R80">
            <v>23</v>
          </cell>
          <cell r="S80" t="str">
            <v>I.B patnam</v>
          </cell>
          <cell r="T80">
            <v>89</v>
          </cell>
          <cell r="Y80" t="str">
            <v>Ponnuru</v>
          </cell>
          <cell r="Z80">
            <v>23</v>
          </cell>
          <cell r="AA80">
            <v>0</v>
          </cell>
        </row>
        <row r="81">
          <cell r="A81">
            <v>77</v>
          </cell>
          <cell r="B81" t="str">
            <v>Thummalapalem</v>
          </cell>
          <cell r="C81" t="str">
            <v>Thummalapalem</v>
          </cell>
          <cell r="D81" t="str">
            <v>Cherukupalli</v>
          </cell>
          <cell r="E81" t="str">
            <v>Chandolu</v>
          </cell>
          <cell r="F81">
            <v>9</v>
          </cell>
          <cell r="G81" t="str">
            <v>Zoolapalem</v>
          </cell>
          <cell r="H81">
            <v>35</v>
          </cell>
          <cell r="I81" t="str">
            <v>Lam</v>
          </cell>
          <cell r="J81">
            <v>55</v>
          </cell>
          <cell r="K81" t="str">
            <v>Kolluru</v>
          </cell>
          <cell r="L81">
            <v>35</v>
          </cell>
          <cell r="M81" t="str">
            <v>Vejandla</v>
          </cell>
          <cell r="N81">
            <v>37</v>
          </cell>
          <cell r="O81" t="str">
            <v>Vejandla</v>
          </cell>
          <cell r="P81">
            <v>37</v>
          </cell>
          <cell r="Q81" t="str">
            <v>Ponnuru</v>
          </cell>
          <cell r="R81">
            <v>14</v>
          </cell>
          <cell r="S81" t="str">
            <v>I.B patnam</v>
          </cell>
          <cell r="T81">
            <v>92</v>
          </cell>
          <cell r="Y81" t="str">
            <v>Ponnuru</v>
          </cell>
          <cell r="Z81">
            <v>14</v>
          </cell>
          <cell r="AA81">
            <v>0</v>
          </cell>
        </row>
        <row r="82">
          <cell r="A82">
            <v>78</v>
          </cell>
          <cell r="B82" t="str">
            <v>Arepalli</v>
          </cell>
          <cell r="C82" t="str">
            <v>Thurpupalem H/O Arepalli</v>
          </cell>
          <cell r="D82" t="str">
            <v>Cherukupalli</v>
          </cell>
          <cell r="E82" t="str">
            <v>Chandolu</v>
          </cell>
          <cell r="F82">
            <v>19</v>
          </cell>
          <cell r="G82" t="str">
            <v>Zoolapalem</v>
          </cell>
          <cell r="H82">
            <v>29</v>
          </cell>
          <cell r="I82" t="str">
            <v>Lam</v>
          </cell>
          <cell r="J82">
            <v>66</v>
          </cell>
          <cell r="K82" t="str">
            <v>Kolluru</v>
          </cell>
          <cell r="L82">
            <v>29</v>
          </cell>
          <cell r="M82" t="str">
            <v>Vejandla</v>
          </cell>
          <cell r="N82">
            <v>45</v>
          </cell>
          <cell r="O82" t="str">
            <v>Vejandla</v>
          </cell>
          <cell r="P82">
            <v>45</v>
          </cell>
          <cell r="Q82" t="str">
            <v>Ponnuru</v>
          </cell>
          <cell r="R82">
            <v>26</v>
          </cell>
          <cell r="S82" t="str">
            <v>I.B patnam</v>
          </cell>
          <cell r="T82">
            <v>92</v>
          </cell>
          <cell r="Y82" t="str">
            <v>Ponnuru</v>
          </cell>
          <cell r="Z82">
            <v>26</v>
          </cell>
          <cell r="AA82">
            <v>0</v>
          </cell>
        </row>
        <row r="83">
          <cell r="A83">
            <v>79</v>
          </cell>
          <cell r="B83" t="str">
            <v>Thurpupalem</v>
          </cell>
          <cell r="C83" t="str">
            <v>Thurpupalem of Rajolu</v>
          </cell>
          <cell r="D83" t="str">
            <v>Cherukupalli</v>
          </cell>
          <cell r="E83" t="str">
            <v>Chandolu</v>
          </cell>
          <cell r="F83">
            <v>20</v>
          </cell>
          <cell r="G83" t="str">
            <v>Zoolapalem</v>
          </cell>
          <cell r="H83">
            <v>27</v>
          </cell>
          <cell r="I83" t="str">
            <v>Lam</v>
          </cell>
          <cell r="J83">
            <v>67</v>
          </cell>
          <cell r="K83" t="str">
            <v>Kolluru</v>
          </cell>
          <cell r="L83">
            <v>25</v>
          </cell>
          <cell r="M83" t="str">
            <v>Vejandla</v>
          </cell>
          <cell r="N83">
            <v>46</v>
          </cell>
          <cell r="O83" t="str">
            <v>Vejandla</v>
          </cell>
          <cell r="P83">
            <v>46</v>
          </cell>
          <cell r="Q83" t="str">
            <v>Ponnuru</v>
          </cell>
          <cell r="R83">
            <v>27</v>
          </cell>
          <cell r="S83" t="str">
            <v>I.B patnam</v>
          </cell>
          <cell r="T83">
            <v>93</v>
          </cell>
          <cell r="Y83" t="str">
            <v>Ponnuru</v>
          </cell>
          <cell r="Z83">
            <v>27</v>
          </cell>
          <cell r="AA83">
            <v>0</v>
          </cell>
        </row>
        <row r="84">
          <cell r="A84">
            <v>80</v>
          </cell>
          <cell r="B84" t="str">
            <v>Rajavolu</v>
          </cell>
          <cell r="C84" t="str">
            <v>Thurpupalem of Arepalli</v>
          </cell>
          <cell r="D84" t="str">
            <v>Cherukupalli</v>
          </cell>
          <cell r="E84" t="str">
            <v>Chandolu</v>
          </cell>
          <cell r="F84">
            <v>16</v>
          </cell>
          <cell r="G84" t="str">
            <v>Zoolapalem</v>
          </cell>
          <cell r="H84">
            <v>30</v>
          </cell>
          <cell r="I84" t="str">
            <v>Lam</v>
          </cell>
          <cell r="J84">
            <v>63</v>
          </cell>
          <cell r="K84" t="str">
            <v>Kolluru</v>
          </cell>
          <cell r="L84">
            <v>30</v>
          </cell>
          <cell r="M84" t="str">
            <v>Vejandla</v>
          </cell>
          <cell r="N84">
            <v>42</v>
          </cell>
          <cell r="O84" t="str">
            <v>Vejandla</v>
          </cell>
          <cell r="P84">
            <v>42</v>
          </cell>
          <cell r="Q84" t="str">
            <v>Ponnuru</v>
          </cell>
          <cell r="R84">
            <v>23</v>
          </cell>
          <cell r="S84" t="str">
            <v>I.B patnam</v>
          </cell>
          <cell r="T84">
            <v>90</v>
          </cell>
          <cell r="Y84" t="str">
            <v>Ponnuru</v>
          </cell>
          <cell r="Z84">
            <v>23</v>
          </cell>
          <cell r="AA84">
            <v>0</v>
          </cell>
        </row>
        <row r="85">
          <cell r="A85">
            <v>81</v>
          </cell>
          <cell r="B85" t="str">
            <v>Arepalli</v>
          </cell>
          <cell r="C85" t="str">
            <v>Uchavaripalem</v>
          </cell>
          <cell r="D85" t="str">
            <v>Cherukupalli</v>
          </cell>
          <cell r="E85" t="str">
            <v>Chandolu</v>
          </cell>
          <cell r="F85">
            <v>15</v>
          </cell>
          <cell r="G85" t="str">
            <v>Zoolapalem</v>
          </cell>
          <cell r="H85">
            <v>32</v>
          </cell>
          <cell r="I85" t="str">
            <v>Lam</v>
          </cell>
          <cell r="J85">
            <v>62</v>
          </cell>
          <cell r="K85" t="str">
            <v>Kolluru</v>
          </cell>
          <cell r="L85">
            <v>32</v>
          </cell>
          <cell r="M85" t="str">
            <v>Vejandla</v>
          </cell>
          <cell r="N85">
            <v>41</v>
          </cell>
          <cell r="O85" t="str">
            <v>Vejandla</v>
          </cell>
          <cell r="P85">
            <v>41</v>
          </cell>
          <cell r="Q85" t="str">
            <v>Ponnuru</v>
          </cell>
          <cell r="R85">
            <v>22</v>
          </cell>
          <cell r="S85" t="str">
            <v>I.B patnam</v>
          </cell>
          <cell r="T85">
            <v>89</v>
          </cell>
          <cell r="Y85" t="str">
            <v>Ponnuru</v>
          </cell>
          <cell r="Z85">
            <v>22</v>
          </cell>
          <cell r="AA85">
            <v>0</v>
          </cell>
        </row>
        <row r="86">
          <cell r="A86">
            <v>82</v>
          </cell>
          <cell r="B86" t="str">
            <v>Allavaripalem</v>
          </cell>
          <cell r="C86" t="str">
            <v>Uppalavaripalem</v>
          </cell>
          <cell r="D86" t="str">
            <v>Cherukupalli</v>
          </cell>
          <cell r="E86" t="str">
            <v>Chandolu</v>
          </cell>
          <cell r="F86">
            <v>23</v>
          </cell>
          <cell r="G86" t="str">
            <v>Zoolapalem</v>
          </cell>
          <cell r="H86">
            <v>24</v>
          </cell>
          <cell r="I86" t="str">
            <v>Lam</v>
          </cell>
          <cell r="J86">
            <v>70</v>
          </cell>
          <cell r="K86" t="str">
            <v>Kolluru</v>
          </cell>
          <cell r="L86">
            <v>24</v>
          </cell>
          <cell r="M86" t="str">
            <v>Vejandla</v>
          </cell>
          <cell r="N86">
            <v>49</v>
          </cell>
          <cell r="O86" t="str">
            <v>Vejandla</v>
          </cell>
          <cell r="P86">
            <v>49</v>
          </cell>
          <cell r="Q86" t="str">
            <v>Ponnuru</v>
          </cell>
          <cell r="R86">
            <v>30</v>
          </cell>
          <cell r="S86" t="str">
            <v>I.B patnam</v>
          </cell>
          <cell r="T86">
            <v>96</v>
          </cell>
          <cell r="Y86" t="str">
            <v>Ponnuru</v>
          </cell>
          <cell r="Z86">
            <v>30</v>
          </cell>
          <cell r="AA86">
            <v>0</v>
          </cell>
        </row>
        <row r="87">
          <cell r="A87">
            <v>83</v>
          </cell>
          <cell r="B87" t="str">
            <v>Arepalli</v>
          </cell>
          <cell r="C87" t="str">
            <v>Vakavaripalem</v>
          </cell>
          <cell r="D87" t="str">
            <v>Cherukupalli</v>
          </cell>
          <cell r="E87" t="str">
            <v>Chandolu</v>
          </cell>
          <cell r="F87">
            <v>16</v>
          </cell>
          <cell r="G87" t="str">
            <v>Zoolapalem</v>
          </cell>
          <cell r="H87">
            <v>30</v>
          </cell>
          <cell r="I87" t="str">
            <v>Lam</v>
          </cell>
          <cell r="J87">
            <v>63</v>
          </cell>
          <cell r="K87" t="str">
            <v>Kolluru</v>
          </cell>
          <cell r="L87">
            <v>30</v>
          </cell>
          <cell r="M87" t="str">
            <v>Vejandla</v>
          </cell>
          <cell r="N87">
            <v>42</v>
          </cell>
          <cell r="O87" t="str">
            <v>Vejandla</v>
          </cell>
          <cell r="P87">
            <v>42</v>
          </cell>
          <cell r="Q87" t="str">
            <v>Ponnuru</v>
          </cell>
          <cell r="R87">
            <v>23</v>
          </cell>
          <cell r="S87" t="str">
            <v>I.B patnam</v>
          </cell>
          <cell r="T87">
            <v>90</v>
          </cell>
          <cell r="Y87" t="str">
            <v>Ponnuru</v>
          </cell>
          <cell r="Z87">
            <v>23</v>
          </cell>
          <cell r="AA87">
            <v>0</v>
          </cell>
        </row>
        <row r="88">
          <cell r="A88">
            <v>84</v>
          </cell>
          <cell r="B88" t="str">
            <v>Kavuru</v>
          </cell>
          <cell r="C88" t="str">
            <v>Vinayashram</v>
          </cell>
          <cell r="D88" t="str">
            <v>Cherukupalli</v>
          </cell>
          <cell r="E88" t="str">
            <v>Chandolu</v>
          </cell>
          <cell r="F88">
            <v>7</v>
          </cell>
          <cell r="G88" t="str">
            <v>Zoolapalem</v>
          </cell>
          <cell r="H88">
            <v>32</v>
          </cell>
          <cell r="I88" t="str">
            <v>Lam</v>
          </cell>
          <cell r="J88">
            <v>54</v>
          </cell>
          <cell r="K88" t="str">
            <v>Kolluru</v>
          </cell>
          <cell r="L88">
            <v>32</v>
          </cell>
          <cell r="M88" t="str">
            <v>Vejandla</v>
          </cell>
          <cell r="N88">
            <v>36</v>
          </cell>
          <cell r="O88" t="str">
            <v>Vejandla</v>
          </cell>
          <cell r="P88">
            <v>36</v>
          </cell>
          <cell r="Q88" t="str">
            <v>Ponnuru</v>
          </cell>
          <cell r="R88">
            <v>13</v>
          </cell>
          <cell r="S88" t="str">
            <v>I.B patnam</v>
          </cell>
          <cell r="T88">
            <v>90</v>
          </cell>
          <cell r="Y88" t="str">
            <v>Ponnuru</v>
          </cell>
          <cell r="Z88">
            <v>13</v>
          </cell>
          <cell r="AA88">
            <v>0</v>
          </cell>
        </row>
        <row r="89">
          <cell r="A89">
            <v>85</v>
          </cell>
          <cell r="B89" t="str">
            <v>Arumbaka</v>
          </cell>
          <cell r="C89" t="str">
            <v>Yeminenivaripalem</v>
          </cell>
          <cell r="D89" t="str">
            <v>Cherukupalli</v>
          </cell>
          <cell r="E89" t="str">
            <v>Chandolu</v>
          </cell>
          <cell r="F89">
            <v>10</v>
          </cell>
          <cell r="G89" t="str">
            <v>Zoolapalem</v>
          </cell>
          <cell r="H89">
            <v>29</v>
          </cell>
          <cell r="I89" t="str">
            <v>Lam</v>
          </cell>
          <cell r="J89">
            <v>57</v>
          </cell>
          <cell r="K89" t="str">
            <v>Kolluru</v>
          </cell>
          <cell r="L89">
            <v>29</v>
          </cell>
          <cell r="M89" t="str">
            <v>Vejandla</v>
          </cell>
          <cell r="N89">
            <v>38</v>
          </cell>
          <cell r="O89" t="str">
            <v>Vejandla</v>
          </cell>
          <cell r="P89">
            <v>38</v>
          </cell>
          <cell r="Q89" t="str">
            <v>Ponnuru</v>
          </cell>
          <cell r="R89">
            <v>17</v>
          </cell>
          <cell r="S89" t="str">
            <v>I.B patnam</v>
          </cell>
          <cell r="T89">
            <v>86</v>
          </cell>
          <cell r="Y89" t="str">
            <v>Ponnuru</v>
          </cell>
          <cell r="Z89">
            <v>17</v>
          </cell>
          <cell r="AA89">
            <v>0</v>
          </cell>
        </row>
        <row r="90">
          <cell r="A90">
            <v>86</v>
          </cell>
          <cell r="B90" t="str">
            <v>Addankivaripalem</v>
          </cell>
          <cell r="C90" t="str">
            <v>Addankivaripalem</v>
          </cell>
          <cell r="D90" t="str">
            <v>Nagaram</v>
          </cell>
          <cell r="E90" t="str">
            <v>Local</v>
          </cell>
          <cell r="F90">
            <v>2</v>
          </cell>
          <cell r="G90" t="str">
            <v>Zoolapalem</v>
          </cell>
          <cell r="H90">
            <v>24</v>
          </cell>
          <cell r="I90" t="str">
            <v>Lam</v>
          </cell>
          <cell r="J90">
            <v>71</v>
          </cell>
          <cell r="K90" t="str">
            <v>Kolluru</v>
          </cell>
          <cell r="L90">
            <v>28</v>
          </cell>
          <cell r="M90" t="str">
            <v>Vejandla</v>
          </cell>
          <cell r="N90">
            <v>55</v>
          </cell>
          <cell r="O90" t="str">
            <v>Vejandla</v>
          </cell>
          <cell r="P90">
            <v>55</v>
          </cell>
          <cell r="Q90" t="str">
            <v>Repalle</v>
          </cell>
          <cell r="R90">
            <v>18</v>
          </cell>
          <cell r="S90" t="str">
            <v>I.B patnam</v>
          </cell>
          <cell r="T90">
            <v>85</v>
          </cell>
          <cell r="Y90" t="str">
            <v>Repalle</v>
          </cell>
          <cell r="Z90">
            <v>18</v>
          </cell>
          <cell r="AA90">
            <v>0.2</v>
          </cell>
        </row>
        <row r="91">
          <cell r="A91">
            <v>87</v>
          </cell>
          <cell r="B91" t="str">
            <v>Eletipalem</v>
          </cell>
          <cell r="C91" t="str">
            <v>Akisettivaripalem</v>
          </cell>
          <cell r="D91" t="str">
            <v>Nagaram</v>
          </cell>
          <cell r="E91" t="str">
            <v>Local</v>
          </cell>
          <cell r="F91">
            <v>2</v>
          </cell>
          <cell r="G91" t="str">
            <v>Zoolapalem</v>
          </cell>
          <cell r="H91">
            <v>28</v>
          </cell>
          <cell r="I91" t="str">
            <v>Lam</v>
          </cell>
          <cell r="J91">
            <v>73</v>
          </cell>
          <cell r="K91" t="str">
            <v>Kolluru</v>
          </cell>
          <cell r="L91">
            <v>34</v>
          </cell>
          <cell r="M91" t="str">
            <v>Vejandla</v>
          </cell>
          <cell r="N91">
            <v>53</v>
          </cell>
          <cell r="O91" t="str">
            <v>Vejandla</v>
          </cell>
          <cell r="P91">
            <v>53</v>
          </cell>
          <cell r="Q91" t="str">
            <v>Repalle</v>
          </cell>
          <cell r="R91">
            <v>10</v>
          </cell>
          <cell r="S91" t="str">
            <v>I.B patnam</v>
          </cell>
          <cell r="T91">
            <v>85</v>
          </cell>
          <cell r="Y91" t="str">
            <v>Repalle</v>
          </cell>
          <cell r="Z91">
            <v>10</v>
          </cell>
          <cell r="AA91">
            <v>0.2</v>
          </cell>
        </row>
        <row r="92">
          <cell r="A92">
            <v>88</v>
          </cell>
          <cell r="B92" t="str">
            <v>Allaparru</v>
          </cell>
          <cell r="C92" t="str">
            <v>Allaparru</v>
          </cell>
          <cell r="D92" t="str">
            <v>Nagaram</v>
          </cell>
          <cell r="E92" t="str">
            <v>Local</v>
          </cell>
          <cell r="F92">
            <v>2</v>
          </cell>
          <cell r="G92" t="str">
            <v>Zoolapalem</v>
          </cell>
          <cell r="H92">
            <v>34</v>
          </cell>
          <cell r="I92" t="str">
            <v>Lam</v>
          </cell>
          <cell r="J92">
            <v>77</v>
          </cell>
          <cell r="K92" t="str">
            <v>Kolluru</v>
          </cell>
          <cell r="L92">
            <v>36</v>
          </cell>
          <cell r="M92" t="str">
            <v>Vejandla</v>
          </cell>
          <cell r="N92">
            <v>58</v>
          </cell>
          <cell r="O92" t="str">
            <v>Vejandla</v>
          </cell>
          <cell r="P92">
            <v>58</v>
          </cell>
          <cell r="Q92" t="str">
            <v>Repalle</v>
          </cell>
          <cell r="R92">
            <v>10</v>
          </cell>
          <cell r="S92" t="str">
            <v>I.B patnam</v>
          </cell>
          <cell r="T92">
            <v>85</v>
          </cell>
          <cell r="Y92" t="str">
            <v>Repalle</v>
          </cell>
          <cell r="Z92">
            <v>10</v>
          </cell>
          <cell r="AA92">
            <v>0.2</v>
          </cell>
        </row>
        <row r="93">
          <cell r="A93">
            <v>89</v>
          </cell>
          <cell r="B93" t="str">
            <v>Sajjavaripalem</v>
          </cell>
          <cell r="C93" t="str">
            <v>Allaparru Agraharam</v>
          </cell>
          <cell r="D93" t="str">
            <v>Nagaram</v>
          </cell>
          <cell r="E93" t="str">
            <v>Local</v>
          </cell>
          <cell r="F93">
            <v>2</v>
          </cell>
          <cell r="G93" t="str">
            <v>Zoolapalem</v>
          </cell>
          <cell r="H93">
            <v>30</v>
          </cell>
          <cell r="I93" t="str">
            <v>Lam</v>
          </cell>
          <cell r="J93">
            <v>75</v>
          </cell>
          <cell r="K93" t="str">
            <v>Kolluru</v>
          </cell>
          <cell r="L93">
            <v>34</v>
          </cell>
          <cell r="M93" t="str">
            <v>Vejandla</v>
          </cell>
          <cell r="N93">
            <v>56</v>
          </cell>
          <cell r="O93" t="str">
            <v>Vejandla</v>
          </cell>
          <cell r="P93">
            <v>56</v>
          </cell>
          <cell r="Q93" t="str">
            <v>Repalle</v>
          </cell>
          <cell r="R93">
            <v>8</v>
          </cell>
          <cell r="S93" t="str">
            <v>I.B patnam</v>
          </cell>
          <cell r="T93">
            <v>85</v>
          </cell>
          <cell r="Y93" t="str">
            <v>Repalle</v>
          </cell>
          <cell r="Z93">
            <v>8</v>
          </cell>
          <cell r="AA93">
            <v>0.2</v>
          </cell>
        </row>
        <row r="94">
          <cell r="A94">
            <v>90</v>
          </cell>
          <cell r="B94" t="str">
            <v>Kattava</v>
          </cell>
          <cell r="C94" t="str">
            <v>Anandapuram</v>
          </cell>
          <cell r="D94" t="str">
            <v>Nagaram</v>
          </cell>
          <cell r="E94" t="str">
            <v>Local</v>
          </cell>
          <cell r="F94">
            <v>0.5</v>
          </cell>
          <cell r="G94" t="str">
            <v>Zoolapalem</v>
          </cell>
          <cell r="H94">
            <v>36</v>
          </cell>
          <cell r="I94" t="str">
            <v>Lam</v>
          </cell>
          <cell r="J94">
            <v>79</v>
          </cell>
          <cell r="K94" t="str">
            <v>Kolluru</v>
          </cell>
          <cell r="L94">
            <v>38</v>
          </cell>
          <cell r="M94" t="str">
            <v>Vejandla</v>
          </cell>
          <cell r="N94">
            <v>60</v>
          </cell>
          <cell r="O94" t="str">
            <v>Vejandla</v>
          </cell>
          <cell r="P94">
            <v>60</v>
          </cell>
          <cell r="Q94" t="str">
            <v>Repalle</v>
          </cell>
          <cell r="R94">
            <v>12</v>
          </cell>
          <cell r="S94" t="str">
            <v>I.B patnam</v>
          </cell>
          <cell r="T94">
            <v>85</v>
          </cell>
          <cell r="Y94" t="str">
            <v>Repalle</v>
          </cell>
          <cell r="Z94">
            <v>12</v>
          </cell>
          <cell r="AA94">
            <v>0.2</v>
          </cell>
        </row>
        <row r="95">
          <cell r="A95">
            <v>91</v>
          </cell>
          <cell r="B95" t="str">
            <v>Kolaganivaripalem</v>
          </cell>
          <cell r="C95" t="str">
            <v>Angirekulavaripalem</v>
          </cell>
          <cell r="D95" t="str">
            <v>Nagaram</v>
          </cell>
          <cell r="E95" t="str">
            <v>Local</v>
          </cell>
          <cell r="F95">
            <v>2</v>
          </cell>
          <cell r="G95" t="str">
            <v>Zoolapalem</v>
          </cell>
          <cell r="H95">
            <v>24</v>
          </cell>
          <cell r="I95" t="str">
            <v>Lam</v>
          </cell>
          <cell r="J95">
            <v>70</v>
          </cell>
          <cell r="K95" t="str">
            <v>Kolluru</v>
          </cell>
          <cell r="L95">
            <v>26</v>
          </cell>
          <cell r="M95" t="str">
            <v>Vejandla</v>
          </cell>
          <cell r="N95">
            <v>52</v>
          </cell>
          <cell r="O95" t="str">
            <v>Vejandla</v>
          </cell>
          <cell r="P95">
            <v>52</v>
          </cell>
          <cell r="Q95" t="str">
            <v>Repalle</v>
          </cell>
          <cell r="R95">
            <v>11</v>
          </cell>
          <cell r="S95" t="str">
            <v>I.B patnam</v>
          </cell>
          <cell r="T95">
            <v>85</v>
          </cell>
          <cell r="Y95" t="str">
            <v>Repalle</v>
          </cell>
          <cell r="Z95">
            <v>11</v>
          </cell>
          <cell r="AA95">
            <v>0.2</v>
          </cell>
        </row>
        <row r="96">
          <cell r="A96">
            <v>92</v>
          </cell>
          <cell r="B96" t="str">
            <v>Kattava</v>
          </cell>
          <cell r="C96" t="str">
            <v>Appapuram</v>
          </cell>
          <cell r="D96" t="str">
            <v>Nagaram</v>
          </cell>
          <cell r="E96" t="str">
            <v>Local</v>
          </cell>
          <cell r="F96">
            <v>2</v>
          </cell>
          <cell r="G96" t="str">
            <v>Zoolapalem</v>
          </cell>
          <cell r="H96">
            <v>37</v>
          </cell>
          <cell r="I96" t="str">
            <v>Lam</v>
          </cell>
          <cell r="J96">
            <v>80</v>
          </cell>
          <cell r="K96" t="str">
            <v>Kolluru</v>
          </cell>
          <cell r="L96">
            <v>39</v>
          </cell>
          <cell r="M96" t="str">
            <v>Vejandla</v>
          </cell>
          <cell r="N96">
            <v>61</v>
          </cell>
          <cell r="O96" t="str">
            <v>Vejandla</v>
          </cell>
          <cell r="P96">
            <v>61</v>
          </cell>
          <cell r="Q96" t="str">
            <v>Repalle</v>
          </cell>
          <cell r="R96">
            <v>13</v>
          </cell>
          <cell r="S96" t="str">
            <v>I.B patnam</v>
          </cell>
          <cell r="T96">
            <v>85</v>
          </cell>
          <cell r="Y96" t="str">
            <v>Repalle</v>
          </cell>
          <cell r="Z96">
            <v>13</v>
          </cell>
          <cell r="AA96">
            <v>0</v>
          </cell>
        </row>
        <row r="97">
          <cell r="A97">
            <v>93</v>
          </cell>
          <cell r="B97" t="str">
            <v>Pudiwada</v>
          </cell>
          <cell r="C97" t="str">
            <v>Baduguvaripalem</v>
          </cell>
          <cell r="D97" t="str">
            <v>Nagaram</v>
          </cell>
          <cell r="E97" t="str">
            <v>Local</v>
          </cell>
          <cell r="F97">
            <v>2</v>
          </cell>
          <cell r="G97" t="str">
            <v>Zoolapalem</v>
          </cell>
          <cell r="H97">
            <v>33</v>
          </cell>
          <cell r="I97" t="str">
            <v>Lam</v>
          </cell>
          <cell r="J97">
            <v>66</v>
          </cell>
          <cell r="K97" t="str">
            <v>Kolluru</v>
          </cell>
          <cell r="L97">
            <v>34</v>
          </cell>
          <cell r="M97" t="str">
            <v>Vejandla</v>
          </cell>
          <cell r="N97">
            <v>44</v>
          </cell>
          <cell r="O97" t="str">
            <v>Vejandla</v>
          </cell>
          <cell r="P97">
            <v>44</v>
          </cell>
          <cell r="Q97" t="str">
            <v>Repalle</v>
          </cell>
          <cell r="R97">
            <v>18</v>
          </cell>
          <cell r="S97" t="str">
            <v>I.B patnam</v>
          </cell>
          <cell r="T97">
            <v>85</v>
          </cell>
          <cell r="Y97" t="str">
            <v>Repalle</v>
          </cell>
          <cell r="Z97">
            <v>18</v>
          </cell>
          <cell r="AA97">
            <v>0</v>
          </cell>
        </row>
        <row r="98">
          <cell r="A98">
            <v>94</v>
          </cell>
          <cell r="B98" t="str">
            <v>Bellamvaripalem</v>
          </cell>
          <cell r="C98" t="str">
            <v>Bellamvaripalem</v>
          </cell>
          <cell r="D98" t="str">
            <v>Nagaram</v>
          </cell>
          <cell r="E98" t="str">
            <v>Local</v>
          </cell>
          <cell r="F98">
            <v>2</v>
          </cell>
          <cell r="G98" t="str">
            <v>Zoolapalem</v>
          </cell>
          <cell r="H98">
            <v>30</v>
          </cell>
          <cell r="I98" t="str">
            <v>Lam</v>
          </cell>
          <cell r="J98">
            <v>71</v>
          </cell>
          <cell r="K98" t="str">
            <v>Kolluru</v>
          </cell>
          <cell r="L98">
            <v>36</v>
          </cell>
          <cell r="M98" t="str">
            <v>Vejandla</v>
          </cell>
          <cell r="N98">
            <v>50</v>
          </cell>
          <cell r="O98" t="str">
            <v>Vejandla</v>
          </cell>
          <cell r="P98">
            <v>50</v>
          </cell>
          <cell r="Q98" t="str">
            <v>Repalle</v>
          </cell>
          <cell r="R98">
            <v>12</v>
          </cell>
          <cell r="S98" t="str">
            <v>I.B patnam</v>
          </cell>
          <cell r="T98">
            <v>85</v>
          </cell>
          <cell r="Y98" t="str">
            <v>Repalle</v>
          </cell>
          <cell r="Z98">
            <v>12</v>
          </cell>
          <cell r="AA98">
            <v>0.2</v>
          </cell>
        </row>
        <row r="99">
          <cell r="A99">
            <v>95</v>
          </cell>
          <cell r="B99" t="str">
            <v>Eletipalem</v>
          </cell>
          <cell r="C99" t="str">
            <v>Bhattuvaripalem</v>
          </cell>
          <cell r="D99" t="str">
            <v>Nagaram</v>
          </cell>
          <cell r="E99" t="str">
            <v>Local</v>
          </cell>
          <cell r="F99">
            <v>2</v>
          </cell>
          <cell r="G99" t="str">
            <v>Zoolapalem</v>
          </cell>
          <cell r="H99">
            <v>30</v>
          </cell>
          <cell r="I99" t="str">
            <v>Lam</v>
          </cell>
          <cell r="J99">
            <v>71</v>
          </cell>
          <cell r="K99" t="str">
            <v>Kolluru</v>
          </cell>
          <cell r="L99">
            <v>36</v>
          </cell>
          <cell r="M99" t="str">
            <v>Vejandla</v>
          </cell>
          <cell r="N99">
            <v>50</v>
          </cell>
          <cell r="O99" t="str">
            <v>Vejandla</v>
          </cell>
          <cell r="P99">
            <v>50</v>
          </cell>
          <cell r="Q99" t="str">
            <v>Repalle</v>
          </cell>
          <cell r="R99">
            <v>12</v>
          </cell>
          <cell r="S99" t="str">
            <v>I.B patnam</v>
          </cell>
          <cell r="T99">
            <v>85</v>
          </cell>
          <cell r="Y99" t="str">
            <v>Repalle</v>
          </cell>
          <cell r="Z99">
            <v>12</v>
          </cell>
          <cell r="AA99">
            <v>0.2</v>
          </cell>
        </row>
        <row r="100">
          <cell r="A100">
            <v>96</v>
          </cell>
          <cell r="B100" t="str">
            <v>Mantripalem</v>
          </cell>
          <cell r="C100" t="str">
            <v>Bodduvaripalem</v>
          </cell>
          <cell r="D100" t="str">
            <v>Nagaram</v>
          </cell>
          <cell r="E100" t="str">
            <v>Local</v>
          </cell>
          <cell r="F100">
            <v>2</v>
          </cell>
          <cell r="G100" t="str">
            <v>Zoolapalem</v>
          </cell>
          <cell r="H100">
            <v>33</v>
          </cell>
          <cell r="I100" t="str">
            <v>Lam</v>
          </cell>
          <cell r="J100">
            <v>78</v>
          </cell>
          <cell r="K100" t="str">
            <v>Kolluru</v>
          </cell>
          <cell r="L100">
            <v>37</v>
          </cell>
          <cell r="M100" t="str">
            <v>Vejandla</v>
          </cell>
          <cell r="N100">
            <v>59</v>
          </cell>
          <cell r="O100" t="str">
            <v>Vejandla</v>
          </cell>
          <cell r="P100">
            <v>59</v>
          </cell>
          <cell r="Q100" t="str">
            <v>Repalle</v>
          </cell>
          <cell r="R100">
            <v>11</v>
          </cell>
          <cell r="S100" t="str">
            <v>I.B patnam</v>
          </cell>
          <cell r="T100">
            <v>85</v>
          </cell>
          <cell r="Y100" t="str">
            <v>Repalle</v>
          </cell>
          <cell r="Z100">
            <v>11</v>
          </cell>
          <cell r="AA100">
            <v>0.2</v>
          </cell>
        </row>
        <row r="101">
          <cell r="A101">
            <v>97</v>
          </cell>
          <cell r="B101" t="str">
            <v>Borumamidipalli</v>
          </cell>
          <cell r="C101" t="str">
            <v>Boramadigapalli</v>
          </cell>
          <cell r="D101" t="str">
            <v>Nagaram</v>
          </cell>
          <cell r="E101" t="str">
            <v>Local</v>
          </cell>
          <cell r="F101">
            <v>2</v>
          </cell>
          <cell r="G101" t="str">
            <v>Zoolapalem</v>
          </cell>
          <cell r="H101">
            <v>30</v>
          </cell>
          <cell r="I101" t="str">
            <v>Lam</v>
          </cell>
          <cell r="J101">
            <v>71</v>
          </cell>
          <cell r="K101" t="str">
            <v>Kolluru</v>
          </cell>
          <cell r="L101">
            <v>36</v>
          </cell>
          <cell r="M101" t="str">
            <v>Vejandla</v>
          </cell>
          <cell r="N101">
            <v>50</v>
          </cell>
          <cell r="O101" t="str">
            <v>Vejandla</v>
          </cell>
          <cell r="P101">
            <v>50</v>
          </cell>
          <cell r="Q101" t="str">
            <v>Repalle</v>
          </cell>
          <cell r="R101">
            <v>12</v>
          </cell>
          <cell r="S101" t="str">
            <v>I.B patnam</v>
          </cell>
          <cell r="T101">
            <v>85</v>
          </cell>
          <cell r="Y101" t="str">
            <v>Repalle</v>
          </cell>
          <cell r="Z101">
            <v>12</v>
          </cell>
          <cell r="AA101">
            <v>0.2</v>
          </cell>
        </row>
        <row r="102">
          <cell r="A102">
            <v>98</v>
          </cell>
          <cell r="B102" t="str">
            <v>Addankivaripalem</v>
          </cell>
          <cell r="C102" t="str">
            <v>Borravaripalem</v>
          </cell>
          <cell r="D102" t="str">
            <v>Nagaram</v>
          </cell>
          <cell r="E102" t="str">
            <v>Local</v>
          </cell>
          <cell r="F102">
            <v>2</v>
          </cell>
          <cell r="G102" t="str">
            <v>Zoolapalem</v>
          </cell>
          <cell r="H102">
            <v>26</v>
          </cell>
          <cell r="I102" t="str">
            <v>Lam</v>
          </cell>
          <cell r="J102">
            <v>64</v>
          </cell>
          <cell r="K102" t="str">
            <v>Kolluru</v>
          </cell>
          <cell r="L102">
            <v>30</v>
          </cell>
          <cell r="M102" t="str">
            <v>Vejandla</v>
          </cell>
          <cell r="N102">
            <v>44</v>
          </cell>
          <cell r="O102" t="str">
            <v>Vejandla</v>
          </cell>
          <cell r="P102">
            <v>44</v>
          </cell>
          <cell r="Q102" t="str">
            <v>Repalle</v>
          </cell>
          <cell r="R102">
            <v>19</v>
          </cell>
          <cell r="S102" t="str">
            <v>I.B patnam</v>
          </cell>
          <cell r="T102">
            <v>85</v>
          </cell>
          <cell r="Y102" t="str">
            <v>Repalle</v>
          </cell>
          <cell r="Z102">
            <v>19</v>
          </cell>
          <cell r="AA102">
            <v>0</v>
          </cell>
        </row>
        <row r="103">
          <cell r="A103">
            <v>99</v>
          </cell>
          <cell r="B103" t="str">
            <v>Chinamatlapudi</v>
          </cell>
          <cell r="C103" t="str">
            <v>Brahmanapalem</v>
          </cell>
          <cell r="D103" t="str">
            <v>Nagaram</v>
          </cell>
          <cell r="E103" t="str">
            <v>Local</v>
          </cell>
          <cell r="F103">
            <v>1</v>
          </cell>
          <cell r="G103" t="str">
            <v>Zoolapalem</v>
          </cell>
          <cell r="H103">
            <v>32</v>
          </cell>
          <cell r="I103" t="str">
            <v>Lam</v>
          </cell>
          <cell r="J103">
            <v>67</v>
          </cell>
          <cell r="K103" t="str">
            <v>Kolluru</v>
          </cell>
          <cell r="L103">
            <v>38</v>
          </cell>
          <cell r="M103" t="str">
            <v>Vejandla</v>
          </cell>
          <cell r="N103">
            <v>44</v>
          </cell>
          <cell r="O103" t="str">
            <v>Vejandla</v>
          </cell>
          <cell r="P103">
            <v>44</v>
          </cell>
          <cell r="Q103" t="str">
            <v>Repalle</v>
          </cell>
          <cell r="R103">
            <v>25</v>
          </cell>
          <cell r="S103" t="str">
            <v>I.B patnam</v>
          </cell>
          <cell r="T103">
            <v>85</v>
          </cell>
          <cell r="Y103" t="str">
            <v>Repalle</v>
          </cell>
          <cell r="Z103">
            <v>25</v>
          </cell>
          <cell r="AA103">
            <v>0</v>
          </cell>
        </row>
        <row r="104">
          <cell r="A104">
            <v>100</v>
          </cell>
          <cell r="B104" t="str">
            <v>Bellamvaripalem</v>
          </cell>
          <cell r="C104" t="str">
            <v>Chalamma Agraharam</v>
          </cell>
          <cell r="D104" t="str">
            <v>Nagaram</v>
          </cell>
          <cell r="E104" t="str">
            <v>Local</v>
          </cell>
          <cell r="F104">
            <v>0.5</v>
          </cell>
          <cell r="G104" t="str">
            <v>Zoolapalem</v>
          </cell>
          <cell r="H104">
            <v>32</v>
          </cell>
          <cell r="I104" t="str">
            <v>Lam</v>
          </cell>
          <cell r="J104">
            <v>73</v>
          </cell>
          <cell r="K104" t="str">
            <v>Kolluru</v>
          </cell>
          <cell r="L104">
            <v>38</v>
          </cell>
          <cell r="M104" t="str">
            <v>Vejandla</v>
          </cell>
          <cell r="N104">
            <v>52</v>
          </cell>
          <cell r="O104" t="str">
            <v>Vejandla</v>
          </cell>
          <cell r="P104">
            <v>52</v>
          </cell>
          <cell r="Q104" t="str">
            <v>Repalle</v>
          </cell>
          <cell r="R104">
            <v>14</v>
          </cell>
          <cell r="S104" t="str">
            <v>I.B patnam</v>
          </cell>
          <cell r="T104">
            <v>85</v>
          </cell>
          <cell r="Y104" t="str">
            <v>Repalle</v>
          </cell>
          <cell r="Z104">
            <v>14</v>
          </cell>
          <cell r="AA104">
            <v>0.2</v>
          </cell>
        </row>
        <row r="105">
          <cell r="A105">
            <v>101</v>
          </cell>
          <cell r="B105" t="str">
            <v>Chinamatlapudi</v>
          </cell>
          <cell r="C105" t="str">
            <v>Chinamatlapudi</v>
          </cell>
          <cell r="D105" t="str">
            <v>Nagaram</v>
          </cell>
          <cell r="E105" t="str">
            <v>Local</v>
          </cell>
          <cell r="F105">
            <v>1</v>
          </cell>
          <cell r="G105" t="str">
            <v>Zoolapalem</v>
          </cell>
          <cell r="H105">
            <v>32</v>
          </cell>
          <cell r="I105" t="str">
            <v>Lam</v>
          </cell>
          <cell r="J105">
            <v>67</v>
          </cell>
          <cell r="K105" t="str">
            <v>Kolluru</v>
          </cell>
          <cell r="L105">
            <v>38</v>
          </cell>
          <cell r="M105" t="str">
            <v>Vejandla</v>
          </cell>
          <cell r="N105">
            <v>44</v>
          </cell>
          <cell r="O105" t="str">
            <v>Vejandla</v>
          </cell>
          <cell r="P105">
            <v>44</v>
          </cell>
          <cell r="Q105" t="str">
            <v>Repalle</v>
          </cell>
          <cell r="R105">
            <v>25</v>
          </cell>
          <cell r="S105" t="str">
            <v>I.B patnam</v>
          </cell>
          <cell r="T105">
            <v>85</v>
          </cell>
          <cell r="Y105" t="str">
            <v>Repalle</v>
          </cell>
          <cell r="Z105">
            <v>25</v>
          </cell>
          <cell r="AA105">
            <v>0</v>
          </cell>
        </row>
        <row r="106">
          <cell r="A106">
            <v>102</v>
          </cell>
          <cell r="B106" t="str">
            <v>Chirakalavaripalem</v>
          </cell>
          <cell r="C106" t="str">
            <v>Chirakalavaripalem</v>
          </cell>
          <cell r="D106" t="str">
            <v>Nagaram</v>
          </cell>
          <cell r="E106" t="str">
            <v>Local</v>
          </cell>
          <cell r="F106">
            <v>2</v>
          </cell>
          <cell r="G106" t="str">
            <v>Zoolapalem</v>
          </cell>
          <cell r="H106">
            <v>28</v>
          </cell>
          <cell r="I106" t="str">
            <v>Lam</v>
          </cell>
          <cell r="J106">
            <v>74</v>
          </cell>
          <cell r="K106" t="str">
            <v>Kolluru</v>
          </cell>
          <cell r="L106">
            <v>33</v>
          </cell>
          <cell r="M106" t="str">
            <v>Vejandla</v>
          </cell>
          <cell r="N106">
            <v>57</v>
          </cell>
          <cell r="O106" t="str">
            <v>Vejandla</v>
          </cell>
          <cell r="P106">
            <v>57</v>
          </cell>
          <cell r="Q106" t="str">
            <v>Repalle</v>
          </cell>
          <cell r="R106">
            <v>9</v>
          </cell>
          <cell r="S106" t="str">
            <v>I.B patnam</v>
          </cell>
          <cell r="T106">
            <v>85</v>
          </cell>
          <cell r="Y106" t="str">
            <v>Repalle</v>
          </cell>
          <cell r="Z106">
            <v>9</v>
          </cell>
          <cell r="AA106">
            <v>0.2</v>
          </cell>
        </row>
        <row r="107">
          <cell r="A107">
            <v>103</v>
          </cell>
          <cell r="B107" t="str">
            <v>Edupalli</v>
          </cell>
          <cell r="C107" t="str">
            <v>Dasaripalem</v>
          </cell>
          <cell r="D107" t="str">
            <v>Nagaram</v>
          </cell>
          <cell r="E107" t="str">
            <v>Local</v>
          </cell>
          <cell r="F107">
            <v>2</v>
          </cell>
          <cell r="G107" t="str">
            <v>Zoolapalem</v>
          </cell>
          <cell r="H107">
            <v>37</v>
          </cell>
          <cell r="I107" t="str">
            <v>Lam</v>
          </cell>
          <cell r="J107">
            <v>75</v>
          </cell>
          <cell r="K107" t="str">
            <v>Kolluru</v>
          </cell>
          <cell r="L107">
            <v>45</v>
          </cell>
          <cell r="M107" t="str">
            <v>Vejandla</v>
          </cell>
          <cell r="N107">
            <v>55</v>
          </cell>
          <cell r="O107" t="str">
            <v>Vejandla</v>
          </cell>
          <cell r="P107">
            <v>55</v>
          </cell>
          <cell r="Q107" t="str">
            <v>Repalle</v>
          </cell>
          <cell r="R107">
            <v>20</v>
          </cell>
          <cell r="S107" t="str">
            <v>I.B patnam</v>
          </cell>
          <cell r="T107">
            <v>85</v>
          </cell>
          <cell r="Y107" t="str">
            <v>Repalle</v>
          </cell>
          <cell r="Z107">
            <v>20</v>
          </cell>
          <cell r="AA107">
            <v>0</v>
          </cell>
        </row>
        <row r="108">
          <cell r="A108">
            <v>104</v>
          </cell>
          <cell r="B108" t="str">
            <v>Mantripalem</v>
          </cell>
          <cell r="C108" t="str">
            <v>Dasullapalem</v>
          </cell>
          <cell r="D108" t="str">
            <v>Nagaram</v>
          </cell>
          <cell r="E108" t="str">
            <v>Local</v>
          </cell>
          <cell r="F108">
            <v>3</v>
          </cell>
          <cell r="G108" t="str">
            <v>Zoolapalem</v>
          </cell>
          <cell r="H108">
            <v>36</v>
          </cell>
          <cell r="I108" t="str">
            <v>Lam</v>
          </cell>
          <cell r="J108">
            <v>79</v>
          </cell>
          <cell r="K108" t="str">
            <v>Kolluru</v>
          </cell>
          <cell r="L108">
            <v>38</v>
          </cell>
          <cell r="M108" t="str">
            <v>Vejandla</v>
          </cell>
          <cell r="N108">
            <v>60</v>
          </cell>
          <cell r="O108" t="str">
            <v>Vejandla</v>
          </cell>
          <cell r="P108">
            <v>60</v>
          </cell>
          <cell r="Q108" t="str">
            <v>Repalle</v>
          </cell>
          <cell r="R108">
            <v>12</v>
          </cell>
          <cell r="S108" t="str">
            <v>I.B patnam</v>
          </cell>
          <cell r="T108">
            <v>85</v>
          </cell>
          <cell r="Y108" t="str">
            <v>Repalle</v>
          </cell>
          <cell r="Z108">
            <v>12</v>
          </cell>
          <cell r="AA108">
            <v>0.2</v>
          </cell>
        </row>
        <row r="109">
          <cell r="A109">
            <v>105</v>
          </cell>
          <cell r="B109" t="str">
            <v>Pedapalli</v>
          </cell>
          <cell r="C109" t="str">
            <v>Devarakondavaripalem</v>
          </cell>
          <cell r="D109" t="str">
            <v>Nagaram</v>
          </cell>
          <cell r="E109" t="str">
            <v>Local</v>
          </cell>
          <cell r="F109">
            <v>2</v>
          </cell>
          <cell r="G109" t="str">
            <v>Zoolapalem</v>
          </cell>
          <cell r="H109">
            <v>33</v>
          </cell>
          <cell r="I109" t="str">
            <v>Lam</v>
          </cell>
          <cell r="J109">
            <v>64</v>
          </cell>
          <cell r="K109" t="str">
            <v>Kolluru</v>
          </cell>
          <cell r="L109">
            <v>38</v>
          </cell>
          <cell r="M109" t="str">
            <v>Vejandla</v>
          </cell>
          <cell r="N109">
            <v>53</v>
          </cell>
          <cell r="O109" t="str">
            <v>Vejandla</v>
          </cell>
          <cell r="P109">
            <v>53</v>
          </cell>
          <cell r="Q109" t="str">
            <v>Repalle</v>
          </cell>
          <cell r="R109">
            <v>25</v>
          </cell>
          <cell r="S109" t="str">
            <v>I.B patnam</v>
          </cell>
          <cell r="T109">
            <v>85</v>
          </cell>
          <cell r="Y109" t="str">
            <v>Repalle</v>
          </cell>
          <cell r="Z109">
            <v>25</v>
          </cell>
          <cell r="AA109">
            <v>0</v>
          </cell>
        </row>
        <row r="110">
          <cell r="A110">
            <v>106</v>
          </cell>
          <cell r="B110" t="str">
            <v>Dhulipudi</v>
          </cell>
          <cell r="C110" t="str">
            <v>Dhulipudi</v>
          </cell>
          <cell r="D110" t="str">
            <v>Nagaram</v>
          </cell>
          <cell r="E110" t="str">
            <v>Local</v>
          </cell>
          <cell r="F110">
            <v>2</v>
          </cell>
          <cell r="G110" t="str">
            <v>Zoolapalem</v>
          </cell>
          <cell r="H110">
            <v>23</v>
          </cell>
          <cell r="I110" t="str">
            <v>Lam</v>
          </cell>
          <cell r="J110">
            <v>69</v>
          </cell>
          <cell r="K110" t="str">
            <v>Kolluru</v>
          </cell>
          <cell r="L110">
            <v>25</v>
          </cell>
          <cell r="M110" t="str">
            <v>Vejandla</v>
          </cell>
          <cell r="N110">
            <v>53</v>
          </cell>
          <cell r="O110" t="str">
            <v>Vejandla</v>
          </cell>
          <cell r="P110">
            <v>53</v>
          </cell>
          <cell r="Q110" t="str">
            <v>Repalle</v>
          </cell>
          <cell r="R110">
            <v>13</v>
          </cell>
          <cell r="S110" t="str">
            <v>I.B patnam</v>
          </cell>
          <cell r="T110">
            <v>85</v>
          </cell>
          <cell r="Y110" t="str">
            <v>Repalle</v>
          </cell>
          <cell r="Z110">
            <v>13</v>
          </cell>
          <cell r="AA110">
            <v>0.2</v>
          </cell>
        </row>
        <row r="111">
          <cell r="A111">
            <v>107</v>
          </cell>
          <cell r="B111" t="str">
            <v>Edupalli</v>
          </cell>
          <cell r="C111" t="str">
            <v>Edupalli</v>
          </cell>
          <cell r="D111" t="str">
            <v>Nagaram</v>
          </cell>
          <cell r="E111" t="str">
            <v>Local</v>
          </cell>
          <cell r="F111">
            <v>2</v>
          </cell>
          <cell r="G111" t="str">
            <v>Zoolapalem</v>
          </cell>
          <cell r="H111">
            <v>33</v>
          </cell>
          <cell r="I111" t="str">
            <v>Lam</v>
          </cell>
          <cell r="J111">
            <v>71</v>
          </cell>
          <cell r="K111" t="str">
            <v>Kolluru</v>
          </cell>
          <cell r="L111">
            <v>41</v>
          </cell>
          <cell r="M111" t="str">
            <v>Vejandla</v>
          </cell>
          <cell r="N111">
            <v>51</v>
          </cell>
          <cell r="O111" t="str">
            <v>Vejandla</v>
          </cell>
          <cell r="P111">
            <v>51</v>
          </cell>
          <cell r="Q111" t="str">
            <v>Repalle</v>
          </cell>
          <cell r="R111">
            <v>18</v>
          </cell>
          <cell r="S111" t="str">
            <v>I.B patnam</v>
          </cell>
          <cell r="T111">
            <v>85</v>
          </cell>
          <cell r="Y111" t="str">
            <v>Repalle</v>
          </cell>
          <cell r="Z111">
            <v>18</v>
          </cell>
          <cell r="AA111">
            <v>0</v>
          </cell>
        </row>
        <row r="112">
          <cell r="A112">
            <v>108</v>
          </cell>
          <cell r="B112" t="str">
            <v>Eletipalem</v>
          </cell>
          <cell r="C112" t="str">
            <v>Eletipalem</v>
          </cell>
          <cell r="D112" t="str">
            <v>Nagaram</v>
          </cell>
          <cell r="E112" t="str">
            <v>Local</v>
          </cell>
          <cell r="F112">
            <v>1</v>
          </cell>
          <cell r="G112" t="str">
            <v>Zoolapalem</v>
          </cell>
          <cell r="H112">
            <v>28</v>
          </cell>
          <cell r="I112" t="str">
            <v>Lam</v>
          </cell>
          <cell r="J112">
            <v>73</v>
          </cell>
          <cell r="K112" t="str">
            <v>Kolluru</v>
          </cell>
          <cell r="L112">
            <v>34</v>
          </cell>
          <cell r="M112" t="str">
            <v>Vejandla</v>
          </cell>
          <cell r="N112">
            <v>53</v>
          </cell>
          <cell r="O112" t="str">
            <v>Vejandla</v>
          </cell>
          <cell r="P112">
            <v>53</v>
          </cell>
          <cell r="Q112" t="str">
            <v>Repalle</v>
          </cell>
          <cell r="R112">
            <v>10</v>
          </cell>
          <cell r="S112" t="str">
            <v>I.B patnam</v>
          </cell>
          <cell r="T112">
            <v>85</v>
          </cell>
          <cell r="Y112" t="str">
            <v>Repalle</v>
          </cell>
          <cell r="Z112">
            <v>10</v>
          </cell>
          <cell r="AA112">
            <v>0.2</v>
          </cell>
        </row>
        <row r="113">
          <cell r="A113">
            <v>109</v>
          </cell>
          <cell r="B113" t="str">
            <v>Chinamatlapudi</v>
          </cell>
          <cell r="C113" t="str">
            <v>Fakiravaripalem</v>
          </cell>
          <cell r="D113" t="str">
            <v>Nagaram</v>
          </cell>
          <cell r="E113" t="str">
            <v>Local</v>
          </cell>
          <cell r="F113">
            <v>1</v>
          </cell>
          <cell r="G113" t="str">
            <v>Zoolapalem</v>
          </cell>
          <cell r="H113">
            <v>32</v>
          </cell>
          <cell r="I113" t="str">
            <v>Lam</v>
          </cell>
          <cell r="J113">
            <v>67</v>
          </cell>
          <cell r="K113" t="str">
            <v>Kolluru</v>
          </cell>
          <cell r="L113">
            <v>38</v>
          </cell>
          <cell r="M113" t="str">
            <v>Vejandla</v>
          </cell>
          <cell r="N113">
            <v>44</v>
          </cell>
          <cell r="O113" t="str">
            <v>Vejandla</v>
          </cell>
          <cell r="P113">
            <v>44</v>
          </cell>
          <cell r="Q113" t="str">
            <v>Repalle</v>
          </cell>
          <cell r="R113">
            <v>25</v>
          </cell>
          <cell r="S113" t="str">
            <v>I.B patnam</v>
          </cell>
          <cell r="T113">
            <v>85</v>
          </cell>
          <cell r="Y113" t="str">
            <v>Repalle</v>
          </cell>
          <cell r="Z113">
            <v>25</v>
          </cell>
          <cell r="AA113">
            <v>0</v>
          </cell>
        </row>
        <row r="114">
          <cell r="A114">
            <v>110</v>
          </cell>
          <cell r="B114" t="str">
            <v>Pedapalli</v>
          </cell>
          <cell r="C114" t="str">
            <v>Gattuvaripalem</v>
          </cell>
          <cell r="D114" t="str">
            <v>Nagaram</v>
          </cell>
          <cell r="E114" t="str">
            <v>Local</v>
          </cell>
          <cell r="F114">
            <v>2</v>
          </cell>
          <cell r="G114" t="str">
            <v>Zoolapalem</v>
          </cell>
          <cell r="H114">
            <v>39</v>
          </cell>
          <cell r="I114" t="str">
            <v>Lam</v>
          </cell>
          <cell r="J114">
            <v>62</v>
          </cell>
          <cell r="K114" t="str">
            <v>Kolluru</v>
          </cell>
          <cell r="L114">
            <v>44</v>
          </cell>
          <cell r="M114" t="str">
            <v>Vejandla</v>
          </cell>
          <cell r="N114">
            <v>51</v>
          </cell>
          <cell r="O114" t="str">
            <v>Vejandla</v>
          </cell>
          <cell r="P114">
            <v>51</v>
          </cell>
          <cell r="Q114" t="str">
            <v>Repalle</v>
          </cell>
          <cell r="R114">
            <v>31</v>
          </cell>
          <cell r="S114" t="str">
            <v>I.B patnam</v>
          </cell>
          <cell r="T114">
            <v>85</v>
          </cell>
          <cell r="Y114" t="str">
            <v>Repalle</v>
          </cell>
          <cell r="Z114">
            <v>31</v>
          </cell>
          <cell r="AA114">
            <v>0</v>
          </cell>
        </row>
        <row r="115">
          <cell r="A115">
            <v>111</v>
          </cell>
          <cell r="B115" t="str">
            <v>Siripudi</v>
          </cell>
          <cell r="C115" t="str">
            <v>Gavallapalem</v>
          </cell>
          <cell r="D115" t="str">
            <v>Nagaram</v>
          </cell>
          <cell r="E115" t="str">
            <v>Local</v>
          </cell>
          <cell r="F115">
            <v>1</v>
          </cell>
          <cell r="G115" t="str">
            <v>Zoolapalem</v>
          </cell>
          <cell r="H115">
            <v>29</v>
          </cell>
          <cell r="I115" t="str">
            <v>Lam</v>
          </cell>
          <cell r="J115">
            <v>60</v>
          </cell>
          <cell r="K115" t="str">
            <v>Kolluru</v>
          </cell>
          <cell r="L115">
            <v>35</v>
          </cell>
          <cell r="M115" t="str">
            <v>Vejandla</v>
          </cell>
          <cell r="N115">
            <v>44</v>
          </cell>
          <cell r="O115" t="str">
            <v>Vejandla</v>
          </cell>
          <cell r="P115">
            <v>44</v>
          </cell>
          <cell r="Q115" t="str">
            <v>Repalle</v>
          </cell>
          <cell r="R115">
            <v>22</v>
          </cell>
          <cell r="S115" t="str">
            <v>I.B patnam</v>
          </cell>
          <cell r="T115">
            <v>85</v>
          </cell>
          <cell r="Y115" t="str">
            <v>Repalle</v>
          </cell>
          <cell r="Z115">
            <v>22</v>
          </cell>
          <cell r="AA115">
            <v>0</v>
          </cell>
        </row>
        <row r="116">
          <cell r="A116">
            <v>112</v>
          </cell>
          <cell r="B116" t="str">
            <v>Bellamvaripalem</v>
          </cell>
          <cell r="C116" t="str">
            <v>Ghalivaripalem</v>
          </cell>
          <cell r="D116" t="str">
            <v>Nagaram</v>
          </cell>
          <cell r="E116" t="str">
            <v>Local</v>
          </cell>
          <cell r="F116">
            <v>2</v>
          </cell>
          <cell r="G116" t="str">
            <v>Zoolapalem</v>
          </cell>
          <cell r="H116">
            <v>32</v>
          </cell>
          <cell r="I116" t="str">
            <v>Lam</v>
          </cell>
          <cell r="J116">
            <v>69</v>
          </cell>
          <cell r="K116" t="str">
            <v>Kolluru</v>
          </cell>
          <cell r="L116">
            <v>38</v>
          </cell>
          <cell r="M116" t="str">
            <v>Vejandla</v>
          </cell>
          <cell r="N116">
            <v>48</v>
          </cell>
          <cell r="O116" t="str">
            <v>Vejandla</v>
          </cell>
          <cell r="P116">
            <v>48</v>
          </cell>
          <cell r="Q116" t="str">
            <v>Repalle</v>
          </cell>
          <cell r="R116">
            <v>14</v>
          </cell>
          <cell r="S116" t="str">
            <v>I.B patnam</v>
          </cell>
          <cell r="T116">
            <v>85</v>
          </cell>
          <cell r="Y116" t="str">
            <v>Repalle</v>
          </cell>
          <cell r="Z116">
            <v>14</v>
          </cell>
          <cell r="AA116">
            <v>0.2</v>
          </cell>
        </row>
        <row r="117">
          <cell r="A117">
            <v>113</v>
          </cell>
          <cell r="B117" t="str">
            <v>Edupalli</v>
          </cell>
          <cell r="C117" t="str">
            <v>Gollapalem T.V Palem</v>
          </cell>
          <cell r="D117" t="str">
            <v>Nagaram</v>
          </cell>
          <cell r="E117" t="str">
            <v>Local</v>
          </cell>
          <cell r="F117">
            <v>2</v>
          </cell>
          <cell r="G117" t="str">
            <v>Zoolapalem</v>
          </cell>
          <cell r="H117">
            <v>32</v>
          </cell>
          <cell r="I117" t="str">
            <v>Lam</v>
          </cell>
          <cell r="J117">
            <v>70</v>
          </cell>
          <cell r="K117" t="str">
            <v>Kolluru</v>
          </cell>
          <cell r="L117">
            <v>41</v>
          </cell>
          <cell r="M117" t="str">
            <v>Vejandla</v>
          </cell>
          <cell r="N117">
            <v>50</v>
          </cell>
          <cell r="O117" t="str">
            <v>Vejandla</v>
          </cell>
          <cell r="P117">
            <v>50</v>
          </cell>
          <cell r="Q117" t="str">
            <v>Repalle</v>
          </cell>
          <cell r="R117">
            <v>19</v>
          </cell>
          <cell r="S117" t="str">
            <v>I.B patnam</v>
          </cell>
          <cell r="T117">
            <v>85</v>
          </cell>
          <cell r="Y117" t="str">
            <v>Repalle</v>
          </cell>
          <cell r="Z117">
            <v>19</v>
          </cell>
          <cell r="AA117">
            <v>0</v>
          </cell>
        </row>
        <row r="118">
          <cell r="A118">
            <v>114</v>
          </cell>
          <cell r="B118" t="str">
            <v>Pedapalli</v>
          </cell>
          <cell r="C118" t="str">
            <v>Gollapalem (pedapalli)</v>
          </cell>
          <cell r="D118" t="str">
            <v>Nagaram</v>
          </cell>
          <cell r="E118" t="str">
            <v>Local</v>
          </cell>
          <cell r="F118">
            <v>2</v>
          </cell>
          <cell r="G118" t="str">
            <v>Zoolapalem</v>
          </cell>
          <cell r="H118">
            <v>34</v>
          </cell>
          <cell r="I118" t="str">
            <v>Lam</v>
          </cell>
          <cell r="J118">
            <v>77</v>
          </cell>
          <cell r="K118" t="str">
            <v>Kolluru</v>
          </cell>
          <cell r="L118">
            <v>36</v>
          </cell>
          <cell r="M118" t="str">
            <v>Vejandla</v>
          </cell>
          <cell r="N118">
            <v>49</v>
          </cell>
          <cell r="O118" t="str">
            <v>Vejandla</v>
          </cell>
          <cell r="P118">
            <v>49</v>
          </cell>
          <cell r="Q118" t="str">
            <v>Repalle</v>
          </cell>
          <cell r="R118">
            <v>23</v>
          </cell>
          <cell r="S118" t="str">
            <v>I.B patnam</v>
          </cell>
          <cell r="T118">
            <v>85</v>
          </cell>
          <cell r="Y118" t="str">
            <v>Repalle</v>
          </cell>
          <cell r="Z118">
            <v>23</v>
          </cell>
          <cell r="AA118">
            <v>0</v>
          </cell>
        </row>
        <row r="119">
          <cell r="A119">
            <v>115</v>
          </cell>
          <cell r="B119" t="str">
            <v>Pedamatlapudi</v>
          </cell>
          <cell r="C119" t="str">
            <v>Gudapativaripalem</v>
          </cell>
          <cell r="D119" t="str">
            <v>Nagaram</v>
          </cell>
          <cell r="E119" t="str">
            <v>Local</v>
          </cell>
          <cell r="F119">
            <v>2</v>
          </cell>
          <cell r="G119" t="str">
            <v>Zoolapalem</v>
          </cell>
          <cell r="H119">
            <v>35</v>
          </cell>
          <cell r="I119" t="str">
            <v>Lam</v>
          </cell>
          <cell r="J119">
            <v>65</v>
          </cell>
          <cell r="K119" t="str">
            <v>Kolluru</v>
          </cell>
          <cell r="L119">
            <v>38</v>
          </cell>
          <cell r="M119" t="str">
            <v>Vejandla</v>
          </cell>
          <cell r="N119">
            <v>48</v>
          </cell>
          <cell r="O119" t="str">
            <v>Vejandla</v>
          </cell>
          <cell r="P119">
            <v>48</v>
          </cell>
          <cell r="Q119" t="str">
            <v>Repalle</v>
          </cell>
          <cell r="R119">
            <v>21</v>
          </cell>
          <cell r="S119" t="str">
            <v>I.B patnam</v>
          </cell>
          <cell r="T119">
            <v>85</v>
          </cell>
          <cell r="Y119" t="str">
            <v>Repalle</v>
          </cell>
          <cell r="Z119">
            <v>21</v>
          </cell>
          <cell r="AA119">
            <v>0</v>
          </cell>
        </row>
        <row r="120">
          <cell r="A120">
            <v>116</v>
          </cell>
          <cell r="B120" t="str">
            <v>Kattava</v>
          </cell>
          <cell r="C120" t="str">
            <v>Gurunadhapuram</v>
          </cell>
          <cell r="D120" t="str">
            <v>Nagaram</v>
          </cell>
          <cell r="E120" t="str">
            <v>Local</v>
          </cell>
          <cell r="F120">
            <v>2</v>
          </cell>
          <cell r="G120" t="str">
            <v>Zoolapalem</v>
          </cell>
          <cell r="H120">
            <v>37</v>
          </cell>
          <cell r="I120" t="str">
            <v>Lam</v>
          </cell>
          <cell r="J120">
            <v>80</v>
          </cell>
          <cell r="K120" t="str">
            <v>Kolluru</v>
          </cell>
          <cell r="L120">
            <v>39</v>
          </cell>
          <cell r="M120" t="str">
            <v>Vejandla</v>
          </cell>
          <cell r="N120">
            <v>61</v>
          </cell>
          <cell r="O120" t="str">
            <v>Vejandla</v>
          </cell>
          <cell r="P120">
            <v>61</v>
          </cell>
          <cell r="Q120" t="str">
            <v>Repalle</v>
          </cell>
          <cell r="R120">
            <v>14</v>
          </cell>
          <cell r="S120" t="str">
            <v>I.B patnam</v>
          </cell>
          <cell r="T120">
            <v>85</v>
          </cell>
          <cell r="Y120" t="str">
            <v>Repalle</v>
          </cell>
          <cell r="Z120">
            <v>14</v>
          </cell>
          <cell r="AA120">
            <v>0</v>
          </cell>
        </row>
        <row r="121">
          <cell r="A121">
            <v>117</v>
          </cell>
          <cell r="B121" t="str">
            <v>Mantripalem</v>
          </cell>
          <cell r="C121" t="str">
            <v>Hariharanadhapuram</v>
          </cell>
          <cell r="D121" t="str">
            <v>Nagaram</v>
          </cell>
          <cell r="E121" t="str">
            <v>Local</v>
          </cell>
          <cell r="F121">
            <v>5</v>
          </cell>
          <cell r="G121" t="str">
            <v>Zoolapalem</v>
          </cell>
          <cell r="H121">
            <v>29</v>
          </cell>
          <cell r="I121" t="str">
            <v>Lam</v>
          </cell>
          <cell r="J121">
            <v>80</v>
          </cell>
          <cell r="K121" t="str">
            <v>Kolluru</v>
          </cell>
          <cell r="L121">
            <v>39</v>
          </cell>
          <cell r="M121" t="str">
            <v>Vejandla</v>
          </cell>
          <cell r="N121">
            <v>61</v>
          </cell>
          <cell r="O121" t="str">
            <v>Vejandla</v>
          </cell>
          <cell r="P121">
            <v>61</v>
          </cell>
          <cell r="Q121" t="str">
            <v>Repalle</v>
          </cell>
          <cell r="R121">
            <v>7</v>
          </cell>
          <cell r="S121" t="str">
            <v>I.B patnam</v>
          </cell>
          <cell r="T121">
            <v>85</v>
          </cell>
          <cell r="Y121" t="str">
            <v>Repalle</v>
          </cell>
          <cell r="Z121">
            <v>7</v>
          </cell>
          <cell r="AA121">
            <v>0.2</v>
          </cell>
        </row>
        <row r="122">
          <cell r="A122">
            <v>118</v>
          </cell>
          <cell r="B122" t="str">
            <v>Nagaram</v>
          </cell>
          <cell r="C122" t="str">
            <v>Inkolluvaripalem</v>
          </cell>
          <cell r="D122" t="str">
            <v>Nagaram</v>
          </cell>
          <cell r="E122" t="str">
            <v>Local</v>
          </cell>
          <cell r="F122">
            <v>2</v>
          </cell>
          <cell r="G122" t="str">
            <v>Zoolapalem</v>
          </cell>
          <cell r="H122">
            <v>26</v>
          </cell>
          <cell r="I122" t="str">
            <v>Lam</v>
          </cell>
          <cell r="J122">
            <v>67</v>
          </cell>
          <cell r="K122" t="str">
            <v>Kolluru</v>
          </cell>
          <cell r="L122">
            <v>29</v>
          </cell>
          <cell r="M122" t="str">
            <v>Vejandla</v>
          </cell>
          <cell r="N122">
            <v>46</v>
          </cell>
          <cell r="O122" t="str">
            <v>Vejandla</v>
          </cell>
          <cell r="P122">
            <v>46</v>
          </cell>
          <cell r="Q122" t="str">
            <v>Repalle</v>
          </cell>
          <cell r="R122">
            <v>18</v>
          </cell>
          <cell r="S122" t="str">
            <v>I.B patnam</v>
          </cell>
          <cell r="T122">
            <v>85</v>
          </cell>
          <cell r="Y122" t="str">
            <v>Repalle</v>
          </cell>
          <cell r="Z122">
            <v>18</v>
          </cell>
          <cell r="AA122">
            <v>0</v>
          </cell>
        </row>
        <row r="123">
          <cell r="A123">
            <v>119</v>
          </cell>
          <cell r="B123" t="str">
            <v>Bellamvaripalem</v>
          </cell>
          <cell r="C123" t="str">
            <v>Jangamlanka</v>
          </cell>
          <cell r="D123" t="str">
            <v>Nagaram</v>
          </cell>
          <cell r="E123" t="str">
            <v>Local</v>
          </cell>
          <cell r="F123">
            <v>0.5</v>
          </cell>
          <cell r="G123" t="str">
            <v>Zoolapalem</v>
          </cell>
          <cell r="H123">
            <v>31</v>
          </cell>
          <cell r="I123" t="str">
            <v>Lam</v>
          </cell>
          <cell r="J123">
            <v>72</v>
          </cell>
          <cell r="K123" t="str">
            <v>Kolluru</v>
          </cell>
          <cell r="L123">
            <v>37</v>
          </cell>
          <cell r="M123" t="str">
            <v>Vejandla</v>
          </cell>
          <cell r="N123">
            <v>51</v>
          </cell>
          <cell r="O123" t="str">
            <v>Vejandla</v>
          </cell>
          <cell r="P123">
            <v>51</v>
          </cell>
          <cell r="Q123" t="str">
            <v>Repalle</v>
          </cell>
          <cell r="R123">
            <v>13</v>
          </cell>
          <cell r="S123" t="str">
            <v>I.B patnam</v>
          </cell>
          <cell r="T123">
            <v>85</v>
          </cell>
          <cell r="Y123" t="str">
            <v>Repalle</v>
          </cell>
          <cell r="Z123">
            <v>13</v>
          </cell>
          <cell r="AA123">
            <v>0.2</v>
          </cell>
        </row>
        <row r="124">
          <cell r="A124">
            <v>120</v>
          </cell>
          <cell r="B124" t="str">
            <v>Jillepalli</v>
          </cell>
          <cell r="C124" t="str">
            <v>Jillepalli</v>
          </cell>
          <cell r="D124" t="str">
            <v>Nagaram</v>
          </cell>
          <cell r="E124" t="str">
            <v>Local</v>
          </cell>
          <cell r="F124">
            <v>2</v>
          </cell>
          <cell r="G124" t="str">
            <v>Zoolapalem</v>
          </cell>
          <cell r="H124">
            <v>21</v>
          </cell>
          <cell r="I124" t="str">
            <v>Lam</v>
          </cell>
          <cell r="J124">
            <v>67</v>
          </cell>
          <cell r="K124" t="str">
            <v>Kolluru</v>
          </cell>
          <cell r="L124">
            <v>23</v>
          </cell>
          <cell r="M124" t="str">
            <v>Vejandla</v>
          </cell>
          <cell r="N124">
            <v>48</v>
          </cell>
          <cell r="O124" t="str">
            <v>Vejandla</v>
          </cell>
          <cell r="P124">
            <v>48</v>
          </cell>
          <cell r="Q124" t="str">
            <v>Repalle</v>
          </cell>
          <cell r="R124">
            <v>17</v>
          </cell>
          <cell r="S124" t="str">
            <v>I.B patnam</v>
          </cell>
          <cell r="T124">
            <v>85</v>
          </cell>
          <cell r="Y124" t="str">
            <v>Repalle</v>
          </cell>
          <cell r="Z124">
            <v>17</v>
          </cell>
          <cell r="AA124">
            <v>0.2</v>
          </cell>
        </row>
        <row r="125">
          <cell r="A125">
            <v>121</v>
          </cell>
          <cell r="B125" t="str">
            <v>Pedamatlapudi</v>
          </cell>
          <cell r="C125" t="str">
            <v>Kammavaripalem</v>
          </cell>
          <cell r="D125" t="str">
            <v>Nagaram</v>
          </cell>
          <cell r="E125" t="str">
            <v>Local</v>
          </cell>
          <cell r="F125">
            <v>2</v>
          </cell>
          <cell r="G125" t="str">
            <v>Zoolapalem</v>
          </cell>
          <cell r="H125">
            <v>35</v>
          </cell>
          <cell r="I125" t="str">
            <v>Lam</v>
          </cell>
          <cell r="J125">
            <v>64</v>
          </cell>
          <cell r="K125" t="str">
            <v>Kolluru</v>
          </cell>
          <cell r="L125">
            <v>36</v>
          </cell>
          <cell r="M125" t="str">
            <v>Vejandla</v>
          </cell>
          <cell r="N125">
            <v>42</v>
          </cell>
          <cell r="O125" t="str">
            <v>Vejandla</v>
          </cell>
          <cell r="P125">
            <v>42</v>
          </cell>
          <cell r="Q125" t="str">
            <v>Repalle</v>
          </cell>
          <cell r="R125">
            <v>20</v>
          </cell>
          <cell r="S125" t="str">
            <v>I.B patnam</v>
          </cell>
          <cell r="T125">
            <v>85</v>
          </cell>
          <cell r="Y125" t="str">
            <v>Repalle</v>
          </cell>
          <cell r="Z125">
            <v>20</v>
          </cell>
          <cell r="AA125">
            <v>0</v>
          </cell>
        </row>
        <row r="126">
          <cell r="A126">
            <v>122</v>
          </cell>
          <cell r="B126" t="str">
            <v>Addankivaripalem</v>
          </cell>
          <cell r="C126" t="str">
            <v>Kancherlavaripalem</v>
          </cell>
          <cell r="D126" t="str">
            <v>Nagaram</v>
          </cell>
          <cell r="E126" t="str">
            <v>Local</v>
          </cell>
          <cell r="F126">
            <v>2</v>
          </cell>
          <cell r="G126" t="str">
            <v>Zoolapalem</v>
          </cell>
          <cell r="H126">
            <v>24</v>
          </cell>
          <cell r="I126" t="str">
            <v>Lam</v>
          </cell>
          <cell r="J126">
            <v>71</v>
          </cell>
          <cell r="K126" t="str">
            <v>Kolluru</v>
          </cell>
          <cell r="L126">
            <v>28</v>
          </cell>
          <cell r="M126" t="str">
            <v>Vejandla</v>
          </cell>
          <cell r="N126">
            <v>55</v>
          </cell>
          <cell r="O126" t="str">
            <v>Vejandla</v>
          </cell>
          <cell r="P126">
            <v>55</v>
          </cell>
          <cell r="Q126" t="str">
            <v>Repalle</v>
          </cell>
          <cell r="R126">
            <v>18</v>
          </cell>
          <cell r="S126" t="str">
            <v>I.B patnam</v>
          </cell>
          <cell r="T126">
            <v>85</v>
          </cell>
          <cell r="Y126" t="str">
            <v>Repalle</v>
          </cell>
          <cell r="Z126">
            <v>18</v>
          </cell>
          <cell r="AA126">
            <v>0</v>
          </cell>
        </row>
        <row r="127">
          <cell r="A127">
            <v>123</v>
          </cell>
          <cell r="B127" t="str">
            <v>Nagaram</v>
          </cell>
          <cell r="C127" t="str">
            <v>Kapulapalem</v>
          </cell>
          <cell r="D127" t="str">
            <v>Nagaram</v>
          </cell>
          <cell r="E127" t="str">
            <v>Local</v>
          </cell>
          <cell r="F127">
            <v>2</v>
          </cell>
          <cell r="G127" t="str">
            <v>Zoolapalem</v>
          </cell>
          <cell r="H127">
            <v>32</v>
          </cell>
          <cell r="I127" t="str">
            <v>Lam</v>
          </cell>
          <cell r="J127">
            <v>70</v>
          </cell>
          <cell r="K127" t="str">
            <v>Kolluru</v>
          </cell>
          <cell r="L127">
            <v>36</v>
          </cell>
          <cell r="M127" t="str">
            <v>Vejandla</v>
          </cell>
          <cell r="N127">
            <v>50</v>
          </cell>
          <cell r="O127" t="str">
            <v>Vejandla</v>
          </cell>
          <cell r="P127">
            <v>50</v>
          </cell>
          <cell r="Q127" t="str">
            <v>Repalle</v>
          </cell>
          <cell r="R127">
            <v>17</v>
          </cell>
          <cell r="S127" t="str">
            <v>I.B patnam</v>
          </cell>
          <cell r="T127">
            <v>85</v>
          </cell>
          <cell r="Y127" t="str">
            <v>Repalle</v>
          </cell>
          <cell r="Z127">
            <v>17</v>
          </cell>
          <cell r="AA127">
            <v>0.2</v>
          </cell>
        </row>
        <row r="128">
          <cell r="A128">
            <v>124</v>
          </cell>
          <cell r="B128" t="str">
            <v>Karakankivaripalem</v>
          </cell>
          <cell r="C128" t="str">
            <v>Karankivaripalem</v>
          </cell>
          <cell r="D128" t="str">
            <v>Nagaram</v>
          </cell>
          <cell r="E128" t="str">
            <v>Local</v>
          </cell>
          <cell r="F128">
            <v>2</v>
          </cell>
          <cell r="G128" t="str">
            <v>Zoolapalem</v>
          </cell>
          <cell r="H128">
            <v>26</v>
          </cell>
          <cell r="I128" t="str">
            <v>Lam</v>
          </cell>
          <cell r="J128">
            <v>74</v>
          </cell>
          <cell r="K128" t="str">
            <v>Kolluru</v>
          </cell>
          <cell r="L128">
            <v>30</v>
          </cell>
          <cell r="M128" t="str">
            <v>Vejandla</v>
          </cell>
          <cell r="N128">
            <v>55</v>
          </cell>
          <cell r="O128" t="str">
            <v>Vejandla</v>
          </cell>
          <cell r="P128">
            <v>55</v>
          </cell>
          <cell r="Q128" t="str">
            <v>Repalle</v>
          </cell>
          <cell r="R128">
            <v>17</v>
          </cell>
          <cell r="S128" t="str">
            <v>I.B patnam</v>
          </cell>
          <cell r="T128">
            <v>85</v>
          </cell>
          <cell r="Y128" t="str">
            <v>Repalle</v>
          </cell>
          <cell r="Z128">
            <v>17</v>
          </cell>
          <cell r="AA128">
            <v>0.2</v>
          </cell>
        </row>
        <row r="129">
          <cell r="A129">
            <v>125</v>
          </cell>
          <cell r="B129" t="str">
            <v>Kattava</v>
          </cell>
          <cell r="C129" t="str">
            <v>Kattava</v>
          </cell>
          <cell r="D129" t="str">
            <v>Nagaram</v>
          </cell>
          <cell r="E129" t="str">
            <v>Local</v>
          </cell>
          <cell r="F129">
            <v>1</v>
          </cell>
          <cell r="G129" t="str">
            <v>Zoolapalem</v>
          </cell>
          <cell r="H129">
            <v>36</v>
          </cell>
          <cell r="I129" t="str">
            <v>Lam</v>
          </cell>
          <cell r="J129">
            <v>78</v>
          </cell>
          <cell r="K129" t="str">
            <v>Kolluru</v>
          </cell>
          <cell r="L129">
            <v>38</v>
          </cell>
          <cell r="M129" t="str">
            <v>Vejandla</v>
          </cell>
          <cell r="N129">
            <v>58</v>
          </cell>
          <cell r="O129" t="str">
            <v>Vejandla</v>
          </cell>
          <cell r="P129">
            <v>58</v>
          </cell>
          <cell r="Q129" t="str">
            <v>Repalle</v>
          </cell>
          <cell r="R129">
            <v>12</v>
          </cell>
          <cell r="S129" t="str">
            <v>I.B patnam</v>
          </cell>
          <cell r="T129">
            <v>85</v>
          </cell>
          <cell r="Y129" t="str">
            <v>Repalle</v>
          </cell>
          <cell r="Z129">
            <v>12</v>
          </cell>
          <cell r="AA129">
            <v>0.2</v>
          </cell>
        </row>
        <row r="130">
          <cell r="A130">
            <v>126</v>
          </cell>
          <cell r="B130" t="str">
            <v>Chinamatlapudi</v>
          </cell>
          <cell r="C130" t="str">
            <v>Katurivaripalem</v>
          </cell>
          <cell r="D130" t="str">
            <v>Nagaram</v>
          </cell>
          <cell r="E130" t="str">
            <v>Local</v>
          </cell>
          <cell r="F130">
            <v>1</v>
          </cell>
          <cell r="G130" t="str">
            <v>Zoolapalem</v>
          </cell>
          <cell r="H130">
            <v>32</v>
          </cell>
          <cell r="I130" t="str">
            <v>Lam</v>
          </cell>
          <cell r="J130">
            <v>67</v>
          </cell>
          <cell r="K130" t="str">
            <v>Kolluru</v>
          </cell>
          <cell r="L130">
            <v>38</v>
          </cell>
          <cell r="M130" t="str">
            <v>Vejandla</v>
          </cell>
          <cell r="N130">
            <v>44</v>
          </cell>
          <cell r="O130" t="str">
            <v>Vejandla</v>
          </cell>
          <cell r="P130">
            <v>44</v>
          </cell>
          <cell r="Q130" t="str">
            <v>Repalle</v>
          </cell>
          <cell r="R130">
            <v>25</v>
          </cell>
          <cell r="S130" t="str">
            <v>I.B patnam</v>
          </cell>
          <cell r="T130">
            <v>85</v>
          </cell>
          <cell r="Y130" t="str">
            <v>Repalle</v>
          </cell>
          <cell r="Z130">
            <v>25</v>
          </cell>
          <cell r="AA130">
            <v>0</v>
          </cell>
        </row>
        <row r="131">
          <cell r="A131">
            <v>127</v>
          </cell>
          <cell r="B131" t="str">
            <v>Pudiwada</v>
          </cell>
          <cell r="C131" t="str">
            <v>Kesanivaripalem</v>
          </cell>
          <cell r="D131" t="str">
            <v>Nagaram</v>
          </cell>
          <cell r="E131" t="str">
            <v>Local</v>
          </cell>
          <cell r="F131">
            <v>2</v>
          </cell>
          <cell r="G131" t="str">
            <v>Zoolapalem</v>
          </cell>
          <cell r="H131">
            <v>33</v>
          </cell>
          <cell r="I131" t="str">
            <v>Lam</v>
          </cell>
          <cell r="J131">
            <v>66</v>
          </cell>
          <cell r="K131" t="str">
            <v>Kolluru</v>
          </cell>
          <cell r="L131">
            <v>34</v>
          </cell>
          <cell r="M131" t="str">
            <v>Vejandla</v>
          </cell>
          <cell r="N131">
            <v>44</v>
          </cell>
          <cell r="O131" t="str">
            <v>Vejandla</v>
          </cell>
          <cell r="P131">
            <v>44</v>
          </cell>
          <cell r="Q131" t="str">
            <v>Repalle</v>
          </cell>
          <cell r="R131">
            <v>18</v>
          </cell>
          <cell r="S131" t="str">
            <v>I.B patnam</v>
          </cell>
          <cell r="T131">
            <v>85</v>
          </cell>
          <cell r="Y131" t="str">
            <v>Repalle</v>
          </cell>
          <cell r="Z131">
            <v>18</v>
          </cell>
          <cell r="AA131">
            <v>0</v>
          </cell>
        </row>
        <row r="132">
          <cell r="A132">
            <v>128</v>
          </cell>
          <cell r="B132" t="str">
            <v>Kolaganivaripalem</v>
          </cell>
          <cell r="C132" t="str">
            <v>Kolaganivaripalem</v>
          </cell>
          <cell r="D132" t="str">
            <v>Nagaram</v>
          </cell>
          <cell r="E132" t="str">
            <v>Local</v>
          </cell>
          <cell r="F132">
            <v>2</v>
          </cell>
          <cell r="G132" t="str">
            <v>Zoolapalem</v>
          </cell>
          <cell r="H132">
            <v>24</v>
          </cell>
          <cell r="I132" t="str">
            <v>Lam</v>
          </cell>
          <cell r="J132">
            <v>70</v>
          </cell>
          <cell r="K132" t="str">
            <v>Kolluru</v>
          </cell>
          <cell r="L132">
            <v>26</v>
          </cell>
          <cell r="M132" t="str">
            <v>Vejandla</v>
          </cell>
          <cell r="N132">
            <v>52</v>
          </cell>
          <cell r="O132" t="str">
            <v>Vejandla</v>
          </cell>
          <cell r="P132">
            <v>52</v>
          </cell>
          <cell r="Q132" t="str">
            <v>Repalle</v>
          </cell>
          <cell r="R132">
            <v>13</v>
          </cell>
          <cell r="S132" t="str">
            <v>I.B patnam</v>
          </cell>
          <cell r="T132">
            <v>85</v>
          </cell>
          <cell r="Y132" t="str">
            <v>Repalle</v>
          </cell>
          <cell r="Z132">
            <v>13</v>
          </cell>
          <cell r="AA132">
            <v>0.2</v>
          </cell>
        </row>
        <row r="133">
          <cell r="A133">
            <v>129</v>
          </cell>
          <cell r="B133" t="str">
            <v>Addankivaripalem</v>
          </cell>
          <cell r="C133" t="str">
            <v>Kondaveetivaripalem</v>
          </cell>
          <cell r="D133" t="str">
            <v>Nagaram</v>
          </cell>
          <cell r="E133" t="str">
            <v>Local</v>
          </cell>
          <cell r="F133">
            <v>2</v>
          </cell>
          <cell r="G133" t="str">
            <v>Zoolapalem</v>
          </cell>
          <cell r="H133">
            <v>23</v>
          </cell>
          <cell r="I133" t="str">
            <v>Lam</v>
          </cell>
          <cell r="J133">
            <v>70</v>
          </cell>
          <cell r="K133" t="str">
            <v>Kolluru</v>
          </cell>
          <cell r="L133">
            <v>27</v>
          </cell>
          <cell r="M133" t="str">
            <v>Vejandla</v>
          </cell>
          <cell r="N133">
            <v>54</v>
          </cell>
          <cell r="O133" t="str">
            <v>Vejandla</v>
          </cell>
          <cell r="P133">
            <v>54</v>
          </cell>
          <cell r="Q133" t="str">
            <v>Repalle</v>
          </cell>
          <cell r="R133">
            <v>17</v>
          </cell>
          <cell r="S133" t="str">
            <v>I.B patnam</v>
          </cell>
          <cell r="T133">
            <v>85</v>
          </cell>
          <cell r="Y133" t="str">
            <v>Repalle</v>
          </cell>
          <cell r="Z133">
            <v>17</v>
          </cell>
          <cell r="AA133">
            <v>0.2</v>
          </cell>
        </row>
        <row r="134">
          <cell r="A134">
            <v>130</v>
          </cell>
          <cell r="B134" t="str">
            <v>Edupalli</v>
          </cell>
          <cell r="C134" t="str">
            <v>Kothamalapalli</v>
          </cell>
          <cell r="D134" t="str">
            <v>Nagaram</v>
          </cell>
          <cell r="E134" t="str">
            <v>Local</v>
          </cell>
          <cell r="F134">
            <v>2</v>
          </cell>
          <cell r="G134" t="str">
            <v>Zoolapalem</v>
          </cell>
          <cell r="H134">
            <v>31</v>
          </cell>
          <cell r="I134" t="str">
            <v>Lam</v>
          </cell>
          <cell r="J134">
            <v>71</v>
          </cell>
          <cell r="K134" t="str">
            <v>Kolluru</v>
          </cell>
          <cell r="L134">
            <v>40</v>
          </cell>
          <cell r="M134" t="str">
            <v>Vejandla</v>
          </cell>
          <cell r="N134">
            <v>51</v>
          </cell>
          <cell r="O134" t="str">
            <v>Vejandla</v>
          </cell>
          <cell r="P134">
            <v>51</v>
          </cell>
          <cell r="Q134" t="str">
            <v>Repalle</v>
          </cell>
          <cell r="R134">
            <v>18</v>
          </cell>
          <cell r="S134" t="str">
            <v>I.B patnam</v>
          </cell>
          <cell r="T134">
            <v>85</v>
          </cell>
          <cell r="Y134" t="str">
            <v>Repalle</v>
          </cell>
          <cell r="Z134">
            <v>18</v>
          </cell>
          <cell r="AA134">
            <v>0</v>
          </cell>
        </row>
        <row r="135">
          <cell r="A135">
            <v>131</v>
          </cell>
          <cell r="B135" t="str">
            <v>Siripudi</v>
          </cell>
          <cell r="C135" t="str">
            <v>Kotta Siripudi</v>
          </cell>
          <cell r="D135" t="str">
            <v>Nagaram</v>
          </cell>
          <cell r="E135" t="str">
            <v>Local</v>
          </cell>
          <cell r="F135">
            <v>1</v>
          </cell>
          <cell r="G135" t="str">
            <v>Zoolapalem</v>
          </cell>
          <cell r="H135">
            <v>29</v>
          </cell>
          <cell r="I135" t="str">
            <v>Lam</v>
          </cell>
          <cell r="J135">
            <v>60</v>
          </cell>
          <cell r="K135" t="str">
            <v>Kolluru</v>
          </cell>
          <cell r="L135">
            <v>35</v>
          </cell>
          <cell r="M135" t="str">
            <v>Vejandla</v>
          </cell>
          <cell r="N135">
            <v>44</v>
          </cell>
          <cell r="O135" t="str">
            <v>Vejandla</v>
          </cell>
          <cell r="P135">
            <v>44</v>
          </cell>
          <cell r="Q135" t="str">
            <v>Repalle</v>
          </cell>
          <cell r="R135">
            <v>22</v>
          </cell>
          <cell r="S135" t="str">
            <v>I.B patnam</v>
          </cell>
          <cell r="T135">
            <v>85</v>
          </cell>
          <cell r="Y135" t="str">
            <v>Repalle</v>
          </cell>
          <cell r="Z135">
            <v>22</v>
          </cell>
          <cell r="AA135">
            <v>0</v>
          </cell>
        </row>
        <row r="136">
          <cell r="A136">
            <v>132</v>
          </cell>
          <cell r="B136" t="str">
            <v>Kolaganivaripalem</v>
          </cell>
          <cell r="C136" t="str">
            <v>Kurravaripalem</v>
          </cell>
          <cell r="D136" t="str">
            <v>Nagaram</v>
          </cell>
          <cell r="E136" t="str">
            <v>Local</v>
          </cell>
          <cell r="F136">
            <v>2</v>
          </cell>
          <cell r="G136" t="str">
            <v>Zoolapalem</v>
          </cell>
          <cell r="H136">
            <v>24</v>
          </cell>
          <cell r="I136" t="str">
            <v>Lam</v>
          </cell>
          <cell r="J136">
            <v>70</v>
          </cell>
          <cell r="K136" t="str">
            <v>Kolluru</v>
          </cell>
          <cell r="L136">
            <v>26</v>
          </cell>
          <cell r="M136" t="str">
            <v>Vejandla</v>
          </cell>
          <cell r="N136">
            <v>52</v>
          </cell>
          <cell r="O136" t="str">
            <v>Vejandla</v>
          </cell>
          <cell r="P136">
            <v>52</v>
          </cell>
          <cell r="Q136" t="str">
            <v>Repalle</v>
          </cell>
          <cell r="R136">
            <v>13</v>
          </cell>
          <cell r="S136" t="str">
            <v>I.B patnam</v>
          </cell>
          <cell r="T136">
            <v>85</v>
          </cell>
          <cell r="Y136" t="str">
            <v>Repalle</v>
          </cell>
          <cell r="Z136">
            <v>13</v>
          </cell>
          <cell r="AA136">
            <v>0.2</v>
          </cell>
        </row>
        <row r="137">
          <cell r="A137">
            <v>133</v>
          </cell>
          <cell r="B137" t="str">
            <v>Pedapalli</v>
          </cell>
          <cell r="C137" t="str">
            <v>Lankamalapalli</v>
          </cell>
          <cell r="D137" t="str">
            <v>Nagaram</v>
          </cell>
          <cell r="E137" t="str">
            <v>Local</v>
          </cell>
          <cell r="F137">
            <v>2</v>
          </cell>
          <cell r="G137" t="str">
            <v>Zoolapalem</v>
          </cell>
          <cell r="H137">
            <v>34</v>
          </cell>
          <cell r="I137" t="str">
            <v>Lam</v>
          </cell>
          <cell r="J137">
            <v>77</v>
          </cell>
          <cell r="K137" t="str">
            <v>Kolluru</v>
          </cell>
          <cell r="L137">
            <v>36</v>
          </cell>
          <cell r="M137" t="str">
            <v>Vejandla</v>
          </cell>
          <cell r="N137">
            <v>49</v>
          </cell>
          <cell r="O137" t="str">
            <v>Vejandla</v>
          </cell>
          <cell r="P137">
            <v>49</v>
          </cell>
          <cell r="Q137" t="str">
            <v>Repalle</v>
          </cell>
          <cell r="R137">
            <v>23</v>
          </cell>
          <cell r="S137" t="str">
            <v>I.B patnam</v>
          </cell>
          <cell r="T137">
            <v>85</v>
          </cell>
          <cell r="Y137" t="str">
            <v>Repalle</v>
          </cell>
          <cell r="Z137">
            <v>23</v>
          </cell>
          <cell r="AA137">
            <v>0</v>
          </cell>
        </row>
        <row r="138">
          <cell r="A138">
            <v>134</v>
          </cell>
          <cell r="B138" t="str">
            <v>Kolaganivaripalem</v>
          </cell>
          <cell r="C138" t="str">
            <v>Lukkavaripalem of K V Palem</v>
          </cell>
          <cell r="D138" t="str">
            <v>Nagaram</v>
          </cell>
          <cell r="E138" t="str">
            <v>Local</v>
          </cell>
          <cell r="F138">
            <v>2</v>
          </cell>
          <cell r="G138" t="str">
            <v>Zoolapalem</v>
          </cell>
          <cell r="H138">
            <v>24</v>
          </cell>
          <cell r="I138" t="str">
            <v>Lam</v>
          </cell>
          <cell r="J138">
            <v>70</v>
          </cell>
          <cell r="K138" t="str">
            <v>Kolluru</v>
          </cell>
          <cell r="L138">
            <v>26</v>
          </cell>
          <cell r="M138" t="str">
            <v>Vejandla</v>
          </cell>
          <cell r="N138">
            <v>52</v>
          </cell>
          <cell r="O138" t="str">
            <v>Vejandla</v>
          </cell>
          <cell r="P138">
            <v>52</v>
          </cell>
          <cell r="Q138" t="str">
            <v>Repalle</v>
          </cell>
          <cell r="R138">
            <v>13</v>
          </cell>
          <cell r="S138" t="str">
            <v>I.B patnam</v>
          </cell>
          <cell r="T138">
            <v>85</v>
          </cell>
          <cell r="Y138" t="str">
            <v>Repalle</v>
          </cell>
          <cell r="Z138">
            <v>13</v>
          </cell>
          <cell r="AA138">
            <v>0.2</v>
          </cell>
        </row>
        <row r="139">
          <cell r="A139">
            <v>135</v>
          </cell>
          <cell r="B139" t="str">
            <v>Pedamatlapudi</v>
          </cell>
          <cell r="C139" t="str">
            <v>Lukkavaripalem of P M Pudi</v>
          </cell>
          <cell r="D139" t="str">
            <v>Nagaram</v>
          </cell>
          <cell r="E139" t="str">
            <v>Local</v>
          </cell>
          <cell r="F139">
            <v>2</v>
          </cell>
          <cell r="G139" t="str">
            <v>Zoolapalem</v>
          </cell>
          <cell r="H139">
            <v>35</v>
          </cell>
          <cell r="I139" t="str">
            <v>Lam</v>
          </cell>
          <cell r="J139">
            <v>65</v>
          </cell>
          <cell r="K139" t="str">
            <v>Kolluru</v>
          </cell>
          <cell r="L139">
            <v>38</v>
          </cell>
          <cell r="M139" t="str">
            <v>Vejandla</v>
          </cell>
          <cell r="N139">
            <v>48</v>
          </cell>
          <cell r="O139" t="str">
            <v>Vejandla</v>
          </cell>
          <cell r="P139">
            <v>48</v>
          </cell>
          <cell r="Q139" t="str">
            <v>Repalle</v>
          </cell>
          <cell r="R139">
            <v>20</v>
          </cell>
          <cell r="S139" t="str">
            <v>I.B patnam</v>
          </cell>
          <cell r="T139">
            <v>85</v>
          </cell>
          <cell r="Y139" t="str">
            <v>Repalle</v>
          </cell>
          <cell r="Z139">
            <v>20</v>
          </cell>
          <cell r="AA139">
            <v>0</v>
          </cell>
        </row>
        <row r="140">
          <cell r="A140">
            <v>136</v>
          </cell>
          <cell r="B140" t="str">
            <v>Pudiwada</v>
          </cell>
          <cell r="C140" t="str">
            <v>Madhypalem</v>
          </cell>
          <cell r="D140" t="str">
            <v>Nagaram</v>
          </cell>
          <cell r="E140" t="str">
            <v>Local</v>
          </cell>
          <cell r="F140">
            <v>2</v>
          </cell>
          <cell r="G140" t="str">
            <v>Zoolapalem</v>
          </cell>
          <cell r="H140">
            <v>33</v>
          </cell>
          <cell r="I140" t="str">
            <v>Lam</v>
          </cell>
          <cell r="J140">
            <v>66</v>
          </cell>
          <cell r="K140" t="str">
            <v>Kolluru</v>
          </cell>
          <cell r="L140">
            <v>34</v>
          </cell>
          <cell r="M140" t="str">
            <v>Vejandla</v>
          </cell>
          <cell r="N140">
            <v>44</v>
          </cell>
          <cell r="O140" t="str">
            <v>Vejandla</v>
          </cell>
          <cell r="P140">
            <v>44</v>
          </cell>
          <cell r="Q140" t="str">
            <v>Repalle</v>
          </cell>
          <cell r="R140">
            <v>18</v>
          </cell>
          <cell r="S140" t="str">
            <v>I.B patnam</v>
          </cell>
          <cell r="T140">
            <v>85</v>
          </cell>
          <cell r="Y140" t="str">
            <v>Repalle</v>
          </cell>
          <cell r="Z140">
            <v>18</v>
          </cell>
          <cell r="AA140">
            <v>0</v>
          </cell>
        </row>
        <row r="141">
          <cell r="A141">
            <v>137</v>
          </cell>
          <cell r="B141" t="str">
            <v>Pamidimarru</v>
          </cell>
          <cell r="C141" t="str">
            <v>Madigapali pamidimarru</v>
          </cell>
          <cell r="D141" t="str">
            <v>Nagaram</v>
          </cell>
          <cell r="E141" t="str">
            <v>Local</v>
          </cell>
          <cell r="F141">
            <v>3</v>
          </cell>
          <cell r="G141" t="str">
            <v>Zoolapalem</v>
          </cell>
          <cell r="H141">
            <v>27</v>
          </cell>
          <cell r="I141" t="str">
            <v>Lam</v>
          </cell>
          <cell r="J141">
            <v>74</v>
          </cell>
          <cell r="K141" t="str">
            <v>Kolluru</v>
          </cell>
          <cell r="L141">
            <v>30</v>
          </cell>
          <cell r="M141" t="str">
            <v>Vejandla</v>
          </cell>
          <cell r="N141">
            <v>54</v>
          </cell>
          <cell r="O141" t="str">
            <v>Vejandla</v>
          </cell>
          <cell r="P141">
            <v>54</v>
          </cell>
          <cell r="Q141" t="str">
            <v>Repalle</v>
          </cell>
          <cell r="R141">
            <v>10</v>
          </cell>
          <cell r="S141" t="str">
            <v>I.B patnam</v>
          </cell>
          <cell r="T141">
            <v>85</v>
          </cell>
          <cell r="Y141" t="str">
            <v>Repalle</v>
          </cell>
          <cell r="Z141">
            <v>10</v>
          </cell>
          <cell r="AA141">
            <v>0.2</v>
          </cell>
        </row>
        <row r="142">
          <cell r="A142">
            <v>138</v>
          </cell>
          <cell r="B142" t="str">
            <v>Siripudi</v>
          </cell>
          <cell r="C142" t="str">
            <v>Madigapalli siripudi</v>
          </cell>
          <cell r="D142" t="str">
            <v>Nagaram</v>
          </cell>
          <cell r="E142" t="str">
            <v>Local</v>
          </cell>
          <cell r="F142">
            <v>1</v>
          </cell>
          <cell r="G142" t="str">
            <v>Zoolapalem</v>
          </cell>
          <cell r="H142">
            <v>29</v>
          </cell>
          <cell r="I142" t="str">
            <v>Lam</v>
          </cell>
          <cell r="J142">
            <v>60</v>
          </cell>
          <cell r="K142" t="str">
            <v>Kolluru</v>
          </cell>
          <cell r="L142">
            <v>35</v>
          </cell>
          <cell r="M142" t="str">
            <v>Vejandla</v>
          </cell>
          <cell r="N142">
            <v>44</v>
          </cell>
          <cell r="O142" t="str">
            <v>Vejandla</v>
          </cell>
          <cell r="P142">
            <v>44</v>
          </cell>
          <cell r="Q142" t="str">
            <v>Repalle</v>
          </cell>
          <cell r="R142">
            <v>22</v>
          </cell>
          <cell r="S142" t="str">
            <v>I.B patnam</v>
          </cell>
          <cell r="T142">
            <v>85</v>
          </cell>
          <cell r="Y142" t="str">
            <v>Repalle</v>
          </cell>
          <cell r="Z142">
            <v>22</v>
          </cell>
          <cell r="AA142">
            <v>0</v>
          </cell>
        </row>
        <row r="143">
          <cell r="A143">
            <v>139</v>
          </cell>
          <cell r="B143" t="str">
            <v>Pamidimarru</v>
          </cell>
          <cell r="C143" t="str">
            <v>Malapalli pamidimarru</v>
          </cell>
          <cell r="D143" t="str">
            <v>Nagaram</v>
          </cell>
          <cell r="E143" t="str">
            <v>Local</v>
          </cell>
          <cell r="F143">
            <v>3</v>
          </cell>
          <cell r="G143" t="str">
            <v>Zoolapalem</v>
          </cell>
          <cell r="H143">
            <v>27</v>
          </cell>
          <cell r="I143" t="str">
            <v>Lam</v>
          </cell>
          <cell r="J143">
            <v>74</v>
          </cell>
          <cell r="K143" t="str">
            <v>Kolluru</v>
          </cell>
          <cell r="L143">
            <v>30</v>
          </cell>
          <cell r="M143" t="str">
            <v>Vejandla</v>
          </cell>
          <cell r="N143">
            <v>54</v>
          </cell>
          <cell r="O143" t="str">
            <v>Vejandla</v>
          </cell>
          <cell r="P143">
            <v>54</v>
          </cell>
          <cell r="Q143" t="str">
            <v>Repalle</v>
          </cell>
          <cell r="R143">
            <v>10</v>
          </cell>
          <cell r="S143" t="str">
            <v>I.B patnam</v>
          </cell>
          <cell r="T143">
            <v>85</v>
          </cell>
          <cell r="Y143" t="str">
            <v>Repalle</v>
          </cell>
          <cell r="Z143">
            <v>10</v>
          </cell>
          <cell r="AA143">
            <v>0.2</v>
          </cell>
        </row>
        <row r="144">
          <cell r="A144">
            <v>140</v>
          </cell>
          <cell r="B144" t="str">
            <v>Siripudi</v>
          </cell>
          <cell r="C144" t="str">
            <v>Malapalli Siripudi</v>
          </cell>
          <cell r="D144" t="str">
            <v>Nagaram</v>
          </cell>
          <cell r="E144" t="str">
            <v>Local</v>
          </cell>
          <cell r="F144">
            <v>1</v>
          </cell>
          <cell r="G144" t="str">
            <v>Zoolapalem</v>
          </cell>
          <cell r="H144">
            <v>29</v>
          </cell>
          <cell r="I144" t="str">
            <v>Lam</v>
          </cell>
          <cell r="J144">
            <v>60</v>
          </cell>
          <cell r="K144" t="str">
            <v>Kolluru</v>
          </cell>
          <cell r="L144">
            <v>35</v>
          </cell>
          <cell r="M144" t="str">
            <v>Vejandla</v>
          </cell>
          <cell r="N144">
            <v>44</v>
          </cell>
          <cell r="O144" t="str">
            <v>Vejandla</v>
          </cell>
          <cell r="P144">
            <v>44</v>
          </cell>
          <cell r="Q144" t="str">
            <v>Repalle</v>
          </cell>
          <cell r="R144">
            <v>22</v>
          </cell>
          <cell r="S144" t="str">
            <v>I.B patnam</v>
          </cell>
          <cell r="T144">
            <v>85</v>
          </cell>
          <cell r="Y144" t="str">
            <v>Repalle</v>
          </cell>
          <cell r="Z144">
            <v>22</v>
          </cell>
          <cell r="AA144">
            <v>0</v>
          </cell>
        </row>
        <row r="145">
          <cell r="A145">
            <v>141</v>
          </cell>
          <cell r="B145" t="str">
            <v>Siripudi</v>
          </cell>
          <cell r="C145" t="str">
            <v>Mamillapalli</v>
          </cell>
          <cell r="D145" t="str">
            <v>Nagaram</v>
          </cell>
          <cell r="E145" t="str">
            <v>Local</v>
          </cell>
          <cell r="F145">
            <v>1</v>
          </cell>
          <cell r="G145" t="str">
            <v>Zoolapalem</v>
          </cell>
          <cell r="H145">
            <v>30</v>
          </cell>
          <cell r="I145" t="str">
            <v>Lam</v>
          </cell>
          <cell r="J145">
            <v>59</v>
          </cell>
          <cell r="K145" t="str">
            <v>Kolluru</v>
          </cell>
          <cell r="L145">
            <v>36</v>
          </cell>
          <cell r="M145" t="str">
            <v>Vejandla</v>
          </cell>
          <cell r="N145">
            <v>43</v>
          </cell>
          <cell r="O145" t="str">
            <v>Vejandla</v>
          </cell>
          <cell r="P145">
            <v>43</v>
          </cell>
          <cell r="Q145" t="str">
            <v>Repalle</v>
          </cell>
          <cell r="R145">
            <v>23</v>
          </cell>
          <cell r="S145" t="str">
            <v>I.B patnam</v>
          </cell>
          <cell r="T145">
            <v>85</v>
          </cell>
          <cell r="Y145" t="str">
            <v>Repalle</v>
          </cell>
          <cell r="Z145">
            <v>23</v>
          </cell>
          <cell r="AA145">
            <v>0</v>
          </cell>
        </row>
        <row r="146">
          <cell r="A146">
            <v>142</v>
          </cell>
          <cell r="B146" t="str">
            <v>Chinamatlapudi</v>
          </cell>
          <cell r="C146" t="str">
            <v>Mande malapalli H/O Chinamatlapudi</v>
          </cell>
          <cell r="D146" t="str">
            <v>Nagaram</v>
          </cell>
          <cell r="E146" t="str">
            <v>Local</v>
          </cell>
          <cell r="F146">
            <v>1</v>
          </cell>
          <cell r="G146" t="str">
            <v>Zoolapalem</v>
          </cell>
          <cell r="H146">
            <v>32</v>
          </cell>
          <cell r="I146" t="str">
            <v>Lam</v>
          </cell>
          <cell r="J146">
            <v>67</v>
          </cell>
          <cell r="K146" t="str">
            <v>Kolluru</v>
          </cell>
          <cell r="L146">
            <v>38</v>
          </cell>
          <cell r="M146" t="str">
            <v>Vejandla</v>
          </cell>
          <cell r="N146">
            <v>44</v>
          </cell>
          <cell r="O146" t="str">
            <v>Vejandla</v>
          </cell>
          <cell r="P146">
            <v>44</v>
          </cell>
          <cell r="Q146" t="str">
            <v>Repalle</v>
          </cell>
          <cell r="R146">
            <v>25</v>
          </cell>
          <cell r="S146" t="str">
            <v>I.B patnam</v>
          </cell>
          <cell r="T146">
            <v>85</v>
          </cell>
          <cell r="Y146" t="str">
            <v>Repalle</v>
          </cell>
          <cell r="Z146">
            <v>25</v>
          </cell>
          <cell r="AA146">
            <v>0</v>
          </cell>
        </row>
        <row r="147">
          <cell r="A147">
            <v>143</v>
          </cell>
          <cell r="B147" t="str">
            <v>Bellamvaripalem</v>
          </cell>
          <cell r="C147" t="str">
            <v>Manipuram</v>
          </cell>
          <cell r="D147" t="str">
            <v>Nagaram</v>
          </cell>
          <cell r="E147" t="str">
            <v>Local</v>
          </cell>
          <cell r="F147">
            <v>2</v>
          </cell>
          <cell r="G147" t="str">
            <v>Zoolapalem</v>
          </cell>
          <cell r="H147">
            <v>32</v>
          </cell>
          <cell r="I147" t="str">
            <v>Lam</v>
          </cell>
          <cell r="J147">
            <v>69</v>
          </cell>
          <cell r="K147" t="str">
            <v>Kolluru</v>
          </cell>
          <cell r="L147">
            <v>38</v>
          </cell>
          <cell r="M147" t="str">
            <v>Vejandla</v>
          </cell>
          <cell r="N147">
            <v>48</v>
          </cell>
          <cell r="O147" t="str">
            <v>Vejandla</v>
          </cell>
          <cell r="P147">
            <v>48</v>
          </cell>
          <cell r="Q147" t="str">
            <v>Repalle</v>
          </cell>
          <cell r="R147">
            <v>14</v>
          </cell>
          <cell r="S147" t="str">
            <v>I.B patnam</v>
          </cell>
          <cell r="T147">
            <v>85</v>
          </cell>
          <cell r="Y147" t="str">
            <v>Repalle</v>
          </cell>
          <cell r="Z147">
            <v>14</v>
          </cell>
          <cell r="AA147">
            <v>0.2</v>
          </cell>
        </row>
        <row r="148">
          <cell r="A148">
            <v>144</v>
          </cell>
          <cell r="B148" t="str">
            <v>Nagaram</v>
          </cell>
          <cell r="C148" t="str">
            <v>Mannemvaripalem  of Nagaram</v>
          </cell>
          <cell r="D148" t="str">
            <v>Nagaram</v>
          </cell>
          <cell r="E148" t="str">
            <v>Local</v>
          </cell>
          <cell r="F148">
            <v>2</v>
          </cell>
          <cell r="G148" t="str">
            <v>Zoolapalem</v>
          </cell>
          <cell r="H148">
            <v>32</v>
          </cell>
          <cell r="I148" t="str">
            <v>Lam</v>
          </cell>
          <cell r="J148">
            <v>70</v>
          </cell>
          <cell r="K148" t="str">
            <v>Kolluru</v>
          </cell>
          <cell r="L148">
            <v>36</v>
          </cell>
          <cell r="M148" t="str">
            <v>Vejandla</v>
          </cell>
          <cell r="N148">
            <v>50</v>
          </cell>
          <cell r="O148" t="str">
            <v>Vejandla</v>
          </cell>
          <cell r="P148">
            <v>50</v>
          </cell>
          <cell r="Q148" t="str">
            <v>Repalle</v>
          </cell>
          <cell r="R148">
            <v>17</v>
          </cell>
          <cell r="S148" t="str">
            <v>I.B patnam</v>
          </cell>
          <cell r="T148">
            <v>85</v>
          </cell>
          <cell r="Y148" t="str">
            <v>Repalle</v>
          </cell>
          <cell r="Z148">
            <v>17</v>
          </cell>
          <cell r="AA148">
            <v>0.2</v>
          </cell>
        </row>
        <row r="149">
          <cell r="A149">
            <v>145</v>
          </cell>
          <cell r="B149" t="str">
            <v>Mantripalem</v>
          </cell>
          <cell r="C149" t="str">
            <v>Mantripalem</v>
          </cell>
          <cell r="D149" t="str">
            <v>Nagaram</v>
          </cell>
          <cell r="E149" t="str">
            <v>Local</v>
          </cell>
          <cell r="F149">
            <v>3</v>
          </cell>
          <cell r="G149" t="str">
            <v>Zoolapalem</v>
          </cell>
          <cell r="H149">
            <v>32</v>
          </cell>
          <cell r="I149" t="str">
            <v>Lam</v>
          </cell>
          <cell r="J149">
            <v>77</v>
          </cell>
          <cell r="K149" t="str">
            <v>Kolluru</v>
          </cell>
          <cell r="L149">
            <v>36</v>
          </cell>
          <cell r="M149" t="str">
            <v>Vejandla</v>
          </cell>
          <cell r="N149">
            <v>58</v>
          </cell>
          <cell r="O149" t="str">
            <v>Vejandla</v>
          </cell>
          <cell r="P149">
            <v>58</v>
          </cell>
          <cell r="Q149" t="str">
            <v>Repalle</v>
          </cell>
          <cell r="R149">
            <v>10</v>
          </cell>
          <cell r="S149" t="str">
            <v>I.B patnam</v>
          </cell>
          <cell r="T149">
            <v>85</v>
          </cell>
          <cell r="Y149" t="str">
            <v>Repalle</v>
          </cell>
          <cell r="Z149">
            <v>10</v>
          </cell>
          <cell r="AA149">
            <v>0.2</v>
          </cell>
        </row>
        <row r="150">
          <cell r="A150">
            <v>146</v>
          </cell>
          <cell r="B150" t="str">
            <v>Karakankivaripalem</v>
          </cell>
          <cell r="C150" t="str">
            <v>Manyamvaripalem of Dhulipudi south</v>
          </cell>
          <cell r="D150" t="str">
            <v>Nagaram</v>
          </cell>
          <cell r="E150" t="str">
            <v>Local</v>
          </cell>
          <cell r="F150">
            <v>3</v>
          </cell>
          <cell r="G150" t="str">
            <v>Zoolapalem</v>
          </cell>
          <cell r="H150">
            <v>22</v>
          </cell>
          <cell r="I150" t="str">
            <v>Lam</v>
          </cell>
          <cell r="J150">
            <v>70</v>
          </cell>
          <cell r="K150" t="str">
            <v>Kolluru</v>
          </cell>
          <cell r="L150">
            <v>26</v>
          </cell>
          <cell r="M150" t="str">
            <v>Vejandla</v>
          </cell>
          <cell r="N150">
            <v>51</v>
          </cell>
          <cell r="O150" t="str">
            <v>Vejandla</v>
          </cell>
          <cell r="P150">
            <v>51</v>
          </cell>
          <cell r="Q150" t="str">
            <v>Repalle</v>
          </cell>
          <cell r="R150">
            <v>13</v>
          </cell>
          <cell r="S150" t="str">
            <v>I.B patnam</v>
          </cell>
          <cell r="T150">
            <v>85</v>
          </cell>
          <cell r="Y150" t="str">
            <v>Repalle</v>
          </cell>
          <cell r="Z150">
            <v>13</v>
          </cell>
          <cell r="AA150">
            <v>0.2</v>
          </cell>
        </row>
        <row r="151">
          <cell r="A151">
            <v>147</v>
          </cell>
          <cell r="B151" t="str">
            <v>Edupalli</v>
          </cell>
          <cell r="C151" t="str">
            <v>Meesalavaripalem</v>
          </cell>
          <cell r="D151" t="str">
            <v>Nagaram</v>
          </cell>
          <cell r="E151" t="str">
            <v>Local</v>
          </cell>
          <cell r="F151">
            <v>2</v>
          </cell>
          <cell r="G151" t="str">
            <v>Zoolapalem</v>
          </cell>
          <cell r="H151">
            <v>35</v>
          </cell>
          <cell r="I151" t="str">
            <v>Lam</v>
          </cell>
          <cell r="J151">
            <v>73</v>
          </cell>
          <cell r="K151" t="str">
            <v>Kolluru</v>
          </cell>
          <cell r="L151">
            <v>43</v>
          </cell>
          <cell r="M151" t="str">
            <v>Vejandla</v>
          </cell>
          <cell r="N151">
            <v>53</v>
          </cell>
          <cell r="O151" t="str">
            <v>Vejandla</v>
          </cell>
          <cell r="P151">
            <v>53</v>
          </cell>
          <cell r="Q151" t="str">
            <v>Repalle</v>
          </cell>
          <cell r="R151">
            <v>20</v>
          </cell>
          <cell r="S151" t="str">
            <v>I.B patnam</v>
          </cell>
          <cell r="T151">
            <v>85</v>
          </cell>
          <cell r="Y151" t="str">
            <v>Repalle</v>
          </cell>
          <cell r="Z151">
            <v>20</v>
          </cell>
          <cell r="AA151">
            <v>0</v>
          </cell>
        </row>
        <row r="152">
          <cell r="A152">
            <v>148</v>
          </cell>
          <cell r="B152" t="str">
            <v>Chinamatlapudi</v>
          </cell>
          <cell r="C152" t="str">
            <v>Mohammadalipalem</v>
          </cell>
          <cell r="D152" t="str">
            <v>Nagaram</v>
          </cell>
          <cell r="E152" t="str">
            <v>Local</v>
          </cell>
          <cell r="F152">
            <v>2</v>
          </cell>
          <cell r="G152" t="str">
            <v>Zoolapalem</v>
          </cell>
          <cell r="H152">
            <v>34</v>
          </cell>
          <cell r="I152" t="str">
            <v>Lam</v>
          </cell>
          <cell r="J152">
            <v>69</v>
          </cell>
          <cell r="K152" t="str">
            <v>Kolluru</v>
          </cell>
          <cell r="L152">
            <v>40</v>
          </cell>
          <cell r="M152" t="str">
            <v>Vejandla</v>
          </cell>
          <cell r="N152">
            <v>46</v>
          </cell>
          <cell r="O152" t="str">
            <v>Vejandla</v>
          </cell>
          <cell r="P152">
            <v>46</v>
          </cell>
          <cell r="Q152" t="str">
            <v>Repalle</v>
          </cell>
          <cell r="R152">
            <v>27</v>
          </cell>
          <cell r="S152" t="str">
            <v>I.B patnam</v>
          </cell>
          <cell r="T152">
            <v>85</v>
          </cell>
          <cell r="Y152" t="str">
            <v>Repalle</v>
          </cell>
          <cell r="Z152">
            <v>27</v>
          </cell>
          <cell r="AA152">
            <v>0</v>
          </cell>
        </row>
        <row r="153">
          <cell r="A153">
            <v>149</v>
          </cell>
          <cell r="B153" t="str">
            <v>Chinamatlapudi</v>
          </cell>
          <cell r="C153" t="str">
            <v>Mrutynjayapalem</v>
          </cell>
          <cell r="D153" t="str">
            <v>Nagaram</v>
          </cell>
          <cell r="E153" t="str">
            <v>Local</v>
          </cell>
          <cell r="F153">
            <v>1</v>
          </cell>
          <cell r="G153" t="str">
            <v>Zoolapalem</v>
          </cell>
          <cell r="H153">
            <v>32</v>
          </cell>
          <cell r="I153" t="str">
            <v>Lam</v>
          </cell>
          <cell r="J153">
            <v>67</v>
          </cell>
          <cell r="K153" t="str">
            <v>Kolluru</v>
          </cell>
          <cell r="L153">
            <v>38</v>
          </cell>
          <cell r="M153" t="str">
            <v>Vejandla</v>
          </cell>
          <cell r="N153">
            <v>44</v>
          </cell>
          <cell r="O153" t="str">
            <v>Vejandla</v>
          </cell>
          <cell r="P153">
            <v>44</v>
          </cell>
          <cell r="Q153" t="str">
            <v>Repalle</v>
          </cell>
          <cell r="R153">
            <v>25</v>
          </cell>
          <cell r="S153" t="str">
            <v>I.B patnam</v>
          </cell>
          <cell r="T153">
            <v>85</v>
          </cell>
          <cell r="Y153" t="str">
            <v>Repalle</v>
          </cell>
          <cell r="Z153">
            <v>25</v>
          </cell>
          <cell r="AA153">
            <v>0</v>
          </cell>
        </row>
        <row r="154">
          <cell r="A154">
            <v>150</v>
          </cell>
          <cell r="B154" t="str">
            <v>Karakankivaripalem</v>
          </cell>
          <cell r="C154" t="str">
            <v>Mudirajuvaripalem</v>
          </cell>
          <cell r="D154" t="str">
            <v>Nagaram</v>
          </cell>
          <cell r="E154" t="str">
            <v>Local</v>
          </cell>
          <cell r="F154">
            <v>2</v>
          </cell>
          <cell r="G154" t="str">
            <v>Zoolapalem</v>
          </cell>
          <cell r="H154">
            <v>24</v>
          </cell>
          <cell r="I154" t="str">
            <v>Lam</v>
          </cell>
          <cell r="J154">
            <v>72</v>
          </cell>
          <cell r="K154" t="str">
            <v>Kolluru</v>
          </cell>
          <cell r="L154">
            <v>28</v>
          </cell>
          <cell r="M154" t="str">
            <v>Vejandla</v>
          </cell>
          <cell r="N154">
            <v>53</v>
          </cell>
          <cell r="O154" t="str">
            <v>Vejandla</v>
          </cell>
          <cell r="P154">
            <v>53</v>
          </cell>
          <cell r="Q154" t="str">
            <v>Repalle</v>
          </cell>
          <cell r="R154">
            <v>13</v>
          </cell>
          <cell r="S154" t="str">
            <v>I.B patnam</v>
          </cell>
          <cell r="T154">
            <v>85</v>
          </cell>
          <cell r="Y154" t="str">
            <v>Repalle</v>
          </cell>
          <cell r="Z154">
            <v>13</v>
          </cell>
          <cell r="AA154">
            <v>0.2</v>
          </cell>
        </row>
        <row r="155">
          <cell r="A155">
            <v>151</v>
          </cell>
          <cell r="B155" t="str">
            <v>Karakankivaripalem</v>
          </cell>
          <cell r="C155" t="str">
            <v>Mynenivaripalem Dhulipudi south</v>
          </cell>
          <cell r="D155" t="str">
            <v>Nagaram</v>
          </cell>
          <cell r="E155" t="str">
            <v>Local</v>
          </cell>
          <cell r="F155">
            <v>3</v>
          </cell>
          <cell r="G155" t="str">
            <v>Zoolapalem</v>
          </cell>
          <cell r="H155">
            <v>22</v>
          </cell>
          <cell r="I155" t="str">
            <v>Lam</v>
          </cell>
          <cell r="J155">
            <v>70</v>
          </cell>
          <cell r="K155" t="str">
            <v>Kolluru</v>
          </cell>
          <cell r="L155">
            <v>26</v>
          </cell>
          <cell r="M155" t="str">
            <v>Vejandla</v>
          </cell>
          <cell r="N155">
            <v>51</v>
          </cell>
          <cell r="O155" t="str">
            <v>Vejandla</v>
          </cell>
          <cell r="P155">
            <v>51</v>
          </cell>
          <cell r="Q155" t="str">
            <v>Repalle</v>
          </cell>
          <cell r="R155">
            <v>13</v>
          </cell>
          <cell r="S155" t="str">
            <v>I.B patnam</v>
          </cell>
          <cell r="T155">
            <v>85</v>
          </cell>
          <cell r="Y155" t="str">
            <v>Repalle</v>
          </cell>
          <cell r="Z155">
            <v>13</v>
          </cell>
          <cell r="AA155">
            <v>0.2</v>
          </cell>
        </row>
        <row r="156">
          <cell r="A156">
            <v>152</v>
          </cell>
          <cell r="B156" t="str">
            <v>Mantripalem</v>
          </cell>
          <cell r="C156" t="str">
            <v>Nadendlavaripalem</v>
          </cell>
          <cell r="D156" t="str">
            <v>Nagaram</v>
          </cell>
          <cell r="E156" t="str">
            <v>Local</v>
          </cell>
          <cell r="F156">
            <v>5</v>
          </cell>
          <cell r="G156" t="str">
            <v>Zoolapalem</v>
          </cell>
          <cell r="H156">
            <v>34</v>
          </cell>
          <cell r="I156" t="str">
            <v>Lam</v>
          </cell>
          <cell r="J156">
            <v>79</v>
          </cell>
          <cell r="K156" t="str">
            <v>Kolluru</v>
          </cell>
          <cell r="L156">
            <v>38</v>
          </cell>
          <cell r="M156" t="str">
            <v>Vejandla</v>
          </cell>
          <cell r="N156">
            <v>60</v>
          </cell>
          <cell r="O156" t="str">
            <v>Vejandla</v>
          </cell>
          <cell r="P156">
            <v>60</v>
          </cell>
          <cell r="Q156" t="str">
            <v>Repalle</v>
          </cell>
          <cell r="R156">
            <v>12</v>
          </cell>
          <cell r="S156" t="str">
            <v>I.B patnam</v>
          </cell>
          <cell r="T156">
            <v>85</v>
          </cell>
          <cell r="Y156" t="str">
            <v>Repalle</v>
          </cell>
          <cell r="Z156">
            <v>12</v>
          </cell>
          <cell r="AA156">
            <v>0.2</v>
          </cell>
        </row>
        <row r="157">
          <cell r="A157">
            <v>153</v>
          </cell>
          <cell r="B157" t="str">
            <v>Mantripalem</v>
          </cell>
          <cell r="C157" t="str">
            <v>Nagallavaripalem</v>
          </cell>
          <cell r="D157" t="str">
            <v>Nagaram</v>
          </cell>
          <cell r="E157" t="str">
            <v>Local</v>
          </cell>
          <cell r="F157">
            <v>4</v>
          </cell>
          <cell r="G157" t="str">
            <v>Zoolapalem</v>
          </cell>
          <cell r="H157">
            <v>36</v>
          </cell>
          <cell r="I157" t="str">
            <v>Lam</v>
          </cell>
          <cell r="J157">
            <v>81</v>
          </cell>
          <cell r="K157" t="str">
            <v>Kolluru</v>
          </cell>
          <cell r="L157">
            <v>40</v>
          </cell>
          <cell r="M157" t="str">
            <v>Vejandla</v>
          </cell>
          <cell r="N157">
            <v>62</v>
          </cell>
          <cell r="O157" t="str">
            <v>Vejandla</v>
          </cell>
          <cell r="P157">
            <v>62</v>
          </cell>
          <cell r="Q157" t="str">
            <v>Repalle</v>
          </cell>
          <cell r="R157">
            <v>14</v>
          </cell>
          <cell r="S157" t="str">
            <v>I.B patnam</v>
          </cell>
          <cell r="T157">
            <v>85</v>
          </cell>
          <cell r="Y157" t="str">
            <v>Repalle</v>
          </cell>
          <cell r="Z157">
            <v>14</v>
          </cell>
          <cell r="AA157">
            <v>0.2</v>
          </cell>
        </row>
        <row r="158">
          <cell r="A158">
            <v>154</v>
          </cell>
          <cell r="B158" t="str">
            <v>Nagaram</v>
          </cell>
          <cell r="C158" t="str">
            <v>Nagaram</v>
          </cell>
          <cell r="D158" t="str">
            <v>Nagaram</v>
          </cell>
          <cell r="E158" t="str">
            <v>Local</v>
          </cell>
          <cell r="F158">
            <v>2</v>
          </cell>
          <cell r="G158" t="str">
            <v>Zoolapalem</v>
          </cell>
          <cell r="H158">
            <v>30</v>
          </cell>
          <cell r="I158" t="str">
            <v>Lam</v>
          </cell>
          <cell r="J158">
            <v>68</v>
          </cell>
          <cell r="K158" t="str">
            <v>Kolluru</v>
          </cell>
          <cell r="L158">
            <v>34</v>
          </cell>
          <cell r="M158" t="str">
            <v>Vejandla</v>
          </cell>
          <cell r="N158">
            <v>48</v>
          </cell>
          <cell r="O158" t="str">
            <v>Vejandla</v>
          </cell>
          <cell r="P158">
            <v>48</v>
          </cell>
          <cell r="Q158" t="str">
            <v>Repalle</v>
          </cell>
          <cell r="R158">
            <v>15</v>
          </cell>
          <cell r="S158" t="str">
            <v>I.B patnam</v>
          </cell>
          <cell r="T158">
            <v>85</v>
          </cell>
          <cell r="Y158" t="str">
            <v>Repalle</v>
          </cell>
          <cell r="Z158">
            <v>15</v>
          </cell>
          <cell r="AA158">
            <v>0.2</v>
          </cell>
        </row>
        <row r="159">
          <cell r="A159">
            <v>155</v>
          </cell>
          <cell r="B159" t="str">
            <v>Kolaganivaripalem</v>
          </cell>
          <cell r="C159" t="str">
            <v>Nagisettivaripalem</v>
          </cell>
          <cell r="D159" t="str">
            <v>Nagaram</v>
          </cell>
          <cell r="E159" t="str">
            <v>Local</v>
          </cell>
          <cell r="F159">
            <v>2</v>
          </cell>
          <cell r="G159" t="str">
            <v>Zoolapalem</v>
          </cell>
          <cell r="H159">
            <v>23</v>
          </cell>
          <cell r="I159" t="str">
            <v>Lam</v>
          </cell>
          <cell r="J159">
            <v>69</v>
          </cell>
          <cell r="K159" t="str">
            <v>Kolluru</v>
          </cell>
          <cell r="L159">
            <v>25</v>
          </cell>
          <cell r="M159" t="str">
            <v>Vejandla</v>
          </cell>
          <cell r="N159">
            <v>53</v>
          </cell>
          <cell r="O159" t="str">
            <v>Vejandla</v>
          </cell>
          <cell r="P159">
            <v>53</v>
          </cell>
          <cell r="Q159" t="str">
            <v>Repalle</v>
          </cell>
          <cell r="R159">
            <v>14</v>
          </cell>
          <cell r="S159" t="str">
            <v>I.B patnam</v>
          </cell>
          <cell r="T159">
            <v>85</v>
          </cell>
          <cell r="Y159" t="str">
            <v>Repalle</v>
          </cell>
          <cell r="Z159">
            <v>14</v>
          </cell>
          <cell r="AA159">
            <v>0.2</v>
          </cell>
        </row>
        <row r="160">
          <cell r="A160">
            <v>156</v>
          </cell>
          <cell r="B160" t="str">
            <v>Addankivaripalem</v>
          </cell>
          <cell r="C160" t="str">
            <v>PadamatiBandelavaripalem</v>
          </cell>
          <cell r="D160" t="str">
            <v>Nagaram</v>
          </cell>
          <cell r="E160" t="str">
            <v>Local</v>
          </cell>
          <cell r="F160">
            <v>2</v>
          </cell>
          <cell r="G160" t="str">
            <v>Zoolapalem</v>
          </cell>
          <cell r="H160">
            <v>26</v>
          </cell>
          <cell r="I160" t="str">
            <v>Lam</v>
          </cell>
          <cell r="J160">
            <v>64</v>
          </cell>
          <cell r="K160" t="str">
            <v>Kolluru</v>
          </cell>
          <cell r="L160">
            <v>30</v>
          </cell>
          <cell r="M160" t="str">
            <v>Vejandla</v>
          </cell>
          <cell r="N160">
            <v>44</v>
          </cell>
          <cell r="O160" t="str">
            <v>Vejandla</v>
          </cell>
          <cell r="P160">
            <v>44</v>
          </cell>
          <cell r="Q160" t="str">
            <v>Repalle</v>
          </cell>
          <cell r="R160">
            <v>19</v>
          </cell>
          <cell r="S160" t="str">
            <v>I.B patnam</v>
          </cell>
          <cell r="T160">
            <v>85</v>
          </cell>
          <cell r="Y160" t="str">
            <v>Repalle</v>
          </cell>
          <cell r="Z160">
            <v>19</v>
          </cell>
          <cell r="AA160">
            <v>0</v>
          </cell>
        </row>
        <row r="161">
          <cell r="A161">
            <v>157</v>
          </cell>
          <cell r="B161" t="str">
            <v>Pudiwada</v>
          </cell>
          <cell r="C161" t="str">
            <v>Padamatipalem</v>
          </cell>
          <cell r="D161" t="str">
            <v>Nagaram</v>
          </cell>
          <cell r="E161" t="str">
            <v>Local</v>
          </cell>
          <cell r="F161">
            <v>2</v>
          </cell>
          <cell r="G161" t="str">
            <v>Zoolapalem</v>
          </cell>
          <cell r="H161">
            <v>33</v>
          </cell>
          <cell r="I161" t="str">
            <v>Lam</v>
          </cell>
          <cell r="J161">
            <v>66</v>
          </cell>
          <cell r="K161" t="str">
            <v>Kolluru</v>
          </cell>
          <cell r="L161">
            <v>34</v>
          </cell>
          <cell r="M161" t="str">
            <v>Vejandla</v>
          </cell>
          <cell r="N161">
            <v>44</v>
          </cell>
          <cell r="O161" t="str">
            <v>Vejandla</v>
          </cell>
          <cell r="P161">
            <v>44</v>
          </cell>
          <cell r="Q161" t="str">
            <v>Repalle</v>
          </cell>
          <cell r="R161">
            <v>18</v>
          </cell>
          <cell r="S161" t="str">
            <v>I.B patnam</v>
          </cell>
          <cell r="T161">
            <v>85</v>
          </cell>
          <cell r="Y161" t="str">
            <v>Repalle</v>
          </cell>
          <cell r="Z161">
            <v>18</v>
          </cell>
          <cell r="AA161">
            <v>0</v>
          </cell>
        </row>
        <row r="162">
          <cell r="A162">
            <v>158</v>
          </cell>
          <cell r="B162" t="str">
            <v>Pudiwada</v>
          </cell>
          <cell r="C162" t="str">
            <v>Padyalavaripalem</v>
          </cell>
          <cell r="D162" t="str">
            <v>Nagaram</v>
          </cell>
          <cell r="E162" t="str">
            <v>Local</v>
          </cell>
          <cell r="F162">
            <v>2</v>
          </cell>
          <cell r="G162" t="str">
            <v>Zoolapalem</v>
          </cell>
          <cell r="H162">
            <v>33</v>
          </cell>
          <cell r="I162" t="str">
            <v>Lam</v>
          </cell>
          <cell r="J162">
            <v>66</v>
          </cell>
          <cell r="K162" t="str">
            <v>Kolluru</v>
          </cell>
          <cell r="L162">
            <v>34</v>
          </cell>
          <cell r="M162" t="str">
            <v>Vejandla</v>
          </cell>
          <cell r="N162">
            <v>44</v>
          </cell>
          <cell r="O162" t="str">
            <v>Vejandla</v>
          </cell>
          <cell r="P162">
            <v>44</v>
          </cell>
          <cell r="Q162" t="str">
            <v>Repalle</v>
          </cell>
          <cell r="R162">
            <v>18</v>
          </cell>
          <cell r="S162" t="str">
            <v>I.B patnam</v>
          </cell>
          <cell r="T162">
            <v>85</v>
          </cell>
          <cell r="Y162" t="str">
            <v>Repalle</v>
          </cell>
          <cell r="Z162">
            <v>18</v>
          </cell>
          <cell r="AA162">
            <v>0</v>
          </cell>
        </row>
        <row r="163">
          <cell r="A163">
            <v>159</v>
          </cell>
          <cell r="B163" t="str">
            <v>Pamidimarru</v>
          </cell>
          <cell r="C163" t="str">
            <v>Pamidimarru</v>
          </cell>
          <cell r="D163" t="str">
            <v>Nagaram</v>
          </cell>
          <cell r="E163" t="str">
            <v>Local</v>
          </cell>
          <cell r="F163">
            <v>3</v>
          </cell>
          <cell r="G163" t="str">
            <v>Zoolapalem</v>
          </cell>
          <cell r="H163">
            <v>27</v>
          </cell>
          <cell r="I163" t="str">
            <v>Lam</v>
          </cell>
          <cell r="J163">
            <v>74</v>
          </cell>
          <cell r="K163" t="str">
            <v>Kolluru</v>
          </cell>
          <cell r="L163">
            <v>30</v>
          </cell>
          <cell r="M163" t="str">
            <v>Vejandla</v>
          </cell>
          <cell r="N163">
            <v>54</v>
          </cell>
          <cell r="O163" t="str">
            <v>Vejandla</v>
          </cell>
          <cell r="P163">
            <v>54</v>
          </cell>
          <cell r="Q163" t="str">
            <v>Repalle</v>
          </cell>
          <cell r="R163">
            <v>10</v>
          </cell>
          <cell r="S163" t="str">
            <v>I.B patnam</v>
          </cell>
          <cell r="T163">
            <v>85</v>
          </cell>
          <cell r="Y163" t="str">
            <v>Repalle</v>
          </cell>
          <cell r="Z163">
            <v>10</v>
          </cell>
          <cell r="AA163">
            <v>0.2</v>
          </cell>
        </row>
        <row r="164">
          <cell r="A164">
            <v>160</v>
          </cell>
          <cell r="B164" t="str">
            <v>Siripudi</v>
          </cell>
          <cell r="C164" t="str">
            <v>Parisavaripalem</v>
          </cell>
          <cell r="D164" t="str">
            <v>Nagaram</v>
          </cell>
          <cell r="E164" t="str">
            <v>Local</v>
          </cell>
          <cell r="F164">
            <v>1</v>
          </cell>
          <cell r="G164" t="str">
            <v>Zoolapalem</v>
          </cell>
          <cell r="H164">
            <v>30</v>
          </cell>
          <cell r="I164" t="str">
            <v>Lam</v>
          </cell>
          <cell r="J164">
            <v>59</v>
          </cell>
          <cell r="K164" t="str">
            <v>Kolluru</v>
          </cell>
          <cell r="L164">
            <v>36</v>
          </cell>
          <cell r="M164" t="str">
            <v>Vejandla</v>
          </cell>
          <cell r="N164">
            <v>43</v>
          </cell>
          <cell r="O164" t="str">
            <v>Vejandla</v>
          </cell>
          <cell r="P164">
            <v>43</v>
          </cell>
          <cell r="Q164" t="str">
            <v>Repalle</v>
          </cell>
          <cell r="R164">
            <v>23</v>
          </cell>
          <cell r="S164" t="str">
            <v>I.B patnam</v>
          </cell>
          <cell r="T164">
            <v>85</v>
          </cell>
          <cell r="Y164" t="str">
            <v>Repalle</v>
          </cell>
          <cell r="Z164">
            <v>23</v>
          </cell>
          <cell r="AA164">
            <v>0</v>
          </cell>
        </row>
        <row r="165">
          <cell r="A165">
            <v>161</v>
          </cell>
          <cell r="B165" t="str">
            <v>Siripudi</v>
          </cell>
          <cell r="C165" t="str">
            <v>Paturu H/O Sirpudi</v>
          </cell>
          <cell r="D165" t="str">
            <v>Nagaram</v>
          </cell>
          <cell r="E165" t="str">
            <v>Local</v>
          </cell>
          <cell r="F165">
            <v>1</v>
          </cell>
          <cell r="G165" t="str">
            <v>Zoolapalem</v>
          </cell>
          <cell r="H165">
            <v>29</v>
          </cell>
          <cell r="I165" t="str">
            <v>Lam</v>
          </cell>
          <cell r="J165">
            <v>60</v>
          </cell>
          <cell r="K165" t="str">
            <v>Kolluru</v>
          </cell>
          <cell r="L165">
            <v>35</v>
          </cell>
          <cell r="M165" t="str">
            <v>Vejandla</v>
          </cell>
          <cell r="N165">
            <v>44</v>
          </cell>
          <cell r="O165" t="str">
            <v>Vejandla</v>
          </cell>
          <cell r="P165">
            <v>44</v>
          </cell>
          <cell r="Q165" t="str">
            <v>Repalle</v>
          </cell>
          <cell r="R165">
            <v>22</v>
          </cell>
          <cell r="S165" t="str">
            <v>I.B patnam</v>
          </cell>
          <cell r="T165">
            <v>85</v>
          </cell>
          <cell r="Y165" t="str">
            <v>Repalle</v>
          </cell>
          <cell r="Z165">
            <v>22</v>
          </cell>
          <cell r="AA165">
            <v>0</v>
          </cell>
        </row>
        <row r="166">
          <cell r="A166">
            <v>162</v>
          </cell>
          <cell r="B166" t="str">
            <v>Pedamatlapudi</v>
          </cell>
          <cell r="C166" t="str">
            <v>Pedamatlapudi</v>
          </cell>
          <cell r="D166" t="str">
            <v>Nagaram</v>
          </cell>
          <cell r="E166" t="str">
            <v>Local</v>
          </cell>
          <cell r="F166">
            <v>1</v>
          </cell>
          <cell r="G166" t="str">
            <v>Zoolapalem</v>
          </cell>
          <cell r="H166">
            <v>32</v>
          </cell>
          <cell r="I166" t="str">
            <v>Lam</v>
          </cell>
          <cell r="J166">
            <v>67</v>
          </cell>
          <cell r="K166" t="str">
            <v>Kolluru</v>
          </cell>
          <cell r="L166">
            <v>38</v>
          </cell>
          <cell r="M166" t="str">
            <v>Vejandla</v>
          </cell>
          <cell r="N166">
            <v>44</v>
          </cell>
          <cell r="O166" t="str">
            <v>Vejandla</v>
          </cell>
          <cell r="P166">
            <v>44</v>
          </cell>
          <cell r="Q166" t="str">
            <v>Repalle</v>
          </cell>
          <cell r="R166">
            <v>25</v>
          </cell>
          <cell r="S166" t="str">
            <v>I.B patnam</v>
          </cell>
          <cell r="T166">
            <v>85</v>
          </cell>
          <cell r="Y166" t="str">
            <v>Repalle</v>
          </cell>
          <cell r="Z166">
            <v>25</v>
          </cell>
          <cell r="AA166">
            <v>0</v>
          </cell>
        </row>
        <row r="167">
          <cell r="A167">
            <v>163</v>
          </cell>
          <cell r="B167" t="str">
            <v>Pedapalli</v>
          </cell>
          <cell r="C167" t="str">
            <v>Pedapalli</v>
          </cell>
          <cell r="D167" t="str">
            <v>Nagaram</v>
          </cell>
          <cell r="E167" t="str">
            <v>Local</v>
          </cell>
          <cell r="F167">
            <v>2</v>
          </cell>
          <cell r="G167" t="str">
            <v>Zoolapalem</v>
          </cell>
          <cell r="H167">
            <v>37</v>
          </cell>
          <cell r="I167" t="str">
            <v>Lam</v>
          </cell>
          <cell r="J167">
            <v>60</v>
          </cell>
          <cell r="K167" t="str">
            <v>Kolluru</v>
          </cell>
          <cell r="L167">
            <v>42</v>
          </cell>
          <cell r="M167" t="str">
            <v>Vejandla</v>
          </cell>
          <cell r="N167">
            <v>49</v>
          </cell>
          <cell r="O167" t="str">
            <v>Vejandla</v>
          </cell>
          <cell r="P167">
            <v>49</v>
          </cell>
          <cell r="Q167" t="str">
            <v>Repalle</v>
          </cell>
          <cell r="R167">
            <v>29</v>
          </cell>
          <cell r="S167" t="str">
            <v>I.B patnam</v>
          </cell>
          <cell r="T167">
            <v>85</v>
          </cell>
          <cell r="Y167" t="str">
            <v>Repalle</v>
          </cell>
          <cell r="Z167">
            <v>29</v>
          </cell>
          <cell r="AA167">
            <v>0</v>
          </cell>
        </row>
        <row r="168">
          <cell r="A168">
            <v>164</v>
          </cell>
          <cell r="B168" t="str">
            <v>Peddavaram</v>
          </cell>
          <cell r="C168" t="str">
            <v>Peddavaram</v>
          </cell>
          <cell r="D168" t="str">
            <v>Nagaram</v>
          </cell>
          <cell r="E168" t="str">
            <v>Local</v>
          </cell>
          <cell r="F168">
            <v>3</v>
          </cell>
          <cell r="G168" t="str">
            <v>Zoolapalem</v>
          </cell>
          <cell r="H168">
            <v>18</v>
          </cell>
          <cell r="I168" t="str">
            <v>Lam</v>
          </cell>
          <cell r="J168">
            <v>66</v>
          </cell>
          <cell r="K168" t="str">
            <v>Kolluru</v>
          </cell>
          <cell r="L168">
            <v>22</v>
          </cell>
          <cell r="M168" t="str">
            <v>Vejandla</v>
          </cell>
          <cell r="N168">
            <v>47</v>
          </cell>
          <cell r="O168" t="str">
            <v>Vejandla</v>
          </cell>
          <cell r="P168">
            <v>47</v>
          </cell>
          <cell r="Q168" t="str">
            <v>Repalle</v>
          </cell>
          <cell r="R168">
            <v>18</v>
          </cell>
          <cell r="S168" t="str">
            <v>I.B patnam</v>
          </cell>
          <cell r="T168">
            <v>85</v>
          </cell>
          <cell r="Y168" t="str">
            <v>Repalle</v>
          </cell>
          <cell r="Z168">
            <v>18</v>
          </cell>
          <cell r="AA168">
            <v>0</v>
          </cell>
        </row>
        <row r="169">
          <cell r="A169">
            <v>165</v>
          </cell>
          <cell r="B169" t="str">
            <v>Karakankivaripalem</v>
          </cell>
          <cell r="C169" t="str">
            <v>Peetavaripalem</v>
          </cell>
          <cell r="D169" t="str">
            <v>Nagaram</v>
          </cell>
          <cell r="E169" t="str">
            <v>Local</v>
          </cell>
          <cell r="F169">
            <v>2</v>
          </cell>
          <cell r="G169" t="str">
            <v>Zoolapalem</v>
          </cell>
          <cell r="H169">
            <v>24</v>
          </cell>
          <cell r="I169" t="str">
            <v>Lam</v>
          </cell>
          <cell r="J169">
            <v>72</v>
          </cell>
          <cell r="K169" t="str">
            <v>Kolluru</v>
          </cell>
          <cell r="L169">
            <v>28</v>
          </cell>
          <cell r="M169" t="str">
            <v>Vejandla</v>
          </cell>
          <cell r="N169">
            <v>53</v>
          </cell>
          <cell r="O169" t="str">
            <v>Vejandla</v>
          </cell>
          <cell r="P169">
            <v>53</v>
          </cell>
          <cell r="Q169" t="str">
            <v>Repalle</v>
          </cell>
          <cell r="R169">
            <v>13</v>
          </cell>
          <cell r="S169" t="str">
            <v>I.B patnam</v>
          </cell>
          <cell r="T169">
            <v>85</v>
          </cell>
          <cell r="Y169" t="str">
            <v>Repalle</v>
          </cell>
          <cell r="Z169">
            <v>13</v>
          </cell>
          <cell r="AA169">
            <v>0.2</v>
          </cell>
        </row>
        <row r="170">
          <cell r="A170">
            <v>166</v>
          </cell>
          <cell r="B170" t="str">
            <v>Pudiwada</v>
          </cell>
          <cell r="C170" t="str">
            <v>Pudiwada</v>
          </cell>
          <cell r="D170" t="str">
            <v>Nagaram</v>
          </cell>
          <cell r="E170" t="str">
            <v>Local</v>
          </cell>
          <cell r="F170">
            <v>2</v>
          </cell>
          <cell r="G170" t="str">
            <v>Zoolapalem</v>
          </cell>
          <cell r="H170">
            <v>33</v>
          </cell>
          <cell r="I170" t="str">
            <v>Lam</v>
          </cell>
          <cell r="J170">
            <v>66</v>
          </cell>
          <cell r="K170" t="str">
            <v>Kolluru</v>
          </cell>
          <cell r="L170">
            <v>34</v>
          </cell>
          <cell r="M170" t="str">
            <v>Vejandla</v>
          </cell>
          <cell r="N170">
            <v>44</v>
          </cell>
          <cell r="O170" t="str">
            <v>Vejandla</v>
          </cell>
          <cell r="P170">
            <v>44</v>
          </cell>
          <cell r="Q170" t="str">
            <v>Repalle</v>
          </cell>
          <cell r="R170">
            <v>18</v>
          </cell>
          <cell r="S170" t="str">
            <v>I.B patnam</v>
          </cell>
          <cell r="T170">
            <v>85</v>
          </cell>
          <cell r="Y170" t="str">
            <v>Repalle</v>
          </cell>
          <cell r="Z170">
            <v>18</v>
          </cell>
          <cell r="AA170">
            <v>0</v>
          </cell>
        </row>
        <row r="171">
          <cell r="A171">
            <v>167</v>
          </cell>
          <cell r="B171" t="str">
            <v>Chinamatlapudi</v>
          </cell>
          <cell r="C171" t="str">
            <v>Redlapalem</v>
          </cell>
          <cell r="D171" t="str">
            <v>Nagaram</v>
          </cell>
          <cell r="E171" t="str">
            <v>Local</v>
          </cell>
          <cell r="F171">
            <v>1</v>
          </cell>
          <cell r="G171" t="str">
            <v>Zoolapalem</v>
          </cell>
          <cell r="H171">
            <v>32</v>
          </cell>
          <cell r="I171" t="str">
            <v>Lam</v>
          </cell>
          <cell r="J171">
            <v>67</v>
          </cell>
          <cell r="K171" t="str">
            <v>Kolluru</v>
          </cell>
          <cell r="L171">
            <v>38</v>
          </cell>
          <cell r="M171" t="str">
            <v>Vejandla</v>
          </cell>
          <cell r="N171">
            <v>44</v>
          </cell>
          <cell r="O171" t="str">
            <v>Vejandla</v>
          </cell>
          <cell r="P171">
            <v>44</v>
          </cell>
          <cell r="Q171" t="str">
            <v>Repalle</v>
          </cell>
          <cell r="R171">
            <v>25</v>
          </cell>
          <cell r="S171" t="str">
            <v>I.B patnam</v>
          </cell>
          <cell r="T171">
            <v>85</v>
          </cell>
          <cell r="Y171" t="str">
            <v>Repalle</v>
          </cell>
          <cell r="Z171">
            <v>25</v>
          </cell>
          <cell r="AA171">
            <v>0</v>
          </cell>
        </row>
        <row r="172">
          <cell r="A172">
            <v>168</v>
          </cell>
          <cell r="B172" t="str">
            <v>Sajjavaripalem</v>
          </cell>
          <cell r="C172" t="str">
            <v>Sajjavaripalem</v>
          </cell>
          <cell r="D172" t="str">
            <v>Nagaram</v>
          </cell>
          <cell r="E172" t="str">
            <v>Local</v>
          </cell>
          <cell r="F172">
            <v>2</v>
          </cell>
          <cell r="G172" t="str">
            <v>Zoolapalem</v>
          </cell>
          <cell r="H172">
            <v>29</v>
          </cell>
          <cell r="I172" t="str">
            <v>Lam</v>
          </cell>
          <cell r="J172">
            <v>74</v>
          </cell>
          <cell r="K172" t="str">
            <v>Kolluru</v>
          </cell>
          <cell r="L172">
            <v>33</v>
          </cell>
          <cell r="M172" t="str">
            <v>Vejandla</v>
          </cell>
          <cell r="N172">
            <v>55</v>
          </cell>
          <cell r="O172" t="str">
            <v>Vejandla</v>
          </cell>
          <cell r="P172">
            <v>55</v>
          </cell>
          <cell r="Q172" t="str">
            <v>Repalle</v>
          </cell>
          <cell r="R172">
            <v>7</v>
          </cell>
          <cell r="S172" t="str">
            <v>I.B patnam</v>
          </cell>
          <cell r="T172">
            <v>85</v>
          </cell>
          <cell r="Y172" t="str">
            <v>Repalle</v>
          </cell>
          <cell r="Z172">
            <v>7</v>
          </cell>
          <cell r="AA172">
            <v>0.2</v>
          </cell>
        </row>
        <row r="173">
          <cell r="A173">
            <v>169</v>
          </cell>
          <cell r="B173" t="str">
            <v>Chinamatlapudi</v>
          </cell>
          <cell r="C173" t="str">
            <v>Sampatipalem</v>
          </cell>
          <cell r="D173" t="str">
            <v>Nagaram</v>
          </cell>
          <cell r="E173" t="str">
            <v>Local</v>
          </cell>
          <cell r="F173">
            <v>1</v>
          </cell>
          <cell r="G173" t="str">
            <v>Zoolapalem</v>
          </cell>
          <cell r="H173">
            <v>32</v>
          </cell>
          <cell r="I173" t="str">
            <v>Lam</v>
          </cell>
          <cell r="J173">
            <v>67</v>
          </cell>
          <cell r="K173" t="str">
            <v>Kolluru</v>
          </cell>
          <cell r="L173">
            <v>38</v>
          </cell>
          <cell r="M173" t="str">
            <v>Vejandla</v>
          </cell>
          <cell r="N173">
            <v>44</v>
          </cell>
          <cell r="O173" t="str">
            <v>Vejandla</v>
          </cell>
          <cell r="P173">
            <v>44</v>
          </cell>
          <cell r="Q173" t="str">
            <v>Repalle</v>
          </cell>
          <cell r="R173">
            <v>25</v>
          </cell>
          <cell r="S173" t="str">
            <v>I.B patnam</v>
          </cell>
          <cell r="T173">
            <v>85</v>
          </cell>
          <cell r="Y173" t="str">
            <v>Repalle</v>
          </cell>
          <cell r="Z173">
            <v>25</v>
          </cell>
          <cell r="AA173">
            <v>0</v>
          </cell>
        </row>
        <row r="174">
          <cell r="A174">
            <v>170</v>
          </cell>
          <cell r="B174" t="str">
            <v>Bellamvaripalem</v>
          </cell>
          <cell r="C174" t="str">
            <v>Satyaharischandrapuram</v>
          </cell>
          <cell r="D174" t="str">
            <v>Nagaram</v>
          </cell>
          <cell r="E174" t="str">
            <v>Local</v>
          </cell>
          <cell r="F174">
            <v>2</v>
          </cell>
          <cell r="G174" t="str">
            <v>Zoolapalem</v>
          </cell>
          <cell r="H174">
            <v>30</v>
          </cell>
          <cell r="I174" t="str">
            <v>Lam</v>
          </cell>
          <cell r="J174">
            <v>71</v>
          </cell>
          <cell r="K174" t="str">
            <v>Kolluru</v>
          </cell>
          <cell r="L174">
            <v>36</v>
          </cell>
          <cell r="M174" t="str">
            <v>Vejandla</v>
          </cell>
          <cell r="N174">
            <v>50</v>
          </cell>
          <cell r="O174" t="str">
            <v>Vejandla</v>
          </cell>
          <cell r="P174">
            <v>50</v>
          </cell>
          <cell r="Q174" t="str">
            <v>Repalle</v>
          </cell>
          <cell r="R174">
            <v>12</v>
          </cell>
          <cell r="S174" t="str">
            <v>I.B patnam</v>
          </cell>
          <cell r="T174">
            <v>85</v>
          </cell>
          <cell r="Y174" t="str">
            <v>Repalle</v>
          </cell>
          <cell r="Z174">
            <v>12</v>
          </cell>
          <cell r="AA174">
            <v>0</v>
          </cell>
        </row>
        <row r="175">
          <cell r="A175">
            <v>171</v>
          </cell>
          <cell r="B175" t="str">
            <v>Pedapalli</v>
          </cell>
          <cell r="C175" t="str">
            <v>Satyanarayanapuram</v>
          </cell>
          <cell r="D175" t="str">
            <v>Nagaram</v>
          </cell>
          <cell r="E175" t="str">
            <v>Local</v>
          </cell>
          <cell r="F175">
            <v>2</v>
          </cell>
          <cell r="G175" t="str">
            <v>Zoolapalem</v>
          </cell>
          <cell r="H175">
            <v>37</v>
          </cell>
          <cell r="I175" t="str">
            <v>Lam</v>
          </cell>
          <cell r="J175">
            <v>60</v>
          </cell>
          <cell r="K175" t="str">
            <v>Kolluru</v>
          </cell>
          <cell r="L175">
            <v>42</v>
          </cell>
          <cell r="M175" t="str">
            <v>Vejandla</v>
          </cell>
          <cell r="N175">
            <v>49</v>
          </cell>
          <cell r="O175" t="str">
            <v>Vejandla</v>
          </cell>
          <cell r="P175">
            <v>49</v>
          </cell>
          <cell r="Q175" t="str">
            <v>Repalle</v>
          </cell>
          <cell r="R175">
            <v>29</v>
          </cell>
          <cell r="S175" t="str">
            <v>I.B patnam</v>
          </cell>
          <cell r="T175">
            <v>85</v>
          </cell>
          <cell r="Y175" t="str">
            <v>Repalle</v>
          </cell>
          <cell r="Z175">
            <v>29</v>
          </cell>
          <cell r="AA175">
            <v>0</v>
          </cell>
        </row>
        <row r="176">
          <cell r="A176">
            <v>172</v>
          </cell>
          <cell r="B176" t="str">
            <v>Siripudi</v>
          </cell>
          <cell r="C176" t="str">
            <v>Siripudi</v>
          </cell>
          <cell r="D176" t="str">
            <v>Nagaram</v>
          </cell>
          <cell r="E176" t="str">
            <v>Local</v>
          </cell>
          <cell r="F176">
            <v>1</v>
          </cell>
          <cell r="G176" t="str">
            <v>Zoolapalem</v>
          </cell>
          <cell r="H176">
            <v>29</v>
          </cell>
          <cell r="I176" t="str">
            <v>Lam</v>
          </cell>
          <cell r="J176">
            <v>60</v>
          </cell>
          <cell r="K176" t="str">
            <v>Kolluru</v>
          </cell>
          <cell r="L176">
            <v>35</v>
          </cell>
          <cell r="M176" t="str">
            <v>Vejandla</v>
          </cell>
          <cell r="N176">
            <v>44</v>
          </cell>
          <cell r="O176" t="str">
            <v>Vejandla</v>
          </cell>
          <cell r="P176">
            <v>44</v>
          </cell>
          <cell r="Q176" t="str">
            <v>Repalle</v>
          </cell>
          <cell r="R176">
            <v>22</v>
          </cell>
          <cell r="S176" t="str">
            <v>I.B patnam</v>
          </cell>
          <cell r="T176">
            <v>85</v>
          </cell>
          <cell r="Y176" t="str">
            <v>Repalle</v>
          </cell>
          <cell r="Z176">
            <v>22</v>
          </cell>
          <cell r="AA176">
            <v>0</v>
          </cell>
        </row>
        <row r="177">
          <cell r="A177">
            <v>173</v>
          </cell>
          <cell r="B177" t="str">
            <v>Kattava</v>
          </cell>
          <cell r="C177" t="str">
            <v>Sreerampuram</v>
          </cell>
          <cell r="D177" t="str">
            <v>Nagaram</v>
          </cell>
          <cell r="E177" t="str">
            <v>Local</v>
          </cell>
          <cell r="F177">
            <v>2</v>
          </cell>
          <cell r="G177" t="str">
            <v>Zoolapalem</v>
          </cell>
          <cell r="H177">
            <v>37</v>
          </cell>
          <cell r="I177" t="str">
            <v>Lam</v>
          </cell>
          <cell r="J177">
            <v>80</v>
          </cell>
          <cell r="K177" t="str">
            <v>Kolluru</v>
          </cell>
          <cell r="L177">
            <v>39</v>
          </cell>
          <cell r="M177" t="str">
            <v>Vejandla</v>
          </cell>
          <cell r="N177">
            <v>61</v>
          </cell>
          <cell r="O177" t="str">
            <v>Vejandla</v>
          </cell>
          <cell r="P177">
            <v>61</v>
          </cell>
          <cell r="Q177" t="str">
            <v>Repalle</v>
          </cell>
          <cell r="R177">
            <v>13</v>
          </cell>
          <cell r="S177" t="str">
            <v>I.B patnam</v>
          </cell>
          <cell r="T177">
            <v>85</v>
          </cell>
          <cell r="Y177" t="str">
            <v>Repalle</v>
          </cell>
          <cell r="Z177">
            <v>13</v>
          </cell>
          <cell r="AA177">
            <v>0.2</v>
          </cell>
        </row>
        <row r="178">
          <cell r="A178">
            <v>174</v>
          </cell>
          <cell r="B178" t="str">
            <v>Pedapalli</v>
          </cell>
          <cell r="C178" t="str">
            <v>Srinagaram</v>
          </cell>
          <cell r="D178" t="str">
            <v>Nagaram</v>
          </cell>
          <cell r="E178" t="str">
            <v>Local</v>
          </cell>
          <cell r="F178">
            <v>2</v>
          </cell>
          <cell r="G178" t="str">
            <v>Zoolapalem</v>
          </cell>
          <cell r="H178">
            <v>38</v>
          </cell>
          <cell r="I178" t="str">
            <v>Lam</v>
          </cell>
          <cell r="J178">
            <v>61</v>
          </cell>
          <cell r="K178" t="str">
            <v>Kolluru</v>
          </cell>
          <cell r="L178">
            <v>43</v>
          </cell>
          <cell r="M178" t="str">
            <v>Vejandla</v>
          </cell>
          <cell r="N178">
            <v>50</v>
          </cell>
          <cell r="O178" t="str">
            <v>Vejandla</v>
          </cell>
          <cell r="P178">
            <v>50</v>
          </cell>
          <cell r="Q178" t="str">
            <v>Repalle</v>
          </cell>
          <cell r="R178">
            <v>30</v>
          </cell>
          <cell r="S178" t="str">
            <v>I.B patnam</v>
          </cell>
          <cell r="T178">
            <v>85</v>
          </cell>
          <cell r="Y178" t="str">
            <v>Repalle</v>
          </cell>
          <cell r="Z178">
            <v>30</v>
          </cell>
          <cell r="AA178">
            <v>0</v>
          </cell>
        </row>
        <row r="179">
          <cell r="A179">
            <v>175</v>
          </cell>
          <cell r="B179" t="str">
            <v>Mantripalem</v>
          </cell>
          <cell r="C179" t="str">
            <v>Sriramachandrapuram</v>
          </cell>
          <cell r="D179" t="str">
            <v>Nagaram</v>
          </cell>
          <cell r="E179" t="str">
            <v>Local</v>
          </cell>
          <cell r="F179">
            <v>6</v>
          </cell>
          <cell r="G179" t="str">
            <v>Zoolapalem</v>
          </cell>
          <cell r="H179">
            <v>35</v>
          </cell>
          <cell r="I179" t="str">
            <v>Lam</v>
          </cell>
          <cell r="J179">
            <v>80</v>
          </cell>
          <cell r="K179" t="str">
            <v>Kolluru</v>
          </cell>
          <cell r="L179">
            <v>39</v>
          </cell>
          <cell r="M179" t="str">
            <v>Vejandla</v>
          </cell>
          <cell r="N179">
            <v>61</v>
          </cell>
          <cell r="O179" t="str">
            <v>Vejandla</v>
          </cell>
          <cell r="P179">
            <v>61</v>
          </cell>
          <cell r="Q179" t="str">
            <v>Repalle</v>
          </cell>
          <cell r="R179">
            <v>18</v>
          </cell>
          <cell r="S179" t="str">
            <v>I.B patnam</v>
          </cell>
          <cell r="T179">
            <v>85</v>
          </cell>
          <cell r="Y179" t="str">
            <v>Repalle</v>
          </cell>
          <cell r="Z179">
            <v>18</v>
          </cell>
          <cell r="AA179">
            <v>0.2</v>
          </cell>
        </row>
        <row r="180">
          <cell r="A180">
            <v>176</v>
          </cell>
          <cell r="B180" t="str">
            <v>Tadivakavaripalem</v>
          </cell>
          <cell r="C180" t="str">
            <v>Tadivakavaripalem</v>
          </cell>
          <cell r="D180" t="str">
            <v>Nagaram</v>
          </cell>
          <cell r="E180" t="str">
            <v>Local</v>
          </cell>
          <cell r="F180">
            <v>2</v>
          </cell>
          <cell r="G180" t="str">
            <v>Zoolapalem</v>
          </cell>
          <cell r="H180">
            <v>32</v>
          </cell>
          <cell r="I180" t="str">
            <v>Lam</v>
          </cell>
          <cell r="J180">
            <v>70</v>
          </cell>
          <cell r="K180" t="str">
            <v>Kolluru</v>
          </cell>
          <cell r="L180">
            <v>41</v>
          </cell>
          <cell r="M180" t="str">
            <v>Vejandla</v>
          </cell>
          <cell r="N180">
            <v>50</v>
          </cell>
          <cell r="O180" t="str">
            <v>Vejandla</v>
          </cell>
          <cell r="P180">
            <v>50</v>
          </cell>
          <cell r="Q180" t="str">
            <v>Repalle</v>
          </cell>
          <cell r="R180">
            <v>19</v>
          </cell>
          <cell r="S180" t="str">
            <v>I.B patnam</v>
          </cell>
          <cell r="T180">
            <v>85</v>
          </cell>
          <cell r="Y180" t="str">
            <v>Repalle</v>
          </cell>
          <cell r="Z180">
            <v>19</v>
          </cell>
          <cell r="AA180">
            <v>0</v>
          </cell>
        </row>
        <row r="181">
          <cell r="A181">
            <v>177</v>
          </cell>
          <cell r="B181" t="str">
            <v>Thotapalli</v>
          </cell>
          <cell r="C181" t="str">
            <v>Thotapalli</v>
          </cell>
          <cell r="D181" t="str">
            <v>Nagaram</v>
          </cell>
          <cell r="E181" t="str">
            <v>Local</v>
          </cell>
          <cell r="F181">
            <v>2</v>
          </cell>
          <cell r="G181" t="str">
            <v>Zoolapalem</v>
          </cell>
          <cell r="H181">
            <v>19</v>
          </cell>
          <cell r="I181" t="str">
            <v>Lam</v>
          </cell>
          <cell r="J181">
            <v>67</v>
          </cell>
          <cell r="K181" t="str">
            <v>Kolluru</v>
          </cell>
          <cell r="L181">
            <v>23</v>
          </cell>
          <cell r="M181" t="str">
            <v>Vejandla</v>
          </cell>
          <cell r="N181">
            <v>49</v>
          </cell>
          <cell r="O181" t="str">
            <v>Vejandla</v>
          </cell>
          <cell r="P181">
            <v>49</v>
          </cell>
          <cell r="Q181" t="str">
            <v>Repalle</v>
          </cell>
          <cell r="R181">
            <v>17</v>
          </cell>
          <cell r="S181" t="str">
            <v>I.B patnam</v>
          </cell>
          <cell r="T181">
            <v>85</v>
          </cell>
          <cell r="Y181" t="str">
            <v>Repalle</v>
          </cell>
          <cell r="Z181">
            <v>17</v>
          </cell>
          <cell r="AA181">
            <v>0.2</v>
          </cell>
        </row>
        <row r="182">
          <cell r="A182">
            <v>178</v>
          </cell>
          <cell r="B182" t="str">
            <v>Dhulipudi</v>
          </cell>
          <cell r="C182" t="str">
            <v>Turupubandelavaripalem</v>
          </cell>
          <cell r="D182" t="str">
            <v>Nagaram</v>
          </cell>
          <cell r="E182" t="str">
            <v>Local</v>
          </cell>
          <cell r="F182">
            <v>2</v>
          </cell>
          <cell r="G182" t="str">
            <v>Zoolapalem</v>
          </cell>
          <cell r="H182">
            <v>23</v>
          </cell>
          <cell r="I182" t="str">
            <v>Lam</v>
          </cell>
          <cell r="J182">
            <v>69</v>
          </cell>
          <cell r="K182" t="str">
            <v>Kolluru</v>
          </cell>
          <cell r="L182">
            <v>25</v>
          </cell>
          <cell r="M182" t="str">
            <v>Vejandla</v>
          </cell>
          <cell r="N182">
            <v>53</v>
          </cell>
          <cell r="O182" t="str">
            <v>Vejandla</v>
          </cell>
          <cell r="P182">
            <v>53</v>
          </cell>
          <cell r="Q182" t="str">
            <v>Repalle</v>
          </cell>
          <cell r="R182">
            <v>14</v>
          </cell>
          <cell r="S182" t="str">
            <v>I.B patnam</v>
          </cell>
          <cell r="T182">
            <v>85</v>
          </cell>
          <cell r="Y182" t="str">
            <v>Repalle</v>
          </cell>
          <cell r="Z182">
            <v>14</v>
          </cell>
          <cell r="AA182">
            <v>0.2</v>
          </cell>
        </row>
        <row r="183">
          <cell r="A183">
            <v>179</v>
          </cell>
          <cell r="B183" t="str">
            <v>Pudiwada</v>
          </cell>
          <cell r="C183" t="str">
            <v>Turupupalem H/O Pudiwada</v>
          </cell>
          <cell r="D183" t="str">
            <v>Nagaram</v>
          </cell>
          <cell r="E183" t="str">
            <v>Local</v>
          </cell>
          <cell r="F183">
            <v>2</v>
          </cell>
          <cell r="G183" t="str">
            <v>Zoolapalem</v>
          </cell>
          <cell r="H183">
            <v>33</v>
          </cell>
          <cell r="I183" t="str">
            <v>Lam</v>
          </cell>
          <cell r="J183">
            <v>66</v>
          </cell>
          <cell r="K183" t="str">
            <v>Kolluru</v>
          </cell>
          <cell r="L183">
            <v>34</v>
          </cell>
          <cell r="M183" t="str">
            <v>Vejandla</v>
          </cell>
          <cell r="N183">
            <v>44</v>
          </cell>
          <cell r="O183" t="str">
            <v>Vejandla</v>
          </cell>
          <cell r="P183">
            <v>44</v>
          </cell>
          <cell r="Q183" t="str">
            <v>Repalle</v>
          </cell>
          <cell r="R183">
            <v>18</v>
          </cell>
          <cell r="S183" t="str">
            <v>I.B patnam</v>
          </cell>
          <cell r="T183">
            <v>85</v>
          </cell>
          <cell r="Y183" t="str">
            <v>Repalle</v>
          </cell>
          <cell r="Z183">
            <v>18</v>
          </cell>
          <cell r="AA183">
            <v>0</v>
          </cell>
        </row>
        <row r="184">
          <cell r="A184">
            <v>180</v>
          </cell>
          <cell r="B184" t="str">
            <v>Ullipalem</v>
          </cell>
          <cell r="C184" t="str">
            <v>Ullipalem</v>
          </cell>
          <cell r="D184" t="str">
            <v>Nagaram</v>
          </cell>
          <cell r="E184" t="str">
            <v>Local</v>
          </cell>
          <cell r="F184">
            <v>4</v>
          </cell>
          <cell r="G184" t="str">
            <v>Zoolapalem</v>
          </cell>
          <cell r="H184">
            <v>30</v>
          </cell>
          <cell r="I184" t="str">
            <v>Lam</v>
          </cell>
          <cell r="J184">
            <v>75</v>
          </cell>
          <cell r="K184" t="str">
            <v>Kolluru</v>
          </cell>
          <cell r="L184">
            <v>34</v>
          </cell>
          <cell r="M184" t="str">
            <v>Vejandla</v>
          </cell>
          <cell r="N184">
            <v>56</v>
          </cell>
          <cell r="O184" t="str">
            <v>Vejandla</v>
          </cell>
          <cell r="P184">
            <v>56</v>
          </cell>
          <cell r="Q184" t="str">
            <v>Repalle</v>
          </cell>
          <cell r="R184">
            <v>8</v>
          </cell>
          <cell r="S184" t="str">
            <v>I.B patnam</v>
          </cell>
          <cell r="T184">
            <v>85</v>
          </cell>
          <cell r="Y184" t="str">
            <v>Repalle</v>
          </cell>
          <cell r="Z184">
            <v>8</v>
          </cell>
          <cell r="AA184">
            <v>0.2</v>
          </cell>
        </row>
        <row r="185">
          <cell r="A185">
            <v>181</v>
          </cell>
          <cell r="B185" t="str">
            <v>Pudiwada</v>
          </cell>
          <cell r="C185" t="str">
            <v>Uttarapalem H/O Pudiwada</v>
          </cell>
          <cell r="D185" t="str">
            <v>Nagaram</v>
          </cell>
          <cell r="E185" t="str">
            <v>Local</v>
          </cell>
          <cell r="F185">
            <v>2</v>
          </cell>
          <cell r="G185" t="str">
            <v>Zoolapalem</v>
          </cell>
          <cell r="H185">
            <v>33</v>
          </cell>
          <cell r="I185" t="str">
            <v>Lam</v>
          </cell>
          <cell r="J185">
            <v>66</v>
          </cell>
          <cell r="K185" t="str">
            <v>Kolluru</v>
          </cell>
          <cell r="L185">
            <v>34</v>
          </cell>
          <cell r="M185" t="str">
            <v>Vejandla</v>
          </cell>
          <cell r="N185">
            <v>44</v>
          </cell>
          <cell r="O185" t="str">
            <v>Vejandla</v>
          </cell>
          <cell r="P185">
            <v>44</v>
          </cell>
          <cell r="Q185" t="str">
            <v>Repalle</v>
          </cell>
          <cell r="R185">
            <v>18</v>
          </cell>
          <cell r="S185" t="str">
            <v>I.B patnam</v>
          </cell>
          <cell r="T185">
            <v>85</v>
          </cell>
          <cell r="Y185" t="str">
            <v>Repalle</v>
          </cell>
          <cell r="Z185">
            <v>18</v>
          </cell>
          <cell r="AA185">
            <v>0</v>
          </cell>
        </row>
        <row r="186">
          <cell r="A186">
            <v>182</v>
          </cell>
          <cell r="B186" t="str">
            <v>Kolaganivaripalem</v>
          </cell>
          <cell r="C186" t="str">
            <v>Vaddanamvaripalem</v>
          </cell>
          <cell r="D186" t="str">
            <v>Nagaram</v>
          </cell>
          <cell r="E186" t="str">
            <v>Local</v>
          </cell>
          <cell r="F186">
            <v>3</v>
          </cell>
          <cell r="G186" t="str">
            <v>Zoolapalem</v>
          </cell>
          <cell r="H186">
            <v>22</v>
          </cell>
          <cell r="I186" t="str">
            <v>Lam</v>
          </cell>
          <cell r="J186">
            <v>70</v>
          </cell>
          <cell r="K186" t="str">
            <v>Kolluru</v>
          </cell>
          <cell r="L186">
            <v>26</v>
          </cell>
          <cell r="M186" t="str">
            <v>Vejandla</v>
          </cell>
          <cell r="N186">
            <v>51</v>
          </cell>
          <cell r="O186" t="str">
            <v>Vejandla</v>
          </cell>
          <cell r="P186">
            <v>51</v>
          </cell>
          <cell r="Q186" t="str">
            <v>Repalle</v>
          </cell>
          <cell r="R186">
            <v>13</v>
          </cell>
          <cell r="S186" t="str">
            <v>I.B patnam</v>
          </cell>
          <cell r="T186">
            <v>85</v>
          </cell>
          <cell r="Y186" t="str">
            <v>Repalle</v>
          </cell>
          <cell r="Z186">
            <v>13</v>
          </cell>
          <cell r="AA186">
            <v>0.2</v>
          </cell>
        </row>
        <row r="187">
          <cell r="A187">
            <v>183</v>
          </cell>
          <cell r="B187" t="str">
            <v>Karakankivaripalem</v>
          </cell>
          <cell r="C187" t="str">
            <v>Vakavaripalem</v>
          </cell>
          <cell r="D187" t="str">
            <v>Nagaram</v>
          </cell>
          <cell r="E187" t="str">
            <v>Local</v>
          </cell>
          <cell r="F187">
            <v>2</v>
          </cell>
          <cell r="G187" t="str">
            <v>Zoolapalem</v>
          </cell>
          <cell r="H187">
            <v>24</v>
          </cell>
          <cell r="I187" t="str">
            <v>Lam</v>
          </cell>
          <cell r="J187">
            <v>72</v>
          </cell>
          <cell r="K187" t="str">
            <v>Kolluru</v>
          </cell>
          <cell r="L187">
            <v>28</v>
          </cell>
          <cell r="M187" t="str">
            <v>Vejandla</v>
          </cell>
          <cell r="N187">
            <v>53</v>
          </cell>
          <cell r="O187" t="str">
            <v>Vejandla</v>
          </cell>
          <cell r="P187">
            <v>53</v>
          </cell>
          <cell r="Q187" t="str">
            <v>Repalle</v>
          </cell>
          <cell r="R187">
            <v>13</v>
          </cell>
          <cell r="S187" t="str">
            <v>I.B patnam</v>
          </cell>
          <cell r="T187">
            <v>85</v>
          </cell>
          <cell r="Y187" t="str">
            <v>Repalle</v>
          </cell>
          <cell r="Z187">
            <v>13</v>
          </cell>
          <cell r="AA187">
            <v>0.2</v>
          </cell>
        </row>
        <row r="188">
          <cell r="A188">
            <v>184</v>
          </cell>
          <cell r="B188" t="str">
            <v>Addankivaripalem</v>
          </cell>
          <cell r="C188" t="str">
            <v>Veerankivaripalem</v>
          </cell>
          <cell r="D188" t="str">
            <v>Nagaram</v>
          </cell>
          <cell r="E188" t="str">
            <v>Local</v>
          </cell>
          <cell r="F188">
            <v>2</v>
          </cell>
          <cell r="G188" t="str">
            <v>Zoolapalem</v>
          </cell>
          <cell r="H188">
            <v>25</v>
          </cell>
          <cell r="I188" t="str">
            <v>Lam</v>
          </cell>
          <cell r="J188">
            <v>72</v>
          </cell>
          <cell r="K188" t="str">
            <v>Kolluru</v>
          </cell>
          <cell r="L188">
            <v>29</v>
          </cell>
          <cell r="M188" t="str">
            <v>Vejandla</v>
          </cell>
          <cell r="N188">
            <v>56</v>
          </cell>
          <cell r="O188" t="str">
            <v>Vejandla</v>
          </cell>
          <cell r="P188">
            <v>56</v>
          </cell>
          <cell r="Q188" t="str">
            <v>Repalle</v>
          </cell>
          <cell r="R188">
            <v>19</v>
          </cell>
          <cell r="S188" t="str">
            <v>I.B patnam</v>
          </cell>
          <cell r="T188">
            <v>85</v>
          </cell>
          <cell r="Y188" t="str">
            <v>Repalle</v>
          </cell>
          <cell r="Z188">
            <v>19</v>
          </cell>
          <cell r="AA188">
            <v>0</v>
          </cell>
        </row>
        <row r="189">
          <cell r="A189">
            <v>185</v>
          </cell>
          <cell r="B189" t="str">
            <v>Eletipalem</v>
          </cell>
          <cell r="C189" t="str">
            <v>Velamavaripalem</v>
          </cell>
          <cell r="D189" t="str">
            <v>Nagaram</v>
          </cell>
          <cell r="E189" t="str">
            <v>Local</v>
          </cell>
          <cell r="F189">
            <v>2</v>
          </cell>
          <cell r="G189" t="str">
            <v>Zoolapalem</v>
          </cell>
          <cell r="H189">
            <v>30</v>
          </cell>
          <cell r="I189" t="str">
            <v>Lam</v>
          </cell>
          <cell r="J189">
            <v>72</v>
          </cell>
          <cell r="K189" t="str">
            <v>Kolluru</v>
          </cell>
          <cell r="L189">
            <v>35</v>
          </cell>
          <cell r="M189" t="str">
            <v>Vejandla</v>
          </cell>
          <cell r="N189">
            <v>55</v>
          </cell>
          <cell r="O189" t="str">
            <v>Vejandla</v>
          </cell>
          <cell r="P189">
            <v>55</v>
          </cell>
          <cell r="Q189" t="str">
            <v>Repalle</v>
          </cell>
          <cell r="R189">
            <v>11</v>
          </cell>
          <cell r="S189" t="str">
            <v>I.B patnam</v>
          </cell>
          <cell r="T189">
            <v>85</v>
          </cell>
          <cell r="Y189" t="str">
            <v>Repalle</v>
          </cell>
          <cell r="Z189">
            <v>11</v>
          </cell>
          <cell r="AA189">
            <v>0.2</v>
          </cell>
        </row>
        <row r="190">
          <cell r="A190">
            <v>186</v>
          </cell>
          <cell r="B190" t="str">
            <v>Venigallavaripalem</v>
          </cell>
          <cell r="C190" t="str">
            <v>Venigallavaripalem</v>
          </cell>
          <cell r="D190" t="str">
            <v>Nagaram</v>
          </cell>
          <cell r="E190" t="str">
            <v>Local</v>
          </cell>
          <cell r="F190">
            <v>2</v>
          </cell>
          <cell r="G190" t="str">
            <v>Zoolapalem</v>
          </cell>
          <cell r="H190">
            <v>25</v>
          </cell>
          <cell r="I190" t="str">
            <v>Lam</v>
          </cell>
          <cell r="J190">
            <v>71</v>
          </cell>
          <cell r="K190" t="str">
            <v>Kolluru</v>
          </cell>
          <cell r="L190">
            <v>27</v>
          </cell>
          <cell r="M190" t="str">
            <v>Vejandla</v>
          </cell>
          <cell r="N190">
            <v>54</v>
          </cell>
          <cell r="O190" t="str">
            <v>Vejandla</v>
          </cell>
          <cell r="P190">
            <v>54</v>
          </cell>
          <cell r="Q190" t="str">
            <v>Repalle</v>
          </cell>
          <cell r="R190">
            <v>12</v>
          </cell>
          <cell r="S190" t="str">
            <v>I.B patnam</v>
          </cell>
          <cell r="T190">
            <v>85</v>
          </cell>
          <cell r="Y190" t="str">
            <v>Repalle</v>
          </cell>
          <cell r="Z190">
            <v>12</v>
          </cell>
          <cell r="AA190">
            <v>0.2</v>
          </cell>
        </row>
        <row r="191">
          <cell r="A191">
            <v>187</v>
          </cell>
          <cell r="B191" t="str">
            <v>Dhulipudi</v>
          </cell>
          <cell r="C191" t="str">
            <v>Vettivanimalapalli</v>
          </cell>
          <cell r="D191" t="str">
            <v>Nagaram</v>
          </cell>
          <cell r="E191" t="str">
            <v>Local</v>
          </cell>
          <cell r="F191">
            <v>2</v>
          </cell>
          <cell r="G191" t="str">
            <v>Zoolapalem</v>
          </cell>
          <cell r="H191">
            <v>25</v>
          </cell>
          <cell r="I191" t="str">
            <v>Lam</v>
          </cell>
          <cell r="J191">
            <v>71</v>
          </cell>
          <cell r="K191" t="str">
            <v>Kolluru</v>
          </cell>
          <cell r="L191">
            <v>27</v>
          </cell>
          <cell r="M191" t="str">
            <v>Vejandla</v>
          </cell>
          <cell r="N191">
            <v>55</v>
          </cell>
          <cell r="O191" t="str">
            <v>Vejandla</v>
          </cell>
          <cell r="P191">
            <v>55</v>
          </cell>
          <cell r="Q191" t="str">
            <v>Repalle</v>
          </cell>
          <cell r="R191">
            <v>15</v>
          </cell>
          <cell r="S191" t="str">
            <v>I.B patnam</v>
          </cell>
          <cell r="T191">
            <v>85</v>
          </cell>
          <cell r="Y191" t="str">
            <v>Repalle</v>
          </cell>
          <cell r="Z191">
            <v>15</v>
          </cell>
          <cell r="AA191">
            <v>0.2</v>
          </cell>
        </row>
        <row r="192">
          <cell r="A192">
            <v>188</v>
          </cell>
          <cell r="B192" t="str">
            <v>Pedamatlapudi</v>
          </cell>
          <cell r="C192" t="str">
            <v>Vudavaripalem</v>
          </cell>
          <cell r="D192" t="str">
            <v>Nagaram</v>
          </cell>
          <cell r="E192" t="str">
            <v>Local</v>
          </cell>
          <cell r="F192">
            <v>1</v>
          </cell>
          <cell r="G192" t="str">
            <v>Zoolapalem</v>
          </cell>
          <cell r="H192">
            <v>32</v>
          </cell>
          <cell r="I192" t="str">
            <v>Lam</v>
          </cell>
          <cell r="J192">
            <v>67</v>
          </cell>
          <cell r="K192" t="str">
            <v>Kolluru</v>
          </cell>
          <cell r="L192">
            <v>38</v>
          </cell>
          <cell r="M192" t="str">
            <v>Vejandla</v>
          </cell>
          <cell r="N192">
            <v>44</v>
          </cell>
          <cell r="O192" t="str">
            <v>Vejandla</v>
          </cell>
          <cell r="P192">
            <v>44</v>
          </cell>
          <cell r="Q192" t="str">
            <v>Repalle</v>
          </cell>
          <cell r="R192">
            <v>25</v>
          </cell>
          <cell r="S192" t="str">
            <v>I.B patnam</v>
          </cell>
          <cell r="T192">
            <v>85</v>
          </cell>
          <cell r="Y192" t="str">
            <v>Repalle</v>
          </cell>
          <cell r="Z192">
            <v>25</v>
          </cell>
          <cell r="AA192">
            <v>0</v>
          </cell>
        </row>
        <row r="193">
          <cell r="A193">
            <v>189</v>
          </cell>
          <cell r="B193" t="str">
            <v>Addankivaripalem</v>
          </cell>
          <cell r="C193" t="str">
            <v>Vuyyuripalem H/O Addankivaripalem</v>
          </cell>
          <cell r="D193" t="str">
            <v>Nagaram</v>
          </cell>
          <cell r="E193" t="str">
            <v>Local</v>
          </cell>
          <cell r="F193">
            <v>2</v>
          </cell>
          <cell r="G193" t="str">
            <v>Zoolapalem</v>
          </cell>
          <cell r="H193">
            <v>23</v>
          </cell>
          <cell r="I193" t="str">
            <v>Lam</v>
          </cell>
          <cell r="J193">
            <v>70</v>
          </cell>
          <cell r="K193" t="str">
            <v>Kolluru</v>
          </cell>
          <cell r="L193">
            <v>27</v>
          </cell>
          <cell r="M193" t="str">
            <v>Vejandla</v>
          </cell>
          <cell r="N193">
            <v>54</v>
          </cell>
          <cell r="O193" t="str">
            <v>Vejandla</v>
          </cell>
          <cell r="P193">
            <v>54</v>
          </cell>
          <cell r="Q193" t="str">
            <v>Repalle</v>
          </cell>
          <cell r="R193">
            <v>17</v>
          </cell>
          <cell r="S193" t="str">
            <v>I.B patnam</v>
          </cell>
          <cell r="T193">
            <v>85</v>
          </cell>
          <cell r="Y193" t="str">
            <v>Repalle</v>
          </cell>
          <cell r="Z193">
            <v>17</v>
          </cell>
          <cell r="AA193">
            <v>0.2</v>
          </cell>
        </row>
        <row r="194">
          <cell r="A194">
            <v>190</v>
          </cell>
          <cell r="B194" t="str">
            <v>Nagaram</v>
          </cell>
          <cell r="C194" t="str">
            <v>Yadavulapalem</v>
          </cell>
          <cell r="D194" t="str">
            <v>Nagaram</v>
          </cell>
          <cell r="E194" t="str">
            <v>Local</v>
          </cell>
          <cell r="F194">
            <v>2</v>
          </cell>
          <cell r="G194" t="str">
            <v>Zoolapalem</v>
          </cell>
          <cell r="H194">
            <v>30</v>
          </cell>
          <cell r="I194" t="str">
            <v>Lam</v>
          </cell>
          <cell r="J194">
            <v>68</v>
          </cell>
          <cell r="K194" t="str">
            <v>Kolluru</v>
          </cell>
          <cell r="L194">
            <v>34</v>
          </cell>
          <cell r="M194" t="str">
            <v>Vejandla</v>
          </cell>
          <cell r="N194">
            <v>48</v>
          </cell>
          <cell r="O194" t="str">
            <v>Vejandla</v>
          </cell>
          <cell r="P194">
            <v>48</v>
          </cell>
          <cell r="Q194" t="str">
            <v>Repalle</v>
          </cell>
          <cell r="R194">
            <v>15</v>
          </cell>
          <cell r="S194" t="str">
            <v>I.B patnam</v>
          </cell>
          <cell r="T194">
            <v>85</v>
          </cell>
          <cell r="Y194" t="str">
            <v>Repalle</v>
          </cell>
          <cell r="Z194">
            <v>15</v>
          </cell>
          <cell r="AA194">
            <v>0.2</v>
          </cell>
        </row>
        <row r="195">
          <cell r="A195">
            <v>191</v>
          </cell>
          <cell r="B195" t="str">
            <v>Siripudi</v>
          </cell>
          <cell r="C195" t="str">
            <v>Yanadipalem</v>
          </cell>
          <cell r="D195" t="str">
            <v>Nagaram</v>
          </cell>
          <cell r="E195" t="str">
            <v>Local</v>
          </cell>
          <cell r="F195">
            <v>1</v>
          </cell>
          <cell r="G195" t="str">
            <v>Zoolapalem</v>
          </cell>
          <cell r="H195">
            <v>30</v>
          </cell>
          <cell r="I195" t="str">
            <v>Lam</v>
          </cell>
          <cell r="J195">
            <v>59</v>
          </cell>
          <cell r="K195" t="str">
            <v>Kolluru</v>
          </cell>
          <cell r="L195">
            <v>36</v>
          </cell>
          <cell r="M195" t="str">
            <v>Vejandla</v>
          </cell>
          <cell r="N195">
            <v>43</v>
          </cell>
          <cell r="O195" t="str">
            <v>Vejandla</v>
          </cell>
          <cell r="P195">
            <v>43</v>
          </cell>
          <cell r="Q195" t="str">
            <v>Repalle</v>
          </cell>
          <cell r="R195">
            <v>23</v>
          </cell>
          <cell r="S195" t="str">
            <v>I.B patnam</v>
          </cell>
          <cell r="T195">
            <v>85</v>
          </cell>
          <cell r="Y195" t="str">
            <v>Repalle</v>
          </cell>
          <cell r="Z195">
            <v>23</v>
          </cell>
          <cell r="AA195">
            <v>0</v>
          </cell>
        </row>
        <row r="196">
          <cell r="A196">
            <v>192</v>
          </cell>
          <cell r="B196" t="str">
            <v>Bavajiaplem</v>
          </cell>
          <cell r="C196" t="str">
            <v>Adavala of Bavajipalem</v>
          </cell>
          <cell r="D196" t="str">
            <v>Nizampatnam</v>
          </cell>
          <cell r="E196" t="str">
            <v>Local</v>
          </cell>
          <cell r="F196">
            <v>2</v>
          </cell>
          <cell r="G196" t="str">
            <v>Zoolapalem</v>
          </cell>
          <cell r="H196">
            <v>42</v>
          </cell>
          <cell r="I196" t="str">
            <v>Lam</v>
          </cell>
          <cell r="J196">
            <v>67</v>
          </cell>
          <cell r="K196" t="str">
            <v>Kolluru</v>
          </cell>
          <cell r="L196">
            <v>54</v>
          </cell>
          <cell r="M196" t="str">
            <v>Vejandla</v>
          </cell>
          <cell r="N196">
            <v>49</v>
          </cell>
          <cell r="O196" t="str">
            <v>Vejandla</v>
          </cell>
          <cell r="P196">
            <v>49</v>
          </cell>
          <cell r="Q196" t="str">
            <v>Repalle</v>
          </cell>
          <cell r="R196">
            <v>26</v>
          </cell>
          <cell r="S196" t="str">
            <v>I.B patnam</v>
          </cell>
          <cell r="T196">
            <v>85</v>
          </cell>
          <cell r="Y196" t="str">
            <v>Repalle</v>
          </cell>
          <cell r="Z196">
            <v>26</v>
          </cell>
          <cell r="AA196">
            <v>0</v>
          </cell>
        </row>
        <row r="197">
          <cell r="A197">
            <v>193</v>
          </cell>
          <cell r="B197" t="str">
            <v>Dindi</v>
          </cell>
          <cell r="C197" t="str">
            <v>Adavala of Dindi</v>
          </cell>
          <cell r="D197" t="str">
            <v>Nizampatnam</v>
          </cell>
          <cell r="E197" t="str">
            <v>Local</v>
          </cell>
          <cell r="F197">
            <v>2</v>
          </cell>
          <cell r="G197" t="str">
            <v>Zoolapalem</v>
          </cell>
          <cell r="H197">
            <v>50</v>
          </cell>
          <cell r="I197" t="str">
            <v>Lam</v>
          </cell>
          <cell r="J197">
            <v>99</v>
          </cell>
          <cell r="K197" t="str">
            <v>Kolluru</v>
          </cell>
          <cell r="L197">
            <v>62</v>
          </cell>
          <cell r="M197" t="str">
            <v>Vejandla</v>
          </cell>
          <cell r="N197">
            <v>81</v>
          </cell>
          <cell r="O197" t="str">
            <v>Vejandla</v>
          </cell>
          <cell r="P197">
            <v>81</v>
          </cell>
          <cell r="Q197" t="str">
            <v>Repalle</v>
          </cell>
          <cell r="R197">
            <v>34</v>
          </cell>
          <cell r="S197" t="str">
            <v>I.B patnam</v>
          </cell>
          <cell r="T197">
            <v>85</v>
          </cell>
          <cell r="Y197" t="str">
            <v>Repalle</v>
          </cell>
          <cell r="Z197">
            <v>34</v>
          </cell>
          <cell r="AA197">
            <v>0</v>
          </cell>
        </row>
        <row r="198">
          <cell r="A198">
            <v>194</v>
          </cell>
          <cell r="B198" t="str">
            <v>Adavuladeevi</v>
          </cell>
          <cell r="C198" t="str">
            <v>Adavuladeevi</v>
          </cell>
          <cell r="D198" t="str">
            <v>Nizampatnam</v>
          </cell>
          <cell r="E198" t="str">
            <v>Local</v>
          </cell>
          <cell r="F198">
            <v>2</v>
          </cell>
          <cell r="G198" t="str">
            <v>Zoolapalem</v>
          </cell>
          <cell r="H198">
            <v>36</v>
          </cell>
          <cell r="I198" t="str">
            <v>Lam</v>
          </cell>
          <cell r="J198">
            <v>89</v>
          </cell>
          <cell r="K198" t="str">
            <v>Kolluru</v>
          </cell>
          <cell r="L198">
            <v>48</v>
          </cell>
          <cell r="M198" t="str">
            <v>Vejandla</v>
          </cell>
          <cell r="N198">
            <v>71</v>
          </cell>
          <cell r="O198" t="str">
            <v>Vejandla</v>
          </cell>
          <cell r="P198">
            <v>71</v>
          </cell>
          <cell r="Q198" t="str">
            <v>Repalle</v>
          </cell>
          <cell r="R198">
            <v>20</v>
          </cell>
          <cell r="S198" t="str">
            <v>I.B patnam</v>
          </cell>
          <cell r="T198">
            <v>85</v>
          </cell>
          <cell r="Y198" t="str">
            <v>Repalle</v>
          </cell>
          <cell r="Z198">
            <v>20</v>
          </cell>
          <cell r="AA198">
            <v>0</v>
          </cell>
        </row>
        <row r="199">
          <cell r="A199">
            <v>195</v>
          </cell>
          <cell r="B199" t="str">
            <v>Amudalapalli</v>
          </cell>
          <cell r="C199" t="str">
            <v>Amudalapalli</v>
          </cell>
          <cell r="D199" t="str">
            <v>Nizampatnam</v>
          </cell>
          <cell r="E199" t="str">
            <v>Local</v>
          </cell>
          <cell r="F199">
            <v>2</v>
          </cell>
          <cell r="G199" t="str">
            <v>Zoolapalem</v>
          </cell>
          <cell r="H199">
            <v>38</v>
          </cell>
          <cell r="I199" t="str">
            <v>Lam</v>
          </cell>
          <cell r="J199">
            <v>69</v>
          </cell>
          <cell r="K199" t="str">
            <v>Kolluru</v>
          </cell>
          <cell r="L199">
            <v>50</v>
          </cell>
          <cell r="M199" t="str">
            <v>Vejandla</v>
          </cell>
          <cell r="N199">
            <v>51</v>
          </cell>
          <cell r="O199" t="str">
            <v>Vejandla</v>
          </cell>
          <cell r="P199">
            <v>51</v>
          </cell>
          <cell r="Q199" t="str">
            <v>Repalle</v>
          </cell>
          <cell r="R199">
            <v>22</v>
          </cell>
          <cell r="S199" t="str">
            <v>I.B patnam</v>
          </cell>
          <cell r="T199">
            <v>85</v>
          </cell>
          <cell r="Y199" t="str">
            <v>Repalle</v>
          </cell>
          <cell r="Z199">
            <v>22</v>
          </cell>
          <cell r="AA199">
            <v>0</v>
          </cell>
        </row>
        <row r="200">
          <cell r="A200">
            <v>196</v>
          </cell>
          <cell r="B200" t="str">
            <v>Borravaripalem</v>
          </cell>
          <cell r="C200" t="str">
            <v>Atchutapuram</v>
          </cell>
          <cell r="D200" t="str">
            <v>Nizampatnam</v>
          </cell>
          <cell r="E200" t="str">
            <v>Local</v>
          </cell>
          <cell r="F200">
            <v>2</v>
          </cell>
          <cell r="G200" t="str">
            <v>Zoolapalem</v>
          </cell>
          <cell r="H200">
            <v>33</v>
          </cell>
          <cell r="I200" t="str">
            <v>Lam</v>
          </cell>
          <cell r="J200">
            <v>82</v>
          </cell>
          <cell r="K200" t="str">
            <v>Kolluru</v>
          </cell>
          <cell r="L200">
            <v>45</v>
          </cell>
          <cell r="M200" t="str">
            <v>Vejandla</v>
          </cell>
          <cell r="N200">
            <v>64</v>
          </cell>
          <cell r="O200" t="str">
            <v>Vejandla</v>
          </cell>
          <cell r="P200">
            <v>64</v>
          </cell>
          <cell r="Q200" t="str">
            <v>Repalle</v>
          </cell>
          <cell r="R200">
            <v>17</v>
          </cell>
          <cell r="S200" t="str">
            <v>I.B patnam</v>
          </cell>
          <cell r="T200">
            <v>85</v>
          </cell>
          <cell r="Y200" t="str">
            <v>Repalle</v>
          </cell>
          <cell r="Z200">
            <v>17</v>
          </cell>
          <cell r="AA200">
            <v>0</v>
          </cell>
        </row>
        <row r="201">
          <cell r="A201">
            <v>197</v>
          </cell>
          <cell r="B201" t="str">
            <v>Pregnam</v>
          </cell>
          <cell r="C201" t="str">
            <v>Atlavaripalem</v>
          </cell>
          <cell r="D201" t="str">
            <v>Nizampatnam</v>
          </cell>
          <cell r="E201" t="str">
            <v>Local</v>
          </cell>
          <cell r="F201">
            <v>2</v>
          </cell>
          <cell r="G201" t="str">
            <v>Zoolapalem</v>
          </cell>
          <cell r="H201">
            <v>37</v>
          </cell>
          <cell r="I201" t="str">
            <v>Lam</v>
          </cell>
          <cell r="J201">
            <v>85</v>
          </cell>
          <cell r="K201" t="str">
            <v>Kolluru</v>
          </cell>
          <cell r="L201">
            <v>48</v>
          </cell>
          <cell r="M201" t="str">
            <v>Vejandla</v>
          </cell>
          <cell r="N201">
            <v>68</v>
          </cell>
          <cell r="O201" t="str">
            <v>Vejandla</v>
          </cell>
          <cell r="P201">
            <v>68</v>
          </cell>
          <cell r="Q201" t="str">
            <v>Repalle</v>
          </cell>
          <cell r="R201">
            <v>21</v>
          </cell>
          <cell r="S201" t="str">
            <v>I.B patnam</v>
          </cell>
          <cell r="T201">
            <v>85</v>
          </cell>
          <cell r="Y201" t="str">
            <v>Repalle</v>
          </cell>
          <cell r="Z201">
            <v>21</v>
          </cell>
          <cell r="AA201">
            <v>0</v>
          </cell>
        </row>
        <row r="202">
          <cell r="A202">
            <v>198</v>
          </cell>
          <cell r="B202" t="str">
            <v>Bavajiaplem</v>
          </cell>
          <cell r="C202" t="str">
            <v>Bavajipalem</v>
          </cell>
          <cell r="D202" t="str">
            <v>Nizampatnam</v>
          </cell>
          <cell r="E202" t="str">
            <v>Local</v>
          </cell>
          <cell r="F202">
            <v>2</v>
          </cell>
          <cell r="G202" t="str">
            <v>Zoolapalem</v>
          </cell>
          <cell r="H202">
            <v>41</v>
          </cell>
          <cell r="I202" t="str">
            <v>Lam</v>
          </cell>
          <cell r="J202">
            <v>66</v>
          </cell>
          <cell r="K202" t="str">
            <v>Kolluru</v>
          </cell>
          <cell r="L202">
            <v>53</v>
          </cell>
          <cell r="M202" t="str">
            <v>Vejandla</v>
          </cell>
          <cell r="N202">
            <v>48</v>
          </cell>
          <cell r="O202" t="str">
            <v>Vejandla</v>
          </cell>
          <cell r="P202">
            <v>48</v>
          </cell>
          <cell r="Q202" t="str">
            <v>Repalle</v>
          </cell>
          <cell r="R202">
            <v>25</v>
          </cell>
          <cell r="S202" t="str">
            <v>I.B patnam</v>
          </cell>
          <cell r="T202">
            <v>85</v>
          </cell>
          <cell r="Y202" t="str">
            <v>Repalle</v>
          </cell>
          <cell r="Z202">
            <v>25</v>
          </cell>
          <cell r="AA202">
            <v>0</v>
          </cell>
        </row>
        <row r="203">
          <cell r="A203">
            <v>199</v>
          </cell>
          <cell r="B203" t="str">
            <v>Kalliphalam</v>
          </cell>
          <cell r="C203" t="str">
            <v>Bolaganivaripalem</v>
          </cell>
          <cell r="D203" t="str">
            <v>Nizampatnam</v>
          </cell>
          <cell r="E203" t="str">
            <v>Local</v>
          </cell>
          <cell r="F203">
            <v>2</v>
          </cell>
          <cell r="G203" t="str">
            <v>Zoolapalem</v>
          </cell>
          <cell r="H203">
            <v>41</v>
          </cell>
          <cell r="I203" t="str">
            <v>Lam</v>
          </cell>
          <cell r="J203">
            <v>86</v>
          </cell>
          <cell r="K203" t="str">
            <v>Kolluru</v>
          </cell>
          <cell r="L203">
            <v>51</v>
          </cell>
          <cell r="M203" t="str">
            <v>Vejandla</v>
          </cell>
          <cell r="N203">
            <v>71</v>
          </cell>
          <cell r="O203" t="str">
            <v>Vejandla</v>
          </cell>
          <cell r="P203">
            <v>71</v>
          </cell>
          <cell r="Q203" t="str">
            <v>Repalle</v>
          </cell>
          <cell r="R203">
            <v>24</v>
          </cell>
          <cell r="S203" t="str">
            <v>I.B patnam</v>
          </cell>
          <cell r="T203">
            <v>85</v>
          </cell>
          <cell r="Y203" t="str">
            <v>Repalle</v>
          </cell>
          <cell r="Z203">
            <v>24</v>
          </cell>
          <cell r="AA203">
            <v>0</v>
          </cell>
        </row>
        <row r="204">
          <cell r="A204">
            <v>200</v>
          </cell>
          <cell r="B204" t="str">
            <v>Pregnam</v>
          </cell>
          <cell r="C204" t="str">
            <v>Chakkavaripalem</v>
          </cell>
          <cell r="D204" t="str">
            <v>Nizampatnam</v>
          </cell>
          <cell r="E204" t="str">
            <v>Local</v>
          </cell>
          <cell r="F204">
            <v>2</v>
          </cell>
          <cell r="G204" t="str">
            <v>Zoolapalem</v>
          </cell>
          <cell r="H204">
            <v>39</v>
          </cell>
          <cell r="I204" t="str">
            <v>Lam</v>
          </cell>
          <cell r="J204">
            <v>87</v>
          </cell>
          <cell r="K204" t="str">
            <v>Kolluru</v>
          </cell>
          <cell r="L204">
            <v>50</v>
          </cell>
          <cell r="M204" t="str">
            <v>Vejandla</v>
          </cell>
          <cell r="N204">
            <v>70</v>
          </cell>
          <cell r="O204" t="str">
            <v>Vejandla</v>
          </cell>
          <cell r="P204">
            <v>70</v>
          </cell>
          <cell r="Q204" t="str">
            <v>Repalle</v>
          </cell>
          <cell r="R204">
            <v>23</v>
          </cell>
          <cell r="S204" t="str">
            <v>I.B patnam</v>
          </cell>
          <cell r="T204">
            <v>85</v>
          </cell>
          <cell r="Y204" t="str">
            <v>Repalle</v>
          </cell>
          <cell r="Z204">
            <v>23</v>
          </cell>
          <cell r="AA204">
            <v>0</v>
          </cell>
        </row>
        <row r="205">
          <cell r="A205">
            <v>201</v>
          </cell>
          <cell r="B205" t="str">
            <v>Adavuladeevi</v>
          </cell>
          <cell r="C205" t="str">
            <v>Chandramoulinagar</v>
          </cell>
          <cell r="D205" t="str">
            <v>Nizampatnam</v>
          </cell>
          <cell r="E205" t="str">
            <v>Local</v>
          </cell>
          <cell r="F205">
            <v>2</v>
          </cell>
          <cell r="G205" t="str">
            <v>Zoolapalem</v>
          </cell>
          <cell r="H205">
            <v>40</v>
          </cell>
          <cell r="I205" t="str">
            <v>Lam</v>
          </cell>
          <cell r="J205">
            <v>93</v>
          </cell>
          <cell r="K205" t="str">
            <v>Kolluru</v>
          </cell>
          <cell r="L205">
            <v>52</v>
          </cell>
          <cell r="M205" t="str">
            <v>Vejandla</v>
          </cell>
          <cell r="N205">
            <v>75</v>
          </cell>
          <cell r="O205" t="str">
            <v>Vejandla</v>
          </cell>
          <cell r="P205">
            <v>75</v>
          </cell>
          <cell r="Q205" t="str">
            <v>Repalle</v>
          </cell>
          <cell r="R205">
            <v>24</v>
          </cell>
          <cell r="S205" t="str">
            <v>I.B patnam</v>
          </cell>
          <cell r="T205">
            <v>85</v>
          </cell>
          <cell r="Y205" t="str">
            <v>Repalle</v>
          </cell>
          <cell r="Z205">
            <v>24</v>
          </cell>
          <cell r="AA205">
            <v>0</v>
          </cell>
        </row>
        <row r="206">
          <cell r="A206">
            <v>202</v>
          </cell>
          <cell r="B206" t="str">
            <v>Pallapatla</v>
          </cell>
          <cell r="C206" t="str">
            <v>Chinkapalem</v>
          </cell>
          <cell r="D206" t="str">
            <v>Nizampatnam</v>
          </cell>
          <cell r="E206" t="str">
            <v>Local</v>
          </cell>
          <cell r="F206">
            <v>2</v>
          </cell>
          <cell r="G206" t="str">
            <v>Zoolapalem</v>
          </cell>
          <cell r="H206">
            <v>26</v>
          </cell>
          <cell r="I206" t="str">
            <v>Lam</v>
          </cell>
          <cell r="J206">
            <v>76</v>
          </cell>
          <cell r="K206" t="str">
            <v>Kolluru</v>
          </cell>
          <cell r="L206">
            <v>38</v>
          </cell>
          <cell r="M206" t="str">
            <v>Vejandla</v>
          </cell>
          <cell r="N206">
            <v>57</v>
          </cell>
          <cell r="O206" t="str">
            <v>Vejandla</v>
          </cell>
          <cell r="P206">
            <v>57</v>
          </cell>
          <cell r="Q206" t="str">
            <v>Repalle</v>
          </cell>
          <cell r="R206">
            <v>9</v>
          </cell>
          <cell r="S206" t="str">
            <v>I.B patnam</v>
          </cell>
          <cell r="T206">
            <v>85</v>
          </cell>
          <cell r="Y206" t="str">
            <v>Repalle</v>
          </cell>
          <cell r="Z206">
            <v>9</v>
          </cell>
          <cell r="AA206">
            <v>0.2</v>
          </cell>
        </row>
        <row r="207">
          <cell r="A207">
            <v>203</v>
          </cell>
          <cell r="B207" t="str">
            <v>Amudalapalli</v>
          </cell>
          <cell r="C207" t="str">
            <v>Chintarevu</v>
          </cell>
          <cell r="D207" t="str">
            <v>Nizampatnam</v>
          </cell>
          <cell r="E207" t="str">
            <v>Local</v>
          </cell>
          <cell r="F207">
            <v>2</v>
          </cell>
          <cell r="G207" t="str">
            <v>Zoolapalem</v>
          </cell>
          <cell r="H207">
            <v>39</v>
          </cell>
          <cell r="I207" t="str">
            <v>Lam</v>
          </cell>
          <cell r="J207">
            <v>70</v>
          </cell>
          <cell r="K207" t="str">
            <v>Kolluru</v>
          </cell>
          <cell r="L207">
            <v>51</v>
          </cell>
          <cell r="M207" t="str">
            <v>Vejandla</v>
          </cell>
          <cell r="N207">
            <v>52</v>
          </cell>
          <cell r="O207" t="str">
            <v>Vejandla</v>
          </cell>
          <cell r="P207">
            <v>52</v>
          </cell>
          <cell r="Q207" t="str">
            <v>Repalle</v>
          </cell>
          <cell r="R207">
            <v>23</v>
          </cell>
          <cell r="S207" t="str">
            <v>I.B patnam</v>
          </cell>
          <cell r="T207">
            <v>85</v>
          </cell>
          <cell r="Y207" t="str">
            <v>Repalle</v>
          </cell>
          <cell r="Z207">
            <v>23</v>
          </cell>
          <cell r="AA207">
            <v>0</v>
          </cell>
        </row>
        <row r="208">
          <cell r="A208">
            <v>204</v>
          </cell>
          <cell r="B208" t="str">
            <v>Nizampatnam</v>
          </cell>
          <cell r="C208" t="str">
            <v>Darveshpalem</v>
          </cell>
          <cell r="D208" t="str">
            <v>Nizampatnam</v>
          </cell>
          <cell r="E208" t="str">
            <v>Local</v>
          </cell>
          <cell r="F208">
            <v>2</v>
          </cell>
          <cell r="G208" t="str">
            <v>Zoolapalem</v>
          </cell>
          <cell r="H208">
            <v>43</v>
          </cell>
          <cell r="I208" t="str">
            <v>Lam</v>
          </cell>
          <cell r="J208">
            <v>68</v>
          </cell>
          <cell r="K208" t="str">
            <v>Kolluru</v>
          </cell>
          <cell r="L208">
            <v>55</v>
          </cell>
          <cell r="M208" t="str">
            <v>Vejandla</v>
          </cell>
          <cell r="N208">
            <v>50</v>
          </cell>
          <cell r="O208" t="str">
            <v>Vejandla</v>
          </cell>
          <cell r="P208">
            <v>50</v>
          </cell>
          <cell r="Q208" t="str">
            <v>Repalle</v>
          </cell>
          <cell r="R208">
            <v>27</v>
          </cell>
          <cell r="S208" t="str">
            <v>I.B patnam</v>
          </cell>
          <cell r="T208">
            <v>85</v>
          </cell>
          <cell r="Y208" t="str">
            <v>Repalle</v>
          </cell>
          <cell r="Z208">
            <v>27</v>
          </cell>
          <cell r="AA208">
            <v>0</v>
          </cell>
        </row>
        <row r="209">
          <cell r="A209">
            <v>205</v>
          </cell>
          <cell r="B209" t="str">
            <v>Gurunadhanagar</v>
          </cell>
          <cell r="C209" t="str">
            <v>Donepudi(Anjanapuram)</v>
          </cell>
          <cell r="D209" t="str">
            <v>Nizampatnam</v>
          </cell>
          <cell r="E209" t="str">
            <v>Local</v>
          </cell>
          <cell r="F209">
            <v>2</v>
          </cell>
          <cell r="G209" t="str">
            <v>Zoolapalem</v>
          </cell>
          <cell r="H209">
            <v>32</v>
          </cell>
          <cell r="I209" t="str">
            <v>Lam</v>
          </cell>
          <cell r="J209">
            <v>86</v>
          </cell>
          <cell r="K209" t="str">
            <v>Kolluru</v>
          </cell>
          <cell r="L209">
            <v>44</v>
          </cell>
          <cell r="M209" t="str">
            <v>Vejandla</v>
          </cell>
          <cell r="N209">
            <v>68</v>
          </cell>
          <cell r="O209" t="str">
            <v>Vejandla</v>
          </cell>
          <cell r="P209">
            <v>68</v>
          </cell>
          <cell r="Q209" t="str">
            <v>Repalle</v>
          </cell>
          <cell r="R209">
            <v>16</v>
          </cell>
          <cell r="S209" t="str">
            <v>I.B patnam</v>
          </cell>
          <cell r="T209">
            <v>85</v>
          </cell>
          <cell r="Y209" t="str">
            <v>Repalle</v>
          </cell>
          <cell r="Z209">
            <v>16</v>
          </cell>
          <cell r="AA209">
            <v>0.2</v>
          </cell>
        </row>
        <row r="210">
          <cell r="A210">
            <v>206</v>
          </cell>
          <cell r="B210" t="str">
            <v>Kuchinapudi</v>
          </cell>
          <cell r="C210" t="str">
            <v>Dunnavaripalem</v>
          </cell>
          <cell r="D210" t="str">
            <v>Nizampatnam</v>
          </cell>
          <cell r="E210" t="str">
            <v>Local</v>
          </cell>
          <cell r="F210">
            <v>2</v>
          </cell>
          <cell r="G210" t="str">
            <v>Zoolapalem</v>
          </cell>
          <cell r="H210">
            <v>31</v>
          </cell>
          <cell r="I210" t="str">
            <v>Lam</v>
          </cell>
          <cell r="J210">
            <v>80</v>
          </cell>
          <cell r="K210" t="str">
            <v>Kolluru</v>
          </cell>
          <cell r="L210">
            <v>43</v>
          </cell>
          <cell r="M210" t="str">
            <v>Vejandla</v>
          </cell>
          <cell r="N210">
            <v>62</v>
          </cell>
          <cell r="O210" t="str">
            <v>Vejandla</v>
          </cell>
          <cell r="P210">
            <v>62</v>
          </cell>
          <cell r="Q210" t="str">
            <v>Repalle</v>
          </cell>
          <cell r="R210">
            <v>15</v>
          </cell>
          <cell r="S210" t="str">
            <v>I.B patnam</v>
          </cell>
          <cell r="T210">
            <v>85</v>
          </cell>
          <cell r="Y210" t="str">
            <v>Repalle</v>
          </cell>
          <cell r="Z210">
            <v>15</v>
          </cell>
          <cell r="AA210">
            <v>0.2</v>
          </cell>
        </row>
        <row r="211">
          <cell r="A211">
            <v>207</v>
          </cell>
          <cell r="B211" t="str">
            <v>Nizampatnam</v>
          </cell>
          <cell r="C211" t="str">
            <v>Ex-Military colony</v>
          </cell>
          <cell r="D211" t="str">
            <v>Nizampatnam</v>
          </cell>
          <cell r="E211" t="str">
            <v>Local</v>
          </cell>
          <cell r="F211">
            <v>2</v>
          </cell>
          <cell r="G211" t="str">
            <v>Zoolapalem</v>
          </cell>
          <cell r="H211">
            <v>42</v>
          </cell>
          <cell r="I211" t="str">
            <v>Lam</v>
          </cell>
          <cell r="J211">
            <v>67</v>
          </cell>
          <cell r="K211" t="str">
            <v>Kolluru</v>
          </cell>
          <cell r="L211">
            <v>54</v>
          </cell>
          <cell r="M211" t="str">
            <v>Vejandla</v>
          </cell>
          <cell r="N211">
            <v>49</v>
          </cell>
          <cell r="O211" t="str">
            <v>Vejandla</v>
          </cell>
          <cell r="P211">
            <v>49</v>
          </cell>
          <cell r="Q211" t="str">
            <v>Repalle</v>
          </cell>
          <cell r="R211">
            <v>26</v>
          </cell>
          <cell r="S211" t="str">
            <v>I.B patnam</v>
          </cell>
          <cell r="T211">
            <v>85</v>
          </cell>
          <cell r="Y211" t="str">
            <v>Repalle</v>
          </cell>
          <cell r="Z211">
            <v>26</v>
          </cell>
          <cell r="AA211">
            <v>0</v>
          </cell>
        </row>
        <row r="212">
          <cell r="A212">
            <v>208</v>
          </cell>
          <cell r="B212" t="str">
            <v>Garuvupalem</v>
          </cell>
          <cell r="C212" t="str">
            <v>Garuvupalem</v>
          </cell>
          <cell r="D212" t="str">
            <v>Nizampatnam</v>
          </cell>
          <cell r="E212" t="str">
            <v>Local</v>
          </cell>
          <cell r="F212">
            <v>2</v>
          </cell>
          <cell r="G212" t="str">
            <v>Zoolapalem</v>
          </cell>
          <cell r="H212">
            <v>33</v>
          </cell>
          <cell r="I212" t="str">
            <v>Lam</v>
          </cell>
          <cell r="J212">
            <v>81</v>
          </cell>
          <cell r="K212" t="str">
            <v>Kolluru</v>
          </cell>
          <cell r="L212">
            <v>45</v>
          </cell>
          <cell r="M212" t="str">
            <v>Vejandla</v>
          </cell>
          <cell r="N212">
            <v>63</v>
          </cell>
          <cell r="O212" t="str">
            <v>Vejandla</v>
          </cell>
          <cell r="P212">
            <v>63</v>
          </cell>
          <cell r="Q212" t="str">
            <v>Repalle</v>
          </cell>
          <cell r="R212">
            <v>17</v>
          </cell>
          <cell r="S212" t="str">
            <v>I.B patnam</v>
          </cell>
          <cell r="T212">
            <v>85</v>
          </cell>
          <cell r="Y212" t="str">
            <v>Repalle</v>
          </cell>
          <cell r="Z212">
            <v>17</v>
          </cell>
          <cell r="AA212">
            <v>0.2</v>
          </cell>
        </row>
        <row r="213">
          <cell r="A213">
            <v>209</v>
          </cell>
          <cell r="B213" t="str">
            <v>Nizampatnam</v>
          </cell>
          <cell r="C213" t="str">
            <v>Gokarnamatam</v>
          </cell>
          <cell r="D213" t="str">
            <v>Nizampatnam</v>
          </cell>
          <cell r="E213" t="str">
            <v>Local</v>
          </cell>
          <cell r="F213">
            <v>2</v>
          </cell>
          <cell r="G213" t="str">
            <v>Zoolapalem</v>
          </cell>
          <cell r="H213">
            <v>43</v>
          </cell>
          <cell r="I213" t="str">
            <v>Lam</v>
          </cell>
          <cell r="J213">
            <v>68</v>
          </cell>
          <cell r="K213" t="str">
            <v>Kolluru</v>
          </cell>
          <cell r="L213">
            <v>55</v>
          </cell>
          <cell r="M213" t="str">
            <v>Vejandla</v>
          </cell>
          <cell r="N213">
            <v>50</v>
          </cell>
          <cell r="O213" t="str">
            <v>Vejandla</v>
          </cell>
          <cell r="P213">
            <v>50</v>
          </cell>
          <cell r="Q213" t="str">
            <v>Repalle</v>
          </cell>
          <cell r="R213">
            <v>27</v>
          </cell>
          <cell r="S213" t="str">
            <v>I.B patnam</v>
          </cell>
          <cell r="T213">
            <v>85</v>
          </cell>
          <cell r="Y213" t="str">
            <v>Repalle</v>
          </cell>
          <cell r="Z213">
            <v>27</v>
          </cell>
          <cell r="AA213">
            <v>0</v>
          </cell>
        </row>
        <row r="214">
          <cell r="A214">
            <v>210</v>
          </cell>
          <cell r="B214" t="str">
            <v>Adavuladeevi</v>
          </cell>
          <cell r="C214" t="str">
            <v>Gunnamthippa</v>
          </cell>
          <cell r="D214" t="str">
            <v>Nizampatnam</v>
          </cell>
          <cell r="E214" t="str">
            <v>Local</v>
          </cell>
          <cell r="F214">
            <v>2</v>
          </cell>
          <cell r="G214" t="str">
            <v>Zoolapalem</v>
          </cell>
          <cell r="H214">
            <v>37</v>
          </cell>
          <cell r="I214" t="str">
            <v>Lam</v>
          </cell>
          <cell r="J214">
            <v>90</v>
          </cell>
          <cell r="K214" t="str">
            <v>Kolluru</v>
          </cell>
          <cell r="L214">
            <v>49</v>
          </cell>
          <cell r="M214" t="str">
            <v>Vejandla</v>
          </cell>
          <cell r="N214">
            <v>72</v>
          </cell>
          <cell r="O214" t="str">
            <v>Vejandla</v>
          </cell>
          <cell r="P214">
            <v>72</v>
          </cell>
          <cell r="Q214" t="str">
            <v>Repalle</v>
          </cell>
          <cell r="R214">
            <v>21</v>
          </cell>
          <cell r="S214" t="str">
            <v>I.B patnam</v>
          </cell>
          <cell r="T214">
            <v>85</v>
          </cell>
          <cell r="Y214" t="str">
            <v>Repalle</v>
          </cell>
          <cell r="Z214">
            <v>21</v>
          </cell>
          <cell r="AA214">
            <v>0</v>
          </cell>
        </row>
        <row r="215">
          <cell r="A215">
            <v>211</v>
          </cell>
          <cell r="B215" t="str">
            <v>Gurunadhanagar</v>
          </cell>
          <cell r="C215" t="str">
            <v>Gurunadhanagar</v>
          </cell>
          <cell r="D215" t="str">
            <v>Nizampatnam</v>
          </cell>
          <cell r="E215" t="str">
            <v>Local</v>
          </cell>
          <cell r="F215">
            <v>2</v>
          </cell>
          <cell r="G215" t="str">
            <v>Zoolapalem</v>
          </cell>
          <cell r="H215">
            <v>31</v>
          </cell>
          <cell r="I215" t="str">
            <v>Lam</v>
          </cell>
          <cell r="J215">
            <v>85</v>
          </cell>
          <cell r="K215" t="str">
            <v>Kolluru</v>
          </cell>
          <cell r="L215">
            <v>43</v>
          </cell>
          <cell r="M215" t="str">
            <v>Vejandla</v>
          </cell>
          <cell r="N215">
            <v>67</v>
          </cell>
          <cell r="O215" t="str">
            <v>Vejandla</v>
          </cell>
          <cell r="P215">
            <v>67</v>
          </cell>
          <cell r="Q215" t="str">
            <v>Repalle</v>
          </cell>
          <cell r="R215">
            <v>15</v>
          </cell>
          <cell r="S215" t="str">
            <v>I.B patnam</v>
          </cell>
          <cell r="T215">
            <v>85</v>
          </cell>
          <cell r="Y215" t="str">
            <v>Repalle</v>
          </cell>
          <cell r="Z215">
            <v>15</v>
          </cell>
          <cell r="AA215">
            <v>0.2</v>
          </cell>
        </row>
        <row r="216">
          <cell r="A216">
            <v>212</v>
          </cell>
          <cell r="B216" t="str">
            <v>Adavuladeevi</v>
          </cell>
          <cell r="C216" t="str">
            <v>Harizanawada(Madigapalli) H/O Adavuladeevi</v>
          </cell>
          <cell r="D216" t="str">
            <v>Nizampatnam</v>
          </cell>
          <cell r="E216" t="str">
            <v>Local</v>
          </cell>
          <cell r="F216">
            <v>2</v>
          </cell>
          <cell r="G216" t="str">
            <v>Zoolapalem</v>
          </cell>
          <cell r="H216">
            <v>36</v>
          </cell>
          <cell r="I216" t="str">
            <v>Lam</v>
          </cell>
          <cell r="J216">
            <v>89</v>
          </cell>
          <cell r="K216" t="str">
            <v>Kolluru</v>
          </cell>
          <cell r="L216">
            <v>48</v>
          </cell>
          <cell r="M216" t="str">
            <v>Vejandla</v>
          </cell>
          <cell r="N216">
            <v>71</v>
          </cell>
          <cell r="O216" t="str">
            <v>Vejandla</v>
          </cell>
          <cell r="P216">
            <v>71</v>
          </cell>
          <cell r="Q216" t="str">
            <v>Repalle</v>
          </cell>
          <cell r="R216">
            <v>20</v>
          </cell>
          <cell r="S216" t="str">
            <v>I.B patnam</v>
          </cell>
          <cell r="T216">
            <v>85</v>
          </cell>
          <cell r="Y216" t="str">
            <v>Repalle</v>
          </cell>
          <cell r="Z216">
            <v>20</v>
          </cell>
          <cell r="AA216">
            <v>0</v>
          </cell>
        </row>
        <row r="217">
          <cell r="A217">
            <v>213</v>
          </cell>
          <cell r="B217" t="str">
            <v>Horrispeta</v>
          </cell>
          <cell r="C217" t="str">
            <v>Horrispet</v>
          </cell>
          <cell r="D217" t="str">
            <v>Nizampatnam</v>
          </cell>
          <cell r="E217" t="str">
            <v>Local</v>
          </cell>
          <cell r="F217">
            <v>2</v>
          </cell>
          <cell r="G217" t="str">
            <v>Zoolapalem</v>
          </cell>
          <cell r="H217">
            <v>33</v>
          </cell>
          <cell r="I217" t="str">
            <v>Lam</v>
          </cell>
          <cell r="J217">
            <v>86</v>
          </cell>
          <cell r="K217" t="str">
            <v>Kolluru</v>
          </cell>
          <cell r="L217">
            <v>42</v>
          </cell>
          <cell r="M217" t="str">
            <v>Vejandla</v>
          </cell>
          <cell r="N217">
            <v>68</v>
          </cell>
          <cell r="O217" t="str">
            <v>Vejandla</v>
          </cell>
          <cell r="P217">
            <v>68</v>
          </cell>
          <cell r="Q217" t="str">
            <v>Repalle</v>
          </cell>
          <cell r="R217">
            <v>17</v>
          </cell>
          <cell r="S217" t="str">
            <v>I.B patnam</v>
          </cell>
          <cell r="T217">
            <v>85</v>
          </cell>
          <cell r="Y217" t="str">
            <v>Repalle</v>
          </cell>
          <cell r="Z217">
            <v>17</v>
          </cell>
          <cell r="AA217">
            <v>0</v>
          </cell>
        </row>
        <row r="218">
          <cell r="A218">
            <v>214</v>
          </cell>
          <cell r="B218" t="str">
            <v>Dindi</v>
          </cell>
          <cell r="C218" t="str">
            <v>Jampanivaripalem</v>
          </cell>
          <cell r="D218" t="str">
            <v>Nizampatnam</v>
          </cell>
          <cell r="E218" t="str">
            <v>Local</v>
          </cell>
          <cell r="F218">
            <v>2</v>
          </cell>
          <cell r="G218" t="str">
            <v>Zoolapalem</v>
          </cell>
          <cell r="H218">
            <v>46</v>
          </cell>
          <cell r="I218" t="str">
            <v>Lam</v>
          </cell>
          <cell r="J218">
            <v>95</v>
          </cell>
          <cell r="K218" t="str">
            <v>Kolluru</v>
          </cell>
          <cell r="L218">
            <v>58</v>
          </cell>
          <cell r="M218" t="str">
            <v>Vejandla</v>
          </cell>
          <cell r="N218">
            <v>77</v>
          </cell>
          <cell r="O218" t="str">
            <v>Vejandla</v>
          </cell>
          <cell r="P218">
            <v>77</v>
          </cell>
          <cell r="Q218" t="str">
            <v>Repalle</v>
          </cell>
          <cell r="R218">
            <v>30</v>
          </cell>
          <cell r="S218" t="str">
            <v>I.B patnam</v>
          </cell>
          <cell r="T218">
            <v>85</v>
          </cell>
          <cell r="Y218" t="str">
            <v>Repalle</v>
          </cell>
          <cell r="Z218">
            <v>30</v>
          </cell>
          <cell r="AA218">
            <v>0</v>
          </cell>
        </row>
        <row r="219">
          <cell r="A219">
            <v>215</v>
          </cell>
          <cell r="B219" t="str">
            <v>Amudalapalli</v>
          </cell>
          <cell r="C219" t="str">
            <v>Kallipalem</v>
          </cell>
          <cell r="D219" t="str">
            <v>Nizampatnam</v>
          </cell>
          <cell r="E219" t="str">
            <v>Local</v>
          </cell>
          <cell r="F219">
            <v>2</v>
          </cell>
          <cell r="G219" t="str">
            <v>Zoolapalem</v>
          </cell>
          <cell r="H219">
            <v>41</v>
          </cell>
          <cell r="I219" t="str">
            <v>Lam</v>
          </cell>
          <cell r="J219">
            <v>86</v>
          </cell>
          <cell r="K219" t="str">
            <v>Kolluru</v>
          </cell>
          <cell r="L219">
            <v>51</v>
          </cell>
          <cell r="M219" t="str">
            <v>Vejandla</v>
          </cell>
          <cell r="N219">
            <v>71</v>
          </cell>
          <cell r="O219" t="str">
            <v>Vejandla</v>
          </cell>
          <cell r="P219">
            <v>71</v>
          </cell>
          <cell r="Q219" t="str">
            <v>Repalle</v>
          </cell>
          <cell r="R219">
            <v>24</v>
          </cell>
          <cell r="S219" t="str">
            <v>I.B patnam</v>
          </cell>
          <cell r="T219">
            <v>85</v>
          </cell>
          <cell r="Y219" t="str">
            <v>Repalle</v>
          </cell>
          <cell r="Z219">
            <v>24</v>
          </cell>
          <cell r="AA219">
            <v>0</v>
          </cell>
        </row>
        <row r="220">
          <cell r="A220">
            <v>216</v>
          </cell>
          <cell r="B220" t="str">
            <v>Kuchinapudi</v>
          </cell>
          <cell r="C220" t="str">
            <v>Karravaripalem</v>
          </cell>
          <cell r="D220" t="str">
            <v>Nizampatnam</v>
          </cell>
          <cell r="E220" t="str">
            <v>Local</v>
          </cell>
          <cell r="F220">
            <v>2</v>
          </cell>
          <cell r="G220" t="str">
            <v>Zoolapalem</v>
          </cell>
          <cell r="H220">
            <v>31</v>
          </cell>
          <cell r="I220" t="str">
            <v>Lam</v>
          </cell>
          <cell r="J220">
            <v>80</v>
          </cell>
          <cell r="K220" t="str">
            <v>Kolluru</v>
          </cell>
          <cell r="L220">
            <v>43</v>
          </cell>
          <cell r="M220" t="str">
            <v>Vejandla</v>
          </cell>
          <cell r="N220">
            <v>62</v>
          </cell>
          <cell r="O220" t="str">
            <v>Vejandla</v>
          </cell>
          <cell r="P220">
            <v>62</v>
          </cell>
          <cell r="Q220" t="str">
            <v>Repalle</v>
          </cell>
          <cell r="R220">
            <v>15</v>
          </cell>
          <cell r="S220" t="str">
            <v>I.B patnam</v>
          </cell>
          <cell r="T220">
            <v>85</v>
          </cell>
          <cell r="Y220" t="str">
            <v>Repalle</v>
          </cell>
          <cell r="Z220">
            <v>15</v>
          </cell>
          <cell r="AA220">
            <v>0</v>
          </cell>
        </row>
        <row r="221">
          <cell r="A221">
            <v>217</v>
          </cell>
          <cell r="B221" t="str">
            <v>Borravaripalem</v>
          </cell>
          <cell r="C221" t="str">
            <v>Kesanavaripalem of Dindi</v>
          </cell>
          <cell r="D221" t="str">
            <v>Nizampatnam</v>
          </cell>
          <cell r="E221" t="str">
            <v>Local</v>
          </cell>
          <cell r="F221">
            <v>2</v>
          </cell>
          <cell r="G221" t="str">
            <v>Zoolapalem</v>
          </cell>
          <cell r="H221">
            <v>47</v>
          </cell>
          <cell r="I221" t="str">
            <v>Lam</v>
          </cell>
          <cell r="J221">
            <v>96</v>
          </cell>
          <cell r="K221" t="str">
            <v>Kolluru</v>
          </cell>
          <cell r="L221">
            <v>59</v>
          </cell>
          <cell r="M221" t="str">
            <v>Vejandla</v>
          </cell>
          <cell r="N221">
            <v>78</v>
          </cell>
          <cell r="O221" t="str">
            <v>Vejandla</v>
          </cell>
          <cell r="P221">
            <v>78</v>
          </cell>
          <cell r="Q221" t="str">
            <v>Repalle</v>
          </cell>
          <cell r="R221">
            <v>31</v>
          </cell>
          <cell r="S221" t="str">
            <v>I.B patnam</v>
          </cell>
          <cell r="T221">
            <v>85</v>
          </cell>
          <cell r="Y221" t="str">
            <v>Repalle</v>
          </cell>
          <cell r="Z221">
            <v>31</v>
          </cell>
          <cell r="AA221">
            <v>0</v>
          </cell>
        </row>
        <row r="222">
          <cell r="A222">
            <v>218</v>
          </cell>
          <cell r="B222" t="str">
            <v>Amudalapalli</v>
          </cell>
          <cell r="C222" t="str">
            <v>Komaravolu</v>
          </cell>
          <cell r="D222" t="str">
            <v>Nizampatnam</v>
          </cell>
          <cell r="E222" t="str">
            <v>Local</v>
          </cell>
          <cell r="F222">
            <v>2</v>
          </cell>
          <cell r="G222" t="str">
            <v>Zoolapalem</v>
          </cell>
          <cell r="H222">
            <v>36</v>
          </cell>
          <cell r="I222" t="str">
            <v>Lam</v>
          </cell>
          <cell r="J222">
            <v>67</v>
          </cell>
          <cell r="K222" t="str">
            <v>Kolluru</v>
          </cell>
          <cell r="L222">
            <v>48</v>
          </cell>
          <cell r="M222" t="str">
            <v>Vejandla</v>
          </cell>
          <cell r="N222">
            <v>49</v>
          </cell>
          <cell r="O222" t="str">
            <v>Vejandla</v>
          </cell>
          <cell r="P222">
            <v>49</v>
          </cell>
          <cell r="Q222" t="str">
            <v>Repalle</v>
          </cell>
          <cell r="R222">
            <v>20</v>
          </cell>
          <cell r="S222" t="str">
            <v>I.B patnam</v>
          </cell>
          <cell r="T222">
            <v>85</v>
          </cell>
          <cell r="Y222" t="str">
            <v>Repalle</v>
          </cell>
          <cell r="Z222">
            <v>20</v>
          </cell>
          <cell r="AA222">
            <v>0</v>
          </cell>
        </row>
        <row r="223">
          <cell r="A223">
            <v>219</v>
          </cell>
          <cell r="B223" t="str">
            <v>Konapalem</v>
          </cell>
          <cell r="C223" t="str">
            <v>Konaphalam</v>
          </cell>
          <cell r="D223" t="str">
            <v>Nizampatnam</v>
          </cell>
          <cell r="E223" t="str">
            <v>Local</v>
          </cell>
          <cell r="F223">
            <v>2</v>
          </cell>
          <cell r="G223" t="str">
            <v>Zoolapalem</v>
          </cell>
          <cell r="H223">
            <v>41</v>
          </cell>
          <cell r="I223" t="str">
            <v>Lam</v>
          </cell>
          <cell r="J223">
            <v>86</v>
          </cell>
          <cell r="K223" t="str">
            <v>Kolluru</v>
          </cell>
          <cell r="L223">
            <v>51</v>
          </cell>
          <cell r="M223" t="str">
            <v>Vejandla</v>
          </cell>
          <cell r="N223">
            <v>71</v>
          </cell>
          <cell r="O223" t="str">
            <v>Vejandla</v>
          </cell>
          <cell r="P223">
            <v>71</v>
          </cell>
          <cell r="Q223" t="str">
            <v>Repalle</v>
          </cell>
          <cell r="R223">
            <v>24</v>
          </cell>
          <cell r="S223" t="str">
            <v>I.B patnam</v>
          </cell>
          <cell r="T223">
            <v>85</v>
          </cell>
          <cell r="Y223" t="str">
            <v>Repalle</v>
          </cell>
          <cell r="Z223">
            <v>24</v>
          </cell>
          <cell r="AA223">
            <v>0</v>
          </cell>
        </row>
        <row r="224">
          <cell r="A224">
            <v>220</v>
          </cell>
          <cell r="B224" t="str">
            <v>Kopuruvaripalem</v>
          </cell>
          <cell r="C224" t="str">
            <v>Kopurivaripalem</v>
          </cell>
          <cell r="D224" t="str">
            <v>Nizampatnam</v>
          </cell>
          <cell r="E224" t="str">
            <v>Local</v>
          </cell>
          <cell r="F224">
            <v>2</v>
          </cell>
          <cell r="G224" t="str">
            <v>Zoolapalem</v>
          </cell>
          <cell r="H224">
            <v>26</v>
          </cell>
          <cell r="I224" t="str">
            <v>Lam</v>
          </cell>
          <cell r="J224">
            <v>76</v>
          </cell>
          <cell r="K224" t="str">
            <v>Kolluru</v>
          </cell>
          <cell r="L224">
            <v>38</v>
          </cell>
          <cell r="M224" t="str">
            <v>Vejandla</v>
          </cell>
          <cell r="N224">
            <v>57</v>
          </cell>
          <cell r="O224" t="str">
            <v>Vejandla</v>
          </cell>
          <cell r="P224">
            <v>57</v>
          </cell>
          <cell r="Q224" t="str">
            <v>Repalle</v>
          </cell>
          <cell r="R224">
            <v>9</v>
          </cell>
          <cell r="S224" t="str">
            <v>I.B patnam</v>
          </cell>
          <cell r="T224">
            <v>85</v>
          </cell>
          <cell r="Y224" t="str">
            <v>Repalle</v>
          </cell>
          <cell r="Z224">
            <v>9</v>
          </cell>
          <cell r="AA224">
            <v>0.2</v>
          </cell>
        </row>
        <row r="225">
          <cell r="A225">
            <v>221</v>
          </cell>
          <cell r="B225" t="str">
            <v>Nizampatnam</v>
          </cell>
          <cell r="C225" t="str">
            <v>Krosurivaripalem</v>
          </cell>
          <cell r="D225" t="str">
            <v>Nizampatnam</v>
          </cell>
          <cell r="E225" t="str">
            <v>Local</v>
          </cell>
          <cell r="F225">
            <v>2</v>
          </cell>
          <cell r="G225" t="str">
            <v>Zoolapalem</v>
          </cell>
          <cell r="H225">
            <v>37</v>
          </cell>
          <cell r="I225" t="str">
            <v>Lam</v>
          </cell>
          <cell r="J225">
            <v>62</v>
          </cell>
          <cell r="K225" t="str">
            <v>Kolluru</v>
          </cell>
          <cell r="L225">
            <v>49</v>
          </cell>
          <cell r="M225" t="str">
            <v>Vejandla</v>
          </cell>
          <cell r="N225">
            <v>44</v>
          </cell>
          <cell r="O225" t="str">
            <v>Vejandla</v>
          </cell>
          <cell r="P225">
            <v>44</v>
          </cell>
          <cell r="Q225" t="str">
            <v>Repalle</v>
          </cell>
          <cell r="R225">
            <v>21</v>
          </cell>
          <cell r="S225" t="str">
            <v>I.B patnam</v>
          </cell>
          <cell r="T225">
            <v>85</v>
          </cell>
          <cell r="Y225" t="str">
            <v>Repalle</v>
          </cell>
          <cell r="Z225">
            <v>21</v>
          </cell>
          <cell r="AA225">
            <v>0</v>
          </cell>
        </row>
        <row r="226">
          <cell r="A226">
            <v>222</v>
          </cell>
          <cell r="B226" t="str">
            <v>Kothapalem</v>
          </cell>
          <cell r="C226" t="str">
            <v>Kothapalem</v>
          </cell>
          <cell r="D226" t="str">
            <v>Nizampatnam</v>
          </cell>
          <cell r="E226" t="str">
            <v>Local</v>
          </cell>
          <cell r="F226">
            <v>2</v>
          </cell>
          <cell r="G226" t="str">
            <v>Zoolapalem</v>
          </cell>
          <cell r="H226">
            <v>42</v>
          </cell>
          <cell r="I226" t="str">
            <v>Lam</v>
          </cell>
          <cell r="J226">
            <v>95</v>
          </cell>
          <cell r="K226" t="str">
            <v>Kolluru</v>
          </cell>
          <cell r="L226">
            <v>54</v>
          </cell>
          <cell r="M226" t="str">
            <v>Vejandla</v>
          </cell>
          <cell r="N226">
            <v>77</v>
          </cell>
          <cell r="O226" t="str">
            <v>Vejandla</v>
          </cell>
          <cell r="P226">
            <v>77</v>
          </cell>
          <cell r="Q226" t="str">
            <v>Repalle</v>
          </cell>
          <cell r="R226">
            <v>26</v>
          </cell>
          <cell r="S226" t="str">
            <v>I.B patnam</v>
          </cell>
          <cell r="T226">
            <v>85</v>
          </cell>
          <cell r="Y226" t="str">
            <v>Repalle</v>
          </cell>
          <cell r="Z226">
            <v>26</v>
          </cell>
          <cell r="AA226">
            <v>0</v>
          </cell>
        </row>
        <row r="227">
          <cell r="A227">
            <v>223</v>
          </cell>
          <cell r="B227" t="str">
            <v>Kothapalem</v>
          </cell>
          <cell r="C227" t="str">
            <v>Kothuru</v>
          </cell>
          <cell r="D227" t="str">
            <v>Nizampatnam</v>
          </cell>
          <cell r="E227" t="str">
            <v>Local</v>
          </cell>
          <cell r="F227">
            <v>2</v>
          </cell>
          <cell r="G227" t="str">
            <v>Zoolapalem</v>
          </cell>
          <cell r="H227">
            <v>42</v>
          </cell>
          <cell r="I227" t="str">
            <v>Lam</v>
          </cell>
          <cell r="J227">
            <v>95</v>
          </cell>
          <cell r="K227" t="str">
            <v>Kolluru</v>
          </cell>
          <cell r="L227">
            <v>54</v>
          </cell>
          <cell r="M227" t="str">
            <v>Vejandla</v>
          </cell>
          <cell r="N227">
            <v>77</v>
          </cell>
          <cell r="O227" t="str">
            <v>Vejandla</v>
          </cell>
          <cell r="P227">
            <v>77</v>
          </cell>
          <cell r="Q227" t="str">
            <v>Repalle</v>
          </cell>
          <cell r="R227">
            <v>26</v>
          </cell>
          <cell r="S227" t="str">
            <v>I.B patnam</v>
          </cell>
          <cell r="T227">
            <v>85</v>
          </cell>
          <cell r="Y227" t="str">
            <v>Repalle</v>
          </cell>
          <cell r="Z227">
            <v>26</v>
          </cell>
          <cell r="AA227">
            <v>0</v>
          </cell>
        </row>
        <row r="228">
          <cell r="A228">
            <v>224</v>
          </cell>
          <cell r="B228" t="str">
            <v>Kopuruvaripalem</v>
          </cell>
          <cell r="C228" t="str">
            <v>Kuchinapudi</v>
          </cell>
          <cell r="D228" t="str">
            <v>Nizampatnam</v>
          </cell>
          <cell r="E228" t="str">
            <v>Local</v>
          </cell>
          <cell r="F228">
            <v>2</v>
          </cell>
          <cell r="G228" t="str">
            <v>Zoolapalem</v>
          </cell>
          <cell r="H228">
            <v>31</v>
          </cell>
          <cell r="I228" t="str">
            <v>Lam</v>
          </cell>
          <cell r="J228">
            <v>80</v>
          </cell>
          <cell r="K228" t="str">
            <v>Kolluru</v>
          </cell>
          <cell r="L228">
            <v>43</v>
          </cell>
          <cell r="M228" t="str">
            <v>Vejandla</v>
          </cell>
          <cell r="N228">
            <v>62</v>
          </cell>
          <cell r="O228" t="str">
            <v>Vejandla</v>
          </cell>
          <cell r="P228">
            <v>62</v>
          </cell>
          <cell r="Q228" t="str">
            <v>Repalle</v>
          </cell>
          <cell r="R228">
            <v>15</v>
          </cell>
          <cell r="S228" t="str">
            <v>I.B patnam</v>
          </cell>
          <cell r="T228">
            <v>85</v>
          </cell>
          <cell r="Y228" t="str">
            <v>Repalle</v>
          </cell>
          <cell r="Z228">
            <v>15</v>
          </cell>
          <cell r="AA228">
            <v>0.2</v>
          </cell>
        </row>
        <row r="229">
          <cell r="A229">
            <v>225</v>
          </cell>
          <cell r="B229" t="str">
            <v>Kuchinapudi</v>
          </cell>
          <cell r="C229" t="str">
            <v>Linginenivaripalem</v>
          </cell>
          <cell r="D229" t="str">
            <v>Nizampatnam</v>
          </cell>
          <cell r="E229" t="str">
            <v>Local</v>
          </cell>
          <cell r="F229">
            <v>2</v>
          </cell>
          <cell r="G229" t="str">
            <v>Zoolapalem</v>
          </cell>
          <cell r="H229">
            <v>26</v>
          </cell>
          <cell r="I229" t="str">
            <v>Lam</v>
          </cell>
          <cell r="J229">
            <v>79</v>
          </cell>
          <cell r="K229" t="str">
            <v>Kolluru</v>
          </cell>
          <cell r="L229">
            <v>38</v>
          </cell>
          <cell r="M229" t="str">
            <v>Vejandla</v>
          </cell>
          <cell r="N229">
            <v>61</v>
          </cell>
          <cell r="O229" t="str">
            <v>Vejandla</v>
          </cell>
          <cell r="P229">
            <v>61</v>
          </cell>
          <cell r="Q229" t="str">
            <v>Repalle</v>
          </cell>
          <cell r="R229">
            <v>10</v>
          </cell>
          <cell r="S229" t="str">
            <v>I.B patnam</v>
          </cell>
          <cell r="T229">
            <v>85</v>
          </cell>
          <cell r="Y229" t="str">
            <v>Repalle</v>
          </cell>
          <cell r="Z229">
            <v>10</v>
          </cell>
          <cell r="AA229">
            <v>0.2</v>
          </cell>
        </row>
        <row r="230">
          <cell r="A230">
            <v>226</v>
          </cell>
          <cell r="B230" t="str">
            <v>Pallapatla</v>
          </cell>
          <cell r="C230" t="str">
            <v>Madigapalli Pallapatla</v>
          </cell>
          <cell r="D230" t="str">
            <v>Nizampatnam</v>
          </cell>
          <cell r="E230" t="str">
            <v>Local</v>
          </cell>
          <cell r="F230">
            <v>2</v>
          </cell>
          <cell r="G230" t="str">
            <v>Zoolapalem</v>
          </cell>
          <cell r="H230">
            <v>27</v>
          </cell>
          <cell r="I230" t="str">
            <v>Lam</v>
          </cell>
          <cell r="J230">
            <v>75</v>
          </cell>
          <cell r="K230" t="str">
            <v>Kolluru</v>
          </cell>
          <cell r="L230">
            <v>39</v>
          </cell>
          <cell r="M230" t="str">
            <v>Vejandla</v>
          </cell>
          <cell r="N230">
            <v>57</v>
          </cell>
          <cell r="O230" t="str">
            <v>Vejandla</v>
          </cell>
          <cell r="P230">
            <v>57</v>
          </cell>
          <cell r="Q230" t="str">
            <v>Repalle</v>
          </cell>
          <cell r="R230">
            <v>10</v>
          </cell>
          <cell r="S230" t="str">
            <v>I.B patnam</v>
          </cell>
          <cell r="T230">
            <v>85</v>
          </cell>
          <cell r="Y230" t="str">
            <v>Repalle</v>
          </cell>
          <cell r="Z230">
            <v>10</v>
          </cell>
          <cell r="AA230">
            <v>0.2</v>
          </cell>
        </row>
        <row r="231">
          <cell r="A231">
            <v>227</v>
          </cell>
          <cell r="B231" t="str">
            <v>Adavuladeevi</v>
          </cell>
          <cell r="C231" t="str">
            <v>Mahammadiyapalem</v>
          </cell>
          <cell r="D231" t="str">
            <v>Nizampatnam</v>
          </cell>
          <cell r="E231" t="str">
            <v>Local</v>
          </cell>
          <cell r="F231">
            <v>2</v>
          </cell>
          <cell r="G231" t="str">
            <v>Zoolapalem</v>
          </cell>
          <cell r="H231">
            <v>37</v>
          </cell>
          <cell r="I231" t="str">
            <v>Lam</v>
          </cell>
          <cell r="J231">
            <v>90</v>
          </cell>
          <cell r="K231" t="str">
            <v>Kolluru</v>
          </cell>
          <cell r="L231">
            <v>49</v>
          </cell>
          <cell r="M231" t="str">
            <v>Vejandla</v>
          </cell>
          <cell r="N231">
            <v>72</v>
          </cell>
          <cell r="O231" t="str">
            <v>Vejandla</v>
          </cell>
          <cell r="P231">
            <v>72</v>
          </cell>
          <cell r="Q231" t="str">
            <v>Repalle</v>
          </cell>
          <cell r="R231">
            <v>21</v>
          </cell>
          <cell r="S231" t="str">
            <v>I.B patnam</v>
          </cell>
          <cell r="T231">
            <v>85</v>
          </cell>
          <cell r="Y231" t="str">
            <v>Repalle</v>
          </cell>
          <cell r="Z231">
            <v>21</v>
          </cell>
          <cell r="AA231">
            <v>0</v>
          </cell>
        </row>
        <row r="232">
          <cell r="A232">
            <v>228</v>
          </cell>
          <cell r="B232" t="str">
            <v>Adavuladeevi</v>
          </cell>
          <cell r="C232" t="str">
            <v>Mallikharjunapuram</v>
          </cell>
          <cell r="D232" t="str">
            <v>Nizampatnam</v>
          </cell>
          <cell r="E232" t="str">
            <v>Local</v>
          </cell>
          <cell r="F232">
            <v>2</v>
          </cell>
          <cell r="G232" t="str">
            <v>Zoolapalem</v>
          </cell>
          <cell r="H232">
            <v>36</v>
          </cell>
          <cell r="I232" t="str">
            <v>Lam</v>
          </cell>
          <cell r="J232">
            <v>89</v>
          </cell>
          <cell r="K232" t="str">
            <v>Kolluru</v>
          </cell>
          <cell r="L232">
            <v>48</v>
          </cell>
          <cell r="M232" t="str">
            <v>Vejandla</v>
          </cell>
          <cell r="N232">
            <v>71</v>
          </cell>
          <cell r="O232" t="str">
            <v>Vejandla</v>
          </cell>
          <cell r="P232">
            <v>71</v>
          </cell>
          <cell r="Q232" t="str">
            <v>Repalle</v>
          </cell>
          <cell r="R232">
            <v>20</v>
          </cell>
          <cell r="S232" t="str">
            <v>I.B patnam</v>
          </cell>
          <cell r="T232">
            <v>85</v>
          </cell>
          <cell r="Y232" t="str">
            <v>Repalle</v>
          </cell>
          <cell r="Z232">
            <v>20</v>
          </cell>
          <cell r="AA232">
            <v>0</v>
          </cell>
        </row>
        <row r="233">
          <cell r="A233">
            <v>229</v>
          </cell>
          <cell r="B233" t="str">
            <v>Muthupalli</v>
          </cell>
          <cell r="C233" t="str">
            <v>Marakavaripalem  of Nizampatnam</v>
          </cell>
          <cell r="D233" t="str">
            <v>Nizampatnam</v>
          </cell>
          <cell r="E233" t="str">
            <v>Local</v>
          </cell>
          <cell r="F233">
            <v>2</v>
          </cell>
          <cell r="G233" t="str">
            <v>Zoolapalem</v>
          </cell>
          <cell r="H233">
            <v>39</v>
          </cell>
          <cell r="I233" t="str">
            <v>Lam</v>
          </cell>
          <cell r="J233">
            <v>64</v>
          </cell>
          <cell r="K233" t="str">
            <v>Kolluru</v>
          </cell>
          <cell r="L233">
            <v>49</v>
          </cell>
          <cell r="M233" t="str">
            <v>Vejandla</v>
          </cell>
          <cell r="N233">
            <v>46</v>
          </cell>
          <cell r="O233" t="str">
            <v>Vejandla</v>
          </cell>
          <cell r="P233">
            <v>46</v>
          </cell>
          <cell r="Q233" t="str">
            <v>Repalle</v>
          </cell>
          <cell r="R233">
            <v>21</v>
          </cell>
          <cell r="S233" t="str">
            <v>I.B patnam</v>
          </cell>
          <cell r="T233">
            <v>85</v>
          </cell>
          <cell r="Y233" t="str">
            <v>Repalle</v>
          </cell>
          <cell r="Z233">
            <v>21</v>
          </cell>
          <cell r="AA233">
            <v>0</v>
          </cell>
        </row>
        <row r="234">
          <cell r="A234">
            <v>230</v>
          </cell>
          <cell r="B234" t="str">
            <v>Nizampatnam</v>
          </cell>
          <cell r="C234" t="str">
            <v>Marakavaripalem of Muthupalli</v>
          </cell>
          <cell r="D234" t="str">
            <v>Nizampatnam</v>
          </cell>
          <cell r="E234" t="str">
            <v>Local</v>
          </cell>
          <cell r="F234">
            <v>2</v>
          </cell>
          <cell r="G234" t="str">
            <v>Zoolapalem</v>
          </cell>
          <cell r="H234">
            <v>42</v>
          </cell>
          <cell r="I234" t="str">
            <v>Lam</v>
          </cell>
          <cell r="J234">
            <v>69</v>
          </cell>
          <cell r="K234" t="str">
            <v>Kolluru</v>
          </cell>
          <cell r="L234">
            <v>45</v>
          </cell>
          <cell r="M234" t="str">
            <v>Vejandla</v>
          </cell>
          <cell r="N234">
            <v>51</v>
          </cell>
          <cell r="O234" t="str">
            <v>Vejandla</v>
          </cell>
          <cell r="P234">
            <v>51</v>
          </cell>
          <cell r="Q234" t="str">
            <v>Repalle</v>
          </cell>
          <cell r="R234">
            <v>17</v>
          </cell>
          <cell r="S234" t="str">
            <v>I.B patnam</v>
          </cell>
          <cell r="T234">
            <v>85</v>
          </cell>
          <cell r="Y234" t="str">
            <v>Repalle</v>
          </cell>
          <cell r="Z234">
            <v>17</v>
          </cell>
          <cell r="AA234">
            <v>0</v>
          </cell>
        </row>
        <row r="235">
          <cell r="A235">
            <v>231</v>
          </cell>
          <cell r="B235" t="str">
            <v>Gurunadhanagar</v>
          </cell>
          <cell r="C235" t="str">
            <v>Marrispet</v>
          </cell>
          <cell r="D235" t="str">
            <v>Nizampatnam</v>
          </cell>
          <cell r="E235" t="str">
            <v>Local</v>
          </cell>
          <cell r="F235">
            <v>2</v>
          </cell>
          <cell r="G235" t="str">
            <v>Zoolapalem</v>
          </cell>
          <cell r="H235">
            <v>32</v>
          </cell>
          <cell r="I235" t="str">
            <v>Lam</v>
          </cell>
          <cell r="J235">
            <v>86</v>
          </cell>
          <cell r="K235" t="str">
            <v>Kolluru</v>
          </cell>
          <cell r="L235">
            <v>44</v>
          </cell>
          <cell r="M235" t="str">
            <v>Vejandla</v>
          </cell>
          <cell r="N235">
            <v>68</v>
          </cell>
          <cell r="O235" t="str">
            <v>Vejandla</v>
          </cell>
          <cell r="P235">
            <v>68</v>
          </cell>
          <cell r="Q235" t="str">
            <v>Repalle</v>
          </cell>
          <cell r="R235">
            <v>16</v>
          </cell>
          <cell r="S235" t="str">
            <v>I.B patnam</v>
          </cell>
          <cell r="T235">
            <v>85</v>
          </cell>
          <cell r="Y235" t="str">
            <v>Repalle</v>
          </cell>
          <cell r="Z235">
            <v>16</v>
          </cell>
          <cell r="AA235">
            <v>0.2</v>
          </cell>
        </row>
        <row r="236">
          <cell r="A236">
            <v>232</v>
          </cell>
          <cell r="B236" t="str">
            <v>Pallapatla</v>
          </cell>
          <cell r="C236" t="str">
            <v>Mudirajupalem</v>
          </cell>
          <cell r="D236" t="str">
            <v>Nizampatnam</v>
          </cell>
          <cell r="E236" t="str">
            <v>Local</v>
          </cell>
          <cell r="F236">
            <v>2</v>
          </cell>
          <cell r="G236" t="str">
            <v>Zoolapalem</v>
          </cell>
          <cell r="H236">
            <v>26</v>
          </cell>
          <cell r="I236" t="str">
            <v>Lam</v>
          </cell>
          <cell r="J236">
            <v>76</v>
          </cell>
          <cell r="K236" t="str">
            <v>Kolluru</v>
          </cell>
          <cell r="L236">
            <v>38</v>
          </cell>
          <cell r="M236" t="str">
            <v>Vejandla</v>
          </cell>
          <cell r="N236">
            <v>57</v>
          </cell>
          <cell r="O236" t="str">
            <v>Vejandla</v>
          </cell>
          <cell r="P236">
            <v>57</v>
          </cell>
          <cell r="Q236" t="str">
            <v>Repalle</v>
          </cell>
          <cell r="R236">
            <v>9</v>
          </cell>
          <cell r="S236" t="str">
            <v>I.B patnam</v>
          </cell>
          <cell r="T236">
            <v>85</v>
          </cell>
          <cell r="Y236" t="str">
            <v>Repalle</v>
          </cell>
          <cell r="Z236">
            <v>9</v>
          </cell>
          <cell r="AA236">
            <v>0.2</v>
          </cell>
        </row>
        <row r="237">
          <cell r="A237">
            <v>233</v>
          </cell>
          <cell r="B237" t="str">
            <v>Kothapalem</v>
          </cell>
          <cell r="C237" t="str">
            <v>Muktheswarapuram</v>
          </cell>
          <cell r="D237" t="str">
            <v>Nizampatnam</v>
          </cell>
          <cell r="E237" t="str">
            <v>Local</v>
          </cell>
          <cell r="F237">
            <v>2</v>
          </cell>
          <cell r="G237" t="str">
            <v>Zoolapalem</v>
          </cell>
          <cell r="H237">
            <v>40</v>
          </cell>
          <cell r="I237" t="str">
            <v>Lam</v>
          </cell>
          <cell r="J237">
            <v>97</v>
          </cell>
          <cell r="K237" t="str">
            <v>Kolluru</v>
          </cell>
          <cell r="L237">
            <v>52</v>
          </cell>
          <cell r="M237" t="str">
            <v>Vejandla</v>
          </cell>
          <cell r="N237">
            <v>79</v>
          </cell>
          <cell r="O237" t="str">
            <v>Vejandla</v>
          </cell>
          <cell r="P237">
            <v>79</v>
          </cell>
          <cell r="Q237" t="str">
            <v>Repalle</v>
          </cell>
          <cell r="R237">
            <v>24</v>
          </cell>
          <cell r="S237" t="str">
            <v>I.B patnam</v>
          </cell>
          <cell r="T237">
            <v>85</v>
          </cell>
          <cell r="Y237" t="str">
            <v>Repalle</v>
          </cell>
          <cell r="Z237">
            <v>24</v>
          </cell>
          <cell r="AA237">
            <v>0</v>
          </cell>
        </row>
        <row r="238">
          <cell r="A238">
            <v>234</v>
          </cell>
          <cell r="B238" t="str">
            <v>Kothapalem</v>
          </cell>
          <cell r="C238" t="str">
            <v>Muneredu of Kothapalem</v>
          </cell>
          <cell r="D238" t="str">
            <v>Nizampatnam</v>
          </cell>
          <cell r="E238" t="str">
            <v>Local</v>
          </cell>
          <cell r="F238">
            <v>2</v>
          </cell>
          <cell r="G238" t="str">
            <v>Zoolapalem</v>
          </cell>
          <cell r="H238">
            <v>39</v>
          </cell>
          <cell r="I238" t="str">
            <v>Lam</v>
          </cell>
          <cell r="J238">
            <v>98</v>
          </cell>
          <cell r="K238" t="str">
            <v>Kolluru</v>
          </cell>
          <cell r="L238">
            <v>51</v>
          </cell>
          <cell r="M238" t="str">
            <v>Vejandla</v>
          </cell>
          <cell r="N238">
            <v>80</v>
          </cell>
          <cell r="O238" t="str">
            <v>Vejandla</v>
          </cell>
          <cell r="P238">
            <v>80</v>
          </cell>
          <cell r="Q238" t="str">
            <v>Repalle</v>
          </cell>
          <cell r="R238">
            <v>23</v>
          </cell>
          <cell r="S238" t="str">
            <v>I.B patnam</v>
          </cell>
          <cell r="T238">
            <v>85</v>
          </cell>
          <cell r="Y238" t="str">
            <v>Repalle</v>
          </cell>
          <cell r="Z238">
            <v>23</v>
          </cell>
          <cell r="AA238">
            <v>0</v>
          </cell>
        </row>
        <row r="239">
          <cell r="A239">
            <v>235</v>
          </cell>
          <cell r="B239" t="str">
            <v>Nizampatnam</v>
          </cell>
          <cell r="C239" t="str">
            <v>Muniredu of Nizampatnam</v>
          </cell>
          <cell r="D239" t="str">
            <v>Nizampatnam</v>
          </cell>
          <cell r="E239" t="str">
            <v>Local</v>
          </cell>
          <cell r="F239">
            <v>2</v>
          </cell>
          <cell r="G239" t="str">
            <v>Zoolapalem</v>
          </cell>
          <cell r="H239">
            <v>37</v>
          </cell>
          <cell r="I239" t="str">
            <v>Lam</v>
          </cell>
          <cell r="J239">
            <v>64</v>
          </cell>
          <cell r="K239" t="str">
            <v>Kolluru</v>
          </cell>
          <cell r="L239">
            <v>49</v>
          </cell>
          <cell r="M239" t="str">
            <v>Vejandla</v>
          </cell>
          <cell r="N239">
            <v>46</v>
          </cell>
          <cell r="O239" t="str">
            <v>Vejandla</v>
          </cell>
          <cell r="P239">
            <v>46</v>
          </cell>
          <cell r="Q239" t="str">
            <v>Repalle</v>
          </cell>
          <cell r="R239">
            <v>21</v>
          </cell>
          <cell r="S239" t="str">
            <v>I.B patnam</v>
          </cell>
          <cell r="T239">
            <v>85</v>
          </cell>
          <cell r="Y239" t="str">
            <v>Repalle</v>
          </cell>
          <cell r="Z239">
            <v>21</v>
          </cell>
          <cell r="AA239">
            <v>0</v>
          </cell>
        </row>
        <row r="240">
          <cell r="A240">
            <v>236</v>
          </cell>
          <cell r="B240" t="str">
            <v>Muthupalli</v>
          </cell>
          <cell r="C240" t="str">
            <v>Muthupalli Agraharam</v>
          </cell>
          <cell r="D240" t="str">
            <v>Nizampatnam</v>
          </cell>
          <cell r="E240" t="str">
            <v>Local</v>
          </cell>
          <cell r="F240">
            <v>2</v>
          </cell>
          <cell r="G240" t="str">
            <v>Zoolapalem</v>
          </cell>
          <cell r="H240">
            <v>42</v>
          </cell>
          <cell r="I240" t="str">
            <v>Lam</v>
          </cell>
          <cell r="J240">
            <v>69</v>
          </cell>
          <cell r="K240" t="str">
            <v>Kolluru</v>
          </cell>
          <cell r="L240">
            <v>45</v>
          </cell>
          <cell r="M240" t="str">
            <v>Vejandla</v>
          </cell>
          <cell r="N240">
            <v>51</v>
          </cell>
          <cell r="O240" t="str">
            <v>Vejandla</v>
          </cell>
          <cell r="P240">
            <v>51</v>
          </cell>
          <cell r="Q240" t="str">
            <v>Repalle</v>
          </cell>
          <cell r="R240">
            <v>17</v>
          </cell>
          <cell r="S240" t="str">
            <v>I.B patnam</v>
          </cell>
          <cell r="T240">
            <v>85</v>
          </cell>
          <cell r="Y240" t="str">
            <v>Repalle</v>
          </cell>
          <cell r="Z240">
            <v>17</v>
          </cell>
          <cell r="AA240">
            <v>0.2</v>
          </cell>
        </row>
        <row r="241">
          <cell r="A241">
            <v>237</v>
          </cell>
          <cell r="B241" t="str">
            <v>Kothapalem</v>
          </cell>
          <cell r="C241" t="str">
            <v>Nakshtranagar</v>
          </cell>
          <cell r="D241" t="str">
            <v>Nizampatnam</v>
          </cell>
          <cell r="E241" t="str">
            <v>Local</v>
          </cell>
          <cell r="F241">
            <v>2</v>
          </cell>
          <cell r="G241" t="str">
            <v>Zoolapalem</v>
          </cell>
          <cell r="H241">
            <v>38</v>
          </cell>
          <cell r="I241" t="str">
            <v>Lam</v>
          </cell>
          <cell r="J241">
            <v>92</v>
          </cell>
          <cell r="K241" t="str">
            <v>Kolluru</v>
          </cell>
          <cell r="L241">
            <v>51</v>
          </cell>
          <cell r="M241" t="str">
            <v>Vejandla</v>
          </cell>
          <cell r="N241">
            <v>74</v>
          </cell>
          <cell r="O241" t="str">
            <v>Vejandla</v>
          </cell>
          <cell r="P241">
            <v>74</v>
          </cell>
          <cell r="Q241" t="str">
            <v>Repalle</v>
          </cell>
          <cell r="R241">
            <v>23</v>
          </cell>
          <cell r="S241" t="str">
            <v>I.B patnam</v>
          </cell>
          <cell r="T241">
            <v>85</v>
          </cell>
          <cell r="Y241" t="str">
            <v>Repalle</v>
          </cell>
          <cell r="Z241">
            <v>23</v>
          </cell>
          <cell r="AA241">
            <v>0</v>
          </cell>
        </row>
        <row r="242">
          <cell r="A242">
            <v>238</v>
          </cell>
          <cell r="B242" t="str">
            <v>Dindi</v>
          </cell>
          <cell r="C242" t="str">
            <v>Narravaripalem</v>
          </cell>
          <cell r="D242" t="str">
            <v>Nizampatnam</v>
          </cell>
          <cell r="E242" t="str">
            <v>Local</v>
          </cell>
          <cell r="F242">
            <v>2</v>
          </cell>
          <cell r="G242" t="str">
            <v>Zoolapalem</v>
          </cell>
          <cell r="H242">
            <v>43</v>
          </cell>
          <cell r="I242" t="str">
            <v>Lam</v>
          </cell>
          <cell r="J242">
            <v>92</v>
          </cell>
          <cell r="K242" t="str">
            <v>Kolluru</v>
          </cell>
          <cell r="L242">
            <v>55</v>
          </cell>
          <cell r="M242" t="str">
            <v>Vejandla</v>
          </cell>
          <cell r="N242">
            <v>74</v>
          </cell>
          <cell r="O242" t="str">
            <v>Vejandla</v>
          </cell>
          <cell r="P242">
            <v>74</v>
          </cell>
          <cell r="Q242" t="str">
            <v>Repalle</v>
          </cell>
          <cell r="R242">
            <v>27</v>
          </cell>
          <cell r="S242" t="str">
            <v>I.B patnam</v>
          </cell>
          <cell r="T242">
            <v>85</v>
          </cell>
          <cell r="Y242" t="str">
            <v>Repalle</v>
          </cell>
          <cell r="Z242">
            <v>27</v>
          </cell>
          <cell r="AA242">
            <v>0</v>
          </cell>
        </row>
        <row r="243">
          <cell r="A243">
            <v>239</v>
          </cell>
          <cell r="B243" t="str">
            <v>Nizampatnam</v>
          </cell>
          <cell r="C243" t="str">
            <v>Nizampatnam</v>
          </cell>
          <cell r="D243" t="str">
            <v>Nizampatnam</v>
          </cell>
          <cell r="E243" t="str">
            <v>Local</v>
          </cell>
          <cell r="F243">
            <v>2</v>
          </cell>
          <cell r="G243" t="str">
            <v>Zoolapalem</v>
          </cell>
          <cell r="H243">
            <v>41</v>
          </cell>
          <cell r="I243" t="str">
            <v>Lam</v>
          </cell>
          <cell r="J243">
            <v>66</v>
          </cell>
          <cell r="K243" t="str">
            <v>Kolluru</v>
          </cell>
          <cell r="L243">
            <v>53</v>
          </cell>
          <cell r="M243" t="str">
            <v>Vejandla</v>
          </cell>
          <cell r="N243">
            <v>48</v>
          </cell>
          <cell r="O243" t="str">
            <v>Vejandla</v>
          </cell>
          <cell r="P243">
            <v>48</v>
          </cell>
          <cell r="Q243" t="str">
            <v>Repalle</v>
          </cell>
          <cell r="R243">
            <v>25</v>
          </cell>
          <cell r="S243" t="str">
            <v>I.B patnam</v>
          </cell>
          <cell r="T243">
            <v>85</v>
          </cell>
          <cell r="Y243" t="str">
            <v>Repalle</v>
          </cell>
          <cell r="Z243">
            <v>25</v>
          </cell>
          <cell r="AA243">
            <v>0</v>
          </cell>
        </row>
        <row r="244">
          <cell r="A244">
            <v>240</v>
          </cell>
          <cell r="B244" t="str">
            <v>Pallapatla</v>
          </cell>
          <cell r="C244" t="str">
            <v>Pallapatla</v>
          </cell>
          <cell r="D244" t="str">
            <v>Nizampatnam</v>
          </cell>
          <cell r="E244" t="str">
            <v>Local</v>
          </cell>
          <cell r="F244">
            <v>2</v>
          </cell>
          <cell r="G244" t="str">
            <v>Zoolapalem</v>
          </cell>
          <cell r="H244">
            <v>28</v>
          </cell>
          <cell r="I244" t="str">
            <v>Lam</v>
          </cell>
          <cell r="J244">
            <v>74</v>
          </cell>
          <cell r="K244" t="str">
            <v>Kolluru</v>
          </cell>
          <cell r="L244">
            <v>40</v>
          </cell>
          <cell r="M244" t="str">
            <v>Vejandla</v>
          </cell>
          <cell r="N244">
            <v>56</v>
          </cell>
          <cell r="O244" t="str">
            <v>Vejandla</v>
          </cell>
          <cell r="P244">
            <v>56</v>
          </cell>
          <cell r="Q244" t="str">
            <v>Repalle</v>
          </cell>
          <cell r="R244">
            <v>11</v>
          </cell>
          <cell r="S244" t="str">
            <v>I.B patnam</v>
          </cell>
          <cell r="T244">
            <v>85</v>
          </cell>
          <cell r="Y244" t="str">
            <v>Repalle</v>
          </cell>
          <cell r="Z244">
            <v>11</v>
          </cell>
          <cell r="AA244">
            <v>0.2</v>
          </cell>
        </row>
        <row r="245">
          <cell r="A245">
            <v>241</v>
          </cell>
          <cell r="B245" t="str">
            <v>Adavuladeevi</v>
          </cell>
          <cell r="C245" t="str">
            <v>Pallipalem</v>
          </cell>
          <cell r="D245" t="str">
            <v>Nizampatnam</v>
          </cell>
          <cell r="E245" t="str">
            <v>Local</v>
          </cell>
          <cell r="F245">
            <v>2</v>
          </cell>
          <cell r="G245" t="str">
            <v>Zoolapalem</v>
          </cell>
          <cell r="H245">
            <v>37</v>
          </cell>
          <cell r="I245" t="str">
            <v>Lam</v>
          </cell>
          <cell r="J245">
            <v>90</v>
          </cell>
          <cell r="K245" t="str">
            <v>Kolluru</v>
          </cell>
          <cell r="L245">
            <v>49</v>
          </cell>
          <cell r="M245" t="str">
            <v>Vejandla</v>
          </cell>
          <cell r="N245">
            <v>72</v>
          </cell>
          <cell r="O245" t="str">
            <v>Vejandla</v>
          </cell>
          <cell r="P245">
            <v>72</v>
          </cell>
          <cell r="Q245" t="str">
            <v>Repalle</v>
          </cell>
          <cell r="R245">
            <v>21</v>
          </cell>
          <cell r="S245" t="str">
            <v>I.B patnam</v>
          </cell>
          <cell r="T245">
            <v>85</v>
          </cell>
          <cell r="Y245" t="str">
            <v>Repalle</v>
          </cell>
          <cell r="Z245">
            <v>21</v>
          </cell>
          <cell r="AA245">
            <v>0</v>
          </cell>
        </row>
        <row r="246">
          <cell r="A246">
            <v>242</v>
          </cell>
          <cell r="B246" t="str">
            <v>Nizampatnam</v>
          </cell>
          <cell r="C246" t="str">
            <v>Pamarthi</v>
          </cell>
          <cell r="D246" t="str">
            <v>Nizampatnam</v>
          </cell>
          <cell r="E246" t="str">
            <v>Local</v>
          </cell>
          <cell r="F246">
            <v>2</v>
          </cell>
          <cell r="G246" t="str">
            <v>Zoolapalem</v>
          </cell>
          <cell r="H246">
            <v>48</v>
          </cell>
          <cell r="I246" t="str">
            <v>Lam</v>
          </cell>
          <cell r="J246">
            <v>74</v>
          </cell>
          <cell r="K246" t="str">
            <v>Kolluru</v>
          </cell>
          <cell r="L246">
            <v>60</v>
          </cell>
          <cell r="M246" t="str">
            <v>Vejandla</v>
          </cell>
          <cell r="N246">
            <v>56</v>
          </cell>
          <cell r="O246" t="str">
            <v>Vejandla</v>
          </cell>
          <cell r="P246">
            <v>56</v>
          </cell>
          <cell r="Q246" t="str">
            <v>Repalle</v>
          </cell>
          <cell r="R246">
            <v>54</v>
          </cell>
          <cell r="S246" t="str">
            <v>I.B patnam</v>
          </cell>
          <cell r="T246">
            <v>85</v>
          </cell>
          <cell r="Y246" t="str">
            <v>Repalle</v>
          </cell>
          <cell r="Z246">
            <v>54</v>
          </cell>
          <cell r="AA246">
            <v>0</v>
          </cell>
        </row>
        <row r="247">
          <cell r="A247">
            <v>243</v>
          </cell>
          <cell r="B247" t="str">
            <v>Dindi</v>
          </cell>
          <cell r="C247" t="str">
            <v>Parisavaripalem</v>
          </cell>
          <cell r="D247" t="str">
            <v>Nizampatnam</v>
          </cell>
          <cell r="E247" t="str">
            <v>Local</v>
          </cell>
          <cell r="F247">
            <v>2</v>
          </cell>
          <cell r="G247" t="str">
            <v>Zoolapalem</v>
          </cell>
          <cell r="H247">
            <v>44</v>
          </cell>
          <cell r="I247" t="str">
            <v>Lam</v>
          </cell>
          <cell r="J247">
            <v>93</v>
          </cell>
          <cell r="K247" t="str">
            <v>Kolluru</v>
          </cell>
          <cell r="L247">
            <v>56</v>
          </cell>
          <cell r="M247" t="str">
            <v>Vejandla</v>
          </cell>
          <cell r="N247">
            <v>75</v>
          </cell>
          <cell r="O247" t="str">
            <v>Vejandla</v>
          </cell>
          <cell r="P247">
            <v>75</v>
          </cell>
          <cell r="Q247" t="str">
            <v>Repalle</v>
          </cell>
          <cell r="R247">
            <v>28</v>
          </cell>
          <cell r="S247" t="str">
            <v>I.B patnam</v>
          </cell>
          <cell r="T247">
            <v>85</v>
          </cell>
          <cell r="Y247" t="str">
            <v>Repalle</v>
          </cell>
          <cell r="Z247">
            <v>28</v>
          </cell>
          <cell r="AA247">
            <v>0</v>
          </cell>
        </row>
        <row r="248">
          <cell r="A248">
            <v>244</v>
          </cell>
          <cell r="B248" t="str">
            <v>Nizampatnam</v>
          </cell>
          <cell r="C248" t="str">
            <v>Pasumarthivaripalem</v>
          </cell>
          <cell r="D248" t="str">
            <v>Nizampatnam</v>
          </cell>
          <cell r="E248" t="str">
            <v>Local</v>
          </cell>
          <cell r="F248">
            <v>2</v>
          </cell>
          <cell r="G248" t="str">
            <v>Zoolapalem</v>
          </cell>
          <cell r="H248">
            <v>44</v>
          </cell>
          <cell r="I248" t="str">
            <v>Lam</v>
          </cell>
          <cell r="J248">
            <v>69</v>
          </cell>
          <cell r="K248" t="str">
            <v>Kolluru</v>
          </cell>
          <cell r="L248">
            <v>56</v>
          </cell>
          <cell r="M248" t="str">
            <v>Vejandla</v>
          </cell>
          <cell r="N248">
            <v>51</v>
          </cell>
          <cell r="O248" t="str">
            <v>Vejandla</v>
          </cell>
          <cell r="P248">
            <v>51</v>
          </cell>
          <cell r="Q248" t="str">
            <v>Repalle</v>
          </cell>
          <cell r="R248">
            <v>28</v>
          </cell>
          <cell r="S248" t="str">
            <v>I.B patnam</v>
          </cell>
          <cell r="T248">
            <v>85</v>
          </cell>
          <cell r="Y248" t="str">
            <v>Repalle</v>
          </cell>
          <cell r="Z248">
            <v>28</v>
          </cell>
          <cell r="AA248">
            <v>0</v>
          </cell>
        </row>
        <row r="249">
          <cell r="A249">
            <v>245</v>
          </cell>
          <cell r="B249" t="str">
            <v>Kothapalem</v>
          </cell>
          <cell r="C249" t="str">
            <v>Pathuru H/O Kothapalem</v>
          </cell>
          <cell r="D249" t="str">
            <v>Nizampatnam</v>
          </cell>
          <cell r="E249" t="str">
            <v>Local</v>
          </cell>
          <cell r="F249">
            <v>2</v>
          </cell>
          <cell r="G249" t="str">
            <v>Zoolapalem</v>
          </cell>
          <cell r="H249">
            <v>43</v>
          </cell>
          <cell r="I249" t="str">
            <v>Lam</v>
          </cell>
          <cell r="J249">
            <v>96</v>
          </cell>
          <cell r="K249" t="str">
            <v>Kolluru</v>
          </cell>
          <cell r="L249">
            <v>53</v>
          </cell>
          <cell r="M249" t="str">
            <v>Vejandla</v>
          </cell>
          <cell r="N249">
            <v>78</v>
          </cell>
          <cell r="O249" t="str">
            <v>Vejandla</v>
          </cell>
          <cell r="P249">
            <v>78</v>
          </cell>
          <cell r="Q249" t="str">
            <v>Repalle</v>
          </cell>
          <cell r="R249">
            <v>25</v>
          </cell>
          <cell r="S249" t="str">
            <v>I.B patnam</v>
          </cell>
          <cell r="T249">
            <v>85</v>
          </cell>
          <cell r="Y249" t="str">
            <v>Repalle</v>
          </cell>
          <cell r="Z249">
            <v>25</v>
          </cell>
          <cell r="AA249">
            <v>0</v>
          </cell>
        </row>
        <row r="250">
          <cell r="A250">
            <v>246</v>
          </cell>
          <cell r="B250" t="str">
            <v>Garuvupalem</v>
          </cell>
          <cell r="C250" t="str">
            <v>Pillavaripalem</v>
          </cell>
          <cell r="D250" t="str">
            <v>Nizampatnam</v>
          </cell>
          <cell r="E250" t="str">
            <v>Local</v>
          </cell>
          <cell r="F250">
            <v>2</v>
          </cell>
          <cell r="G250" t="str">
            <v>Zoolapalem</v>
          </cell>
          <cell r="H250">
            <v>35</v>
          </cell>
          <cell r="I250" t="str">
            <v>Lam</v>
          </cell>
          <cell r="J250">
            <v>83</v>
          </cell>
          <cell r="K250" t="str">
            <v>Kolluru</v>
          </cell>
          <cell r="L250">
            <v>47</v>
          </cell>
          <cell r="M250" t="str">
            <v>Vejandla</v>
          </cell>
          <cell r="N250">
            <v>65</v>
          </cell>
          <cell r="O250" t="str">
            <v>Vejandla</v>
          </cell>
          <cell r="P250">
            <v>65</v>
          </cell>
          <cell r="Q250" t="str">
            <v>Repalle</v>
          </cell>
          <cell r="R250">
            <v>19</v>
          </cell>
          <cell r="S250" t="str">
            <v>I.B patnam</v>
          </cell>
          <cell r="T250">
            <v>85</v>
          </cell>
          <cell r="Y250" t="str">
            <v>Repalle</v>
          </cell>
          <cell r="Z250">
            <v>19</v>
          </cell>
          <cell r="AA250">
            <v>0.2</v>
          </cell>
        </row>
        <row r="251">
          <cell r="A251">
            <v>247</v>
          </cell>
          <cell r="B251" t="str">
            <v>Pregnam</v>
          </cell>
          <cell r="C251" t="str">
            <v>Pregnam</v>
          </cell>
          <cell r="D251" t="str">
            <v>Nizampatnam</v>
          </cell>
          <cell r="E251" t="str">
            <v>Local</v>
          </cell>
          <cell r="F251">
            <v>2</v>
          </cell>
          <cell r="G251" t="str">
            <v>Zoolapalem</v>
          </cell>
          <cell r="H251">
            <v>36</v>
          </cell>
          <cell r="I251" t="str">
            <v>Lam</v>
          </cell>
          <cell r="J251">
            <v>84</v>
          </cell>
          <cell r="K251" t="str">
            <v>Kolluru</v>
          </cell>
          <cell r="L251">
            <v>47</v>
          </cell>
          <cell r="M251" t="str">
            <v>Vejandla</v>
          </cell>
          <cell r="N251">
            <v>67</v>
          </cell>
          <cell r="O251" t="str">
            <v>Vejandla</v>
          </cell>
          <cell r="P251">
            <v>67</v>
          </cell>
          <cell r="Q251" t="str">
            <v>Repalle</v>
          </cell>
          <cell r="R251">
            <v>20</v>
          </cell>
          <cell r="S251" t="str">
            <v>I.B patnam</v>
          </cell>
          <cell r="T251">
            <v>85</v>
          </cell>
          <cell r="Y251" t="str">
            <v>Repalle</v>
          </cell>
          <cell r="Z251">
            <v>20</v>
          </cell>
          <cell r="AA251">
            <v>0</v>
          </cell>
        </row>
        <row r="252">
          <cell r="A252">
            <v>248</v>
          </cell>
          <cell r="B252" t="str">
            <v>Kuchinapudi</v>
          </cell>
          <cell r="C252" t="str">
            <v>Pullameraka</v>
          </cell>
          <cell r="D252" t="str">
            <v>Nizampatnam</v>
          </cell>
          <cell r="E252" t="str">
            <v>Local</v>
          </cell>
          <cell r="F252">
            <v>2</v>
          </cell>
          <cell r="G252" t="str">
            <v>Zoolapalem</v>
          </cell>
          <cell r="H252">
            <v>30</v>
          </cell>
          <cell r="I252" t="str">
            <v>Lam</v>
          </cell>
          <cell r="J252">
            <v>79</v>
          </cell>
          <cell r="K252" t="str">
            <v>Kolluru</v>
          </cell>
          <cell r="L252">
            <v>42</v>
          </cell>
          <cell r="M252" t="str">
            <v>Vejandla</v>
          </cell>
          <cell r="N252">
            <v>61</v>
          </cell>
          <cell r="O252" t="str">
            <v>Vejandla</v>
          </cell>
          <cell r="P252">
            <v>61</v>
          </cell>
          <cell r="Q252" t="str">
            <v>Repalle</v>
          </cell>
          <cell r="R252">
            <v>14</v>
          </cell>
          <cell r="S252" t="str">
            <v>I.B patnam</v>
          </cell>
          <cell r="T252">
            <v>85</v>
          </cell>
          <cell r="Y252" t="str">
            <v>Repalle</v>
          </cell>
          <cell r="Z252">
            <v>14</v>
          </cell>
          <cell r="AA252">
            <v>0.2</v>
          </cell>
        </row>
        <row r="253">
          <cell r="A253">
            <v>249</v>
          </cell>
          <cell r="B253" t="str">
            <v>Pallapatla</v>
          </cell>
          <cell r="C253" t="str">
            <v>Puttavaripalem</v>
          </cell>
          <cell r="D253" t="str">
            <v>Nizampatnam</v>
          </cell>
          <cell r="E253" t="str">
            <v>Local</v>
          </cell>
          <cell r="F253">
            <v>2</v>
          </cell>
          <cell r="G253" t="str">
            <v>Zoolapalem</v>
          </cell>
          <cell r="H253">
            <v>29</v>
          </cell>
          <cell r="I253" t="str">
            <v>Lam</v>
          </cell>
          <cell r="J253">
            <v>76</v>
          </cell>
          <cell r="K253" t="str">
            <v>Kolluru</v>
          </cell>
          <cell r="L253">
            <v>40</v>
          </cell>
          <cell r="M253" t="str">
            <v>Vejandla</v>
          </cell>
          <cell r="N253">
            <v>58</v>
          </cell>
          <cell r="O253" t="str">
            <v>Vejandla</v>
          </cell>
          <cell r="P253">
            <v>58</v>
          </cell>
          <cell r="Q253" t="str">
            <v>Repalle</v>
          </cell>
          <cell r="R253">
            <v>11</v>
          </cell>
          <cell r="S253" t="str">
            <v>I.B patnam</v>
          </cell>
          <cell r="T253">
            <v>85</v>
          </cell>
          <cell r="Y253" t="str">
            <v>Repalle</v>
          </cell>
          <cell r="Z253">
            <v>11</v>
          </cell>
          <cell r="AA253">
            <v>0.2</v>
          </cell>
        </row>
        <row r="254">
          <cell r="A254">
            <v>250</v>
          </cell>
          <cell r="B254" t="str">
            <v>Adavuladeevi</v>
          </cell>
          <cell r="C254" t="str">
            <v>Rajakapalem H/O Adavuladeevi</v>
          </cell>
          <cell r="D254" t="str">
            <v>Nizampatnam</v>
          </cell>
          <cell r="E254" t="str">
            <v>Local</v>
          </cell>
          <cell r="F254">
            <v>2</v>
          </cell>
          <cell r="G254" t="str">
            <v>Zoolapalem</v>
          </cell>
          <cell r="H254">
            <v>36</v>
          </cell>
          <cell r="I254" t="str">
            <v>Lam</v>
          </cell>
          <cell r="J254">
            <v>89</v>
          </cell>
          <cell r="K254" t="str">
            <v>Kolluru</v>
          </cell>
          <cell r="L254">
            <v>48</v>
          </cell>
          <cell r="M254" t="str">
            <v>Vejandla</v>
          </cell>
          <cell r="N254">
            <v>71</v>
          </cell>
          <cell r="O254" t="str">
            <v>Vejandla</v>
          </cell>
          <cell r="P254">
            <v>71</v>
          </cell>
          <cell r="Q254" t="str">
            <v>Repalle</v>
          </cell>
          <cell r="R254">
            <v>20</v>
          </cell>
          <cell r="S254" t="str">
            <v>I.B patnam</v>
          </cell>
          <cell r="T254">
            <v>85</v>
          </cell>
          <cell r="Y254" t="str">
            <v>Repalle</v>
          </cell>
          <cell r="Z254">
            <v>20</v>
          </cell>
          <cell r="AA254">
            <v>0</v>
          </cell>
        </row>
        <row r="255">
          <cell r="A255">
            <v>251</v>
          </cell>
          <cell r="B255" t="str">
            <v>Adavuladeevi</v>
          </cell>
          <cell r="C255" t="str">
            <v>Ramakrishnapuram</v>
          </cell>
          <cell r="D255" t="str">
            <v>Nizampatnam</v>
          </cell>
          <cell r="E255" t="str">
            <v>Local</v>
          </cell>
          <cell r="F255">
            <v>2</v>
          </cell>
          <cell r="G255" t="str">
            <v>Zoolapalem</v>
          </cell>
          <cell r="H255">
            <v>36</v>
          </cell>
          <cell r="I255" t="str">
            <v>Lam</v>
          </cell>
          <cell r="J255">
            <v>89</v>
          </cell>
          <cell r="K255" t="str">
            <v>Kolluru</v>
          </cell>
          <cell r="L255">
            <v>48</v>
          </cell>
          <cell r="M255" t="str">
            <v>Vejandla</v>
          </cell>
          <cell r="N255">
            <v>71</v>
          </cell>
          <cell r="O255" t="str">
            <v>Vejandla</v>
          </cell>
          <cell r="P255">
            <v>71</v>
          </cell>
          <cell r="Q255" t="str">
            <v>Repalle</v>
          </cell>
          <cell r="R255">
            <v>20</v>
          </cell>
          <cell r="S255" t="str">
            <v>I.B patnam</v>
          </cell>
          <cell r="T255">
            <v>85</v>
          </cell>
          <cell r="Y255" t="str">
            <v>Repalle</v>
          </cell>
          <cell r="Z255">
            <v>20</v>
          </cell>
          <cell r="AA255">
            <v>0</v>
          </cell>
        </row>
        <row r="256">
          <cell r="A256">
            <v>252</v>
          </cell>
          <cell r="B256" t="str">
            <v>Kothapalem</v>
          </cell>
          <cell r="C256" t="str">
            <v>Sanjeevanagar</v>
          </cell>
          <cell r="D256" t="str">
            <v>Nizampatnam</v>
          </cell>
          <cell r="E256" t="str">
            <v>Local</v>
          </cell>
          <cell r="F256">
            <v>2</v>
          </cell>
          <cell r="G256" t="str">
            <v>Zoolapalem</v>
          </cell>
          <cell r="H256">
            <v>39</v>
          </cell>
          <cell r="I256" t="str">
            <v>Lam</v>
          </cell>
          <cell r="J256">
            <v>92</v>
          </cell>
          <cell r="K256" t="str">
            <v>Kolluru</v>
          </cell>
          <cell r="L256">
            <v>51</v>
          </cell>
          <cell r="M256" t="str">
            <v>Vejandla</v>
          </cell>
          <cell r="N256">
            <v>74</v>
          </cell>
          <cell r="O256" t="str">
            <v>Vejandla</v>
          </cell>
          <cell r="P256">
            <v>74</v>
          </cell>
          <cell r="Q256" t="str">
            <v>Repalle</v>
          </cell>
          <cell r="R256">
            <v>23</v>
          </cell>
          <cell r="S256" t="str">
            <v>I.B patnam</v>
          </cell>
          <cell r="T256">
            <v>85</v>
          </cell>
          <cell r="Y256" t="str">
            <v>Repalle</v>
          </cell>
          <cell r="Z256">
            <v>23</v>
          </cell>
          <cell r="AA256">
            <v>0</v>
          </cell>
        </row>
        <row r="257">
          <cell r="A257">
            <v>253</v>
          </cell>
          <cell r="B257" t="str">
            <v>Kothapalem</v>
          </cell>
          <cell r="C257" t="str">
            <v>Sardhanagar Colony</v>
          </cell>
          <cell r="D257" t="str">
            <v>Nizampatnam</v>
          </cell>
          <cell r="E257" t="str">
            <v>Local</v>
          </cell>
          <cell r="F257">
            <v>2</v>
          </cell>
          <cell r="G257" t="str">
            <v>Zoolapalem</v>
          </cell>
          <cell r="H257">
            <v>42</v>
          </cell>
          <cell r="I257" t="str">
            <v>Lam</v>
          </cell>
          <cell r="J257">
            <v>95</v>
          </cell>
          <cell r="K257" t="str">
            <v>Kolluru</v>
          </cell>
          <cell r="L257">
            <v>54</v>
          </cell>
          <cell r="M257" t="str">
            <v>Vejandla</v>
          </cell>
          <cell r="N257">
            <v>77</v>
          </cell>
          <cell r="O257" t="str">
            <v>Vejandla</v>
          </cell>
          <cell r="P257">
            <v>77</v>
          </cell>
          <cell r="Q257" t="str">
            <v>Repalle</v>
          </cell>
          <cell r="R257">
            <v>26</v>
          </cell>
          <cell r="S257" t="str">
            <v>I.B patnam</v>
          </cell>
          <cell r="T257">
            <v>85</v>
          </cell>
          <cell r="Y257" t="str">
            <v>Repalle</v>
          </cell>
          <cell r="Z257">
            <v>26</v>
          </cell>
          <cell r="AA257">
            <v>0</v>
          </cell>
        </row>
        <row r="258">
          <cell r="A258">
            <v>254</v>
          </cell>
          <cell r="B258" t="str">
            <v>Kothapalem</v>
          </cell>
          <cell r="C258" t="str">
            <v>Tallathippa</v>
          </cell>
          <cell r="D258" t="str">
            <v>Nizampatnam</v>
          </cell>
          <cell r="E258" t="str">
            <v>Local</v>
          </cell>
          <cell r="F258">
            <v>2</v>
          </cell>
          <cell r="G258" t="str">
            <v>Zoolapalem</v>
          </cell>
          <cell r="H258">
            <v>40</v>
          </cell>
          <cell r="I258" t="str">
            <v>Lam</v>
          </cell>
          <cell r="J258">
            <v>97</v>
          </cell>
          <cell r="K258" t="str">
            <v>Kolluru</v>
          </cell>
          <cell r="L258">
            <v>52</v>
          </cell>
          <cell r="M258" t="str">
            <v>Vejandla</v>
          </cell>
          <cell r="N258">
            <v>79</v>
          </cell>
          <cell r="O258" t="str">
            <v>Vejandla</v>
          </cell>
          <cell r="P258">
            <v>79</v>
          </cell>
          <cell r="Q258" t="str">
            <v>Repalle</v>
          </cell>
          <cell r="R258">
            <v>24</v>
          </cell>
          <cell r="S258" t="str">
            <v>I.B patnam</v>
          </cell>
          <cell r="T258">
            <v>85</v>
          </cell>
          <cell r="Y258" t="str">
            <v>Repalle</v>
          </cell>
          <cell r="Z258">
            <v>24</v>
          </cell>
          <cell r="AA258">
            <v>0</v>
          </cell>
        </row>
        <row r="259">
          <cell r="A259">
            <v>255</v>
          </cell>
          <cell r="B259" t="str">
            <v>Nizampatnam</v>
          </cell>
          <cell r="C259" t="str">
            <v>Thomaspet</v>
          </cell>
          <cell r="D259" t="str">
            <v>Nizampatnam</v>
          </cell>
          <cell r="E259" t="str">
            <v>Local</v>
          </cell>
          <cell r="F259">
            <v>2</v>
          </cell>
          <cell r="G259" t="str">
            <v>Zoolapalem</v>
          </cell>
          <cell r="H259">
            <v>42</v>
          </cell>
          <cell r="I259" t="str">
            <v>Lam</v>
          </cell>
          <cell r="J259">
            <v>67</v>
          </cell>
          <cell r="K259" t="str">
            <v>Kolluru</v>
          </cell>
          <cell r="L259">
            <v>54</v>
          </cell>
          <cell r="M259" t="str">
            <v>Vejandla</v>
          </cell>
          <cell r="N259">
            <v>49</v>
          </cell>
          <cell r="O259" t="str">
            <v>Vejandla</v>
          </cell>
          <cell r="P259">
            <v>49</v>
          </cell>
          <cell r="Q259" t="str">
            <v>Repalle</v>
          </cell>
          <cell r="R259">
            <v>26</v>
          </cell>
          <cell r="S259" t="str">
            <v>I.B patnam</v>
          </cell>
          <cell r="T259">
            <v>85</v>
          </cell>
          <cell r="Y259" t="str">
            <v>Repalle</v>
          </cell>
          <cell r="Z259">
            <v>26</v>
          </cell>
          <cell r="AA259">
            <v>0</v>
          </cell>
        </row>
        <row r="260">
          <cell r="A260">
            <v>256</v>
          </cell>
          <cell r="B260" t="str">
            <v>Adavuladeevi</v>
          </cell>
          <cell r="C260" t="str">
            <v>Thotavaripalem</v>
          </cell>
          <cell r="D260" t="str">
            <v>Nizampatnam</v>
          </cell>
          <cell r="E260" t="str">
            <v>Local</v>
          </cell>
          <cell r="F260">
            <v>2</v>
          </cell>
          <cell r="G260" t="str">
            <v>Zoolapalem</v>
          </cell>
          <cell r="H260">
            <v>40</v>
          </cell>
          <cell r="I260" t="str">
            <v>Lam</v>
          </cell>
          <cell r="J260">
            <v>93</v>
          </cell>
          <cell r="K260" t="str">
            <v>Kolluru</v>
          </cell>
          <cell r="L260">
            <v>52</v>
          </cell>
          <cell r="M260" t="str">
            <v>Vejandla</v>
          </cell>
          <cell r="N260">
            <v>75</v>
          </cell>
          <cell r="O260" t="str">
            <v>Vejandla</v>
          </cell>
          <cell r="P260">
            <v>75</v>
          </cell>
          <cell r="Q260" t="str">
            <v>Repalle</v>
          </cell>
          <cell r="R260">
            <v>24</v>
          </cell>
          <cell r="S260" t="str">
            <v>I.B patnam</v>
          </cell>
          <cell r="T260">
            <v>85</v>
          </cell>
          <cell r="Y260" t="str">
            <v>Repalle</v>
          </cell>
          <cell r="Z260">
            <v>24</v>
          </cell>
          <cell r="AA260">
            <v>0</v>
          </cell>
        </row>
        <row r="261">
          <cell r="A261">
            <v>257</v>
          </cell>
          <cell r="B261" t="str">
            <v>Bavajiaplem</v>
          </cell>
          <cell r="C261" t="str">
            <v>Totakuravaripalem</v>
          </cell>
          <cell r="D261" t="str">
            <v>Nizampatnam</v>
          </cell>
          <cell r="E261" t="str">
            <v>Local</v>
          </cell>
          <cell r="F261">
            <v>2</v>
          </cell>
          <cell r="G261" t="str">
            <v>Zoolapalem</v>
          </cell>
          <cell r="H261">
            <v>42</v>
          </cell>
          <cell r="I261" t="str">
            <v>Lam</v>
          </cell>
          <cell r="J261">
            <v>67</v>
          </cell>
          <cell r="K261" t="str">
            <v>Kolluru</v>
          </cell>
          <cell r="L261">
            <v>54</v>
          </cell>
          <cell r="M261" t="str">
            <v>Vejandla</v>
          </cell>
          <cell r="N261">
            <v>49</v>
          </cell>
          <cell r="O261" t="str">
            <v>Vejandla</v>
          </cell>
          <cell r="P261">
            <v>49</v>
          </cell>
          <cell r="Q261" t="str">
            <v>Repalle</v>
          </cell>
          <cell r="R261">
            <v>26</v>
          </cell>
          <cell r="S261" t="str">
            <v>I.B patnam</v>
          </cell>
          <cell r="T261">
            <v>85</v>
          </cell>
          <cell r="Y261" t="str">
            <v>Repalle</v>
          </cell>
          <cell r="Z261">
            <v>26</v>
          </cell>
          <cell r="AA261">
            <v>0</v>
          </cell>
        </row>
        <row r="262">
          <cell r="A262">
            <v>258</v>
          </cell>
          <cell r="B262" t="str">
            <v>Kothapalem</v>
          </cell>
          <cell r="C262" t="str">
            <v>Varmapuram</v>
          </cell>
          <cell r="D262" t="str">
            <v>Nizampatnam</v>
          </cell>
          <cell r="E262" t="str">
            <v>Local</v>
          </cell>
          <cell r="F262">
            <v>2</v>
          </cell>
          <cell r="G262" t="str">
            <v>Zoolapalem</v>
          </cell>
          <cell r="H262">
            <v>42</v>
          </cell>
          <cell r="I262" t="str">
            <v>Lam</v>
          </cell>
          <cell r="J262">
            <v>95</v>
          </cell>
          <cell r="K262" t="str">
            <v>Kolluru</v>
          </cell>
          <cell r="L262">
            <v>54</v>
          </cell>
          <cell r="M262" t="str">
            <v>Vejandla</v>
          </cell>
          <cell r="N262">
            <v>77</v>
          </cell>
          <cell r="O262" t="str">
            <v>Vejandla</v>
          </cell>
          <cell r="P262">
            <v>77</v>
          </cell>
          <cell r="Q262" t="str">
            <v>Repalle</v>
          </cell>
          <cell r="R262">
            <v>26</v>
          </cell>
          <cell r="S262" t="str">
            <v>I.B patnam</v>
          </cell>
          <cell r="T262">
            <v>85</v>
          </cell>
          <cell r="Y262" t="str">
            <v>Repalle</v>
          </cell>
          <cell r="Z262">
            <v>26</v>
          </cell>
          <cell r="AA262">
            <v>0</v>
          </cell>
        </row>
        <row r="263">
          <cell r="A263">
            <v>259</v>
          </cell>
          <cell r="B263" t="str">
            <v>Adavuladeevi</v>
          </cell>
          <cell r="C263" t="str">
            <v>Veerankivaripalem</v>
          </cell>
          <cell r="D263" t="str">
            <v>Nizampatnam</v>
          </cell>
          <cell r="E263" t="str">
            <v>Local</v>
          </cell>
          <cell r="F263">
            <v>2</v>
          </cell>
          <cell r="G263" t="str">
            <v>Zoolapalem</v>
          </cell>
          <cell r="H263">
            <v>36</v>
          </cell>
          <cell r="I263" t="str">
            <v>Lam</v>
          </cell>
          <cell r="J263">
            <v>89</v>
          </cell>
          <cell r="K263" t="str">
            <v>Kolluru</v>
          </cell>
          <cell r="L263">
            <v>48</v>
          </cell>
          <cell r="M263" t="str">
            <v>Vejandla</v>
          </cell>
          <cell r="N263">
            <v>71</v>
          </cell>
          <cell r="O263" t="str">
            <v>Vejandla</v>
          </cell>
          <cell r="P263">
            <v>71</v>
          </cell>
          <cell r="Q263" t="str">
            <v>Repalle</v>
          </cell>
          <cell r="R263">
            <v>20</v>
          </cell>
          <cell r="S263" t="str">
            <v>I.B patnam</v>
          </cell>
          <cell r="T263">
            <v>85</v>
          </cell>
          <cell r="Y263" t="str">
            <v>Repalle</v>
          </cell>
          <cell r="Z263">
            <v>20</v>
          </cell>
          <cell r="AA263">
            <v>0</v>
          </cell>
        </row>
        <row r="264">
          <cell r="A264">
            <v>260</v>
          </cell>
          <cell r="B264" t="str">
            <v>Kuchinapudi</v>
          </cell>
          <cell r="C264" t="str">
            <v>Yeminenivaripalem</v>
          </cell>
          <cell r="D264" t="str">
            <v>Nizampatnam</v>
          </cell>
          <cell r="E264" t="str">
            <v>Local</v>
          </cell>
          <cell r="F264">
            <v>2</v>
          </cell>
          <cell r="G264" t="str">
            <v>Zoolapalem</v>
          </cell>
          <cell r="H264">
            <v>45</v>
          </cell>
          <cell r="I264" t="str">
            <v>Lam</v>
          </cell>
          <cell r="J264">
            <v>94</v>
          </cell>
          <cell r="K264" t="str">
            <v>Kolluru</v>
          </cell>
          <cell r="L264">
            <v>57</v>
          </cell>
          <cell r="M264" t="str">
            <v>Vejandla</v>
          </cell>
          <cell r="N264">
            <v>76</v>
          </cell>
          <cell r="O264" t="str">
            <v>Vejandla</v>
          </cell>
          <cell r="P264">
            <v>76</v>
          </cell>
          <cell r="Q264" t="str">
            <v>Repalle</v>
          </cell>
          <cell r="R264">
            <v>29</v>
          </cell>
          <cell r="S264" t="str">
            <v>I.B patnam</v>
          </cell>
          <cell r="T264">
            <v>85</v>
          </cell>
          <cell r="Y264" t="str">
            <v>Repalle</v>
          </cell>
          <cell r="Z264">
            <v>29</v>
          </cell>
          <cell r="AA264">
            <v>0.2</v>
          </cell>
        </row>
        <row r="265">
          <cell r="A265">
            <v>261</v>
          </cell>
          <cell r="B265" t="str">
            <v>Kothapalem</v>
          </cell>
          <cell r="C265" t="str">
            <v>Zoolu</v>
          </cell>
          <cell r="D265" t="str">
            <v>Nizampatnam</v>
          </cell>
          <cell r="E265" t="str">
            <v>Local</v>
          </cell>
          <cell r="F265">
            <v>2</v>
          </cell>
          <cell r="G265" t="str">
            <v>Zoolapalem</v>
          </cell>
          <cell r="H265">
            <v>42</v>
          </cell>
          <cell r="I265" t="str">
            <v>Lam</v>
          </cell>
          <cell r="J265">
            <v>95</v>
          </cell>
          <cell r="K265" t="str">
            <v>Kolluru</v>
          </cell>
          <cell r="L265">
            <v>54</v>
          </cell>
          <cell r="M265" t="str">
            <v>Vejandla</v>
          </cell>
          <cell r="N265">
            <v>77</v>
          </cell>
          <cell r="O265" t="str">
            <v>Vejandla</v>
          </cell>
          <cell r="P265">
            <v>77</v>
          </cell>
          <cell r="Q265" t="str">
            <v>Repalle</v>
          </cell>
          <cell r="R265">
            <v>26</v>
          </cell>
          <cell r="S265" t="str">
            <v>I.B patnam</v>
          </cell>
          <cell r="T265">
            <v>85</v>
          </cell>
          <cell r="Y265" t="str">
            <v>Repalle</v>
          </cell>
          <cell r="Z265">
            <v>26</v>
          </cell>
          <cell r="AA265">
            <v>0</v>
          </cell>
        </row>
        <row r="266">
          <cell r="A266">
            <v>262</v>
          </cell>
          <cell r="B266" t="str">
            <v>Gangadipalem</v>
          </cell>
          <cell r="C266" t="str">
            <v>Adavipalem</v>
          </cell>
          <cell r="D266" t="str">
            <v>Repalle</v>
          </cell>
          <cell r="E266" t="str">
            <v>Local</v>
          </cell>
          <cell r="F266">
            <v>5</v>
          </cell>
          <cell r="G266" t="str">
            <v>Zoolapalem</v>
          </cell>
          <cell r="H266">
            <v>35.9</v>
          </cell>
          <cell r="I266" t="str">
            <v>Lam</v>
          </cell>
          <cell r="J266">
            <v>104.7</v>
          </cell>
          <cell r="K266" t="str">
            <v>Kolluru</v>
          </cell>
          <cell r="L266">
            <v>51.1</v>
          </cell>
          <cell r="M266" t="str">
            <v>Vejandla</v>
          </cell>
          <cell r="N266">
            <v>82.7</v>
          </cell>
          <cell r="O266" t="str">
            <v>Vejandla</v>
          </cell>
          <cell r="P266">
            <v>82.7</v>
          </cell>
          <cell r="Q266" t="str">
            <v>Repalle</v>
          </cell>
          <cell r="R266">
            <v>23.7</v>
          </cell>
          <cell r="S266" t="str">
            <v>I.B patnam</v>
          </cell>
          <cell r="T266">
            <v>85</v>
          </cell>
          <cell r="Y266" t="str">
            <v>Repalle</v>
          </cell>
          <cell r="Z266">
            <v>23.7</v>
          </cell>
          <cell r="AA266">
            <v>0</v>
          </cell>
        </row>
        <row r="267">
          <cell r="A267">
            <v>263</v>
          </cell>
          <cell r="B267" t="str">
            <v>Aravapalli</v>
          </cell>
          <cell r="C267" t="str">
            <v>Aravapalli</v>
          </cell>
          <cell r="D267" t="str">
            <v>Repalle</v>
          </cell>
          <cell r="E267" t="str">
            <v>Penumudi</v>
          </cell>
          <cell r="F267">
            <v>5.7</v>
          </cell>
          <cell r="G267" t="str">
            <v>Zoolapalem</v>
          </cell>
          <cell r="H267">
            <v>20.9</v>
          </cell>
          <cell r="I267" t="str">
            <v>Lam</v>
          </cell>
          <cell r="J267">
            <v>83.7</v>
          </cell>
          <cell r="K267" t="str">
            <v>Kolluru</v>
          </cell>
          <cell r="L267">
            <v>34.1</v>
          </cell>
          <cell r="M267" t="str">
            <v>Vejandla</v>
          </cell>
          <cell r="N267">
            <v>60.7</v>
          </cell>
          <cell r="O267" t="str">
            <v>Vejandla</v>
          </cell>
          <cell r="P267">
            <v>60.7</v>
          </cell>
          <cell r="Q267" t="str">
            <v>Repalle</v>
          </cell>
          <cell r="R267">
            <v>4.4000000000000004</v>
          </cell>
          <cell r="S267" t="str">
            <v>I.B patnam</v>
          </cell>
          <cell r="T267">
            <v>85</v>
          </cell>
          <cell r="Y267" t="str">
            <v>Repalle</v>
          </cell>
          <cell r="Z267">
            <v>4.4000000000000004</v>
          </cell>
          <cell r="AA267">
            <v>0.2</v>
          </cell>
        </row>
        <row r="268">
          <cell r="A268">
            <v>264</v>
          </cell>
          <cell r="B268" t="str">
            <v>Potumeraka</v>
          </cell>
          <cell r="C268" t="str">
            <v>Banikollamotu</v>
          </cell>
          <cell r="D268" t="str">
            <v>Repalle</v>
          </cell>
          <cell r="E268" t="str">
            <v>Penumudi</v>
          </cell>
          <cell r="F268">
            <v>20</v>
          </cell>
          <cell r="G268" t="str">
            <v>Zoolapalem</v>
          </cell>
          <cell r="H268">
            <v>34.299999999999997</v>
          </cell>
          <cell r="I268" t="str">
            <v>Lam</v>
          </cell>
          <cell r="J268">
            <v>98</v>
          </cell>
          <cell r="K268" t="str">
            <v>Kolluru</v>
          </cell>
          <cell r="L268">
            <v>48.4</v>
          </cell>
          <cell r="M268" t="str">
            <v>Vejandla</v>
          </cell>
          <cell r="N268">
            <v>75</v>
          </cell>
          <cell r="O268" t="str">
            <v>Vejandla</v>
          </cell>
          <cell r="P268">
            <v>75</v>
          </cell>
          <cell r="Q268" t="str">
            <v>Repalle</v>
          </cell>
          <cell r="R268">
            <v>16.3</v>
          </cell>
          <cell r="S268" t="str">
            <v>I.B patnam</v>
          </cell>
          <cell r="T268">
            <v>85</v>
          </cell>
          <cell r="Y268" t="str">
            <v>Repalle</v>
          </cell>
          <cell r="Z268">
            <v>16.3</v>
          </cell>
          <cell r="AA268">
            <v>0.2</v>
          </cell>
        </row>
        <row r="269">
          <cell r="A269">
            <v>265</v>
          </cell>
          <cell r="B269" t="str">
            <v>Bethapudi</v>
          </cell>
          <cell r="C269" t="str">
            <v>Betapudi</v>
          </cell>
          <cell r="D269" t="str">
            <v>Repalle</v>
          </cell>
          <cell r="E269" t="str">
            <v>Penumudi</v>
          </cell>
          <cell r="F269">
            <v>5</v>
          </cell>
          <cell r="G269" t="str">
            <v>Zoolapalem</v>
          </cell>
          <cell r="H269">
            <v>21.5</v>
          </cell>
          <cell r="I269" t="str">
            <v>Lam</v>
          </cell>
          <cell r="J269">
            <v>79.5</v>
          </cell>
          <cell r="K269" t="str">
            <v>Kolluru</v>
          </cell>
          <cell r="L269">
            <v>26.9</v>
          </cell>
          <cell r="M269" t="str">
            <v>Vejandla</v>
          </cell>
          <cell r="N269">
            <v>56.5</v>
          </cell>
          <cell r="O269" t="str">
            <v>Vejandla</v>
          </cell>
          <cell r="P269">
            <v>56.5</v>
          </cell>
          <cell r="Q269" t="str">
            <v>Repalle</v>
          </cell>
          <cell r="R269">
            <v>2.9</v>
          </cell>
          <cell r="S269" t="str">
            <v>I.B patnam</v>
          </cell>
          <cell r="T269">
            <v>85</v>
          </cell>
          <cell r="Y269" t="str">
            <v>Repalle</v>
          </cell>
          <cell r="Z269">
            <v>2.9</v>
          </cell>
          <cell r="AA269">
            <v>0.2</v>
          </cell>
        </row>
        <row r="270">
          <cell r="A270">
            <v>266</v>
          </cell>
          <cell r="B270" t="str">
            <v>Chodayapalem</v>
          </cell>
          <cell r="C270" t="str">
            <v>Bobbarlanka</v>
          </cell>
          <cell r="D270" t="str">
            <v>Repalle</v>
          </cell>
          <cell r="E270" t="str">
            <v>Penumudi</v>
          </cell>
          <cell r="F270">
            <v>10.7</v>
          </cell>
          <cell r="G270" t="str">
            <v>Zoolapalem</v>
          </cell>
          <cell r="H270">
            <v>27.2</v>
          </cell>
          <cell r="I270" t="str">
            <v>Lam</v>
          </cell>
          <cell r="J270">
            <v>96.5</v>
          </cell>
          <cell r="K270" t="str">
            <v>Kolluru</v>
          </cell>
          <cell r="L270">
            <v>43.9</v>
          </cell>
          <cell r="M270" t="str">
            <v>Vejandla</v>
          </cell>
          <cell r="N270">
            <v>72.5</v>
          </cell>
          <cell r="O270" t="str">
            <v>Vejandla</v>
          </cell>
          <cell r="P270">
            <v>72.5</v>
          </cell>
          <cell r="Q270" t="str">
            <v>Repalle</v>
          </cell>
          <cell r="R270">
            <v>14.5</v>
          </cell>
          <cell r="S270" t="str">
            <v>I.B patnam</v>
          </cell>
          <cell r="T270">
            <v>85</v>
          </cell>
          <cell r="Y270" t="str">
            <v>Repalle</v>
          </cell>
          <cell r="Z270">
            <v>14.5</v>
          </cell>
          <cell r="AA270">
            <v>0.2</v>
          </cell>
        </row>
        <row r="271">
          <cell r="A271">
            <v>267</v>
          </cell>
          <cell r="B271" t="str">
            <v>Bondalagaruvu</v>
          </cell>
          <cell r="C271" t="str">
            <v>Bondalagaruvu</v>
          </cell>
          <cell r="D271" t="str">
            <v>Repalle</v>
          </cell>
          <cell r="E271" t="str">
            <v>Penumudi</v>
          </cell>
          <cell r="F271">
            <v>18.7</v>
          </cell>
          <cell r="G271" t="str">
            <v>Zoolapalem</v>
          </cell>
          <cell r="H271">
            <v>35.200000000000003</v>
          </cell>
          <cell r="I271" t="str">
            <v>Lam</v>
          </cell>
          <cell r="J271">
            <v>96.7</v>
          </cell>
          <cell r="K271" t="str">
            <v>Kolluru</v>
          </cell>
          <cell r="L271">
            <v>47.1</v>
          </cell>
          <cell r="M271" t="str">
            <v>Vejandla</v>
          </cell>
          <cell r="N271">
            <v>73.7</v>
          </cell>
          <cell r="O271" t="str">
            <v>Vejandla</v>
          </cell>
          <cell r="P271">
            <v>73.7</v>
          </cell>
          <cell r="Q271" t="str">
            <v>Repalle</v>
          </cell>
          <cell r="R271">
            <v>16.5</v>
          </cell>
          <cell r="S271" t="str">
            <v>I.B patnam</v>
          </cell>
          <cell r="T271">
            <v>85</v>
          </cell>
          <cell r="Y271" t="str">
            <v>Repalle</v>
          </cell>
          <cell r="Z271">
            <v>16.5</v>
          </cell>
          <cell r="AA271">
            <v>0.2</v>
          </cell>
        </row>
        <row r="272">
          <cell r="A272">
            <v>268</v>
          </cell>
          <cell r="B272" t="str">
            <v>Kamarajugadda(North)</v>
          </cell>
          <cell r="C272" t="str">
            <v>Burugulankapalem</v>
          </cell>
          <cell r="D272" t="str">
            <v>Repalle</v>
          </cell>
          <cell r="E272" t="str">
            <v>Penumudi</v>
          </cell>
          <cell r="F272">
            <v>5.9</v>
          </cell>
          <cell r="G272" t="str">
            <v>Zoolapalem</v>
          </cell>
          <cell r="H272">
            <v>22.4</v>
          </cell>
          <cell r="I272" t="str">
            <v>Lam</v>
          </cell>
          <cell r="J272">
            <v>89.7</v>
          </cell>
          <cell r="K272" t="str">
            <v>Kolluru</v>
          </cell>
          <cell r="L272">
            <v>35.9</v>
          </cell>
          <cell r="M272" t="str">
            <v>Vejandla</v>
          </cell>
          <cell r="N272">
            <v>66.7</v>
          </cell>
          <cell r="O272" t="str">
            <v>Vejandla</v>
          </cell>
          <cell r="P272">
            <v>66.7</v>
          </cell>
          <cell r="Q272" t="str">
            <v>Repalle</v>
          </cell>
          <cell r="R272">
            <v>9.6999999999999993</v>
          </cell>
          <cell r="S272" t="str">
            <v>I.B patnam</v>
          </cell>
          <cell r="T272">
            <v>85</v>
          </cell>
          <cell r="Y272" t="str">
            <v>Repalle</v>
          </cell>
          <cell r="Z272">
            <v>9.6999999999999993</v>
          </cell>
          <cell r="AA272">
            <v>0.2</v>
          </cell>
        </row>
        <row r="273">
          <cell r="A273">
            <v>269</v>
          </cell>
          <cell r="B273" t="str">
            <v>Potumeraka</v>
          </cell>
          <cell r="C273" t="str">
            <v>Chandramoulinagar</v>
          </cell>
          <cell r="D273" t="str">
            <v>Repalle</v>
          </cell>
          <cell r="E273" t="str">
            <v>Penumudi</v>
          </cell>
          <cell r="F273">
            <v>19.2</v>
          </cell>
          <cell r="G273" t="str">
            <v>Zoolapalem</v>
          </cell>
          <cell r="H273">
            <v>35.700000000000003</v>
          </cell>
          <cell r="I273" t="str">
            <v>Lam</v>
          </cell>
          <cell r="J273">
            <v>97.2</v>
          </cell>
          <cell r="K273" t="str">
            <v>Kolluru</v>
          </cell>
          <cell r="L273">
            <v>47.6</v>
          </cell>
          <cell r="M273" t="str">
            <v>Vejandla</v>
          </cell>
          <cell r="N273">
            <v>74.2</v>
          </cell>
          <cell r="O273" t="str">
            <v>Vejandla</v>
          </cell>
          <cell r="P273">
            <v>74.2</v>
          </cell>
          <cell r="Q273" t="str">
            <v>Repalle</v>
          </cell>
          <cell r="R273">
            <v>17</v>
          </cell>
          <cell r="S273" t="str">
            <v>I.B patnam</v>
          </cell>
          <cell r="T273">
            <v>85</v>
          </cell>
          <cell r="Y273" t="str">
            <v>Repalle</v>
          </cell>
          <cell r="Z273">
            <v>17</v>
          </cell>
          <cell r="AA273">
            <v>0.2</v>
          </cell>
        </row>
        <row r="274">
          <cell r="A274">
            <v>270</v>
          </cell>
          <cell r="B274" t="str">
            <v>Peteru</v>
          </cell>
          <cell r="C274" t="str">
            <v>Gantavaripalem of Peteru</v>
          </cell>
          <cell r="D274" t="str">
            <v>Repalle</v>
          </cell>
          <cell r="E274" t="str">
            <v>Penumudi</v>
          </cell>
          <cell r="F274">
            <v>5.7</v>
          </cell>
          <cell r="G274" t="str">
            <v>Zoolapalem</v>
          </cell>
          <cell r="H274">
            <v>12.2</v>
          </cell>
          <cell r="I274" t="str">
            <v>Lam</v>
          </cell>
          <cell r="J274">
            <v>80.3</v>
          </cell>
          <cell r="K274" t="str">
            <v>Kolluru</v>
          </cell>
          <cell r="L274">
            <v>27.7</v>
          </cell>
          <cell r="M274" t="str">
            <v>Vejandla</v>
          </cell>
          <cell r="N274">
            <v>56.3</v>
          </cell>
          <cell r="O274" t="str">
            <v>Vejandla</v>
          </cell>
          <cell r="P274">
            <v>56.3</v>
          </cell>
          <cell r="Q274" t="str">
            <v>Repalle</v>
          </cell>
          <cell r="R274">
            <v>4.3</v>
          </cell>
          <cell r="S274" t="str">
            <v>I.B patnam</v>
          </cell>
          <cell r="T274">
            <v>85</v>
          </cell>
          <cell r="Y274" t="str">
            <v>Repalle</v>
          </cell>
          <cell r="Z274">
            <v>4.3</v>
          </cell>
          <cell r="AA274">
            <v>0.2</v>
          </cell>
        </row>
        <row r="275">
          <cell r="A275">
            <v>271</v>
          </cell>
          <cell r="B275" t="str">
            <v>Chatragadda</v>
          </cell>
          <cell r="C275" t="str">
            <v>Chatragadda</v>
          </cell>
          <cell r="D275" t="str">
            <v>Repalle</v>
          </cell>
          <cell r="E275" t="str">
            <v>Penumudi</v>
          </cell>
          <cell r="F275">
            <v>5.9</v>
          </cell>
          <cell r="G275" t="str">
            <v>Zoolapalem</v>
          </cell>
          <cell r="H275">
            <v>22.4</v>
          </cell>
          <cell r="I275" t="str">
            <v>Lam</v>
          </cell>
          <cell r="J275">
            <v>89.7</v>
          </cell>
          <cell r="K275" t="str">
            <v>Kolluru</v>
          </cell>
          <cell r="L275">
            <v>35.9</v>
          </cell>
          <cell r="M275" t="str">
            <v>Vejandla</v>
          </cell>
          <cell r="N275">
            <v>66.7</v>
          </cell>
          <cell r="O275" t="str">
            <v>Vejandla</v>
          </cell>
          <cell r="P275">
            <v>66.7</v>
          </cell>
          <cell r="Q275" t="str">
            <v>Repalle</v>
          </cell>
          <cell r="R275">
            <v>9.6999999999999993</v>
          </cell>
          <cell r="S275" t="str">
            <v>I.B patnam</v>
          </cell>
          <cell r="T275">
            <v>85</v>
          </cell>
          <cell r="Y275" t="str">
            <v>Repalle</v>
          </cell>
          <cell r="Z275">
            <v>9.6999999999999993</v>
          </cell>
          <cell r="AA275">
            <v>0.2</v>
          </cell>
        </row>
        <row r="276">
          <cell r="A276">
            <v>272</v>
          </cell>
          <cell r="B276" t="str">
            <v>Chennupallivaripalem</v>
          </cell>
          <cell r="C276" t="str">
            <v>Chennupallivaripalem</v>
          </cell>
          <cell r="D276" t="str">
            <v>Repalle</v>
          </cell>
          <cell r="E276" t="str">
            <v>Penumudi</v>
          </cell>
          <cell r="F276">
            <v>16.100000000000001</v>
          </cell>
          <cell r="G276" t="str">
            <v>Zoolapalem</v>
          </cell>
          <cell r="H276">
            <v>36.4</v>
          </cell>
          <cell r="I276" t="str">
            <v>Lam</v>
          </cell>
          <cell r="J276">
            <v>101.9</v>
          </cell>
          <cell r="K276" t="str">
            <v>Kolluru</v>
          </cell>
          <cell r="L276">
            <v>49.3</v>
          </cell>
          <cell r="M276" t="str">
            <v>Vejandla</v>
          </cell>
          <cell r="N276">
            <v>77.900000000000006</v>
          </cell>
          <cell r="O276" t="str">
            <v>Vejandla</v>
          </cell>
          <cell r="P276">
            <v>77.900000000000006</v>
          </cell>
          <cell r="Q276" t="str">
            <v>Repalle</v>
          </cell>
          <cell r="R276">
            <v>19.899999999999999</v>
          </cell>
          <cell r="S276" t="str">
            <v>I.B patnam</v>
          </cell>
          <cell r="T276">
            <v>85</v>
          </cell>
          <cell r="Y276" t="str">
            <v>Repalle</v>
          </cell>
          <cell r="Z276">
            <v>19.899999999999999</v>
          </cell>
          <cell r="AA276">
            <v>0</v>
          </cell>
        </row>
        <row r="277">
          <cell r="A277">
            <v>273</v>
          </cell>
          <cell r="B277" t="str">
            <v>Uppudi</v>
          </cell>
          <cell r="C277" t="str">
            <v>Cheruvupalem</v>
          </cell>
          <cell r="D277" t="str">
            <v>Repalle</v>
          </cell>
          <cell r="E277" t="str">
            <v>Penumudi</v>
          </cell>
          <cell r="F277">
            <v>5.7</v>
          </cell>
          <cell r="G277" t="str">
            <v>Zoolapalem</v>
          </cell>
          <cell r="H277">
            <v>20.9</v>
          </cell>
          <cell r="I277" t="str">
            <v>Lam</v>
          </cell>
          <cell r="J277">
            <v>83.7</v>
          </cell>
          <cell r="K277" t="str">
            <v>Kolluru</v>
          </cell>
          <cell r="L277">
            <v>34.1</v>
          </cell>
          <cell r="M277" t="str">
            <v>Vejandla</v>
          </cell>
          <cell r="N277">
            <v>60.7</v>
          </cell>
          <cell r="O277" t="str">
            <v>Vejandla</v>
          </cell>
          <cell r="P277">
            <v>60.7</v>
          </cell>
          <cell r="Q277" t="str">
            <v>Repalle</v>
          </cell>
          <cell r="R277">
            <v>5.7</v>
          </cell>
          <cell r="S277" t="str">
            <v>I.B patnam</v>
          </cell>
          <cell r="T277">
            <v>85</v>
          </cell>
          <cell r="Y277" t="str">
            <v>Repalle</v>
          </cell>
          <cell r="Z277">
            <v>5.7</v>
          </cell>
          <cell r="AA277">
            <v>0.2</v>
          </cell>
        </row>
        <row r="278">
          <cell r="A278">
            <v>274</v>
          </cell>
          <cell r="B278" t="str">
            <v>Chodayapalem</v>
          </cell>
          <cell r="C278" t="str">
            <v>Chodayapalem</v>
          </cell>
          <cell r="D278" t="str">
            <v>Repalle</v>
          </cell>
          <cell r="E278" t="str">
            <v>Penumudi</v>
          </cell>
          <cell r="F278">
            <v>12.1</v>
          </cell>
          <cell r="G278" t="str">
            <v>Zoolapalem</v>
          </cell>
          <cell r="H278">
            <v>32.4</v>
          </cell>
          <cell r="I278" t="str">
            <v>Lam</v>
          </cell>
          <cell r="J278">
            <v>97.9</v>
          </cell>
          <cell r="K278" t="str">
            <v>Kolluru</v>
          </cell>
          <cell r="L278">
            <v>45.3</v>
          </cell>
          <cell r="M278" t="str">
            <v>Vejandla</v>
          </cell>
          <cell r="N278">
            <v>73.900000000000006</v>
          </cell>
          <cell r="O278" t="str">
            <v>Vejandla</v>
          </cell>
          <cell r="P278">
            <v>73.900000000000006</v>
          </cell>
          <cell r="Q278" t="str">
            <v>Repalle</v>
          </cell>
          <cell r="R278">
            <v>15.9</v>
          </cell>
          <cell r="S278" t="str">
            <v>I.B patnam</v>
          </cell>
          <cell r="T278">
            <v>85</v>
          </cell>
          <cell r="Y278" t="str">
            <v>Repalle</v>
          </cell>
          <cell r="Z278">
            <v>15.9</v>
          </cell>
          <cell r="AA278">
            <v>0.2</v>
          </cell>
        </row>
        <row r="279">
          <cell r="A279">
            <v>275</v>
          </cell>
          <cell r="B279" t="str">
            <v>Visweswaram</v>
          </cell>
          <cell r="C279" t="str">
            <v>Erukulapalem</v>
          </cell>
          <cell r="D279" t="str">
            <v>Repalle</v>
          </cell>
          <cell r="E279" t="str">
            <v>Penumudi</v>
          </cell>
          <cell r="F279">
            <v>15.6</v>
          </cell>
          <cell r="G279" t="str">
            <v>Zoolapalem</v>
          </cell>
          <cell r="H279">
            <v>29.9</v>
          </cell>
          <cell r="I279" t="str">
            <v>Lam</v>
          </cell>
          <cell r="J279">
            <v>93.6</v>
          </cell>
          <cell r="K279" t="str">
            <v>Kolluru</v>
          </cell>
          <cell r="L279">
            <v>44</v>
          </cell>
          <cell r="M279" t="str">
            <v>Vejandla</v>
          </cell>
          <cell r="N279">
            <v>70.599999999999994</v>
          </cell>
          <cell r="O279" t="str">
            <v>Vejandla</v>
          </cell>
          <cell r="P279">
            <v>70.599999999999994</v>
          </cell>
          <cell r="Q279" t="str">
            <v>Repalle</v>
          </cell>
          <cell r="R279">
            <v>13.4</v>
          </cell>
          <cell r="S279" t="str">
            <v>I.B patnam</v>
          </cell>
          <cell r="T279">
            <v>85</v>
          </cell>
          <cell r="Y279" t="str">
            <v>Repalle</v>
          </cell>
          <cell r="Z279">
            <v>13.4</v>
          </cell>
          <cell r="AA279">
            <v>0.2</v>
          </cell>
        </row>
        <row r="280">
          <cell r="A280">
            <v>276</v>
          </cell>
          <cell r="B280" t="str">
            <v>Thummala</v>
          </cell>
          <cell r="C280" t="str">
            <v>Gadevaripalem</v>
          </cell>
          <cell r="D280" t="str">
            <v>Repalle</v>
          </cell>
          <cell r="E280" t="str">
            <v>Penumudi</v>
          </cell>
          <cell r="F280">
            <v>20.5</v>
          </cell>
          <cell r="G280" t="str">
            <v>Zoolapalem</v>
          </cell>
          <cell r="H280">
            <v>32.799999999999997</v>
          </cell>
          <cell r="I280" t="str">
            <v>Lam</v>
          </cell>
          <cell r="J280">
            <v>98.5</v>
          </cell>
          <cell r="K280" t="str">
            <v>Kolluru</v>
          </cell>
          <cell r="L280">
            <v>48.9</v>
          </cell>
          <cell r="M280" t="str">
            <v>Vejandla</v>
          </cell>
          <cell r="N280">
            <v>75.5</v>
          </cell>
          <cell r="O280" t="str">
            <v>Vejandla</v>
          </cell>
          <cell r="P280">
            <v>75.5</v>
          </cell>
          <cell r="Q280" t="str">
            <v>Repalle</v>
          </cell>
          <cell r="R280">
            <v>18.3</v>
          </cell>
          <cell r="S280" t="str">
            <v>I.B patnam</v>
          </cell>
          <cell r="T280">
            <v>85</v>
          </cell>
          <cell r="Y280" t="str">
            <v>Repalle</v>
          </cell>
          <cell r="Z280">
            <v>18.3</v>
          </cell>
          <cell r="AA280">
            <v>0.2</v>
          </cell>
        </row>
        <row r="281">
          <cell r="A281">
            <v>277</v>
          </cell>
          <cell r="B281" t="str">
            <v>Gangadipalem</v>
          </cell>
          <cell r="C281" t="str">
            <v>Gangadipalem</v>
          </cell>
          <cell r="D281" t="str">
            <v>Repalle</v>
          </cell>
          <cell r="E281" t="str">
            <v>Penumudi</v>
          </cell>
          <cell r="F281">
            <v>18.100000000000001</v>
          </cell>
          <cell r="G281" t="str">
            <v>Zoolapalem</v>
          </cell>
          <cell r="H281">
            <v>38.4</v>
          </cell>
          <cell r="I281" t="str">
            <v>Lam</v>
          </cell>
          <cell r="J281">
            <v>103.9</v>
          </cell>
          <cell r="K281" t="str">
            <v>Kolluru</v>
          </cell>
          <cell r="L281">
            <v>51.3</v>
          </cell>
          <cell r="M281" t="str">
            <v>Vejandla</v>
          </cell>
          <cell r="N281">
            <v>80.900000000000006</v>
          </cell>
          <cell r="O281" t="str">
            <v>Vejandla</v>
          </cell>
          <cell r="P281">
            <v>80.900000000000006</v>
          </cell>
          <cell r="Q281" t="str">
            <v>Repalle</v>
          </cell>
          <cell r="R281">
            <v>21.9</v>
          </cell>
          <cell r="S281" t="str">
            <v>I.B patnam</v>
          </cell>
          <cell r="T281">
            <v>85</v>
          </cell>
          <cell r="Y281" t="str">
            <v>Repalle</v>
          </cell>
          <cell r="Z281">
            <v>21.9</v>
          </cell>
          <cell r="AA281">
            <v>0</v>
          </cell>
        </row>
        <row r="282">
          <cell r="A282">
            <v>278</v>
          </cell>
          <cell r="B282" t="str">
            <v>Kaithepalli</v>
          </cell>
          <cell r="C282" t="str">
            <v>Gowdapalem(kaithepalli)</v>
          </cell>
          <cell r="D282" t="str">
            <v>Repalle</v>
          </cell>
          <cell r="E282" t="str">
            <v>Penumudi</v>
          </cell>
          <cell r="F282">
            <v>17.100000000000001</v>
          </cell>
          <cell r="G282" t="str">
            <v>Zoolapalem</v>
          </cell>
          <cell r="H282">
            <v>31.4</v>
          </cell>
          <cell r="I282" t="str">
            <v>Lam</v>
          </cell>
          <cell r="J282">
            <v>95.1</v>
          </cell>
          <cell r="K282" t="str">
            <v>Kolluru</v>
          </cell>
          <cell r="L282">
            <v>45.5</v>
          </cell>
          <cell r="M282" t="str">
            <v>Vejandla</v>
          </cell>
          <cell r="N282">
            <v>72.099999999999994</v>
          </cell>
          <cell r="O282" t="str">
            <v>Vejandla</v>
          </cell>
          <cell r="P282">
            <v>72.099999999999994</v>
          </cell>
          <cell r="Q282" t="str">
            <v>Repalle</v>
          </cell>
          <cell r="R282">
            <v>14.9</v>
          </cell>
          <cell r="S282" t="str">
            <v>I.B patnam</v>
          </cell>
          <cell r="T282">
            <v>85</v>
          </cell>
          <cell r="Y282" t="str">
            <v>Repalle</v>
          </cell>
          <cell r="Z282">
            <v>14.9</v>
          </cell>
          <cell r="AA282">
            <v>0.2</v>
          </cell>
        </row>
        <row r="283">
          <cell r="A283">
            <v>279</v>
          </cell>
          <cell r="B283" t="str">
            <v>Chatragadda</v>
          </cell>
          <cell r="C283" t="str">
            <v>Gowdapalem Colony</v>
          </cell>
          <cell r="D283" t="str">
            <v>Repalle</v>
          </cell>
          <cell r="E283" t="str">
            <v>Local</v>
          </cell>
          <cell r="F283">
            <v>3.7</v>
          </cell>
          <cell r="G283" t="str">
            <v>Zoolapalem</v>
          </cell>
          <cell r="H283">
            <v>23</v>
          </cell>
          <cell r="I283" t="str">
            <v>Lam</v>
          </cell>
          <cell r="J283">
            <v>86.5</v>
          </cell>
          <cell r="K283" t="str">
            <v>Kolluru</v>
          </cell>
          <cell r="L283">
            <v>34.9</v>
          </cell>
          <cell r="M283" t="str">
            <v>Vejandla</v>
          </cell>
          <cell r="N283">
            <v>63.5</v>
          </cell>
          <cell r="O283" t="str">
            <v>Vejandla</v>
          </cell>
          <cell r="P283">
            <v>63.5</v>
          </cell>
          <cell r="Q283" t="str">
            <v>Repalle</v>
          </cell>
          <cell r="R283">
            <v>7.5</v>
          </cell>
          <cell r="S283" t="str">
            <v>I.B patnam</v>
          </cell>
          <cell r="T283">
            <v>85</v>
          </cell>
          <cell r="Y283" t="str">
            <v>Repalle</v>
          </cell>
          <cell r="Z283">
            <v>7.5</v>
          </cell>
          <cell r="AA283">
            <v>0.2</v>
          </cell>
        </row>
        <row r="284">
          <cell r="A284">
            <v>280</v>
          </cell>
          <cell r="B284" t="str">
            <v>Guddikayalanka</v>
          </cell>
          <cell r="C284" t="str">
            <v>Guddikayalanka</v>
          </cell>
          <cell r="D284" t="str">
            <v>Repalle</v>
          </cell>
          <cell r="E284" t="str">
            <v>Local</v>
          </cell>
          <cell r="F284">
            <v>5</v>
          </cell>
          <cell r="G284" t="str">
            <v>Zoolapalem</v>
          </cell>
          <cell r="H284">
            <v>21.5</v>
          </cell>
          <cell r="I284" t="str">
            <v>Lam</v>
          </cell>
          <cell r="J284">
            <v>83.1</v>
          </cell>
          <cell r="K284" t="str">
            <v>Kolluru</v>
          </cell>
          <cell r="L284">
            <v>30.5</v>
          </cell>
          <cell r="M284" t="str">
            <v>Vejandla</v>
          </cell>
          <cell r="N284">
            <v>59.1</v>
          </cell>
          <cell r="O284" t="str">
            <v>Vejandla</v>
          </cell>
          <cell r="P284">
            <v>59.1</v>
          </cell>
          <cell r="Q284" t="str">
            <v>Repalle</v>
          </cell>
          <cell r="R284">
            <v>4.0999999999999996</v>
          </cell>
          <cell r="S284" t="str">
            <v>I.B patnam</v>
          </cell>
          <cell r="T284">
            <v>85</v>
          </cell>
          <cell r="Y284" t="str">
            <v>Repalle</v>
          </cell>
          <cell r="Z284">
            <v>4.0999999999999996</v>
          </cell>
          <cell r="AA284">
            <v>0.2</v>
          </cell>
        </row>
        <row r="285">
          <cell r="A285">
            <v>281</v>
          </cell>
          <cell r="B285" t="str">
            <v>Potumeraka</v>
          </cell>
          <cell r="C285" t="str">
            <v>Guntakolla</v>
          </cell>
          <cell r="D285" t="str">
            <v>Repalle</v>
          </cell>
          <cell r="E285" t="str">
            <v>Penumudi</v>
          </cell>
          <cell r="F285">
            <v>20.5</v>
          </cell>
          <cell r="G285" t="str">
            <v>Zoolapalem</v>
          </cell>
          <cell r="H285">
            <v>34.799999999999997</v>
          </cell>
          <cell r="I285" t="str">
            <v>Lam</v>
          </cell>
          <cell r="J285">
            <v>98.5</v>
          </cell>
          <cell r="K285" t="str">
            <v>Kolluru</v>
          </cell>
          <cell r="L285">
            <v>48.5</v>
          </cell>
          <cell r="M285" t="str">
            <v>Vejandla</v>
          </cell>
          <cell r="N285">
            <v>75.5</v>
          </cell>
          <cell r="O285" t="str">
            <v>Vejandla</v>
          </cell>
          <cell r="P285">
            <v>75.5</v>
          </cell>
          <cell r="Q285" t="str">
            <v>Repalle</v>
          </cell>
          <cell r="R285">
            <v>18.3</v>
          </cell>
          <cell r="S285" t="str">
            <v>I.B patnam</v>
          </cell>
          <cell r="T285">
            <v>85</v>
          </cell>
          <cell r="Y285" t="str">
            <v>Repalle</v>
          </cell>
          <cell r="Z285">
            <v>18.3</v>
          </cell>
          <cell r="AA285">
            <v>0.2</v>
          </cell>
        </row>
        <row r="286">
          <cell r="A286">
            <v>282</v>
          </cell>
          <cell r="B286" t="str">
            <v>Aravapalli</v>
          </cell>
          <cell r="C286" t="str">
            <v>GunturuvariMalapalli</v>
          </cell>
          <cell r="D286" t="str">
            <v>Repalle</v>
          </cell>
          <cell r="E286" t="str">
            <v>Local</v>
          </cell>
          <cell r="F286">
            <v>2.6</v>
          </cell>
          <cell r="G286" t="str">
            <v>Zoolapalem</v>
          </cell>
          <cell r="H286">
            <v>22.9</v>
          </cell>
          <cell r="I286" t="str">
            <v>Lam</v>
          </cell>
          <cell r="J286">
            <v>86.4</v>
          </cell>
          <cell r="K286" t="str">
            <v>Kolluru</v>
          </cell>
          <cell r="L286">
            <v>33.9</v>
          </cell>
          <cell r="M286" t="str">
            <v>Vejandla</v>
          </cell>
          <cell r="N286">
            <v>62.4</v>
          </cell>
          <cell r="O286" t="str">
            <v>Vejandla</v>
          </cell>
          <cell r="P286">
            <v>62.4</v>
          </cell>
          <cell r="Q286" t="str">
            <v>Repalle</v>
          </cell>
          <cell r="R286">
            <v>6.4</v>
          </cell>
          <cell r="S286" t="str">
            <v>I.B patnam</v>
          </cell>
          <cell r="T286">
            <v>85</v>
          </cell>
          <cell r="Y286" t="str">
            <v>Repalle</v>
          </cell>
          <cell r="Z286">
            <v>6.4</v>
          </cell>
          <cell r="AA286">
            <v>0.2</v>
          </cell>
        </row>
        <row r="287">
          <cell r="A287">
            <v>283</v>
          </cell>
          <cell r="B287" t="str">
            <v>Nalluripalem</v>
          </cell>
          <cell r="C287" t="str">
            <v>Harizanawada (Uppudi)</v>
          </cell>
          <cell r="D287" t="str">
            <v>Repalle</v>
          </cell>
          <cell r="E287" t="str">
            <v>Penumudi</v>
          </cell>
          <cell r="F287">
            <v>7.1</v>
          </cell>
          <cell r="G287" t="str">
            <v>Zoolapalem</v>
          </cell>
          <cell r="H287">
            <v>21.4</v>
          </cell>
          <cell r="I287" t="str">
            <v>Lam</v>
          </cell>
          <cell r="J287">
            <v>85.1</v>
          </cell>
          <cell r="K287" t="str">
            <v>Kolluru</v>
          </cell>
          <cell r="L287">
            <v>35.700000000000003</v>
          </cell>
          <cell r="M287" t="str">
            <v>Vejandla</v>
          </cell>
          <cell r="N287">
            <v>62.1</v>
          </cell>
          <cell r="O287" t="str">
            <v>Vejandla</v>
          </cell>
          <cell r="P287">
            <v>62.1</v>
          </cell>
          <cell r="Q287" t="str">
            <v>Repalle</v>
          </cell>
          <cell r="R287">
            <v>4.9000000000000004</v>
          </cell>
          <cell r="S287" t="str">
            <v>I.B patnam</v>
          </cell>
          <cell r="T287">
            <v>85</v>
          </cell>
          <cell r="Y287" t="str">
            <v>Repalle</v>
          </cell>
          <cell r="Z287">
            <v>4.9000000000000004</v>
          </cell>
          <cell r="AA287">
            <v>0.2</v>
          </cell>
        </row>
        <row r="288">
          <cell r="A288">
            <v>284</v>
          </cell>
          <cell r="B288" t="str">
            <v>Uppudi</v>
          </cell>
          <cell r="C288" t="str">
            <v>Harizanawada  (Singupalem )</v>
          </cell>
          <cell r="D288" t="str">
            <v>Repalle</v>
          </cell>
          <cell r="E288" t="str">
            <v>Penumudi</v>
          </cell>
          <cell r="F288">
            <v>14.8</v>
          </cell>
          <cell r="G288" t="str">
            <v>Zoolapalem</v>
          </cell>
          <cell r="H288">
            <v>29.1</v>
          </cell>
          <cell r="I288" t="str">
            <v>Lam</v>
          </cell>
          <cell r="J288">
            <v>92.8</v>
          </cell>
          <cell r="K288" t="str">
            <v>Kolluru</v>
          </cell>
          <cell r="L288">
            <v>43.4</v>
          </cell>
          <cell r="M288" t="str">
            <v>Vejandla</v>
          </cell>
          <cell r="N288">
            <v>69.8</v>
          </cell>
          <cell r="O288" t="str">
            <v>Vejandla</v>
          </cell>
          <cell r="P288">
            <v>69.8</v>
          </cell>
          <cell r="Q288" t="str">
            <v>Repalle</v>
          </cell>
          <cell r="R288">
            <v>12.6</v>
          </cell>
          <cell r="S288" t="str">
            <v>I.B patnam</v>
          </cell>
          <cell r="T288">
            <v>85</v>
          </cell>
          <cell r="Y288" t="str">
            <v>Repalle</v>
          </cell>
          <cell r="Z288">
            <v>12.6</v>
          </cell>
          <cell r="AA288">
            <v>0.2</v>
          </cell>
        </row>
        <row r="289">
          <cell r="A289">
            <v>285</v>
          </cell>
          <cell r="B289" t="str">
            <v>Chodayapalem</v>
          </cell>
          <cell r="C289" t="str">
            <v>Harizanawada Colony of Tsodayapalem</v>
          </cell>
          <cell r="D289" t="str">
            <v>Repalle</v>
          </cell>
          <cell r="E289" t="str">
            <v>Penumudi</v>
          </cell>
          <cell r="F289">
            <v>12.1</v>
          </cell>
          <cell r="G289" t="str">
            <v>Zoolapalem</v>
          </cell>
          <cell r="H289">
            <v>32.4</v>
          </cell>
          <cell r="I289" t="str">
            <v>Lam</v>
          </cell>
          <cell r="J289">
            <v>97.9</v>
          </cell>
          <cell r="K289" t="str">
            <v>Kolluru</v>
          </cell>
          <cell r="L289">
            <v>45.3</v>
          </cell>
          <cell r="M289" t="str">
            <v>Vejandla</v>
          </cell>
          <cell r="N289">
            <v>73.900000000000006</v>
          </cell>
          <cell r="O289" t="str">
            <v>Vejandla</v>
          </cell>
          <cell r="P289">
            <v>73.900000000000006</v>
          </cell>
          <cell r="Q289" t="str">
            <v>Repalle</v>
          </cell>
          <cell r="R289">
            <v>15.9</v>
          </cell>
          <cell r="S289" t="str">
            <v>I.B patnam</v>
          </cell>
          <cell r="T289">
            <v>85</v>
          </cell>
          <cell r="Y289" t="str">
            <v>Repalle</v>
          </cell>
          <cell r="Z289">
            <v>15.9</v>
          </cell>
          <cell r="AA289">
            <v>0.2</v>
          </cell>
        </row>
        <row r="290">
          <cell r="A290">
            <v>286</v>
          </cell>
          <cell r="B290" t="str">
            <v>Kamarajugadda(South)</v>
          </cell>
          <cell r="C290" t="str">
            <v>Jangalacheruvu Malapalli</v>
          </cell>
          <cell r="D290" t="str">
            <v>Repalle</v>
          </cell>
          <cell r="E290" t="str">
            <v>Penumudi</v>
          </cell>
          <cell r="F290">
            <v>7.3</v>
          </cell>
          <cell r="G290" t="str">
            <v>Zoolapalem</v>
          </cell>
          <cell r="H290">
            <v>27.6</v>
          </cell>
          <cell r="I290" t="str">
            <v>Lam</v>
          </cell>
          <cell r="J290">
            <v>90.1</v>
          </cell>
          <cell r="K290" t="str">
            <v>Kolluru</v>
          </cell>
          <cell r="L290">
            <v>38.5</v>
          </cell>
          <cell r="M290" t="str">
            <v>Vejandla</v>
          </cell>
          <cell r="N290">
            <v>67.099999999999994</v>
          </cell>
          <cell r="O290" t="str">
            <v>Vejandla</v>
          </cell>
          <cell r="P290">
            <v>67.099999999999994</v>
          </cell>
          <cell r="Q290" t="str">
            <v>Repalle</v>
          </cell>
          <cell r="R290">
            <v>11.1</v>
          </cell>
          <cell r="S290" t="str">
            <v>I.B patnam</v>
          </cell>
          <cell r="T290">
            <v>85</v>
          </cell>
          <cell r="Y290" t="str">
            <v>Repalle</v>
          </cell>
          <cell r="Z290">
            <v>11.1</v>
          </cell>
          <cell r="AA290">
            <v>0.2</v>
          </cell>
        </row>
        <row r="291">
          <cell r="A291">
            <v>287</v>
          </cell>
          <cell r="B291" t="str">
            <v>Kamarajugadda(North)</v>
          </cell>
          <cell r="C291" t="str">
            <v>Jangalapalem</v>
          </cell>
          <cell r="D291" t="str">
            <v>Repalle</v>
          </cell>
          <cell r="E291" t="str">
            <v>Penumudi</v>
          </cell>
          <cell r="F291">
            <v>7.3</v>
          </cell>
          <cell r="G291" t="str">
            <v>Zoolapalem</v>
          </cell>
          <cell r="H291">
            <v>27.6</v>
          </cell>
          <cell r="I291" t="str">
            <v>Lam</v>
          </cell>
          <cell r="J291">
            <v>90.1</v>
          </cell>
          <cell r="K291" t="str">
            <v>Kolluru</v>
          </cell>
          <cell r="L291">
            <v>38.5</v>
          </cell>
          <cell r="M291" t="str">
            <v>Vejandla</v>
          </cell>
          <cell r="N291">
            <v>67.099999999999994</v>
          </cell>
          <cell r="O291" t="str">
            <v>Vejandla</v>
          </cell>
          <cell r="P291">
            <v>67.099999999999994</v>
          </cell>
          <cell r="Q291" t="str">
            <v>Repalle</v>
          </cell>
          <cell r="R291">
            <v>11.1</v>
          </cell>
          <cell r="S291" t="str">
            <v>I.B patnam</v>
          </cell>
          <cell r="T291">
            <v>85</v>
          </cell>
          <cell r="Y291" t="str">
            <v>Repalle</v>
          </cell>
          <cell r="Z291">
            <v>11.1</v>
          </cell>
          <cell r="AA291">
            <v>0.2</v>
          </cell>
        </row>
        <row r="292">
          <cell r="A292">
            <v>288</v>
          </cell>
          <cell r="B292" t="str">
            <v>Gangadipalem</v>
          </cell>
          <cell r="C292" t="str">
            <v>Jonnavaripalem</v>
          </cell>
          <cell r="D292" t="str">
            <v>Repalle</v>
          </cell>
          <cell r="E292" t="str">
            <v>Penumudi</v>
          </cell>
          <cell r="F292">
            <v>17.100000000000001</v>
          </cell>
          <cell r="G292" t="str">
            <v>Zoolapalem</v>
          </cell>
          <cell r="H292">
            <v>38.5</v>
          </cell>
          <cell r="I292" t="str">
            <v>Lam</v>
          </cell>
          <cell r="J292">
            <v>102.9</v>
          </cell>
          <cell r="K292" t="str">
            <v>Kolluru</v>
          </cell>
          <cell r="L292">
            <v>50.3</v>
          </cell>
          <cell r="M292" t="str">
            <v>Vejandla</v>
          </cell>
          <cell r="N292">
            <v>79.900000000000006</v>
          </cell>
          <cell r="O292" t="str">
            <v>Vejandla</v>
          </cell>
          <cell r="P292">
            <v>79.900000000000006</v>
          </cell>
          <cell r="Q292" t="str">
            <v>Repalle</v>
          </cell>
          <cell r="R292">
            <v>20.9</v>
          </cell>
          <cell r="S292" t="str">
            <v>I.B patnam</v>
          </cell>
          <cell r="T292">
            <v>85</v>
          </cell>
          <cell r="Y292" t="str">
            <v>Repalle</v>
          </cell>
          <cell r="Z292">
            <v>20.9</v>
          </cell>
          <cell r="AA292">
            <v>0</v>
          </cell>
        </row>
        <row r="293">
          <cell r="A293">
            <v>289</v>
          </cell>
          <cell r="B293" t="str">
            <v>Kaithepalli</v>
          </cell>
          <cell r="C293" t="str">
            <v>Kaithepalli</v>
          </cell>
          <cell r="D293" t="str">
            <v>Repalle</v>
          </cell>
          <cell r="E293" t="str">
            <v>Penumudi</v>
          </cell>
          <cell r="F293">
            <v>18</v>
          </cell>
          <cell r="G293" t="str">
            <v>Zoolapalem</v>
          </cell>
          <cell r="H293">
            <v>32.299999999999997</v>
          </cell>
          <cell r="I293" t="str">
            <v>Lam</v>
          </cell>
          <cell r="J293">
            <v>96.2</v>
          </cell>
          <cell r="K293" t="str">
            <v>Kolluru</v>
          </cell>
          <cell r="L293">
            <v>46.4</v>
          </cell>
          <cell r="M293" t="str">
            <v>Vejandla</v>
          </cell>
          <cell r="N293">
            <v>73.2</v>
          </cell>
          <cell r="O293" t="str">
            <v>Vejandla</v>
          </cell>
          <cell r="P293">
            <v>73.2</v>
          </cell>
          <cell r="Q293" t="str">
            <v>Repalle</v>
          </cell>
          <cell r="R293">
            <v>15.8</v>
          </cell>
          <cell r="S293" t="str">
            <v>I.B patnam</v>
          </cell>
          <cell r="T293">
            <v>85</v>
          </cell>
          <cell r="Y293" t="str">
            <v>Repalle</v>
          </cell>
          <cell r="Z293">
            <v>15.8</v>
          </cell>
          <cell r="AA293">
            <v>0.2</v>
          </cell>
        </row>
        <row r="294">
          <cell r="A294">
            <v>290</v>
          </cell>
          <cell r="B294" t="str">
            <v>Kamarajugadda(North)</v>
          </cell>
          <cell r="C294" t="str">
            <v>Kamarajugadda North</v>
          </cell>
          <cell r="D294" t="str">
            <v>Repalle</v>
          </cell>
          <cell r="E294" t="str">
            <v>Penumudi</v>
          </cell>
          <cell r="F294">
            <v>5.9</v>
          </cell>
          <cell r="G294" t="str">
            <v>Zoolapalem</v>
          </cell>
          <cell r="H294">
            <v>26.2</v>
          </cell>
          <cell r="I294" t="str">
            <v>Lam</v>
          </cell>
          <cell r="J294">
            <v>89.7</v>
          </cell>
          <cell r="K294" t="str">
            <v>Kolluru</v>
          </cell>
          <cell r="L294">
            <v>35.9</v>
          </cell>
          <cell r="M294" t="str">
            <v>Vejandla</v>
          </cell>
          <cell r="N294">
            <v>66.7</v>
          </cell>
          <cell r="O294" t="str">
            <v>Vejandla</v>
          </cell>
          <cell r="P294">
            <v>66.7</v>
          </cell>
          <cell r="Q294" t="str">
            <v>Repalle</v>
          </cell>
          <cell r="R294">
            <v>9.6999999999999993</v>
          </cell>
          <cell r="S294" t="str">
            <v>I.B patnam</v>
          </cell>
          <cell r="T294">
            <v>85</v>
          </cell>
          <cell r="Y294" t="str">
            <v>Repalle</v>
          </cell>
          <cell r="Z294">
            <v>9.6999999999999993</v>
          </cell>
          <cell r="AA294">
            <v>0.2</v>
          </cell>
        </row>
        <row r="295">
          <cell r="A295">
            <v>291</v>
          </cell>
          <cell r="B295" t="str">
            <v>Uppudi</v>
          </cell>
          <cell r="C295" t="str">
            <v>Kammavaripalem</v>
          </cell>
          <cell r="D295" t="str">
            <v>Repalle</v>
          </cell>
          <cell r="E295" t="str">
            <v>Penumudi</v>
          </cell>
          <cell r="F295">
            <v>9.1</v>
          </cell>
          <cell r="G295" t="str">
            <v>Zoolapalem</v>
          </cell>
          <cell r="H295">
            <v>23.4</v>
          </cell>
          <cell r="I295" t="str">
            <v>Lam</v>
          </cell>
          <cell r="J295">
            <v>87.1</v>
          </cell>
          <cell r="K295" t="str">
            <v>Kolluru</v>
          </cell>
          <cell r="L295">
            <v>37.700000000000003</v>
          </cell>
          <cell r="M295" t="str">
            <v>Vejandla</v>
          </cell>
          <cell r="N295">
            <v>64.099999999999994</v>
          </cell>
          <cell r="O295" t="str">
            <v>Vejandla</v>
          </cell>
          <cell r="P295">
            <v>64.099999999999994</v>
          </cell>
          <cell r="Q295" t="str">
            <v>Repalle</v>
          </cell>
          <cell r="R295">
            <v>6.9</v>
          </cell>
          <cell r="S295" t="str">
            <v>I.B patnam</v>
          </cell>
          <cell r="T295">
            <v>85</v>
          </cell>
          <cell r="Y295" t="str">
            <v>Repalle</v>
          </cell>
          <cell r="Z295">
            <v>6.9</v>
          </cell>
          <cell r="AA295">
            <v>0.2</v>
          </cell>
        </row>
        <row r="296">
          <cell r="A296">
            <v>292</v>
          </cell>
          <cell r="B296" t="str">
            <v>Kamarajugadda(South)</v>
          </cell>
          <cell r="C296" t="str">
            <v>Kanagalavaripalem</v>
          </cell>
          <cell r="D296" t="str">
            <v>Repalle</v>
          </cell>
          <cell r="E296" t="str">
            <v>Penumudi</v>
          </cell>
          <cell r="F296">
            <v>9.3000000000000007</v>
          </cell>
          <cell r="G296" t="str">
            <v>Zoolapalem</v>
          </cell>
          <cell r="H296">
            <v>29.6</v>
          </cell>
          <cell r="I296" t="str">
            <v>Lam</v>
          </cell>
          <cell r="J296">
            <v>93.1</v>
          </cell>
          <cell r="K296" t="str">
            <v>Kolluru</v>
          </cell>
          <cell r="L296">
            <v>40.5</v>
          </cell>
          <cell r="M296" t="str">
            <v>Vejandla</v>
          </cell>
          <cell r="N296">
            <v>69.099999999999994</v>
          </cell>
          <cell r="O296" t="str">
            <v>Vejandla</v>
          </cell>
          <cell r="P296">
            <v>69.099999999999994</v>
          </cell>
          <cell r="Q296" t="str">
            <v>Repalle</v>
          </cell>
          <cell r="R296">
            <v>13.1</v>
          </cell>
          <cell r="S296" t="str">
            <v>I.B patnam</v>
          </cell>
          <cell r="T296">
            <v>85</v>
          </cell>
          <cell r="Y296" t="str">
            <v>Repalle</v>
          </cell>
          <cell r="Z296">
            <v>13.1</v>
          </cell>
          <cell r="AA296">
            <v>0</v>
          </cell>
        </row>
        <row r="297">
          <cell r="A297">
            <v>293</v>
          </cell>
          <cell r="B297" t="str">
            <v>Kamarajugadda(South)</v>
          </cell>
          <cell r="C297" t="str">
            <v>Kotha- Morthota</v>
          </cell>
          <cell r="D297" t="str">
            <v>Repalle</v>
          </cell>
          <cell r="E297" t="str">
            <v>Penumudi</v>
          </cell>
          <cell r="F297">
            <v>8.3000000000000007</v>
          </cell>
          <cell r="G297" t="str">
            <v>Zoolapalem</v>
          </cell>
          <cell r="H297">
            <v>28.6</v>
          </cell>
          <cell r="I297" t="str">
            <v>Lam</v>
          </cell>
          <cell r="J297">
            <v>92.1</v>
          </cell>
          <cell r="K297" t="str">
            <v>Kolluru</v>
          </cell>
          <cell r="L297">
            <v>39.5</v>
          </cell>
          <cell r="M297" t="str">
            <v>Vejandla</v>
          </cell>
          <cell r="N297">
            <v>68.099999999999994</v>
          </cell>
          <cell r="O297" t="str">
            <v>Vejandla</v>
          </cell>
          <cell r="P297">
            <v>68.099999999999994</v>
          </cell>
          <cell r="Q297" t="str">
            <v>Repalle</v>
          </cell>
          <cell r="R297">
            <v>12.1</v>
          </cell>
          <cell r="S297" t="str">
            <v>I.B patnam</v>
          </cell>
          <cell r="T297">
            <v>85</v>
          </cell>
          <cell r="Y297" t="str">
            <v>Repalle</v>
          </cell>
          <cell r="Z297">
            <v>12.1</v>
          </cell>
          <cell r="AA297">
            <v>0.2</v>
          </cell>
        </row>
        <row r="298">
          <cell r="A298">
            <v>294</v>
          </cell>
          <cell r="B298" t="str">
            <v>Aravapalli</v>
          </cell>
          <cell r="C298" t="str">
            <v>Kothapet of Aravapalli</v>
          </cell>
          <cell r="D298" t="str">
            <v>Repalle</v>
          </cell>
          <cell r="E298" t="str">
            <v>Penumudi</v>
          </cell>
          <cell r="F298">
            <v>7.7</v>
          </cell>
          <cell r="G298" t="str">
            <v>Zoolapalem</v>
          </cell>
          <cell r="H298">
            <v>22.8</v>
          </cell>
          <cell r="I298" t="str">
            <v>Lam</v>
          </cell>
          <cell r="J298">
            <v>86.5</v>
          </cell>
          <cell r="K298" t="str">
            <v>Kolluru</v>
          </cell>
          <cell r="L298">
            <v>36.9</v>
          </cell>
          <cell r="M298" t="str">
            <v>Vejandla</v>
          </cell>
          <cell r="N298">
            <v>63.5</v>
          </cell>
          <cell r="O298" t="str">
            <v>Vejandla</v>
          </cell>
          <cell r="P298">
            <v>63.5</v>
          </cell>
          <cell r="Q298" t="str">
            <v>Repalle</v>
          </cell>
          <cell r="R298">
            <v>6.3</v>
          </cell>
          <cell r="S298" t="str">
            <v>I.B patnam</v>
          </cell>
          <cell r="T298">
            <v>85</v>
          </cell>
          <cell r="Y298" t="str">
            <v>Repalle</v>
          </cell>
          <cell r="Z298">
            <v>6.3</v>
          </cell>
          <cell r="AA298">
            <v>0.2</v>
          </cell>
        </row>
        <row r="299">
          <cell r="A299">
            <v>295</v>
          </cell>
          <cell r="B299" t="str">
            <v>Lankevanidibba</v>
          </cell>
          <cell r="C299" t="str">
            <v>Lankevanidibba</v>
          </cell>
          <cell r="D299" t="str">
            <v>Repalle</v>
          </cell>
          <cell r="E299" t="str">
            <v>Penumudi</v>
          </cell>
          <cell r="F299">
            <v>31.1</v>
          </cell>
          <cell r="G299" t="str">
            <v>Zoolapalem</v>
          </cell>
          <cell r="H299">
            <v>51.4</v>
          </cell>
          <cell r="I299" t="str">
            <v>Lam</v>
          </cell>
          <cell r="J299">
            <v>116.9</v>
          </cell>
          <cell r="K299" t="str">
            <v>Kolluru</v>
          </cell>
          <cell r="L299">
            <v>62.3</v>
          </cell>
          <cell r="M299" t="str">
            <v>Vejandla</v>
          </cell>
          <cell r="N299">
            <v>93.9</v>
          </cell>
          <cell r="O299" t="str">
            <v>Vejandla</v>
          </cell>
          <cell r="P299">
            <v>93.9</v>
          </cell>
          <cell r="Q299" t="str">
            <v>Repalle</v>
          </cell>
          <cell r="R299">
            <v>34.9</v>
          </cell>
          <cell r="S299" t="str">
            <v>I.B patnam</v>
          </cell>
          <cell r="T299">
            <v>85</v>
          </cell>
          <cell r="Y299" t="str">
            <v>Repalle</v>
          </cell>
          <cell r="Z299">
            <v>34.9</v>
          </cell>
          <cell r="AA299">
            <v>0</v>
          </cell>
        </row>
        <row r="300">
          <cell r="A300">
            <v>296</v>
          </cell>
          <cell r="B300" t="str">
            <v>Bethapudi</v>
          </cell>
          <cell r="C300" t="str">
            <v>Madigapalli of Bethapudi</v>
          </cell>
          <cell r="D300" t="str">
            <v>Repalle</v>
          </cell>
          <cell r="E300" t="str">
            <v>Penumudi</v>
          </cell>
          <cell r="F300">
            <v>5</v>
          </cell>
          <cell r="G300" t="str">
            <v>Zoolapalem</v>
          </cell>
          <cell r="H300">
            <v>21.5</v>
          </cell>
          <cell r="I300" t="str">
            <v>Lam</v>
          </cell>
          <cell r="J300">
            <v>79.5</v>
          </cell>
          <cell r="K300" t="str">
            <v>Kolluru</v>
          </cell>
          <cell r="L300">
            <v>26.9</v>
          </cell>
          <cell r="M300" t="str">
            <v>Vejandla</v>
          </cell>
          <cell r="N300">
            <v>56.5</v>
          </cell>
          <cell r="O300" t="str">
            <v>Vejandla</v>
          </cell>
          <cell r="P300">
            <v>56.5</v>
          </cell>
          <cell r="Q300" t="str">
            <v>Repalle</v>
          </cell>
          <cell r="R300">
            <v>2.9</v>
          </cell>
          <cell r="S300" t="str">
            <v>I.B patnam</v>
          </cell>
          <cell r="T300">
            <v>85</v>
          </cell>
          <cell r="Y300" t="str">
            <v>Repalle</v>
          </cell>
          <cell r="Z300">
            <v>2.9</v>
          </cell>
          <cell r="AA300">
            <v>0.2</v>
          </cell>
        </row>
        <row r="301">
          <cell r="A301">
            <v>297</v>
          </cell>
          <cell r="B301" t="str">
            <v>Kaithepalli</v>
          </cell>
          <cell r="C301" t="str">
            <v>Madigapalli of Kaithepalli</v>
          </cell>
          <cell r="D301" t="str">
            <v>Repalle</v>
          </cell>
          <cell r="E301" t="str">
            <v>Penumudi</v>
          </cell>
          <cell r="F301">
            <v>14.8</v>
          </cell>
          <cell r="G301" t="str">
            <v>Zoolapalem</v>
          </cell>
          <cell r="H301">
            <v>29.1</v>
          </cell>
          <cell r="I301" t="str">
            <v>Lam</v>
          </cell>
          <cell r="J301">
            <v>92.8</v>
          </cell>
          <cell r="K301" t="str">
            <v>Kolluru</v>
          </cell>
          <cell r="L301">
            <v>43.4</v>
          </cell>
          <cell r="M301" t="str">
            <v>Vejandla</v>
          </cell>
          <cell r="N301">
            <v>69.8</v>
          </cell>
          <cell r="O301" t="str">
            <v>Vejandla</v>
          </cell>
          <cell r="P301">
            <v>69.8</v>
          </cell>
          <cell r="Q301" t="str">
            <v>Repalle</v>
          </cell>
          <cell r="R301">
            <v>12.6</v>
          </cell>
          <cell r="S301" t="str">
            <v>I.B patnam</v>
          </cell>
          <cell r="T301">
            <v>85</v>
          </cell>
          <cell r="Y301" t="str">
            <v>Repalle</v>
          </cell>
          <cell r="Z301">
            <v>12.6</v>
          </cell>
          <cell r="AA301">
            <v>0.2</v>
          </cell>
        </row>
        <row r="302">
          <cell r="A302">
            <v>298</v>
          </cell>
          <cell r="B302" t="str">
            <v>Potumeraka</v>
          </cell>
          <cell r="C302" t="str">
            <v>Madigapalli of Pothumeraka</v>
          </cell>
          <cell r="D302" t="str">
            <v>Repalle</v>
          </cell>
          <cell r="E302" t="str">
            <v>Penumudi</v>
          </cell>
          <cell r="F302">
            <v>16.3</v>
          </cell>
          <cell r="G302" t="str">
            <v>Zoolapalem</v>
          </cell>
          <cell r="H302">
            <v>30.6</v>
          </cell>
          <cell r="I302" t="str">
            <v>Lam</v>
          </cell>
          <cell r="J302">
            <v>94.3</v>
          </cell>
          <cell r="K302" t="str">
            <v>Kolluru</v>
          </cell>
          <cell r="L302">
            <v>44.7</v>
          </cell>
          <cell r="M302" t="str">
            <v>Vejandla</v>
          </cell>
          <cell r="N302">
            <v>71.3</v>
          </cell>
          <cell r="O302" t="str">
            <v>Vejandla</v>
          </cell>
          <cell r="P302">
            <v>71.3</v>
          </cell>
          <cell r="Q302" t="str">
            <v>Repalle</v>
          </cell>
          <cell r="R302">
            <v>14.1</v>
          </cell>
          <cell r="S302" t="str">
            <v>I.B patnam</v>
          </cell>
          <cell r="T302">
            <v>85</v>
          </cell>
          <cell r="Y302" t="str">
            <v>Repalle</v>
          </cell>
          <cell r="Z302">
            <v>14.1</v>
          </cell>
          <cell r="AA302">
            <v>0.2</v>
          </cell>
        </row>
        <row r="303">
          <cell r="A303">
            <v>299</v>
          </cell>
          <cell r="B303" t="str">
            <v>Peteru</v>
          </cell>
          <cell r="C303" t="str">
            <v>Madigapalli (South) H/O Peteru</v>
          </cell>
          <cell r="D303" t="str">
            <v>Repalle</v>
          </cell>
          <cell r="E303" t="str">
            <v>Penumudi</v>
          </cell>
          <cell r="F303">
            <v>5.7</v>
          </cell>
          <cell r="G303" t="str">
            <v>Zoolapalem</v>
          </cell>
          <cell r="H303">
            <v>12.2</v>
          </cell>
          <cell r="I303" t="str">
            <v>Lam</v>
          </cell>
          <cell r="J303">
            <v>80.3</v>
          </cell>
          <cell r="K303" t="str">
            <v>Kolluru</v>
          </cell>
          <cell r="L303">
            <v>27.7</v>
          </cell>
          <cell r="M303" t="str">
            <v>Vejandla</v>
          </cell>
          <cell r="N303">
            <v>56.3</v>
          </cell>
          <cell r="O303" t="str">
            <v>Vejandla</v>
          </cell>
          <cell r="P303">
            <v>56.3</v>
          </cell>
          <cell r="Q303" t="str">
            <v>Repalle</v>
          </cell>
          <cell r="R303">
            <v>4.3</v>
          </cell>
          <cell r="S303" t="str">
            <v>I.B patnam</v>
          </cell>
          <cell r="T303">
            <v>85</v>
          </cell>
          <cell r="Y303" t="str">
            <v>Repalle</v>
          </cell>
          <cell r="Z303">
            <v>4.3</v>
          </cell>
          <cell r="AA303">
            <v>0.2</v>
          </cell>
        </row>
        <row r="304">
          <cell r="A304">
            <v>300</v>
          </cell>
          <cell r="B304" t="str">
            <v>Peteru</v>
          </cell>
          <cell r="C304" t="str">
            <v>Madigapalli(North) H/O Peteru</v>
          </cell>
          <cell r="D304" t="str">
            <v>Repalle</v>
          </cell>
          <cell r="E304" t="str">
            <v>Penumudi</v>
          </cell>
          <cell r="F304">
            <v>5.7</v>
          </cell>
          <cell r="G304" t="str">
            <v>Zoolapalem</v>
          </cell>
          <cell r="H304">
            <v>12.2</v>
          </cell>
          <cell r="I304" t="str">
            <v>Lam</v>
          </cell>
          <cell r="J304">
            <v>80.3</v>
          </cell>
          <cell r="K304" t="str">
            <v>Kolluru</v>
          </cell>
          <cell r="L304">
            <v>27.7</v>
          </cell>
          <cell r="M304" t="str">
            <v>Vejandla</v>
          </cell>
          <cell r="N304">
            <v>56.3</v>
          </cell>
          <cell r="O304" t="str">
            <v>Vejandla</v>
          </cell>
          <cell r="P304">
            <v>56.3</v>
          </cell>
          <cell r="Q304" t="str">
            <v>Repalle</v>
          </cell>
          <cell r="R304">
            <v>4.3</v>
          </cell>
          <cell r="S304" t="str">
            <v>I.B patnam</v>
          </cell>
          <cell r="T304">
            <v>85</v>
          </cell>
          <cell r="Y304" t="str">
            <v>Repalle</v>
          </cell>
          <cell r="Z304">
            <v>4.3</v>
          </cell>
          <cell r="AA304">
            <v>0.2</v>
          </cell>
        </row>
        <row r="305">
          <cell r="A305">
            <v>301</v>
          </cell>
          <cell r="B305" t="str">
            <v>Bethapudi</v>
          </cell>
          <cell r="C305" t="str">
            <v>Malapalli of Bethapudi</v>
          </cell>
          <cell r="D305" t="str">
            <v>Repalle</v>
          </cell>
          <cell r="E305" t="str">
            <v>Penumudi</v>
          </cell>
          <cell r="F305">
            <v>5</v>
          </cell>
          <cell r="G305" t="str">
            <v>Zoolapalem</v>
          </cell>
          <cell r="H305">
            <v>21.5</v>
          </cell>
          <cell r="I305" t="str">
            <v>Lam</v>
          </cell>
          <cell r="J305">
            <v>79.5</v>
          </cell>
          <cell r="K305" t="str">
            <v>Kolluru</v>
          </cell>
          <cell r="L305">
            <v>26.9</v>
          </cell>
          <cell r="M305" t="str">
            <v>Vejandla</v>
          </cell>
          <cell r="N305">
            <v>56.5</v>
          </cell>
          <cell r="O305" t="str">
            <v>Vejandla</v>
          </cell>
          <cell r="P305">
            <v>56.5</v>
          </cell>
          <cell r="Q305" t="str">
            <v>Repalle</v>
          </cell>
          <cell r="R305">
            <v>2.9</v>
          </cell>
          <cell r="S305" t="str">
            <v>I.B patnam</v>
          </cell>
          <cell r="T305">
            <v>85</v>
          </cell>
          <cell r="Y305" t="str">
            <v>Repalle</v>
          </cell>
          <cell r="Z305">
            <v>2.9</v>
          </cell>
          <cell r="AA305">
            <v>0.2</v>
          </cell>
        </row>
        <row r="306">
          <cell r="A306">
            <v>302</v>
          </cell>
          <cell r="B306" t="str">
            <v>Kaithepalli</v>
          </cell>
          <cell r="C306" t="str">
            <v>Malapalli of Uppudi</v>
          </cell>
          <cell r="D306" t="str">
            <v>Repalle</v>
          </cell>
          <cell r="E306" t="str">
            <v>Penumudi</v>
          </cell>
          <cell r="F306">
            <v>8.3000000000000007</v>
          </cell>
          <cell r="G306" t="str">
            <v>Zoolapalem</v>
          </cell>
          <cell r="H306">
            <v>19.2</v>
          </cell>
          <cell r="I306" t="str">
            <v>Lam</v>
          </cell>
          <cell r="J306">
            <v>83.9</v>
          </cell>
          <cell r="K306" t="str">
            <v>Kolluru</v>
          </cell>
          <cell r="L306">
            <v>31.3</v>
          </cell>
          <cell r="M306" t="str">
            <v>Vejandla</v>
          </cell>
          <cell r="N306">
            <v>59.9</v>
          </cell>
          <cell r="O306" t="str">
            <v>Vejandla</v>
          </cell>
          <cell r="P306">
            <v>59.9</v>
          </cell>
          <cell r="Q306" t="str">
            <v>Repalle</v>
          </cell>
          <cell r="R306">
            <v>2.7</v>
          </cell>
          <cell r="S306" t="str">
            <v>I.B patnam</v>
          </cell>
          <cell r="T306">
            <v>85</v>
          </cell>
          <cell r="Y306" t="str">
            <v>Repalle</v>
          </cell>
          <cell r="Z306">
            <v>2.7</v>
          </cell>
          <cell r="AA306">
            <v>0.2</v>
          </cell>
        </row>
        <row r="307">
          <cell r="A307">
            <v>303</v>
          </cell>
          <cell r="B307" t="str">
            <v>Uppudi</v>
          </cell>
          <cell r="C307" t="str">
            <v>Malapalli of Kaithepalli</v>
          </cell>
          <cell r="D307" t="str">
            <v>Repalle</v>
          </cell>
          <cell r="E307" t="str">
            <v>Penumudi</v>
          </cell>
          <cell r="F307">
            <v>18</v>
          </cell>
          <cell r="G307" t="str">
            <v>Zoolapalem</v>
          </cell>
          <cell r="H307">
            <v>32.299999999999997</v>
          </cell>
          <cell r="I307" t="str">
            <v>Lam</v>
          </cell>
          <cell r="J307">
            <v>96.2</v>
          </cell>
          <cell r="K307" t="str">
            <v>Kolluru</v>
          </cell>
          <cell r="L307">
            <v>46.4</v>
          </cell>
          <cell r="M307" t="str">
            <v>Vejandla</v>
          </cell>
          <cell r="N307">
            <v>73.2</v>
          </cell>
          <cell r="O307" t="str">
            <v>Vejandla</v>
          </cell>
          <cell r="P307">
            <v>73.2</v>
          </cell>
          <cell r="Q307" t="str">
            <v>Repalle</v>
          </cell>
          <cell r="R307">
            <v>15.8</v>
          </cell>
          <cell r="S307" t="str">
            <v>I.B patnam</v>
          </cell>
          <cell r="T307">
            <v>85</v>
          </cell>
          <cell r="Y307" t="str">
            <v>Repalle</v>
          </cell>
          <cell r="Z307">
            <v>15.8</v>
          </cell>
          <cell r="AA307">
            <v>0.2</v>
          </cell>
        </row>
        <row r="308">
          <cell r="A308">
            <v>304</v>
          </cell>
          <cell r="B308" t="str">
            <v>Peteru</v>
          </cell>
          <cell r="C308" t="str">
            <v>Malapalli (East) H/O Peteru</v>
          </cell>
          <cell r="D308" t="str">
            <v>Repalle</v>
          </cell>
          <cell r="E308" t="str">
            <v>Penumudi</v>
          </cell>
          <cell r="F308">
            <v>5.7</v>
          </cell>
          <cell r="G308" t="str">
            <v>Zoolapalem</v>
          </cell>
          <cell r="H308">
            <v>12.2</v>
          </cell>
          <cell r="I308" t="str">
            <v>Lam</v>
          </cell>
          <cell r="J308">
            <v>80.3</v>
          </cell>
          <cell r="K308" t="str">
            <v>Kolluru</v>
          </cell>
          <cell r="L308">
            <v>27.7</v>
          </cell>
          <cell r="M308" t="str">
            <v>Vejandla</v>
          </cell>
          <cell r="N308">
            <v>56.3</v>
          </cell>
          <cell r="O308" t="str">
            <v>Vejandla</v>
          </cell>
          <cell r="P308">
            <v>56.3</v>
          </cell>
          <cell r="Q308" t="str">
            <v>Repalle</v>
          </cell>
          <cell r="R308">
            <v>4.3</v>
          </cell>
          <cell r="S308" t="str">
            <v>I.B patnam</v>
          </cell>
          <cell r="T308">
            <v>85</v>
          </cell>
          <cell r="Y308" t="str">
            <v>Repalle</v>
          </cell>
          <cell r="Z308">
            <v>4.3</v>
          </cell>
          <cell r="AA308">
            <v>0.2</v>
          </cell>
        </row>
        <row r="309">
          <cell r="A309">
            <v>305</v>
          </cell>
          <cell r="B309" t="str">
            <v>Peteru</v>
          </cell>
          <cell r="C309" t="str">
            <v>Malapalli (South) H/O Peteru</v>
          </cell>
          <cell r="D309" t="str">
            <v>Repalle</v>
          </cell>
          <cell r="E309" t="str">
            <v>Penumudi</v>
          </cell>
          <cell r="F309">
            <v>5.7</v>
          </cell>
          <cell r="G309" t="str">
            <v>Zoolapalem</v>
          </cell>
          <cell r="H309">
            <v>12.2</v>
          </cell>
          <cell r="I309" t="str">
            <v>Lam</v>
          </cell>
          <cell r="J309">
            <v>80.3</v>
          </cell>
          <cell r="K309" t="str">
            <v>Kolluru</v>
          </cell>
          <cell r="L309">
            <v>27.7</v>
          </cell>
          <cell r="M309" t="str">
            <v>Vejandla</v>
          </cell>
          <cell r="N309">
            <v>56.3</v>
          </cell>
          <cell r="O309" t="str">
            <v>Vejandla</v>
          </cell>
          <cell r="P309">
            <v>56.3</v>
          </cell>
          <cell r="Q309" t="str">
            <v>Repalle</v>
          </cell>
          <cell r="R309">
            <v>4.3</v>
          </cell>
          <cell r="S309" t="str">
            <v>I.B patnam</v>
          </cell>
          <cell r="T309">
            <v>85</v>
          </cell>
          <cell r="Y309" t="str">
            <v>Repalle</v>
          </cell>
          <cell r="Z309">
            <v>4.3</v>
          </cell>
          <cell r="AA309">
            <v>0.2</v>
          </cell>
        </row>
        <row r="310">
          <cell r="A310">
            <v>306</v>
          </cell>
          <cell r="B310" t="str">
            <v>Kamarajugadda(North)</v>
          </cell>
          <cell r="C310" t="str">
            <v>Mynenivaripalem</v>
          </cell>
          <cell r="D310" t="str">
            <v>Repalle</v>
          </cell>
          <cell r="E310" t="str">
            <v>Penumudi</v>
          </cell>
          <cell r="F310">
            <v>5.9</v>
          </cell>
          <cell r="G310" t="str">
            <v>Zoolapalem</v>
          </cell>
          <cell r="H310">
            <v>26.2</v>
          </cell>
          <cell r="I310" t="str">
            <v>Lam</v>
          </cell>
          <cell r="J310">
            <v>89.7</v>
          </cell>
          <cell r="K310" t="str">
            <v>Kolluru</v>
          </cell>
          <cell r="L310">
            <v>35.9</v>
          </cell>
          <cell r="M310" t="str">
            <v>Vejandla</v>
          </cell>
          <cell r="N310">
            <v>66.7</v>
          </cell>
          <cell r="O310" t="str">
            <v>Vejandla</v>
          </cell>
          <cell r="P310">
            <v>66.7</v>
          </cell>
          <cell r="Q310" t="str">
            <v>Repalle</v>
          </cell>
          <cell r="R310">
            <v>9.6999999999999993</v>
          </cell>
          <cell r="S310" t="str">
            <v>I.B patnam</v>
          </cell>
          <cell r="T310">
            <v>85</v>
          </cell>
          <cell r="Y310" t="str">
            <v>Repalle</v>
          </cell>
          <cell r="Z310">
            <v>9.6999999999999993</v>
          </cell>
          <cell r="AA310">
            <v>0.2</v>
          </cell>
        </row>
        <row r="311">
          <cell r="A311">
            <v>307</v>
          </cell>
          <cell r="B311" t="str">
            <v>Mollagunta</v>
          </cell>
          <cell r="C311" t="str">
            <v>Mollagunta</v>
          </cell>
          <cell r="D311" t="str">
            <v>Repalle</v>
          </cell>
          <cell r="E311" t="str">
            <v>Local</v>
          </cell>
          <cell r="F311">
            <v>5</v>
          </cell>
          <cell r="G311" t="str">
            <v>Zoolapalem</v>
          </cell>
          <cell r="H311">
            <v>35.200000000000003</v>
          </cell>
          <cell r="I311" t="str">
            <v>Lam</v>
          </cell>
          <cell r="J311">
            <v>98.9</v>
          </cell>
          <cell r="K311" t="str">
            <v>Kolluru</v>
          </cell>
          <cell r="L311">
            <v>49.3</v>
          </cell>
          <cell r="M311" t="str">
            <v>Vejandla</v>
          </cell>
          <cell r="N311">
            <v>75.900000000000006</v>
          </cell>
          <cell r="O311" t="str">
            <v>Vejandla</v>
          </cell>
          <cell r="P311">
            <v>75.900000000000006</v>
          </cell>
          <cell r="Q311" t="str">
            <v>Repalle</v>
          </cell>
          <cell r="R311">
            <v>18.7</v>
          </cell>
          <cell r="S311" t="str">
            <v>I.B patnam</v>
          </cell>
          <cell r="T311">
            <v>85</v>
          </cell>
          <cell r="Y311" t="str">
            <v>Repalle</v>
          </cell>
          <cell r="Z311">
            <v>18.7</v>
          </cell>
          <cell r="AA311">
            <v>0</v>
          </cell>
        </row>
        <row r="312">
          <cell r="A312">
            <v>308</v>
          </cell>
          <cell r="B312" t="str">
            <v>Morlavaripalem</v>
          </cell>
          <cell r="C312" t="str">
            <v>Morlavaripalem</v>
          </cell>
          <cell r="D312" t="str">
            <v>Repalle</v>
          </cell>
          <cell r="E312" t="str">
            <v>Penumudi</v>
          </cell>
          <cell r="F312">
            <v>8.1</v>
          </cell>
          <cell r="G312" t="str">
            <v>Zoolapalem</v>
          </cell>
          <cell r="H312">
            <v>14</v>
          </cell>
          <cell r="I312" t="str">
            <v>Lam</v>
          </cell>
          <cell r="J312">
            <v>81</v>
          </cell>
          <cell r="K312" t="str">
            <v>Kolluru</v>
          </cell>
          <cell r="L312">
            <v>28.4</v>
          </cell>
          <cell r="M312" t="str">
            <v>Vejandla</v>
          </cell>
          <cell r="N312">
            <v>57</v>
          </cell>
          <cell r="O312" t="str">
            <v>Vejandla</v>
          </cell>
          <cell r="P312">
            <v>57</v>
          </cell>
          <cell r="Q312" t="str">
            <v>Repalle</v>
          </cell>
          <cell r="R312">
            <v>2.5</v>
          </cell>
          <cell r="S312" t="str">
            <v>I.B patnam</v>
          </cell>
          <cell r="T312">
            <v>85</v>
          </cell>
          <cell r="Y312" t="str">
            <v>Repalle</v>
          </cell>
          <cell r="Z312">
            <v>2.5</v>
          </cell>
          <cell r="AA312">
            <v>0.2</v>
          </cell>
        </row>
        <row r="313">
          <cell r="A313">
            <v>309</v>
          </cell>
          <cell r="B313" t="str">
            <v>Kamarajugadda(South)</v>
          </cell>
          <cell r="C313" t="str">
            <v>Morthota</v>
          </cell>
          <cell r="D313" t="str">
            <v>Repalle</v>
          </cell>
          <cell r="E313" t="str">
            <v>Penumudi</v>
          </cell>
          <cell r="F313">
            <v>8.3000000000000007</v>
          </cell>
          <cell r="G313" t="str">
            <v>Zoolapalem</v>
          </cell>
          <cell r="H313">
            <v>28.6</v>
          </cell>
          <cell r="I313" t="str">
            <v>Lam</v>
          </cell>
          <cell r="J313">
            <v>92.1</v>
          </cell>
          <cell r="K313" t="str">
            <v>Kolluru</v>
          </cell>
          <cell r="L313">
            <v>39.5</v>
          </cell>
          <cell r="M313" t="str">
            <v>Vejandla</v>
          </cell>
          <cell r="N313">
            <v>68.099999999999994</v>
          </cell>
          <cell r="O313" t="str">
            <v>Vejandla</v>
          </cell>
          <cell r="P313">
            <v>68.099999999999994</v>
          </cell>
          <cell r="Q313" t="str">
            <v>Repalle</v>
          </cell>
          <cell r="R313">
            <v>12.1</v>
          </cell>
          <cell r="S313" t="str">
            <v>I.B patnam</v>
          </cell>
          <cell r="T313">
            <v>85</v>
          </cell>
          <cell r="Y313" t="str">
            <v>Repalle</v>
          </cell>
          <cell r="Z313">
            <v>12.1</v>
          </cell>
          <cell r="AA313">
            <v>0.2</v>
          </cell>
        </row>
        <row r="314">
          <cell r="A314">
            <v>310</v>
          </cell>
          <cell r="B314" t="str">
            <v>Gangadipalem</v>
          </cell>
          <cell r="C314" t="str">
            <v>Mruthumjayavaripalem</v>
          </cell>
          <cell r="D314" t="str">
            <v>Repalle</v>
          </cell>
          <cell r="E314" t="str">
            <v>Local</v>
          </cell>
          <cell r="F314">
            <v>5</v>
          </cell>
          <cell r="G314" t="str">
            <v>Zoolapalem</v>
          </cell>
          <cell r="H314">
            <v>37</v>
          </cell>
          <cell r="I314" t="str">
            <v>Lam</v>
          </cell>
          <cell r="J314">
            <v>100.7</v>
          </cell>
          <cell r="K314" t="str">
            <v>Kolluru</v>
          </cell>
          <cell r="L314">
            <v>51.1</v>
          </cell>
          <cell r="M314" t="str">
            <v>Vejandla</v>
          </cell>
          <cell r="N314">
            <v>77.7</v>
          </cell>
          <cell r="O314" t="str">
            <v>Vejandla</v>
          </cell>
          <cell r="P314">
            <v>77.7</v>
          </cell>
          <cell r="Q314" t="str">
            <v>Repalle</v>
          </cell>
          <cell r="R314">
            <v>20.5</v>
          </cell>
          <cell r="S314" t="str">
            <v>I.B patnam</v>
          </cell>
          <cell r="T314">
            <v>85</v>
          </cell>
          <cell r="Y314" t="str">
            <v>Repalle</v>
          </cell>
          <cell r="Z314">
            <v>20.5</v>
          </cell>
          <cell r="AA314">
            <v>0</v>
          </cell>
        </row>
        <row r="315">
          <cell r="A315">
            <v>311</v>
          </cell>
          <cell r="B315" t="str">
            <v>Nalluripalem</v>
          </cell>
          <cell r="C315" t="str">
            <v>Nalluripalem</v>
          </cell>
          <cell r="D315" t="str">
            <v>Repalle</v>
          </cell>
          <cell r="E315" t="str">
            <v>Penumudi</v>
          </cell>
          <cell r="F315">
            <v>6.9</v>
          </cell>
          <cell r="G315" t="str">
            <v>Zoolapalem</v>
          </cell>
          <cell r="H315">
            <v>23.4</v>
          </cell>
          <cell r="I315" t="str">
            <v>Lam</v>
          </cell>
          <cell r="J315">
            <v>87.1</v>
          </cell>
          <cell r="K315" t="str">
            <v>Kolluru</v>
          </cell>
          <cell r="L315">
            <v>37.700000000000003</v>
          </cell>
          <cell r="M315" t="str">
            <v>Vejandla</v>
          </cell>
          <cell r="N315">
            <v>64.099999999999994</v>
          </cell>
          <cell r="O315" t="str">
            <v>Vejandla</v>
          </cell>
          <cell r="P315">
            <v>64.099999999999994</v>
          </cell>
          <cell r="Q315" t="str">
            <v>Repalle</v>
          </cell>
          <cell r="R315">
            <v>6.9</v>
          </cell>
          <cell r="S315" t="str">
            <v>I.B patnam</v>
          </cell>
          <cell r="T315">
            <v>85</v>
          </cell>
          <cell r="Y315" t="str">
            <v>Repalle</v>
          </cell>
          <cell r="Z315">
            <v>6.9</v>
          </cell>
          <cell r="AA315">
            <v>0.2</v>
          </cell>
        </row>
        <row r="316">
          <cell r="A316">
            <v>312</v>
          </cell>
          <cell r="B316" t="str">
            <v>Aravapalli</v>
          </cell>
          <cell r="C316" t="str">
            <v>Nellurivaripalem</v>
          </cell>
          <cell r="D316" t="str">
            <v>Repalle</v>
          </cell>
          <cell r="E316" t="str">
            <v>Penumudi</v>
          </cell>
          <cell r="F316">
            <v>4.7</v>
          </cell>
          <cell r="G316" t="str">
            <v>Zoolapalem</v>
          </cell>
          <cell r="H316">
            <v>25</v>
          </cell>
          <cell r="I316" t="str">
            <v>Lam</v>
          </cell>
          <cell r="J316">
            <v>88.5</v>
          </cell>
          <cell r="K316" t="str">
            <v>Kolluru</v>
          </cell>
          <cell r="L316">
            <v>35.9</v>
          </cell>
          <cell r="M316" t="str">
            <v>Vejandla</v>
          </cell>
          <cell r="N316">
            <v>65.5</v>
          </cell>
          <cell r="O316" t="str">
            <v>Vejandla</v>
          </cell>
          <cell r="P316">
            <v>65.5</v>
          </cell>
          <cell r="Q316" t="str">
            <v>Repalle</v>
          </cell>
          <cell r="R316">
            <v>8.5</v>
          </cell>
          <cell r="S316" t="str">
            <v>I.B patnam</v>
          </cell>
          <cell r="T316">
            <v>85</v>
          </cell>
          <cell r="Y316" t="str">
            <v>Repalle</v>
          </cell>
          <cell r="Z316">
            <v>8.5</v>
          </cell>
          <cell r="AA316">
            <v>0.2</v>
          </cell>
        </row>
        <row r="317">
          <cell r="A317">
            <v>313</v>
          </cell>
          <cell r="B317" t="str">
            <v>Nalluru(North)</v>
          </cell>
          <cell r="C317" t="str">
            <v>Nalluru</v>
          </cell>
          <cell r="D317" t="str">
            <v>Repalle</v>
          </cell>
          <cell r="E317" t="str">
            <v>Penumudi</v>
          </cell>
          <cell r="F317">
            <v>4.7</v>
          </cell>
          <cell r="G317" t="str">
            <v>Zoolapalem</v>
          </cell>
          <cell r="H317">
            <v>25</v>
          </cell>
          <cell r="I317" t="str">
            <v>Lam</v>
          </cell>
          <cell r="J317">
            <v>88.5</v>
          </cell>
          <cell r="K317" t="str">
            <v>Kolluru</v>
          </cell>
          <cell r="L317">
            <v>35.9</v>
          </cell>
          <cell r="M317" t="str">
            <v>Vejandla</v>
          </cell>
          <cell r="N317">
            <v>65.5</v>
          </cell>
          <cell r="O317" t="str">
            <v>Vejandla</v>
          </cell>
          <cell r="P317">
            <v>65.5</v>
          </cell>
          <cell r="Q317" t="str">
            <v>Repalle</v>
          </cell>
          <cell r="R317">
            <v>8.5</v>
          </cell>
          <cell r="S317" t="str">
            <v>I.B patnam</v>
          </cell>
          <cell r="T317">
            <v>85</v>
          </cell>
          <cell r="Y317" t="str">
            <v>Repalle</v>
          </cell>
          <cell r="Z317">
            <v>8.5</v>
          </cell>
          <cell r="AA317">
            <v>0.2</v>
          </cell>
        </row>
        <row r="318">
          <cell r="A318">
            <v>314</v>
          </cell>
          <cell r="B318" t="str">
            <v>Aravapalli</v>
          </cell>
          <cell r="C318" t="str">
            <v>Okspet</v>
          </cell>
          <cell r="D318" t="str">
            <v>Repalle</v>
          </cell>
          <cell r="E318" t="str">
            <v>Penumudi</v>
          </cell>
          <cell r="F318">
            <v>5.7</v>
          </cell>
          <cell r="G318" t="str">
            <v>Zoolapalem</v>
          </cell>
          <cell r="H318">
            <v>20.9</v>
          </cell>
          <cell r="I318" t="str">
            <v>Lam</v>
          </cell>
          <cell r="J318">
            <v>83.7</v>
          </cell>
          <cell r="K318" t="str">
            <v>Kolluru</v>
          </cell>
          <cell r="L318">
            <v>34.1</v>
          </cell>
          <cell r="M318" t="str">
            <v>Vejandla</v>
          </cell>
          <cell r="N318">
            <v>60.7</v>
          </cell>
          <cell r="O318" t="str">
            <v>Vejandla</v>
          </cell>
          <cell r="P318">
            <v>60.7</v>
          </cell>
          <cell r="Q318" t="str">
            <v>Repalle</v>
          </cell>
          <cell r="R318">
            <v>4.4000000000000004</v>
          </cell>
          <cell r="S318" t="str">
            <v>I.B patnam</v>
          </cell>
          <cell r="T318">
            <v>85</v>
          </cell>
          <cell r="Y318" t="str">
            <v>Repalle</v>
          </cell>
          <cell r="Z318">
            <v>4.4000000000000004</v>
          </cell>
          <cell r="AA318">
            <v>0.2</v>
          </cell>
        </row>
        <row r="319">
          <cell r="A319">
            <v>315</v>
          </cell>
          <cell r="B319" t="str">
            <v>Potumeraka</v>
          </cell>
          <cell r="C319" t="str">
            <v>Palakurthi</v>
          </cell>
          <cell r="D319" t="str">
            <v>Repalle</v>
          </cell>
          <cell r="E319" t="str">
            <v>Local</v>
          </cell>
          <cell r="F319">
            <v>2</v>
          </cell>
          <cell r="G319" t="str">
            <v>Zoolapalem</v>
          </cell>
          <cell r="H319">
            <v>38</v>
          </cell>
          <cell r="I319" t="str">
            <v>Lam</v>
          </cell>
          <cell r="J319">
            <v>92</v>
          </cell>
          <cell r="K319" t="str">
            <v>Kolluru</v>
          </cell>
          <cell r="L319">
            <v>51</v>
          </cell>
          <cell r="M319" t="str">
            <v>Vejandla</v>
          </cell>
          <cell r="N319">
            <v>74</v>
          </cell>
          <cell r="O319" t="str">
            <v>Vejandla</v>
          </cell>
          <cell r="P319">
            <v>74</v>
          </cell>
          <cell r="Q319" t="str">
            <v>Repalle</v>
          </cell>
          <cell r="R319">
            <v>23</v>
          </cell>
          <cell r="S319" t="str">
            <v>I.B patnam</v>
          </cell>
          <cell r="T319">
            <v>85</v>
          </cell>
          <cell r="Y319" t="str">
            <v>Repalle</v>
          </cell>
          <cell r="Z319">
            <v>23</v>
          </cell>
          <cell r="AA319">
            <v>0.2</v>
          </cell>
        </row>
        <row r="320">
          <cell r="A320">
            <v>316</v>
          </cell>
          <cell r="B320" t="str">
            <v>Penumudi</v>
          </cell>
          <cell r="C320" t="str">
            <v>Pallipalem of penumudi</v>
          </cell>
          <cell r="D320" t="str">
            <v>Repalle</v>
          </cell>
          <cell r="E320" t="str">
            <v>Local</v>
          </cell>
          <cell r="F320">
            <v>0.5</v>
          </cell>
          <cell r="G320" t="str">
            <v>Zoolapalem</v>
          </cell>
          <cell r="H320">
            <v>20</v>
          </cell>
          <cell r="I320" t="str">
            <v>Lam</v>
          </cell>
          <cell r="J320">
            <v>85.5</v>
          </cell>
          <cell r="K320" t="str">
            <v>Kolluru</v>
          </cell>
          <cell r="L320">
            <v>32.9</v>
          </cell>
          <cell r="M320" t="str">
            <v>Vejandla</v>
          </cell>
          <cell r="N320">
            <v>61.5</v>
          </cell>
          <cell r="O320" t="str">
            <v>Vejandla</v>
          </cell>
          <cell r="P320">
            <v>61.5</v>
          </cell>
          <cell r="Q320" t="str">
            <v>Repalle</v>
          </cell>
          <cell r="R320">
            <v>5</v>
          </cell>
          <cell r="S320" t="str">
            <v>I.B patnam</v>
          </cell>
          <cell r="T320">
            <v>85</v>
          </cell>
          <cell r="Y320" t="str">
            <v>Repalle</v>
          </cell>
          <cell r="Z320">
            <v>5</v>
          </cell>
          <cell r="AA320">
            <v>0.2</v>
          </cell>
        </row>
        <row r="321">
          <cell r="A321">
            <v>317</v>
          </cell>
          <cell r="B321" t="str">
            <v>Penumudi</v>
          </cell>
          <cell r="C321" t="str">
            <v>Penumudi</v>
          </cell>
          <cell r="D321" t="str">
            <v>Repalle</v>
          </cell>
          <cell r="E321" t="str">
            <v>Local</v>
          </cell>
          <cell r="F321">
            <v>0.5</v>
          </cell>
          <cell r="G321" t="str">
            <v>Zoolapalem</v>
          </cell>
          <cell r="H321">
            <v>20</v>
          </cell>
          <cell r="I321" t="str">
            <v>Lam</v>
          </cell>
          <cell r="J321">
            <v>85.5</v>
          </cell>
          <cell r="K321" t="str">
            <v>Kolluru</v>
          </cell>
          <cell r="L321">
            <v>32.9</v>
          </cell>
          <cell r="M321" t="str">
            <v>Vejandla</v>
          </cell>
          <cell r="N321">
            <v>61.5</v>
          </cell>
          <cell r="O321" t="str">
            <v>Vejandla</v>
          </cell>
          <cell r="P321">
            <v>61.5</v>
          </cell>
          <cell r="Q321" t="str">
            <v>Repalle</v>
          </cell>
          <cell r="R321">
            <v>5</v>
          </cell>
          <cell r="S321" t="str">
            <v>I.B patnam</v>
          </cell>
          <cell r="T321">
            <v>85</v>
          </cell>
          <cell r="Y321" t="str">
            <v>Repalle</v>
          </cell>
          <cell r="Z321">
            <v>5</v>
          </cell>
          <cell r="AA321">
            <v>0.2</v>
          </cell>
        </row>
        <row r="322">
          <cell r="A322">
            <v>318</v>
          </cell>
          <cell r="B322" t="str">
            <v>Peteru</v>
          </cell>
          <cell r="C322" t="str">
            <v>Peteru</v>
          </cell>
          <cell r="D322" t="str">
            <v>Repalle</v>
          </cell>
          <cell r="E322" t="str">
            <v>Penumudi</v>
          </cell>
          <cell r="F322">
            <v>5.7</v>
          </cell>
          <cell r="G322" t="str">
            <v>Zoolapalem</v>
          </cell>
          <cell r="H322">
            <v>12.2</v>
          </cell>
          <cell r="I322" t="str">
            <v>Lam</v>
          </cell>
          <cell r="J322">
            <v>80.3</v>
          </cell>
          <cell r="K322" t="str">
            <v>Kolluru</v>
          </cell>
          <cell r="L322">
            <v>27.7</v>
          </cell>
          <cell r="M322" t="str">
            <v>Vejandla</v>
          </cell>
          <cell r="N322">
            <v>56.3</v>
          </cell>
          <cell r="O322" t="str">
            <v>Vejandla</v>
          </cell>
          <cell r="P322">
            <v>56.3</v>
          </cell>
          <cell r="Q322" t="str">
            <v>Repalle</v>
          </cell>
          <cell r="R322">
            <v>4.3</v>
          </cell>
          <cell r="S322" t="str">
            <v>I.B patnam</v>
          </cell>
          <cell r="T322">
            <v>85</v>
          </cell>
          <cell r="Y322" t="str">
            <v>Repalle</v>
          </cell>
          <cell r="Z322">
            <v>4.3</v>
          </cell>
          <cell r="AA322">
            <v>0.2</v>
          </cell>
        </row>
        <row r="323">
          <cell r="A323">
            <v>319</v>
          </cell>
          <cell r="B323" t="str">
            <v>Piratlanka</v>
          </cell>
          <cell r="C323" t="str">
            <v>Piratlanka</v>
          </cell>
          <cell r="D323" t="str">
            <v>Repalle</v>
          </cell>
          <cell r="E323" t="str">
            <v>Penumudi</v>
          </cell>
          <cell r="F323">
            <v>14.9</v>
          </cell>
          <cell r="G323" t="str">
            <v>Zoolapalem</v>
          </cell>
          <cell r="H323">
            <v>35.200000000000003</v>
          </cell>
          <cell r="I323" t="str">
            <v>Lam</v>
          </cell>
          <cell r="J323">
            <v>100.7</v>
          </cell>
          <cell r="K323" t="str">
            <v>Kolluru</v>
          </cell>
          <cell r="L323">
            <v>48.1</v>
          </cell>
          <cell r="M323" t="str">
            <v>Vejandla</v>
          </cell>
          <cell r="N323">
            <v>76.7</v>
          </cell>
          <cell r="O323" t="str">
            <v>Vejandla</v>
          </cell>
          <cell r="P323">
            <v>76.7</v>
          </cell>
          <cell r="Q323" t="str">
            <v>Repalle</v>
          </cell>
          <cell r="R323">
            <v>18.7</v>
          </cell>
          <cell r="S323" t="str">
            <v>I.B patnam</v>
          </cell>
          <cell r="T323">
            <v>85</v>
          </cell>
          <cell r="Y323" t="str">
            <v>Repalle</v>
          </cell>
          <cell r="Z323">
            <v>18.7</v>
          </cell>
          <cell r="AA323">
            <v>0</v>
          </cell>
        </row>
        <row r="324">
          <cell r="A324">
            <v>320</v>
          </cell>
          <cell r="B324" t="str">
            <v>Potumeraka</v>
          </cell>
          <cell r="C324" t="str">
            <v>Pothumeraka</v>
          </cell>
          <cell r="D324" t="str">
            <v>Repalle</v>
          </cell>
          <cell r="E324" t="str">
            <v>Penumudi</v>
          </cell>
          <cell r="F324">
            <v>16.3</v>
          </cell>
          <cell r="G324" t="str">
            <v>Zoolapalem</v>
          </cell>
          <cell r="H324">
            <v>30.6</v>
          </cell>
          <cell r="I324" t="str">
            <v>Lam</v>
          </cell>
          <cell r="J324">
            <v>94.3</v>
          </cell>
          <cell r="K324" t="str">
            <v>Kolluru</v>
          </cell>
          <cell r="L324">
            <v>44.7</v>
          </cell>
          <cell r="M324" t="str">
            <v>Vejandla</v>
          </cell>
          <cell r="N324">
            <v>71.3</v>
          </cell>
          <cell r="O324" t="str">
            <v>Vejandla</v>
          </cell>
          <cell r="P324">
            <v>71.3</v>
          </cell>
          <cell r="Q324" t="str">
            <v>Repalle</v>
          </cell>
          <cell r="R324">
            <v>14.1</v>
          </cell>
          <cell r="S324" t="str">
            <v>I.B patnam</v>
          </cell>
          <cell r="T324">
            <v>85</v>
          </cell>
          <cell r="Y324" t="str">
            <v>Repalle</v>
          </cell>
          <cell r="Z324">
            <v>14.1</v>
          </cell>
          <cell r="AA324">
            <v>0.2</v>
          </cell>
        </row>
        <row r="325">
          <cell r="A325">
            <v>321</v>
          </cell>
          <cell r="B325" t="str">
            <v>Rajukalva</v>
          </cell>
          <cell r="C325" t="str">
            <v>Rajukalva</v>
          </cell>
          <cell r="D325" t="str">
            <v>Repalle</v>
          </cell>
          <cell r="E325" t="str">
            <v>Penumudi</v>
          </cell>
          <cell r="F325">
            <v>21.1</v>
          </cell>
          <cell r="G325" t="str">
            <v>Zoolapalem</v>
          </cell>
          <cell r="H325">
            <v>41.4</v>
          </cell>
          <cell r="I325" t="str">
            <v>Lam</v>
          </cell>
          <cell r="J325">
            <v>106.9</v>
          </cell>
          <cell r="K325" t="str">
            <v>Kolluru</v>
          </cell>
          <cell r="L325">
            <v>52</v>
          </cell>
          <cell r="M325" t="str">
            <v>Vejandla</v>
          </cell>
          <cell r="N325">
            <v>82.9</v>
          </cell>
          <cell r="O325" t="str">
            <v>Vejandla</v>
          </cell>
          <cell r="P325">
            <v>82.9</v>
          </cell>
          <cell r="Q325" t="str">
            <v>Repalle</v>
          </cell>
          <cell r="R325">
            <v>24.9</v>
          </cell>
          <cell r="S325" t="str">
            <v>I.B patnam</v>
          </cell>
          <cell r="T325">
            <v>85</v>
          </cell>
          <cell r="Y325" t="str">
            <v>Repalle</v>
          </cell>
          <cell r="Z325">
            <v>24.9</v>
          </cell>
          <cell r="AA325">
            <v>0</v>
          </cell>
        </row>
        <row r="326">
          <cell r="A326">
            <v>322</v>
          </cell>
          <cell r="B326" t="str">
            <v>Penumudi</v>
          </cell>
          <cell r="C326" t="str">
            <v>Ravianthavaram</v>
          </cell>
          <cell r="D326" t="str">
            <v>Repalle</v>
          </cell>
          <cell r="E326" t="str">
            <v>Penumudi</v>
          </cell>
          <cell r="F326">
            <v>2.5</v>
          </cell>
          <cell r="G326" t="str">
            <v>Zoolapalem</v>
          </cell>
          <cell r="H326">
            <v>22</v>
          </cell>
          <cell r="I326" t="str">
            <v>Lam</v>
          </cell>
          <cell r="J326">
            <v>87.5</v>
          </cell>
          <cell r="K326" t="str">
            <v>Kolluru</v>
          </cell>
          <cell r="L326">
            <v>34.9</v>
          </cell>
          <cell r="M326" t="str">
            <v>Vejandla</v>
          </cell>
          <cell r="N326">
            <v>63.5</v>
          </cell>
          <cell r="O326" t="str">
            <v>Vejandla</v>
          </cell>
          <cell r="P326">
            <v>63.5</v>
          </cell>
          <cell r="Q326" t="str">
            <v>Repalle</v>
          </cell>
          <cell r="R326">
            <v>7</v>
          </cell>
          <cell r="S326" t="str">
            <v>I.B patnam</v>
          </cell>
          <cell r="T326">
            <v>85</v>
          </cell>
          <cell r="Y326" t="str">
            <v>Repalle</v>
          </cell>
          <cell r="Z326">
            <v>7</v>
          </cell>
          <cell r="AA326">
            <v>0.2</v>
          </cell>
        </row>
        <row r="327">
          <cell r="A327">
            <v>323</v>
          </cell>
          <cell r="B327" t="str">
            <v>Singupalem</v>
          </cell>
          <cell r="C327" t="str">
            <v>Singupalem</v>
          </cell>
          <cell r="D327" t="str">
            <v>Repalle</v>
          </cell>
          <cell r="E327" t="str">
            <v>Penumudi</v>
          </cell>
          <cell r="F327">
            <v>14.8</v>
          </cell>
          <cell r="G327" t="str">
            <v>Zoolapalem</v>
          </cell>
          <cell r="H327">
            <v>39.1</v>
          </cell>
          <cell r="I327" t="str">
            <v>Lam</v>
          </cell>
          <cell r="J327">
            <v>92.8</v>
          </cell>
          <cell r="K327" t="str">
            <v>Kolluru</v>
          </cell>
          <cell r="L327">
            <v>43.4</v>
          </cell>
          <cell r="M327" t="str">
            <v>Vejandla</v>
          </cell>
          <cell r="N327">
            <v>69.8</v>
          </cell>
          <cell r="O327" t="str">
            <v>Vejandla</v>
          </cell>
          <cell r="P327">
            <v>69.8</v>
          </cell>
          <cell r="Q327" t="str">
            <v>Repalle</v>
          </cell>
          <cell r="R327">
            <v>12.6</v>
          </cell>
          <cell r="S327" t="str">
            <v>I.B patnam</v>
          </cell>
          <cell r="T327">
            <v>85</v>
          </cell>
          <cell r="Y327" t="str">
            <v>Repalle</v>
          </cell>
          <cell r="Z327">
            <v>12.6</v>
          </cell>
          <cell r="AA327">
            <v>0.2</v>
          </cell>
        </row>
        <row r="328">
          <cell r="A328">
            <v>324</v>
          </cell>
          <cell r="B328" t="str">
            <v>Thummala</v>
          </cell>
          <cell r="C328" t="str">
            <v>Thummala</v>
          </cell>
          <cell r="D328" t="str">
            <v>Repalle</v>
          </cell>
          <cell r="E328" t="str">
            <v>Penumudi</v>
          </cell>
          <cell r="F328">
            <v>18.5</v>
          </cell>
          <cell r="G328" t="str">
            <v>Zoolapalem</v>
          </cell>
          <cell r="H328">
            <v>32.799999999999997</v>
          </cell>
          <cell r="I328" t="str">
            <v>Lam</v>
          </cell>
          <cell r="J328">
            <v>96.5</v>
          </cell>
          <cell r="K328" t="str">
            <v>Kolluru</v>
          </cell>
          <cell r="L328">
            <v>46.9</v>
          </cell>
          <cell r="M328" t="str">
            <v>Vejandla</v>
          </cell>
          <cell r="N328">
            <v>73.5</v>
          </cell>
          <cell r="O328" t="str">
            <v>Vejandla</v>
          </cell>
          <cell r="P328">
            <v>73.5</v>
          </cell>
          <cell r="Q328" t="str">
            <v>Repalle</v>
          </cell>
          <cell r="R328">
            <v>16.3</v>
          </cell>
          <cell r="S328" t="str">
            <v>I.B patnam</v>
          </cell>
          <cell r="T328">
            <v>85</v>
          </cell>
          <cell r="Y328" t="str">
            <v>Repalle</v>
          </cell>
          <cell r="Z328">
            <v>16.3</v>
          </cell>
          <cell r="AA328">
            <v>0.2</v>
          </cell>
        </row>
        <row r="329">
          <cell r="A329">
            <v>325</v>
          </cell>
          <cell r="B329" t="str">
            <v>Kaithepalli</v>
          </cell>
          <cell r="C329" t="str">
            <v>Thurakapalem of Kaithepalli</v>
          </cell>
          <cell r="D329" t="str">
            <v>Repalle</v>
          </cell>
          <cell r="E329" t="str">
            <v>Penumudi</v>
          </cell>
          <cell r="F329">
            <v>16</v>
          </cell>
          <cell r="G329" t="str">
            <v>Zoolapalem</v>
          </cell>
          <cell r="H329">
            <v>40.299999999999997</v>
          </cell>
          <cell r="I329" t="str">
            <v>Lam</v>
          </cell>
          <cell r="J329">
            <v>98.2</v>
          </cell>
          <cell r="K329" t="str">
            <v>Kolluru</v>
          </cell>
          <cell r="L329">
            <v>48.4</v>
          </cell>
          <cell r="M329" t="str">
            <v>Vejandla</v>
          </cell>
          <cell r="N329">
            <v>75.2</v>
          </cell>
          <cell r="O329" t="str">
            <v>Vejandla</v>
          </cell>
          <cell r="P329">
            <v>75.2</v>
          </cell>
          <cell r="Q329" t="str">
            <v>Repalle</v>
          </cell>
          <cell r="R329">
            <v>17.8</v>
          </cell>
          <cell r="S329" t="str">
            <v>I.B patnam</v>
          </cell>
          <cell r="T329">
            <v>85</v>
          </cell>
          <cell r="Y329" t="str">
            <v>Repalle</v>
          </cell>
          <cell r="Z329">
            <v>17.8</v>
          </cell>
          <cell r="AA329">
            <v>0.2</v>
          </cell>
        </row>
        <row r="330">
          <cell r="A330">
            <v>326</v>
          </cell>
          <cell r="B330" t="str">
            <v>Thummala</v>
          </cell>
          <cell r="C330" t="str">
            <v>Thurupu malapalli of Pothumeraka</v>
          </cell>
          <cell r="D330" t="str">
            <v>Repalle</v>
          </cell>
          <cell r="E330" t="str">
            <v>Penumudi</v>
          </cell>
          <cell r="F330">
            <v>17.3</v>
          </cell>
          <cell r="G330" t="str">
            <v>Zoolapalem</v>
          </cell>
          <cell r="H330">
            <v>31.6</v>
          </cell>
          <cell r="I330" t="str">
            <v>Lam</v>
          </cell>
          <cell r="J330">
            <v>94.3</v>
          </cell>
          <cell r="K330" t="str">
            <v>Kolluru</v>
          </cell>
          <cell r="L330">
            <v>45.7</v>
          </cell>
          <cell r="M330" t="str">
            <v>Vejandla</v>
          </cell>
          <cell r="N330">
            <v>72.3</v>
          </cell>
          <cell r="O330" t="str">
            <v>Vejandla</v>
          </cell>
          <cell r="P330">
            <v>72.3</v>
          </cell>
          <cell r="Q330" t="str">
            <v>Repalle</v>
          </cell>
          <cell r="R330">
            <v>15.1</v>
          </cell>
          <cell r="S330" t="str">
            <v>I.B patnam</v>
          </cell>
          <cell r="T330">
            <v>85</v>
          </cell>
          <cell r="Y330" t="str">
            <v>Repalle</v>
          </cell>
          <cell r="Z330">
            <v>15.1</v>
          </cell>
          <cell r="AA330">
            <v>0.2</v>
          </cell>
        </row>
        <row r="331">
          <cell r="A331">
            <v>327</v>
          </cell>
          <cell r="B331" t="str">
            <v>Uppudi</v>
          </cell>
          <cell r="C331" t="str">
            <v>Uppudi</v>
          </cell>
          <cell r="D331" t="str">
            <v>Repalle</v>
          </cell>
          <cell r="E331" t="str">
            <v>Penumudi</v>
          </cell>
          <cell r="F331">
            <v>8.3000000000000007</v>
          </cell>
          <cell r="G331" t="str">
            <v>Zoolapalem</v>
          </cell>
          <cell r="H331">
            <v>19.399999999999999</v>
          </cell>
          <cell r="I331" t="str">
            <v>Lam</v>
          </cell>
          <cell r="J331">
            <v>83.9</v>
          </cell>
          <cell r="K331" t="str">
            <v>Kolluru</v>
          </cell>
          <cell r="L331">
            <v>31.3</v>
          </cell>
          <cell r="M331" t="str">
            <v>Vejandla</v>
          </cell>
          <cell r="N331">
            <v>59.9</v>
          </cell>
          <cell r="O331" t="str">
            <v>Vejandla</v>
          </cell>
          <cell r="P331">
            <v>59.9</v>
          </cell>
          <cell r="Q331" t="str">
            <v>Repalle</v>
          </cell>
          <cell r="R331">
            <v>2.7</v>
          </cell>
          <cell r="S331" t="str">
            <v>I.B patnam</v>
          </cell>
          <cell r="T331">
            <v>85</v>
          </cell>
          <cell r="Y331" t="str">
            <v>Repalle</v>
          </cell>
          <cell r="Z331">
            <v>2.7</v>
          </cell>
          <cell r="AA331">
            <v>0.2</v>
          </cell>
        </row>
        <row r="332">
          <cell r="A332">
            <v>328</v>
          </cell>
          <cell r="B332" t="str">
            <v>Aravapalli</v>
          </cell>
          <cell r="C332" t="str">
            <v>Ura -mlapalli of Aravapalli</v>
          </cell>
          <cell r="D332" t="str">
            <v>Repalle</v>
          </cell>
          <cell r="E332" t="str">
            <v>Penumudi</v>
          </cell>
          <cell r="F332">
            <v>5.7</v>
          </cell>
          <cell r="G332" t="str">
            <v>Zoolapalem</v>
          </cell>
          <cell r="H332">
            <v>20.9</v>
          </cell>
          <cell r="I332" t="str">
            <v>Lam</v>
          </cell>
          <cell r="J332">
            <v>83.7</v>
          </cell>
          <cell r="K332" t="str">
            <v>Kolluru</v>
          </cell>
          <cell r="L332">
            <v>34.1</v>
          </cell>
          <cell r="M332" t="str">
            <v>Vejandla</v>
          </cell>
          <cell r="N332">
            <v>60.7</v>
          </cell>
          <cell r="O332" t="str">
            <v>Vejandla</v>
          </cell>
          <cell r="P332">
            <v>60.7</v>
          </cell>
          <cell r="Q332" t="str">
            <v>Repalle</v>
          </cell>
          <cell r="R332">
            <v>4.4000000000000004</v>
          </cell>
          <cell r="S332" t="str">
            <v>I.B patnam</v>
          </cell>
          <cell r="T332">
            <v>85</v>
          </cell>
          <cell r="Y332" t="str">
            <v>Repalle</v>
          </cell>
          <cell r="Z332">
            <v>4.4000000000000004</v>
          </cell>
          <cell r="AA332">
            <v>0.2</v>
          </cell>
        </row>
        <row r="333">
          <cell r="A333">
            <v>329</v>
          </cell>
          <cell r="B333" t="str">
            <v>Vaddevaripalem</v>
          </cell>
          <cell r="C333" t="str">
            <v>Vaddevaripalem</v>
          </cell>
          <cell r="D333" t="str">
            <v>Repalle</v>
          </cell>
          <cell r="E333" t="str">
            <v>Penumudi</v>
          </cell>
          <cell r="F333">
            <v>18.100000000000001</v>
          </cell>
          <cell r="G333" t="str">
            <v>Zoolapalem</v>
          </cell>
          <cell r="H333">
            <v>32.4</v>
          </cell>
          <cell r="I333" t="str">
            <v>Lam</v>
          </cell>
          <cell r="J333">
            <v>96.1</v>
          </cell>
          <cell r="K333" t="str">
            <v>Kolluru</v>
          </cell>
          <cell r="L333">
            <v>46.5</v>
          </cell>
          <cell r="M333" t="str">
            <v>Vejandla</v>
          </cell>
          <cell r="N333">
            <v>73.099999999999994</v>
          </cell>
          <cell r="O333" t="str">
            <v>Vejandla</v>
          </cell>
          <cell r="P333">
            <v>73.099999999999994</v>
          </cell>
          <cell r="Q333" t="str">
            <v>Repalle</v>
          </cell>
          <cell r="R333">
            <v>15.9</v>
          </cell>
          <cell r="S333" t="str">
            <v>I.B patnam</v>
          </cell>
          <cell r="T333">
            <v>85</v>
          </cell>
          <cell r="Y333" t="str">
            <v>Repalle</v>
          </cell>
          <cell r="Z333">
            <v>15.9</v>
          </cell>
          <cell r="AA333">
            <v>0.2</v>
          </cell>
        </row>
        <row r="334">
          <cell r="A334">
            <v>330</v>
          </cell>
          <cell r="B334" t="str">
            <v>Peteru</v>
          </cell>
          <cell r="C334" t="str">
            <v>Vejandlavarilanka</v>
          </cell>
          <cell r="D334" t="str">
            <v>Repalle</v>
          </cell>
          <cell r="E334" t="str">
            <v>Penumudi</v>
          </cell>
          <cell r="F334">
            <v>8.6</v>
          </cell>
          <cell r="G334" t="str">
            <v>Zoolapalem</v>
          </cell>
          <cell r="H334">
            <v>19.5</v>
          </cell>
          <cell r="I334" t="str">
            <v>Lam</v>
          </cell>
          <cell r="J334">
            <v>80.099999999999994</v>
          </cell>
          <cell r="K334" t="str">
            <v>Kolluru</v>
          </cell>
          <cell r="L334">
            <v>27.5</v>
          </cell>
          <cell r="M334" t="str">
            <v>Vejandla</v>
          </cell>
          <cell r="N334">
            <v>57.1</v>
          </cell>
          <cell r="O334" t="str">
            <v>Vejandla</v>
          </cell>
          <cell r="P334">
            <v>57.1</v>
          </cell>
          <cell r="Q334" t="str">
            <v>Repalle</v>
          </cell>
          <cell r="R334">
            <v>3</v>
          </cell>
          <cell r="S334" t="str">
            <v>I.B patnam</v>
          </cell>
          <cell r="T334">
            <v>85</v>
          </cell>
          <cell r="Y334" t="str">
            <v>Repalle</v>
          </cell>
          <cell r="Z334">
            <v>3</v>
          </cell>
          <cell r="AA334">
            <v>0.2</v>
          </cell>
        </row>
        <row r="335">
          <cell r="A335">
            <v>331</v>
          </cell>
          <cell r="B335" t="str">
            <v>Visweswaram</v>
          </cell>
          <cell r="C335" t="str">
            <v>Visweswaram</v>
          </cell>
          <cell r="D335" t="str">
            <v>Repalle</v>
          </cell>
          <cell r="E335" t="str">
            <v>Penumudi</v>
          </cell>
          <cell r="F335">
            <v>15.6</v>
          </cell>
          <cell r="G335" t="str">
            <v>Zoolapalem</v>
          </cell>
          <cell r="H335">
            <v>29.9</v>
          </cell>
          <cell r="I335" t="str">
            <v>Lam</v>
          </cell>
          <cell r="J335">
            <v>93.6</v>
          </cell>
          <cell r="K335" t="str">
            <v>Kolluru</v>
          </cell>
          <cell r="L335">
            <v>44</v>
          </cell>
          <cell r="M335" t="str">
            <v>Vejandla</v>
          </cell>
          <cell r="N335">
            <v>70.599999999999994</v>
          </cell>
          <cell r="O335" t="str">
            <v>Vejandla</v>
          </cell>
          <cell r="P335">
            <v>70.599999999999994</v>
          </cell>
          <cell r="Q335" t="str">
            <v>Repalle</v>
          </cell>
          <cell r="R335">
            <v>13.4</v>
          </cell>
          <cell r="S335" t="str">
            <v>I.B patnam</v>
          </cell>
          <cell r="T335">
            <v>85</v>
          </cell>
          <cell r="Y335" t="str">
            <v>Repalle</v>
          </cell>
          <cell r="Z335">
            <v>13.4</v>
          </cell>
          <cell r="AA335">
            <v>0.2</v>
          </cell>
        </row>
        <row r="336">
          <cell r="A336">
            <v>332</v>
          </cell>
          <cell r="B336" t="str">
            <v>Bethapudi</v>
          </cell>
          <cell r="C336" t="str">
            <v>Vuyyurivaripalem of Bethapudi</v>
          </cell>
          <cell r="D336" t="str">
            <v>Repalle</v>
          </cell>
          <cell r="E336" t="str">
            <v>Penumudi</v>
          </cell>
          <cell r="F336">
            <v>7.1</v>
          </cell>
          <cell r="G336" t="str">
            <v>Zoolapalem</v>
          </cell>
          <cell r="H336">
            <v>18</v>
          </cell>
          <cell r="I336" t="str">
            <v>Lam</v>
          </cell>
          <cell r="J336">
            <v>80</v>
          </cell>
          <cell r="K336" t="str">
            <v>Kolluru</v>
          </cell>
          <cell r="L336">
            <v>29.4</v>
          </cell>
          <cell r="M336" t="str">
            <v>Vejandla</v>
          </cell>
          <cell r="N336">
            <v>58</v>
          </cell>
          <cell r="O336" t="str">
            <v>Vejandla</v>
          </cell>
          <cell r="P336">
            <v>58</v>
          </cell>
          <cell r="Q336" t="str">
            <v>Repalle</v>
          </cell>
          <cell r="R336">
            <v>1.5</v>
          </cell>
          <cell r="S336" t="str">
            <v>I.B patnam</v>
          </cell>
          <cell r="T336">
            <v>85</v>
          </cell>
          <cell r="Y336" t="str">
            <v>Repalle</v>
          </cell>
          <cell r="Z336">
            <v>1.5</v>
          </cell>
          <cell r="AA336">
            <v>0.2</v>
          </cell>
        </row>
        <row r="337">
          <cell r="A337">
            <v>333</v>
          </cell>
          <cell r="B337" t="str">
            <v>Potumeraka</v>
          </cell>
          <cell r="C337" t="str">
            <v>Yanadisangam</v>
          </cell>
          <cell r="D337" t="str">
            <v>Repalle</v>
          </cell>
          <cell r="E337" t="str">
            <v>Penumudi</v>
          </cell>
          <cell r="F337">
            <v>20.5</v>
          </cell>
          <cell r="G337" t="str">
            <v>Zoolapalem</v>
          </cell>
          <cell r="H337">
            <v>34.799999999999997</v>
          </cell>
          <cell r="I337" t="str">
            <v>Lam</v>
          </cell>
          <cell r="J337">
            <v>98.5</v>
          </cell>
          <cell r="K337" t="str">
            <v>Kolluru</v>
          </cell>
          <cell r="L337">
            <v>48.5</v>
          </cell>
          <cell r="M337" t="str">
            <v>Vejandla</v>
          </cell>
          <cell r="N337">
            <v>75.5</v>
          </cell>
          <cell r="O337" t="str">
            <v>Vejandla</v>
          </cell>
          <cell r="P337">
            <v>75.5</v>
          </cell>
          <cell r="Q337" t="str">
            <v>Repalle</v>
          </cell>
          <cell r="R337">
            <v>18.3</v>
          </cell>
          <cell r="S337" t="str">
            <v>I.B patnam</v>
          </cell>
          <cell r="T337">
            <v>85</v>
          </cell>
          <cell r="Y337" t="str">
            <v>Repalle</v>
          </cell>
          <cell r="Z337">
            <v>18.3</v>
          </cell>
          <cell r="AA337">
            <v>0.2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 esti"/>
      <sheetName val="wor - toil"/>
      <sheetName val="Cover_Sheet (2)"/>
      <sheetName val="toilet"/>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Labour_Charges"/>
      <sheetName val="Labour_Charges(detl)"/>
      <sheetName val="Specification"/>
      <sheetName val="Core_SSR"/>
    </sheetNames>
    <sheetDataSet>
      <sheetData sheetId="0"/>
      <sheetData sheetId="1"/>
      <sheetData sheetId="2"/>
      <sheetData sheetId="3"/>
      <sheetData sheetId="4"/>
      <sheetData sheetId="5"/>
      <sheetData sheetId="6"/>
      <sheetData sheetId="7">
        <row r="5">
          <cell r="A5">
            <v>1</v>
          </cell>
          <cell r="B5" t="str">
            <v>Peddapulivarru</v>
          </cell>
          <cell r="C5" t="str">
            <v>Akkivaripalem</v>
          </cell>
          <cell r="D5" t="str">
            <v>Bhattiprolu</v>
          </cell>
          <cell r="E5" t="str">
            <v>Zoolapalem</v>
          </cell>
          <cell r="F5">
            <v>10</v>
          </cell>
          <cell r="G5" t="str">
            <v>Zoolapalem</v>
          </cell>
          <cell r="H5">
            <v>10</v>
          </cell>
          <cell r="I5" t="str">
            <v>Lam</v>
          </cell>
          <cell r="J5">
            <v>67</v>
          </cell>
          <cell r="K5" t="str">
            <v>Kolluru</v>
          </cell>
          <cell r="L5">
            <v>14</v>
          </cell>
          <cell r="M5" t="str">
            <v>Vejandla</v>
          </cell>
          <cell r="N5">
            <v>44</v>
          </cell>
          <cell r="O5" t="str">
            <v>Vejandla</v>
          </cell>
          <cell r="P5">
            <v>44</v>
          </cell>
          <cell r="Q5" t="str">
            <v>Repalle</v>
          </cell>
          <cell r="R5">
            <v>13</v>
          </cell>
          <cell r="S5" t="str">
            <v>I.B patnam</v>
          </cell>
          <cell r="T5">
            <v>107</v>
          </cell>
          <cell r="Y5" t="str">
            <v>Repalle</v>
          </cell>
          <cell r="Z5">
            <v>13</v>
          </cell>
          <cell r="AA5">
            <v>0.2</v>
          </cell>
        </row>
        <row r="6">
          <cell r="A6">
            <v>2</v>
          </cell>
          <cell r="B6" t="str">
            <v>Allamudi</v>
          </cell>
          <cell r="C6" t="str">
            <v>Allamudi</v>
          </cell>
          <cell r="D6" t="str">
            <v>Bhattiprolu</v>
          </cell>
          <cell r="E6" t="str">
            <v>Zillepalli</v>
          </cell>
          <cell r="F6">
            <v>7</v>
          </cell>
          <cell r="G6" t="str">
            <v>Zoolapalem</v>
          </cell>
          <cell r="H6">
            <v>20</v>
          </cell>
          <cell r="I6" t="str">
            <v>Lam</v>
          </cell>
          <cell r="J6">
            <v>73</v>
          </cell>
          <cell r="K6" t="str">
            <v>Kolluru</v>
          </cell>
          <cell r="L6">
            <v>21</v>
          </cell>
          <cell r="M6" t="str">
            <v>Vejandla</v>
          </cell>
          <cell r="N6">
            <v>51</v>
          </cell>
          <cell r="O6" t="str">
            <v>Vejandla</v>
          </cell>
          <cell r="P6">
            <v>51</v>
          </cell>
          <cell r="Q6" t="str">
            <v>Repalle</v>
          </cell>
          <cell r="R6">
            <v>8</v>
          </cell>
          <cell r="S6" t="str">
            <v>I.B patnam</v>
          </cell>
          <cell r="T6">
            <v>113</v>
          </cell>
          <cell r="Y6" t="str">
            <v>Repalle</v>
          </cell>
          <cell r="Z6">
            <v>8</v>
          </cell>
          <cell r="AA6">
            <v>0.2</v>
          </cell>
        </row>
        <row r="7">
          <cell r="A7">
            <v>3</v>
          </cell>
          <cell r="B7" t="str">
            <v>Bhattiprolu</v>
          </cell>
          <cell r="C7" t="str">
            <v>Bhattiprolu</v>
          </cell>
          <cell r="D7" t="str">
            <v>Bhattiprolu</v>
          </cell>
          <cell r="E7" t="str">
            <v>Zoolapalem</v>
          </cell>
          <cell r="F7">
            <v>11</v>
          </cell>
          <cell r="G7" t="str">
            <v>Zoolapalem</v>
          </cell>
          <cell r="H7">
            <v>11</v>
          </cell>
          <cell r="I7" t="str">
            <v>Lam</v>
          </cell>
          <cell r="J7">
            <v>65</v>
          </cell>
          <cell r="K7" t="str">
            <v>Kolluru</v>
          </cell>
          <cell r="L7">
            <v>15</v>
          </cell>
          <cell r="M7" t="str">
            <v>Vejandla</v>
          </cell>
          <cell r="N7">
            <v>43</v>
          </cell>
          <cell r="O7" t="str">
            <v>Vejandla</v>
          </cell>
          <cell r="P7">
            <v>43</v>
          </cell>
          <cell r="Q7" t="str">
            <v>Repalle</v>
          </cell>
          <cell r="R7">
            <v>15</v>
          </cell>
          <cell r="S7" t="str">
            <v>I.B patnam</v>
          </cell>
          <cell r="T7">
            <v>105</v>
          </cell>
          <cell r="Y7" t="str">
            <v>Repalle</v>
          </cell>
          <cell r="Z7">
            <v>15</v>
          </cell>
          <cell r="AA7">
            <v>0.2</v>
          </cell>
        </row>
        <row r="8">
          <cell r="A8">
            <v>4</v>
          </cell>
          <cell r="B8" t="str">
            <v>Chintamotu</v>
          </cell>
          <cell r="C8" t="str">
            <v>Chintamotu</v>
          </cell>
          <cell r="D8" t="str">
            <v>Bhattiprolu</v>
          </cell>
          <cell r="E8" t="str">
            <v>Zoolapalem</v>
          </cell>
          <cell r="F8">
            <v>4</v>
          </cell>
          <cell r="G8" t="str">
            <v>Zoolapalem</v>
          </cell>
          <cell r="H8">
            <v>4</v>
          </cell>
          <cell r="I8" t="str">
            <v>Lam</v>
          </cell>
          <cell r="J8">
            <v>70</v>
          </cell>
          <cell r="K8" t="str">
            <v>Kolluru</v>
          </cell>
          <cell r="L8">
            <v>14</v>
          </cell>
          <cell r="M8" t="str">
            <v>Vejandla</v>
          </cell>
          <cell r="N8">
            <v>46</v>
          </cell>
          <cell r="O8" t="str">
            <v>Vejandla</v>
          </cell>
          <cell r="P8">
            <v>46</v>
          </cell>
          <cell r="Q8" t="str">
            <v>Repalle</v>
          </cell>
          <cell r="R8">
            <v>13</v>
          </cell>
          <cell r="S8" t="str">
            <v>I.B patnam</v>
          </cell>
          <cell r="T8">
            <v>108</v>
          </cell>
          <cell r="Y8" t="str">
            <v>Repalle</v>
          </cell>
          <cell r="Z8">
            <v>13</v>
          </cell>
          <cell r="AA8">
            <v>0.2</v>
          </cell>
        </row>
        <row r="9">
          <cell r="A9">
            <v>5</v>
          </cell>
          <cell r="B9" t="str">
            <v>Gorigapudi</v>
          </cell>
          <cell r="C9" t="str">
            <v>Dasaripalem Harizanawada H/O Gorigapudi</v>
          </cell>
          <cell r="D9" t="str">
            <v>Bhattiprolu</v>
          </cell>
          <cell r="E9" t="str">
            <v>Oleru</v>
          </cell>
          <cell r="F9">
            <v>5</v>
          </cell>
          <cell r="G9" t="str">
            <v>Oleru</v>
          </cell>
          <cell r="H9">
            <v>5</v>
          </cell>
          <cell r="I9" t="str">
            <v>Lam</v>
          </cell>
          <cell r="J9">
            <v>76</v>
          </cell>
          <cell r="K9" t="str">
            <v>Kolluru</v>
          </cell>
          <cell r="L9">
            <v>16</v>
          </cell>
          <cell r="M9" t="str">
            <v>Vejandla</v>
          </cell>
          <cell r="N9">
            <v>57</v>
          </cell>
          <cell r="O9" t="str">
            <v>Vejandla</v>
          </cell>
          <cell r="P9">
            <v>57</v>
          </cell>
          <cell r="Q9" t="str">
            <v>Repalle</v>
          </cell>
          <cell r="R9">
            <v>7</v>
          </cell>
          <cell r="S9" t="str">
            <v>I.B patnam</v>
          </cell>
          <cell r="T9">
            <v>110</v>
          </cell>
          <cell r="Y9" t="str">
            <v>Repalle</v>
          </cell>
          <cell r="Z9">
            <v>7</v>
          </cell>
          <cell r="AA9">
            <v>0.2</v>
          </cell>
        </row>
        <row r="10">
          <cell r="A10">
            <v>6</v>
          </cell>
          <cell r="B10" t="str">
            <v>Gorigapudi</v>
          </cell>
          <cell r="C10" t="str">
            <v>Gorigapudi</v>
          </cell>
          <cell r="D10" t="str">
            <v>Bhattiprolu</v>
          </cell>
          <cell r="E10" t="str">
            <v>Oleru</v>
          </cell>
          <cell r="F10">
            <v>6.5</v>
          </cell>
          <cell r="G10" t="str">
            <v>Oleru</v>
          </cell>
          <cell r="H10">
            <v>6.5</v>
          </cell>
          <cell r="I10" t="str">
            <v>Lam</v>
          </cell>
          <cell r="J10">
            <v>74</v>
          </cell>
          <cell r="K10" t="str">
            <v>Kolluru</v>
          </cell>
          <cell r="L10">
            <v>16</v>
          </cell>
          <cell r="M10" t="str">
            <v>Vejandla</v>
          </cell>
          <cell r="N10">
            <v>55</v>
          </cell>
          <cell r="O10" t="str">
            <v>Vejandla</v>
          </cell>
          <cell r="P10">
            <v>55</v>
          </cell>
          <cell r="Q10" t="str">
            <v>Repalle</v>
          </cell>
          <cell r="R10">
            <v>8</v>
          </cell>
          <cell r="S10" t="str">
            <v>I.B patnam</v>
          </cell>
          <cell r="T10">
            <v>108</v>
          </cell>
          <cell r="Y10" t="str">
            <v>Repalle</v>
          </cell>
          <cell r="Z10">
            <v>8</v>
          </cell>
          <cell r="AA10">
            <v>0.2</v>
          </cell>
        </row>
        <row r="11">
          <cell r="A11">
            <v>7</v>
          </cell>
          <cell r="B11" t="str">
            <v>Ilavaram</v>
          </cell>
          <cell r="C11" t="str">
            <v>Ilavaram</v>
          </cell>
          <cell r="D11" t="str">
            <v>Bhattiprolu</v>
          </cell>
          <cell r="E11" t="str">
            <v>Local</v>
          </cell>
          <cell r="F11">
            <v>4</v>
          </cell>
          <cell r="G11" t="str">
            <v>Zoolapalem</v>
          </cell>
          <cell r="H11">
            <v>13</v>
          </cell>
          <cell r="I11" t="str">
            <v>Lam</v>
          </cell>
          <cell r="J11">
            <v>68</v>
          </cell>
          <cell r="K11" t="str">
            <v>Kolluru</v>
          </cell>
          <cell r="L11">
            <v>18</v>
          </cell>
          <cell r="M11" t="str">
            <v>Vejandla</v>
          </cell>
          <cell r="N11">
            <v>46</v>
          </cell>
          <cell r="O11" t="str">
            <v>Vejandla</v>
          </cell>
          <cell r="P11">
            <v>46</v>
          </cell>
          <cell r="Q11" t="str">
            <v>Repalle</v>
          </cell>
          <cell r="R11">
            <v>18</v>
          </cell>
          <cell r="S11" t="str">
            <v>I.B patnam</v>
          </cell>
          <cell r="T11">
            <v>109</v>
          </cell>
          <cell r="Y11" t="str">
            <v>Repalle</v>
          </cell>
          <cell r="Z11">
            <v>18</v>
          </cell>
          <cell r="AA11">
            <v>0</v>
          </cell>
        </row>
        <row r="12">
          <cell r="A12">
            <v>8</v>
          </cell>
          <cell r="B12" t="str">
            <v>Kannegantivaripalem</v>
          </cell>
          <cell r="C12" t="str">
            <v>Kannegantivaripalem</v>
          </cell>
          <cell r="D12" t="str">
            <v>Bhattiprolu</v>
          </cell>
          <cell r="E12" t="str">
            <v>Penumudi</v>
          </cell>
          <cell r="F12">
            <v>8.5</v>
          </cell>
          <cell r="G12" t="str">
            <v>Penumudi</v>
          </cell>
          <cell r="H12">
            <v>8.5</v>
          </cell>
          <cell r="I12" t="str">
            <v>Lam</v>
          </cell>
          <cell r="J12">
            <v>78</v>
          </cell>
          <cell r="K12" t="str">
            <v>Kolluru</v>
          </cell>
          <cell r="L12">
            <v>18</v>
          </cell>
          <cell r="M12" t="str">
            <v>Vejandla</v>
          </cell>
          <cell r="N12">
            <v>54</v>
          </cell>
          <cell r="O12" t="str">
            <v>Vejandla</v>
          </cell>
          <cell r="P12">
            <v>54</v>
          </cell>
          <cell r="Q12" t="str">
            <v>Repalle</v>
          </cell>
          <cell r="R12">
            <v>6</v>
          </cell>
          <cell r="S12" t="str">
            <v>I.B patnam</v>
          </cell>
          <cell r="T12">
            <v>111</v>
          </cell>
          <cell r="Y12" t="str">
            <v>Repalle</v>
          </cell>
          <cell r="Z12">
            <v>6</v>
          </cell>
          <cell r="AA12">
            <v>0.2</v>
          </cell>
        </row>
        <row r="13">
          <cell r="A13">
            <v>9</v>
          </cell>
          <cell r="B13" t="str">
            <v>Peddapulivarru</v>
          </cell>
          <cell r="C13" t="str">
            <v>Kollapalem</v>
          </cell>
          <cell r="D13" t="str">
            <v>Bhattiprolu</v>
          </cell>
          <cell r="E13" t="str">
            <v>Oleru</v>
          </cell>
          <cell r="F13">
            <v>8</v>
          </cell>
          <cell r="G13" t="str">
            <v>Oleru</v>
          </cell>
          <cell r="H13">
            <v>8</v>
          </cell>
          <cell r="I13" t="str">
            <v>Lam</v>
          </cell>
          <cell r="J13">
            <v>71</v>
          </cell>
          <cell r="K13" t="str">
            <v>Kolluru</v>
          </cell>
          <cell r="L13">
            <v>18</v>
          </cell>
          <cell r="M13" t="str">
            <v>Vejandla</v>
          </cell>
          <cell r="N13">
            <v>48</v>
          </cell>
          <cell r="O13" t="str">
            <v>Vejandla</v>
          </cell>
          <cell r="P13">
            <v>48</v>
          </cell>
          <cell r="Q13" t="str">
            <v>Repalle</v>
          </cell>
          <cell r="R13">
            <v>9</v>
          </cell>
          <cell r="S13" t="str">
            <v>I.B patnam</v>
          </cell>
          <cell r="T13">
            <v>108</v>
          </cell>
          <cell r="Y13" t="str">
            <v>Repalle</v>
          </cell>
          <cell r="Z13">
            <v>9</v>
          </cell>
          <cell r="AA13">
            <v>0.2</v>
          </cell>
        </row>
        <row r="14">
          <cell r="A14">
            <v>10</v>
          </cell>
          <cell r="B14" t="str">
            <v>Konetipuram</v>
          </cell>
          <cell r="C14" t="str">
            <v>Konetipuram</v>
          </cell>
          <cell r="D14" t="str">
            <v>Bhattiprolu</v>
          </cell>
          <cell r="E14" t="str">
            <v>Zillepalli</v>
          </cell>
          <cell r="F14">
            <v>5</v>
          </cell>
          <cell r="G14" t="str">
            <v>Zoolapalem</v>
          </cell>
          <cell r="H14">
            <v>17</v>
          </cell>
          <cell r="I14" t="str">
            <v>Lam</v>
          </cell>
          <cell r="J14">
            <v>69</v>
          </cell>
          <cell r="K14" t="str">
            <v>Kolluru</v>
          </cell>
          <cell r="L14">
            <v>19</v>
          </cell>
          <cell r="M14" t="str">
            <v>Vejandla</v>
          </cell>
          <cell r="N14">
            <v>48</v>
          </cell>
          <cell r="O14" t="str">
            <v>Vejandla</v>
          </cell>
          <cell r="P14">
            <v>48</v>
          </cell>
          <cell r="Q14" t="str">
            <v>Repalle</v>
          </cell>
          <cell r="R14">
            <v>10</v>
          </cell>
          <cell r="S14" t="str">
            <v>I.B patnam</v>
          </cell>
          <cell r="T14">
            <v>111</v>
          </cell>
          <cell r="Y14" t="str">
            <v>Repalle</v>
          </cell>
          <cell r="Z14">
            <v>10</v>
          </cell>
          <cell r="AA14">
            <v>0.2</v>
          </cell>
        </row>
        <row r="15">
          <cell r="A15">
            <v>11</v>
          </cell>
          <cell r="B15" t="str">
            <v>Vellaturu</v>
          </cell>
          <cell r="C15" t="str">
            <v>Malapalli H/O Vellatur</v>
          </cell>
          <cell r="D15" t="str">
            <v>Bhattiprolu</v>
          </cell>
          <cell r="E15" t="str">
            <v>Zoolapalem</v>
          </cell>
          <cell r="F15">
            <v>6</v>
          </cell>
          <cell r="G15" t="str">
            <v>Zoolapalem</v>
          </cell>
          <cell r="H15">
            <v>6</v>
          </cell>
          <cell r="I15" t="str">
            <v>Lam</v>
          </cell>
          <cell r="J15">
            <v>65</v>
          </cell>
          <cell r="K15" t="str">
            <v>Kolluru</v>
          </cell>
          <cell r="L15">
            <v>10</v>
          </cell>
          <cell r="M15" t="str">
            <v>Vejandla</v>
          </cell>
          <cell r="N15">
            <v>41</v>
          </cell>
          <cell r="O15" t="str">
            <v>Vejandla</v>
          </cell>
          <cell r="P15">
            <v>41</v>
          </cell>
          <cell r="Q15" t="str">
            <v>Repalle</v>
          </cell>
          <cell r="R15">
            <v>19</v>
          </cell>
          <cell r="S15" t="str">
            <v>I.B patnam</v>
          </cell>
          <cell r="T15">
            <v>103</v>
          </cell>
          <cell r="Y15" t="str">
            <v>Repalle</v>
          </cell>
          <cell r="Z15">
            <v>19</v>
          </cell>
          <cell r="AA15">
            <v>0.2</v>
          </cell>
        </row>
        <row r="16">
          <cell r="A16">
            <v>12</v>
          </cell>
          <cell r="B16" t="str">
            <v>Oleru</v>
          </cell>
          <cell r="C16" t="str">
            <v>Oleru</v>
          </cell>
          <cell r="D16" t="str">
            <v>Bhattiprolu</v>
          </cell>
          <cell r="E16" t="str">
            <v>Oleru</v>
          </cell>
          <cell r="F16">
            <v>6</v>
          </cell>
          <cell r="G16" t="str">
            <v>Oleru</v>
          </cell>
          <cell r="H16">
            <v>6</v>
          </cell>
          <cell r="I16" t="str">
            <v>Lam</v>
          </cell>
          <cell r="J16">
            <v>73</v>
          </cell>
          <cell r="K16" t="str">
            <v>Kolluru</v>
          </cell>
          <cell r="L16">
            <v>18</v>
          </cell>
          <cell r="M16" t="str">
            <v>Vejandla</v>
          </cell>
          <cell r="N16">
            <v>51</v>
          </cell>
          <cell r="O16" t="str">
            <v>Vejandla</v>
          </cell>
          <cell r="P16">
            <v>51</v>
          </cell>
          <cell r="Q16" t="str">
            <v>Repalle</v>
          </cell>
          <cell r="R16">
            <v>7</v>
          </cell>
          <cell r="S16" t="str">
            <v>I.B patnam</v>
          </cell>
          <cell r="T16">
            <v>111</v>
          </cell>
          <cell r="Y16" t="str">
            <v>Repalle</v>
          </cell>
          <cell r="Z16">
            <v>7</v>
          </cell>
          <cell r="AA16">
            <v>0.2</v>
          </cell>
        </row>
        <row r="17">
          <cell r="A17">
            <v>13</v>
          </cell>
          <cell r="B17" t="str">
            <v>Konetipuram</v>
          </cell>
          <cell r="C17" t="str">
            <v>Padamatipalem</v>
          </cell>
          <cell r="D17" t="str">
            <v>Bhattiprolu</v>
          </cell>
          <cell r="E17" t="str">
            <v>Zillepalli</v>
          </cell>
          <cell r="F17">
            <v>4</v>
          </cell>
          <cell r="G17" t="str">
            <v>Zoolapalem</v>
          </cell>
          <cell r="H17">
            <v>19</v>
          </cell>
          <cell r="I17" t="str">
            <v>Lam</v>
          </cell>
          <cell r="J17">
            <v>71</v>
          </cell>
          <cell r="K17" t="str">
            <v>Kolluru</v>
          </cell>
          <cell r="L17">
            <v>21</v>
          </cell>
          <cell r="M17" t="str">
            <v>Vejandla</v>
          </cell>
          <cell r="N17">
            <v>50</v>
          </cell>
          <cell r="O17" t="str">
            <v>Vejandla</v>
          </cell>
          <cell r="P17">
            <v>50</v>
          </cell>
          <cell r="Q17" t="str">
            <v>Repalle</v>
          </cell>
          <cell r="R17">
            <v>8</v>
          </cell>
          <cell r="S17" t="str">
            <v>I.B patnam</v>
          </cell>
          <cell r="T17">
            <v>113</v>
          </cell>
          <cell r="Y17" t="str">
            <v>Repalle</v>
          </cell>
          <cell r="Z17">
            <v>8</v>
          </cell>
          <cell r="AA17">
            <v>0.2</v>
          </cell>
        </row>
        <row r="18">
          <cell r="A18">
            <v>14</v>
          </cell>
          <cell r="B18" t="str">
            <v>Pallekona</v>
          </cell>
          <cell r="C18" t="str">
            <v>Pallekona</v>
          </cell>
          <cell r="D18" t="str">
            <v>Bhattiprolu</v>
          </cell>
          <cell r="E18" t="str">
            <v>Zillepalli</v>
          </cell>
          <cell r="F18">
            <v>6</v>
          </cell>
          <cell r="G18" t="str">
            <v>Zoolapalem</v>
          </cell>
          <cell r="H18">
            <v>19</v>
          </cell>
          <cell r="I18" t="str">
            <v>Lam</v>
          </cell>
          <cell r="J18">
            <v>72</v>
          </cell>
          <cell r="K18" t="str">
            <v>Kolluru</v>
          </cell>
          <cell r="L18">
            <v>20</v>
          </cell>
          <cell r="M18" t="str">
            <v>Vejandla</v>
          </cell>
          <cell r="N18">
            <v>50</v>
          </cell>
          <cell r="O18" t="str">
            <v>Vejandla</v>
          </cell>
          <cell r="P18">
            <v>50</v>
          </cell>
          <cell r="Q18" t="str">
            <v>Repalle</v>
          </cell>
          <cell r="R18">
            <v>8</v>
          </cell>
          <cell r="S18" t="str">
            <v>I.B patnam</v>
          </cell>
          <cell r="T18">
            <v>113</v>
          </cell>
          <cell r="Y18" t="str">
            <v>Repalle</v>
          </cell>
          <cell r="Z18">
            <v>8</v>
          </cell>
          <cell r="AA18">
            <v>0.2</v>
          </cell>
        </row>
        <row r="19">
          <cell r="A19">
            <v>15</v>
          </cell>
          <cell r="B19" t="str">
            <v>Oleru</v>
          </cell>
          <cell r="C19" t="str">
            <v>Pallipalem</v>
          </cell>
          <cell r="D19" t="str">
            <v>Bhattiprolu</v>
          </cell>
          <cell r="E19" t="str">
            <v>Oleru</v>
          </cell>
          <cell r="F19">
            <v>6</v>
          </cell>
          <cell r="G19" t="str">
            <v>Oleru</v>
          </cell>
          <cell r="H19">
            <v>6</v>
          </cell>
          <cell r="I19" t="str">
            <v>Lam</v>
          </cell>
          <cell r="J19">
            <v>75</v>
          </cell>
          <cell r="K19" t="str">
            <v>Kolluru</v>
          </cell>
          <cell r="L19">
            <v>20</v>
          </cell>
          <cell r="M19" t="str">
            <v>Vejandla</v>
          </cell>
          <cell r="N19">
            <v>53</v>
          </cell>
          <cell r="O19" t="str">
            <v>Vejandla</v>
          </cell>
          <cell r="P19">
            <v>53</v>
          </cell>
          <cell r="Q19" t="str">
            <v>Repalle</v>
          </cell>
          <cell r="R19">
            <v>17</v>
          </cell>
          <cell r="S19" t="str">
            <v>I.B patnam</v>
          </cell>
          <cell r="T19">
            <v>114</v>
          </cell>
          <cell r="Y19" t="str">
            <v>Repalle</v>
          </cell>
          <cell r="Z19">
            <v>17</v>
          </cell>
          <cell r="AA19">
            <v>0.2</v>
          </cell>
        </row>
        <row r="20">
          <cell r="A20">
            <v>16</v>
          </cell>
          <cell r="B20" t="str">
            <v>Peddalanka</v>
          </cell>
          <cell r="C20" t="str">
            <v>Pedalanka</v>
          </cell>
          <cell r="D20" t="str">
            <v>Bhattiprolu</v>
          </cell>
          <cell r="E20" t="str">
            <v>Zoolapalem</v>
          </cell>
          <cell r="F20">
            <v>4</v>
          </cell>
          <cell r="G20" t="str">
            <v>Zoolapalem</v>
          </cell>
          <cell r="H20">
            <v>4</v>
          </cell>
          <cell r="I20" t="str">
            <v>Lam</v>
          </cell>
          <cell r="J20">
            <v>71</v>
          </cell>
          <cell r="K20" t="str">
            <v>Kolluru</v>
          </cell>
          <cell r="L20">
            <v>15</v>
          </cell>
          <cell r="M20" t="str">
            <v>Vejandla</v>
          </cell>
          <cell r="N20">
            <v>47</v>
          </cell>
          <cell r="O20" t="str">
            <v>Vejandla</v>
          </cell>
          <cell r="P20">
            <v>47</v>
          </cell>
          <cell r="Q20" t="str">
            <v>Repalle</v>
          </cell>
          <cell r="R20">
            <v>13</v>
          </cell>
          <cell r="S20" t="str">
            <v>I.B patnam</v>
          </cell>
          <cell r="T20">
            <v>109</v>
          </cell>
          <cell r="Y20" t="str">
            <v>Repalle</v>
          </cell>
          <cell r="Z20">
            <v>13</v>
          </cell>
          <cell r="AA20">
            <v>0.2</v>
          </cell>
        </row>
        <row r="21">
          <cell r="A21">
            <v>17</v>
          </cell>
          <cell r="B21" t="str">
            <v>Peddapulivarru</v>
          </cell>
          <cell r="C21" t="str">
            <v>Pedapalem</v>
          </cell>
          <cell r="D21" t="str">
            <v>Bhattiprolu</v>
          </cell>
          <cell r="E21" t="str">
            <v>Zoolapalem</v>
          </cell>
          <cell r="F21">
            <v>8</v>
          </cell>
          <cell r="G21" t="str">
            <v>Zoolapalem</v>
          </cell>
          <cell r="H21">
            <v>8</v>
          </cell>
          <cell r="I21" t="str">
            <v>Lam</v>
          </cell>
          <cell r="J21">
            <v>67</v>
          </cell>
          <cell r="K21" t="str">
            <v>Kolluru</v>
          </cell>
          <cell r="L21">
            <v>12</v>
          </cell>
          <cell r="M21" t="str">
            <v>Vejandla</v>
          </cell>
          <cell r="N21">
            <v>43</v>
          </cell>
          <cell r="O21" t="str">
            <v>Vejandla</v>
          </cell>
          <cell r="P21">
            <v>43</v>
          </cell>
          <cell r="Q21" t="str">
            <v>Repalle</v>
          </cell>
          <cell r="R21">
            <v>18</v>
          </cell>
          <cell r="S21" t="str">
            <v>I.B patnam</v>
          </cell>
          <cell r="T21">
            <v>108</v>
          </cell>
          <cell r="Y21" t="str">
            <v>Repalle</v>
          </cell>
          <cell r="Z21">
            <v>18</v>
          </cell>
          <cell r="AA21">
            <v>0.2</v>
          </cell>
        </row>
        <row r="22">
          <cell r="A22">
            <v>18</v>
          </cell>
          <cell r="B22" t="str">
            <v>Peddapulivarru</v>
          </cell>
          <cell r="C22" t="str">
            <v>Pedapulivarru</v>
          </cell>
          <cell r="D22" t="str">
            <v>Bhattiprolu</v>
          </cell>
          <cell r="E22" t="str">
            <v>Zoolapalem</v>
          </cell>
          <cell r="F22">
            <v>10</v>
          </cell>
          <cell r="G22" t="str">
            <v>Zoolapalem</v>
          </cell>
          <cell r="H22">
            <v>10</v>
          </cell>
          <cell r="I22" t="str">
            <v>Lam</v>
          </cell>
          <cell r="J22">
            <v>68</v>
          </cell>
          <cell r="K22" t="str">
            <v>Kolluru</v>
          </cell>
          <cell r="L22">
            <v>13</v>
          </cell>
          <cell r="M22" t="str">
            <v>Vejandla</v>
          </cell>
          <cell r="N22">
            <v>45</v>
          </cell>
          <cell r="O22" t="str">
            <v>Vejandla</v>
          </cell>
          <cell r="P22">
            <v>45</v>
          </cell>
          <cell r="Q22" t="str">
            <v>Repalle</v>
          </cell>
          <cell r="R22">
            <v>12</v>
          </cell>
          <cell r="S22" t="str">
            <v>I.B patnam</v>
          </cell>
          <cell r="T22">
            <v>106</v>
          </cell>
          <cell r="Y22" t="str">
            <v>Repalle</v>
          </cell>
          <cell r="Z22">
            <v>12</v>
          </cell>
          <cell r="AA22">
            <v>0.2</v>
          </cell>
        </row>
        <row r="23">
          <cell r="A23">
            <v>19</v>
          </cell>
          <cell r="B23" t="str">
            <v>Pesarlanka</v>
          </cell>
          <cell r="C23" t="str">
            <v>Pesarlanka</v>
          </cell>
          <cell r="D23" t="str">
            <v>Bhattiprolu</v>
          </cell>
          <cell r="E23" t="str">
            <v>Zoolapalem</v>
          </cell>
          <cell r="F23">
            <v>5</v>
          </cell>
          <cell r="G23" t="str">
            <v>Zoolapalem</v>
          </cell>
          <cell r="H23">
            <v>5</v>
          </cell>
          <cell r="I23" t="str">
            <v>Lam</v>
          </cell>
          <cell r="J23">
            <v>72</v>
          </cell>
          <cell r="K23" t="str">
            <v>Kolluru</v>
          </cell>
          <cell r="L23">
            <v>16</v>
          </cell>
          <cell r="M23" t="str">
            <v>Vejandla</v>
          </cell>
          <cell r="N23">
            <v>48</v>
          </cell>
          <cell r="O23" t="str">
            <v>Vejandla</v>
          </cell>
          <cell r="P23">
            <v>48</v>
          </cell>
          <cell r="Q23" t="str">
            <v>Repalle</v>
          </cell>
          <cell r="R23">
            <v>14</v>
          </cell>
          <cell r="S23" t="str">
            <v>I.B patnam</v>
          </cell>
          <cell r="T23">
            <v>110</v>
          </cell>
          <cell r="Y23" t="str">
            <v>Repalle</v>
          </cell>
          <cell r="Z23">
            <v>14</v>
          </cell>
          <cell r="AA23">
            <v>0.2</v>
          </cell>
        </row>
        <row r="24">
          <cell r="A24">
            <v>20</v>
          </cell>
          <cell r="B24" t="str">
            <v>Rachuru</v>
          </cell>
          <cell r="C24" t="str">
            <v>Rachuru</v>
          </cell>
          <cell r="D24" t="str">
            <v>Bhattiprolu</v>
          </cell>
          <cell r="E24" t="str">
            <v>Zoolapalem</v>
          </cell>
          <cell r="F24">
            <v>18</v>
          </cell>
          <cell r="G24" t="str">
            <v>Zoolapalem</v>
          </cell>
          <cell r="H24">
            <v>18</v>
          </cell>
          <cell r="I24" t="str">
            <v>Lam</v>
          </cell>
          <cell r="J24">
            <v>74</v>
          </cell>
          <cell r="K24" t="str">
            <v>Kolluru</v>
          </cell>
          <cell r="L24">
            <v>22</v>
          </cell>
          <cell r="M24" t="str">
            <v>Vejandla</v>
          </cell>
          <cell r="N24">
            <v>52</v>
          </cell>
          <cell r="O24" t="str">
            <v>Vejandla</v>
          </cell>
          <cell r="P24">
            <v>52</v>
          </cell>
          <cell r="Q24" t="str">
            <v>Repalle</v>
          </cell>
          <cell r="R24">
            <v>10</v>
          </cell>
          <cell r="S24" t="str">
            <v>I.B patnam</v>
          </cell>
          <cell r="T24">
            <v>115</v>
          </cell>
          <cell r="Y24" t="str">
            <v>Repalle</v>
          </cell>
          <cell r="Z24">
            <v>10</v>
          </cell>
          <cell r="AA24">
            <v>0.2</v>
          </cell>
        </row>
        <row r="25">
          <cell r="A25">
            <v>21</v>
          </cell>
          <cell r="B25" t="str">
            <v>Surepalli</v>
          </cell>
          <cell r="C25" t="str">
            <v>Surepalli</v>
          </cell>
          <cell r="D25" t="str">
            <v>Bhattiprolu</v>
          </cell>
          <cell r="E25" t="str">
            <v>Zillepalli</v>
          </cell>
          <cell r="F25">
            <v>6</v>
          </cell>
          <cell r="G25" t="str">
            <v>Zoolapalem</v>
          </cell>
          <cell r="H25">
            <v>13</v>
          </cell>
          <cell r="I25" t="str">
            <v>Lam</v>
          </cell>
          <cell r="J25">
            <v>68</v>
          </cell>
          <cell r="K25" t="str">
            <v>Kolluru</v>
          </cell>
          <cell r="L25">
            <v>18</v>
          </cell>
          <cell r="M25" t="str">
            <v>Vejandla</v>
          </cell>
          <cell r="N25">
            <v>47</v>
          </cell>
          <cell r="O25" t="str">
            <v>Vejandla</v>
          </cell>
          <cell r="P25">
            <v>47</v>
          </cell>
          <cell r="Q25" t="str">
            <v>Repalle</v>
          </cell>
          <cell r="R25">
            <v>11</v>
          </cell>
          <cell r="S25" t="str">
            <v>I.B patnam</v>
          </cell>
          <cell r="T25">
            <v>110</v>
          </cell>
          <cell r="Y25" t="str">
            <v>Repalle</v>
          </cell>
          <cell r="Z25">
            <v>11</v>
          </cell>
          <cell r="AA25">
            <v>0.2</v>
          </cell>
        </row>
        <row r="26">
          <cell r="A26">
            <v>22</v>
          </cell>
          <cell r="B26" t="str">
            <v>Surepalli</v>
          </cell>
          <cell r="C26" t="str">
            <v>Tatavaripalem</v>
          </cell>
          <cell r="D26" t="str">
            <v>Bhattiprolu</v>
          </cell>
          <cell r="E26" t="str">
            <v>Zillepalli</v>
          </cell>
          <cell r="F26">
            <v>5</v>
          </cell>
          <cell r="G26" t="str">
            <v>Zoolapalem</v>
          </cell>
          <cell r="H26">
            <v>14</v>
          </cell>
          <cell r="I26" t="str">
            <v>Lam</v>
          </cell>
          <cell r="J26">
            <v>69</v>
          </cell>
          <cell r="K26" t="str">
            <v>Kolluru</v>
          </cell>
          <cell r="L26">
            <v>19</v>
          </cell>
          <cell r="M26" t="str">
            <v>Vejandla</v>
          </cell>
          <cell r="N26">
            <v>48</v>
          </cell>
          <cell r="O26" t="str">
            <v>Vejandla</v>
          </cell>
          <cell r="P26">
            <v>48</v>
          </cell>
          <cell r="Q26" t="str">
            <v>Repalle</v>
          </cell>
          <cell r="R26">
            <v>12</v>
          </cell>
          <cell r="S26" t="str">
            <v>I.B patnam</v>
          </cell>
          <cell r="T26">
            <v>111</v>
          </cell>
          <cell r="Y26" t="str">
            <v>Repalle</v>
          </cell>
          <cell r="Z26">
            <v>12</v>
          </cell>
          <cell r="AA26">
            <v>0.2</v>
          </cell>
        </row>
        <row r="27">
          <cell r="A27">
            <v>23</v>
          </cell>
          <cell r="B27" t="str">
            <v>Oleru</v>
          </cell>
          <cell r="C27" t="str">
            <v>Turpupalem H/O Oleru</v>
          </cell>
          <cell r="D27" t="str">
            <v>Bhattiprolu</v>
          </cell>
          <cell r="E27" t="str">
            <v>Penumudi</v>
          </cell>
          <cell r="F27">
            <v>4</v>
          </cell>
          <cell r="G27" t="str">
            <v>Penumudi</v>
          </cell>
          <cell r="H27">
            <v>4</v>
          </cell>
          <cell r="I27" t="str">
            <v>Lam</v>
          </cell>
          <cell r="J27">
            <v>75</v>
          </cell>
          <cell r="K27" t="str">
            <v>Kolluru</v>
          </cell>
          <cell r="L27">
            <v>20</v>
          </cell>
          <cell r="M27" t="str">
            <v>Vejandla</v>
          </cell>
          <cell r="N27">
            <v>53</v>
          </cell>
          <cell r="O27" t="str">
            <v>Vejandla</v>
          </cell>
          <cell r="P27">
            <v>53</v>
          </cell>
          <cell r="Q27" t="str">
            <v>Repalle</v>
          </cell>
          <cell r="R27">
            <v>5</v>
          </cell>
          <cell r="S27" t="str">
            <v>I.B patnam</v>
          </cell>
          <cell r="T27">
            <v>113</v>
          </cell>
          <cell r="Y27" t="str">
            <v>Repalle</v>
          </cell>
          <cell r="Z27">
            <v>5</v>
          </cell>
          <cell r="AA27">
            <v>0.2</v>
          </cell>
        </row>
        <row r="28">
          <cell r="A28">
            <v>24</v>
          </cell>
          <cell r="B28" t="str">
            <v>Gorigapudi</v>
          </cell>
          <cell r="C28" t="str">
            <v>Varikutivaripalem</v>
          </cell>
          <cell r="D28" t="str">
            <v>Bhattiprolu</v>
          </cell>
          <cell r="E28" t="str">
            <v>Oleru</v>
          </cell>
          <cell r="F28">
            <v>7</v>
          </cell>
          <cell r="G28" t="str">
            <v>Oleru</v>
          </cell>
          <cell r="H28">
            <v>7</v>
          </cell>
          <cell r="I28" t="str">
            <v>Lam</v>
          </cell>
          <cell r="J28">
            <v>76</v>
          </cell>
          <cell r="K28" t="str">
            <v>Kolluru</v>
          </cell>
          <cell r="L28">
            <v>16</v>
          </cell>
          <cell r="M28" t="str">
            <v>Vejandla</v>
          </cell>
          <cell r="N28">
            <v>57</v>
          </cell>
          <cell r="O28" t="str">
            <v>Vejandla</v>
          </cell>
          <cell r="P28">
            <v>57</v>
          </cell>
          <cell r="Q28" t="str">
            <v>Repalle</v>
          </cell>
          <cell r="R28">
            <v>7</v>
          </cell>
          <cell r="S28" t="str">
            <v>I.B patnam</v>
          </cell>
          <cell r="T28">
            <v>118</v>
          </cell>
          <cell r="Y28" t="str">
            <v>Repalle</v>
          </cell>
          <cell r="Z28">
            <v>7</v>
          </cell>
          <cell r="AA28">
            <v>0.2</v>
          </cell>
        </row>
        <row r="29">
          <cell r="A29">
            <v>25</v>
          </cell>
          <cell r="B29" t="str">
            <v>Vellaturu</v>
          </cell>
          <cell r="C29" t="str">
            <v>Vellaturu</v>
          </cell>
          <cell r="D29" t="str">
            <v>Bhattiprolu</v>
          </cell>
          <cell r="E29" t="str">
            <v>Zoolapalem</v>
          </cell>
          <cell r="F29">
            <v>6</v>
          </cell>
          <cell r="G29" t="str">
            <v>Zoolapalem</v>
          </cell>
          <cell r="H29">
            <v>6</v>
          </cell>
          <cell r="I29" t="str">
            <v>Lam</v>
          </cell>
          <cell r="J29">
            <v>65</v>
          </cell>
          <cell r="K29" t="str">
            <v>Kolluru</v>
          </cell>
          <cell r="L29">
            <v>10</v>
          </cell>
          <cell r="M29" t="str">
            <v>Vejandla</v>
          </cell>
          <cell r="N29">
            <v>41</v>
          </cell>
          <cell r="O29" t="str">
            <v>Vejandla</v>
          </cell>
          <cell r="P29">
            <v>41</v>
          </cell>
          <cell r="Q29" t="str">
            <v>Repalle</v>
          </cell>
          <cell r="R29">
            <v>19</v>
          </cell>
          <cell r="S29" t="str">
            <v>I.B patnam</v>
          </cell>
          <cell r="T29">
            <v>103</v>
          </cell>
          <cell r="Y29" t="str">
            <v>Repalle</v>
          </cell>
          <cell r="Z29">
            <v>19</v>
          </cell>
          <cell r="AA29">
            <v>0</v>
          </cell>
        </row>
        <row r="30">
          <cell r="A30">
            <v>26</v>
          </cell>
          <cell r="B30" t="str">
            <v>Surepalli</v>
          </cell>
          <cell r="C30" t="str">
            <v>Vemavaram</v>
          </cell>
          <cell r="D30" t="str">
            <v>Bhattiprolu</v>
          </cell>
          <cell r="E30" t="str">
            <v>Zillepalli</v>
          </cell>
          <cell r="F30">
            <v>7</v>
          </cell>
          <cell r="G30" t="str">
            <v>Zoolapalem</v>
          </cell>
          <cell r="H30">
            <v>12</v>
          </cell>
          <cell r="I30" t="str">
            <v>Lam</v>
          </cell>
          <cell r="J30">
            <v>67</v>
          </cell>
          <cell r="K30" t="str">
            <v>Kolluru</v>
          </cell>
          <cell r="L30">
            <v>17</v>
          </cell>
          <cell r="M30" t="str">
            <v>Vejandla</v>
          </cell>
          <cell r="N30">
            <v>46</v>
          </cell>
          <cell r="O30" t="str">
            <v>Vejandla</v>
          </cell>
          <cell r="P30">
            <v>46</v>
          </cell>
          <cell r="Q30" t="str">
            <v>Repalle</v>
          </cell>
          <cell r="R30">
            <v>12</v>
          </cell>
          <cell r="S30" t="str">
            <v>I.B patnam</v>
          </cell>
          <cell r="T30">
            <v>108</v>
          </cell>
          <cell r="Y30" t="str">
            <v>Repalle</v>
          </cell>
          <cell r="Z30">
            <v>12</v>
          </cell>
          <cell r="AA30">
            <v>0.2</v>
          </cell>
        </row>
        <row r="31">
          <cell r="A31">
            <v>27</v>
          </cell>
          <cell r="B31" t="str">
            <v>Balusulapalem</v>
          </cell>
          <cell r="C31" t="str">
            <v>Akkalavenkatareddipalem of Balusulapalem</v>
          </cell>
          <cell r="D31" t="str">
            <v>Cherukupalli</v>
          </cell>
          <cell r="E31" t="str">
            <v>Chandolu</v>
          </cell>
          <cell r="F31">
            <v>9</v>
          </cell>
          <cell r="G31" t="str">
            <v>Zoolapalem</v>
          </cell>
          <cell r="H31">
            <v>35</v>
          </cell>
          <cell r="I31" t="str">
            <v>Lam</v>
          </cell>
          <cell r="J31">
            <v>56</v>
          </cell>
          <cell r="K31" t="str">
            <v>Kolluru</v>
          </cell>
          <cell r="L31">
            <v>35</v>
          </cell>
          <cell r="M31" t="str">
            <v>Vejandla</v>
          </cell>
          <cell r="N31">
            <v>38</v>
          </cell>
          <cell r="O31" t="str">
            <v>Vejandla</v>
          </cell>
          <cell r="P31">
            <v>38</v>
          </cell>
          <cell r="Q31" t="str">
            <v>Ponnuru</v>
          </cell>
          <cell r="R31">
            <v>15</v>
          </cell>
          <cell r="S31" t="str">
            <v>I.B patnam</v>
          </cell>
          <cell r="T31">
            <v>92</v>
          </cell>
          <cell r="Y31" t="str">
            <v>Ponnuru</v>
          </cell>
          <cell r="Z31">
            <v>15</v>
          </cell>
          <cell r="AA31">
            <v>0</v>
          </cell>
        </row>
        <row r="32">
          <cell r="A32">
            <v>28</v>
          </cell>
          <cell r="B32" t="str">
            <v>Thummalapalem</v>
          </cell>
          <cell r="C32" t="str">
            <v>Akkalavenkatareddipalem of Thummalapalem</v>
          </cell>
          <cell r="D32" t="str">
            <v>Cherukupalli</v>
          </cell>
          <cell r="E32" t="str">
            <v>Chandolu</v>
          </cell>
          <cell r="F32">
            <v>9</v>
          </cell>
          <cell r="G32" t="str">
            <v>Zoolapalem</v>
          </cell>
          <cell r="H32">
            <v>35</v>
          </cell>
          <cell r="I32" t="str">
            <v>Lam</v>
          </cell>
          <cell r="J32">
            <v>55</v>
          </cell>
          <cell r="K32" t="str">
            <v>Kolluru</v>
          </cell>
          <cell r="L32">
            <v>35</v>
          </cell>
          <cell r="M32" t="str">
            <v>Vejandla</v>
          </cell>
          <cell r="N32">
            <v>37</v>
          </cell>
          <cell r="O32" t="str">
            <v>Vejandla</v>
          </cell>
          <cell r="P32">
            <v>37</v>
          </cell>
          <cell r="Q32" t="str">
            <v>Ponnuru</v>
          </cell>
          <cell r="R32">
            <v>14</v>
          </cell>
          <cell r="S32" t="str">
            <v>I.B patnam</v>
          </cell>
          <cell r="T32">
            <v>92</v>
          </cell>
          <cell r="Y32" t="str">
            <v>Ponnuru</v>
          </cell>
          <cell r="Z32">
            <v>14</v>
          </cell>
          <cell r="AA32">
            <v>0</v>
          </cell>
        </row>
        <row r="33">
          <cell r="A33">
            <v>29</v>
          </cell>
          <cell r="B33" t="str">
            <v>Allavaripalem</v>
          </cell>
          <cell r="C33" t="str">
            <v>Allavaripalem</v>
          </cell>
          <cell r="D33" t="str">
            <v>Cherukupalli</v>
          </cell>
          <cell r="E33" t="str">
            <v>Chandolu</v>
          </cell>
          <cell r="F33">
            <v>23</v>
          </cell>
          <cell r="G33" t="str">
            <v>Zoolapalem</v>
          </cell>
          <cell r="H33">
            <v>24</v>
          </cell>
          <cell r="I33" t="str">
            <v>Lam</v>
          </cell>
          <cell r="J33">
            <v>70</v>
          </cell>
          <cell r="K33" t="str">
            <v>Kolluru</v>
          </cell>
          <cell r="L33">
            <v>24</v>
          </cell>
          <cell r="M33" t="str">
            <v>Vejandla</v>
          </cell>
          <cell r="N33">
            <v>49</v>
          </cell>
          <cell r="O33" t="str">
            <v>Vejandla</v>
          </cell>
          <cell r="P33">
            <v>49</v>
          </cell>
          <cell r="Q33" t="str">
            <v>Ponnuru</v>
          </cell>
          <cell r="R33">
            <v>30</v>
          </cell>
          <cell r="S33" t="str">
            <v>I.B patnam</v>
          </cell>
          <cell r="T33">
            <v>96</v>
          </cell>
          <cell r="Y33" t="str">
            <v>Ponnuru</v>
          </cell>
          <cell r="Z33">
            <v>30</v>
          </cell>
          <cell r="AA33">
            <v>0</v>
          </cell>
        </row>
        <row r="34">
          <cell r="A34">
            <v>30</v>
          </cell>
          <cell r="B34" t="str">
            <v>Nadimpalli</v>
          </cell>
          <cell r="C34" t="str">
            <v>Anaganivaripalem</v>
          </cell>
          <cell r="D34" t="str">
            <v>Cherukupalli</v>
          </cell>
          <cell r="E34" t="str">
            <v>Chandolu</v>
          </cell>
          <cell r="F34">
            <v>16</v>
          </cell>
          <cell r="G34" t="str">
            <v>Zoolapalem</v>
          </cell>
          <cell r="H34">
            <v>26</v>
          </cell>
          <cell r="I34" t="str">
            <v>Lam</v>
          </cell>
          <cell r="J34">
            <v>63</v>
          </cell>
          <cell r="K34" t="str">
            <v>Kolluru</v>
          </cell>
          <cell r="L34">
            <v>26</v>
          </cell>
          <cell r="M34" t="str">
            <v>Vejandla</v>
          </cell>
          <cell r="N34">
            <v>42</v>
          </cell>
          <cell r="O34" t="str">
            <v>Vejandla</v>
          </cell>
          <cell r="P34">
            <v>42</v>
          </cell>
          <cell r="Q34" t="str">
            <v>Ponnuru</v>
          </cell>
          <cell r="R34">
            <v>23</v>
          </cell>
          <cell r="S34" t="str">
            <v>I.B patnam</v>
          </cell>
          <cell r="T34">
            <v>89</v>
          </cell>
          <cell r="Y34" t="str">
            <v>Ponnuru</v>
          </cell>
          <cell r="Z34">
            <v>23</v>
          </cell>
          <cell r="AA34">
            <v>0</v>
          </cell>
        </row>
        <row r="35">
          <cell r="A35">
            <v>31</v>
          </cell>
          <cell r="B35" t="str">
            <v>Arepalli</v>
          </cell>
          <cell r="C35" t="str">
            <v>Areapalli</v>
          </cell>
          <cell r="D35" t="str">
            <v>Cherukupalli</v>
          </cell>
          <cell r="E35" t="str">
            <v>Chandolu</v>
          </cell>
          <cell r="F35">
            <v>16</v>
          </cell>
          <cell r="G35" t="str">
            <v>Zoolapalem</v>
          </cell>
          <cell r="H35">
            <v>30</v>
          </cell>
          <cell r="I35" t="str">
            <v>Lam</v>
          </cell>
          <cell r="J35">
            <v>63</v>
          </cell>
          <cell r="K35" t="str">
            <v>Kolluru</v>
          </cell>
          <cell r="L35">
            <v>30</v>
          </cell>
          <cell r="M35" t="str">
            <v>Vejandla</v>
          </cell>
          <cell r="N35">
            <v>42</v>
          </cell>
          <cell r="O35" t="str">
            <v>Vejandla</v>
          </cell>
          <cell r="P35">
            <v>42</v>
          </cell>
          <cell r="Q35" t="str">
            <v>Ponnuru</v>
          </cell>
          <cell r="R35">
            <v>23</v>
          </cell>
          <cell r="S35" t="str">
            <v>I.B patnam</v>
          </cell>
          <cell r="T35">
            <v>90</v>
          </cell>
          <cell r="Y35" t="str">
            <v>Ponnuru</v>
          </cell>
          <cell r="Z35">
            <v>23</v>
          </cell>
          <cell r="AA35">
            <v>0</v>
          </cell>
        </row>
        <row r="36">
          <cell r="A36">
            <v>32</v>
          </cell>
          <cell r="B36" t="str">
            <v>Arumbaka</v>
          </cell>
          <cell r="C36" t="str">
            <v>Arumbaka</v>
          </cell>
          <cell r="D36" t="str">
            <v>Cherukupalli</v>
          </cell>
          <cell r="E36" t="str">
            <v>Chandolu</v>
          </cell>
          <cell r="F36">
            <v>10</v>
          </cell>
          <cell r="G36" t="str">
            <v>Zoolapalem</v>
          </cell>
          <cell r="H36">
            <v>29</v>
          </cell>
          <cell r="I36" t="str">
            <v>Lam</v>
          </cell>
          <cell r="J36">
            <v>57</v>
          </cell>
          <cell r="K36" t="str">
            <v>Kolluru</v>
          </cell>
          <cell r="L36">
            <v>29</v>
          </cell>
          <cell r="M36" t="str">
            <v>Vejandla</v>
          </cell>
          <cell r="N36">
            <v>38</v>
          </cell>
          <cell r="O36" t="str">
            <v>Vejandla</v>
          </cell>
          <cell r="P36">
            <v>38</v>
          </cell>
          <cell r="Q36" t="str">
            <v>Ponnuru</v>
          </cell>
          <cell r="R36">
            <v>17</v>
          </cell>
          <cell r="S36" t="str">
            <v>I.B patnam</v>
          </cell>
          <cell r="T36">
            <v>86</v>
          </cell>
          <cell r="Y36" t="str">
            <v>Ponnuru</v>
          </cell>
          <cell r="Z36">
            <v>17</v>
          </cell>
          <cell r="AA36">
            <v>0</v>
          </cell>
        </row>
        <row r="37">
          <cell r="A37">
            <v>33</v>
          </cell>
          <cell r="B37" t="str">
            <v>Balusulapalem</v>
          </cell>
          <cell r="C37" t="str">
            <v>Atlavenkatareddipalem</v>
          </cell>
          <cell r="D37" t="str">
            <v>Cherukupalli</v>
          </cell>
          <cell r="E37" t="str">
            <v>Chandolu</v>
          </cell>
          <cell r="F37">
            <v>9</v>
          </cell>
          <cell r="G37" t="str">
            <v>Zoolapalem</v>
          </cell>
          <cell r="H37">
            <v>35</v>
          </cell>
          <cell r="I37" t="str">
            <v>Lam</v>
          </cell>
          <cell r="J37">
            <v>56</v>
          </cell>
          <cell r="K37" t="str">
            <v>Kolluru</v>
          </cell>
          <cell r="L37">
            <v>35</v>
          </cell>
          <cell r="M37" t="str">
            <v>Vejandla</v>
          </cell>
          <cell r="N37">
            <v>38</v>
          </cell>
          <cell r="O37" t="str">
            <v>Vejandla</v>
          </cell>
          <cell r="P37">
            <v>38</v>
          </cell>
          <cell r="Q37" t="str">
            <v>Ponnuru</v>
          </cell>
          <cell r="R37">
            <v>15</v>
          </cell>
          <cell r="S37" t="str">
            <v>I.B patnam</v>
          </cell>
          <cell r="T37">
            <v>92</v>
          </cell>
          <cell r="Y37" t="str">
            <v>Ponnuru</v>
          </cell>
          <cell r="Z37">
            <v>15</v>
          </cell>
          <cell r="AA37">
            <v>0</v>
          </cell>
        </row>
        <row r="38">
          <cell r="A38">
            <v>34</v>
          </cell>
          <cell r="B38" t="str">
            <v>Arepalli</v>
          </cell>
          <cell r="C38" t="str">
            <v>Avulavaripalem</v>
          </cell>
          <cell r="D38" t="str">
            <v>Cherukupalli</v>
          </cell>
          <cell r="E38" t="str">
            <v>Chandolu</v>
          </cell>
          <cell r="F38">
            <v>19</v>
          </cell>
          <cell r="G38" t="str">
            <v>Zoolapalem</v>
          </cell>
          <cell r="H38">
            <v>29</v>
          </cell>
          <cell r="I38" t="str">
            <v>Lam</v>
          </cell>
          <cell r="J38">
            <v>66</v>
          </cell>
          <cell r="K38" t="str">
            <v>Kolluru</v>
          </cell>
          <cell r="L38">
            <v>29</v>
          </cell>
          <cell r="M38" t="str">
            <v>Vejandla</v>
          </cell>
          <cell r="N38">
            <v>45</v>
          </cell>
          <cell r="O38" t="str">
            <v>Vejandla</v>
          </cell>
          <cell r="P38">
            <v>45</v>
          </cell>
          <cell r="Q38" t="str">
            <v>Ponnuru</v>
          </cell>
          <cell r="R38">
            <v>26</v>
          </cell>
          <cell r="S38" t="str">
            <v>I.B patnam</v>
          </cell>
          <cell r="T38">
            <v>92</v>
          </cell>
          <cell r="Y38" t="str">
            <v>Ponnuru</v>
          </cell>
          <cell r="Z38">
            <v>26</v>
          </cell>
          <cell r="AA38">
            <v>0</v>
          </cell>
        </row>
        <row r="39">
          <cell r="A39">
            <v>35</v>
          </cell>
          <cell r="B39" t="str">
            <v>Arepalli</v>
          </cell>
          <cell r="C39" t="str">
            <v>Badevaripalem</v>
          </cell>
          <cell r="D39" t="str">
            <v>Cherukupalli</v>
          </cell>
          <cell r="E39" t="str">
            <v>Chandolu</v>
          </cell>
          <cell r="F39">
            <v>19</v>
          </cell>
          <cell r="G39" t="str">
            <v>Zoolapalem</v>
          </cell>
          <cell r="H39">
            <v>29</v>
          </cell>
          <cell r="I39" t="str">
            <v>Lam</v>
          </cell>
          <cell r="J39">
            <v>66</v>
          </cell>
          <cell r="K39" t="str">
            <v>Kolluru</v>
          </cell>
          <cell r="L39">
            <v>29</v>
          </cell>
          <cell r="M39" t="str">
            <v>Vejandla</v>
          </cell>
          <cell r="N39">
            <v>45</v>
          </cell>
          <cell r="O39" t="str">
            <v>Vejandla</v>
          </cell>
          <cell r="P39">
            <v>45</v>
          </cell>
          <cell r="Q39" t="str">
            <v>Ponnuru</v>
          </cell>
          <cell r="R39">
            <v>26</v>
          </cell>
          <cell r="S39" t="str">
            <v>I.B patnam</v>
          </cell>
          <cell r="T39">
            <v>92</v>
          </cell>
          <cell r="Y39" t="str">
            <v>Ponnuru</v>
          </cell>
          <cell r="Z39">
            <v>26</v>
          </cell>
          <cell r="AA39">
            <v>0</v>
          </cell>
        </row>
        <row r="40">
          <cell r="A40">
            <v>36</v>
          </cell>
          <cell r="B40" t="str">
            <v>Balusulapalem</v>
          </cell>
          <cell r="C40" t="str">
            <v>Balusulapalem</v>
          </cell>
          <cell r="D40" t="str">
            <v>Cherukupalli</v>
          </cell>
          <cell r="E40" t="str">
            <v>Chandolu</v>
          </cell>
          <cell r="F40">
            <v>12</v>
          </cell>
          <cell r="G40" t="str">
            <v>Zoolapalem</v>
          </cell>
          <cell r="H40">
            <v>32</v>
          </cell>
          <cell r="I40" t="str">
            <v>Lam</v>
          </cell>
          <cell r="J40">
            <v>59</v>
          </cell>
          <cell r="K40" t="str">
            <v>Kolluru</v>
          </cell>
          <cell r="L40">
            <v>32</v>
          </cell>
          <cell r="M40" t="str">
            <v>Vejandla</v>
          </cell>
          <cell r="N40">
            <v>41</v>
          </cell>
          <cell r="O40" t="str">
            <v>Vejandla</v>
          </cell>
          <cell r="P40">
            <v>41</v>
          </cell>
          <cell r="Q40" t="str">
            <v>Ponnuru</v>
          </cell>
          <cell r="R40">
            <v>18</v>
          </cell>
          <cell r="S40" t="str">
            <v>I.B patnam</v>
          </cell>
          <cell r="T40">
            <v>89</v>
          </cell>
          <cell r="Y40" t="str">
            <v>Ponnuru</v>
          </cell>
          <cell r="Z40">
            <v>18</v>
          </cell>
          <cell r="AA40">
            <v>0</v>
          </cell>
        </row>
        <row r="41">
          <cell r="A41">
            <v>37</v>
          </cell>
          <cell r="B41" t="str">
            <v>Balusulapalem</v>
          </cell>
          <cell r="C41" t="str">
            <v>Bysanivaripalem</v>
          </cell>
          <cell r="D41" t="str">
            <v>Cherukupalli</v>
          </cell>
          <cell r="E41" t="str">
            <v>Chandolu</v>
          </cell>
          <cell r="F41">
            <v>12</v>
          </cell>
          <cell r="G41" t="str">
            <v>Zoolapalem</v>
          </cell>
          <cell r="H41">
            <v>32</v>
          </cell>
          <cell r="I41" t="str">
            <v>Lam</v>
          </cell>
          <cell r="J41">
            <v>59</v>
          </cell>
          <cell r="K41" t="str">
            <v>Kolluru</v>
          </cell>
          <cell r="L41">
            <v>32</v>
          </cell>
          <cell r="M41" t="str">
            <v>Vejandla</v>
          </cell>
          <cell r="N41">
            <v>41</v>
          </cell>
          <cell r="O41" t="str">
            <v>Vejandla</v>
          </cell>
          <cell r="P41">
            <v>41</v>
          </cell>
          <cell r="Q41" t="str">
            <v>Ponnuru</v>
          </cell>
          <cell r="R41">
            <v>18</v>
          </cell>
          <cell r="S41" t="str">
            <v>I.B patnam</v>
          </cell>
          <cell r="T41">
            <v>89</v>
          </cell>
          <cell r="Y41" t="str">
            <v>Ponnuru</v>
          </cell>
          <cell r="Z41">
            <v>18</v>
          </cell>
          <cell r="AA41">
            <v>0</v>
          </cell>
        </row>
        <row r="42">
          <cell r="A42">
            <v>38</v>
          </cell>
          <cell r="B42" t="str">
            <v>Cherukupalli</v>
          </cell>
          <cell r="C42" t="str">
            <v>Cherukupalli</v>
          </cell>
          <cell r="D42" t="str">
            <v>Cherukupalli</v>
          </cell>
          <cell r="E42" t="str">
            <v>Chandolu</v>
          </cell>
          <cell r="F42">
            <v>11</v>
          </cell>
          <cell r="G42" t="str">
            <v>Zoolapalem</v>
          </cell>
          <cell r="H42">
            <v>28</v>
          </cell>
          <cell r="I42" t="str">
            <v>Lam</v>
          </cell>
          <cell r="J42">
            <v>58</v>
          </cell>
          <cell r="K42" t="str">
            <v>Kolluru</v>
          </cell>
          <cell r="L42">
            <v>28</v>
          </cell>
          <cell r="M42" t="str">
            <v>Vejandla</v>
          </cell>
          <cell r="N42">
            <v>37</v>
          </cell>
          <cell r="O42" t="str">
            <v>Vejandla</v>
          </cell>
          <cell r="P42">
            <v>37</v>
          </cell>
          <cell r="Q42" t="str">
            <v>Ponnuru</v>
          </cell>
          <cell r="R42">
            <v>18</v>
          </cell>
          <cell r="S42" t="str">
            <v>I.B patnam</v>
          </cell>
          <cell r="T42">
            <v>85</v>
          </cell>
          <cell r="Y42" t="str">
            <v>Ponnuru</v>
          </cell>
          <cell r="Z42">
            <v>18</v>
          </cell>
          <cell r="AA42">
            <v>0</v>
          </cell>
        </row>
        <row r="43">
          <cell r="A43">
            <v>39</v>
          </cell>
          <cell r="B43" t="str">
            <v>Arepalli</v>
          </cell>
          <cell r="C43" t="str">
            <v>Domavaripalem</v>
          </cell>
          <cell r="D43" t="str">
            <v>Cherukupalli</v>
          </cell>
          <cell r="E43" t="str">
            <v>Chandolu</v>
          </cell>
          <cell r="F43">
            <v>15</v>
          </cell>
          <cell r="G43" t="str">
            <v>Zoolapalem</v>
          </cell>
          <cell r="H43">
            <v>32</v>
          </cell>
          <cell r="I43" t="str">
            <v>Lam</v>
          </cell>
          <cell r="J43">
            <v>62</v>
          </cell>
          <cell r="K43" t="str">
            <v>Kolluru</v>
          </cell>
          <cell r="L43">
            <v>32</v>
          </cell>
          <cell r="M43" t="str">
            <v>Vejandla</v>
          </cell>
          <cell r="N43">
            <v>41</v>
          </cell>
          <cell r="O43" t="str">
            <v>Vejandla</v>
          </cell>
          <cell r="P43">
            <v>41</v>
          </cell>
          <cell r="Q43" t="str">
            <v>Ponnuru</v>
          </cell>
          <cell r="R43">
            <v>22</v>
          </cell>
          <cell r="S43" t="str">
            <v>I.B patnam</v>
          </cell>
          <cell r="T43">
            <v>89</v>
          </cell>
          <cell r="Y43" t="str">
            <v>Ponnuru</v>
          </cell>
          <cell r="Z43">
            <v>22</v>
          </cell>
          <cell r="AA43">
            <v>0</v>
          </cell>
        </row>
        <row r="44">
          <cell r="A44">
            <v>40</v>
          </cell>
          <cell r="B44" t="str">
            <v>Thummalapalem</v>
          </cell>
          <cell r="C44" t="str">
            <v>Dundivenkatareddipalem</v>
          </cell>
          <cell r="D44" t="str">
            <v>Cherukupalli</v>
          </cell>
          <cell r="E44" t="str">
            <v>Chandolu</v>
          </cell>
          <cell r="F44">
            <v>9</v>
          </cell>
          <cell r="G44" t="str">
            <v>Zoolapalem</v>
          </cell>
          <cell r="H44">
            <v>35</v>
          </cell>
          <cell r="I44" t="str">
            <v>Lam</v>
          </cell>
          <cell r="J44">
            <v>55</v>
          </cell>
          <cell r="K44" t="str">
            <v>Kolluru</v>
          </cell>
          <cell r="L44">
            <v>35</v>
          </cell>
          <cell r="M44" t="str">
            <v>Vejandla</v>
          </cell>
          <cell r="N44">
            <v>37</v>
          </cell>
          <cell r="O44" t="str">
            <v>Vejandla</v>
          </cell>
          <cell r="P44">
            <v>37</v>
          </cell>
          <cell r="Q44" t="str">
            <v>Ponnuru</v>
          </cell>
          <cell r="R44">
            <v>14</v>
          </cell>
          <cell r="S44" t="str">
            <v>I.B patnam</v>
          </cell>
          <cell r="T44">
            <v>92</v>
          </cell>
          <cell r="Y44" t="str">
            <v>Ponnuru</v>
          </cell>
          <cell r="Z44">
            <v>14</v>
          </cell>
          <cell r="AA44">
            <v>0</v>
          </cell>
        </row>
        <row r="45">
          <cell r="A45">
            <v>41</v>
          </cell>
          <cell r="B45" t="str">
            <v>Arepalli</v>
          </cell>
          <cell r="C45" t="str">
            <v>Gandhinagar</v>
          </cell>
          <cell r="D45" t="str">
            <v>Cherukupalli</v>
          </cell>
          <cell r="E45" t="str">
            <v>Chandolu</v>
          </cell>
          <cell r="F45">
            <v>19</v>
          </cell>
          <cell r="G45" t="str">
            <v>Zoolapalem</v>
          </cell>
          <cell r="H45">
            <v>29</v>
          </cell>
          <cell r="I45" t="str">
            <v>Lam</v>
          </cell>
          <cell r="J45">
            <v>66</v>
          </cell>
          <cell r="K45" t="str">
            <v>Kolluru</v>
          </cell>
          <cell r="L45">
            <v>29</v>
          </cell>
          <cell r="M45" t="str">
            <v>Vejandla</v>
          </cell>
          <cell r="N45">
            <v>45</v>
          </cell>
          <cell r="O45" t="str">
            <v>Vejandla</v>
          </cell>
          <cell r="P45">
            <v>45</v>
          </cell>
          <cell r="Q45" t="str">
            <v>Ponnuru</v>
          </cell>
          <cell r="R45">
            <v>26</v>
          </cell>
          <cell r="S45" t="str">
            <v>I.B patnam</v>
          </cell>
          <cell r="T45">
            <v>92</v>
          </cell>
          <cell r="Y45" t="str">
            <v>Ponnuru</v>
          </cell>
          <cell r="Z45">
            <v>26</v>
          </cell>
          <cell r="AA45">
            <v>0</v>
          </cell>
        </row>
        <row r="46">
          <cell r="A46">
            <v>42</v>
          </cell>
          <cell r="B46" t="str">
            <v>Balusulapalem</v>
          </cell>
          <cell r="C46" t="str">
            <v>Gangiboinavaripalem</v>
          </cell>
          <cell r="D46" t="str">
            <v>Cherukupalli</v>
          </cell>
          <cell r="E46" t="str">
            <v>Chandolu</v>
          </cell>
          <cell r="F46">
            <v>9</v>
          </cell>
          <cell r="G46" t="str">
            <v>Zoolapalem</v>
          </cell>
          <cell r="H46">
            <v>35</v>
          </cell>
          <cell r="I46" t="str">
            <v>Lam</v>
          </cell>
          <cell r="J46">
            <v>56</v>
          </cell>
          <cell r="K46" t="str">
            <v>Kolluru</v>
          </cell>
          <cell r="L46">
            <v>35</v>
          </cell>
          <cell r="M46" t="str">
            <v>Vejandla</v>
          </cell>
          <cell r="N46">
            <v>38</v>
          </cell>
          <cell r="O46" t="str">
            <v>Vejandla</v>
          </cell>
          <cell r="P46">
            <v>38</v>
          </cell>
          <cell r="Q46" t="str">
            <v>Ponnuru</v>
          </cell>
          <cell r="R46">
            <v>15</v>
          </cell>
          <cell r="S46" t="str">
            <v>I.B patnam</v>
          </cell>
          <cell r="T46">
            <v>92</v>
          </cell>
          <cell r="Y46" t="str">
            <v>Ponnuru</v>
          </cell>
          <cell r="Z46">
            <v>15</v>
          </cell>
          <cell r="AA46">
            <v>0</v>
          </cell>
        </row>
        <row r="47">
          <cell r="A47">
            <v>43</v>
          </cell>
          <cell r="B47" t="str">
            <v>Nadimpalli</v>
          </cell>
          <cell r="C47" t="str">
            <v>Gollapalem</v>
          </cell>
          <cell r="D47" t="str">
            <v>Cherukupalli</v>
          </cell>
          <cell r="E47" t="str">
            <v>Chandolu</v>
          </cell>
          <cell r="F47">
            <v>16</v>
          </cell>
          <cell r="G47" t="str">
            <v>Zoolapalem</v>
          </cell>
          <cell r="H47">
            <v>23</v>
          </cell>
          <cell r="I47" t="str">
            <v>Lam</v>
          </cell>
          <cell r="J47">
            <v>63</v>
          </cell>
          <cell r="K47" t="str">
            <v>Kolluru</v>
          </cell>
          <cell r="L47">
            <v>23</v>
          </cell>
          <cell r="M47" t="str">
            <v>Vejandla</v>
          </cell>
          <cell r="N47">
            <v>42</v>
          </cell>
          <cell r="O47" t="str">
            <v>Vejandla</v>
          </cell>
          <cell r="P47">
            <v>42</v>
          </cell>
          <cell r="Q47" t="str">
            <v>Ponnuru</v>
          </cell>
          <cell r="R47">
            <v>23</v>
          </cell>
          <cell r="S47" t="str">
            <v>I.B patnam</v>
          </cell>
          <cell r="T47">
            <v>89</v>
          </cell>
          <cell r="Y47" t="str">
            <v>Ponnuru</v>
          </cell>
          <cell r="Z47">
            <v>23</v>
          </cell>
          <cell r="AA47">
            <v>0</v>
          </cell>
        </row>
        <row r="48">
          <cell r="A48">
            <v>44</v>
          </cell>
          <cell r="B48" t="str">
            <v>Gudavalli</v>
          </cell>
          <cell r="C48" t="str">
            <v>Gudavalli</v>
          </cell>
          <cell r="D48" t="str">
            <v>Cherukupalli</v>
          </cell>
          <cell r="E48" t="str">
            <v>Chandolu</v>
          </cell>
          <cell r="F48">
            <v>17</v>
          </cell>
          <cell r="G48" t="str">
            <v>Zoolapalem</v>
          </cell>
          <cell r="H48">
            <v>22</v>
          </cell>
          <cell r="I48" t="str">
            <v>Lam</v>
          </cell>
          <cell r="J48">
            <v>64</v>
          </cell>
          <cell r="K48" t="str">
            <v>Kolluru</v>
          </cell>
          <cell r="L48">
            <v>22</v>
          </cell>
          <cell r="M48" t="str">
            <v>Vejandla</v>
          </cell>
          <cell r="N48">
            <v>43</v>
          </cell>
          <cell r="O48" t="str">
            <v>Vejandla</v>
          </cell>
          <cell r="P48">
            <v>43</v>
          </cell>
          <cell r="Q48" t="str">
            <v>Ponnuru</v>
          </cell>
          <cell r="R48">
            <v>24</v>
          </cell>
          <cell r="S48" t="str">
            <v>I.B patnam</v>
          </cell>
          <cell r="T48">
            <v>90</v>
          </cell>
          <cell r="Y48" t="str">
            <v>Ponnuru</v>
          </cell>
          <cell r="Z48">
            <v>24</v>
          </cell>
          <cell r="AA48">
            <v>0</v>
          </cell>
        </row>
        <row r="49">
          <cell r="A49">
            <v>45</v>
          </cell>
          <cell r="B49" t="str">
            <v>Gullapalli</v>
          </cell>
          <cell r="C49" t="str">
            <v>Gullapalli</v>
          </cell>
          <cell r="D49" t="str">
            <v>Cherukupalli</v>
          </cell>
          <cell r="E49" t="str">
            <v>Chandolu</v>
          </cell>
          <cell r="F49">
            <v>12</v>
          </cell>
          <cell r="G49" t="str">
            <v>Zoolapalem</v>
          </cell>
          <cell r="H49">
            <v>27</v>
          </cell>
          <cell r="I49" t="str">
            <v>Lam</v>
          </cell>
          <cell r="J49">
            <v>59</v>
          </cell>
          <cell r="K49" t="str">
            <v>Kolluru</v>
          </cell>
          <cell r="L49">
            <v>27</v>
          </cell>
          <cell r="M49" t="str">
            <v>Vejandla</v>
          </cell>
          <cell r="N49">
            <v>38</v>
          </cell>
          <cell r="O49" t="str">
            <v>Vejandla</v>
          </cell>
          <cell r="P49">
            <v>38</v>
          </cell>
          <cell r="Q49" t="str">
            <v>Ponnuru</v>
          </cell>
          <cell r="R49">
            <v>19</v>
          </cell>
          <cell r="S49" t="str">
            <v>I.B patnam</v>
          </cell>
          <cell r="T49">
            <v>86</v>
          </cell>
          <cell r="Y49" t="str">
            <v>Ponnuru</v>
          </cell>
          <cell r="Z49">
            <v>19</v>
          </cell>
          <cell r="AA49">
            <v>0</v>
          </cell>
        </row>
        <row r="50">
          <cell r="A50">
            <v>46</v>
          </cell>
          <cell r="B50" t="str">
            <v>Arumbaka</v>
          </cell>
          <cell r="C50" t="str">
            <v>Harijanawada H/O Arumbaka</v>
          </cell>
          <cell r="D50" t="str">
            <v>Cherukupalli</v>
          </cell>
          <cell r="E50" t="str">
            <v>Chandolu</v>
          </cell>
          <cell r="F50">
            <v>10</v>
          </cell>
          <cell r="G50" t="str">
            <v>Zoolapalem</v>
          </cell>
          <cell r="H50">
            <v>29</v>
          </cell>
          <cell r="I50" t="str">
            <v>Lam</v>
          </cell>
          <cell r="J50">
            <v>57</v>
          </cell>
          <cell r="K50" t="str">
            <v>Kolluru</v>
          </cell>
          <cell r="L50">
            <v>29</v>
          </cell>
          <cell r="M50" t="str">
            <v>Vejandla</v>
          </cell>
          <cell r="N50">
            <v>38</v>
          </cell>
          <cell r="O50" t="str">
            <v>Vejandla</v>
          </cell>
          <cell r="P50">
            <v>38</v>
          </cell>
          <cell r="Q50" t="str">
            <v>Ponnuru</v>
          </cell>
          <cell r="R50">
            <v>17</v>
          </cell>
          <cell r="S50" t="str">
            <v>I.B patnam</v>
          </cell>
          <cell r="T50">
            <v>86</v>
          </cell>
          <cell r="Y50" t="str">
            <v>Ponnuru</v>
          </cell>
          <cell r="Z50">
            <v>17</v>
          </cell>
          <cell r="AA50">
            <v>0</v>
          </cell>
        </row>
        <row r="51">
          <cell r="A51">
            <v>47</v>
          </cell>
          <cell r="B51" t="str">
            <v>Thummalapalem</v>
          </cell>
          <cell r="C51" t="str">
            <v>Jonnalagaddavaripalem</v>
          </cell>
          <cell r="D51" t="str">
            <v>Cherukupalli</v>
          </cell>
          <cell r="E51" t="str">
            <v>Chandolu</v>
          </cell>
          <cell r="F51">
            <v>10</v>
          </cell>
          <cell r="G51" t="str">
            <v>Zoolapalem</v>
          </cell>
          <cell r="H51">
            <v>32</v>
          </cell>
          <cell r="I51" t="str">
            <v>Lam</v>
          </cell>
          <cell r="J51">
            <v>57</v>
          </cell>
          <cell r="K51" t="str">
            <v>Kolluru</v>
          </cell>
          <cell r="L51">
            <v>32</v>
          </cell>
          <cell r="M51" t="str">
            <v>Vejandla</v>
          </cell>
          <cell r="N51">
            <v>41</v>
          </cell>
          <cell r="O51" t="str">
            <v>Vejandla</v>
          </cell>
          <cell r="P51">
            <v>41</v>
          </cell>
          <cell r="Q51" t="str">
            <v>Ponnuru</v>
          </cell>
          <cell r="R51">
            <v>15</v>
          </cell>
          <cell r="S51" t="str">
            <v>I.B patnam</v>
          </cell>
          <cell r="T51">
            <v>88</v>
          </cell>
          <cell r="Y51" t="str">
            <v>Ponnuru</v>
          </cell>
          <cell r="Z51">
            <v>15</v>
          </cell>
          <cell r="AA51">
            <v>0</v>
          </cell>
        </row>
        <row r="52">
          <cell r="A52">
            <v>48</v>
          </cell>
          <cell r="B52" t="str">
            <v>Arumbaka</v>
          </cell>
          <cell r="C52" t="str">
            <v>Kaminenivaripalem</v>
          </cell>
          <cell r="D52" t="str">
            <v>Cherukupalli</v>
          </cell>
          <cell r="E52" t="str">
            <v>Chandolu</v>
          </cell>
          <cell r="F52">
            <v>13</v>
          </cell>
          <cell r="G52" t="str">
            <v>Zoolapalem</v>
          </cell>
          <cell r="H52">
            <v>30</v>
          </cell>
          <cell r="I52" t="str">
            <v>Lam</v>
          </cell>
          <cell r="J52">
            <v>60</v>
          </cell>
          <cell r="K52" t="str">
            <v>Kolluru</v>
          </cell>
          <cell r="L52">
            <v>30</v>
          </cell>
          <cell r="M52" t="str">
            <v>Vejandla</v>
          </cell>
          <cell r="N52">
            <v>39</v>
          </cell>
          <cell r="O52" t="str">
            <v>Vejandla</v>
          </cell>
          <cell r="P52">
            <v>39</v>
          </cell>
          <cell r="Q52" t="str">
            <v>Ponnuru</v>
          </cell>
          <cell r="R52">
            <v>20</v>
          </cell>
          <cell r="S52" t="str">
            <v>I.B patnam</v>
          </cell>
          <cell r="T52">
            <v>87</v>
          </cell>
          <cell r="Y52" t="str">
            <v>Ponnuru</v>
          </cell>
          <cell r="Z52">
            <v>20</v>
          </cell>
          <cell r="AA52">
            <v>0</v>
          </cell>
        </row>
        <row r="53">
          <cell r="A53">
            <v>49</v>
          </cell>
          <cell r="B53" t="str">
            <v>Kanagala</v>
          </cell>
          <cell r="C53" t="str">
            <v>Kanagala</v>
          </cell>
          <cell r="D53" t="str">
            <v>Cherukupalli</v>
          </cell>
          <cell r="E53" t="str">
            <v>Chandolu</v>
          </cell>
          <cell r="F53">
            <v>19</v>
          </cell>
          <cell r="G53" t="str">
            <v>Zoolapalem</v>
          </cell>
          <cell r="H53">
            <v>20</v>
          </cell>
          <cell r="I53" t="str">
            <v>Lam</v>
          </cell>
          <cell r="J53">
            <v>66</v>
          </cell>
          <cell r="K53" t="str">
            <v>Kolluru</v>
          </cell>
          <cell r="L53">
            <v>20</v>
          </cell>
          <cell r="M53" t="str">
            <v>Vejandla</v>
          </cell>
          <cell r="N53">
            <v>45</v>
          </cell>
          <cell r="O53" t="str">
            <v>Vejandla</v>
          </cell>
          <cell r="P53">
            <v>45</v>
          </cell>
          <cell r="Q53" t="str">
            <v>Ponnuru</v>
          </cell>
          <cell r="R53">
            <v>26</v>
          </cell>
          <cell r="S53" t="str">
            <v>I.B patnam</v>
          </cell>
          <cell r="T53">
            <v>92</v>
          </cell>
          <cell r="Y53" t="str">
            <v>Ponnuru</v>
          </cell>
          <cell r="Z53">
            <v>26</v>
          </cell>
          <cell r="AA53">
            <v>0</v>
          </cell>
        </row>
        <row r="54">
          <cell r="A54">
            <v>50</v>
          </cell>
          <cell r="B54" t="str">
            <v>Kavuru</v>
          </cell>
          <cell r="C54" t="str">
            <v>Kavuru</v>
          </cell>
          <cell r="D54" t="str">
            <v>Cherukupalli</v>
          </cell>
          <cell r="E54" t="str">
            <v>Chandolu</v>
          </cell>
          <cell r="F54">
            <v>9</v>
          </cell>
          <cell r="G54" t="str">
            <v>Zoolapalem</v>
          </cell>
          <cell r="H54">
            <v>31</v>
          </cell>
          <cell r="I54" t="str">
            <v>Lam</v>
          </cell>
          <cell r="J54">
            <v>56</v>
          </cell>
          <cell r="K54" t="str">
            <v>Kolluru</v>
          </cell>
          <cell r="L54">
            <v>31</v>
          </cell>
          <cell r="M54" t="str">
            <v>Vejandla</v>
          </cell>
          <cell r="N54">
            <v>40</v>
          </cell>
          <cell r="O54" t="str">
            <v>Vejandla</v>
          </cell>
          <cell r="P54">
            <v>40</v>
          </cell>
          <cell r="Q54" t="str">
            <v>Ponnuru</v>
          </cell>
          <cell r="R54">
            <v>15</v>
          </cell>
          <cell r="S54" t="str">
            <v>I.B patnam</v>
          </cell>
          <cell r="T54">
            <v>88</v>
          </cell>
          <cell r="Y54" t="str">
            <v>Ponnuru</v>
          </cell>
          <cell r="Z54">
            <v>15</v>
          </cell>
          <cell r="AA54">
            <v>0</v>
          </cell>
        </row>
        <row r="55">
          <cell r="A55">
            <v>51</v>
          </cell>
          <cell r="B55" t="str">
            <v>Kunchalavaripalem</v>
          </cell>
          <cell r="C55" t="str">
            <v>Kunchalavaripalem</v>
          </cell>
          <cell r="D55" t="str">
            <v>Cherukupalli</v>
          </cell>
          <cell r="E55" t="str">
            <v>Chandolu</v>
          </cell>
          <cell r="F55">
            <v>4</v>
          </cell>
          <cell r="G55" t="str">
            <v>Zoolapalem</v>
          </cell>
          <cell r="H55">
            <v>35</v>
          </cell>
          <cell r="I55" t="str">
            <v>Lam</v>
          </cell>
          <cell r="J55">
            <v>51</v>
          </cell>
          <cell r="K55" t="str">
            <v>Kolluru</v>
          </cell>
          <cell r="L55">
            <v>35</v>
          </cell>
          <cell r="M55" t="str">
            <v>Vejandla</v>
          </cell>
          <cell r="N55">
            <v>33</v>
          </cell>
          <cell r="O55" t="str">
            <v>Vejandla</v>
          </cell>
          <cell r="P55">
            <v>33</v>
          </cell>
          <cell r="Q55" t="str">
            <v>Ponnuru</v>
          </cell>
          <cell r="R55">
            <v>10</v>
          </cell>
          <cell r="S55" t="str">
            <v>I.B patnam</v>
          </cell>
          <cell r="T55">
            <v>92</v>
          </cell>
          <cell r="Y55" t="str">
            <v>Ponnuru</v>
          </cell>
          <cell r="Z55">
            <v>10</v>
          </cell>
          <cell r="AA55">
            <v>0</v>
          </cell>
        </row>
        <row r="56">
          <cell r="A56">
            <v>52</v>
          </cell>
          <cell r="B56" t="str">
            <v>Gullapalli</v>
          </cell>
          <cell r="C56" t="str">
            <v>Kurrapalem</v>
          </cell>
          <cell r="D56" t="str">
            <v>Cherukupalli</v>
          </cell>
          <cell r="E56" t="str">
            <v>Chandolu</v>
          </cell>
          <cell r="F56">
            <v>14</v>
          </cell>
          <cell r="G56" t="str">
            <v>Zoolapalem</v>
          </cell>
          <cell r="H56">
            <v>29</v>
          </cell>
          <cell r="I56" t="str">
            <v>Lam</v>
          </cell>
          <cell r="J56">
            <v>61</v>
          </cell>
          <cell r="K56" t="str">
            <v>Kolluru</v>
          </cell>
          <cell r="L56">
            <v>29</v>
          </cell>
          <cell r="M56" t="str">
            <v>Vejandla</v>
          </cell>
          <cell r="N56">
            <v>40</v>
          </cell>
          <cell r="O56" t="str">
            <v>Vejandla</v>
          </cell>
          <cell r="P56">
            <v>40</v>
          </cell>
          <cell r="Q56" t="str">
            <v>Ponnuru</v>
          </cell>
          <cell r="R56">
            <v>21</v>
          </cell>
          <cell r="S56" t="str">
            <v>I.B patnam</v>
          </cell>
          <cell r="T56">
            <v>88</v>
          </cell>
          <cell r="Y56" t="str">
            <v>Ponnuru</v>
          </cell>
          <cell r="Z56">
            <v>21</v>
          </cell>
          <cell r="AA56">
            <v>0</v>
          </cell>
        </row>
        <row r="57">
          <cell r="A57">
            <v>53</v>
          </cell>
          <cell r="B57" t="str">
            <v>Allavaripalem</v>
          </cell>
          <cell r="C57" t="str">
            <v>Kuretivaripalem</v>
          </cell>
          <cell r="D57" t="str">
            <v>Cherukupalli</v>
          </cell>
          <cell r="E57" t="str">
            <v>Chandolu</v>
          </cell>
          <cell r="F57">
            <v>24</v>
          </cell>
          <cell r="G57" t="str">
            <v>Zoolapalem</v>
          </cell>
          <cell r="H57">
            <v>25</v>
          </cell>
          <cell r="I57" t="str">
            <v>Lam</v>
          </cell>
          <cell r="J57">
            <v>71</v>
          </cell>
          <cell r="K57" t="str">
            <v>Kolluru</v>
          </cell>
          <cell r="L57">
            <v>25</v>
          </cell>
          <cell r="M57" t="str">
            <v>Vejandla</v>
          </cell>
          <cell r="N57">
            <v>50</v>
          </cell>
          <cell r="O57" t="str">
            <v>Vejandla</v>
          </cell>
          <cell r="P57">
            <v>50</v>
          </cell>
          <cell r="Q57" t="str">
            <v>Ponnuru</v>
          </cell>
          <cell r="R57">
            <v>31</v>
          </cell>
          <cell r="S57" t="str">
            <v>I.B patnam</v>
          </cell>
          <cell r="T57">
            <v>97</v>
          </cell>
          <cell r="Y57" t="str">
            <v>Ponnuru</v>
          </cell>
          <cell r="Z57">
            <v>31</v>
          </cell>
          <cell r="AA57">
            <v>0</v>
          </cell>
        </row>
        <row r="58">
          <cell r="A58">
            <v>54</v>
          </cell>
          <cell r="B58" t="str">
            <v>Nadimpalli</v>
          </cell>
          <cell r="C58" t="str">
            <v>Madigapalli H/O Nadimpalli</v>
          </cell>
          <cell r="D58" t="str">
            <v>Cherukupalli</v>
          </cell>
          <cell r="E58" t="str">
            <v>Chandolu</v>
          </cell>
          <cell r="F58">
            <v>16</v>
          </cell>
          <cell r="G58" t="str">
            <v>Zoolapalem</v>
          </cell>
          <cell r="H58">
            <v>23</v>
          </cell>
          <cell r="I58" t="str">
            <v>Lam</v>
          </cell>
          <cell r="J58">
            <v>63</v>
          </cell>
          <cell r="K58" t="str">
            <v>Kolluru</v>
          </cell>
          <cell r="L58">
            <v>23</v>
          </cell>
          <cell r="M58" t="str">
            <v>Vejandla</v>
          </cell>
          <cell r="N58">
            <v>42</v>
          </cell>
          <cell r="O58" t="str">
            <v>Vejandla</v>
          </cell>
          <cell r="P58">
            <v>42</v>
          </cell>
          <cell r="Q58" t="str">
            <v>Ponnuru</v>
          </cell>
          <cell r="R58">
            <v>23</v>
          </cell>
          <cell r="S58" t="str">
            <v>I.B patnam</v>
          </cell>
          <cell r="T58">
            <v>89</v>
          </cell>
          <cell r="Y58" t="str">
            <v>Ponnuru</v>
          </cell>
          <cell r="Z58">
            <v>23</v>
          </cell>
          <cell r="AA58">
            <v>0</v>
          </cell>
        </row>
        <row r="59">
          <cell r="A59">
            <v>55</v>
          </cell>
          <cell r="B59" t="str">
            <v>Balusulapalem</v>
          </cell>
          <cell r="C59" t="str">
            <v>Malapalli of Arepalli</v>
          </cell>
          <cell r="D59" t="str">
            <v>Cherukupalli</v>
          </cell>
          <cell r="E59" t="str">
            <v>Chandolu</v>
          </cell>
          <cell r="F59">
            <v>16</v>
          </cell>
          <cell r="G59" t="str">
            <v>Zoolapalem</v>
          </cell>
          <cell r="H59">
            <v>30</v>
          </cell>
          <cell r="I59" t="str">
            <v>Lam</v>
          </cell>
          <cell r="J59">
            <v>63</v>
          </cell>
          <cell r="K59" t="str">
            <v>Kolluru</v>
          </cell>
          <cell r="L59">
            <v>30</v>
          </cell>
          <cell r="M59" t="str">
            <v>Vejandla</v>
          </cell>
          <cell r="N59">
            <v>42</v>
          </cell>
          <cell r="O59" t="str">
            <v>Vejandla</v>
          </cell>
          <cell r="P59">
            <v>42</v>
          </cell>
          <cell r="Q59" t="str">
            <v>Ponnuru</v>
          </cell>
          <cell r="R59">
            <v>23</v>
          </cell>
          <cell r="S59" t="str">
            <v>I.B patnam</v>
          </cell>
          <cell r="T59">
            <v>90</v>
          </cell>
          <cell r="Y59" t="str">
            <v>Ponnuru</v>
          </cell>
          <cell r="Z59">
            <v>23</v>
          </cell>
          <cell r="AA59">
            <v>0</v>
          </cell>
        </row>
        <row r="60">
          <cell r="A60">
            <v>56</v>
          </cell>
          <cell r="B60" t="str">
            <v>Arepalli</v>
          </cell>
          <cell r="C60" t="str">
            <v>Mathivaripalem</v>
          </cell>
          <cell r="D60" t="str">
            <v>Cherukupalli</v>
          </cell>
          <cell r="E60" t="str">
            <v>Chandolu</v>
          </cell>
          <cell r="F60">
            <v>19</v>
          </cell>
          <cell r="G60" t="str">
            <v>Zoolapalem</v>
          </cell>
          <cell r="H60">
            <v>29</v>
          </cell>
          <cell r="I60" t="str">
            <v>Lam</v>
          </cell>
          <cell r="J60">
            <v>66</v>
          </cell>
          <cell r="K60" t="str">
            <v>Kolluru</v>
          </cell>
          <cell r="L60">
            <v>29</v>
          </cell>
          <cell r="M60" t="str">
            <v>Vejandla</v>
          </cell>
          <cell r="N60">
            <v>45</v>
          </cell>
          <cell r="O60" t="str">
            <v>Vejandla</v>
          </cell>
          <cell r="P60">
            <v>45</v>
          </cell>
          <cell r="Q60" t="str">
            <v>Ponnuru</v>
          </cell>
          <cell r="R60">
            <v>26</v>
          </cell>
          <cell r="S60" t="str">
            <v>I.B patnam</v>
          </cell>
          <cell r="T60">
            <v>92</v>
          </cell>
          <cell r="Y60" t="str">
            <v>Ponnuru</v>
          </cell>
          <cell r="Z60">
            <v>26</v>
          </cell>
          <cell r="AA60">
            <v>0</v>
          </cell>
        </row>
        <row r="61">
          <cell r="A61">
            <v>57</v>
          </cell>
          <cell r="B61" t="str">
            <v>Balusulapalem</v>
          </cell>
          <cell r="C61" t="str">
            <v>Mettagowdapalem</v>
          </cell>
          <cell r="D61" t="str">
            <v>Cherukupalli</v>
          </cell>
          <cell r="E61" t="str">
            <v>Chandolu</v>
          </cell>
          <cell r="F61">
            <v>10</v>
          </cell>
          <cell r="G61" t="str">
            <v>Zoolapalem</v>
          </cell>
          <cell r="H61">
            <v>34</v>
          </cell>
          <cell r="I61" t="str">
            <v>Lam</v>
          </cell>
          <cell r="J61">
            <v>57</v>
          </cell>
          <cell r="K61" t="str">
            <v>Kolluru</v>
          </cell>
          <cell r="L61">
            <v>34</v>
          </cell>
          <cell r="M61" t="str">
            <v>Vejandla</v>
          </cell>
          <cell r="N61">
            <v>39</v>
          </cell>
          <cell r="O61" t="str">
            <v>Vejandla</v>
          </cell>
          <cell r="P61">
            <v>39</v>
          </cell>
          <cell r="Q61" t="str">
            <v>Ponnuru</v>
          </cell>
          <cell r="R61">
            <v>16</v>
          </cell>
          <cell r="S61" t="str">
            <v>I.B patnam</v>
          </cell>
          <cell r="T61">
            <v>91</v>
          </cell>
          <cell r="Y61" t="str">
            <v>Ponnuru</v>
          </cell>
          <cell r="Z61">
            <v>16</v>
          </cell>
          <cell r="AA61">
            <v>0</v>
          </cell>
        </row>
        <row r="62">
          <cell r="A62">
            <v>58</v>
          </cell>
          <cell r="B62" t="str">
            <v>Rambhotlapalem</v>
          </cell>
          <cell r="C62" t="str">
            <v>Moravagupalem</v>
          </cell>
          <cell r="D62" t="str">
            <v>Cherukupalli</v>
          </cell>
          <cell r="E62" t="str">
            <v>Chandolu</v>
          </cell>
          <cell r="F62">
            <v>7</v>
          </cell>
          <cell r="G62" t="str">
            <v>Zoolapalem</v>
          </cell>
          <cell r="H62">
            <v>36</v>
          </cell>
          <cell r="I62" t="str">
            <v>Lam</v>
          </cell>
          <cell r="J62">
            <v>54</v>
          </cell>
          <cell r="K62" t="str">
            <v>Kolluru</v>
          </cell>
          <cell r="L62">
            <v>36</v>
          </cell>
          <cell r="M62" t="str">
            <v>Vejandla</v>
          </cell>
          <cell r="N62">
            <v>55</v>
          </cell>
          <cell r="O62" t="str">
            <v>Vejandla</v>
          </cell>
          <cell r="P62">
            <v>36</v>
          </cell>
          <cell r="Q62" t="str">
            <v>Ponnuru</v>
          </cell>
          <cell r="R62">
            <v>13</v>
          </cell>
          <cell r="S62" t="str">
            <v>I.B patnam</v>
          </cell>
          <cell r="T62">
            <v>91</v>
          </cell>
          <cell r="Y62" t="str">
            <v>Ponnuru</v>
          </cell>
          <cell r="Z62">
            <v>13</v>
          </cell>
          <cell r="AA62">
            <v>0</v>
          </cell>
        </row>
        <row r="63">
          <cell r="A63">
            <v>59</v>
          </cell>
          <cell r="B63" t="str">
            <v>Nadimpalli</v>
          </cell>
          <cell r="C63" t="str">
            <v>Nadimpalli</v>
          </cell>
          <cell r="D63" t="str">
            <v>Cherukupalli</v>
          </cell>
          <cell r="E63" t="str">
            <v>Chandolu</v>
          </cell>
          <cell r="F63">
            <v>16</v>
          </cell>
          <cell r="G63" t="str">
            <v>Zoolapalem</v>
          </cell>
          <cell r="H63">
            <v>23</v>
          </cell>
          <cell r="I63" t="str">
            <v>Lam</v>
          </cell>
          <cell r="J63">
            <v>63</v>
          </cell>
          <cell r="K63" t="str">
            <v>Kolluru</v>
          </cell>
          <cell r="L63">
            <v>23</v>
          </cell>
          <cell r="M63" t="str">
            <v>Vejandla</v>
          </cell>
          <cell r="N63">
            <v>42</v>
          </cell>
          <cell r="O63" t="str">
            <v>Vejandla</v>
          </cell>
          <cell r="P63">
            <v>42</v>
          </cell>
          <cell r="Q63" t="str">
            <v>Ponnuru</v>
          </cell>
          <cell r="R63">
            <v>23</v>
          </cell>
          <cell r="S63" t="str">
            <v>I.B patnam</v>
          </cell>
          <cell r="T63">
            <v>89</v>
          </cell>
          <cell r="Y63" t="str">
            <v>Ponnuru</v>
          </cell>
          <cell r="Z63">
            <v>23</v>
          </cell>
          <cell r="AA63">
            <v>0</v>
          </cell>
        </row>
        <row r="64">
          <cell r="A64">
            <v>60</v>
          </cell>
          <cell r="B64" t="str">
            <v>Rajavolu</v>
          </cell>
          <cell r="C64" t="str">
            <v>Padamatipalem</v>
          </cell>
          <cell r="D64" t="str">
            <v>Cherukupalli</v>
          </cell>
          <cell r="E64" t="str">
            <v>Chandolu</v>
          </cell>
          <cell r="F64">
            <v>20</v>
          </cell>
          <cell r="G64" t="str">
            <v>Zoolapalem</v>
          </cell>
          <cell r="H64">
            <v>27</v>
          </cell>
          <cell r="I64" t="str">
            <v>Lam</v>
          </cell>
          <cell r="J64">
            <v>67</v>
          </cell>
          <cell r="K64" t="str">
            <v>Kolluru</v>
          </cell>
          <cell r="L64">
            <v>25</v>
          </cell>
          <cell r="M64" t="str">
            <v>Vejandla</v>
          </cell>
          <cell r="N64">
            <v>46</v>
          </cell>
          <cell r="O64" t="str">
            <v>Vejandla</v>
          </cell>
          <cell r="P64">
            <v>46</v>
          </cell>
          <cell r="Q64" t="str">
            <v>Ponnuru</v>
          </cell>
          <cell r="R64">
            <v>27</v>
          </cell>
          <cell r="S64" t="str">
            <v>I.B patnam</v>
          </cell>
          <cell r="T64">
            <v>93</v>
          </cell>
          <cell r="Y64" t="str">
            <v>Ponnuru</v>
          </cell>
          <cell r="Z64">
            <v>27</v>
          </cell>
          <cell r="AA64">
            <v>0</v>
          </cell>
        </row>
        <row r="65">
          <cell r="A65">
            <v>61</v>
          </cell>
          <cell r="B65" t="str">
            <v>Arepalli</v>
          </cell>
          <cell r="C65" t="str">
            <v>Prasadamvaripalem</v>
          </cell>
          <cell r="D65" t="str">
            <v>Cherukupalli</v>
          </cell>
          <cell r="E65" t="str">
            <v>Chandolu</v>
          </cell>
          <cell r="F65">
            <v>16</v>
          </cell>
          <cell r="G65" t="str">
            <v>Zoolapalem</v>
          </cell>
          <cell r="H65">
            <v>30</v>
          </cell>
          <cell r="I65" t="str">
            <v>Lam</v>
          </cell>
          <cell r="J65">
            <v>63</v>
          </cell>
          <cell r="K65" t="str">
            <v>Kolluru</v>
          </cell>
          <cell r="L65">
            <v>30</v>
          </cell>
          <cell r="M65" t="str">
            <v>Vejandla</v>
          </cell>
          <cell r="N65">
            <v>42</v>
          </cell>
          <cell r="O65" t="str">
            <v>Vejandla</v>
          </cell>
          <cell r="P65">
            <v>42</v>
          </cell>
          <cell r="Q65" t="str">
            <v>Ponnuru</v>
          </cell>
          <cell r="R65">
            <v>23</v>
          </cell>
          <cell r="S65" t="str">
            <v>I.B patnam</v>
          </cell>
          <cell r="T65">
            <v>90</v>
          </cell>
          <cell r="Y65" t="str">
            <v>Ponnuru</v>
          </cell>
          <cell r="Z65">
            <v>23</v>
          </cell>
          <cell r="AA65">
            <v>0</v>
          </cell>
        </row>
        <row r="66">
          <cell r="A66">
            <v>62</v>
          </cell>
          <cell r="B66" t="str">
            <v>Balusulapalem</v>
          </cell>
          <cell r="C66" t="str">
            <v>Pittuammireddipalem</v>
          </cell>
          <cell r="D66" t="str">
            <v>Cherukupalli</v>
          </cell>
          <cell r="E66" t="str">
            <v>Chandolu</v>
          </cell>
          <cell r="F66">
            <v>9</v>
          </cell>
          <cell r="G66" t="str">
            <v>Zoolapalem</v>
          </cell>
          <cell r="H66">
            <v>35</v>
          </cell>
          <cell r="I66" t="str">
            <v>Lam</v>
          </cell>
          <cell r="J66">
            <v>56</v>
          </cell>
          <cell r="K66" t="str">
            <v>Kolluru</v>
          </cell>
          <cell r="L66">
            <v>35</v>
          </cell>
          <cell r="M66" t="str">
            <v>Vejandla</v>
          </cell>
          <cell r="N66">
            <v>38</v>
          </cell>
          <cell r="O66" t="str">
            <v>Vejandla</v>
          </cell>
          <cell r="P66">
            <v>38</v>
          </cell>
          <cell r="Q66" t="str">
            <v>Ponnuru</v>
          </cell>
          <cell r="R66">
            <v>15</v>
          </cell>
          <cell r="S66" t="str">
            <v>I.B patnam</v>
          </cell>
          <cell r="T66">
            <v>92</v>
          </cell>
          <cell r="Y66" t="str">
            <v>Ponnuru</v>
          </cell>
          <cell r="Z66">
            <v>15</v>
          </cell>
          <cell r="AA66">
            <v>0</v>
          </cell>
        </row>
        <row r="67">
          <cell r="A67">
            <v>63</v>
          </cell>
          <cell r="B67" t="str">
            <v>Rambhotlapalem</v>
          </cell>
          <cell r="C67" t="str">
            <v>Pittukotireddipalem</v>
          </cell>
          <cell r="D67" t="str">
            <v>Cherukupalli</v>
          </cell>
          <cell r="E67" t="str">
            <v>Chandolu</v>
          </cell>
          <cell r="F67">
            <v>7</v>
          </cell>
          <cell r="G67" t="str">
            <v>Zoolapalem</v>
          </cell>
          <cell r="H67">
            <v>36</v>
          </cell>
          <cell r="I67" t="str">
            <v>Lam</v>
          </cell>
          <cell r="J67">
            <v>54</v>
          </cell>
          <cell r="K67" t="str">
            <v>Kolluru</v>
          </cell>
          <cell r="L67">
            <v>36</v>
          </cell>
          <cell r="M67" t="str">
            <v>Vejandla</v>
          </cell>
          <cell r="N67">
            <v>36</v>
          </cell>
          <cell r="O67" t="str">
            <v>Vejandla</v>
          </cell>
          <cell r="P67">
            <v>36</v>
          </cell>
          <cell r="Q67" t="str">
            <v>Ponnuru</v>
          </cell>
          <cell r="R67">
            <v>13</v>
          </cell>
          <cell r="S67" t="str">
            <v>I.B patnam</v>
          </cell>
          <cell r="T67">
            <v>91</v>
          </cell>
          <cell r="Y67" t="str">
            <v>Ponnuru</v>
          </cell>
          <cell r="Z67">
            <v>13</v>
          </cell>
          <cell r="AA67">
            <v>0</v>
          </cell>
        </row>
        <row r="68">
          <cell r="A68">
            <v>64</v>
          </cell>
          <cell r="B68" t="str">
            <v>Arumbaka</v>
          </cell>
          <cell r="C68" t="str">
            <v>Podilivaripalem</v>
          </cell>
          <cell r="D68" t="str">
            <v>Cherukupalli</v>
          </cell>
          <cell r="E68" t="str">
            <v>Chandolu</v>
          </cell>
          <cell r="F68">
            <v>10</v>
          </cell>
          <cell r="G68" t="str">
            <v>Zoolapalem</v>
          </cell>
          <cell r="H68">
            <v>29</v>
          </cell>
          <cell r="I68" t="str">
            <v>Lam</v>
          </cell>
          <cell r="J68">
            <v>57</v>
          </cell>
          <cell r="K68" t="str">
            <v>Kolluru</v>
          </cell>
          <cell r="L68">
            <v>29</v>
          </cell>
          <cell r="M68" t="str">
            <v>Vejandla</v>
          </cell>
          <cell r="N68">
            <v>38</v>
          </cell>
          <cell r="O68" t="str">
            <v>Vejandla</v>
          </cell>
          <cell r="P68">
            <v>38</v>
          </cell>
          <cell r="Q68" t="str">
            <v>Ponnuru</v>
          </cell>
          <cell r="R68">
            <v>17</v>
          </cell>
          <cell r="S68" t="str">
            <v>I.B patnam</v>
          </cell>
          <cell r="T68">
            <v>86</v>
          </cell>
          <cell r="Y68" t="str">
            <v>Ponnuru</v>
          </cell>
          <cell r="Z68">
            <v>17</v>
          </cell>
          <cell r="AA68">
            <v>0</v>
          </cell>
        </row>
        <row r="69">
          <cell r="A69">
            <v>65</v>
          </cell>
          <cell r="B69" t="str">
            <v>Rambhotlapalem</v>
          </cell>
          <cell r="C69" t="str">
            <v>Pagadamvaripalem</v>
          </cell>
          <cell r="D69" t="str">
            <v>Cherukupalli</v>
          </cell>
          <cell r="E69" t="str">
            <v>Chandolu</v>
          </cell>
          <cell r="F69">
            <v>6</v>
          </cell>
          <cell r="G69" t="str">
            <v>Zoolapalem</v>
          </cell>
          <cell r="H69">
            <v>33</v>
          </cell>
          <cell r="I69" t="str">
            <v>Lam</v>
          </cell>
          <cell r="J69">
            <v>53</v>
          </cell>
          <cell r="K69" t="str">
            <v>Kolluru</v>
          </cell>
          <cell r="L69">
            <v>33</v>
          </cell>
          <cell r="M69" t="str">
            <v>Vejandla</v>
          </cell>
          <cell r="N69">
            <v>35</v>
          </cell>
          <cell r="O69" t="str">
            <v>Vejandla</v>
          </cell>
          <cell r="P69">
            <v>35</v>
          </cell>
          <cell r="Q69" t="str">
            <v>Ponnuru</v>
          </cell>
          <cell r="R69">
            <v>12</v>
          </cell>
          <cell r="S69" t="str">
            <v>I.B patnam</v>
          </cell>
          <cell r="T69">
            <v>90</v>
          </cell>
          <cell r="Y69" t="str">
            <v>Ponnuru</v>
          </cell>
          <cell r="Z69">
            <v>12</v>
          </cell>
          <cell r="AA69">
            <v>0</v>
          </cell>
        </row>
        <row r="70">
          <cell r="A70">
            <v>66</v>
          </cell>
          <cell r="B70" t="str">
            <v>Ponnapalli</v>
          </cell>
          <cell r="C70" t="str">
            <v>Ponnapalli</v>
          </cell>
          <cell r="D70" t="str">
            <v>Cherukupalli</v>
          </cell>
          <cell r="E70" t="str">
            <v>Chandolu</v>
          </cell>
          <cell r="F70">
            <v>14</v>
          </cell>
          <cell r="G70" t="str">
            <v>Zoolapalem</v>
          </cell>
          <cell r="H70">
            <v>25</v>
          </cell>
          <cell r="I70" t="str">
            <v>Lam</v>
          </cell>
          <cell r="J70">
            <v>61</v>
          </cell>
          <cell r="K70" t="str">
            <v>Kolluru</v>
          </cell>
          <cell r="L70">
            <v>25</v>
          </cell>
          <cell r="M70" t="str">
            <v>Vejandla</v>
          </cell>
          <cell r="N70">
            <v>40</v>
          </cell>
          <cell r="O70" t="str">
            <v>Vejandla</v>
          </cell>
          <cell r="P70">
            <v>40</v>
          </cell>
          <cell r="Q70" t="str">
            <v>Ponnuru</v>
          </cell>
          <cell r="R70">
            <v>21</v>
          </cell>
          <cell r="S70" t="str">
            <v>I.B patnam</v>
          </cell>
          <cell r="T70">
            <v>87</v>
          </cell>
          <cell r="Y70" t="str">
            <v>Ponnuru</v>
          </cell>
          <cell r="Z70">
            <v>21</v>
          </cell>
          <cell r="AA70">
            <v>0</v>
          </cell>
        </row>
        <row r="71">
          <cell r="A71">
            <v>67</v>
          </cell>
          <cell r="B71" t="str">
            <v>Arepalli</v>
          </cell>
          <cell r="C71" t="str">
            <v>Puligaddavaripalem</v>
          </cell>
          <cell r="D71" t="str">
            <v>Cherukupalli</v>
          </cell>
          <cell r="E71" t="str">
            <v>Chandolu</v>
          </cell>
          <cell r="F71">
            <v>15</v>
          </cell>
          <cell r="G71" t="str">
            <v>Zoolapalem</v>
          </cell>
          <cell r="H71">
            <v>32</v>
          </cell>
          <cell r="I71" t="str">
            <v>Lam</v>
          </cell>
          <cell r="J71">
            <v>62</v>
          </cell>
          <cell r="K71" t="str">
            <v>Kolluru</v>
          </cell>
          <cell r="L71">
            <v>32</v>
          </cell>
          <cell r="M71" t="str">
            <v>Vejandla</v>
          </cell>
          <cell r="N71">
            <v>41</v>
          </cell>
          <cell r="O71" t="str">
            <v>Vejandla</v>
          </cell>
          <cell r="P71">
            <v>41</v>
          </cell>
          <cell r="Q71" t="str">
            <v>Ponnuru</v>
          </cell>
          <cell r="R71">
            <v>22</v>
          </cell>
          <cell r="S71" t="str">
            <v>I.B patnam</v>
          </cell>
          <cell r="T71">
            <v>89</v>
          </cell>
          <cell r="Y71" t="str">
            <v>Ponnuru</v>
          </cell>
          <cell r="Z71">
            <v>22</v>
          </cell>
          <cell r="AA71">
            <v>0</v>
          </cell>
        </row>
        <row r="72">
          <cell r="A72">
            <v>68</v>
          </cell>
          <cell r="B72" t="str">
            <v>Arumbaka</v>
          </cell>
          <cell r="C72" t="str">
            <v>Puligaddavaripalem</v>
          </cell>
          <cell r="D72" t="str">
            <v>Cherukupalli</v>
          </cell>
          <cell r="E72" t="str">
            <v>Chandolu</v>
          </cell>
          <cell r="F72">
            <v>15</v>
          </cell>
          <cell r="G72" t="str">
            <v>Zoolapalem</v>
          </cell>
          <cell r="H72">
            <v>32</v>
          </cell>
          <cell r="I72" t="str">
            <v>Lam</v>
          </cell>
          <cell r="J72">
            <v>62</v>
          </cell>
          <cell r="K72" t="str">
            <v>Kolluru</v>
          </cell>
          <cell r="L72">
            <v>32</v>
          </cell>
          <cell r="M72" t="str">
            <v>Vejandla</v>
          </cell>
          <cell r="N72">
            <v>41</v>
          </cell>
          <cell r="O72" t="str">
            <v>Vejandla</v>
          </cell>
          <cell r="P72">
            <v>41</v>
          </cell>
          <cell r="Q72" t="str">
            <v>Ponnuru</v>
          </cell>
          <cell r="R72">
            <v>22</v>
          </cell>
          <cell r="S72" t="str">
            <v>I.B patnam</v>
          </cell>
          <cell r="T72">
            <v>89</v>
          </cell>
          <cell r="Y72" t="str">
            <v>Ponnuru</v>
          </cell>
          <cell r="Z72">
            <v>22</v>
          </cell>
          <cell r="AA72">
            <v>0</v>
          </cell>
        </row>
        <row r="73">
          <cell r="A73">
            <v>69</v>
          </cell>
          <cell r="B73" t="str">
            <v>Thummalapalem</v>
          </cell>
          <cell r="C73" t="str">
            <v>Puligaddavaripalem</v>
          </cell>
          <cell r="D73" t="str">
            <v>Cherukupalli</v>
          </cell>
          <cell r="E73" t="str">
            <v>Chandolu</v>
          </cell>
          <cell r="F73">
            <v>15</v>
          </cell>
          <cell r="G73" t="str">
            <v>Zoolapalem</v>
          </cell>
          <cell r="H73">
            <v>32</v>
          </cell>
          <cell r="I73" t="str">
            <v>Lam</v>
          </cell>
          <cell r="J73">
            <v>62</v>
          </cell>
          <cell r="K73" t="str">
            <v>Kolluru</v>
          </cell>
          <cell r="L73">
            <v>32</v>
          </cell>
          <cell r="M73" t="str">
            <v>Vejandla</v>
          </cell>
          <cell r="N73">
            <v>41</v>
          </cell>
          <cell r="O73" t="str">
            <v>Vejandla</v>
          </cell>
          <cell r="P73">
            <v>41</v>
          </cell>
          <cell r="Q73" t="str">
            <v>Ponnuru</v>
          </cell>
          <cell r="R73">
            <v>22</v>
          </cell>
          <cell r="S73" t="str">
            <v>I.B patnam</v>
          </cell>
          <cell r="T73">
            <v>89</v>
          </cell>
          <cell r="Y73" t="str">
            <v>Ponnuru</v>
          </cell>
          <cell r="Z73">
            <v>22</v>
          </cell>
          <cell r="AA73">
            <v>0</v>
          </cell>
        </row>
        <row r="74">
          <cell r="A74">
            <v>70</v>
          </cell>
          <cell r="B74" t="str">
            <v>Arepalli</v>
          </cell>
          <cell r="C74" t="str">
            <v>Pushadapuvaripalem</v>
          </cell>
          <cell r="D74" t="str">
            <v>Cherukupalli</v>
          </cell>
          <cell r="E74" t="str">
            <v>Chandolu</v>
          </cell>
          <cell r="F74">
            <v>19</v>
          </cell>
          <cell r="G74" t="str">
            <v>Zoolapalem</v>
          </cell>
          <cell r="H74">
            <v>29</v>
          </cell>
          <cell r="I74" t="str">
            <v>Lam</v>
          </cell>
          <cell r="J74">
            <v>66</v>
          </cell>
          <cell r="K74" t="str">
            <v>Kolluru</v>
          </cell>
          <cell r="L74">
            <v>29</v>
          </cell>
          <cell r="M74" t="str">
            <v>Vejandla</v>
          </cell>
          <cell r="N74">
            <v>45</v>
          </cell>
          <cell r="O74" t="str">
            <v>Vejandla</v>
          </cell>
          <cell r="P74">
            <v>45</v>
          </cell>
          <cell r="Q74" t="str">
            <v>Ponnuru</v>
          </cell>
          <cell r="R74">
            <v>26</v>
          </cell>
          <cell r="S74" t="str">
            <v>I.B patnam</v>
          </cell>
          <cell r="T74">
            <v>92</v>
          </cell>
          <cell r="Y74" t="str">
            <v>Ponnuru</v>
          </cell>
          <cell r="Z74">
            <v>26</v>
          </cell>
          <cell r="AA74">
            <v>0</v>
          </cell>
        </row>
        <row r="75">
          <cell r="A75">
            <v>71</v>
          </cell>
          <cell r="B75" t="str">
            <v>Arepalli</v>
          </cell>
          <cell r="C75" t="str">
            <v>Puttavaripalem</v>
          </cell>
          <cell r="D75" t="str">
            <v>Cherukupalli</v>
          </cell>
          <cell r="E75" t="str">
            <v>Chandolu</v>
          </cell>
          <cell r="F75">
            <v>15</v>
          </cell>
          <cell r="G75" t="str">
            <v>Zoolapalem</v>
          </cell>
          <cell r="H75">
            <v>32</v>
          </cell>
          <cell r="I75" t="str">
            <v>Lam</v>
          </cell>
          <cell r="J75">
            <v>62</v>
          </cell>
          <cell r="K75" t="str">
            <v>Kolluru</v>
          </cell>
          <cell r="L75">
            <v>32</v>
          </cell>
          <cell r="M75" t="str">
            <v>Vejandla</v>
          </cell>
          <cell r="N75">
            <v>41</v>
          </cell>
          <cell r="O75" t="str">
            <v>Vejandla</v>
          </cell>
          <cell r="P75">
            <v>41</v>
          </cell>
          <cell r="Q75" t="str">
            <v>Ponnuru</v>
          </cell>
          <cell r="R75">
            <v>22</v>
          </cell>
          <cell r="S75" t="str">
            <v>I.B patnam</v>
          </cell>
          <cell r="T75">
            <v>89</v>
          </cell>
          <cell r="Y75" t="str">
            <v>Ponnuru</v>
          </cell>
          <cell r="Z75">
            <v>22</v>
          </cell>
          <cell r="AA75">
            <v>0</v>
          </cell>
        </row>
        <row r="76">
          <cell r="A76">
            <v>72</v>
          </cell>
          <cell r="B76" t="str">
            <v>Rajavolu</v>
          </cell>
          <cell r="C76" t="str">
            <v xml:space="preserve">Rajavolu </v>
          </cell>
          <cell r="D76" t="str">
            <v>Cherukupalli</v>
          </cell>
          <cell r="E76" t="str">
            <v>Chandolu</v>
          </cell>
          <cell r="F76">
            <v>20</v>
          </cell>
          <cell r="G76" t="str">
            <v>Zoolapalem</v>
          </cell>
          <cell r="H76">
            <v>27</v>
          </cell>
          <cell r="I76" t="str">
            <v>Lam</v>
          </cell>
          <cell r="J76">
            <v>67</v>
          </cell>
          <cell r="K76" t="str">
            <v>Kolluru</v>
          </cell>
          <cell r="L76">
            <v>25</v>
          </cell>
          <cell r="M76" t="str">
            <v>Vejandla</v>
          </cell>
          <cell r="N76">
            <v>46</v>
          </cell>
          <cell r="O76" t="str">
            <v>Vejandla</v>
          </cell>
          <cell r="P76">
            <v>46</v>
          </cell>
          <cell r="Q76" t="str">
            <v>Ponnuru</v>
          </cell>
          <cell r="R76">
            <v>27</v>
          </cell>
          <cell r="S76" t="str">
            <v>I.B patnam</v>
          </cell>
          <cell r="T76">
            <v>93</v>
          </cell>
          <cell r="Y76" t="str">
            <v>Ponnuru</v>
          </cell>
          <cell r="Z76">
            <v>27</v>
          </cell>
          <cell r="AA76">
            <v>0</v>
          </cell>
        </row>
        <row r="77">
          <cell r="A77">
            <v>73</v>
          </cell>
          <cell r="B77" t="str">
            <v>Rambhotlapalem</v>
          </cell>
          <cell r="C77" t="str">
            <v>Rambhotlapalem</v>
          </cell>
          <cell r="D77" t="str">
            <v>Cherukupalli</v>
          </cell>
          <cell r="E77" t="str">
            <v>Chandolu</v>
          </cell>
          <cell r="F77">
            <v>6</v>
          </cell>
          <cell r="G77" t="str">
            <v>Zoolapalem</v>
          </cell>
          <cell r="H77">
            <v>33</v>
          </cell>
          <cell r="I77" t="str">
            <v>Lam</v>
          </cell>
          <cell r="J77">
            <v>53</v>
          </cell>
          <cell r="K77" t="str">
            <v>Kolluru</v>
          </cell>
          <cell r="L77">
            <v>33</v>
          </cell>
          <cell r="M77" t="str">
            <v>Vejandla</v>
          </cell>
          <cell r="N77">
            <v>35</v>
          </cell>
          <cell r="O77" t="str">
            <v>Vejandla</v>
          </cell>
          <cell r="P77">
            <v>35</v>
          </cell>
          <cell r="Q77" t="str">
            <v>Ponnuru</v>
          </cell>
          <cell r="R77">
            <v>12</v>
          </cell>
          <cell r="S77" t="str">
            <v>I.B patnam</v>
          </cell>
          <cell r="T77">
            <v>90</v>
          </cell>
          <cell r="Y77" t="str">
            <v>Ponnuru</v>
          </cell>
          <cell r="Z77">
            <v>12</v>
          </cell>
          <cell r="AA77">
            <v>0</v>
          </cell>
        </row>
        <row r="78">
          <cell r="A78">
            <v>74</v>
          </cell>
          <cell r="B78" t="str">
            <v>Thummalapalem</v>
          </cell>
          <cell r="C78" t="str">
            <v>Sheshireddipalem</v>
          </cell>
          <cell r="D78" t="str">
            <v>Cherukupalli</v>
          </cell>
          <cell r="E78" t="str">
            <v>Chandolu</v>
          </cell>
          <cell r="F78">
            <v>9</v>
          </cell>
          <cell r="G78" t="str">
            <v>Zoolapalem</v>
          </cell>
          <cell r="H78">
            <v>35</v>
          </cell>
          <cell r="I78" t="str">
            <v>Lam</v>
          </cell>
          <cell r="J78">
            <v>55</v>
          </cell>
          <cell r="K78" t="str">
            <v>Kolluru</v>
          </cell>
          <cell r="L78">
            <v>35</v>
          </cell>
          <cell r="M78" t="str">
            <v>Vejandla</v>
          </cell>
          <cell r="N78">
            <v>37</v>
          </cell>
          <cell r="O78" t="str">
            <v>Vejandla</v>
          </cell>
          <cell r="P78">
            <v>37</v>
          </cell>
          <cell r="Q78" t="str">
            <v>Ponnuru</v>
          </cell>
          <cell r="R78">
            <v>14</v>
          </cell>
          <cell r="S78" t="str">
            <v>I.B patnam</v>
          </cell>
          <cell r="T78">
            <v>92</v>
          </cell>
          <cell r="Y78" t="str">
            <v>Ponnuru</v>
          </cell>
          <cell r="Z78">
            <v>14</v>
          </cell>
          <cell r="AA78">
            <v>0</v>
          </cell>
        </row>
        <row r="79">
          <cell r="A79">
            <v>75</v>
          </cell>
          <cell r="B79" t="str">
            <v>Thummalapalem</v>
          </cell>
          <cell r="C79" t="str">
            <v>Sitaramireddipalem</v>
          </cell>
          <cell r="D79" t="str">
            <v>Cherukupalli</v>
          </cell>
          <cell r="E79" t="str">
            <v>Chandolu</v>
          </cell>
          <cell r="F79">
            <v>9</v>
          </cell>
          <cell r="G79" t="str">
            <v>Zoolapalem</v>
          </cell>
          <cell r="H79">
            <v>35</v>
          </cell>
          <cell r="I79" t="str">
            <v>Lam</v>
          </cell>
          <cell r="J79">
            <v>55</v>
          </cell>
          <cell r="K79" t="str">
            <v>Kolluru</v>
          </cell>
          <cell r="L79">
            <v>35</v>
          </cell>
          <cell r="M79" t="str">
            <v>Vejandla</v>
          </cell>
          <cell r="N79">
            <v>37</v>
          </cell>
          <cell r="O79" t="str">
            <v>Vejandla</v>
          </cell>
          <cell r="P79">
            <v>37</v>
          </cell>
          <cell r="Q79" t="str">
            <v>Ponnuru</v>
          </cell>
          <cell r="R79">
            <v>14</v>
          </cell>
          <cell r="S79" t="str">
            <v>I.B patnam</v>
          </cell>
          <cell r="T79">
            <v>92</v>
          </cell>
          <cell r="Y79" t="str">
            <v>Ponnuru</v>
          </cell>
          <cell r="Z79">
            <v>14</v>
          </cell>
          <cell r="AA79">
            <v>0</v>
          </cell>
        </row>
        <row r="80">
          <cell r="A80">
            <v>76</v>
          </cell>
          <cell r="B80" t="str">
            <v>Nadimpalli</v>
          </cell>
          <cell r="C80" t="str">
            <v>Sivarampuram</v>
          </cell>
          <cell r="D80" t="str">
            <v>Cherukupalli</v>
          </cell>
          <cell r="E80" t="str">
            <v>Chandolu</v>
          </cell>
          <cell r="F80">
            <v>16</v>
          </cell>
          <cell r="G80" t="str">
            <v>Zoolapalem</v>
          </cell>
          <cell r="H80">
            <v>23</v>
          </cell>
          <cell r="I80" t="str">
            <v>Lam</v>
          </cell>
          <cell r="J80">
            <v>63</v>
          </cell>
          <cell r="K80" t="str">
            <v>Kolluru</v>
          </cell>
          <cell r="L80">
            <v>23</v>
          </cell>
          <cell r="M80" t="str">
            <v>Vejandla</v>
          </cell>
          <cell r="N80">
            <v>42</v>
          </cell>
          <cell r="O80" t="str">
            <v>Vejandla</v>
          </cell>
          <cell r="P80">
            <v>42</v>
          </cell>
          <cell r="Q80" t="str">
            <v>Ponnuru</v>
          </cell>
          <cell r="R80">
            <v>23</v>
          </cell>
          <cell r="S80" t="str">
            <v>I.B patnam</v>
          </cell>
          <cell r="T80">
            <v>89</v>
          </cell>
          <cell r="Y80" t="str">
            <v>Ponnuru</v>
          </cell>
          <cell r="Z80">
            <v>23</v>
          </cell>
          <cell r="AA80">
            <v>0</v>
          </cell>
        </row>
        <row r="81">
          <cell r="A81">
            <v>77</v>
          </cell>
          <cell r="B81" t="str">
            <v>Thummalapalem</v>
          </cell>
          <cell r="C81" t="str">
            <v>Thummalapalem</v>
          </cell>
          <cell r="D81" t="str">
            <v>Cherukupalli</v>
          </cell>
          <cell r="E81" t="str">
            <v>Chandolu</v>
          </cell>
          <cell r="F81">
            <v>9</v>
          </cell>
          <cell r="G81" t="str">
            <v>Zoolapalem</v>
          </cell>
          <cell r="H81">
            <v>35</v>
          </cell>
          <cell r="I81" t="str">
            <v>Lam</v>
          </cell>
          <cell r="J81">
            <v>55</v>
          </cell>
          <cell r="K81" t="str">
            <v>Kolluru</v>
          </cell>
          <cell r="L81">
            <v>35</v>
          </cell>
          <cell r="M81" t="str">
            <v>Vejandla</v>
          </cell>
          <cell r="N81">
            <v>37</v>
          </cell>
          <cell r="O81" t="str">
            <v>Vejandla</v>
          </cell>
          <cell r="P81">
            <v>37</v>
          </cell>
          <cell r="Q81" t="str">
            <v>Ponnuru</v>
          </cell>
          <cell r="R81">
            <v>14</v>
          </cell>
          <cell r="S81" t="str">
            <v>I.B patnam</v>
          </cell>
          <cell r="T81">
            <v>92</v>
          </cell>
          <cell r="Y81" t="str">
            <v>Ponnuru</v>
          </cell>
          <cell r="Z81">
            <v>14</v>
          </cell>
          <cell r="AA81">
            <v>0</v>
          </cell>
        </row>
        <row r="82">
          <cell r="A82">
            <v>78</v>
          </cell>
          <cell r="B82" t="str">
            <v>Arepalli</v>
          </cell>
          <cell r="C82" t="str">
            <v>Thurpupalem H/O Arepalli</v>
          </cell>
          <cell r="D82" t="str">
            <v>Cherukupalli</v>
          </cell>
          <cell r="E82" t="str">
            <v>Chandolu</v>
          </cell>
          <cell r="F82">
            <v>19</v>
          </cell>
          <cell r="G82" t="str">
            <v>Zoolapalem</v>
          </cell>
          <cell r="H82">
            <v>29</v>
          </cell>
          <cell r="I82" t="str">
            <v>Lam</v>
          </cell>
          <cell r="J82">
            <v>66</v>
          </cell>
          <cell r="K82" t="str">
            <v>Kolluru</v>
          </cell>
          <cell r="L82">
            <v>29</v>
          </cell>
          <cell r="M82" t="str">
            <v>Vejandla</v>
          </cell>
          <cell r="N82">
            <v>45</v>
          </cell>
          <cell r="O82" t="str">
            <v>Vejandla</v>
          </cell>
          <cell r="P82">
            <v>45</v>
          </cell>
          <cell r="Q82" t="str">
            <v>Ponnuru</v>
          </cell>
          <cell r="R82">
            <v>26</v>
          </cell>
          <cell r="S82" t="str">
            <v>I.B patnam</v>
          </cell>
          <cell r="T82">
            <v>92</v>
          </cell>
          <cell r="Y82" t="str">
            <v>Ponnuru</v>
          </cell>
          <cell r="Z82">
            <v>26</v>
          </cell>
          <cell r="AA82">
            <v>0</v>
          </cell>
        </row>
        <row r="83">
          <cell r="A83">
            <v>79</v>
          </cell>
          <cell r="B83" t="str">
            <v>Thurpupalem</v>
          </cell>
          <cell r="C83" t="str">
            <v>Thurpupalem of Rajolu</v>
          </cell>
          <cell r="D83" t="str">
            <v>Cherukupalli</v>
          </cell>
          <cell r="E83" t="str">
            <v>Chandolu</v>
          </cell>
          <cell r="F83">
            <v>20</v>
          </cell>
          <cell r="G83" t="str">
            <v>Zoolapalem</v>
          </cell>
          <cell r="H83">
            <v>27</v>
          </cell>
          <cell r="I83" t="str">
            <v>Lam</v>
          </cell>
          <cell r="J83">
            <v>67</v>
          </cell>
          <cell r="K83" t="str">
            <v>Kolluru</v>
          </cell>
          <cell r="L83">
            <v>25</v>
          </cell>
          <cell r="M83" t="str">
            <v>Vejandla</v>
          </cell>
          <cell r="N83">
            <v>46</v>
          </cell>
          <cell r="O83" t="str">
            <v>Vejandla</v>
          </cell>
          <cell r="P83">
            <v>46</v>
          </cell>
          <cell r="Q83" t="str">
            <v>Ponnuru</v>
          </cell>
          <cell r="R83">
            <v>27</v>
          </cell>
          <cell r="S83" t="str">
            <v>I.B patnam</v>
          </cell>
          <cell r="T83">
            <v>93</v>
          </cell>
          <cell r="Y83" t="str">
            <v>Ponnuru</v>
          </cell>
          <cell r="Z83">
            <v>27</v>
          </cell>
          <cell r="AA83">
            <v>0</v>
          </cell>
        </row>
        <row r="84">
          <cell r="A84">
            <v>80</v>
          </cell>
          <cell r="B84" t="str">
            <v>Rajavolu</v>
          </cell>
          <cell r="C84" t="str">
            <v>Thurpupalem of Arepalli</v>
          </cell>
          <cell r="D84" t="str">
            <v>Cherukupalli</v>
          </cell>
          <cell r="E84" t="str">
            <v>Chandolu</v>
          </cell>
          <cell r="F84">
            <v>16</v>
          </cell>
          <cell r="G84" t="str">
            <v>Zoolapalem</v>
          </cell>
          <cell r="H84">
            <v>30</v>
          </cell>
          <cell r="I84" t="str">
            <v>Lam</v>
          </cell>
          <cell r="J84">
            <v>63</v>
          </cell>
          <cell r="K84" t="str">
            <v>Kolluru</v>
          </cell>
          <cell r="L84">
            <v>30</v>
          </cell>
          <cell r="M84" t="str">
            <v>Vejandla</v>
          </cell>
          <cell r="N84">
            <v>42</v>
          </cell>
          <cell r="O84" t="str">
            <v>Vejandla</v>
          </cell>
          <cell r="P84">
            <v>42</v>
          </cell>
          <cell r="Q84" t="str">
            <v>Ponnuru</v>
          </cell>
          <cell r="R84">
            <v>23</v>
          </cell>
          <cell r="S84" t="str">
            <v>I.B patnam</v>
          </cell>
          <cell r="T84">
            <v>90</v>
          </cell>
          <cell r="Y84" t="str">
            <v>Ponnuru</v>
          </cell>
          <cell r="Z84">
            <v>23</v>
          </cell>
          <cell r="AA84">
            <v>0</v>
          </cell>
        </row>
        <row r="85">
          <cell r="A85">
            <v>81</v>
          </cell>
          <cell r="B85" t="str">
            <v>Arepalli</v>
          </cell>
          <cell r="C85" t="str">
            <v>Uchavaripalem</v>
          </cell>
          <cell r="D85" t="str">
            <v>Cherukupalli</v>
          </cell>
          <cell r="E85" t="str">
            <v>Chandolu</v>
          </cell>
          <cell r="F85">
            <v>15</v>
          </cell>
          <cell r="G85" t="str">
            <v>Zoolapalem</v>
          </cell>
          <cell r="H85">
            <v>32</v>
          </cell>
          <cell r="I85" t="str">
            <v>Lam</v>
          </cell>
          <cell r="J85">
            <v>62</v>
          </cell>
          <cell r="K85" t="str">
            <v>Kolluru</v>
          </cell>
          <cell r="L85">
            <v>32</v>
          </cell>
          <cell r="M85" t="str">
            <v>Vejandla</v>
          </cell>
          <cell r="N85">
            <v>41</v>
          </cell>
          <cell r="O85" t="str">
            <v>Vejandla</v>
          </cell>
          <cell r="P85">
            <v>41</v>
          </cell>
          <cell r="Q85" t="str">
            <v>Ponnuru</v>
          </cell>
          <cell r="R85">
            <v>22</v>
          </cell>
          <cell r="S85" t="str">
            <v>I.B patnam</v>
          </cell>
          <cell r="T85">
            <v>89</v>
          </cell>
          <cell r="Y85" t="str">
            <v>Ponnuru</v>
          </cell>
          <cell r="Z85">
            <v>22</v>
          </cell>
          <cell r="AA85">
            <v>0</v>
          </cell>
        </row>
        <row r="86">
          <cell r="A86">
            <v>82</v>
          </cell>
          <cell r="B86" t="str">
            <v>Allavaripalem</v>
          </cell>
          <cell r="C86" t="str">
            <v>Uppalavaripalem</v>
          </cell>
          <cell r="D86" t="str">
            <v>Cherukupalli</v>
          </cell>
          <cell r="E86" t="str">
            <v>Chandolu</v>
          </cell>
          <cell r="F86">
            <v>23</v>
          </cell>
          <cell r="G86" t="str">
            <v>Zoolapalem</v>
          </cell>
          <cell r="H86">
            <v>24</v>
          </cell>
          <cell r="I86" t="str">
            <v>Lam</v>
          </cell>
          <cell r="J86">
            <v>70</v>
          </cell>
          <cell r="K86" t="str">
            <v>Kolluru</v>
          </cell>
          <cell r="L86">
            <v>24</v>
          </cell>
          <cell r="M86" t="str">
            <v>Vejandla</v>
          </cell>
          <cell r="N86">
            <v>49</v>
          </cell>
          <cell r="O86" t="str">
            <v>Vejandla</v>
          </cell>
          <cell r="P86">
            <v>49</v>
          </cell>
          <cell r="Q86" t="str">
            <v>Ponnuru</v>
          </cell>
          <cell r="R86">
            <v>30</v>
          </cell>
          <cell r="S86" t="str">
            <v>I.B patnam</v>
          </cell>
          <cell r="T86">
            <v>96</v>
          </cell>
          <cell r="Y86" t="str">
            <v>Ponnuru</v>
          </cell>
          <cell r="Z86">
            <v>30</v>
          </cell>
          <cell r="AA86">
            <v>0</v>
          </cell>
        </row>
        <row r="87">
          <cell r="A87">
            <v>83</v>
          </cell>
          <cell r="B87" t="str">
            <v>Arepalli</v>
          </cell>
          <cell r="C87" t="str">
            <v>Vakavaripalem</v>
          </cell>
          <cell r="D87" t="str">
            <v>Cherukupalli</v>
          </cell>
          <cell r="E87" t="str">
            <v>Chandolu</v>
          </cell>
          <cell r="F87">
            <v>16</v>
          </cell>
          <cell r="G87" t="str">
            <v>Zoolapalem</v>
          </cell>
          <cell r="H87">
            <v>30</v>
          </cell>
          <cell r="I87" t="str">
            <v>Lam</v>
          </cell>
          <cell r="J87">
            <v>63</v>
          </cell>
          <cell r="K87" t="str">
            <v>Kolluru</v>
          </cell>
          <cell r="L87">
            <v>30</v>
          </cell>
          <cell r="M87" t="str">
            <v>Vejandla</v>
          </cell>
          <cell r="N87">
            <v>42</v>
          </cell>
          <cell r="O87" t="str">
            <v>Vejandla</v>
          </cell>
          <cell r="P87">
            <v>42</v>
          </cell>
          <cell r="Q87" t="str">
            <v>Ponnuru</v>
          </cell>
          <cell r="R87">
            <v>23</v>
          </cell>
          <cell r="S87" t="str">
            <v>I.B patnam</v>
          </cell>
          <cell r="T87">
            <v>90</v>
          </cell>
          <cell r="Y87" t="str">
            <v>Ponnuru</v>
          </cell>
          <cell r="Z87">
            <v>23</v>
          </cell>
          <cell r="AA87">
            <v>0</v>
          </cell>
        </row>
        <row r="88">
          <cell r="A88">
            <v>84</v>
          </cell>
          <cell r="B88" t="str">
            <v>Kavuru</v>
          </cell>
          <cell r="C88" t="str">
            <v>Vinayashram</v>
          </cell>
          <cell r="D88" t="str">
            <v>Cherukupalli</v>
          </cell>
          <cell r="E88" t="str">
            <v>Chandolu</v>
          </cell>
          <cell r="F88">
            <v>7</v>
          </cell>
          <cell r="G88" t="str">
            <v>Zoolapalem</v>
          </cell>
          <cell r="H88">
            <v>32</v>
          </cell>
          <cell r="I88" t="str">
            <v>Lam</v>
          </cell>
          <cell r="J88">
            <v>54</v>
          </cell>
          <cell r="K88" t="str">
            <v>Kolluru</v>
          </cell>
          <cell r="L88">
            <v>32</v>
          </cell>
          <cell r="M88" t="str">
            <v>Vejandla</v>
          </cell>
          <cell r="N88">
            <v>36</v>
          </cell>
          <cell r="O88" t="str">
            <v>Vejandla</v>
          </cell>
          <cell r="P88">
            <v>36</v>
          </cell>
          <cell r="Q88" t="str">
            <v>Ponnuru</v>
          </cell>
          <cell r="R88">
            <v>13</v>
          </cell>
          <cell r="S88" t="str">
            <v>I.B patnam</v>
          </cell>
          <cell r="T88">
            <v>90</v>
          </cell>
          <cell r="Y88" t="str">
            <v>Ponnuru</v>
          </cell>
          <cell r="Z88">
            <v>13</v>
          </cell>
          <cell r="AA88">
            <v>0</v>
          </cell>
        </row>
        <row r="89">
          <cell r="A89">
            <v>85</v>
          </cell>
          <cell r="B89" t="str">
            <v>Arumbaka</v>
          </cell>
          <cell r="C89" t="str">
            <v>Yeminenivaripalem</v>
          </cell>
          <cell r="D89" t="str">
            <v>Cherukupalli</v>
          </cell>
          <cell r="E89" t="str">
            <v>Chandolu</v>
          </cell>
          <cell r="F89">
            <v>10</v>
          </cell>
          <cell r="G89" t="str">
            <v>Zoolapalem</v>
          </cell>
          <cell r="H89">
            <v>29</v>
          </cell>
          <cell r="I89" t="str">
            <v>Lam</v>
          </cell>
          <cell r="J89">
            <v>57</v>
          </cell>
          <cell r="K89" t="str">
            <v>Kolluru</v>
          </cell>
          <cell r="L89">
            <v>29</v>
          </cell>
          <cell r="M89" t="str">
            <v>Vejandla</v>
          </cell>
          <cell r="N89">
            <v>38</v>
          </cell>
          <cell r="O89" t="str">
            <v>Vejandla</v>
          </cell>
          <cell r="P89">
            <v>38</v>
          </cell>
          <cell r="Q89" t="str">
            <v>Ponnuru</v>
          </cell>
          <cell r="R89">
            <v>17</v>
          </cell>
          <cell r="S89" t="str">
            <v>I.B patnam</v>
          </cell>
          <cell r="T89">
            <v>86</v>
          </cell>
          <cell r="Y89" t="str">
            <v>Ponnuru</v>
          </cell>
          <cell r="Z89">
            <v>17</v>
          </cell>
          <cell r="AA89">
            <v>0</v>
          </cell>
        </row>
        <row r="90">
          <cell r="A90">
            <v>86</v>
          </cell>
          <cell r="B90" t="str">
            <v>Addankivaripalem</v>
          </cell>
          <cell r="C90" t="str">
            <v>Addankivaripalem</v>
          </cell>
          <cell r="D90" t="str">
            <v>Nagaram</v>
          </cell>
          <cell r="E90" t="str">
            <v>Local</v>
          </cell>
          <cell r="F90">
            <v>2</v>
          </cell>
          <cell r="G90" t="str">
            <v>Zoolapalem</v>
          </cell>
          <cell r="H90">
            <v>24</v>
          </cell>
          <cell r="I90" t="str">
            <v>Lam</v>
          </cell>
          <cell r="J90">
            <v>71</v>
          </cell>
          <cell r="K90" t="str">
            <v>Kolluru</v>
          </cell>
          <cell r="L90">
            <v>28</v>
          </cell>
          <cell r="M90" t="str">
            <v>Vejandla</v>
          </cell>
          <cell r="N90">
            <v>55</v>
          </cell>
          <cell r="O90" t="str">
            <v>Vejandla</v>
          </cell>
          <cell r="P90">
            <v>55</v>
          </cell>
          <cell r="Q90" t="str">
            <v>Repalle</v>
          </cell>
          <cell r="R90">
            <v>18</v>
          </cell>
          <cell r="S90" t="str">
            <v>I.B patnam</v>
          </cell>
          <cell r="T90">
            <v>85</v>
          </cell>
          <cell r="Y90" t="str">
            <v>Repalle</v>
          </cell>
          <cell r="Z90">
            <v>18</v>
          </cell>
          <cell r="AA90">
            <v>0.2</v>
          </cell>
        </row>
        <row r="91">
          <cell r="A91">
            <v>87</v>
          </cell>
          <cell r="B91" t="str">
            <v>Eletipalem</v>
          </cell>
          <cell r="C91" t="str">
            <v>Akisettivaripalem</v>
          </cell>
          <cell r="D91" t="str">
            <v>Nagaram</v>
          </cell>
          <cell r="E91" t="str">
            <v>Local</v>
          </cell>
          <cell r="F91">
            <v>2</v>
          </cell>
          <cell r="G91" t="str">
            <v>Zoolapalem</v>
          </cell>
          <cell r="H91">
            <v>28</v>
          </cell>
          <cell r="I91" t="str">
            <v>Lam</v>
          </cell>
          <cell r="J91">
            <v>73</v>
          </cell>
          <cell r="K91" t="str">
            <v>Kolluru</v>
          </cell>
          <cell r="L91">
            <v>34</v>
          </cell>
          <cell r="M91" t="str">
            <v>Vejandla</v>
          </cell>
          <cell r="N91">
            <v>53</v>
          </cell>
          <cell r="O91" t="str">
            <v>Vejandla</v>
          </cell>
          <cell r="P91">
            <v>53</v>
          </cell>
          <cell r="Q91" t="str">
            <v>Repalle</v>
          </cell>
          <cell r="R91">
            <v>10</v>
          </cell>
          <cell r="S91" t="str">
            <v>I.B patnam</v>
          </cell>
          <cell r="T91">
            <v>85</v>
          </cell>
          <cell r="Y91" t="str">
            <v>Repalle</v>
          </cell>
          <cell r="Z91">
            <v>10</v>
          </cell>
          <cell r="AA91">
            <v>0.2</v>
          </cell>
        </row>
        <row r="92">
          <cell r="A92">
            <v>88</v>
          </cell>
          <cell r="B92" t="str">
            <v>Allaparru</v>
          </cell>
          <cell r="C92" t="str">
            <v>Allaparru</v>
          </cell>
          <cell r="D92" t="str">
            <v>Nagaram</v>
          </cell>
          <cell r="E92" t="str">
            <v>Local</v>
          </cell>
          <cell r="F92">
            <v>2</v>
          </cell>
          <cell r="G92" t="str">
            <v>Zoolapalem</v>
          </cell>
          <cell r="H92">
            <v>34</v>
          </cell>
          <cell r="I92" t="str">
            <v>Lam</v>
          </cell>
          <cell r="J92">
            <v>77</v>
          </cell>
          <cell r="K92" t="str">
            <v>Kolluru</v>
          </cell>
          <cell r="L92">
            <v>36</v>
          </cell>
          <cell r="M92" t="str">
            <v>Vejandla</v>
          </cell>
          <cell r="N92">
            <v>58</v>
          </cell>
          <cell r="O92" t="str">
            <v>Vejandla</v>
          </cell>
          <cell r="P92">
            <v>58</v>
          </cell>
          <cell r="Q92" t="str">
            <v>Repalle</v>
          </cell>
          <cell r="R92">
            <v>10</v>
          </cell>
          <cell r="S92" t="str">
            <v>I.B patnam</v>
          </cell>
          <cell r="T92">
            <v>85</v>
          </cell>
          <cell r="Y92" t="str">
            <v>Repalle</v>
          </cell>
          <cell r="Z92">
            <v>10</v>
          </cell>
          <cell r="AA92">
            <v>0.2</v>
          </cell>
        </row>
        <row r="93">
          <cell r="A93">
            <v>89</v>
          </cell>
          <cell r="B93" t="str">
            <v>Sajjavaripalem</v>
          </cell>
          <cell r="C93" t="str">
            <v>Allaparru Agraharam</v>
          </cell>
          <cell r="D93" t="str">
            <v>Nagaram</v>
          </cell>
          <cell r="E93" t="str">
            <v>Local</v>
          </cell>
          <cell r="F93">
            <v>2</v>
          </cell>
          <cell r="G93" t="str">
            <v>Zoolapalem</v>
          </cell>
          <cell r="H93">
            <v>30</v>
          </cell>
          <cell r="I93" t="str">
            <v>Lam</v>
          </cell>
          <cell r="J93">
            <v>75</v>
          </cell>
          <cell r="K93" t="str">
            <v>Kolluru</v>
          </cell>
          <cell r="L93">
            <v>34</v>
          </cell>
          <cell r="M93" t="str">
            <v>Vejandla</v>
          </cell>
          <cell r="N93">
            <v>56</v>
          </cell>
          <cell r="O93" t="str">
            <v>Vejandla</v>
          </cell>
          <cell r="P93">
            <v>56</v>
          </cell>
          <cell r="Q93" t="str">
            <v>Repalle</v>
          </cell>
          <cell r="R93">
            <v>8</v>
          </cell>
          <cell r="S93" t="str">
            <v>I.B patnam</v>
          </cell>
          <cell r="T93">
            <v>85</v>
          </cell>
          <cell r="Y93" t="str">
            <v>Repalle</v>
          </cell>
          <cell r="Z93">
            <v>8</v>
          </cell>
          <cell r="AA93">
            <v>0.2</v>
          </cell>
        </row>
        <row r="94">
          <cell r="A94">
            <v>90</v>
          </cell>
          <cell r="B94" t="str">
            <v>Kattava</v>
          </cell>
          <cell r="C94" t="str">
            <v>Anandapuram</v>
          </cell>
          <cell r="D94" t="str">
            <v>Nagaram</v>
          </cell>
          <cell r="E94" t="str">
            <v>Local</v>
          </cell>
          <cell r="F94">
            <v>0.5</v>
          </cell>
          <cell r="G94" t="str">
            <v>Zoolapalem</v>
          </cell>
          <cell r="H94">
            <v>36</v>
          </cell>
          <cell r="I94" t="str">
            <v>Lam</v>
          </cell>
          <cell r="J94">
            <v>79</v>
          </cell>
          <cell r="K94" t="str">
            <v>Kolluru</v>
          </cell>
          <cell r="L94">
            <v>38</v>
          </cell>
          <cell r="M94" t="str">
            <v>Vejandla</v>
          </cell>
          <cell r="N94">
            <v>60</v>
          </cell>
          <cell r="O94" t="str">
            <v>Vejandla</v>
          </cell>
          <cell r="P94">
            <v>60</v>
          </cell>
          <cell r="Q94" t="str">
            <v>Repalle</v>
          </cell>
          <cell r="R94">
            <v>12</v>
          </cell>
          <cell r="S94" t="str">
            <v>I.B patnam</v>
          </cell>
          <cell r="T94">
            <v>85</v>
          </cell>
          <cell r="Y94" t="str">
            <v>Repalle</v>
          </cell>
          <cell r="Z94">
            <v>12</v>
          </cell>
          <cell r="AA94">
            <v>0.2</v>
          </cell>
        </row>
        <row r="95">
          <cell r="A95">
            <v>91</v>
          </cell>
          <cell r="B95" t="str">
            <v>Kolaganivaripalem</v>
          </cell>
          <cell r="C95" t="str">
            <v>Angirekulavaripalem</v>
          </cell>
          <cell r="D95" t="str">
            <v>Nagaram</v>
          </cell>
          <cell r="E95" t="str">
            <v>Local</v>
          </cell>
          <cell r="F95">
            <v>2</v>
          </cell>
          <cell r="G95" t="str">
            <v>Zoolapalem</v>
          </cell>
          <cell r="H95">
            <v>24</v>
          </cell>
          <cell r="I95" t="str">
            <v>Lam</v>
          </cell>
          <cell r="J95">
            <v>70</v>
          </cell>
          <cell r="K95" t="str">
            <v>Kolluru</v>
          </cell>
          <cell r="L95">
            <v>26</v>
          </cell>
          <cell r="M95" t="str">
            <v>Vejandla</v>
          </cell>
          <cell r="N95">
            <v>52</v>
          </cell>
          <cell r="O95" t="str">
            <v>Vejandla</v>
          </cell>
          <cell r="P95">
            <v>52</v>
          </cell>
          <cell r="Q95" t="str">
            <v>Repalle</v>
          </cell>
          <cell r="R95">
            <v>11</v>
          </cell>
          <cell r="S95" t="str">
            <v>I.B patnam</v>
          </cell>
          <cell r="T95">
            <v>85</v>
          </cell>
          <cell r="Y95" t="str">
            <v>Repalle</v>
          </cell>
          <cell r="Z95">
            <v>11</v>
          </cell>
          <cell r="AA95">
            <v>0.2</v>
          </cell>
        </row>
        <row r="96">
          <cell r="A96">
            <v>92</v>
          </cell>
          <cell r="B96" t="str">
            <v>Kattava</v>
          </cell>
          <cell r="C96" t="str">
            <v>Appapuram</v>
          </cell>
          <cell r="D96" t="str">
            <v>Nagaram</v>
          </cell>
          <cell r="E96" t="str">
            <v>Local</v>
          </cell>
          <cell r="F96">
            <v>2</v>
          </cell>
          <cell r="G96" t="str">
            <v>Zoolapalem</v>
          </cell>
          <cell r="H96">
            <v>37</v>
          </cell>
          <cell r="I96" t="str">
            <v>Lam</v>
          </cell>
          <cell r="J96">
            <v>80</v>
          </cell>
          <cell r="K96" t="str">
            <v>Kolluru</v>
          </cell>
          <cell r="L96">
            <v>39</v>
          </cell>
          <cell r="M96" t="str">
            <v>Vejandla</v>
          </cell>
          <cell r="N96">
            <v>61</v>
          </cell>
          <cell r="O96" t="str">
            <v>Vejandla</v>
          </cell>
          <cell r="P96">
            <v>61</v>
          </cell>
          <cell r="Q96" t="str">
            <v>Repalle</v>
          </cell>
          <cell r="R96">
            <v>13</v>
          </cell>
          <cell r="S96" t="str">
            <v>I.B patnam</v>
          </cell>
          <cell r="T96">
            <v>85</v>
          </cell>
          <cell r="Y96" t="str">
            <v>Repalle</v>
          </cell>
          <cell r="Z96">
            <v>13</v>
          </cell>
          <cell r="AA96">
            <v>0</v>
          </cell>
        </row>
        <row r="97">
          <cell r="A97">
            <v>93</v>
          </cell>
          <cell r="B97" t="str">
            <v>Pudiwada</v>
          </cell>
          <cell r="C97" t="str">
            <v>Baduguvaripalem</v>
          </cell>
          <cell r="D97" t="str">
            <v>Nagaram</v>
          </cell>
          <cell r="E97" t="str">
            <v>Local</v>
          </cell>
          <cell r="F97">
            <v>2</v>
          </cell>
          <cell r="G97" t="str">
            <v>Zoolapalem</v>
          </cell>
          <cell r="H97">
            <v>33</v>
          </cell>
          <cell r="I97" t="str">
            <v>Lam</v>
          </cell>
          <cell r="J97">
            <v>66</v>
          </cell>
          <cell r="K97" t="str">
            <v>Kolluru</v>
          </cell>
          <cell r="L97">
            <v>34</v>
          </cell>
          <cell r="M97" t="str">
            <v>Vejandla</v>
          </cell>
          <cell r="N97">
            <v>44</v>
          </cell>
          <cell r="O97" t="str">
            <v>Vejandla</v>
          </cell>
          <cell r="P97">
            <v>44</v>
          </cell>
          <cell r="Q97" t="str">
            <v>Repalle</v>
          </cell>
          <cell r="R97">
            <v>18</v>
          </cell>
          <cell r="S97" t="str">
            <v>I.B patnam</v>
          </cell>
          <cell r="T97">
            <v>85</v>
          </cell>
          <cell r="Y97" t="str">
            <v>Repalle</v>
          </cell>
          <cell r="Z97">
            <v>18</v>
          </cell>
          <cell r="AA97">
            <v>0</v>
          </cell>
        </row>
        <row r="98">
          <cell r="A98">
            <v>94</v>
          </cell>
          <cell r="B98" t="str">
            <v>Bellamvaripalem</v>
          </cell>
          <cell r="C98" t="str">
            <v>Bellamvaripalem</v>
          </cell>
          <cell r="D98" t="str">
            <v>Nagaram</v>
          </cell>
          <cell r="E98" t="str">
            <v>Local</v>
          </cell>
          <cell r="F98">
            <v>2</v>
          </cell>
          <cell r="G98" t="str">
            <v>Zoolapalem</v>
          </cell>
          <cell r="H98">
            <v>30</v>
          </cell>
          <cell r="I98" t="str">
            <v>Lam</v>
          </cell>
          <cell r="J98">
            <v>71</v>
          </cell>
          <cell r="K98" t="str">
            <v>Kolluru</v>
          </cell>
          <cell r="L98">
            <v>36</v>
          </cell>
          <cell r="M98" t="str">
            <v>Vejandla</v>
          </cell>
          <cell r="N98">
            <v>50</v>
          </cell>
          <cell r="O98" t="str">
            <v>Vejandla</v>
          </cell>
          <cell r="P98">
            <v>50</v>
          </cell>
          <cell r="Q98" t="str">
            <v>Repalle</v>
          </cell>
          <cell r="R98">
            <v>12</v>
          </cell>
          <cell r="S98" t="str">
            <v>I.B patnam</v>
          </cell>
          <cell r="T98">
            <v>85</v>
          </cell>
          <cell r="Y98" t="str">
            <v>Repalle</v>
          </cell>
          <cell r="Z98">
            <v>12</v>
          </cell>
          <cell r="AA98">
            <v>0.2</v>
          </cell>
        </row>
        <row r="99">
          <cell r="A99">
            <v>95</v>
          </cell>
          <cell r="B99" t="str">
            <v>Eletipalem</v>
          </cell>
          <cell r="C99" t="str">
            <v>Bhattuvaripalem</v>
          </cell>
          <cell r="D99" t="str">
            <v>Nagaram</v>
          </cell>
          <cell r="E99" t="str">
            <v>Local</v>
          </cell>
          <cell r="F99">
            <v>2</v>
          </cell>
          <cell r="G99" t="str">
            <v>Zoolapalem</v>
          </cell>
          <cell r="H99">
            <v>30</v>
          </cell>
          <cell r="I99" t="str">
            <v>Lam</v>
          </cell>
          <cell r="J99">
            <v>71</v>
          </cell>
          <cell r="K99" t="str">
            <v>Kolluru</v>
          </cell>
          <cell r="L99">
            <v>36</v>
          </cell>
          <cell r="M99" t="str">
            <v>Vejandla</v>
          </cell>
          <cell r="N99">
            <v>50</v>
          </cell>
          <cell r="O99" t="str">
            <v>Vejandla</v>
          </cell>
          <cell r="P99">
            <v>50</v>
          </cell>
          <cell r="Q99" t="str">
            <v>Repalle</v>
          </cell>
          <cell r="R99">
            <v>12</v>
          </cell>
          <cell r="S99" t="str">
            <v>I.B patnam</v>
          </cell>
          <cell r="T99">
            <v>85</v>
          </cell>
          <cell r="Y99" t="str">
            <v>Repalle</v>
          </cell>
          <cell r="Z99">
            <v>12</v>
          </cell>
          <cell r="AA99">
            <v>0.2</v>
          </cell>
        </row>
        <row r="100">
          <cell r="A100">
            <v>96</v>
          </cell>
          <cell r="B100" t="str">
            <v>Mantripalem</v>
          </cell>
          <cell r="C100" t="str">
            <v>Bodduvaripalem</v>
          </cell>
          <cell r="D100" t="str">
            <v>Nagaram</v>
          </cell>
          <cell r="E100" t="str">
            <v>Local</v>
          </cell>
          <cell r="F100">
            <v>2</v>
          </cell>
          <cell r="G100" t="str">
            <v>Zoolapalem</v>
          </cell>
          <cell r="H100">
            <v>33</v>
          </cell>
          <cell r="I100" t="str">
            <v>Lam</v>
          </cell>
          <cell r="J100">
            <v>78</v>
          </cell>
          <cell r="K100" t="str">
            <v>Kolluru</v>
          </cell>
          <cell r="L100">
            <v>37</v>
          </cell>
          <cell r="M100" t="str">
            <v>Vejandla</v>
          </cell>
          <cell r="N100">
            <v>59</v>
          </cell>
          <cell r="O100" t="str">
            <v>Vejandla</v>
          </cell>
          <cell r="P100">
            <v>59</v>
          </cell>
          <cell r="Q100" t="str">
            <v>Repalle</v>
          </cell>
          <cell r="R100">
            <v>11</v>
          </cell>
          <cell r="S100" t="str">
            <v>I.B patnam</v>
          </cell>
          <cell r="T100">
            <v>85</v>
          </cell>
          <cell r="Y100" t="str">
            <v>Repalle</v>
          </cell>
          <cell r="Z100">
            <v>11</v>
          </cell>
          <cell r="AA100">
            <v>0.2</v>
          </cell>
        </row>
        <row r="101">
          <cell r="A101">
            <v>97</v>
          </cell>
          <cell r="B101" t="str">
            <v>Borumamidipalli</v>
          </cell>
          <cell r="C101" t="str">
            <v>Boramadigapalli</v>
          </cell>
          <cell r="D101" t="str">
            <v>Nagaram</v>
          </cell>
          <cell r="E101" t="str">
            <v>Local</v>
          </cell>
          <cell r="F101">
            <v>2</v>
          </cell>
          <cell r="G101" t="str">
            <v>Zoolapalem</v>
          </cell>
          <cell r="H101">
            <v>30</v>
          </cell>
          <cell r="I101" t="str">
            <v>Lam</v>
          </cell>
          <cell r="J101">
            <v>71</v>
          </cell>
          <cell r="K101" t="str">
            <v>Kolluru</v>
          </cell>
          <cell r="L101">
            <v>36</v>
          </cell>
          <cell r="M101" t="str">
            <v>Vejandla</v>
          </cell>
          <cell r="N101">
            <v>50</v>
          </cell>
          <cell r="O101" t="str">
            <v>Vejandla</v>
          </cell>
          <cell r="P101">
            <v>50</v>
          </cell>
          <cell r="Q101" t="str">
            <v>Repalle</v>
          </cell>
          <cell r="R101">
            <v>12</v>
          </cell>
          <cell r="S101" t="str">
            <v>I.B patnam</v>
          </cell>
          <cell r="T101">
            <v>85</v>
          </cell>
          <cell r="Y101" t="str">
            <v>Repalle</v>
          </cell>
          <cell r="Z101">
            <v>12</v>
          </cell>
          <cell r="AA101">
            <v>0.2</v>
          </cell>
        </row>
        <row r="102">
          <cell r="A102">
            <v>98</v>
          </cell>
          <cell r="B102" t="str">
            <v>Addankivaripalem</v>
          </cell>
          <cell r="C102" t="str">
            <v>Borravaripalem</v>
          </cell>
          <cell r="D102" t="str">
            <v>Nagaram</v>
          </cell>
          <cell r="E102" t="str">
            <v>Local</v>
          </cell>
          <cell r="F102">
            <v>2</v>
          </cell>
          <cell r="G102" t="str">
            <v>Zoolapalem</v>
          </cell>
          <cell r="H102">
            <v>26</v>
          </cell>
          <cell r="I102" t="str">
            <v>Lam</v>
          </cell>
          <cell r="J102">
            <v>64</v>
          </cell>
          <cell r="K102" t="str">
            <v>Kolluru</v>
          </cell>
          <cell r="L102">
            <v>30</v>
          </cell>
          <cell r="M102" t="str">
            <v>Vejandla</v>
          </cell>
          <cell r="N102">
            <v>44</v>
          </cell>
          <cell r="O102" t="str">
            <v>Vejandla</v>
          </cell>
          <cell r="P102">
            <v>44</v>
          </cell>
          <cell r="Q102" t="str">
            <v>Repalle</v>
          </cell>
          <cell r="R102">
            <v>19</v>
          </cell>
          <cell r="S102" t="str">
            <v>I.B patnam</v>
          </cell>
          <cell r="T102">
            <v>85</v>
          </cell>
          <cell r="Y102" t="str">
            <v>Repalle</v>
          </cell>
          <cell r="Z102">
            <v>19</v>
          </cell>
          <cell r="AA102">
            <v>0</v>
          </cell>
        </row>
        <row r="103">
          <cell r="A103">
            <v>99</v>
          </cell>
          <cell r="B103" t="str">
            <v>Chinamatlapudi</v>
          </cell>
          <cell r="C103" t="str">
            <v>Brahmanapalem</v>
          </cell>
          <cell r="D103" t="str">
            <v>Nagaram</v>
          </cell>
          <cell r="E103" t="str">
            <v>Local</v>
          </cell>
          <cell r="F103">
            <v>1</v>
          </cell>
          <cell r="G103" t="str">
            <v>Zoolapalem</v>
          </cell>
          <cell r="H103">
            <v>32</v>
          </cell>
          <cell r="I103" t="str">
            <v>Lam</v>
          </cell>
          <cell r="J103">
            <v>67</v>
          </cell>
          <cell r="K103" t="str">
            <v>Kolluru</v>
          </cell>
          <cell r="L103">
            <v>38</v>
          </cell>
          <cell r="M103" t="str">
            <v>Vejandla</v>
          </cell>
          <cell r="N103">
            <v>44</v>
          </cell>
          <cell r="O103" t="str">
            <v>Vejandla</v>
          </cell>
          <cell r="P103">
            <v>44</v>
          </cell>
          <cell r="Q103" t="str">
            <v>Repalle</v>
          </cell>
          <cell r="R103">
            <v>25</v>
          </cell>
          <cell r="S103" t="str">
            <v>I.B patnam</v>
          </cell>
          <cell r="T103">
            <v>85</v>
          </cell>
          <cell r="Y103" t="str">
            <v>Repalle</v>
          </cell>
          <cell r="Z103">
            <v>25</v>
          </cell>
          <cell r="AA103">
            <v>0</v>
          </cell>
        </row>
        <row r="104">
          <cell r="A104">
            <v>100</v>
          </cell>
          <cell r="B104" t="str">
            <v>Bellamvaripalem</v>
          </cell>
          <cell r="C104" t="str">
            <v>Chalamma Agraharam</v>
          </cell>
          <cell r="D104" t="str">
            <v>Nagaram</v>
          </cell>
          <cell r="E104" t="str">
            <v>Local</v>
          </cell>
          <cell r="F104">
            <v>0.5</v>
          </cell>
          <cell r="G104" t="str">
            <v>Zoolapalem</v>
          </cell>
          <cell r="H104">
            <v>32</v>
          </cell>
          <cell r="I104" t="str">
            <v>Lam</v>
          </cell>
          <cell r="J104">
            <v>73</v>
          </cell>
          <cell r="K104" t="str">
            <v>Kolluru</v>
          </cell>
          <cell r="L104">
            <v>38</v>
          </cell>
          <cell r="M104" t="str">
            <v>Vejandla</v>
          </cell>
          <cell r="N104">
            <v>52</v>
          </cell>
          <cell r="O104" t="str">
            <v>Vejandla</v>
          </cell>
          <cell r="P104">
            <v>52</v>
          </cell>
          <cell r="Q104" t="str">
            <v>Repalle</v>
          </cell>
          <cell r="R104">
            <v>14</v>
          </cell>
          <cell r="S104" t="str">
            <v>I.B patnam</v>
          </cell>
          <cell r="T104">
            <v>85</v>
          </cell>
          <cell r="Y104" t="str">
            <v>Repalle</v>
          </cell>
          <cell r="Z104">
            <v>14</v>
          </cell>
          <cell r="AA104">
            <v>0.2</v>
          </cell>
        </row>
        <row r="105">
          <cell r="A105">
            <v>101</v>
          </cell>
          <cell r="B105" t="str">
            <v>Chinamatlapudi</v>
          </cell>
          <cell r="C105" t="str">
            <v>Chinamatlapudi</v>
          </cell>
          <cell r="D105" t="str">
            <v>Nagaram</v>
          </cell>
          <cell r="E105" t="str">
            <v>Local</v>
          </cell>
          <cell r="F105">
            <v>1</v>
          </cell>
          <cell r="G105" t="str">
            <v>Zoolapalem</v>
          </cell>
          <cell r="H105">
            <v>32</v>
          </cell>
          <cell r="I105" t="str">
            <v>Lam</v>
          </cell>
          <cell r="J105">
            <v>67</v>
          </cell>
          <cell r="K105" t="str">
            <v>Kolluru</v>
          </cell>
          <cell r="L105">
            <v>38</v>
          </cell>
          <cell r="M105" t="str">
            <v>Vejandla</v>
          </cell>
          <cell r="N105">
            <v>44</v>
          </cell>
          <cell r="O105" t="str">
            <v>Vejandla</v>
          </cell>
          <cell r="P105">
            <v>44</v>
          </cell>
          <cell r="Q105" t="str">
            <v>Repalle</v>
          </cell>
          <cell r="R105">
            <v>25</v>
          </cell>
          <cell r="S105" t="str">
            <v>I.B patnam</v>
          </cell>
          <cell r="T105">
            <v>85</v>
          </cell>
          <cell r="Y105" t="str">
            <v>Repalle</v>
          </cell>
          <cell r="Z105">
            <v>25</v>
          </cell>
          <cell r="AA105">
            <v>0</v>
          </cell>
        </row>
        <row r="106">
          <cell r="A106">
            <v>102</v>
          </cell>
          <cell r="B106" t="str">
            <v>Chirakalavaripalem</v>
          </cell>
          <cell r="C106" t="str">
            <v>Chirakalavaripalem</v>
          </cell>
          <cell r="D106" t="str">
            <v>Nagaram</v>
          </cell>
          <cell r="E106" t="str">
            <v>Local</v>
          </cell>
          <cell r="F106">
            <v>2</v>
          </cell>
          <cell r="G106" t="str">
            <v>Zoolapalem</v>
          </cell>
          <cell r="H106">
            <v>28</v>
          </cell>
          <cell r="I106" t="str">
            <v>Lam</v>
          </cell>
          <cell r="J106">
            <v>74</v>
          </cell>
          <cell r="K106" t="str">
            <v>Kolluru</v>
          </cell>
          <cell r="L106">
            <v>33</v>
          </cell>
          <cell r="M106" t="str">
            <v>Vejandla</v>
          </cell>
          <cell r="N106">
            <v>57</v>
          </cell>
          <cell r="O106" t="str">
            <v>Vejandla</v>
          </cell>
          <cell r="P106">
            <v>57</v>
          </cell>
          <cell r="Q106" t="str">
            <v>Repalle</v>
          </cell>
          <cell r="R106">
            <v>9</v>
          </cell>
          <cell r="S106" t="str">
            <v>I.B patnam</v>
          </cell>
          <cell r="T106">
            <v>85</v>
          </cell>
          <cell r="Y106" t="str">
            <v>Repalle</v>
          </cell>
          <cell r="Z106">
            <v>9</v>
          </cell>
          <cell r="AA106">
            <v>0.2</v>
          </cell>
        </row>
        <row r="107">
          <cell r="A107">
            <v>103</v>
          </cell>
          <cell r="B107" t="str">
            <v>Edupalli</v>
          </cell>
          <cell r="C107" t="str">
            <v>Dasaripalem</v>
          </cell>
          <cell r="D107" t="str">
            <v>Nagaram</v>
          </cell>
          <cell r="E107" t="str">
            <v>Local</v>
          </cell>
          <cell r="F107">
            <v>2</v>
          </cell>
          <cell r="G107" t="str">
            <v>Zoolapalem</v>
          </cell>
          <cell r="H107">
            <v>37</v>
          </cell>
          <cell r="I107" t="str">
            <v>Lam</v>
          </cell>
          <cell r="J107">
            <v>75</v>
          </cell>
          <cell r="K107" t="str">
            <v>Kolluru</v>
          </cell>
          <cell r="L107">
            <v>45</v>
          </cell>
          <cell r="M107" t="str">
            <v>Vejandla</v>
          </cell>
          <cell r="N107">
            <v>55</v>
          </cell>
          <cell r="O107" t="str">
            <v>Vejandla</v>
          </cell>
          <cell r="P107">
            <v>55</v>
          </cell>
          <cell r="Q107" t="str">
            <v>Repalle</v>
          </cell>
          <cell r="R107">
            <v>20</v>
          </cell>
          <cell r="S107" t="str">
            <v>I.B patnam</v>
          </cell>
          <cell r="T107">
            <v>85</v>
          </cell>
          <cell r="Y107" t="str">
            <v>Repalle</v>
          </cell>
          <cell r="Z107">
            <v>20</v>
          </cell>
          <cell r="AA107">
            <v>0</v>
          </cell>
        </row>
        <row r="108">
          <cell r="A108">
            <v>104</v>
          </cell>
          <cell r="B108" t="str">
            <v>Mantripalem</v>
          </cell>
          <cell r="C108" t="str">
            <v>Dasullapalem</v>
          </cell>
          <cell r="D108" t="str">
            <v>Nagaram</v>
          </cell>
          <cell r="E108" t="str">
            <v>Local</v>
          </cell>
          <cell r="F108">
            <v>3</v>
          </cell>
          <cell r="G108" t="str">
            <v>Zoolapalem</v>
          </cell>
          <cell r="H108">
            <v>36</v>
          </cell>
          <cell r="I108" t="str">
            <v>Lam</v>
          </cell>
          <cell r="J108">
            <v>79</v>
          </cell>
          <cell r="K108" t="str">
            <v>Kolluru</v>
          </cell>
          <cell r="L108">
            <v>38</v>
          </cell>
          <cell r="M108" t="str">
            <v>Vejandla</v>
          </cell>
          <cell r="N108">
            <v>60</v>
          </cell>
          <cell r="O108" t="str">
            <v>Vejandla</v>
          </cell>
          <cell r="P108">
            <v>60</v>
          </cell>
          <cell r="Q108" t="str">
            <v>Repalle</v>
          </cell>
          <cell r="R108">
            <v>12</v>
          </cell>
          <cell r="S108" t="str">
            <v>I.B patnam</v>
          </cell>
          <cell r="T108">
            <v>85</v>
          </cell>
          <cell r="Y108" t="str">
            <v>Repalle</v>
          </cell>
          <cell r="Z108">
            <v>12</v>
          </cell>
          <cell r="AA108">
            <v>0.2</v>
          </cell>
        </row>
        <row r="109">
          <cell r="A109">
            <v>105</v>
          </cell>
          <cell r="B109" t="str">
            <v>Pedapalli</v>
          </cell>
          <cell r="C109" t="str">
            <v>Devarakondavaripalem</v>
          </cell>
          <cell r="D109" t="str">
            <v>Nagaram</v>
          </cell>
          <cell r="E109" t="str">
            <v>Local</v>
          </cell>
          <cell r="F109">
            <v>2</v>
          </cell>
          <cell r="G109" t="str">
            <v>Zoolapalem</v>
          </cell>
          <cell r="H109">
            <v>33</v>
          </cell>
          <cell r="I109" t="str">
            <v>Lam</v>
          </cell>
          <cell r="J109">
            <v>64</v>
          </cell>
          <cell r="K109" t="str">
            <v>Kolluru</v>
          </cell>
          <cell r="L109">
            <v>38</v>
          </cell>
          <cell r="M109" t="str">
            <v>Vejandla</v>
          </cell>
          <cell r="N109">
            <v>53</v>
          </cell>
          <cell r="O109" t="str">
            <v>Vejandla</v>
          </cell>
          <cell r="P109">
            <v>53</v>
          </cell>
          <cell r="Q109" t="str">
            <v>Repalle</v>
          </cell>
          <cell r="R109">
            <v>25</v>
          </cell>
          <cell r="S109" t="str">
            <v>I.B patnam</v>
          </cell>
          <cell r="T109">
            <v>85</v>
          </cell>
          <cell r="Y109" t="str">
            <v>Repalle</v>
          </cell>
          <cell r="Z109">
            <v>25</v>
          </cell>
          <cell r="AA109">
            <v>0</v>
          </cell>
        </row>
        <row r="110">
          <cell r="A110">
            <v>106</v>
          </cell>
          <cell r="B110" t="str">
            <v>Dhulipudi</v>
          </cell>
          <cell r="C110" t="str">
            <v>Dhulipudi</v>
          </cell>
          <cell r="D110" t="str">
            <v>Nagaram</v>
          </cell>
          <cell r="E110" t="str">
            <v>Local</v>
          </cell>
          <cell r="F110">
            <v>2</v>
          </cell>
          <cell r="G110" t="str">
            <v>Zoolapalem</v>
          </cell>
          <cell r="H110">
            <v>23</v>
          </cell>
          <cell r="I110" t="str">
            <v>Lam</v>
          </cell>
          <cell r="J110">
            <v>69</v>
          </cell>
          <cell r="K110" t="str">
            <v>Kolluru</v>
          </cell>
          <cell r="L110">
            <v>25</v>
          </cell>
          <cell r="M110" t="str">
            <v>Vejandla</v>
          </cell>
          <cell r="N110">
            <v>53</v>
          </cell>
          <cell r="O110" t="str">
            <v>Vejandla</v>
          </cell>
          <cell r="P110">
            <v>53</v>
          </cell>
          <cell r="Q110" t="str">
            <v>Repalle</v>
          </cell>
          <cell r="R110">
            <v>13</v>
          </cell>
          <cell r="S110" t="str">
            <v>I.B patnam</v>
          </cell>
          <cell r="T110">
            <v>85</v>
          </cell>
          <cell r="Y110" t="str">
            <v>Repalle</v>
          </cell>
          <cell r="Z110">
            <v>13</v>
          </cell>
          <cell r="AA110">
            <v>0.2</v>
          </cell>
        </row>
        <row r="111">
          <cell r="A111">
            <v>107</v>
          </cell>
          <cell r="B111" t="str">
            <v>Edupalli</v>
          </cell>
          <cell r="C111" t="str">
            <v>Edupalli</v>
          </cell>
          <cell r="D111" t="str">
            <v>Nagaram</v>
          </cell>
          <cell r="E111" t="str">
            <v>Local</v>
          </cell>
          <cell r="F111">
            <v>2</v>
          </cell>
          <cell r="G111" t="str">
            <v>Zoolapalem</v>
          </cell>
          <cell r="H111">
            <v>33</v>
          </cell>
          <cell r="I111" t="str">
            <v>Lam</v>
          </cell>
          <cell r="J111">
            <v>71</v>
          </cell>
          <cell r="K111" t="str">
            <v>Kolluru</v>
          </cell>
          <cell r="L111">
            <v>41</v>
          </cell>
          <cell r="M111" t="str">
            <v>Vejandla</v>
          </cell>
          <cell r="N111">
            <v>51</v>
          </cell>
          <cell r="O111" t="str">
            <v>Vejandla</v>
          </cell>
          <cell r="P111">
            <v>51</v>
          </cell>
          <cell r="Q111" t="str">
            <v>Repalle</v>
          </cell>
          <cell r="R111">
            <v>18</v>
          </cell>
          <cell r="S111" t="str">
            <v>I.B patnam</v>
          </cell>
          <cell r="T111">
            <v>85</v>
          </cell>
          <cell r="Y111" t="str">
            <v>Repalle</v>
          </cell>
          <cell r="Z111">
            <v>18</v>
          </cell>
          <cell r="AA111">
            <v>0</v>
          </cell>
        </row>
        <row r="112">
          <cell r="A112">
            <v>108</v>
          </cell>
          <cell r="B112" t="str">
            <v>Eletipalem</v>
          </cell>
          <cell r="C112" t="str">
            <v>Eletipalem</v>
          </cell>
          <cell r="D112" t="str">
            <v>Nagaram</v>
          </cell>
          <cell r="E112" t="str">
            <v>Local</v>
          </cell>
          <cell r="F112">
            <v>1</v>
          </cell>
          <cell r="G112" t="str">
            <v>Zoolapalem</v>
          </cell>
          <cell r="H112">
            <v>28</v>
          </cell>
          <cell r="I112" t="str">
            <v>Lam</v>
          </cell>
          <cell r="J112">
            <v>73</v>
          </cell>
          <cell r="K112" t="str">
            <v>Kolluru</v>
          </cell>
          <cell r="L112">
            <v>34</v>
          </cell>
          <cell r="M112" t="str">
            <v>Vejandla</v>
          </cell>
          <cell r="N112">
            <v>53</v>
          </cell>
          <cell r="O112" t="str">
            <v>Vejandla</v>
          </cell>
          <cell r="P112">
            <v>53</v>
          </cell>
          <cell r="Q112" t="str">
            <v>Repalle</v>
          </cell>
          <cell r="R112">
            <v>10</v>
          </cell>
          <cell r="S112" t="str">
            <v>I.B patnam</v>
          </cell>
          <cell r="T112">
            <v>85</v>
          </cell>
          <cell r="Y112" t="str">
            <v>Repalle</v>
          </cell>
          <cell r="Z112">
            <v>10</v>
          </cell>
          <cell r="AA112">
            <v>0.2</v>
          </cell>
        </row>
        <row r="113">
          <cell r="A113">
            <v>109</v>
          </cell>
          <cell r="B113" t="str">
            <v>Chinamatlapudi</v>
          </cell>
          <cell r="C113" t="str">
            <v>Fakiravaripalem</v>
          </cell>
          <cell r="D113" t="str">
            <v>Nagaram</v>
          </cell>
          <cell r="E113" t="str">
            <v>Local</v>
          </cell>
          <cell r="F113">
            <v>1</v>
          </cell>
          <cell r="G113" t="str">
            <v>Zoolapalem</v>
          </cell>
          <cell r="H113">
            <v>32</v>
          </cell>
          <cell r="I113" t="str">
            <v>Lam</v>
          </cell>
          <cell r="J113">
            <v>67</v>
          </cell>
          <cell r="K113" t="str">
            <v>Kolluru</v>
          </cell>
          <cell r="L113">
            <v>38</v>
          </cell>
          <cell r="M113" t="str">
            <v>Vejandla</v>
          </cell>
          <cell r="N113">
            <v>44</v>
          </cell>
          <cell r="O113" t="str">
            <v>Vejandla</v>
          </cell>
          <cell r="P113">
            <v>44</v>
          </cell>
          <cell r="Q113" t="str">
            <v>Repalle</v>
          </cell>
          <cell r="R113">
            <v>25</v>
          </cell>
          <cell r="S113" t="str">
            <v>I.B patnam</v>
          </cell>
          <cell r="T113">
            <v>85</v>
          </cell>
          <cell r="Y113" t="str">
            <v>Repalle</v>
          </cell>
          <cell r="Z113">
            <v>25</v>
          </cell>
          <cell r="AA113">
            <v>0</v>
          </cell>
        </row>
        <row r="114">
          <cell r="A114">
            <v>110</v>
          </cell>
          <cell r="B114" t="str">
            <v>Pedapalli</v>
          </cell>
          <cell r="C114" t="str">
            <v>Gattuvaripalem</v>
          </cell>
          <cell r="D114" t="str">
            <v>Nagaram</v>
          </cell>
          <cell r="E114" t="str">
            <v>Local</v>
          </cell>
          <cell r="F114">
            <v>2</v>
          </cell>
          <cell r="G114" t="str">
            <v>Zoolapalem</v>
          </cell>
          <cell r="H114">
            <v>39</v>
          </cell>
          <cell r="I114" t="str">
            <v>Lam</v>
          </cell>
          <cell r="J114">
            <v>62</v>
          </cell>
          <cell r="K114" t="str">
            <v>Kolluru</v>
          </cell>
          <cell r="L114">
            <v>44</v>
          </cell>
          <cell r="M114" t="str">
            <v>Vejandla</v>
          </cell>
          <cell r="N114">
            <v>51</v>
          </cell>
          <cell r="O114" t="str">
            <v>Vejandla</v>
          </cell>
          <cell r="P114">
            <v>51</v>
          </cell>
          <cell r="Q114" t="str">
            <v>Repalle</v>
          </cell>
          <cell r="R114">
            <v>31</v>
          </cell>
          <cell r="S114" t="str">
            <v>I.B patnam</v>
          </cell>
          <cell r="T114">
            <v>85</v>
          </cell>
          <cell r="Y114" t="str">
            <v>Repalle</v>
          </cell>
          <cell r="Z114">
            <v>31</v>
          </cell>
          <cell r="AA114">
            <v>0</v>
          </cell>
        </row>
        <row r="115">
          <cell r="A115">
            <v>111</v>
          </cell>
          <cell r="B115" t="str">
            <v>Siripudi</v>
          </cell>
          <cell r="C115" t="str">
            <v>Gavallapalem</v>
          </cell>
          <cell r="D115" t="str">
            <v>Nagaram</v>
          </cell>
          <cell r="E115" t="str">
            <v>Local</v>
          </cell>
          <cell r="F115">
            <v>1</v>
          </cell>
          <cell r="G115" t="str">
            <v>Zoolapalem</v>
          </cell>
          <cell r="H115">
            <v>29</v>
          </cell>
          <cell r="I115" t="str">
            <v>Lam</v>
          </cell>
          <cell r="J115">
            <v>60</v>
          </cell>
          <cell r="K115" t="str">
            <v>Kolluru</v>
          </cell>
          <cell r="L115">
            <v>35</v>
          </cell>
          <cell r="M115" t="str">
            <v>Vejandla</v>
          </cell>
          <cell r="N115">
            <v>44</v>
          </cell>
          <cell r="O115" t="str">
            <v>Vejandla</v>
          </cell>
          <cell r="P115">
            <v>44</v>
          </cell>
          <cell r="Q115" t="str">
            <v>Repalle</v>
          </cell>
          <cell r="R115">
            <v>22</v>
          </cell>
          <cell r="S115" t="str">
            <v>I.B patnam</v>
          </cell>
          <cell r="T115">
            <v>85</v>
          </cell>
          <cell r="Y115" t="str">
            <v>Repalle</v>
          </cell>
          <cell r="Z115">
            <v>22</v>
          </cell>
          <cell r="AA115">
            <v>0</v>
          </cell>
        </row>
        <row r="116">
          <cell r="A116">
            <v>112</v>
          </cell>
          <cell r="B116" t="str">
            <v>Bellamvaripalem</v>
          </cell>
          <cell r="C116" t="str">
            <v>Ghalivaripalem</v>
          </cell>
          <cell r="D116" t="str">
            <v>Nagaram</v>
          </cell>
          <cell r="E116" t="str">
            <v>Local</v>
          </cell>
          <cell r="F116">
            <v>2</v>
          </cell>
          <cell r="G116" t="str">
            <v>Zoolapalem</v>
          </cell>
          <cell r="H116">
            <v>32</v>
          </cell>
          <cell r="I116" t="str">
            <v>Lam</v>
          </cell>
          <cell r="J116">
            <v>69</v>
          </cell>
          <cell r="K116" t="str">
            <v>Kolluru</v>
          </cell>
          <cell r="L116">
            <v>38</v>
          </cell>
          <cell r="M116" t="str">
            <v>Vejandla</v>
          </cell>
          <cell r="N116">
            <v>48</v>
          </cell>
          <cell r="O116" t="str">
            <v>Vejandla</v>
          </cell>
          <cell r="P116">
            <v>48</v>
          </cell>
          <cell r="Q116" t="str">
            <v>Repalle</v>
          </cell>
          <cell r="R116">
            <v>14</v>
          </cell>
          <cell r="S116" t="str">
            <v>I.B patnam</v>
          </cell>
          <cell r="T116">
            <v>85</v>
          </cell>
          <cell r="Y116" t="str">
            <v>Repalle</v>
          </cell>
          <cell r="Z116">
            <v>14</v>
          </cell>
          <cell r="AA116">
            <v>0.2</v>
          </cell>
        </row>
        <row r="117">
          <cell r="A117">
            <v>113</v>
          </cell>
          <cell r="B117" t="str">
            <v>Edupalli</v>
          </cell>
          <cell r="C117" t="str">
            <v>Gollapalem T.V Palem</v>
          </cell>
          <cell r="D117" t="str">
            <v>Nagaram</v>
          </cell>
          <cell r="E117" t="str">
            <v>Local</v>
          </cell>
          <cell r="F117">
            <v>2</v>
          </cell>
          <cell r="G117" t="str">
            <v>Zoolapalem</v>
          </cell>
          <cell r="H117">
            <v>32</v>
          </cell>
          <cell r="I117" t="str">
            <v>Lam</v>
          </cell>
          <cell r="J117">
            <v>70</v>
          </cell>
          <cell r="K117" t="str">
            <v>Kolluru</v>
          </cell>
          <cell r="L117">
            <v>41</v>
          </cell>
          <cell r="M117" t="str">
            <v>Vejandla</v>
          </cell>
          <cell r="N117">
            <v>50</v>
          </cell>
          <cell r="O117" t="str">
            <v>Vejandla</v>
          </cell>
          <cell r="P117">
            <v>50</v>
          </cell>
          <cell r="Q117" t="str">
            <v>Repalle</v>
          </cell>
          <cell r="R117">
            <v>19</v>
          </cell>
          <cell r="S117" t="str">
            <v>I.B patnam</v>
          </cell>
          <cell r="T117">
            <v>85</v>
          </cell>
          <cell r="Y117" t="str">
            <v>Repalle</v>
          </cell>
          <cell r="Z117">
            <v>19</v>
          </cell>
          <cell r="AA117">
            <v>0</v>
          </cell>
        </row>
        <row r="118">
          <cell r="A118">
            <v>114</v>
          </cell>
          <cell r="B118" t="str">
            <v>Pedapalli</v>
          </cell>
          <cell r="C118" t="str">
            <v>Gollapalem (pedapalli)</v>
          </cell>
          <cell r="D118" t="str">
            <v>Nagaram</v>
          </cell>
          <cell r="E118" t="str">
            <v>Local</v>
          </cell>
          <cell r="F118">
            <v>2</v>
          </cell>
          <cell r="G118" t="str">
            <v>Zoolapalem</v>
          </cell>
          <cell r="H118">
            <v>34</v>
          </cell>
          <cell r="I118" t="str">
            <v>Lam</v>
          </cell>
          <cell r="J118">
            <v>77</v>
          </cell>
          <cell r="K118" t="str">
            <v>Kolluru</v>
          </cell>
          <cell r="L118">
            <v>36</v>
          </cell>
          <cell r="M118" t="str">
            <v>Vejandla</v>
          </cell>
          <cell r="N118">
            <v>49</v>
          </cell>
          <cell r="O118" t="str">
            <v>Vejandla</v>
          </cell>
          <cell r="P118">
            <v>49</v>
          </cell>
          <cell r="Q118" t="str">
            <v>Repalle</v>
          </cell>
          <cell r="R118">
            <v>23</v>
          </cell>
          <cell r="S118" t="str">
            <v>I.B patnam</v>
          </cell>
          <cell r="T118">
            <v>85</v>
          </cell>
          <cell r="Y118" t="str">
            <v>Repalle</v>
          </cell>
          <cell r="Z118">
            <v>23</v>
          </cell>
          <cell r="AA118">
            <v>0</v>
          </cell>
        </row>
        <row r="119">
          <cell r="A119">
            <v>115</v>
          </cell>
          <cell r="B119" t="str">
            <v>Pedamatlapudi</v>
          </cell>
          <cell r="C119" t="str">
            <v>Gudapativaripalem</v>
          </cell>
          <cell r="D119" t="str">
            <v>Nagaram</v>
          </cell>
          <cell r="E119" t="str">
            <v>Local</v>
          </cell>
          <cell r="F119">
            <v>2</v>
          </cell>
          <cell r="G119" t="str">
            <v>Zoolapalem</v>
          </cell>
          <cell r="H119">
            <v>35</v>
          </cell>
          <cell r="I119" t="str">
            <v>Lam</v>
          </cell>
          <cell r="J119">
            <v>65</v>
          </cell>
          <cell r="K119" t="str">
            <v>Kolluru</v>
          </cell>
          <cell r="L119">
            <v>38</v>
          </cell>
          <cell r="M119" t="str">
            <v>Vejandla</v>
          </cell>
          <cell r="N119">
            <v>48</v>
          </cell>
          <cell r="O119" t="str">
            <v>Vejandla</v>
          </cell>
          <cell r="P119">
            <v>48</v>
          </cell>
          <cell r="Q119" t="str">
            <v>Repalle</v>
          </cell>
          <cell r="R119">
            <v>21</v>
          </cell>
          <cell r="S119" t="str">
            <v>I.B patnam</v>
          </cell>
          <cell r="T119">
            <v>85</v>
          </cell>
          <cell r="Y119" t="str">
            <v>Repalle</v>
          </cell>
          <cell r="Z119">
            <v>21</v>
          </cell>
          <cell r="AA119">
            <v>0</v>
          </cell>
        </row>
        <row r="120">
          <cell r="A120">
            <v>116</v>
          </cell>
          <cell r="B120" t="str">
            <v>Kattava</v>
          </cell>
          <cell r="C120" t="str">
            <v>Gurunadhapuram</v>
          </cell>
          <cell r="D120" t="str">
            <v>Nagaram</v>
          </cell>
          <cell r="E120" t="str">
            <v>Local</v>
          </cell>
          <cell r="F120">
            <v>2</v>
          </cell>
          <cell r="G120" t="str">
            <v>Zoolapalem</v>
          </cell>
          <cell r="H120">
            <v>37</v>
          </cell>
          <cell r="I120" t="str">
            <v>Lam</v>
          </cell>
          <cell r="J120">
            <v>80</v>
          </cell>
          <cell r="K120" t="str">
            <v>Kolluru</v>
          </cell>
          <cell r="L120">
            <v>39</v>
          </cell>
          <cell r="M120" t="str">
            <v>Vejandla</v>
          </cell>
          <cell r="N120">
            <v>61</v>
          </cell>
          <cell r="O120" t="str">
            <v>Vejandla</v>
          </cell>
          <cell r="P120">
            <v>61</v>
          </cell>
          <cell r="Q120" t="str">
            <v>Repalle</v>
          </cell>
          <cell r="R120">
            <v>14</v>
          </cell>
          <cell r="S120" t="str">
            <v>I.B patnam</v>
          </cell>
          <cell r="T120">
            <v>85</v>
          </cell>
          <cell r="Y120" t="str">
            <v>Repalle</v>
          </cell>
          <cell r="Z120">
            <v>14</v>
          </cell>
          <cell r="AA120">
            <v>0</v>
          </cell>
        </row>
        <row r="121">
          <cell r="A121">
            <v>117</v>
          </cell>
          <cell r="B121" t="str">
            <v>Mantripalem</v>
          </cell>
          <cell r="C121" t="str">
            <v>Hariharanadhapuram</v>
          </cell>
          <cell r="D121" t="str">
            <v>Nagaram</v>
          </cell>
          <cell r="E121" t="str">
            <v>Local</v>
          </cell>
          <cell r="F121">
            <v>5</v>
          </cell>
          <cell r="G121" t="str">
            <v>Zoolapalem</v>
          </cell>
          <cell r="H121">
            <v>29</v>
          </cell>
          <cell r="I121" t="str">
            <v>Lam</v>
          </cell>
          <cell r="J121">
            <v>80</v>
          </cell>
          <cell r="K121" t="str">
            <v>Kolluru</v>
          </cell>
          <cell r="L121">
            <v>39</v>
          </cell>
          <cell r="M121" t="str">
            <v>Vejandla</v>
          </cell>
          <cell r="N121">
            <v>61</v>
          </cell>
          <cell r="O121" t="str">
            <v>Vejandla</v>
          </cell>
          <cell r="P121">
            <v>61</v>
          </cell>
          <cell r="Q121" t="str">
            <v>Repalle</v>
          </cell>
          <cell r="R121">
            <v>7</v>
          </cell>
          <cell r="S121" t="str">
            <v>I.B patnam</v>
          </cell>
          <cell r="T121">
            <v>85</v>
          </cell>
          <cell r="Y121" t="str">
            <v>Repalle</v>
          </cell>
          <cell r="Z121">
            <v>7</v>
          </cell>
          <cell r="AA121">
            <v>0.2</v>
          </cell>
        </row>
        <row r="122">
          <cell r="A122">
            <v>118</v>
          </cell>
          <cell r="B122" t="str">
            <v>Nagaram</v>
          </cell>
          <cell r="C122" t="str">
            <v>Inkolluvaripalem</v>
          </cell>
          <cell r="D122" t="str">
            <v>Nagaram</v>
          </cell>
          <cell r="E122" t="str">
            <v>Local</v>
          </cell>
          <cell r="F122">
            <v>2</v>
          </cell>
          <cell r="G122" t="str">
            <v>Zoolapalem</v>
          </cell>
          <cell r="H122">
            <v>26</v>
          </cell>
          <cell r="I122" t="str">
            <v>Lam</v>
          </cell>
          <cell r="J122">
            <v>67</v>
          </cell>
          <cell r="K122" t="str">
            <v>Kolluru</v>
          </cell>
          <cell r="L122">
            <v>29</v>
          </cell>
          <cell r="M122" t="str">
            <v>Vejandla</v>
          </cell>
          <cell r="N122">
            <v>46</v>
          </cell>
          <cell r="O122" t="str">
            <v>Vejandla</v>
          </cell>
          <cell r="P122">
            <v>46</v>
          </cell>
          <cell r="Q122" t="str">
            <v>Repalle</v>
          </cell>
          <cell r="R122">
            <v>18</v>
          </cell>
          <cell r="S122" t="str">
            <v>I.B patnam</v>
          </cell>
          <cell r="T122">
            <v>85</v>
          </cell>
          <cell r="Y122" t="str">
            <v>Repalle</v>
          </cell>
          <cell r="Z122">
            <v>18</v>
          </cell>
          <cell r="AA122">
            <v>0</v>
          </cell>
        </row>
        <row r="123">
          <cell r="A123">
            <v>119</v>
          </cell>
          <cell r="B123" t="str">
            <v>Bellamvaripalem</v>
          </cell>
          <cell r="C123" t="str">
            <v>Jangamlanka</v>
          </cell>
          <cell r="D123" t="str">
            <v>Nagaram</v>
          </cell>
          <cell r="E123" t="str">
            <v>Local</v>
          </cell>
          <cell r="F123">
            <v>0.5</v>
          </cell>
          <cell r="G123" t="str">
            <v>Zoolapalem</v>
          </cell>
          <cell r="H123">
            <v>31</v>
          </cell>
          <cell r="I123" t="str">
            <v>Lam</v>
          </cell>
          <cell r="J123">
            <v>72</v>
          </cell>
          <cell r="K123" t="str">
            <v>Kolluru</v>
          </cell>
          <cell r="L123">
            <v>37</v>
          </cell>
          <cell r="M123" t="str">
            <v>Vejandla</v>
          </cell>
          <cell r="N123">
            <v>51</v>
          </cell>
          <cell r="O123" t="str">
            <v>Vejandla</v>
          </cell>
          <cell r="P123">
            <v>51</v>
          </cell>
          <cell r="Q123" t="str">
            <v>Repalle</v>
          </cell>
          <cell r="R123">
            <v>13</v>
          </cell>
          <cell r="S123" t="str">
            <v>I.B patnam</v>
          </cell>
          <cell r="T123">
            <v>85</v>
          </cell>
          <cell r="Y123" t="str">
            <v>Repalle</v>
          </cell>
          <cell r="Z123">
            <v>13</v>
          </cell>
          <cell r="AA123">
            <v>0.2</v>
          </cell>
        </row>
        <row r="124">
          <cell r="A124">
            <v>120</v>
          </cell>
          <cell r="B124" t="str">
            <v>Jillepalli</v>
          </cell>
          <cell r="C124" t="str">
            <v>Jillepalli</v>
          </cell>
          <cell r="D124" t="str">
            <v>Nagaram</v>
          </cell>
          <cell r="E124" t="str">
            <v>Local</v>
          </cell>
          <cell r="F124">
            <v>2</v>
          </cell>
          <cell r="G124" t="str">
            <v>Zoolapalem</v>
          </cell>
          <cell r="H124">
            <v>21</v>
          </cell>
          <cell r="I124" t="str">
            <v>Lam</v>
          </cell>
          <cell r="J124">
            <v>67</v>
          </cell>
          <cell r="K124" t="str">
            <v>Kolluru</v>
          </cell>
          <cell r="L124">
            <v>23</v>
          </cell>
          <cell r="M124" t="str">
            <v>Vejandla</v>
          </cell>
          <cell r="N124">
            <v>48</v>
          </cell>
          <cell r="O124" t="str">
            <v>Vejandla</v>
          </cell>
          <cell r="P124">
            <v>48</v>
          </cell>
          <cell r="Q124" t="str">
            <v>Repalle</v>
          </cell>
          <cell r="R124">
            <v>17</v>
          </cell>
          <cell r="S124" t="str">
            <v>I.B patnam</v>
          </cell>
          <cell r="T124">
            <v>85</v>
          </cell>
          <cell r="Y124" t="str">
            <v>Repalle</v>
          </cell>
          <cell r="Z124">
            <v>17</v>
          </cell>
          <cell r="AA124">
            <v>0.2</v>
          </cell>
        </row>
        <row r="125">
          <cell r="A125">
            <v>121</v>
          </cell>
          <cell r="B125" t="str">
            <v>Pedamatlapudi</v>
          </cell>
          <cell r="C125" t="str">
            <v>Kammavaripalem</v>
          </cell>
          <cell r="D125" t="str">
            <v>Nagaram</v>
          </cell>
          <cell r="E125" t="str">
            <v>Local</v>
          </cell>
          <cell r="F125">
            <v>2</v>
          </cell>
          <cell r="G125" t="str">
            <v>Zoolapalem</v>
          </cell>
          <cell r="H125">
            <v>35</v>
          </cell>
          <cell r="I125" t="str">
            <v>Lam</v>
          </cell>
          <cell r="J125">
            <v>64</v>
          </cell>
          <cell r="K125" t="str">
            <v>Kolluru</v>
          </cell>
          <cell r="L125">
            <v>36</v>
          </cell>
          <cell r="M125" t="str">
            <v>Vejandla</v>
          </cell>
          <cell r="N125">
            <v>42</v>
          </cell>
          <cell r="O125" t="str">
            <v>Vejandla</v>
          </cell>
          <cell r="P125">
            <v>42</v>
          </cell>
          <cell r="Q125" t="str">
            <v>Repalle</v>
          </cell>
          <cell r="R125">
            <v>20</v>
          </cell>
          <cell r="S125" t="str">
            <v>I.B patnam</v>
          </cell>
          <cell r="T125">
            <v>85</v>
          </cell>
          <cell r="Y125" t="str">
            <v>Repalle</v>
          </cell>
          <cell r="Z125">
            <v>20</v>
          </cell>
          <cell r="AA125">
            <v>0</v>
          </cell>
        </row>
        <row r="126">
          <cell r="A126">
            <v>122</v>
          </cell>
          <cell r="B126" t="str">
            <v>Addankivaripalem</v>
          </cell>
          <cell r="C126" t="str">
            <v>Kancherlavaripalem</v>
          </cell>
          <cell r="D126" t="str">
            <v>Nagaram</v>
          </cell>
          <cell r="E126" t="str">
            <v>Local</v>
          </cell>
          <cell r="F126">
            <v>2</v>
          </cell>
          <cell r="G126" t="str">
            <v>Zoolapalem</v>
          </cell>
          <cell r="H126">
            <v>24</v>
          </cell>
          <cell r="I126" t="str">
            <v>Lam</v>
          </cell>
          <cell r="J126">
            <v>71</v>
          </cell>
          <cell r="K126" t="str">
            <v>Kolluru</v>
          </cell>
          <cell r="L126">
            <v>28</v>
          </cell>
          <cell r="M126" t="str">
            <v>Vejandla</v>
          </cell>
          <cell r="N126">
            <v>55</v>
          </cell>
          <cell r="O126" t="str">
            <v>Vejandla</v>
          </cell>
          <cell r="P126">
            <v>55</v>
          </cell>
          <cell r="Q126" t="str">
            <v>Repalle</v>
          </cell>
          <cell r="R126">
            <v>18</v>
          </cell>
          <cell r="S126" t="str">
            <v>I.B patnam</v>
          </cell>
          <cell r="T126">
            <v>85</v>
          </cell>
          <cell r="Y126" t="str">
            <v>Repalle</v>
          </cell>
          <cell r="Z126">
            <v>18</v>
          </cell>
          <cell r="AA126">
            <v>0</v>
          </cell>
        </row>
        <row r="127">
          <cell r="A127">
            <v>123</v>
          </cell>
          <cell r="B127" t="str">
            <v>Nagaram</v>
          </cell>
          <cell r="C127" t="str">
            <v>Kapulapalem</v>
          </cell>
          <cell r="D127" t="str">
            <v>Nagaram</v>
          </cell>
          <cell r="E127" t="str">
            <v>Local</v>
          </cell>
          <cell r="F127">
            <v>2</v>
          </cell>
          <cell r="G127" t="str">
            <v>Zoolapalem</v>
          </cell>
          <cell r="H127">
            <v>32</v>
          </cell>
          <cell r="I127" t="str">
            <v>Lam</v>
          </cell>
          <cell r="J127">
            <v>70</v>
          </cell>
          <cell r="K127" t="str">
            <v>Kolluru</v>
          </cell>
          <cell r="L127">
            <v>36</v>
          </cell>
          <cell r="M127" t="str">
            <v>Vejandla</v>
          </cell>
          <cell r="N127">
            <v>50</v>
          </cell>
          <cell r="O127" t="str">
            <v>Vejandla</v>
          </cell>
          <cell r="P127">
            <v>50</v>
          </cell>
          <cell r="Q127" t="str">
            <v>Repalle</v>
          </cell>
          <cell r="R127">
            <v>17</v>
          </cell>
          <cell r="S127" t="str">
            <v>I.B patnam</v>
          </cell>
          <cell r="T127">
            <v>85</v>
          </cell>
          <cell r="Y127" t="str">
            <v>Repalle</v>
          </cell>
          <cell r="Z127">
            <v>17</v>
          </cell>
          <cell r="AA127">
            <v>0.2</v>
          </cell>
        </row>
        <row r="128">
          <cell r="A128">
            <v>124</v>
          </cell>
          <cell r="B128" t="str">
            <v>Karakankivaripalem</v>
          </cell>
          <cell r="C128" t="str">
            <v>Karankivaripalem</v>
          </cell>
          <cell r="D128" t="str">
            <v>Nagaram</v>
          </cell>
          <cell r="E128" t="str">
            <v>Local</v>
          </cell>
          <cell r="F128">
            <v>2</v>
          </cell>
          <cell r="G128" t="str">
            <v>Zoolapalem</v>
          </cell>
          <cell r="H128">
            <v>26</v>
          </cell>
          <cell r="I128" t="str">
            <v>Lam</v>
          </cell>
          <cell r="J128">
            <v>74</v>
          </cell>
          <cell r="K128" t="str">
            <v>Kolluru</v>
          </cell>
          <cell r="L128">
            <v>30</v>
          </cell>
          <cell r="M128" t="str">
            <v>Vejandla</v>
          </cell>
          <cell r="N128">
            <v>55</v>
          </cell>
          <cell r="O128" t="str">
            <v>Vejandla</v>
          </cell>
          <cell r="P128">
            <v>55</v>
          </cell>
          <cell r="Q128" t="str">
            <v>Repalle</v>
          </cell>
          <cell r="R128">
            <v>17</v>
          </cell>
          <cell r="S128" t="str">
            <v>I.B patnam</v>
          </cell>
          <cell r="T128">
            <v>85</v>
          </cell>
          <cell r="Y128" t="str">
            <v>Repalle</v>
          </cell>
          <cell r="Z128">
            <v>17</v>
          </cell>
          <cell r="AA128">
            <v>0.2</v>
          </cell>
        </row>
        <row r="129">
          <cell r="A129">
            <v>125</v>
          </cell>
          <cell r="B129" t="str">
            <v>Kattava</v>
          </cell>
          <cell r="C129" t="str">
            <v>Kattava</v>
          </cell>
          <cell r="D129" t="str">
            <v>Nagaram</v>
          </cell>
          <cell r="E129" t="str">
            <v>Local</v>
          </cell>
          <cell r="F129">
            <v>1</v>
          </cell>
          <cell r="G129" t="str">
            <v>Zoolapalem</v>
          </cell>
          <cell r="H129">
            <v>36</v>
          </cell>
          <cell r="I129" t="str">
            <v>Lam</v>
          </cell>
          <cell r="J129">
            <v>78</v>
          </cell>
          <cell r="K129" t="str">
            <v>Kolluru</v>
          </cell>
          <cell r="L129">
            <v>38</v>
          </cell>
          <cell r="M129" t="str">
            <v>Vejandla</v>
          </cell>
          <cell r="N129">
            <v>58</v>
          </cell>
          <cell r="O129" t="str">
            <v>Vejandla</v>
          </cell>
          <cell r="P129">
            <v>58</v>
          </cell>
          <cell r="Q129" t="str">
            <v>Repalle</v>
          </cell>
          <cell r="R129">
            <v>12</v>
          </cell>
          <cell r="S129" t="str">
            <v>I.B patnam</v>
          </cell>
          <cell r="T129">
            <v>85</v>
          </cell>
          <cell r="Y129" t="str">
            <v>Repalle</v>
          </cell>
          <cell r="Z129">
            <v>12</v>
          </cell>
          <cell r="AA129">
            <v>0.2</v>
          </cell>
        </row>
        <row r="130">
          <cell r="A130">
            <v>126</v>
          </cell>
          <cell r="B130" t="str">
            <v>Chinamatlapudi</v>
          </cell>
          <cell r="C130" t="str">
            <v>Katurivaripalem</v>
          </cell>
          <cell r="D130" t="str">
            <v>Nagaram</v>
          </cell>
          <cell r="E130" t="str">
            <v>Local</v>
          </cell>
          <cell r="F130">
            <v>1</v>
          </cell>
          <cell r="G130" t="str">
            <v>Zoolapalem</v>
          </cell>
          <cell r="H130">
            <v>32</v>
          </cell>
          <cell r="I130" t="str">
            <v>Lam</v>
          </cell>
          <cell r="J130">
            <v>67</v>
          </cell>
          <cell r="K130" t="str">
            <v>Kolluru</v>
          </cell>
          <cell r="L130">
            <v>38</v>
          </cell>
          <cell r="M130" t="str">
            <v>Vejandla</v>
          </cell>
          <cell r="N130">
            <v>44</v>
          </cell>
          <cell r="O130" t="str">
            <v>Vejandla</v>
          </cell>
          <cell r="P130">
            <v>44</v>
          </cell>
          <cell r="Q130" t="str">
            <v>Repalle</v>
          </cell>
          <cell r="R130">
            <v>25</v>
          </cell>
          <cell r="S130" t="str">
            <v>I.B patnam</v>
          </cell>
          <cell r="T130">
            <v>85</v>
          </cell>
          <cell r="Y130" t="str">
            <v>Repalle</v>
          </cell>
          <cell r="Z130">
            <v>25</v>
          </cell>
          <cell r="AA130">
            <v>0</v>
          </cell>
        </row>
        <row r="131">
          <cell r="A131">
            <v>127</v>
          </cell>
          <cell r="B131" t="str">
            <v>Pudiwada</v>
          </cell>
          <cell r="C131" t="str">
            <v>Kesanivaripalem</v>
          </cell>
          <cell r="D131" t="str">
            <v>Nagaram</v>
          </cell>
          <cell r="E131" t="str">
            <v>Local</v>
          </cell>
          <cell r="F131">
            <v>2</v>
          </cell>
          <cell r="G131" t="str">
            <v>Zoolapalem</v>
          </cell>
          <cell r="H131">
            <v>33</v>
          </cell>
          <cell r="I131" t="str">
            <v>Lam</v>
          </cell>
          <cell r="J131">
            <v>66</v>
          </cell>
          <cell r="K131" t="str">
            <v>Kolluru</v>
          </cell>
          <cell r="L131">
            <v>34</v>
          </cell>
          <cell r="M131" t="str">
            <v>Vejandla</v>
          </cell>
          <cell r="N131">
            <v>44</v>
          </cell>
          <cell r="O131" t="str">
            <v>Vejandla</v>
          </cell>
          <cell r="P131">
            <v>44</v>
          </cell>
          <cell r="Q131" t="str">
            <v>Repalle</v>
          </cell>
          <cell r="R131">
            <v>18</v>
          </cell>
          <cell r="S131" t="str">
            <v>I.B patnam</v>
          </cell>
          <cell r="T131">
            <v>85</v>
          </cell>
          <cell r="Y131" t="str">
            <v>Repalle</v>
          </cell>
          <cell r="Z131">
            <v>18</v>
          </cell>
          <cell r="AA131">
            <v>0</v>
          </cell>
        </row>
        <row r="132">
          <cell r="A132">
            <v>128</v>
          </cell>
          <cell r="B132" t="str">
            <v>Kolaganivaripalem</v>
          </cell>
          <cell r="C132" t="str">
            <v>Kolaganivaripalem</v>
          </cell>
          <cell r="D132" t="str">
            <v>Nagaram</v>
          </cell>
          <cell r="E132" t="str">
            <v>Local</v>
          </cell>
          <cell r="F132">
            <v>2</v>
          </cell>
          <cell r="G132" t="str">
            <v>Zoolapalem</v>
          </cell>
          <cell r="H132">
            <v>24</v>
          </cell>
          <cell r="I132" t="str">
            <v>Lam</v>
          </cell>
          <cell r="J132">
            <v>70</v>
          </cell>
          <cell r="K132" t="str">
            <v>Kolluru</v>
          </cell>
          <cell r="L132">
            <v>26</v>
          </cell>
          <cell r="M132" t="str">
            <v>Vejandla</v>
          </cell>
          <cell r="N132">
            <v>52</v>
          </cell>
          <cell r="O132" t="str">
            <v>Vejandla</v>
          </cell>
          <cell r="P132">
            <v>52</v>
          </cell>
          <cell r="Q132" t="str">
            <v>Repalle</v>
          </cell>
          <cell r="R132">
            <v>13</v>
          </cell>
          <cell r="S132" t="str">
            <v>I.B patnam</v>
          </cell>
          <cell r="T132">
            <v>85</v>
          </cell>
          <cell r="Y132" t="str">
            <v>Repalle</v>
          </cell>
          <cell r="Z132">
            <v>13</v>
          </cell>
          <cell r="AA132">
            <v>0.2</v>
          </cell>
        </row>
        <row r="133">
          <cell r="A133">
            <v>129</v>
          </cell>
          <cell r="B133" t="str">
            <v>Addankivaripalem</v>
          </cell>
          <cell r="C133" t="str">
            <v>Kondaveetivaripalem</v>
          </cell>
          <cell r="D133" t="str">
            <v>Nagaram</v>
          </cell>
          <cell r="E133" t="str">
            <v>Local</v>
          </cell>
          <cell r="F133">
            <v>2</v>
          </cell>
          <cell r="G133" t="str">
            <v>Zoolapalem</v>
          </cell>
          <cell r="H133">
            <v>23</v>
          </cell>
          <cell r="I133" t="str">
            <v>Lam</v>
          </cell>
          <cell r="J133">
            <v>70</v>
          </cell>
          <cell r="K133" t="str">
            <v>Kolluru</v>
          </cell>
          <cell r="L133">
            <v>27</v>
          </cell>
          <cell r="M133" t="str">
            <v>Vejandla</v>
          </cell>
          <cell r="N133">
            <v>54</v>
          </cell>
          <cell r="O133" t="str">
            <v>Vejandla</v>
          </cell>
          <cell r="P133">
            <v>54</v>
          </cell>
          <cell r="Q133" t="str">
            <v>Repalle</v>
          </cell>
          <cell r="R133">
            <v>17</v>
          </cell>
          <cell r="S133" t="str">
            <v>I.B patnam</v>
          </cell>
          <cell r="T133">
            <v>85</v>
          </cell>
          <cell r="Y133" t="str">
            <v>Repalle</v>
          </cell>
          <cell r="Z133">
            <v>17</v>
          </cell>
          <cell r="AA133">
            <v>0.2</v>
          </cell>
        </row>
        <row r="134">
          <cell r="A134">
            <v>130</v>
          </cell>
          <cell r="B134" t="str">
            <v>Edupalli</v>
          </cell>
          <cell r="C134" t="str">
            <v>Kothamalapalli</v>
          </cell>
          <cell r="D134" t="str">
            <v>Nagaram</v>
          </cell>
          <cell r="E134" t="str">
            <v>Local</v>
          </cell>
          <cell r="F134">
            <v>2</v>
          </cell>
          <cell r="G134" t="str">
            <v>Zoolapalem</v>
          </cell>
          <cell r="H134">
            <v>31</v>
          </cell>
          <cell r="I134" t="str">
            <v>Lam</v>
          </cell>
          <cell r="J134">
            <v>71</v>
          </cell>
          <cell r="K134" t="str">
            <v>Kolluru</v>
          </cell>
          <cell r="L134">
            <v>40</v>
          </cell>
          <cell r="M134" t="str">
            <v>Vejandla</v>
          </cell>
          <cell r="N134">
            <v>51</v>
          </cell>
          <cell r="O134" t="str">
            <v>Vejandla</v>
          </cell>
          <cell r="P134">
            <v>51</v>
          </cell>
          <cell r="Q134" t="str">
            <v>Repalle</v>
          </cell>
          <cell r="R134">
            <v>18</v>
          </cell>
          <cell r="S134" t="str">
            <v>I.B patnam</v>
          </cell>
          <cell r="T134">
            <v>85</v>
          </cell>
          <cell r="Y134" t="str">
            <v>Repalle</v>
          </cell>
          <cell r="Z134">
            <v>18</v>
          </cell>
          <cell r="AA134">
            <v>0</v>
          </cell>
        </row>
        <row r="135">
          <cell r="A135">
            <v>131</v>
          </cell>
          <cell r="B135" t="str">
            <v>Siripudi</v>
          </cell>
          <cell r="C135" t="str">
            <v>Kotta Siripudi</v>
          </cell>
          <cell r="D135" t="str">
            <v>Nagaram</v>
          </cell>
          <cell r="E135" t="str">
            <v>Local</v>
          </cell>
          <cell r="F135">
            <v>1</v>
          </cell>
          <cell r="G135" t="str">
            <v>Zoolapalem</v>
          </cell>
          <cell r="H135">
            <v>29</v>
          </cell>
          <cell r="I135" t="str">
            <v>Lam</v>
          </cell>
          <cell r="J135">
            <v>60</v>
          </cell>
          <cell r="K135" t="str">
            <v>Kolluru</v>
          </cell>
          <cell r="L135">
            <v>35</v>
          </cell>
          <cell r="M135" t="str">
            <v>Vejandla</v>
          </cell>
          <cell r="N135">
            <v>44</v>
          </cell>
          <cell r="O135" t="str">
            <v>Vejandla</v>
          </cell>
          <cell r="P135">
            <v>44</v>
          </cell>
          <cell r="Q135" t="str">
            <v>Repalle</v>
          </cell>
          <cell r="R135">
            <v>22</v>
          </cell>
          <cell r="S135" t="str">
            <v>I.B patnam</v>
          </cell>
          <cell r="T135">
            <v>85</v>
          </cell>
          <cell r="Y135" t="str">
            <v>Repalle</v>
          </cell>
          <cell r="Z135">
            <v>22</v>
          </cell>
          <cell r="AA135">
            <v>0</v>
          </cell>
        </row>
        <row r="136">
          <cell r="A136">
            <v>132</v>
          </cell>
          <cell r="B136" t="str">
            <v>Kolaganivaripalem</v>
          </cell>
          <cell r="C136" t="str">
            <v>Kurravaripalem</v>
          </cell>
          <cell r="D136" t="str">
            <v>Nagaram</v>
          </cell>
          <cell r="E136" t="str">
            <v>Local</v>
          </cell>
          <cell r="F136">
            <v>2</v>
          </cell>
          <cell r="G136" t="str">
            <v>Zoolapalem</v>
          </cell>
          <cell r="H136">
            <v>24</v>
          </cell>
          <cell r="I136" t="str">
            <v>Lam</v>
          </cell>
          <cell r="J136">
            <v>70</v>
          </cell>
          <cell r="K136" t="str">
            <v>Kolluru</v>
          </cell>
          <cell r="L136">
            <v>26</v>
          </cell>
          <cell r="M136" t="str">
            <v>Vejandla</v>
          </cell>
          <cell r="N136">
            <v>52</v>
          </cell>
          <cell r="O136" t="str">
            <v>Vejandla</v>
          </cell>
          <cell r="P136">
            <v>52</v>
          </cell>
          <cell r="Q136" t="str">
            <v>Repalle</v>
          </cell>
          <cell r="R136">
            <v>13</v>
          </cell>
          <cell r="S136" t="str">
            <v>I.B patnam</v>
          </cell>
          <cell r="T136">
            <v>85</v>
          </cell>
          <cell r="Y136" t="str">
            <v>Repalle</v>
          </cell>
          <cell r="Z136">
            <v>13</v>
          </cell>
          <cell r="AA136">
            <v>0.2</v>
          </cell>
        </row>
        <row r="137">
          <cell r="A137">
            <v>133</v>
          </cell>
          <cell r="B137" t="str">
            <v>Pedapalli</v>
          </cell>
          <cell r="C137" t="str">
            <v>Lankamalapalli</v>
          </cell>
          <cell r="D137" t="str">
            <v>Nagaram</v>
          </cell>
          <cell r="E137" t="str">
            <v>Local</v>
          </cell>
          <cell r="F137">
            <v>2</v>
          </cell>
          <cell r="G137" t="str">
            <v>Zoolapalem</v>
          </cell>
          <cell r="H137">
            <v>34</v>
          </cell>
          <cell r="I137" t="str">
            <v>Lam</v>
          </cell>
          <cell r="J137">
            <v>77</v>
          </cell>
          <cell r="K137" t="str">
            <v>Kolluru</v>
          </cell>
          <cell r="L137">
            <v>36</v>
          </cell>
          <cell r="M137" t="str">
            <v>Vejandla</v>
          </cell>
          <cell r="N137">
            <v>49</v>
          </cell>
          <cell r="O137" t="str">
            <v>Vejandla</v>
          </cell>
          <cell r="P137">
            <v>49</v>
          </cell>
          <cell r="Q137" t="str">
            <v>Repalle</v>
          </cell>
          <cell r="R137">
            <v>23</v>
          </cell>
          <cell r="S137" t="str">
            <v>I.B patnam</v>
          </cell>
          <cell r="T137">
            <v>85</v>
          </cell>
          <cell r="Y137" t="str">
            <v>Repalle</v>
          </cell>
          <cell r="Z137">
            <v>23</v>
          </cell>
          <cell r="AA137">
            <v>0</v>
          </cell>
        </row>
        <row r="138">
          <cell r="A138">
            <v>134</v>
          </cell>
          <cell r="B138" t="str">
            <v>Kolaganivaripalem</v>
          </cell>
          <cell r="C138" t="str">
            <v>Lukkavaripalem of K V Palem</v>
          </cell>
          <cell r="D138" t="str">
            <v>Nagaram</v>
          </cell>
          <cell r="E138" t="str">
            <v>Local</v>
          </cell>
          <cell r="F138">
            <v>2</v>
          </cell>
          <cell r="G138" t="str">
            <v>Zoolapalem</v>
          </cell>
          <cell r="H138">
            <v>24</v>
          </cell>
          <cell r="I138" t="str">
            <v>Lam</v>
          </cell>
          <cell r="J138">
            <v>70</v>
          </cell>
          <cell r="K138" t="str">
            <v>Kolluru</v>
          </cell>
          <cell r="L138">
            <v>26</v>
          </cell>
          <cell r="M138" t="str">
            <v>Vejandla</v>
          </cell>
          <cell r="N138">
            <v>52</v>
          </cell>
          <cell r="O138" t="str">
            <v>Vejandla</v>
          </cell>
          <cell r="P138">
            <v>52</v>
          </cell>
          <cell r="Q138" t="str">
            <v>Repalle</v>
          </cell>
          <cell r="R138">
            <v>13</v>
          </cell>
          <cell r="S138" t="str">
            <v>I.B patnam</v>
          </cell>
          <cell r="T138">
            <v>85</v>
          </cell>
          <cell r="Y138" t="str">
            <v>Repalle</v>
          </cell>
          <cell r="Z138">
            <v>13</v>
          </cell>
          <cell r="AA138">
            <v>0.2</v>
          </cell>
        </row>
        <row r="139">
          <cell r="A139">
            <v>135</v>
          </cell>
          <cell r="B139" t="str">
            <v>Pedamatlapudi</v>
          </cell>
          <cell r="C139" t="str">
            <v>Lukkavaripalem of P M Pudi</v>
          </cell>
          <cell r="D139" t="str">
            <v>Nagaram</v>
          </cell>
          <cell r="E139" t="str">
            <v>Local</v>
          </cell>
          <cell r="F139">
            <v>2</v>
          </cell>
          <cell r="G139" t="str">
            <v>Zoolapalem</v>
          </cell>
          <cell r="H139">
            <v>35</v>
          </cell>
          <cell r="I139" t="str">
            <v>Lam</v>
          </cell>
          <cell r="J139">
            <v>65</v>
          </cell>
          <cell r="K139" t="str">
            <v>Kolluru</v>
          </cell>
          <cell r="L139">
            <v>38</v>
          </cell>
          <cell r="M139" t="str">
            <v>Vejandla</v>
          </cell>
          <cell r="N139">
            <v>48</v>
          </cell>
          <cell r="O139" t="str">
            <v>Vejandla</v>
          </cell>
          <cell r="P139">
            <v>48</v>
          </cell>
          <cell r="Q139" t="str">
            <v>Repalle</v>
          </cell>
          <cell r="R139">
            <v>20</v>
          </cell>
          <cell r="S139" t="str">
            <v>I.B patnam</v>
          </cell>
          <cell r="T139">
            <v>85</v>
          </cell>
          <cell r="Y139" t="str">
            <v>Repalle</v>
          </cell>
          <cell r="Z139">
            <v>20</v>
          </cell>
          <cell r="AA139">
            <v>0</v>
          </cell>
        </row>
        <row r="140">
          <cell r="A140">
            <v>136</v>
          </cell>
          <cell r="B140" t="str">
            <v>Pudiwada</v>
          </cell>
          <cell r="C140" t="str">
            <v>Madhypalem</v>
          </cell>
          <cell r="D140" t="str">
            <v>Nagaram</v>
          </cell>
          <cell r="E140" t="str">
            <v>Local</v>
          </cell>
          <cell r="F140">
            <v>2</v>
          </cell>
          <cell r="G140" t="str">
            <v>Zoolapalem</v>
          </cell>
          <cell r="H140">
            <v>33</v>
          </cell>
          <cell r="I140" t="str">
            <v>Lam</v>
          </cell>
          <cell r="J140">
            <v>66</v>
          </cell>
          <cell r="K140" t="str">
            <v>Kolluru</v>
          </cell>
          <cell r="L140">
            <v>34</v>
          </cell>
          <cell r="M140" t="str">
            <v>Vejandla</v>
          </cell>
          <cell r="N140">
            <v>44</v>
          </cell>
          <cell r="O140" t="str">
            <v>Vejandla</v>
          </cell>
          <cell r="P140">
            <v>44</v>
          </cell>
          <cell r="Q140" t="str">
            <v>Repalle</v>
          </cell>
          <cell r="R140">
            <v>18</v>
          </cell>
          <cell r="S140" t="str">
            <v>I.B patnam</v>
          </cell>
          <cell r="T140">
            <v>85</v>
          </cell>
          <cell r="Y140" t="str">
            <v>Repalle</v>
          </cell>
          <cell r="Z140">
            <v>18</v>
          </cell>
          <cell r="AA140">
            <v>0</v>
          </cell>
        </row>
        <row r="141">
          <cell r="A141">
            <v>137</v>
          </cell>
          <cell r="B141" t="str">
            <v>Pamidimarru</v>
          </cell>
          <cell r="C141" t="str">
            <v>Madigapali pamidimarru</v>
          </cell>
          <cell r="D141" t="str">
            <v>Nagaram</v>
          </cell>
          <cell r="E141" t="str">
            <v>Local</v>
          </cell>
          <cell r="F141">
            <v>3</v>
          </cell>
          <cell r="G141" t="str">
            <v>Zoolapalem</v>
          </cell>
          <cell r="H141">
            <v>27</v>
          </cell>
          <cell r="I141" t="str">
            <v>Lam</v>
          </cell>
          <cell r="J141">
            <v>74</v>
          </cell>
          <cell r="K141" t="str">
            <v>Kolluru</v>
          </cell>
          <cell r="L141">
            <v>30</v>
          </cell>
          <cell r="M141" t="str">
            <v>Vejandla</v>
          </cell>
          <cell r="N141">
            <v>54</v>
          </cell>
          <cell r="O141" t="str">
            <v>Vejandla</v>
          </cell>
          <cell r="P141">
            <v>54</v>
          </cell>
          <cell r="Q141" t="str">
            <v>Repalle</v>
          </cell>
          <cell r="R141">
            <v>10</v>
          </cell>
          <cell r="S141" t="str">
            <v>I.B patnam</v>
          </cell>
          <cell r="T141">
            <v>85</v>
          </cell>
          <cell r="Y141" t="str">
            <v>Repalle</v>
          </cell>
          <cell r="Z141">
            <v>10</v>
          </cell>
          <cell r="AA141">
            <v>0.2</v>
          </cell>
        </row>
        <row r="142">
          <cell r="A142">
            <v>138</v>
          </cell>
          <cell r="B142" t="str">
            <v>Siripudi</v>
          </cell>
          <cell r="C142" t="str">
            <v>Madigapalli siripudi</v>
          </cell>
          <cell r="D142" t="str">
            <v>Nagaram</v>
          </cell>
          <cell r="E142" t="str">
            <v>Local</v>
          </cell>
          <cell r="F142">
            <v>1</v>
          </cell>
          <cell r="G142" t="str">
            <v>Zoolapalem</v>
          </cell>
          <cell r="H142">
            <v>29</v>
          </cell>
          <cell r="I142" t="str">
            <v>Lam</v>
          </cell>
          <cell r="J142">
            <v>60</v>
          </cell>
          <cell r="K142" t="str">
            <v>Kolluru</v>
          </cell>
          <cell r="L142">
            <v>35</v>
          </cell>
          <cell r="M142" t="str">
            <v>Vejandla</v>
          </cell>
          <cell r="N142">
            <v>44</v>
          </cell>
          <cell r="O142" t="str">
            <v>Vejandla</v>
          </cell>
          <cell r="P142">
            <v>44</v>
          </cell>
          <cell r="Q142" t="str">
            <v>Repalle</v>
          </cell>
          <cell r="R142">
            <v>22</v>
          </cell>
          <cell r="S142" t="str">
            <v>I.B patnam</v>
          </cell>
          <cell r="T142">
            <v>85</v>
          </cell>
          <cell r="Y142" t="str">
            <v>Repalle</v>
          </cell>
          <cell r="Z142">
            <v>22</v>
          </cell>
          <cell r="AA142">
            <v>0</v>
          </cell>
        </row>
        <row r="143">
          <cell r="A143">
            <v>139</v>
          </cell>
          <cell r="B143" t="str">
            <v>Pamidimarru</v>
          </cell>
          <cell r="C143" t="str">
            <v>Malapalli pamidimarru</v>
          </cell>
          <cell r="D143" t="str">
            <v>Nagaram</v>
          </cell>
          <cell r="E143" t="str">
            <v>Local</v>
          </cell>
          <cell r="F143">
            <v>3</v>
          </cell>
          <cell r="G143" t="str">
            <v>Zoolapalem</v>
          </cell>
          <cell r="H143">
            <v>27</v>
          </cell>
          <cell r="I143" t="str">
            <v>Lam</v>
          </cell>
          <cell r="J143">
            <v>74</v>
          </cell>
          <cell r="K143" t="str">
            <v>Kolluru</v>
          </cell>
          <cell r="L143">
            <v>30</v>
          </cell>
          <cell r="M143" t="str">
            <v>Vejandla</v>
          </cell>
          <cell r="N143">
            <v>54</v>
          </cell>
          <cell r="O143" t="str">
            <v>Vejandla</v>
          </cell>
          <cell r="P143">
            <v>54</v>
          </cell>
          <cell r="Q143" t="str">
            <v>Repalle</v>
          </cell>
          <cell r="R143">
            <v>10</v>
          </cell>
          <cell r="S143" t="str">
            <v>I.B patnam</v>
          </cell>
          <cell r="T143">
            <v>85</v>
          </cell>
          <cell r="Y143" t="str">
            <v>Repalle</v>
          </cell>
          <cell r="Z143">
            <v>10</v>
          </cell>
          <cell r="AA143">
            <v>0.2</v>
          </cell>
        </row>
        <row r="144">
          <cell r="A144">
            <v>140</v>
          </cell>
          <cell r="B144" t="str">
            <v>Siripudi</v>
          </cell>
          <cell r="C144" t="str">
            <v>Malapalli Siripudi</v>
          </cell>
          <cell r="D144" t="str">
            <v>Nagaram</v>
          </cell>
          <cell r="E144" t="str">
            <v>Local</v>
          </cell>
          <cell r="F144">
            <v>1</v>
          </cell>
          <cell r="G144" t="str">
            <v>Zoolapalem</v>
          </cell>
          <cell r="H144">
            <v>29</v>
          </cell>
          <cell r="I144" t="str">
            <v>Lam</v>
          </cell>
          <cell r="J144">
            <v>60</v>
          </cell>
          <cell r="K144" t="str">
            <v>Kolluru</v>
          </cell>
          <cell r="L144">
            <v>35</v>
          </cell>
          <cell r="M144" t="str">
            <v>Vejandla</v>
          </cell>
          <cell r="N144">
            <v>44</v>
          </cell>
          <cell r="O144" t="str">
            <v>Vejandla</v>
          </cell>
          <cell r="P144">
            <v>44</v>
          </cell>
          <cell r="Q144" t="str">
            <v>Repalle</v>
          </cell>
          <cell r="R144">
            <v>22</v>
          </cell>
          <cell r="S144" t="str">
            <v>I.B patnam</v>
          </cell>
          <cell r="T144">
            <v>85</v>
          </cell>
          <cell r="Y144" t="str">
            <v>Repalle</v>
          </cell>
          <cell r="Z144">
            <v>22</v>
          </cell>
          <cell r="AA144">
            <v>0</v>
          </cell>
        </row>
        <row r="145">
          <cell r="A145">
            <v>141</v>
          </cell>
          <cell r="B145" t="str">
            <v>Siripudi</v>
          </cell>
          <cell r="C145" t="str">
            <v>Mamillapalli</v>
          </cell>
          <cell r="D145" t="str">
            <v>Nagaram</v>
          </cell>
          <cell r="E145" t="str">
            <v>Local</v>
          </cell>
          <cell r="F145">
            <v>1</v>
          </cell>
          <cell r="G145" t="str">
            <v>Zoolapalem</v>
          </cell>
          <cell r="H145">
            <v>30</v>
          </cell>
          <cell r="I145" t="str">
            <v>Lam</v>
          </cell>
          <cell r="J145">
            <v>59</v>
          </cell>
          <cell r="K145" t="str">
            <v>Kolluru</v>
          </cell>
          <cell r="L145">
            <v>36</v>
          </cell>
          <cell r="M145" t="str">
            <v>Vejandla</v>
          </cell>
          <cell r="N145">
            <v>43</v>
          </cell>
          <cell r="O145" t="str">
            <v>Vejandla</v>
          </cell>
          <cell r="P145">
            <v>43</v>
          </cell>
          <cell r="Q145" t="str">
            <v>Repalle</v>
          </cell>
          <cell r="R145">
            <v>23</v>
          </cell>
          <cell r="S145" t="str">
            <v>I.B patnam</v>
          </cell>
          <cell r="T145">
            <v>85</v>
          </cell>
          <cell r="Y145" t="str">
            <v>Repalle</v>
          </cell>
          <cell r="Z145">
            <v>23</v>
          </cell>
          <cell r="AA145">
            <v>0</v>
          </cell>
        </row>
        <row r="146">
          <cell r="A146">
            <v>142</v>
          </cell>
          <cell r="B146" t="str">
            <v>Chinamatlapudi</v>
          </cell>
          <cell r="C146" t="str">
            <v>Mande malapalli H/O Chinamatlapudi</v>
          </cell>
          <cell r="D146" t="str">
            <v>Nagaram</v>
          </cell>
          <cell r="E146" t="str">
            <v>Local</v>
          </cell>
          <cell r="F146">
            <v>1</v>
          </cell>
          <cell r="G146" t="str">
            <v>Zoolapalem</v>
          </cell>
          <cell r="H146">
            <v>32</v>
          </cell>
          <cell r="I146" t="str">
            <v>Lam</v>
          </cell>
          <cell r="J146">
            <v>67</v>
          </cell>
          <cell r="K146" t="str">
            <v>Kolluru</v>
          </cell>
          <cell r="L146">
            <v>38</v>
          </cell>
          <cell r="M146" t="str">
            <v>Vejandla</v>
          </cell>
          <cell r="N146">
            <v>44</v>
          </cell>
          <cell r="O146" t="str">
            <v>Vejandla</v>
          </cell>
          <cell r="P146">
            <v>44</v>
          </cell>
          <cell r="Q146" t="str">
            <v>Repalle</v>
          </cell>
          <cell r="R146">
            <v>25</v>
          </cell>
          <cell r="S146" t="str">
            <v>I.B patnam</v>
          </cell>
          <cell r="T146">
            <v>85</v>
          </cell>
          <cell r="Y146" t="str">
            <v>Repalle</v>
          </cell>
          <cell r="Z146">
            <v>25</v>
          </cell>
          <cell r="AA146">
            <v>0</v>
          </cell>
        </row>
        <row r="147">
          <cell r="A147">
            <v>143</v>
          </cell>
          <cell r="B147" t="str">
            <v>Bellamvaripalem</v>
          </cell>
          <cell r="C147" t="str">
            <v>Manipuram</v>
          </cell>
          <cell r="D147" t="str">
            <v>Nagaram</v>
          </cell>
          <cell r="E147" t="str">
            <v>Local</v>
          </cell>
          <cell r="F147">
            <v>2</v>
          </cell>
          <cell r="G147" t="str">
            <v>Zoolapalem</v>
          </cell>
          <cell r="H147">
            <v>32</v>
          </cell>
          <cell r="I147" t="str">
            <v>Lam</v>
          </cell>
          <cell r="J147">
            <v>69</v>
          </cell>
          <cell r="K147" t="str">
            <v>Kolluru</v>
          </cell>
          <cell r="L147">
            <v>38</v>
          </cell>
          <cell r="M147" t="str">
            <v>Vejandla</v>
          </cell>
          <cell r="N147">
            <v>48</v>
          </cell>
          <cell r="O147" t="str">
            <v>Vejandla</v>
          </cell>
          <cell r="P147">
            <v>48</v>
          </cell>
          <cell r="Q147" t="str">
            <v>Repalle</v>
          </cell>
          <cell r="R147">
            <v>14</v>
          </cell>
          <cell r="S147" t="str">
            <v>I.B patnam</v>
          </cell>
          <cell r="T147">
            <v>85</v>
          </cell>
          <cell r="Y147" t="str">
            <v>Repalle</v>
          </cell>
          <cell r="Z147">
            <v>14</v>
          </cell>
          <cell r="AA147">
            <v>0.2</v>
          </cell>
        </row>
        <row r="148">
          <cell r="A148">
            <v>144</v>
          </cell>
          <cell r="B148" t="str">
            <v>Nagaram</v>
          </cell>
          <cell r="C148" t="str">
            <v>Mannemvaripalem  of Nagaram</v>
          </cell>
          <cell r="D148" t="str">
            <v>Nagaram</v>
          </cell>
          <cell r="E148" t="str">
            <v>Local</v>
          </cell>
          <cell r="F148">
            <v>2</v>
          </cell>
          <cell r="G148" t="str">
            <v>Zoolapalem</v>
          </cell>
          <cell r="H148">
            <v>32</v>
          </cell>
          <cell r="I148" t="str">
            <v>Lam</v>
          </cell>
          <cell r="J148">
            <v>70</v>
          </cell>
          <cell r="K148" t="str">
            <v>Kolluru</v>
          </cell>
          <cell r="L148">
            <v>36</v>
          </cell>
          <cell r="M148" t="str">
            <v>Vejandla</v>
          </cell>
          <cell r="N148">
            <v>50</v>
          </cell>
          <cell r="O148" t="str">
            <v>Vejandla</v>
          </cell>
          <cell r="P148">
            <v>50</v>
          </cell>
          <cell r="Q148" t="str">
            <v>Repalle</v>
          </cell>
          <cell r="R148">
            <v>17</v>
          </cell>
          <cell r="S148" t="str">
            <v>I.B patnam</v>
          </cell>
          <cell r="T148">
            <v>85</v>
          </cell>
          <cell r="Y148" t="str">
            <v>Repalle</v>
          </cell>
          <cell r="Z148">
            <v>17</v>
          </cell>
          <cell r="AA148">
            <v>0.2</v>
          </cell>
        </row>
        <row r="149">
          <cell r="A149">
            <v>145</v>
          </cell>
          <cell r="B149" t="str">
            <v>Mantripalem</v>
          </cell>
          <cell r="C149" t="str">
            <v>Mantripalem</v>
          </cell>
          <cell r="D149" t="str">
            <v>Nagaram</v>
          </cell>
          <cell r="E149" t="str">
            <v>Local</v>
          </cell>
          <cell r="F149">
            <v>3</v>
          </cell>
          <cell r="G149" t="str">
            <v>Zoolapalem</v>
          </cell>
          <cell r="H149">
            <v>32</v>
          </cell>
          <cell r="I149" t="str">
            <v>Lam</v>
          </cell>
          <cell r="J149">
            <v>77</v>
          </cell>
          <cell r="K149" t="str">
            <v>Kolluru</v>
          </cell>
          <cell r="L149">
            <v>36</v>
          </cell>
          <cell r="M149" t="str">
            <v>Vejandla</v>
          </cell>
          <cell r="N149">
            <v>58</v>
          </cell>
          <cell r="O149" t="str">
            <v>Vejandla</v>
          </cell>
          <cell r="P149">
            <v>58</v>
          </cell>
          <cell r="Q149" t="str">
            <v>Repalle</v>
          </cell>
          <cell r="R149">
            <v>10</v>
          </cell>
          <cell r="S149" t="str">
            <v>I.B patnam</v>
          </cell>
          <cell r="T149">
            <v>85</v>
          </cell>
          <cell r="Y149" t="str">
            <v>Repalle</v>
          </cell>
          <cell r="Z149">
            <v>10</v>
          </cell>
          <cell r="AA149">
            <v>0.2</v>
          </cell>
        </row>
        <row r="150">
          <cell r="A150">
            <v>146</v>
          </cell>
          <cell r="B150" t="str">
            <v>Karakankivaripalem</v>
          </cell>
          <cell r="C150" t="str">
            <v>Manyamvaripalem of Dhulipudi south</v>
          </cell>
          <cell r="D150" t="str">
            <v>Nagaram</v>
          </cell>
          <cell r="E150" t="str">
            <v>Local</v>
          </cell>
          <cell r="F150">
            <v>3</v>
          </cell>
          <cell r="G150" t="str">
            <v>Zoolapalem</v>
          </cell>
          <cell r="H150">
            <v>22</v>
          </cell>
          <cell r="I150" t="str">
            <v>Lam</v>
          </cell>
          <cell r="J150">
            <v>70</v>
          </cell>
          <cell r="K150" t="str">
            <v>Kolluru</v>
          </cell>
          <cell r="L150">
            <v>26</v>
          </cell>
          <cell r="M150" t="str">
            <v>Vejandla</v>
          </cell>
          <cell r="N150">
            <v>51</v>
          </cell>
          <cell r="O150" t="str">
            <v>Vejandla</v>
          </cell>
          <cell r="P150">
            <v>51</v>
          </cell>
          <cell r="Q150" t="str">
            <v>Repalle</v>
          </cell>
          <cell r="R150">
            <v>13</v>
          </cell>
          <cell r="S150" t="str">
            <v>I.B patnam</v>
          </cell>
          <cell r="T150">
            <v>85</v>
          </cell>
          <cell r="Y150" t="str">
            <v>Repalle</v>
          </cell>
          <cell r="Z150">
            <v>13</v>
          </cell>
          <cell r="AA150">
            <v>0.2</v>
          </cell>
        </row>
        <row r="151">
          <cell r="A151">
            <v>147</v>
          </cell>
          <cell r="B151" t="str">
            <v>Edupalli</v>
          </cell>
          <cell r="C151" t="str">
            <v>Meesalavaripalem</v>
          </cell>
          <cell r="D151" t="str">
            <v>Nagaram</v>
          </cell>
          <cell r="E151" t="str">
            <v>Local</v>
          </cell>
          <cell r="F151">
            <v>2</v>
          </cell>
          <cell r="G151" t="str">
            <v>Zoolapalem</v>
          </cell>
          <cell r="H151">
            <v>35</v>
          </cell>
          <cell r="I151" t="str">
            <v>Lam</v>
          </cell>
          <cell r="J151">
            <v>73</v>
          </cell>
          <cell r="K151" t="str">
            <v>Kolluru</v>
          </cell>
          <cell r="L151">
            <v>43</v>
          </cell>
          <cell r="M151" t="str">
            <v>Vejandla</v>
          </cell>
          <cell r="N151">
            <v>53</v>
          </cell>
          <cell r="O151" t="str">
            <v>Vejandla</v>
          </cell>
          <cell r="P151">
            <v>53</v>
          </cell>
          <cell r="Q151" t="str">
            <v>Repalle</v>
          </cell>
          <cell r="R151">
            <v>20</v>
          </cell>
          <cell r="S151" t="str">
            <v>I.B patnam</v>
          </cell>
          <cell r="T151">
            <v>85</v>
          </cell>
          <cell r="Y151" t="str">
            <v>Repalle</v>
          </cell>
          <cell r="Z151">
            <v>20</v>
          </cell>
          <cell r="AA151">
            <v>0</v>
          </cell>
        </row>
        <row r="152">
          <cell r="A152">
            <v>148</v>
          </cell>
          <cell r="B152" t="str">
            <v>Chinamatlapudi</v>
          </cell>
          <cell r="C152" t="str">
            <v>Mohammadalipalem</v>
          </cell>
          <cell r="D152" t="str">
            <v>Nagaram</v>
          </cell>
          <cell r="E152" t="str">
            <v>Local</v>
          </cell>
          <cell r="F152">
            <v>2</v>
          </cell>
          <cell r="G152" t="str">
            <v>Zoolapalem</v>
          </cell>
          <cell r="H152">
            <v>34</v>
          </cell>
          <cell r="I152" t="str">
            <v>Lam</v>
          </cell>
          <cell r="J152">
            <v>69</v>
          </cell>
          <cell r="K152" t="str">
            <v>Kolluru</v>
          </cell>
          <cell r="L152">
            <v>40</v>
          </cell>
          <cell r="M152" t="str">
            <v>Vejandla</v>
          </cell>
          <cell r="N152">
            <v>46</v>
          </cell>
          <cell r="O152" t="str">
            <v>Vejandla</v>
          </cell>
          <cell r="P152">
            <v>46</v>
          </cell>
          <cell r="Q152" t="str">
            <v>Repalle</v>
          </cell>
          <cell r="R152">
            <v>27</v>
          </cell>
          <cell r="S152" t="str">
            <v>I.B patnam</v>
          </cell>
          <cell r="T152">
            <v>85</v>
          </cell>
          <cell r="Y152" t="str">
            <v>Repalle</v>
          </cell>
          <cell r="Z152">
            <v>27</v>
          </cell>
          <cell r="AA152">
            <v>0</v>
          </cell>
        </row>
        <row r="153">
          <cell r="A153">
            <v>149</v>
          </cell>
          <cell r="B153" t="str">
            <v>Chinamatlapudi</v>
          </cell>
          <cell r="C153" t="str">
            <v>Mrutynjayapalem</v>
          </cell>
          <cell r="D153" t="str">
            <v>Nagaram</v>
          </cell>
          <cell r="E153" t="str">
            <v>Local</v>
          </cell>
          <cell r="F153">
            <v>1</v>
          </cell>
          <cell r="G153" t="str">
            <v>Zoolapalem</v>
          </cell>
          <cell r="H153">
            <v>32</v>
          </cell>
          <cell r="I153" t="str">
            <v>Lam</v>
          </cell>
          <cell r="J153">
            <v>67</v>
          </cell>
          <cell r="K153" t="str">
            <v>Kolluru</v>
          </cell>
          <cell r="L153">
            <v>38</v>
          </cell>
          <cell r="M153" t="str">
            <v>Vejandla</v>
          </cell>
          <cell r="N153">
            <v>44</v>
          </cell>
          <cell r="O153" t="str">
            <v>Vejandla</v>
          </cell>
          <cell r="P153">
            <v>44</v>
          </cell>
          <cell r="Q153" t="str">
            <v>Repalle</v>
          </cell>
          <cell r="R153">
            <v>25</v>
          </cell>
          <cell r="S153" t="str">
            <v>I.B patnam</v>
          </cell>
          <cell r="T153">
            <v>85</v>
          </cell>
          <cell r="Y153" t="str">
            <v>Repalle</v>
          </cell>
          <cell r="Z153">
            <v>25</v>
          </cell>
          <cell r="AA153">
            <v>0</v>
          </cell>
        </row>
        <row r="154">
          <cell r="A154">
            <v>150</v>
          </cell>
          <cell r="B154" t="str">
            <v>Karakankivaripalem</v>
          </cell>
          <cell r="C154" t="str">
            <v>Mudirajuvaripalem</v>
          </cell>
          <cell r="D154" t="str">
            <v>Nagaram</v>
          </cell>
          <cell r="E154" t="str">
            <v>Local</v>
          </cell>
          <cell r="F154">
            <v>2</v>
          </cell>
          <cell r="G154" t="str">
            <v>Zoolapalem</v>
          </cell>
          <cell r="H154">
            <v>24</v>
          </cell>
          <cell r="I154" t="str">
            <v>Lam</v>
          </cell>
          <cell r="J154">
            <v>72</v>
          </cell>
          <cell r="K154" t="str">
            <v>Kolluru</v>
          </cell>
          <cell r="L154">
            <v>28</v>
          </cell>
          <cell r="M154" t="str">
            <v>Vejandla</v>
          </cell>
          <cell r="N154">
            <v>53</v>
          </cell>
          <cell r="O154" t="str">
            <v>Vejandla</v>
          </cell>
          <cell r="P154">
            <v>53</v>
          </cell>
          <cell r="Q154" t="str">
            <v>Repalle</v>
          </cell>
          <cell r="R154">
            <v>13</v>
          </cell>
          <cell r="S154" t="str">
            <v>I.B patnam</v>
          </cell>
          <cell r="T154">
            <v>85</v>
          </cell>
          <cell r="Y154" t="str">
            <v>Repalle</v>
          </cell>
          <cell r="Z154">
            <v>13</v>
          </cell>
          <cell r="AA154">
            <v>0.2</v>
          </cell>
        </row>
        <row r="155">
          <cell r="A155">
            <v>151</v>
          </cell>
          <cell r="B155" t="str">
            <v>Karakankivaripalem</v>
          </cell>
          <cell r="C155" t="str">
            <v>Mynenivaripalem Dhulipudi south</v>
          </cell>
          <cell r="D155" t="str">
            <v>Nagaram</v>
          </cell>
          <cell r="E155" t="str">
            <v>Local</v>
          </cell>
          <cell r="F155">
            <v>3</v>
          </cell>
          <cell r="G155" t="str">
            <v>Zoolapalem</v>
          </cell>
          <cell r="H155">
            <v>22</v>
          </cell>
          <cell r="I155" t="str">
            <v>Lam</v>
          </cell>
          <cell r="J155">
            <v>70</v>
          </cell>
          <cell r="K155" t="str">
            <v>Kolluru</v>
          </cell>
          <cell r="L155">
            <v>26</v>
          </cell>
          <cell r="M155" t="str">
            <v>Vejandla</v>
          </cell>
          <cell r="N155">
            <v>51</v>
          </cell>
          <cell r="O155" t="str">
            <v>Vejandla</v>
          </cell>
          <cell r="P155">
            <v>51</v>
          </cell>
          <cell r="Q155" t="str">
            <v>Repalle</v>
          </cell>
          <cell r="R155">
            <v>13</v>
          </cell>
          <cell r="S155" t="str">
            <v>I.B patnam</v>
          </cell>
          <cell r="T155">
            <v>85</v>
          </cell>
          <cell r="Y155" t="str">
            <v>Repalle</v>
          </cell>
          <cell r="Z155">
            <v>13</v>
          </cell>
          <cell r="AA155">
            <v>0.2</v>
          </cell>
        </row>
        <row r="156">
          <cell r="A156">
            <v>152</v>
          </cell>
          <cell r="B156" t="str">
            <v>Mantripalem</v>
          </cell>
          <cell r="C156" t="str">
            <v>Nadendlavaripalem</v>
          </cell>
          <cell r="D156" t="str">
            <v>Nagaram</v>
          </cell>
          <cell r="E156" t="str">
            <v>Local</v>
          </cell>
          <cell r="F156">
            <v>5</v>
          </cell>
          <cell r="G156" t="str">
            <v>Zoolapalem</v>
          </cell>
          <cell r="H156">
            <v>34</v>
          </cell>
          <cell r="I156" t="str">
            <v>Lam</v>
          </cell>
          <cell r="J156">
            <v>79</v>
          </cell>
          <cell r="K156" t="str">
            <v>Kolluru</v>
          </cell>
          <cell r="L156">
            <v>38</v>
          </cell>
          <cell r="M156" t="str">
            <v>Vejandla</v>
          </cell>
          <cell r="N156">
            <v>60</v>
          </cell>
          <cell r="O156" t="str">
            <v>Vejandla</v>
          </cell>
          <cell r="P156">
            <v>60</v>
          </cell>
          <cell r="Q156" t="str">
            <v>Repalle</v>
          </cell>
          <cell r="R156">
            <v>12</v>
          </cell>
          <cell r="S156" t="str">
            <v>I.B patnam</v>
          </cell>
          <cell r="T156">
            <v>85</v>
          </cell>
          <cell r="Y156" t="str">
            <v>Repalle</v>
          </cell>
          <cell r="Z156">
            <v>12</v>
          </cell>
          <cell r="AA156">
            <v>0.2</v>
          </cell>
        </row>
        <row r="157">
          <cell r="A157">
            <v>153</v>
          </cell>
          <cell r="B157" t="str">
            <v>Mantripalem</v>
          </cell>
          <cell r="C157" t="str">
            <v>Nagallavaripalem</v>
          </cell>
          <cell r="D157" t="str">
            <v>Nagaram</v>
          </cell>
          <cell r="E157" t="str">
            <v>Local</v>
          </cell>
          <cell r="F157">
            <v>4</v>
          </cell>
          <cell r="G157" t="str">
            <v>Zoolapalem</v>
          </cell>
          <cell r="H157">
            <v>36</v>
          </cell>
          <cell r="I157" t="str">
            <v>Lam</v>
          </cell>
          <cell r="J157">
            <v>81</v>
          </cell>
          <cell r="K157" t="str">
            <v>Kolluru</v>
          </cell>
          <cell r="L157">
            <v>40</v>
          </cell>
          <cell r="M157" t="str">
            <v>Vejandla</v>
          </cell>
          <cell r="N157">
            <v>62</v>
          </cell>
          <cell r="O157" t="str">
            <v>Vejandla</v>
          </cell>
          <cell r="P157">
            <v>62</v>
          </cell>
          <cell r="Q157" t="str">
            <v>Repalle</v>
          </cell>
          <cell r="R157">
            <v>14</v>
          </cell>
          <cell r="S157" t="str">
            <v>I.B patnam</v>
          </cell>
          <cell r="T157">
            <v>85</v>
          </cell>
          <cell r="Y157" t="str">
            <v>Repalle</v>
          </cell>
          <cell r="Z157">
            <v>14</v>
          </cell>
          <cell r="AA157">
            <v>0.2</v>
          </cell>
        </row>
        <row r="158">
          <cell r="A158">
            <v>154</v>
          </cell>
          <cell r="B158" t="str">
            <v>Nagaram</v>
          </cell>
          <cell r="C158" t="str">
            <v>Nagaram</v>
          </cell>
          <cell r="D158" t="str">
            <v>Nagaram</v>
          </cell>
          <cell r="E158" t="str">
            <v>Local</v>
          </cell>
          <cell r="F158">
            <v>2</v>
          </cell>
          <cell r="G158" t="str">
            <v>Zoolapalem</v>
          </cell>
          <cell r="H158">
            <v>30</v>
          </cell>
          <cell r="I158" t="str">
            <v>Lam</v>
          </cell>
          <cell r="J158">
            <v>68</v>
          </cell>
          <cell r="K158" t="str">
            <v>Kolluru</v>
          </cell>
          <cell r="L158">
            <v>34</v>
          </cell>
          <cell r="M158" t="str">
            <v>Vejandla</v>
          </cell>
          <cell r="N158">
            <v>48</v>
          </cell>
          <cell r="O158" t="str">
            <v>Vejandla</v>
          </cell>
          <cell r="P158">
            <v>48</v>
          </cell>
          <cell r="Q158" t="str">
            <v>Repalle</v>
          </cell>
          <cell r="R158">
            <v>15</v>
          </cell>
          <cell r="S158" t="str">
            <v>I.B patnam</v>
          </cell>
          <cell r="T158">
            <v>85</v>
          </cell>
          <cell r="Y158" t="str">
            <v>Repalle</v>
          </cell>
          <cell r="Z158">
            <v>15</v>
          </cell>
          <cell r="AA158">
            <v>0.2</v>
          </cell>
        </row>
        <row r="159">
          <cell r="A159">
            <v>155</v>
          </cell>
          <cell r="B159" t="str">
            <v>Kolaganivaripalem</v>
          </cell>
          <cell r="C159" t="str">
            <v>Nagisettivaripalem</v>
          </cell>
          <cell r="D159" t="str">
            <v>Nagaram</v>
          </cell>
          <cell r="E159" t="str">
            <v>Local</v>
          </cell>
          <cell r="F159">
            <v>2</v>
          </cell>
          <cell r="G159" t="str">
            <v>Zoolapalem</v>
          </cell>
          <cell r="H159">
            <v>23</v>
          </cell>
          <cell r="I159" t="str">
            <v>Lam</v>
          </cell>
          <cell r="J159">
            <v>69</v>
          </cell>
          <cell r="K159" t="str">
            <v>Kolluru</v>
          </cell>
          <cell r="L159">
            <v>25</v>
          </cell>
          <cell r="M159" t="str">
            <v>Vejandla</v>
          </cell>
          <cell r="N159">
            <v>53</v>
          </cell>
          <cell r="O159" t="str">
            <v>Vejandla</v>
          </cell>
          <cell r="P159">
            <v>53</v>
          </cell>
          <cell r="Q159" t="str">
            <v>Repalle</v>
          </cell>
          <cell r="R159">
            <v>14</v>
          </cell>
          <cell r="S159" t="str">
            <v>I.B patnam</v>
          </cell>
          <cell r="T159">
            <v>85</v>
          </cell>
          <cell r="Y159" t="str">
            <v>Repalle</v>
          </cell>
          <cell r="Z159">
            <v>14</v>
          </cell>
          <cell r="AA159">
            <v>0.2</v>
          </cell>
        </row>
        <row r="160">
          <cell r="A160">
            <v>156</v>
          </cell>
          <cell r="B160" t="str">
            <v>Addankivaripalem</v>
          </cell>
          <cell r="C160" t="str">
            <v>PadamatiBandelavaripalem</v>
          </cell>
          <cell r="D160" t="str">
            <v>Nagaram</v>
          </cell>
          <cell r="E160" t="str">
            <v>Local</v>
          </cell>
          <cell r="F160">
            <v>2</v>
          </cell>
          <cell r="G160" t="str">
            <v>Zoolapalem</v>
          </cell>
          <cell r="H160">
            <v>26</v>
          </cell>
          <cell r="I160" t="str">
            <v>Lam</v>
          </cell>
          <cell r="J160">
            <v>64</v>
          </cell>
          <cell r="K160" t="str">
            <v>Kolluru</v>
          </cell>
          <cell r="L160">
            <v>30</v>
          </cell>
          <cell r="M160" t="str">
            <v>Vejandla</v>
          </cell>
          <cell r="N160">
            <v>44</v>
          </cell>
          <cell r="O160" t="str">
            <v>Vejandla</v>
          </cell>
          <cell r="P160">
            <v>44</v>
          </cell>
          <cell r="Q160" t="str">
            <v>Repalle</v>
          </cell>
          <cell r="R160">
            <v>19</v>
          </cell>
          <cell r="S160" t="str">
            <v>I.B patnam</v>
          </cell>
          <cell r="T160">
            <v>85</v>
          </cell>
          <cell r="Y160" t="str">
            <v>Repalle</v>
          </cell>
          <cell r="Z160">
            <v>19</v>
          </cell>
          <cell r="AA160">
            <v>0</v>
          </cell>
        </row>
        <row r="161">
          <cell r="A161">
            <v>157</v>
          </cell>
          <cell r="B161" t="str">
            <v>Pudiwada</v>
          </cell>
          <cell r="C161" t="str">
            <v>Padamatipalem</v>
          </cell>
          <cell r="D161" t="str">
            <v>Nagaram</v>
          </cell>
          <cell r="E161" t="str">
            <v>Local</v>
          </cell>
          <cell r="F161">
            <v>2</v>
          </cell>
          <cell r="G161" t="str">
            <v>Zoolapalem</v>
          </cell>
          <cell r="H161">
            <v>33</v>
          </cell>
          <cell r="I161" t="str">
            <v>Lam</v>
          </cell>
          <cell r="J161">
            <v>66</v>
          </cell>
          <cell r="K161" t="str">
            <v>Kolluru</v>
          </cell>
          <cell r="L161">
            <v>34</v>
          </cell>
          <cell r="M161" t="str">
            <v>Vejandla</v>
          </cell>
          <cell r="N161">
            <v>44</v>
          </cell>
          <cell r="O161" t="str">
            <v>Vejandla</v>
          </cell>
          <cell r="P161">
            <v>44</v>
          </cell>
          <cell r="Q161" t="str">
            <v>Repalle</v>
          </cell>
          <cell r="R161">
            <v>18</v>
          </cell>
          <cell r="S161" t="str">
            <v>I.B patnam</v>
          </cell>
          <cell r="T161">
            <v>85</v>
          </cell>
          <cell r="Y161" t="str">
            <v>Repalle</v>
          </cell>
          <cell r="Z161">
            <v>18</v>
          </cell>
          <cell r="AA161">
            <v>0</v>
          </cell>
        </row>
        <row r="162">
          <cell r="A162">
            <v>158</v>
          </cell>
          <cell r="B162" t="str">
            <v>Pudiwada</v>
          </cell>
          <cell r="C162" t="str">
            <v>Padyalavaripalem</v>
          </cell>
          <cell r="D162" t="str">
            <v>Nagaram</v>
          </cell>
          <cell r="E162" t="str">
            <v>Local</v>
          </cell>
          <cell r="F162">
            <v>2</v>
          </cell>
          <cell r="G162" t="str">
            <v>Zoolapalem</v>
          </cell>
          <cell r="H162">
            <v>33</v>
          </cell>
          <cell r="I162" t="str">
            <v>Lam</v>
          </cell>
          <cell r="J162">
            <v>66</v>
          </cell>
          <cell r="K162" t="str">
            <v>Kolluru</v>
          </cell>
          <cell r="L162">
            <v>34</v>
          </cell>
          <cell r="M162" t="str">
            <v>Vejandla</v>
          </cell>
          <cell r="N162">
            <v>44</v>
          </cell>
          <cell r="O162" t="str">
            <v>Vejandla</v>
          </cell>
          <cell r="P162">
            <v>44</v>
          </cell>
          <cell r="Q162" t="str">
            <v>Repalle</v>
          </cell>
          <cell r="R162">
            <v>18</v>
          </cell>
          <cell r="S162" t="str">
            <v>I.B patnam</v>
          </cell>
          <cell r="T162">
            <v>85</v>
          </cell>
          <cell r="Y162" t="str">
            <v>Repalle</v>
          </cell>
          <cell r="Z162">
            <v>18</v>
          </cell>
          <cell r="AA162">
            <v>0</v>
          </cell>
        </row>
        <row r="163">
          <cell r="A163">
            <v>159</v>
          </cell>
          <cell r="B163" t="str">
            <v>Pamidimarru</v>
          </cell>
          <cell r="C163" t="str">
            <v>Pamidimarru</v>
          </cell>
          <cell r="D163" t="str">
            <v>Nagaram</v>
          </cell>
          <cell r="E163" t="str">
            <v>Local</v>
          </cell>
          <cell r="F163">
            <v>3</v>
          </cell>
          <cell r="G163" t="str">
            <v>Zoolapalem</v>
          </cell>
          <cell r="H163">
            <v>27</v>
          </cell>
          <cell r="I163" t="str">
            <v>Lam</v>
          </cell>
          <cell r="J163">
            <v>74</v>
          </cell>
          <cell r="K163" t="str">
            <v>Kolluru</v>
          </cell>
          <cell r="L163">
            <v>30</v>
          </cell>
          <cell r="M163" t="str">
            <v>Vejandla</v>
          </cell>
          <cell r="N163">
            <v>54</v>
          </cell>
          <cell r="O163" t="str">
            <v>Vejandla</v>
          </cell>
          <cell r="P163">
            <v>54</v>
          </cell>
          <cell r="Q163" t="str">
            <v>Repalle</v>
          </cell>
          <cell r="R163">
            <v>10</v>
          </cell>
          <cell r="S163" t="str">
            <v>I.B patnam</v>
          </cell>
          <cell r="T163">
            <v>85</v>
          </cell>
          <cell r="Y163" t="str">
            <v>Repalle</v>
          </cell>
          <cell r="Z163">
            <v>10</v>
          </cell>
          <cell r="AA163">
            <v>0.2</v>
          </cell>
        </row>
        <row r="164">
          <cell r="A164">
            <v>160</v>
          </cell>
          <cell r="B164" t="str">
            <v>Siripudi</v>
          </cell>
          <cell r="C164" t="str">
            <v>Parisavaripalem</v>
          </cell>
          <cell r="D164" t="str">
            <v>Nagaram</v>
          </cell>
          <cell r="E164" t="str">
            <v>Local</v>
          </cell>
          <cell r="F164">
            <v>1</v>
          </cell>
          <cell r="G164" t="str">
            <v>Zoolapalem</v>
          </cell>
          <cell r="H164">
            <v>30</v>
          </cell>
          <cell r="I164" t="str">
            <v>Lam</v>
          </cell>
          <cell r="J164">
            <v>59</v>
          </cell>
          <cell r="K164" t="str">
            <v>Kolluru</v>
          </cell>
          <cell r="L164">
            <v>36</v>
          </cell>
          <cell r="M164" t="str">
            <v>Vejandla</v>
          </cell>
          <cell r="N164">
            <v>43</v>
          </cell>
          <cell r="O164" t="str">
            <v>Vejandla</v>
          </cell>
          <cell r="P164">
            <v>43</v>
          </cell>
          <cell r="Q164" t="str">
            <v>Repalle</v>
          </cell>
          <cell r="R164">
            <v>23</v>
          </cell>
          <cell r="S164" t="str">
            <v>I.B patnam</v>
          </cell>
          <cell r="T164">
            <v>85</v>
          </cell>
          <cell r="Y164" t="str">
            <v>Repalle</v>
          </cell>
          <cell r="Z164">
            <v>23</v>
          </cell>
          <cell r="AA164">
            <v>0</v>
          </cell>
        </row>
        <row r="165">
          <cell r="A165">
            <v>161</v>
          </cell>
          <cell r="B165" t="str">
            <v>Siripudi</v>
          </cell>
          <cell r="C165" t="str">
            <v>Paturu H/O Sirpudi</v>
          </cell>
          <cell r="D165" t="str">
            <v>Nagaram</v>
          </cell>
          <cell r="E165" t="str">
            <v>Local</v>
          </cell>
          <cell r="F165">
            <v>1</v>
          </cell>
          <cell r="G165" t="str">
            <v>Zoolapalem</v>
          </cell>
          <cell r="H165">
            <v>29</v>
          </cell>
          <cell r="I165" t="str">
            <v>Lam</v>
          </cell>
          <cell r="J165">
            <v>60</v>
          </cell>
          <cell r="K165" t="str">
            <v>Kolluru</v>
          </cell>
          <cell r="L165">
            <v>35</v>
          </cell>
          <cell r="M165" t="str">
            <v>Vejandla</v>
          </cell>
          <cell r="N165">
            <v>44</v>
          </cell>
          <cell r="O165" t="str">
            <v>Vejandla</v>
          </cell>
          <cell r="P165">
            <v>44</v>
          </cell>
          <cell r="Q165" t="str">
            <v>Repalle</v>
          </cell>
          <cell r="R165">
            <v>22</v>
          </cell>
          <cell r="S165" t="str">
            <v>I.B patnam</v>
          </cell>
          <cell r="T165">
            <v>85</v>
          </cell>
          <cell r="Y165" t="str">
            <v>Repalle</v>
          </cell>
          <cell r="Z165">
            <v>22</v>
          </cell>
          <cell r="AA165">
            <v>0</v>
          </cell>
        </row>
        <row r="166">
          <cell r="A166">
            <v>162</v>
          </cell>
          <cell r="B166" t="str">
            <v>Pedamatlapudi</v>
          </cell>
          <cell r="C166" t="str">
            <v>Pedamatlapudi</v>
          </cell>
          <cell r="D166" t="str">
            <v>Nagaram</v>
          </cell>
          <cell r="E166" t="str">
            <v>Local</v>
          </cell>
          <cell r="F166">
            <v>1</v>
          </cell>
          <cell r="G166" t="str">
            <v>Zoolapalem</v>
          </cell>
          <cell r="H166">
            <v>32</v>
          </cell>
          <cell r="I166" t="str">
            <v>Lam</v>
          </cell>
          <cell r="J166">
            <v>67</v>
          </cell>
          <cell r="K166" t="str">
            <v>Kolluru</v>
          </cell>
          <cell r="L166">
            <v>38</v>
          </cell>
          <cell r="M166" t="str">
            <v>Vejandla</v>
          </cell>
          <cell r="N166">
            <v>44</v>
          </cell>
          <cell r="O166" t="str">
            <v>Vejandla</v>
          </cell>
          <cell r="P166">
            <v>44</v>
          </cell>
          <cell r="Q166" t="str">
            <v>Repalle</v>
          </cell>
          <cell r="R166">
            <v>25</v>
          </cell>
          <cell r="S166" t="str">
            <v>I.B patnam</v>
          </cell>
          <cell r="T166">
            <v>85</v>
          </cell>
          <cell r="Y166" t="str">
            <v>Repalle</v>
          </cell>
          <cell r="Z166">
            <v>25</v>
          </cell>
          <cell r="AA166">
            <v>0</v>
          </cell>
        </row>
        <row r="167">
          <cell r="A167">
            <v>163</v>
          </cell>
          <cell r="B167" t="str">
            <v>Pedapalli</v>
          </cell>
          <cell r="C167" t="str">
            <v>Pedapalli</v>
          </cell>
          <cell r="D167" t="str">
            <v>Nagaram</v>
          </cell>
          <cell r="E167" t="str">
            <v>Local</v>
          </cell>
          <cell r="F167">
            <v>2</v>
          </cell>
          <cell r="G167" t="str">
            <v>Zoolapalem</v>
          </cell>
          <cell r="H167">
            <v>37</v>
          </cell>
          <cell r="I167" t="str">
            <v>Lam</v>
          </cell>
          <cell r="J167">
            <v>60</v>
          </cell>
          <cell r="K167" t="str">
            <v>Kolluru</v>
          </cell>
          <cell r="L167">
            <v>42</v>
          </cell>
          <cell r="M167" t="str">
            <v>Vejandla</v>
          </cell>
          <cell r="N167">
            <v>49</v>
          </cell>
          <cell r="O167" t="str">
            <v>Vejandla</v>
          </cell>
          <cell r="P167">
            <v>49</v>
          </cell>
          <cell r="Q167" t="str">
            <v>Repalle</v>
          </cell>
          <cell r="R167">
            <v>29</v>
          </cell>
          <cell r="S167" t="str">
            <v>I.B patnam</v>
          </cell>
          <cell r="T167">
            <v>85</v>
          </cell>
          <cell r="Y167" t="str">
            <v>Repalle</v>
          </cell>
          <cell r="Z167">
            <v>29</v>
          </cell>
          <cell r="AA167">
            <v>0</v>
          </cell>
        </row>
        <row r="168">
          <cell r="A168">
            <v>164</v>
          </cell>
          <cell r="B168" t="str">
            <v>Peddavaram</v>
          </cell>
          <cell r="C168" t="str">
            <v>Peddavaram</v>
          </cell>
          <cell r="D168" t="str">
            <v>Nagaram</v>
          </cell>
          <cell r="E168" t="str">
            <v>Local</v>
          </cell>
          <cell r="F168">
            <v>3</v>
          </cell>
          <cell r="G168" t="str">
            <v>Zoolapalem</v>
          </cell>
          <cell r="H168">
            <v>18</v>
          </cell>
          <cell r="I168" t="str">
            <v>Lam</v>
          </cell>
          <cell r="J168">
            <v>66</v>
          </cell>
          <cell r="K168" t="str">
            <v>Kolluru</v>
          </cell>
          <cell r="L168">
            <v>22</v>
          </cell>
          <cell r="M168" t="str">
            <v>Vejandla</v>
          </cell>
          <cell r="N168">
            <v>47</v>
          </cell>
          <cell r="O168" t="str">
            <v>Vejandla</v>
          </cell>
          <cell r="P168">
            <v>47</v>
          </cell>
          <cell r="Q168" t="str">
            <v>Repalle</v>
          </cell>
          <cell r="R168">
            <v>18</v>
          </cell>
          <cell r="S168" t="str">
            <v>I.B patnam</v>
          </cell>
          <cell r="T168">
            <v>85</v>
          </cell>
          <cell r="Y168" t="str">
            <v>Repalle</v>
          </cell>
          <cell r="Z168">
            <v>18</v>
          </cell>
          <cell r="AA168">
            <v>0</v>
          </cell>
        </row>
        <row r="169">
          <cell r="A169">
            <v>165</v>
          </cell>
          <cell r="B169" t="str">
            <v>Karakankivaripalem</v>
          </cell>
          <cell r="C169" t="str">
            <v>Peetavaripalem</v>
          </cell>
          <cell r="D169" t="str">
            <v>Nagaram</v>
          </cell>
          <cell r="E169" t="str">
            <v>Local</v>
          </cell>
          <cell r="F169">
            <v>2</v>
          </cell>
          <cell r="G169" t="str">
            <v>Zoolapalem</v>
          </cell>
          <cell r="H169">
            <v>24</v>
          </cell>
          <cell r="I169" t="str">
            <v>Lam</v>
          </cell>
          <cell r="J169">
            <v>72</v>
          </cell>
          <cell r="K169" t="str">
            <v>Kolluru</v>
          </cell>
          <cell r="L169">
            <v>28</v>
          </cell>
          <cell r="M169" t="str">
            <v>Vejandla</v>
          </cell>
          <cell r="N169">
            <v>53</v>
          </cell>
          <cell r="O169" t="str">
            <v>Vejandla</v>
          </cell>
          <cell r="P169">
            <v>53</v>
          </cell>
          <cell r="Q169" t="str">
            <v>Repalle</v>
          </cell>
          <cell r="R169">
            <v>13</v>
          </cell>
          <cell r="S169" t="str">
            <v>I.B patnam</v>
          </cell>
          <cell r="T169">
            <v>85</v>
          </cell>
          <cell r="Y169" t="str">
            <v>Repalle</v>
          </cell>
          <cell r="Z169">
            <v>13</v>
          </cell>
          <cell r="AA169">
            <v>0.2</v>
          </cell>
        </row>
        <row r="170">
          <cell r="A170">
            <v>166</v>
          </cell>
          <cell r="B170" t="str">
            <v>Pudiwada</v>
          </cell>
          <cell r="C170" t="str">
            <v>Pudiwada</v>
          </cell>
          <cell r="D170" t="str">
            <v>Nagaram</v>
          </cell>
          <cell r="E170" t="str">
            <v>Local</v>
          </cell>
          <cell r="F170">
            <v>2</v>
          </cell>
          <cell r="G170" t="str">
            <v>Zoolapalem</v>
          </cell>
          <cell r="H170">
            <v>33</v>
          </cell>
          <cell r="I170" t="str">
            <v>Lam</v>
          </cell>
          <cell r="J170">
            <v>66</v>
          </cell>
          <cell r="K170" t="str">
            <v>Kolluru</v>
          </cell>
          <cell r="L170">
            <v>34</v>
          </cell>
          <cell r="M170" t="str">
            <v>Vejandla</v>
          </cell>
          <cell r="N170">
            <v>44</v>
          </cell>
          <cell r="O170" t="str">
            <v>Vejandla</v>
          </cell>
          <cell r="P170">
            <v>44</v>
          </cell>
          <cell r="Q170" t="str">
            <v>Repalle</v>
          </cell>
          <cell r="R170">
            <v>18</v>
          </cell>
          <cell r="S170" t="str">
            <v>I.B patnam</v>
          </cell>
          <cell r="T170">
            <v>85</v>
          </cell>
          <cell r="Y170" t="str">
            <v>Repalle</v>
          </cell>
          <cell r="Z170">
            <v>18</v>
          </cell>
          <cell r="AA170">
            <v>0</v>
          </cell>
        </row>
        <row r="171">
          <cell r="A171">
            <v>167</v>
          </cell>
          <cell r="B171" t="str">
            <v>Chinamatlapudi</v>
          </cell>
          <cell r="C171" t="str">
            <v>Redlapalem</v>
          </cell>
          <cell r="D171" t="str">
            <v>Nagaram</v>
          </cell>
          <cell r="E171" t="str">
            <v>Local</v>
          </cell>
          <cell r="F171">
            <v>1</v>
          </cell>
          <cell r="G171" t="str">
            <v>Zoolapalem</v>
          </cell>
          <cell r="H171">
            <v>32</v>
          </cell>
          <cell r="I171" t="str">
            <v>Lam</v>
          </cell>
          <cell r="J171">
            <v>67</v>
          </cell>
          <cell r="K171" t="str">
            <v>Kolluru</v>
          </cell>
          <cell r="L171">
            <v>38</v>
          </cell>
          <cell r="M171" t="str">
            <v>Vejandla</v>
          </cell>
          <cell r="N171">
            <v>44</v>
          </cell>
          <cell r="O171" t="str">
            <v>Vejandla</v>
          </cell>
          <cell r="P171">
            <v>44</v>
          </cell>
          <cell r="Q171" t="str">
            <v>Repalle</v>
          </cell>
          <cell r="R171">
            <v>25</v>
          </cell>
          <cell r="S171" t="str">
            <v>I.B patnam</v>
          </cell>
          <cell r="T171">
            <v>85</v>
          </cell>
          <cell r="Y171" t="str">
            <v>Repalle</v>
          </cell>
          <cell r="Z171">
            <v>25</v>
          </cell>
          <cell r="AA171">
            <v>0</v>
          </cell>
        </row>
        <row r="172">
          <cell r="A172">
            <v>168</v>
          </cell>
          <cell r="B172" t="str">
            <v>Sajjavaripalem</v>
          </cell>
          <cell r="C172" t="str">
            <v>Sajjavaripalem</v>
          </cell>
          <cell r="D172" t="str">
            <v>Nagaram</v>
          </cell>
          <cell r="E172" t="str">
            <v>Local</v>
          </cell>
          <cell r="F172">
            <v>2</v>
          </cell>
          <cell r="G172" t="str">
            <v>Zoolapalem</v>
          </cell>
          <cell r="H172">
            <v>29</v>
          </cell>
          <cell r="I172" t="str">
            <v>Lam</v>
          </cell>
          <cell r="J172">
            <v>74</v>
          </cell>
          <cell r="K172" t="str">
            <v>Kolluru</v>
          </cell>
          <cell r="L172">
            <v>33</v>
          </cell>
          <cell r="M172" t="str">
            <v>Vejandla</v>
          </cell>
          <cell r="N172">
            <v>55</v>
          </cell>
          <cell r="O172" t="str">
            <v>Vejandla</v>
          </cell>
          <cell r="P172">
            <v>55</v>
          </cell>
          <cell r="Q172" t="str">
            <v>Repalle</v>
          </cell>
          <cell r="R172">
            <v>7</v>
          </cell>
          <cell r="S172" t="str">
            <v>I.B patnam</v>
          </cell>
          <cell r="T172">
            <v>85</v>
          </cell>
          <cell r="Y172" t="str">
            <v>Repalle</v>
          </cell>
          <cell r="Z172">
            <v>7</v>
          </cell>
          <cell r="AA172">
            <v>0.2</v>
          </cell>
        </row>
        <row r="173">
          <cell r="A173">
            <v>169</v>
          </cell>
          <cell r="B173" t="str">
            <v>Chinamatlapudi</v>
          </cell>
          <cell r="C173" t="str">
            <v>Sampatipalem</v>
          </cell>
          <cell r="D173" t="str">
            <v>Nagaram</v>
          </cell>
          <cell r="E173" t="str">
            <v>Local</v>
          </cell>
          <cell r="F173">
            <v>1</v>
          </cell>
          <cell r="G173" t="str">
            <v>Zoolapalem</v>
          </cell>
          <cell r="H173">
            <v>32</v>
          </cell>
          <cell r="I173" t="str">
            <v>Lam</v>
          </cell>
          <cell r="J173">
            <v>67</v>
          </cell>
          <cell r="K173" t="str">
            <v>Kolluru</v>
          </cell>
          <cell r="L173">
            <v>38</v>
          </cell>
          <cell r="M173" t="str">
            <v>Vejandla</v>
          </cell>
          <cell r="N173">
            <v>44</v>
          </cell>
          <cell r="O173" t="str">
            <v>Vejandla</v>
          </cell>
          <cell r="P173">
            <v>44</v>
          </cell>
          <cell r="Q173" t="str">
            <v>Repalle</v>
          </cell>
          <cell r="R173">
            <v>25</v>
          </cell>
          <cell r="S173" t="str">
            <v>I.B patnam</v>
          </cell>
          <cell r="T173">
            <v>85</v>
          </cell>
          <cell r="Y173" t="str">
            <v>Repalle</v>
          </cell>
          <cell r="Z173">
            <v>25</v>
          </cell>
          <cell r="AA173">
            <v>0</v>
          </cell>
        </row>
        <row r="174">
          <cell r="A174">
            <v>170</v>
          </cell>
          <cell r="B174" t="str">
            <v>Bellamvaripalem</v>
          </cell>
          <cell r="C174" t="str">
            <v>Satyaharischandrapuram</v>
          </cell>
          <cell r="D174" t="str">
            <v>Nagaram</v>
          </cell>
          <cell r="E174" t="str">
            <v>Local</v>
          </cell>
          <cell r="F174">
            <v>2</v>
          </cell>
          <cell r="G174" t="str">
            <v>Zoolapalem</v>
          </cell>
          <cell r="H174">
            <v>30</v>
          </cell>
          <cell r="I174" t="str">
            <v>Lam</v>
          </cell>
          <cell r="J174">
            <v>71</v>
          </cell>
          <cell r="K174" t="str">
            <v>Kolluru</v>
          </cell>
          <cell r="L174">
            <v>36</v>
          </cell>
          <cell r="M174" t="str">
            <v>Vejandla</v>
          </cell>
          <cell r="N174">
            <v>50</v>
          </cell>
          <cell r="O174" t="str">
            <v>Vejandla</v>
          </cell>
          <cell r="P174">
            <v>50</v>
          </cell>
          <cell r="Q174" t="str">
            <v>Repalle</v>
          </cell>
          <cell r="R174">
            <v>12</v>
          </cell>
          <cell r="S174" t="str">
            <v>I.B patnam</v>
          </cell>
          <cell r="T174">
            <v>85</v>
          </cell>
          <cell r="Y174" t="str">
            <v>Repalle</v>
          </cell>
          <cell r="Z174">
            <v>12</v>
          </cell>
          <cell r="AA174">
            <v>0</v>
          </cell>
        </row>
        <row r="175">
          <cell r="A175">
            <v>171</v>
          </cell>
          <cell r="B175" t="str">
            <v>Pedapalli</v>
          </cell>
          <cell r="C175" t="str">
            <v>Satyanarayanapuram</v>
          </cell>
          <cell r="D175" t="str">
            <v>Nagaram</v>
          </cell>
          <cell r="E175" t="str">
            <v>Local</v>
          </cell>
          <cell r="F175">
            <v>2</v>
          </cell>
          <cell r="G175" t="str">
            <v>Zoolapalem</v>
          </cell>
          <cell r="H175">
            <v>37</v>
          </cell>
          <cell r="I175" t="str">
            <v>Lam</v>
          </cell>
          <cell r="J175">
            <v>60</v>
          </cell>
          <cell r="K175" t="str">
            <v>Kolluru</v>
          </cell>
          <cell r="L175">
            <v>42</v>
          </cell>
          <cell r="M175" t="str">
            <v>Vejandla</v>
          </cell>
          <cell r="N175">
            <v>49</v>
          </cell>
          <cell r="O175" t="str">
            <v>Vejandla</v>
          </cell>
          <cell r="P175">
            <v>49</v>
          </cell>
          <cell r="Q175" t="str">
            <v>Repalle</v>
          </cell>
          <cell r="R175">
            <v>29</v>
          </cell>
          <cell r="S175" t="str">
            <v>I.B patnam</v>
          </cell>
          <cell r="T175">
            <v>85</v>
          </cell>
          <cell r="Y175" t="str">
            <v>Repalle</v>
          </cell>
          <cell r="Z175">
            <v>29</v>
          </cell>
          <cell r="AA175">
            <v>0</v>
          </cell>
        </row>
        <row r="176">
          <cell r="A176">
            <v>172</v>
          </cell>
          <cell r="B176" t="str">
            <v>Siripudi</v>
          </cell>
          <cell r="C176" t="str">
            <v>Siripudi</v>
          </cell>
          <cell r="D176" t="str">
            <v>Nagaram</v>
          </cell>
          <cell r="E176" t="str">
            <v>Local</v>
          </cell>
          <cell r="F176">
            <v>1</v>
          </cell>
          <cell r="G176" t="str">
            <v>Zoolapalem</v>
          </cell>
          <cell r="H176">
            <v>29</v>
          </cell>
          <cell r="I176" t="str">
            <v>Lam</v>
          </cell>
          <cell r="J176">
            <v>60</v>
          </cell>
          <cell r="K176" t="str">
            <v>Kolluru</v>
          </cell>
          <cell r="L176">
            <v>35</v>
          </cell>
          <cell r="M176" t="str">
            <v>Vejandla</v>
          </cell>
          <cell r="N176">
            <v>44</v>
          </cell>
          <cell r="O176" t="str">
            <v>Vejandla</v>
          </cell>
          <cell r="P176">
            <v>44</v>
          </cell>
          <cell r="Q176" t="str">
            <v>Repalle</v>
          </cell>
          <cell r="R176">
            <v>22</v>
          </cell>
          <cell r="S176" t="str">
            <v>I.B patnam</v>
          </cell>
          <cell r="T176">
            <v>85</v>
          </cell>
          <cell r="Y176" t="str">
            <v>Repalle</v>
          </cell>
          <cell r="Z176">
            <v>22</v>
          </cell>
          <cell r="AA176">
            <v>0</v>
          </cell>
        </row>
        <row r="177">
          <cell r="A177">
            <v>173</v>
          </cell>
          <cell r="B177" t="str">
            <v>Kattava</v>
          </cell>
          <cell r="C177" t="str">
            <v>Sreerampuram</v>
          </cell>
          <cell r="D177" t="str">
            <v>Nagaram</v>
          </cell>
          <cell r="E177" t="str">
            <v>Local</v>
          </cell>
          <cell r="F177">
            <v>2</v>
          </cell>
          <cell r="G177" t="str">
            <v>Zoolapalem</v>
          </cell>
          <cell r="H177">
            <v>37</v>
          </cell>
          <cell r="I177" t="str">
            <v>Lam</v>
          </cell>
          <cell r="J177">
            <v>80</v>
          </cell>
          <cell r="K177" t="str">
            <v>Kolluru</v>
          </cell>
          <cell r="L177">
            <v>39</v>
          </cell>
          <cell r="M177" t="str">
            <v>Vejandla</v>
          </cell>
          <cell r="N177">
            <v>61</v>
          </cell>
          <cell r="O177" t="str">
            <v>Vejandla</v>
          </cell>
          <cell r="P177">
            <v>61</v>
          </cell>
          <cell r="Q177" t="str">
            <v>Repalle</v>
          </cell>
          <cell r="R177">
            <v>13</v>
          </cell>
          <cell r="S177" t="str">
            <v>I.B patnam</v>
          </cell>
          <cell r="T177">
            <v>85</v>
          </cell>
          <cell r="Y177" t="str">
            <v>Repalle</v>
          </cell>
          <cell r="Z177">
            <v>13</v>
          </cell>
          <cell r="AA177">
            <v>0.2</v>
          </cell>
        </row>
        <row r="178">
          <cell r="A178">
            <v>174</v>
          </cell>
          <cell r="B178" t="str">
            <v>Pedapalli</v>
          </cell>
          <cell r="C178" t="str">
            <v>Srinagaram</v>
          </cell>
          <cell r="D178" t="str">
            <v>Nagaram</v>
          </cell>
          <cell r="E178" t="str">
            <v>Local</v>
          </cell>
          <cell r="F178">
            <v>2</v>
          </cell>
          <cell r="G178" t="str">
            <v>Zoolapalem</v>
          </cell>
          <cell r="H178">
            <v>38</v>
          </cell>
          <cell r="I178" t="str">
            <v>Lam</v>
          </cell>
          <cell r="J178">
            <v>61</v>
          </cell>
          <cell r="K178" t="str">
            <v>Kolluru</v>
          </cell>
          <cell r="L178">
            <v>43</v>
          </cell>
          <cell r="M178" t="str">
            <v>Vejandla</v>
          </cell>
          <cell r="N178">
            <v>50</v>
          </cell>
          <cell r="O178" t="str">
            <v>Vejandla</v>
          </cell>
          <cell r="P178">
            <v>50</v>
          </cell>
          <cell r="Q178" t="str">
            <v>Repalle</v>
          </cell>
          <cell r="R178">
            <v>30</v>
          </cell>
          <cell r="S178" t="str">
            <v>I.B patnam</v>
          </cell>
          <cell r="T178">
            <v>85</v>
          </cell>
          <cell r="Y178" t="str">
            <v>Repalle</v>
          </cell>
          <cell r="Z178">
            <v>30</v>
          </cell>
          <cell r="AA178">
            <v>0</v>
          </cell>
        </row>
        <row r="179">
          <cell r="A179">
            <v>175</v>
          </cell>
          <cell r="B179" t="str">
            <v>Mantripalem</v>
          </cell>
          <cell r="C179" t="str">
            <v>Sriramachandrapuram</v>
          </cell>
          <cell r="D179" t="str">
            <v>Nagaram</v>
          </cell>
          <cell r="E179" t="str">
            <v>Local</v>
          </cell>
          <cell r="F179">
            <v>6</v>
          </cell>
          <cell r="G179" t="str">
            <v>Zoolapalem</v>
          </cell>
          <cell r="H179">
            <v>35</v>
          </cell>
          <cell r="I179" t="str">
            <v>Lam</v>
          </cell>
          <cell r="J179">
            <v>80</v>
          </cell>
          <cell r="K179" t="str">
            <v>Kolluru</v>
          </cell>
          <cell r="L179">
            <v>39</v>
          </cell>
          <cell r="M179" t="str">
            <v>Vejandla</v>
          </cell>
          <cell r="N179">
            <v>61</v>
          </cell>
          <cell r="O179" t="str">
            <v>Vejandla</v>
          </cell>
          <cell r="P179">
            <v>61</v>
          </cell>
          <cell r="Q179" t="str">
            <v>Repalle</v>
          </cell>
          <cell r="R179">
            <v>18</v>
          </cell>
          <cell r="S179" t="str">
            <v>I.B patnam</v>
          </cell>
          <cell r="T179">
            <v>85</v>
          </cell>
          <cell r="Y179" t="str">
            <v>Repalle</v>
          </cell>
          <cell r="Z179">
            <v>18</v>
          </cell>
          <cell r="AA179">
            <v>0.2</v>
          </cell>
        </row>
        <row r="180">
          <cell r="A180">
            <v>176</v>
          </cell>
          <cell r="B180" t="str">
            <v>Tadivakavaripalem</v>
          </cell>
          <cell r="C180" t="str">
            <v>Tadivakavaripalem</v>
          </cell>
          <cell r="D180" t="str">
            <v>Nagaram</v>
          </cell>
          <cell r="E180" t="str">
            <v>Local</v>
          </cell>
          <cell r="F180">
            <v>2</v>
          </cell>
          <cell r="G180" t="str">
            <v>Zoolapalem</v>
          </cell>
          <cell r="H180">
            <v>32</v>
          </cell>
          <cell r="I180" t="str">
            <v>Lam</v>
          </cell>
          <cell r="J180">
            <v>70</v>
          </cell>
          <cell r="K180" t="str">
            <v>Kolluru</v>
          </cell>
          <cell r="L180">
            <v>41</v>
          </cell>
          <cell r="M180" t="str">
            <v>Vejandla</v>
          </cell>
          <cell r="N180">
            <v>50</v>
          </cell>
          <cell r="O180" t="str">
            <v>Vejandla</v>
          </cell>
          <cell r="P180">
            <v>50</v>
          </cell>
          <cell r="Q180" t="str">
            <v>Repalle</v>
          </cell>
          <cell r="R180">
            <v>19</v>
          </cell>
          <cell r="S180" t="str">
            <v>I.B patnam</v>
          </cell>
          <cell r="T180">
            <v>85</v>
          </cell>
          <cell r="Y180" t="str">
            <v>Repalle</v>
          </cell>
          <cell r="Z180">
            <v>19</v>
          </cell>
          <cell r="AA180">
            <v>0</v>
          </cell>
        </row>
        <row r="181">
          <cell r="A181">
            <v>177</v>
          </cell>
          <cell r="B181" t="str">
            <v>Thotapalli</v>
          </cell>
          <cell r="C181" t="str">
            <v>Thotapalli</v>
          </cell>
          <cell r="D181" t="str">
            <v>Nagaram</v>
          </cell>
          <cell r="E181" t="str">
            <v>Local</v>
          </cell>
          <cell r="F181">
            <v>2</v>
          </cell>
          <cell r="G181" t="str">
            <v>Zoolapalem</v>
          </cell>
          <cell r="H181">
            <v>19</v>
          </cell>
          <cell r="I181" t="str">
            <v>Lam</v>
          </cell>
          <cell r="J181">
            <v>67</v>
          </cell>
          <cell r="K181" t="str">
            <v>Kolluru</v>
          </cell>
          <cell r="L181">
            <v>23</v>
          </cell>
          <cell r="M181" t="str">
            <v>Vejandla</v>
          </cell>
          <cell r="N181">
            <v>49</v>
          </cell>
          <cell r="O181" t="str">
            <v>Vejandla</v>
          </cell>
          <cell r="P181">
            <v>49</v>
          </cell>
          <cell r="Q181" t="str">
            <v>Repalle</v>
          </cell>
          <cell r="R181">
            <v>17</v>
          </cell>
          <cell r="S181" t="str">
            <v>I.B patnam</v>
          </cell>
          <cell r="T181">
            <v>85</v>
          </cell>
          <cell r="Y181" t="str">
            <v>Repalle</v>
          </cell>
          <cell r="Z181">
            <v>17</v>
          </cell>
          <cell r="AA181">
            <v>0.2</v>
          </cell>
        </row>
        <row r="182">
          <cell r="A182">
            <v>178</v>
          </cell>
          <cell r="B182" t="str">
            <v>Dhulipudi</v>
          </cell>
          <cell r="C182" t="str">
            <v>Turupubandelavaripalem</v>
          </cell>
          <cell r="D182" t="str">
            <v>Nagaram</v>
          </cell>
          <cell r="E182" t="str">
            <v>Local</v>
          </cell>
          <cell r="F182">
            <v>2</v>
          </cell>
          <cell r="G182" t="str">
            <v>Zoolapalem</v>
          </cell>
          <cell r="H182">
            <v>23</v>
          </cell>
          <cell r="I182" t="str">
            <v>Lam</v>
          </cell>
          <cell r="J182">
            <v>69</v>
          </cell>
          <cell r="K182" t="str">
            <v>Kolluru</v>
          </cell>
          <cell r="L182">
            <v>25</v>
          </cell>
          <cell r="M182" t="str">
            <v>Vejandla</v>
          </cell>
          <cell r="N182">
            <v>53</v>
          </cell>
          <cell r="O182" t="str">
            <v>Vejandla</v>
          </cell>
          <cell r="P182">
            <v>53</v>
          </cell>
          <cell r="Q182" t="str">
            <v>Repalle</v>
          </cell>
          <cell r="R182">
            <v>14</v>
          </cell>
          <cell r="S182" t="str">
            <v>I.B patnam</v>
          </cell>
          <cell r="T182">
            <v>85</v>
          </cell>
          <cell r="Y182" t="str">
            <v>Repalle</v>
          </cell>
          <cell r="Z182">
            <v>14</v>
          </cell>
          <cell r="AA182">
            <v>0.2</v>
          </cell>
        </row>
        <row r="183">
          <cell r="A183">
            <v>179</v>
          </cell>
          <cell r="B183" t="str">
            <v>Pudiwada</v>
          </cell>
          <cell r="C183" t="str">
            <v>Turupupalem H/O Pudiwada</v>
          </cell>
          <cell r="D183" t="str">
            <v>Nagaram</v>
          </cell>
          <cell r="E183" t="str">
            <v>Local</v>
          </cell>
          <cell r="F183">
            <v>2</v>
          </cell>
          <cell r="G183" t="str">
            <v>Zoolapalem</v>
          </cell>
          <cell r="H183">
            <v>33</v>
          </cell>
          <cell r="I183" t="str">
            <v>Lam</v>
          </cell>
          <cell r="J183">
            <v>66</v>
          </cell>
          <cell r="K183" t="str">
            <v>Kolluru</v>
          </cell>
          <cell r="L183">
            <v>34</v>
          </cell>
          <cell r="M183" t="str">
            <v>Vejandla</v>
          </cell>
          <cell r="N183">
            <v>44</v>
          </cell>
          <cell r="O183" t="str">
            <v>Vejandla</v>
          </cell>
          <cell r="P183">
            <v>44</v>
          </cell>
          <cell r="Q183" t="str">
            <v>Repalle</v>
          </cell>
          <cell r="R183">
            <v>18</v>
          </cell>
          <cell r="S183" t="str">
            <v>I.B patnam</v>
          </cell>
          <cell r="T183">
            <v>85</v>
          </cell>
          <cell r="Y183" t="str">
            <v>Repalle</v>
          </cell>
          <cell r="Z183">
            <v>18</v>
          </cell>
          <cell r="AA183">
            <v>0</v>
          </cell>
        </row>
        <row r="184">
          <cell r="A184">
            <v>180</v>
          </cell>
          <cell r="B184" t="str">
            <v>Ullipalem</v>
          </cell>
          <cell r="C184" t="str">
            <v>Ullipalem</v>
          </cell>
          <cell r="D184" t="str">
            <v>Nagaram</v>
          </cell>
          <cell r="E184" t="str">
            <v>Local</v>
          </cell>
          <cell r="F184">
            <v>4</v>
          </cell>
          <cell r="G184" t="str">
            <v>Zoolapalem</v>
          </cell>
          <cell r="H184">
            <v>30</v>
          </cell>
          <cell r="I184" t="str">
            <v>Lam</v>
          </cell>
          <cell r="J184">
            <v>75</v>
          </cell>
          <cell r="K184" t="str">
            <v>Kolluru</v>
          </cell>
          <cell r="L184">
            <v>34</v>
          </cell>
          <cell r="M184" t="str">
            <v>Vejandla</v>
          </cell>
          <cell r="N184">
            <v>56</v>
          </cell>
          <cell r="O184" t="str">
            <v>Vejandla</v>
          </cell>
          <cell r="P184">
            <v>56</v>
          </cell>
          <cell r="Q184" t="str">
            <v>Repalle</v>
          </cell>
          <cell r="R184">
            <v>8</v>
          </cell>
          <cell r="S184" t="str">
            <v>I.B patnam</v>
          </cell>
          <cell r="T184">
            <v>85</v>
          </cell>
          <cell r="Y184" t="str">
            <v>Repalle</v>
          </cell>
          <cell r="Z184">
            <v>8</v>
          </cell>
          <cell r="AA184">
            <v>0.2</v>
          </cell>
        </row>
        <row r="185">
          <cell r="A185">
            <v>181</v>
          </cell>
          <cell r="B185" t="str">
            <v>Pudiwada</v>
          </cell>
          <cell r="C185" t="str">
            <v>Uttarapalem H/O Pudiwada</v>
          </cell>
          <cell r="D185" t="str">
            <v>Nagaram</v>
          </cell>
          <cell r="E185" t="str">
            <v>Local</v>
          </cell>
          <cell r="F185">
            <v>2</v>
          </cell>
          <cell r="G185" t="str">
            <v>Zoolapalem</v>
          </cell>
          <cell r="H185">
            <v>33</v>
          </cell>
          <cell r="I185" t="str">
            <v>Lam</v>
          </cell>
          <cell r="J185">
            <v>66</v>
          </cell>
          <cell r="K185" t="str">
            <v>Kolluru</v>
          </cell>
          <cell r="L185">
            <v>34</v>
          </cell>
          <cell r="M185" t="str">
            <v>Vejandla</v>
          </cell>
          <cell r="N185">
            <v>44</v>
          </cell>
          <cell r="O185" t="str">
            <v>Vejandla</v>
          </cell>
          <cell r="P185">
            <v>44</v>
          </cell>
          <cell r="Q185" t="str">
            <v>Repalle</v>
          </cell>
          <cell r="R185">
            <v>18</v>
          </cell>
          <cell r="S185" t="str">
            <v>I.B patnam</v>
          </cell>
          <cell r="T185">
            <v>85</v>
          </cell>
          <cell r="Y185" t="str">
            <v>Repalle</v>
          </cell>
          <cell r="Z185">
            <v>18</v>
          </cell>
          <cell r="AA185">
            <v>0</v>
          </cell>
        </row>
        <row r="186">
          <cell r="A186">
            <v>182</v>
          </cell>
          <cell r="B186" t="str">
            <v>Kolaganivaripalem</v>
          </cell>
          <cell r="C186" t="str">
            <v>Vaddanamvaripalem</v>
          </cell>
          <cell r="D186" t="str">
            <v>Nagaram</v>
          </cell>
          <cell r="E186" t="str">
            <v>Local</v>
          </cell>
          <cell r="F186">
            <v>3</v>
          </cell>
          <cell r="G186" t="str">
            <v>Zoolapalem</v>
          </cell>
          <cell r="H186">
            <v>22</v>
          </cell>
          <cell r="I186" t="str">
            <v>Lam</v>
          </cell>
          <cell r="J186">
            <v>70</v>
          </cell>
          <cell r="K186" t="str">
            <v>Kolluru</v>
          </cell>
          <cell r="L186">
            <v>26</v>
          </cell>
          <cell r="M186" t="str">
            <v>Vejandla</v>
          </cell>
          <cell r="N186">
            <v>51</v>
          </cell>
          <cell r="O186" t="str">
            <v>Vejandla</v>
          </cell>
          <cell r="P186">
            <v>51</v>
          </cell>
          <cell r="Q186" t="str">
            <v>Repalle</v>
          </cell>
          <cell r="R186">
            <v>13</v>
          </cell>
          <cell r="S186" t="str">
            <v>I.B patnam</v>
          </cell>
          <cell r="T186">
            <v>85</v>
          </cell>
          <cell r="Y186" t="str">
            <v>Repalle</v>
          </cell>
          <cell r="Z186">
            <v>13</v>
          </cell>
          <cell r="AA186">
            <v>0.2</v>
          </cell>
        </row>
        <row r="187">
          <cell r="A187">
            <v>183</v>
          </cell>
          <cell r="B187" t="str">
            <v>Karakankivaripalem</v>
          </cell>
          <cell r="C187" t="str">
            <v>Vakavaripalem</v>
          </cell>
          <cell r="D187" t="str">
            <v>Nagaram</v>
          </cell>
          <cell r="E187" t="str">
            <v>Local</v>
          </cell>
          <cell r="F187">
            <v>2</v>
          </cell>
          <cell r="G187" t="str">
            <v>Zoolapalem</v>
          </cell>
          <cell r="H187">
            <v>24</v>
          </cell>
          <cell r="I187" t="str">
            <v>Lam</v>
          </cell>
          <cell r="J187">
            <v>72</v>
          </cell>
          <cell r="K187" t="str">
            <v>Kolluru</v>
          </cell>
          <cell r="L187">
            <v>28</v>
          </cell>
          <cell r="M187" t="str">
            <v>Vejandla</v>
          </cell>
          <cell r="N187">
            <v>53</v>
          </cell>
          <cell r="O187" t="str">
            <v>Vejandla</v>
          </cell>
          <cell r="P187">
            <v>53</v>
          </cell>
          <cell r="Q187" t="str">
            <v>Repalle</v>
          </cell>
          <cell r="R187">
            <v>13</v>
          </cell>
          <cell r="S187" t="str">
            <v>I.B patnam</v>
          </cell>
          <cell r="T187">
            <v>85</v>
          </cell>
          <cell r="Y187" t="str">
            <v>Repalle</v>
          </cell>
          <cell r="Z187">
            <v>13</v>
          </cell>
          <cell r="AA187">
            <v>0.2</v>
          </cell>
        </row>
        <row r="188">
          <cell r="A188">
            <v>184</v>
          </cell>
          <cell r="B188" t="str">
            <v>Addankivaripalem</v>
          </cell>
          <cell r="C188" t="str">
            <v>Veerankivaripalem</v>
          </cell>
          <cell r="D188" t="str">
            <v>Nagaram</v>
          </cell>
          <cell r="E188" t="str">
            <v>Local</v>
          </cell>
          <cell r="F188">
            <v>2</v>
          </cell>
          <cell r="G188" t="str">
            <v>Zoolapalem</v>
          </cell>
          <cell r="H188">
            <v>25</v>
          </cell>
          <cell r="I188" t="str">
            <v>Lam</v>
          </cell>
          <cell r="J188">
            <v>72</v>
          </cell>
          <cell r="K188" t="str">
            <v>Kolluru</v>
          </cell>
          <cell r="L188">
            <v>29</v>
          </cell>
          <cell r="M188" t="str">
            <v>Vejandla</v>
          </cell>
          <cell r="N188">
            <v>56</v>
          </cell>
          <cell r="O188" t="str">
            <v>Vejandla</v>
          </cell>
          <cell r="P188">
            <v>56</v>
          </cell>
          <cell r="Q188" t="str">
            <v>Repalle</v>
          </cell>
          <cell r="R188">
            <v>19</v>
          </cell>
          <cell r="S188" t="str">
            <v>I.B patnam</v>
          </cell>
          <cell r="T188">
            <v>85</v>
          </cell>
          <cell r="Y188" t="str">
            <v>Repalle</v>
          </cell>
          <cell r="Z188">
            <v>19</v>
          </cell>
          <cell r="AA188">
            <v>0</v>
          </cell>
        </row>
        <row r="189">
          <cell r="A189">
            <v>185</v>
          </cell>
          <cell r="B189" t="str">
            <v>Eletipalem</v>
          </cell>
          <cell r="C189" t="str">
            <v>Velamavaripalem</v>
          </cell>
          <cell r="D189" t="str">
            <v>Nagaram</v>
          </cell>
          <cell r="E189" t="str">
            <v>Local</v>
          </cell>
          <cell r="F189">
            <v>2</v>
          </cell>
          <cell r="G189" t="str">
            <v>Zoolapalem</v>
          </cell>
          <cell r="H189">
            <v>30</v>
          </cell>
          <cell r="I189" t="str">
            <v>Lam</v>
          </cell>
          <cell r="J189">
            <v>72</v>
          </cell>
          <cell r="K189" t="str">
            <v>Kolluru</v>
          </cell>
          <cell r="L189">
            <v>35</v>
          </cell>
          <cell r="M189" t="str">
            <v>Vejandla</v>
          </cell>
          <cell r="N189">
            <v>55</v>
          </cell>
          <cell r="O189" t="str">
            <v>Vejandla</v>
          </cell>
          <cell r="P189">
            <v>55</v>
          </cell>
          <cell r="Q189" t="str">
            <v>Repalle</v>
          </cell>
          <cell r="R189">
            <v>11</v>
          </cell>
          <cell r="S189" t="str">
            <v>I.B patnam</v>
          </cell>
          <cell r="T189">
            <v>85</v>
          </cell>
          <cell r="Y189" t="str">
            <v>Repalle</v>
          </cell>
          <cell r="Z189">
            <v>11</v>
          </cell>
          <cell r="AA189">
            <v>0.2</v>
          </cell>
        </row>
        <row r="190">
          <cell r="A190">
            <v>186</v>
          </cell>
          <cell r="B190" t="str">
            <v>Venigallavaripalem</v>
          </cell>
          <cell r="C190" t="str">
            <v>Venigallavaripalem</v>
          </cell>
          <cell r="D190" t="str">
            <v>Nagaram</v>
          </cell>
          <cell r="E190" t="str">
            <v>Local</v>
          </cell>
          <cell r="F190">
            <v>2</v>
          </cell>
          <cell r="G190" t="str">
            <v>Zoolapalem</v>
          </cell>
          <cell r="H190">
            <v>25</v>
          </cell>
          <cell r="I190" t="str">
            <v>Lam</v>
          </cell>
          <cell r="J190">
            <v>71</v>
          </cell>
          <cell r="K190" t="str">
            <v>Kolluru</v>
          </cell>
          <cell r="L190">
            <v>27</v>
          </cell>
          <cell r="M190" t="str">
            <v>Vejandla</v>
          </cell>
          <cell r="N190">
            <v>54</v>
          </cell>
          <cell r="O190" t="str">
            <v>Vejandla</v>
          </cell>
          <cell r="P190">
            <v>54</v>
          </cell>
          <cell r="Q190" t="str">
            <v>Repalle</v>
          </cell>
          <cell r="R190">
            <v>12</v>
          </cell>
          <cell r="S190" t="str">
            <v>I.B patnam</v>
          </cell>
          <cell r="T190">
            <v>85</v>
          </cell>
          <cell r="Y190" t="str">
            <v>Repalle</v>
          </cell>
          <cell r="Z190">
            <v>12</v>
          </cell>
          <cell r="AA190">
            <v>0.2</v>
          </cell>
        </row>
        <row r="191">
          <cell r="A191">
            <v>187</v>
          </cell>
          <cell r="B191" t="str">
            <v>Dhulipudi</v>
          </cell>
          <cell r="C191" t="str">
            <v>Vettivanimalapalli</v>
          </cell>
          <cell r="D191" t="str">
            <v>Nagaram</v>
          </cell>
          <cell r="E191" t="str">
            <v>Local</v>
          </cell>
          <cell r="F191">
            <v>2</v>
          </cell>
          <cell r="G191" t="str">
            <v>Zoolapalem</v>
          </cell>
          <cell r="H191">
            <v>25</v>
          </cell>
          <cell r="I191" t="str">
            <v>Lam</v>
          </cell>
          <cell r="J191">
            <v>71</v>
          </cell>
          <cell r="K191" t="str">
            <v>Kolluru</v>
          </cell>
          <cell r="L191">
            <v>27</v>
          </cell>
          <cell r="M191" t="str">
            <v>Vejandla</v>
          </cell>
          <cell r="N191">
            <v>55</v>
          </cell>
          <cell r="O191" t="str">
            <v>Vejandla</v>
          </cell>
          <cell r="P191">
            <v>55</v>
          </cell>
          <cell r="Q191" t="str">
            <v>Repalle</v>
          </cell>
          <cell r="R191">
            <v>15</v>
          </cell>
          <cell r="S191" t="str">
            <v>I.B patnam</v>
          </cell>
          <cell r="T191">
            <v>85</v>
          </cell>
          <cell r="Y191" t="str">
            <v>Repalle</v>
          </cell>
          <cell r="Z191">
            <v>15</v>
          </cell>
          <cell r="AA191">
            <v>0.2</v>
          </cell>
        </row>
        <row r="192">
          <cell r="A192">
            <v>188</v>
          </cell>
          <cell r="B192" t="str">
            <v>Pedamatlapudi</v>
          </cell>
          <cell r="C192" t="str">
            <v>Vudavaripalem</v>
          </cell>
          <cell r="D192" t="str">
            <v>Nagaram</v>
          </cell>
          <cell r="E192" t="str">
            <v>Local</v>
          </cell>
          <cell r="F192">
            <v>1</v>
          </cell>
          <cell r="G192" t="str">
            <v>Zoolapalem</v>
          </cell>
          <cell r="H192">
            <v>32</v>
          </cell>
          <cell r="I192" t="str">
            <v>Lam</v>
          </cell>
          <cell r="J192">
            <v>67</v>
          </cell>
          <cell r="K192" t="str">
            <v>Kolluru</v>
          </cell>
          <cell r="L192">
            <v>38</v>
          </cell>
          <cell r="M192" t="str">
            <v>Vejandla</v>
          </cell>
          <cell r="N192">
            <v>44</v>
          </cell>
          <cell r="O192" t="str">
            <v>Vejandla</v>
          </cell>
          <cell r="P192">
            <v>44</v>
          </cell>
          <cell r="Q192" t="str">
            <v>Repalle</v>
          </cell>
          <cell r="R192">
            <v>25</v>
          </cell>
          <cell r="S192" t="str">
            <v>I.B patnam</v>
          </cell>
          <cell r="T192">
            <v>85</v>
          </cell>
          <cell r="Y192" t="str">
            <v>Repalle</v>
          </cell>
          <cell r="Z192">
            <v>25</v>
          </cell>
          <cell r="AA192">
            <v>0</v>
          </cell>
        </row>
        <row r="193">
          <cell r="A193">
            <v>189</v>
          </cell>
          <cell r="B193" t="str">
            <v>Addankivaripalem</v>
          </cell>
          <cell r="C193" t="str">
            <v>Vuyyuripalem H/O Addankivaripalem</v>
          </cell>
          <cell r="D193" t="str">
            <v>Nagaram</v>
          </cell>
          <cell r="E193" t="str">
            <v>Local</v>
          </cell>
          <cell r="F193">
            <v>2</v>
          </cell>
          <cell r="G193" t="str">
            <v>Zoolapalem</v>
          </cell>
          <cell r="H193">
            <v>23</v>
          </cell>
          <cell r="I193" t="str">
            <v>Lam</v>
          </cell>
          <cell r="J193">
            <v>70</v>
          </cell>
          <cell r="K193" t="str">
            <v>Kolluru</v>
          </cell>
          <cell r="L193">
            <v>27</v>
          </cell>
          <cell r="M193" t="str">
            <v>Vejandla</v>
          </cell>
          <cell r="N193">
            <v>54</v>
          </cell>
          <cell r="O193" t="str">
            <v>Vejandla</v>
          </cell>
          <cell r="P193">
            <v>54</v>
          </cell>
          <cell r="Q193" t="str">
            <v>Repalle</v>
          </cell>
          <cell r="R193">
            <v>17</v>
          </cell>
          <cell r="S193" t="str">
            <v>I.B patnam</v>
          </cell>
          <cell r="T193">
            <v>85</v>
          </cell>
          <cell r="Y193" t="str">
            <v>Repalle</v>
          </cell>
          <cell r="Z193">
            <v>17</v>
          </cell>
          <cell r="AA193">
            <v>0.2</v>
          </cell>
        </row>
        <row r="194">
          <cell r="A194">
            <v>190</v>
          </cell>
          <cell r="B194" t="str">
            <v>Nagaram</v>
          </cell>
          <cell r="C194" t="str">
            <v>Yadavulapalem</v>
          </cell>
          <cell r="D194" t="str">
            <v>Nagaram</v>
          </cell>
          <cell r="E194" t="str">
            <v>Local</v>
          </cell>
          <cell r="F194">
            <v>2</v>
          </cell>
          <cell r="G194" t="str">
            <v>Zoolapalem</v>
          </cell>
          <cell r="H194">
            <v>30</v>
          </cell>
          <cell r="I194" t="str">
            <v>Lam</v>
          </cell>
          <cell r="J194">
            <v>68</v>
          </cell>
          <cell r="K194" t="str">
            <v>Kolluru</v>
          </cell>
          <cell r="L194">
            <v>34</v>
          </cell>
          <cell r="M194" t="str">
            <v>Vejandla</v>
          </cell>
          <cell r="N194">
            <v>48</v>
          </cell>
          <cell r="O194" t="str">
            <v>Vejandla</v>
          </cell>
          <cell r="P194">
            <v>48</v>
          </cell>
          <cell r="Q194" t="str">
            <v>Repalle</v>
          </cell>
          <cell r="R194">
            <v>15</v>
          </cell>
          <cell r="S194" t="str">
            <v>I.B patnam</v>
          </cell>
          <cell r="T194">
            <v>85</v>
          </cell>
          <cell r="Y194" t="str">
            <v>Repalle</v>
          </cell>
          <cell r="Z194">
            <v>15</v>
          </cell>
          <cell r="AA194">
            <v>0.2</v>
          </cell>
        </row>
        <row r="195">
          <cell r="A195">
            <v>191</v>
          </cell>
          <cell r="B195" t="str">
            <v>Siripudi</v>
          </cell>
          <cell r="C195" t="str">
            <v>Yanadipalem</v>
          </cell>
          <cell r="D195" t="str">
            <v>Nagaram</v>
          </cell>
          <cell r="E195" t="str">
            <v>Local</v>
          </cell>
          <cell r="F195">
            <v>1</v>
          </cell>
          <cell r="G195" t="str">
            <v>Zoolapalem</v>
          </cell>
          <cell r="H195">
            <v>30</v>
          </cell>
          <cell r="I195" t="str">
            <v>Lam</v>
          </cell>
          <cell r="J195">
            <v>59</v>
          </cell>
          <cell r="K195" t="str">
            <v>Kolluru</v>
          </cell>
          <cell r="L195">
            <v>36</v>
          </cell>
          <cell r="M195" t="str">
            <v>Vejandla</v>
          </cell>
          <cell r="N195">
            <v>43</v>
          </cell>
          <cell r="O195" t="str">
            <v>Vejandla</v>
          </cell>
          <cell r="P195">
            <v>43</v>
          </cell>
          <cell r="Q195" t="str">
            <v>Repalle</v>
          </cell>
          <cell r="R195">
            <v>23</v>
          </cell>
          <cell r="S195" t="str">
            <v>I.B patnam</v>
          </cell>
          <cell r="T195">
            <v>85</v>
          </cell>
          <cell r="Y195" t="str">
            <v>Repalle</v>
          </cell>
          <cell r="Z195">
            <v>23</v>
          </cell>
          <cell r="AA195">
            <v>0</v>
          </cell>
        </row>
        <row r="196">
          <cell r="A196">
            <v>192</v>
          </cell>
          <cell r="B196" t="str">
            <v>Bavajiaplem</v>
          </cell>
          <cell r="C196" t="str">
            <v>Adavala of Bavajipalem</v>
          </cell>
          <cell r="D196" t="str">
            <v>Nizampatnam</v>
          </cell>
          <cell r="E196" t="str">
            <v>Local</v>
          </cell>
          <cell r="F196">
            <v>2</v>
          </cell>
          <cell r="G196" t="str">
            <v>Zoolapalem</v>
          </cell>
          <cell r="H196">
            <v>42</v>
          </cell>
          <cell r="I196" t="str">
            <v>Lam</v>
          </cell>
          <cell r="J196">
            <v>67</v>
          </cell>
          <cell r="K196" t="str">
            <v>Kolluru</v>
          </cell>
          <cell r="L196">
            <v>54</v>
          </cell>
          <cell r="M196" t="str">
            <v>Vejandla</v>
          </cell>
          <cell r="N196">
            <v>49</v>
          </cell>
          <cell r="O196" t="str">
            <v>Vejandla</v>
          </cell>
          <cell r="P196">
            <v>49</v>
          </cell>
          <cell r="Q196" t="str">
            <v>Repalle</v>
          </cell>
          <cell r="R196">
            <v>26</v>
          </cell>
          <cell r="S196" t="str">
            <v>I.B patnam</v>
          </cell>
          <cell r="T196">
            <v>85</v>
          </cell>
          <cell r="Y196" t="str">
            <v>Repalle</v>
          </cell>
          <cell r="Z196">
            <v>26</v>
          </cell>
          <cell r="AA196">
            <v>0</v>
          </cell>
        </row>
        <row r="197">
          <cell r="A197">
            <v>193</v>
          </cell>
          <cell r="B197" t="str">
            <v>Dindi</v>
          </cell>
          <cell r="C197" t="str">
            <v>Adavala of Dindi</v>
          </cell>
          <cell r="D197" t="str">
            <v>Nizampatnam</v>
          </cell>
          <cell r="E197" t="str">
            <v>Local</v>
          </cell>
          <cell r="F197">
            <v>2</v>
          </cell>
          <cell r="G197" t="str">
            <v>Zoolapalem</v>
          </cell>
          <cell r="H197">
            <v>50</v>
          </cell>
          <cell r="I197" t="str">
            <v>Lam</v>
          </cell>
          <cell r="J197">
            <v>99</v>
          </cell>
          <cell r="K197" t="str">
            <v>Kolluru</v>
          </cell>
          <cell r="L197">
            <v>62</v>
          </cell>
          <cell r="M197" t="str">
            <v>Vejandla</v>
          </cell>
          <cell r="N197">
            <v>81</v>
          </cell>
          <cell r="O197" t="str">
            <v>Vejandla</v>
          </cell>
          <cell r="P197">
            <v>81</v>
          </cell>
          <cell r="Q197" t="str">
            <v>Repalle</v>
          </cell>
          <cell r="R197">
            <v>34</v>
          </cell>
          <cell r="S197" t="str">
            <v>I.B patnam</v>
          </cell>
          <cell r="T197">
            <v>85</v>
          </cell>
          <cell r="Y197" t="str">
            <v>Repalle</v>
          </cell>
          <cell r="Z197">
            <v>34</v>
          </cell>
          <cell r="AA197">
            <v>0</v>
          </cell>
        </row>
        <row r="198">
          <cell r="A198">
            <v>194</v>
          </cell>
          <cell r="B198" t="str">
            <v>Adavuladeevi</v>
          </cell>
          <cell r="C198" t="str">
            <v>Adavuladeevi</v>
          </cell>
          <cell r="D198" t="str">
            <v>Nizampatnam</v>
          </cell>
          <cell r="E198" t="str">
            <v>Local</v>
          </cell>
          <cell r="F198">
            <v>2</v>
          </cell>
          <cell r="G198" t="str">
            <v>Zoolapalem</v>
          </cell>
          <cell r="H198">
            <v>36</v>
          </cell>
          <cell r="I198" t="str">
            <v>Lam</v>
          </cell>
          <cell r="J198">
            <v>89</v>
          </cell>
          <cell r="K198" t="str">
            <v>Kolluru</v>
          </cell>
          <cell r="L198">
            <v>48</v>
          </cell>
          <cell r="M198" t="str">
            <v>Vejandla</v>
          </cell>
          <cell r="N198">
            <v>71</v>
          </cell>
          <cell r="O198" t="str">
            <v>Vejandla</v>
          </cell>
          <cell r="P198">
            <v>71</v>
          </cell>
          <cell r="Q198" t="str">
            <v>Repalle</v>
          </cell>
          <cell r="R198">
            <v>20</v>
          </cell>
          <cell r="S198" t="str">
            <v>I.B patnam</v>
          </cell>
          <cell r="T198">
            <v>85</v>
          </cell>
          <cell r="Y198" t="str">
            <v>Repalle</v>
          </cell>
          <cell r="Z198">
            <v>20</v>
          </cell>
          <cell r="AA198">
            <v>0</v>
          </cell>
        </row>
        <row r="199">
          <cell r="A199">
            <v>195</v>
          </cell>
          <cell r="B199" t="str">
            <v>Amudalapalli</v>
          </cell>
          <cell r="C199" t="str">
            <v>Amudalapalli</v>
          </cell>
          <cell r="D199" t="str">
            <v>Nizampatnam</v>
          </cell>
          <cell r="E199" t="str">
            <v>Local</v>
          </cell>
          <cell r="F199">
            <v>2</v>
          </cell>
          <cell r="G199" t="str">
            <v>Zoolapalem</v>
          </cell>
          <cell r="H199">
            <v>38</v>
          </cell>
          <cell r="I199" t="str">
            <v>Lam</v>
          </cell>
          <cell r="J199">
            <v>69</v>
          </cell>
          <cell r="K199" t="str">
            <v>Kolluru</v>
          </cell>
          <cell r="L199">
            <v>50</v>
          </cell>
          <cell r="M199" t="str">
            <v>Vejandla</v>
          </cell>
          <cell r="N199">
            <v>51</v>
          </cell>
          <cell r="O199" t="str">
            <v>Vejandla</v>
          </cell>
          <cell r="P199">
            <v>51</v>
          </cell>
          <cell r="Q199" t="str">
            <v>Repalle</v>
          </cell>
          <cell r="R199">
            <v>22</v>
          </cell>
          <cell r="S199" t="str">
            <v>I.B patnam</v>
          </cell>
          <cell r="T199">
            <v>85</v>
          </cell>
          <cell r="Y199" t="str">
            <v>Repalle</v>
          </cell>
          <cell r="Z199">
            <v>22</v>
          </cell>
          <cell r="AA199">
            <v>0</v>
          </cell>
        </row>
        <row r="200">
          <cell r="A200">
            <v>196</v>
          </cell>
          <cell r="B200" t="str">
            <v>Borravaripalem</v>
          </cell>
          <cell r="C200" t="str">
            <v>Atchutapuram</v>
          </cell>
          <cell r="D200" t="str">
            <v>Nizampatnam</v>
          </cell>
          <cell r="E200" t="str">
            <v>Local</v>
          </cell>
          <cell r="F200">
            <v>2</v>
          </cell>
          <cell r="G200" t="str">
            <v>Zoolapalem</v>
          </cell>
          <cell r="H200">
            <v>33</v>
          </cell>
          <cell r="I200" t="str">
            <v>Lam</v>
          </cell>
          <cell r="J200">
            <v>82</v>
          </cell>
          <cell r="K200" t="str">
            <v>Kolluru</v>
          </cell>
          <cell r="L200">
            <v>45</v>
          </cell>
          <cell r="M200" t="str">
            <v>Vejandla</v>
          </cell>
          <cell r="N200">
            <v>64</v>
          </cell>
          <cell r="O200" t="str">
            <v>Vejandla</v>
          </cell>
          <cell r="P200">
            <v>64</v>
          </cell>
          <cell r="Q200" t="str">
            <v>Repalle</v>
          </cell>
          <cell r="R200">
            <v>17</v>
          </cell>
          <cell r="S200" t="str">
            <v>I.B patnam</v>
          </cell>
          <cell r="T200">
            <v>85</v>
          </cell>
          <cell r="Y200" t="str">
            <v>Repalle</v>
          </cell>
          <cell r="Z200">
            <v>17</v>
          </cell>
          <cell r="AA200">
            <v>0</v>
          </cell>
        </row>
        <row r="201">
          <cell r="A201">
            <v>197</v>
          </cell>
          <cell r="B201" t="str">
            <v>Pregnam</v>
          </cell>
          <cell r="C201" t="str">
            <v>Atlavaripalem</v>
          </cell>
          <cell r="D201" t="str">
            <v>Nizampatnam</v>
          </cell>
          <cell r="E201" t="str">
            <v>Local</v>
          </cell>
          <cell r="F201">
            <v>2</v>
          </cell>
          <cell r="G201" t="str">
            <v>Zoolapalem</v>
          </cell>
          <cell r="H201">
            <v>37</v>
          </cell>
          <cell r="I201" t="str">
            <v>Lam</v>
          </cell>
          <cell r="J201">
            <v>85</v>
          </cell>
          <cell r="K201" t="str">
            <v>Kolluru</v>
          </cell>
          <cell r="L201">
            <v>48</v>
          </cell>
          <cell r="M201" t="str">
            <v>Vejandla</v>
          </cell>
          <cell r="N201">
            <v>68</v>
          </cell>
          <cell r="O201" t="str">
            <v>Vejandla</v>
          </cell>
          <cell r="P201">
            <v>68</v>
          </cell>
          <cell r="Q201" t="str">
            <v>Repalle</v>
          </cell>
          <cell r="R201">
            <v>21</v>
          </cell>
          <cell r="S201" t="str">
            <v>I.B patnam</v>
          </cell>
          <cell r="T201">
            <v>85</v>
          </cell>
          <cell r="Y201" t="str">
            <v>Repalle</v>
          </cell>
          <cell r="Z201">
            <v>21</v>
          </cell>
          <cell r="AA201">
            <v>0</v>
          </cell>
        </row>
        <row r="202">
          <cell r="A202">
            <v>198</v>
          </cell>
          <cell r="B202" t="str">
            <v>Bavajiaplem</v>
          </cell>
          <cell r="C202" t="str">
            <v>Bavajipalem</v>
          </cell>
          <cell r="D202" t="str">
            <v>Nizampatnam</v>
          </cell>
          <cell r="E202" t="str">
            <v>Local</v>
          </cell>
          <cell r="F202">
            <v>2</v>
          </cell>
          <cell r="G202" t="str">
            <v>Zoolapalem</v>
          </cell>
          <cell r="H202">
            <v>41</v>
          </cell>
          <cell r="I202" t="str">
            <v>Lam</v>
          </cell>
          <cell r="J202">
            <v>66</v>
          </cell>
          <cell r="K202" t="str">
            <v>Kolluru</v>
          </cell>
          <cell r="L202">
            <v>53</v>
          </cell>
          <cell r="M202" t="str">
            <v>Vejandla</v>
          </cell>
          <cell r="N202">
            <v>48</v>
          </cell>
          <cell r="O202" t="str">
            <v>Vejandla</v>
          </cell>
          <cell r="P202">
            <v>48</v>
          </cell>
          <cell r="Q202" t="str">
            <v>Repalle</v>
          </cell>
          <cell r="R202">
            <v>25</v>
          </cell>
          <cell r="S202" t="str">
            <v>I.B patnam</v>
          </cell>
          <cell r="T202">
            <v>85</v>
          </cell>
          <cell r="Y202" t="str">
            <v>Repalle</v>
          </cell>
          <cell r="Z202">
            <v>25</v>
          </cell>
          <cell r="AA202">
            <v>0</v>
          </cell>
        </row>
        <row r="203">
          <cell r="A203">
            <v>199</v>
          </cell>
          <cell r="B203" t="str">
            <v>Kalliphalam</v>
          </cell>
          <cell r="C203" t="str">
            <v>Bolaganivaripalem</v>
          </cell>
          <cell r="D203" t="str">
            <v>Nizampatnam</v>
          </cell>
          <cell r="E203" t="str">
            <v>Local</v>
          </cell>
          <cell r="F203">
            <v>2</v>
          </cell>
          <cell r="G203" t="str">
            <v>Zoolapalem</v>
          </cell>
          <cell r="H203">
            <v>41</v>
          </cell>
          <cell r="I203" t="str">
            <v>Lam</v>
          </cell>
          <cell r="J203">
            <v>86</v>
          </cell>
          <cell r="K203" t="str">
            <v>Kolluru</v>
          </cell>
          <cell r="L203">
            <v>51</v>
          </cell>
          <cell r="M203" t="str">
            <v>Vejandla</v>
          </cell>
          <cell r="N203">
            <v>71</v>
          </cell>
          <cell r="O203" t="str">
            <v>Vejandla</v>
          </cell>
          <cell r="P203">
            <v>71</v>
          </cell>
          <cell r="Q203" t="str">
            <v>Repalle</v>
          </cell>
          <cell r="R203">
            <v>24</v>
          </cell>
          <cell r="S203" t="str">
            <v>I.B patnam</v>
          </cell>
          <cell r="T203">
            <v>85</v>
          </cell>
          <cell r="Y203" t="str">
            <v>Repalle</v>
          </cell>
          <cell r="Z203">
            <v>24</v>
          </cell>
          <cell r="AA203">
            <v>0</v>
          </cell>
        </row>
        <row r="204">
          <cell r="A204">
            <v>200</v>
          </cell>
          <cell r="B204" t="str">
            <v>Pregnam</v>
          </cell>
          <cell r="C204" t="str">
            <v>Chakkavaripalem</v>
          </cell>
          <cell r="D204" t="str">
            <v>Nizampatnam</v>
          </cell>
          <cell r="E204" t="str">
            <v>Local</v>
          </cell>
          <cell r="F204">
            <v>2</v>
          </cell>
          <cell r="G204" t="str">
            <v>Zoolapalem</v>
          </cell>
          <cell r="H204">
            <v>39</v>
          </cell>
          <cell r="I204" t="str">
            <v>Lam</v>
          </cell>
          <cell r="J204">
            <v>87</v>
          </cell>
          <cell r="K204" t="str">
            <v>Kolluru</v>
          </cell>
          <cell r="L204">
            <v>50</v>
          </cell>
          <cell r="M204" t="str">
            <v>Vejandla</v>
          </cell>
          <cell r="N204">
            <v>70</v>
          </cell>
          <cell r="O204" t="str">
            <v>Vejandla</v>
          </cell>
          <cell r="P204">
            <v>70</v>
          </cell>
          <cell r="Q204" t="str">
            <v>Repalle</v>
          </cell>
          <cell r="R204">
            <v>23</v>
          </cell>
          <cell r="S204" t="str">
            <v>I.B patnam</v>
          </cell>
          <cell r="T204">
            <v>85</v>
          </cell>
          <cell r="Y204" t="str">
            <v>Repalle</v>
          </cell>
          <cell r="Z204">
            <v>23</v>
          </cell>
          <cell r="AA204">
            <v>0</v>
          </cell>
        </row>
        <row r="205">
          <cell r="A205">
            <v>201</v>
          </cell>
          <cell r="B205" t="str">
            <v>Adavuladeevi</v>
          </cell>
          <cell r="C205" t="str">
            <v>Chandramoulinagar</v>
          </cell>
          <cell r="D205" t="str">
            <v>Nizampatnam</v>
          </cell>
          <cell r="E205" t="str">
            <v>Local</v>
          </cell>
          <cell r="F205">
            <v>2</v>
          </cell>
          <cell r="G205" t="str">
            <v>Zoolapalem</v>
          </cell>
          <cell r="H205">
            <v>40</v>
          </cell>
          <cell r="I205" t="str">
            <v>Lam</v>
          </cell>
          <cell r="J205">
            <v>93</v>
          </cell>
          <cell r="K205" t="str">
            <v>Kolluru</v>
          </cell>
          <cell r="L205">
            <v>52</v>
          </cell>
          <cell r="M205" t="str">
            <v>Vejandla</v>
          </cell>
          <cell r="N205">
            <v>75</v>
          </cell>
          <cell r="O205" t="str">
            <v>Vejandla</v>
          </cell>
          <cell r="P205">
            <v>75</v>
          </cell>
          <cell r="Q205" t="str">
            <v>Repalle</v>
          </cell>
          <cell r="R205">
            <v>24</v>
          </cell>
          <cell r="S205" t="str">
            <v>I.B patnam</v>
          </cell>
          <cell r="T205">
            <v>85</v>
          </cell>
          <cell r="Y205" t="str">
            <v>Repalle</v>
          </cell>
          <cell r="Z205">
            <v>24</v>
          </cell>
          <cell r="AA205">
            <v>0</v>
          </cell>
        </row>
        <row r="206">
          <cell r="A206">
            <v>202</v>
          </cell>
          <cell r="B206" t="str">
            <v>Pallapatla</v>
          </cell>
          <cell r="C206" t="str">
            <v>Chinkapalem</v>
          </cell>
          <cell r="D206" t="str">
            <v>Nizampatnam</v>
          </cell>
          <cell r="E206" t="str">
            <v>Local</v>
          </cell>
          <cell r="F206">
            <v>2</v>
          </cell>
          <cell r="G206" t="str">
            <v>Zoolapalem</v>
          </cell>
          <cell r="H206">
            <v>26</v>
          </cell>
          <cell r="I206" t="str">
            <v>Lam</v>
          </cell>
          <cell r="J206">
            <v>76</v>
          </cell>
          <cell r="K206" t="str">
            <v>Kolluru</v>
          </cell>
          <cell r="L206">
            <v>38</v>
          </cell>
          <cell r="M206" t="str">
            <v>Vejandla</v>
          </cell>
          <cell r="N206">
            <v>57</v>
          </cell>
          <cell r="O206" t="str">
            <v>Vejandla</v>
          </cell>
          <cell r="P206">
            <v>57</v>
          </cell>
          <cell r="Q206" t="str">
            <v>Repalle</v>
          </cell>
          <cell r="R206">
            <v>9</v>
          </cell>
          <cell r="S206" t="str">
            <v>I.B patnam</v>
          </cell>
          <cell r="T206">
            <v>85</v>
          </cell>
          <cell r="Y206" t="str">
            <v>Repalle</v>
          </cell>
          <cell r="Z206">
            <v>9</v>
          </cell>
          <cell r="AA206">
            <v>0.2</v>
          </cell>
        </row>
        <row r="207">
          <cell r="A207">
            <v>203</v>
          </cell>
          <cell r="B207" t="str">
            <v>Amudalapalli</v>
          </cell>
          <cell r="C207" t="str">
            <v>Chintarevu</v>
          </cell>
          <cell r="D207" t="str">
            <v>Nizampatnam</v>
          </cell>
          <cell r="E207" t="str">
            <v>Local</v>
          </cell>
          <cell r="F207">
            <v>2</v>
          </cell>
          <cell r="G207" t="str">
            <v>Zoolapalem</v>
          </cell>
          <cell r="H207">
            <v>39</v>
          </cell>
          <cell r="I207" t="str">
            <v>Lam</v>
          </cell>
          <cell r="J207">
            <v>70</v>
          </cell>
          <cell r="K207" t="str">
            <v>Kolluru</v>
          </cell>
          <cell r="L207">
            <v>51</v>
          </cell>
          <cell r="M207" t="str">
            <v>Vejandla</v>
          </cell>
          <cell r="N207">
            <v>52</v>
          </cell>
          <cell r="O207" t="str">
            <v>Vejandla</v>
          </cell>
          <cell r="P207">
            <v>52</v>
          </cell>
          <cell r="Q207" t="str">
            <v>Repalle</v>
          </cell>
          <cell r="R207">
            <v>23</v>
          </cell>
          <cell r="S207" t="str">
            <v>I.B patnam</v>
          </cell>
          <cell r="T207">
            <v>85</v>
          </cell>
          <cell r="Y207" t="str">
            <v>Repalle</v>
          </cell>
          <cell r="Z207">
            <v>23</v>
          </cell>
          <cell r="AA207">
            <v>0</v>
          </cell>
        </row>
        <row r="208">
          <cell r="A208">
            <v>204</v>
          </cell>
          <cell r="B208" t="str">
            <v>Nizampatnam</v>
          </cell>
          <cell r="C208" t="str">
            <v>Darveshpalem</v>
          </cell>
          <cell r="D208" t="str">
            <v>Nizampatnam</v>
          </cell>
          <cell r="E208" t="str">
            <v>Local</v>
          </cell>
          <cell r="F208">
            <v>2</v>
          </cell>
          <cell r="G208" t="str">
            <v>Zoolapalem</v>
          </cell>
          <cell r="H208">
            <v>43</v>
          </cell>
          <cell r="I208" t="str">
            <v>Lam</v>
          </cell>
          <cell r="J208">
            <v>68</v>
          </cell>
          <cell r="K208" t="str">
            <v>Kolluru</v>
          </cell>
          <cell r="L208">
            <v>55</v>
          </cell>
          <cell r="M208" t="str">
            <v>Vejandla</v>
          </cell>
          <cell r="N208">
            <v>50</v>
          </cell>
          <cell r="O208" t="str">
            <v>Vejandla</v>
          </cell>
          <cell r="P208">
            <v>50</v>
          </cell>
          <cell r="Q208" t="str">
            <v>Repalle</v>
          </cell>
          <cell r="R208">
            <v>27</v>
          </cell>
          <cell r="S208" t="str">
            <v>I.B patnam</v>
          </cell>
          <cell r="T208">
            <v>85</v>
          </cell>
          <cell r="Y208" t="str">
            <v>Repalle</v>
          </cell>
          <cell r="Z208">
            <v>27</v>
          </cell>
          <cell r="AA208">
            <v>0</v>
          </cell>
        </row>
        <row r="209">
          <cell r="A209">
            <v>205</v>
          </cell>
          <cell r="B209" t="str">
            <v>Gurunadhanagar</v>
          </cell>
          <cell r="C209" t="str">
            <v>Donepudi(Anjanapuram)</v>
          </cell>
          <cell r="D209" t="str">
            <v>Nizampatnam</v>
          </cell>
          <cell r="E209" t="str">
            <v>Local</v>
          </cell>
          <cell r="F209">
            <v>2</v>
          </cell>
          <cell r="G209" t="str">
            <v>Zoolapalem</v>
          </cell>
          <cell r="H209">
            <v>32</v>
          </cell>
          <cell r="I209" t="str">
            <v>Lam</v>
          </cell>
          <cell r="J209">
            <v>86</v>
          </cell>
          <cell r="K209" t="str">
            <v>Kolluru</v>
          </cell>
          <cell r="L209">
            <v>44</v>
          </cell>
          <cell r="M209" t="str">
            <v>Vejandla</v>
          </cell>
          <cell r="N209">
            <v>68</v>
          </cell>
          <cell r="O209" t="str">
            <v>Vejandla</v>
          </cell>
          <cell r="P209">
            <v>68</v>
          </cell>
          <cell r="Q209" t="str">
            <v>Repalle</v>
          </cell>
          <cell r="R209">
            <v>16</v>
          </cell>
          <cell r="S209" t="str">
            <v>I.B patnam</v>
          </cell>
          <cell r="T209">
            <v>85</v>
          </cell>
          <cell r="Y209" t="str">
            <v>Repalle</v>
          </cell>
          <cell r="Z209">
            <v>16</v>
          </cell>
          <cell r="AA209">
            <v>0.2</v>
          </cell>
        </row>
        <row r="210">
          <cell r="A210">
            <v>206</v>
          </cell>
          <cell r="B210" t="str">
            <v>Kuchinapudi</v>
          </cell>
          <cell r="C210" t="str">
            <v>Dunnavaripalem</v>
          </cell>
          <cell r="D210" t="str">
            <v>Nizampatnam</v>
          </cell>
          <cell r="E210" t="str">
            <v>Local</v>
          </cell>
          <cell r="F210">
            <v>2</v>
          </cell>
          <cell r="G210" t="str">
            <v>Zoolapalem</v>
          </cell>
          <cell r="H210">
            <v>31</v>
          </cell>
          <cell r="I210" t="str">
            <v>Lam</v>
          </cell>
          <cell r="J210">
            <v>80</v>
          </cell>
          <cell r="K210" t="str">
            <v>Kolluru</v>
          </cell>
          <cell r="L210">
            <v>43</v>
          </cell>
          <cell r="M210" t="str">
            <v>Vejandla</v>
          </cell>
          <cell r="N210">
            <v>62</v>
          </cell>
          <cell r="O210" t="str">
            <v>Vejandla</v>
          </cell>
          <cell r="P210">
            <v>62</v>
          </cell>
          <cell r="Q210" t="str">
            <v>Repalle</v>
          </cell>
          <cell r="R210">
            <v>15</v>
          </cell>
          <cell r="S210" t="str">
            <v>I.B patnam</v>
          </cell>
          <cell r="T210">
            <v>85</v>
          </cell>
          <cell r="Y210" t="str">
            <v>Repalle</v>
          </cell>
          <cell r="Z210">
            <v>15</v>
          </cell>
          <cell r="AA210">
            <v>0.2</v>
          </cell>
        </row>
        <row r="211">
          <cell r="A211">
            <v>207</v>
          </cell>
          <cell r="B211" t="str">
            <v>Nizampatnam</v>
          </cell>
          <cell r="C211" t="str">
            <v>Ex-Military colony</v>
          </cell>
          <cell r="D211" t="str">
            <v>Nizampatnam</v>
          </cell>
          <cell r="E211" t="str">
            <v>Local</v>
          </cell>
          <cell r="F211">
            <v>2</v>
          </cell>
          <cell r="G211" t="str">
            <v>Zoolapalem</v>
          </cell>
          <cell r="H211">
            <v>42</v>
          </cell>
          <cell r="I211" t="str">
            <v>Lam</v>
          </cell>
          <cell r="J211">
            <v>67</v>
          </cell>
          <cell r="K211" t="str">
            <v>Kolluru</v>
          </cell>
          <cell r="L211">
            <v>54</v>
          </cell>
          <cell r="M211" t="str">
            <v>Vejandla</v>
          </cell>
          <cell r="N211">
            <v>49</v>
          </cell>
          <cell r="O211" t="str">
            <v>Vejandla</v>
          </cell>
          <cell r="P211">
            <v>49</v>
          </cell>
          <cell r="Q211" t="str">
            <v>Repalle</v>
          </cell>
          <cell r="R211">
            <v>26</v>
          </cell>
          <cell r="S211" t="str">
            <v>I.B patnam</v>
          </cell>
          <cell r="T211">
            <v>85</v>
          </cell>
          <cell r="Y211" t="str">
            <v>Repalle</v>
          </cell>
          <cell r="Z211">
            <v>26</v>
          </cell>
          <cell r="AA211">
            <v>0</v>
          </cell>
        </row>
        <row r="212">
          <cell r="A212">
            <v>208</v>
          </cell>
          <cell r="B212" t="str">
            <v>Garuvupalem</v>
          </cell>
          <cell r="C212" t="str">
            <v>Garuvupalem</v>
          </cell>
          <cell r="D212" t="str">
            <v>Nizampatnam</v>
          </cell>
          <cell r="E212" t="str">
            <v>Local</v>
          </cell>
          <cell r="F212">
            <v>2</v>
          </cell>
          <cell r="G212" t="str">
            <v>Zoolapalem</v>
          </cell>
          <cell r="H212">
            <v>33</v>
          </cell>
          <cell r="I212" t="str">
            <v>Lam</v>
          </cell>
          <cell r="J212">
            <v>81</v>
          </cell>
          <cell r="K212" t="str">
            <v>Kolluru</v>
          </cell>
          <cell r="L212">
            <v>45</v>
          </cell>
          <cell r="M212" t="str">
            <v>Vejandla</v>
          </cell>
          <cell r="N212">
            <v>63</v>
          </cell>
          <cell r="O212" t="str">
            <v>Vejandla</v>
          </cell>
          <cell r="P212">
            <v>63</v>
          </cell>
          <cell r="Q212" t="str">
            <v>Repalle</v>
          </cell>
          <cell r="R212">
            <v>17</v>
          </cell>
          <cell r="S212" t="str">
            <v>I.B patnam</v>
          </cell>
          <cell r="T212">
            <v>85</v>
          </cell>
          <cell r="Y212" t="str">
            <v>Repalle</v>
          </cell>
          <cell r="Z212">
            <v>17</v>
          </cell>
          <cell r="AA212">
            <v>0.2</v>
          </cell>
        </row>
        <row r="213">
          <cell r="A213">
            <v>209</v>
          </cell>
          <cell r="B213" t="str">
            <v>Nizampatnam</v>
          </cell>
          <cell r="C213" t="str">
            <v>Gokarnamatam</v>
          </cell>
          <cell r="D213" t="str">
            <v>Nizampatnam</v>
          </cell>
          <cell r="E213" t="str">
            <v>Local</v>
          </cell>
          <cell r="F213">
            <v>2</v>
          </cell>
          <cell r="G213" t="str">
            <v>Zoolapalem</v>
          </cell>
          <cell r="H213">
            <v>43</v>
          </cell>
          <cell r="I213" t="str">
            <v>Lam</v>
          </cell>
          <cell r="J213">
            <v>68</v>
          </cell>
          <cell r="K213" t="str">
            <v>Kolluru</v>
          </cell>
          <cell r="L213">
            <v>55</v>
          </cell>
          <cell r="M213" t="str">
            <v>Vejandla</v>
          </cell>
          <cell r="N213">
            <v>50</v>
          </cell>
          <cell r="O213" t="str">
            <v>Vejandla</v>
          </cell>
          <cell r="P213">
            <v>50</v>
          </cell>
          <cell r="Q213" t="str">
            <v>Repalle</v>
          </cell>
          <cell r="R213">
            <v>27</v>
          </cell>
          <cell r="S213" t="str">
            <v>I.B patnam</v>
          </cell>
          <cell r="T213">
            <v>85</v>
          </cell>
          <cell r="Y213" t="str">
            <v>Repalle</v>
          </cell>
          <cell r="Z213">
            <v>27</v>
          </cell>
          <cell r="AA213">
            <v>0</v>
          </cell>
        </row>
        <row r="214">
          <cell r="A214">
            <v>210</v>
          </cell>
          <cell r="B214" t="str">
            <v>Adavuladeevi</v>
          </cell>
          <cell r="C214" t="str">
            <v>Gunnamthippa</v>
          </cell>
          <cell r="D214" t="str">
            <v>Nizampatnam</v>
          </cell>
          <cell r="E214" t="str">
            <v>Local</v>
          </cell>
          <cell r="F214">
            <v>2</v>
          </cell>
          <cell r="G214" t="str">
            <v>Zoolapalem</v>
          </cell>
          <cell r="H214">
            <v>37</v>
          </cell>
          <cell r="I214" t="str">
            <v>Lam</v>
          </cell>
          <cell r="J214">
            <v>90</v>
          </cell>
          <cell r="K214" t="str">
            <v>Kolluru</v>
          </cell>
          <cell r="L214">
            <v>49</v>
          </cell>
          <cell r="M214" t="str">
            <v>Vejandla</v>
          </cell>
          <cell r="N214">
            <v>72</v>
          </cell>
          <cell r="O214" t="str">
            <v>Vejandla</v>
          </cell>
          <cell r="P214">
            <v>72</v>
          </cell>
          <cell r="Q214" t="str">
            <v>Repalle</v>
          </cell>
          <cell r="R214">
            <v>21</v>
          </cell>
          <cell r="S214" t="str">
            <v>I.B patnam</v>
          </cell>
          <cell r="T214">
            <v>85</v>
          </cell>
          <cell r="Y214" t="str">
            <v>Repalle</v>
          </cell>
          <cell r="Z214">
            <v>21</v>
          </cell>
          <cell r="AA214">
            <v>0</v>
          </cell>
        </row>
        <row r="215">
          <cell r="A215">
            <v>211</v>
          </cell>
          <cell r="B215" t="str">
            <v>Gurunadhanagar</v>
          </cell>
          <cell r="C215" t="str">
            <v>Gurunadhanagar</v>
          </cell>
          <cell r="D215" t="str">
            <v>Nizampatnam</v>
          </cell>
          <cell r="E215" t="str">
            <v>Local</v>
          </cell>
          <cell r="F215">
            <v>2</v>
          </cell>
          <cell r="G215" t="str">
            <v>Zoolapalem</v>
          </cell>
          <cell r="H215">
            <v>31</v>
          </cell>
          <cell r="I215" t="str">
            <v>Lam</v>
          </cell>
          <cell r="J215">
            <v>85</v>
          </cell>
          <cell r="K215" t="str">
            <v>Kolluru</v>
          </cell>
          <cell r="L215">
            <v>43</v>
          </cell>
          <cell r="M215" t="str">
            <v>Vejandla</v>
          </cell>
          <cell r="N215">
            <v>67</v>
          </cell>
          <cell r="O215" t="str">
            <v>Vejandla</v>
          </cell>
          <cell r="P215">
            <v>67</v>
          </cell>
          <cell r="Q215" t="str">
            <v>Repalle</v>
          </cell>
          <cell r="R215">
            <v>15</v>
          </cell>
          <cell r="S215" t="str">
            <v>I.B patnam</v>
          </cell>
          <cell r="T215">
            <v>85</v>
          </cell>
          <cell r="Y215" t="str">
            <v>Repalle</v>
          </cell>
          <cell r="Z215">
            <v>15</v>
          </cell>
          <cell r="AA215">
            <v>0.2</v>
          </cell>
        </row>
        <row r="216">
          <cell r="A216">
            <v>212</v>
          </cell>
          <cell r="B216" t="str">
            <v>Adavuladeevi</v>
          </cell>
          <cell r="C216" t="str">
            <v>Harizanawada(Madigapalli) H/O Adavuladeevi</v>
          </cell>
          <cell r="D216" t="str">
            <v>Nizampatnam</v>
          </cell>
          <cell r="E216" t="str">
            <v>Local</v>
          </cell>
          <cell r="F216">
            <v>2</v>
          </cell>
          <cell r="G216" t="str">
            <v>Zoolapalem</v>
          </cell>
          <cell r="H216">
            <v>36</v>
          </cell>
          <cell r="I216" t="str">
            <v>Lam</v>
          </cell>
          <cell r="J216">
            <v>89</v>
          </cell>
          <cell r="K216" t="str">
            <v>Kolluru</v>
          </cell>
          <cell r="L216">
            <v>48</v>
          </cell>
          <cell r="M216" t="str">
            <v>Vejandla</v>
          </cell>
          <cell r="N216">
            <v>71</v>
          </cell>
          <cell r="O216" t="str">
            <v>Vejandla</v>
          </cell>
          <cell r="P216">
            <v>71</v>
          </cell>
          <cell r="Q216" t="str">
            <v>Repalle</v>
          </cell>
          <cell r="R216">
            <v>20</v>
          </cell>
          <cell r="S216" t="str">
            <v>I.B patnam</v>
          </cell>
          <cell r="T216">
            <v>85</v>
          </cell>
          <cell r="Y216" t="str">
            <v>Repalle</v>
          </cell>
          <cell r="Z216">
            <v>20</v>
          </cell>
          <cell r="AA216">
            <v>0</v>
          </cell>
        </row>
        <row r="217">
          <cell r="A217">
            <v>213</v>
          </cell>
          <cell r="B217" t="str">
            <v>Horrispeta</v>
          </cell>
          <cell r="C217" t="str">
            <v>Horrispet</v>
          </cell>
          <cell r="D217" t="str">
            <v>Nizampatnam</v>
          </cell>
          <cell r="E217" t="str">
            <v>Local</v>
          </cell>
          <cell r="F217">
            <v>2</v>
          </cell>
          <cell r="G217" t="str">
            <v>Zoolapalem</v>
          </cell>
          <cell r="H217">
            <v>33</v>
          </cell>
          <cell r="I217" t="str">
            <v>Lam</v>
          </cell>
          <cell r="J217">
            <v>86</v>
          </cell>
          <cell r="K217" t="str">
            <v>Kolluru</v>
          </cell>
          <cell r="L217">
            <v>42</v>
          </cell>
          <cell r="M217" t="str">
            <v>Vejandla</v>
          </cell>
          <cell r="N217">
            <v>68</v>
          </cell>
          <cell r="O217" t="str">
            <v>Vejandla</v>
          </cell>
          <cell r="P217">
            <v>68</v>
          </cell>
          <cell r="Q217" t="str">
            <v>Repalle</v>
          </cell>
          <cell r="R217">
            <v>17</v>
          </cell>
          <cell r="S217" t="str">
            <v>I.B patnam</v>
          </cell>
          <cell r="T217">
            <v>85</v>
          </cell>
          <cell r="Y217" t="str">
            <v>Repalle</v>
          </cell>
          <cell r="Z217">
            <v>17</v>
          </cell>
          <cell r="AA217">
            <v>0</v>
          </cell>
        </row>
        <row r="218">
          <cell r="A218">
            <v>214</v>
          </cell>
          <cell r="B218" t="str">
            <v>Dindi</v>
          </cell>
          <cell r="C218" t="str">
            <v>Jampanivaripalem</v>
          </cell>
          <cell r="D218" t="str">
            <v>Nizampatnam</v>
          </cell>
          <cell r="E218" t="str">
            <v>Local</v>
          </cell>
          <cell r="F218">
            <v>2</v>
          </cell>
          <cell r="G218" t="str">
            <v>Zoolapalem</v>
          </cell>
          <cell r="H218">
            <v>46</v>
          </cell>
          <cell r="I218" t="str">
            <v>Lam</v>
          </cell>
          <cell r="J218">
            <v>95</v>
          </cell>
          <cell r="K218" t="str">
            <v>Kolluru</v>
          </cell>
          <cell r="L218">
            <v>58</v>
          </cell>
          <cell r="M218" t="str">
            <v>Vejandla</v>
          </cell>
          <cell r="N218">
            <v>77</v>
          </cell>
          <cell r="O218" t="str">
            <v>Vejandla</v>
          </cell>
          <cell r="P218">
            <v>77</v>
          </cell>
          <cell r="Q218" t="str">
            <v>Repalle</v>
          </cell>
          <cell r="R218">
            <v>30</v>
          </cell>
          <cell r="S218" t="str">
            <v>I.B patnam</v>
          </cell>
          <cell r="T218">
            <v>85</v>
          </cell>
          <cell r="Y218" t="str">
            <v>Repalle</v>
          </cell>
          <cell r="Z218">
            <v>30</v>
          </cell>
          <cell r="AA218">
            <v>0</v>
          </cell>
        </row>
        <row r="219">
          <cell r="A219">
            <v>215</v>
          </cell>
          <cell r="B219" t="str">
            <v>Amudalapalli</v>
          </cell>
          <cell r="C219" t="str">
            <v>Kallipalem</v>
          </cell>
          <cell r="D219" t="str">
            <v>Nizampatnam</v>
          </cell>
          <cell r="E219" t="str">
            <v>Local</v>
          </cell>
          <cell r="F219">
            <v>2</v>
          </cell>
          <cell r="G219" t="str">
            <v>Zoolapalem</v>
          </cell>
          <cell r="H219">
            <v>41</v>
          </cell>
          <cell r="I219" t="str">
            <v>Lam</v>
          </cell>
          <cell r="J219">
            <v>86</v>
          </cell>
          <cell r="K219" t="str">
            <v>Kolluru</v>
          </cell>
          <cell r="L219">
            <v>51</v>
          </cell>
          <cell r="M219" t="str">
            <v>Vejandla</v>
          </cell>
          <cell r="N219">
            <v>71</v>
          </cell>
          <cell r="O219" t="str">
            <v>Vejandla</v>
          </cell>
          <cell r="P219">
            <v>71</v>
          </cell>
          <cell r="Q219" t="str">
            <v>Repalle</v>
          </cell>
          <cell r="R219">
            <v>24</v>
          </cell>
          <cell r="S219" t="str">
            <v>I.B patnam</v>
          </cell>
          <cell r="T219">
            <v>85</v>
          </cell>
          <cell r="Y219" t="str">
            <v>Repalle</v>
          </cell>
          <cell r="Z219">
            <v>24</v>
          </cell>
          <cell r="AA219">
            <v>0</v>
          </cell>
        </row>
        <row r="220">
          <cell r="A220">
            <v>216</v>
          </cell>
          <cell r="B220" t="str">
            <v>Kuchinapudi</v>
          </cell>
          <cell r="C220" t="str">
            <v>Karravaripalem</v>
          </cell>
          <cell r="D220" t="str">
            <v>Nizampatnam</v>
          </cell>
          <cell r="E220" t="str">
            <v>Local</v>
          </cell>
          <cell r="F220">
            <v>2</v>
          </cell>
          <cell r="G220" t="str">
            <v>Zoolapalem</v>
          </cell>
          <cell r="H220">
            <v>31</v>
          </cell>
          <cell r="I220" t="str">
            <v>Lam</v>
          </cell>
          <cell r="J220">
            <v>80</v>
          </cell>
          <cell r="K220" t="str">
            <v>Kolluru</v>
          </cell>
          <cell r="L220">
            <v>43</v>
          </cell>
          <cell r="M220" t="str">
            <v>Vejandla</v>
          </cell>
          <cell r="N220">
            <v>62</v>
          </cell>
          <cell r="O220" t="str">
            <v>Vejandla</v>
          </cell>
          <cell r="P220">
            <v>62</v>
          </cell>
          <cell r="Q220" t="str">
            <v>Repalle</v>
          </cell>
          <cell r="R220">
            <v>15</v>
          </cell>
          <cell r="S220" t="str">
            <v>I.B patnam</v>
          </cell>
          <cell r="T220">
            <v>85</v>
          </cell>
          <cell r="Y220" t="str">
            <v>Repalle</v>
          </cell>
          <cell r="Z220">
            <v>15</v>
          </cell>
          <cell r="AA220">
            <v>0</v>
          </cell>
        </row>
        <row r="221">
          <cell r="A221">
            <v>217</v>
          </cell>
          <cell r="B221" t="str">
            <v>Borravaripalem</v>
          </cell>
          <cell r="C221" t="str">
            <v>Kesanavaripalem of Dindi</v>
          </cell>
          <cell r="D221" t="str">
            <v>Nizampatnam</v>
          </cell>
          <cell r="E221" t="str">
            <v>Local</v>
          </cell>
          <cell r="F221">
            <v>2</v>
          </cell>
          <cell r="G221" t="str">
            <v>Zoolapalem</v>
          </cell>
          <cell r="H221">
            <v>47</v>
          </cell>
          <cell r="I221" t="str">
            <v>Lam</v>
          </cell>
          <cell r="J221">
            <v>96</v>
          </cell>
          <cell r="K221" t="str">
            <v>Kolluru</v>
          </cell>
          <cell r="L221">
            <v>59</v>
          </cell>
          <cell r="M221" t="str">
            <v>Vejandla</v>
          </cell>
          <cell r="N221">
            <v>78</v>
          </cell>
          <cell r="O221" t="str">
            <v>Vejandla</v>
          </cell>
          <cell r="P221">
            <v>78</v>
          </cell>
          <cell r="Q221" t="str">
            <v>Repalle</v>
          </cell>
          <cell r="R221">
            <v>31</v>
          </cell>
          <cell r="S221" t="str">
            <v>I.B patnam</v>
          </cell>
          <cell r="T221">
            <v>85</v>
          </cell>
          <cell r="Y221" t="str">
            <v>Repalle</v>
          </cell>
          <cell r="Z221">
            <v>31</v>
          </cell>
          <cell r="AA221">
            <v>0</v>
          </cell>
        </row>
        <row r="222">
          <cell r="A222">
            <v>218</v>
          </cell>
          <cell r="B222" t="str">
            <v>Amudalapalli</v>
          </cell>
          <cell r="C222" t="str">
            <v>Komaravolu</v>
          </cell>
          <cell r="D222" t="str">
            <v>Nizampatnam</v>
          </cell>
          <cell r="E222" t="str">
            <v>Local</v>
          </cell>
          <cell r="F222">
            <v>2</v>
          </cell>
          <cell r="G222" t="str">
            <v>Zoolapalem</v>
          </cell>
          <cell r="H222">
            <v>36</v>
          </cell>
          <cell r="I222" t="str">
            <v>Lam</v>
          </cell>
          <cell r="J222">
            <v>67</v>
          </cell>
          <cell r="K222" t="str">
            <v>Kolluru</v>
          </cell>
          <cell r="L222">
            <v>48</v>
          </cell>
          <cell r="M222" t="str">
            <v>Vejandla</v>
          </cell>
          <cell r="N222">
            <v>49</v>
          </cell>
          <cell r="O222" t="str">
            <v>Vejandla</v>
          </cell>
          <cell r="P222">
            <v>49</v>
          </cell>
          <cell r="Q222" t="str">
            <v>Repalle</v>
          </cell>
          <cell r="R222">
            <v>20</v>
          </cell>
          <cell r="S222" t="str">
            <v>I.B patnam</v>
          </cell>
          <cell r="T222">
            <v>85</v>
          </cell>
          <cell r="Y222" t="str">
            <v>Repalle</v>
          </cell>
          <cell r="Z222">
            <v>20</v>
          </cell>
          <cell r="AA222">
            <v>0</v>
          </cell>
        </row>
        <row r="223">
          <cell r="A223">
            <v>219</v>
          </cell>
          <cell r="B223" t="str">
            <v>Konapalem</v>
          </cell>
          <cell r="C223" t="str">
            <v>Konaphalam</v>
          </cell>
          <cell r="D223" t="str">
            <v>Nizampatnam</v>
          </cell>
          <cell r="E223" t="str">
            <v>Local</v>
          </cell>
          <cell r="F223">
            <v>2</v>
          </cell>
          <cell r="G223" t="str">
            <v>Zoolapalem</v>
          </cell>
          <cell r="H223">
            <v>41</v>
          </cell>
          <cell r="I223" t="str">
            <v>Lam</v>
          </cell>
          <cell r="J223">
            <v>86</v>
          </cell>
          <cell r="K223" t="str">
            <v>Kolluru</v>
          </cell>
          <cell r="L223">
            <v>51</v>
          </cell>
          <cell r="M223" t="str">
            <v>Vejandla</v>
          </cell>
          <cell r="N223">
            <v>71</v>
          </cell>
          <cell r="O223" t="str">
            <v>Vejandla</v>
          </cell>
          <cell r="P223">
            <v>71</v>
          </cell>
          <cell r="Q223" t="str">
            <v>Repalle</v>
          </cell>
          <cell r="R223">
            <v>24</v>
          </cell>
          <cell r="S223" t="str">
            <v>I.B patnam</v>
          </cell>
          <cell r="T223">
            <v>85</v>
          </cell>
          <cell r="Y223" t="str">
            <v>Repalle</v>
          </cell>
          <cell r="Z223">
            <v>24</v>
          </cell>
          <cell r="AA223">
            <v>0</v>
          </cell>
        </row>
        <row r="224">
          <cell r="A224">
            <v>220</v>
          </cell>
          <cell r="B224" t="str">
            <v>Kopuruvaripalem</v>
          </cell>
          <cell r="C224" t="str">
            <v>Kopurivaripalem</v>
          </cell>
          <cell r="D224" t="str">
            <v>Nizampatnam</v>
          </cell>
          <cell r="E224" t="str">
            <v>Local</v>
          </cell>
          <cell r="F224">
            <v>2</v>
          </cell>
          <cell r="G224" t="str">
            <v>Zoolapalem</v>
          </cell>
          <cell r="H224">
            <v>26</v>
          </cell>
          <cell r="I224" t="str">
            <v>Lam</v>
          </cell>
          <cell r="J224">
            <v>76</v>
          </cell>
          <cell r="K224" t="str">
            <v>Kolluru</v>
          </cell>
          <cell r="L224">
            <v>38</v>
          </cell>
          <cell r="M224" t="str">
            <v>Vejandla</v>
          </cell>
          <cell r="N224">
            <v>57</v>
          </cell>
          <cell r="O224" t="str">
            <v>Vejandla</v>
          </cell>
          <cell r="P224">
            <v>57</v>
          </cell>
          <cell r="Q224" t="str">
            <v>Repalle</v>
          </cell>
          <cell r="R224">
            <v>9</v>
          </cell>
          <cell r="S224" t="str">
            <v>I.B patnam</v>
          </cell>
          <cell r="T224">
            <v>85</v>
          </cell>
          <cell r="Y224" t="str">
            <v>Repalle</v>
          </cell>
          <cell r="Z224">
            <v>9</v>
          </cell>
          <cell r="AA224">
            <v>0.2</v>
          </cell>
        </row>
        <row r="225">
          <cell r="A225">
            <v>221</v>
          </cell>
          <cell r="B225" t="str">
            <v>Nizampatnam</v>
          </cell>
          <cell r="C225" t="str">
            <v>Krosurivaripalem</v>
          </cell>
          <cell r="D225" t="str">
            <v>Nizampatnam</v>
          </cell>
          <cell r="E225" t="str">
            <v>Local</v>
          </cell>
          <cell r="F225">
            <v>2</v>
          </cell>
          <cell r="G225" t="str">
            <v>Zoolapalem</v>
          </cell>
          <cell r="H225">
            <v>37</v>
          </cell>
          <cell r="I225" t="str">
            <v>Lam</v>
          </cell>
          <cell r="J225">
            <v>62</v>
          </cell>
          <cell r="K225" t="str">
            <v>Kolluru</v>
          </cell>
          <cell r="L225">
            <v>49</v>
          </cell>
          <cell r="M225" t="str">
            <v>Vejandla</v>
          </cell>
          <cell r="N225">
            <v>44</v>
          </cell>
          <cell r="O225" t="str">
            <v>Vejandla</v>
          </cell>
          <cell r="P225">
            <v>44</v>
          </cell>
          <cell r="Q225" t="str">
            <v>Repalle</v>
          </cell>
          <cell r="R225">
            <v>21</v>
          </cell>
          <cell r="S225" t="str">
            <v>I.B patnam</v>
          </cell>
          <cell r="T225">
            <v>85</v>
          </cell>
          <cell r="Y225" t="str">
            <v>Repalle</v>
          </cell>
          <cell r="Z225">
            <v>21</v>
          </cell>
          <cell r="AA225">
            <v>0</v>
          </cell>
        </row>
        <row r="226">
          <cell r="A226">
            <v>222</v>
          </cell>
          <cell r="B226" t="str">
            <v>Kothapalem</v>
          </cell>
          <cell r="C226" t="str">
            <v>Kothapalem</v>
          </cell>
          <cell r="D226" t="str">
            <v>Nizampatnam</v>
          </cell>
          <cell r="E226" t="str">
            <v>Local</v>
          </cell>
          <cell r="F226">
            <v>2</v>
          </cell>
          <cell r="G226" t="str">
            <v>Zoolapalem</v>
          </cell>
          <cell r="H226">
            <v>42</v>
          </cell>
          <cell r="I226" t="str">
            <v>Lam</v>
          </cell>
          <cell r="J226">
            <v>95</v>
          </cell>
          <cell r="K226" t="str">
            <v>Kolluru</v>
          </cell>
          <cell r="L226">
            <v>54</v>
          </cell>
          <cell r="M226" t="str">
            <v>Vejandla</v>
          </cell>
          <cell r="N226">
            <v>77</v>
          </cell>
          <cell r="O226" t="str">
            <v>Vejandla</v>
          </cell>
          <cell r="P226">
            <v>77</v>
          </cell>
          <cell r="Q226" t="str">
            <v>Repalle</v>
          </cell>
          <cell r="R226">
            <v>26</v>
          </cell>
          <cell r="S226" t="str">
            <v>I.B patnam</v>
          </cell>
          <cell r="T226">
            <v>85</v>
          </cell>
          <cell r="Y226" t="str">
            <v>Repalle</v>
          </cell>
          <cell r="Z226">
            <v>26</v>
          </cell>
          <cell r="AA226">
            <v>0</v>
          </cell>
        </row>
        <row r="227">
          <cell r="A227">
            <v>223</v>
          </cell>
          <cell r="B227" t="str">
            <v>Kothapalem</v>
          </cell>
          <cell r="C227" t="str">
            <v>Kothuru</v>
          </cell>
          <cell r="D227" t="str">
            <v>Nizampatnam</v>
          </cell>
          <cell r="E227" t="str">
            <v>Local</v>
          </cell>
          <cell r="F227">
            <v>2</v>
          </cell>
          <cell r="G227" t="str">
            <v>Zoolapalem</v>
          </cell>
          <cell r="H227">
            <v>42</v>
          </cell>
          <cell r="I227" t="str">
            <v>Lam</v>
          </cell>
          <cell r="J227">
            <v>95</v>
          </cell>
          <cell r="K227" t="str">
            <v>Kolluru</v>
          </cell>
          <cell r="L227">
            <v>54</v>
          </cell>
          <cell r="M227" t="str">
            <v>Vejandla</v>
          </cell>
          <cell r="N227">
            <v>77</v>
          </cell>
          <cell r="O227" t="str">
            <v>Vejandla</v>
          </cell>
          <cell r="P227">
            <v>77</v>
          </cell>
          <cell r="Q227" t="str">
            <v>Repalle</v>
          </cell>
          <cell r="R227">
            <v>26</v>
          </cell>
          <cell r="S227" t="str">
            <v>I.B patnam</v>
          </cell>
          <cell r="T227">
            <v>85</v>
          </cell>
          <cell r="Y227" t="str">
            <v>Repalle</v>
          </cell>
          <cell r="Z227">
            <v>26</v>
          </cell>
          <cell r="AA227">
            <v>0</v>
          </cell>
        </row>
        <row r="228">
          <cell r="A228">
            <v>224</v>
          </cell>
          <cell r="B228" t="str">
            <v>Kopuruvaripalem</v>
          </cell>
          <cell r="C228" t="str">
            <v>Kuchinapudi</v>
          </cell>
          <cell r="D228" t="str">
            <v>Nizampatnam</v>
          </cell>
          <cell r="E228" t="str">
            <v>Local</v>
          </cell>
          <cell r="F228">
            <v>2</v>
          </cell>
          <cell r="G228" t="str">
            <v>Zoolapalem</v>
          </cell>
          <cell r="H228">
            <v>31</v>
          </cell>
          <cell r="I228" t="str">
            <v>Lam</v>
          </cell>
          <cell r="J228">
            <v>80</v>
          </cell>
          <cell r="K228" t="str">
            <v>Kolluru</v>
          </cell>
          <cell r="L228">
            <v>43</v>
          </cell>
          <cell r="M228" t="str">
            <v>Vejandla</v>
          </cell>
          <cell r="N228">
            <v>62</v>
          </cell>
          <cell r="O228" t="str">
            <v>Vejandla</v>
          </cell>
          <cell r="P228">
            <v>62</v>
          </cell>
          <cell r="Q228" t="str">
            <v>Repalle</v>
          </cell>
          <cell r="R228">
            <v>15</v>
          </cell>
          <cell r="S228" t="str">
            <v>I.B patnam</v>
          </cell>
          <cell r="T228">
            <v>85</v>
          </cell>
          <cell r="Y228" t="str">
            <v>Repalle</v>
          </cell>
          <cell r="Z228">
            <v>15</v>
          </cell>
          <cell r="AA228">
            <v>0.2</v>
          </cell>
        </row>
        <row r="229">
          <cell r="A229">
            <v>225</v>
          </cell>
          <cell r="B229" t="str">
            <v>Kuchinapudi</v>
          </cell>
          <cell r="C229" t="str">
            <v>Linginenivaripalem</v>
          </cell>
          <cell r="D229" t="str">
            <v>Nizampatnam</v>
          </cell>
          <cell r="E229" t="str">
            <v>Local</v>
          </cell>
          <cell r="F229">
            <v>2</v>
          </cell>
          <cell r="G229" t="str">
            <v>Zoolapalem</v>
          </cell>
          <cell r="H229">
            <v>26</v>
          </cell>
          <cell r="I229" t="str">
            <v>Lam</v>
          </cell>
          <cell r="J229">
            <v>79</v>
          </cell>
          <cell r="K229" t="str">
            <v>Kolluru</v>
          </cell>
          <cell r="L229">
            <v>38</v>
          </cell>
          <cell r="M229" t="str">
            <v>Vejandla</v>
          </cell>
          <cell r="N229">
            <v>61</v>
          </cell>
          <cell r="O229" t="str">
            <v>Vejandla</v>
          </cell>
          <cell r="P229">
            <v>61</v>
          </cell>
          <cell r="Q229" t="str">
            <v>Repalle</v>
          </cell>
          <cell r="R229">
            <v>10</v>
          </cell>
          <cell r="S229" t="str">
            <v>I.B patnam</v>
          </cell>
          <cell r="T229">
            <v>85</v>
          </cell>
          <cell r="Y229" t="str">
            <v>Repalle</v>
          </cell>
          <cell r="Z229">
            <v>10</v>
          </cell>
          <cell r="AA229">
            <v>0.2</v>
          </cell>
        </row>
        <row r="230">
          <cell r="A230">
            <v>226</v>
          </cell>
          <cell r="B230" t="str">
            <v>Pallapatla</v>
          </cell>
          <cell r="C230" t="str">
            <v>Madigapalli Pallapatla</v>
          </cell>
          <cell r="D230" t="str">
            <v>Nizampatnam</v>
          </cell>
          <cell r="E230" t="str">
            <v>Local</v>
          </cell>
          <cell r="F230">
            <v>2</v>
          </cell>
          <cell r="G230" t="str">
            <v>Zoolapalem</v>
          </cell>
          <cell r="H230">
            <v>27</v>
          </cell>
          <cell r="I230" t="str">
            <v>Lam</v>
          </cell>
          <cell r="J230">
            <v>75</v>
          </cell>
          <cell r="K230" t="str">
            <v>Kolluru</v>
          </cell>
          <cell r="L230">
            <v>39</v>
          </cell>
          <cell r="M230" t="str">
            <v>Vejandla</v>
          </cell>
          <cell r="N230">
            <v>57</v>
          </cell>
          <cell r="O230" t="str">
            <v>Vejandla</v>
          </cell>
          <cell r="P230">
            <v>57</v>
          </cell>
          <cell r="Q230" t="str">
            <v>Repalle</v>
          </cell>
          <cell r="R230">
            <v>10</v>
          </cell>
          <cell r="S230" t="str">
            <v>I.B patnam</v>
          </cell>
          <cell r="T230">
            <v>85</v>
          </cell>
          <cell r="Y230" t="str">
            <v>Repalle</v>
          </cell>
          <cell r="Z230">
            <v>10</v>
          </cell>
          <cell r="AA230">
            <v>0.2</v>
          </cell>
        </row>
        <row r="231">
          <cell r="A231">
            <v>227</v>
          </cell>
          <cell r="B231" t="str">
            <v>Adavuladeevi</v>
          </cell>
          <cell r="C231" t="str">
            <v>Mahammadiyapalem</v>
          </cell>
          <cell r="D231" t="str">
            <v>Nizampatnam</v>
          </cell>
          <cell r="E231" t="str">
            <v>Local</v>
          </cell>
          <cell r="F231">
            <v>2</v>
          </cell>
          <cell r="G231" t="str">
            <v>Zoolapalem</v>
          </cell>
          <cell r="H231">
            <v>37</v>
          </cell>
          <cell r="I231" t="str">
            <v>Lam</v>
          </cell>
          <cell r="J231">
            <v>90</v>
          </cell>
          <cell r="K231" t="str">
            <v>Kolluru</v>
          </cell>
          <cell r="L231">
            <v>49</v>
          </cell>
          <cell r="M231" t="str">
            <v>Vejandla</v>
          </cell>
          <cell r="N231">
            <v>72</v>
          </cell>
          <cell r="O231" t="str">
            <v>Vejandla</v>
          </cell>
          <cell r="P231">
            <v>72</v>
          </cell>
          <cell r="Q231" t="str">
            <v>Repalle</v>
          </cell>
          <cell r="R231">
            <v>21</v>
          </cell>
          <cell r="S231" t="str">
            <v>I.B patnam</v>
          </cell>
          <cell r="T231">
            <v>85</v>
          </cell>
          <cell r="Y231" t="str">
            <v>Repalle</v>
          </cell>
          <cell r="Z231">
            <v>21</v>
          </cell>
          <cell r="AA231">
            <v>0</v>
          </cell>
        </row>
        <row r="232">
          <cell r="A232">
            <v>228</v>
          </cell>
          <cell r="B232" t="str">
            <v>Adavuladeevi</v>
          </cell>
          <cell r="C232" t="str">
            <v>Mallikharjunapuram</v>
          </cell>
          <cell r="D232" t="str">
            <v>Nizampatnam</v>
          </cell>
          <cell r="E232" t="str">
            <v>Local</v>
          </cell>
          <cell r="F232">
            <v>2</v>
          </cell>
          <cell r="G232" t="str">
            <v>Zoolapalem</v>
          </cell>
          <cell r="H232">
            <v>36</v>
          </cell>
          <cell r="I232" t="str">
            <v>Lam</v>
          </cell>
          <cell r="J232">
            <v>89</v>
          </cell>
          <cell r="K232" t="str">
            <v>Kolluru</v>
          </cell>
          <cell r="L232">
            <v>48</v>
          </cell>
          <cell r="M232" t="str">
            <v>Vejandla</v>
          </cell>
          <cell r="N232">
            <v>71</v>
          </cell>
          <cell r="O232" t="str">
            <v>Vejandla</v>
          </cell>
          <cell r="P232">
            <v>71</v>
          </cell>
          <cell r="Q232" t="str">
            <v>Repalle</v>
          </cell>
          <cell r="R232">
            <v>20</v>
          </cell>
          <cell r="S232" t="str">
            <v>I.B patnam</v>
          </cell>
          <cell r="T232">
            <v>85</v>
          </cell>
          <cell r="Y232" t="str">
            <v>Repalle</v>
          </cell>
          <cell r="Z232">
            <v>20</v>
          </cell>
          <cell r="AA232">
            <v>0</v>
          </cell>
        </row>
        <row r="233">
          <cell r="A233">
            <v>229</v>
          </cell>
          <cell r="B233" t="str">
            <v>Muthupalli</v>
          </cell>
          <cell r="C233" t="str">
            <v>Marakavaripalem  of Nizampatnam</v>
          </cell>
          <cell r="D233" t="str">
            <v>Nizampatnam</v>
          </cell>
          <cell r="E233" t="str">
            <v>Local</v>
          </cell>
          <cell r="F233">
            <v>2</v>
          </cell>
          <cell r="G233" t="str">
            <v>Zoolapalem</v>
          </cell>
          <cell r="H233">
            <v>39</v>
          </cell>
          <cell r="I233" t="str">
            <v>Lam</v>
          </cell>
          <cell r="J233">
            <v>64</v>
          </cell>
          <cell r="K233" t="str">
            <v>Kolluru</v>
          </cell>
          <cell r="L233">
            <v>49</v>
          </cell>
          <cell r="M233" t="str">
            <v>Vejandla</v>
          </cell>
          <cell r="N233">
            <v>46</v>
          </cell>
          <cell r="O233" t="str">
            <v>Vejandla</v>
          </cell>
          <cell r="P233">
            <v>46</v>
          </cell>
          <cell r="Q233" t="str">
            <v>Repalle</v>
          </cell>
          <cell r="R233">
            <v>21</v>
          </cell>
          <cell r="S233" t="str">
            <v>I.B patnam</v>
          </cell>
          <cell r="T233">
            <v>85</v>
          </cell>
          <cell r="Y233" t="str">
            <v>Repalle</v>
          </cell>
          <cell r="Z233">
            <v>21</v>
          </cell>
          <cell r="AA233">
            <v>0</v>
          </cell>
        </row>
        <row r="234">
          <cell r="A234">
            <v>230</v>
          </cell>
          <cell r="B234" t="str">
            <v>Nizampatnam</v>
          </cell>
          <cell r="C234" t="str">
            <v>Marakavaripalem of Muthupalli</v>
          </cell>
          <cell r="D234" t="str">
            <v>Nizampatnam</v>
          </cell>
          <cell r="E234" t="str">
            <v>Local</v>
          </cell>
          <cell r="F234">
            <v>2</v>
          </cell>
          <cell r="G234" t="str">
            <v>Zoolapalem</v>
          </cell>
          <cell r="H234">
            <v>42</v>
          </cell>
          <cell r="I234" t="str">
            <v>Lam</v>
          </cell>
          <cell r="J234">
            <v>69</v>
          </cell>
          <cell r="K234" t="str">
            <v>Kolluru</v>
          </cell>
          <cell r="L234">
            <v>45</v>
          </cell>
          <cell r="M234" t="str">
            <v>Vejandla</v>
          </cell>
          <cell r="N234">
            <v>51</v>
          </cell>
          <cell r="O234" t="str">
            <v>Vejandla</v>
          </cell>
          <cell r="P234">
            <v>51</v>
          </cell>
          <cell r="Q234" t="str">
            <v>Repalle</v>
          </cell>
          <cell r="R234">
            <v>17</v>
          </cell>
          <cell r="S234" t="str">
            <v>I.B patnam</v>
          </cell>
          <cell r="T234">
            <v>85</v>
          </cell>
          <cell r="Y234" t="str">
            <v>Repalle</v>
          </cell>
          <cell r="Z234">
            <v>17</v>
          </cell>
          <cell r="AA234">
            <v>0</v>
          </cell>
        </row>
        <row r="235">
          <cell r="A235">
            <v>231</v>
          </cell>
          <cell r="B235" t="str">
            <v>Gurunadhanagar</v>
          </cell>
          <cell r="C235" t="str">
            <v>Marrispet</v>
          </cell>
          <cell r="D235" t="str">
            <v>Nizampatnam</v>
          </cell>
          <cell r="E235" t="str">
            <v>Local</v>
          </cell>
          <cell r="F235">
            <v>2</v>
          </cell>
          <cell r="G235" t="str">
            <v>Zoolapalem</v>
          </cell>
          <cell r="H235">
            <v>32</v>
          </cell>
          <cell r="I235" t="str">
            <v>Lam</v>
          </cell>
          <cell r="J235">
            <v>86</v>
          </cell>
          <cell r="K235" t="str">
            <v>Kolluru</v>
          </cell>
          <cell r="L235">
            <v>44</v>
          </cell>
          <cell r="M235" t="str">
            <v>Vejandla</v>
          </cell>
          <cell r="N235">
            <v>68</v>
          </cell>
          <cell r="O235" t="str">
            <v>Vejandla</v>
          </cell>
          <cell r="P235">
            <v>68</v>
          </cell>
          <cell r="Q235" t="str">
            <v>Repalle</v>
          </cell>
          <cell r="R235">
            <v>16</v>
          </cell>
          <cell r="S235" t="str">
            <v>I.B patnam</v>
          </cell>
          <cell r="T235">
            <v>85</v>
          </cell>
          <cell r="Y235" t="str">
            <v>Repalle</v>
          </cell>
          <cell r="Z235">
            <v>16</v>
          </cell>
          <cell r="AA235">
            <v>0.2</v>
          </cell>
        </row>
        <row r="236">
          <cell r="A236">
            <v>232</v>
          </cell>
          <cell r="B236" t="str">
            <v>Pallapatla</v>
          </cell>
          <cell r="C236" t="str">
            <v>Mudirajupalem</v>
          </cell>
          <cell r="D236" t="str">
            <v>Nizampatnam</v>
          </cell>
          <cell r="E236" t="str">
            <v>Local</v>
          </cell>
          <cell r="F236">
            <v>2</v>
          </cell>
          <cell r="G236" t="str">
            <v>Zoolapalem</v>
          </cell>
          <cell r="H236">
            <v>26</v>
          </cell>
          <cell r="I236" t="str">
            <v>Lam</v>
          </cell>
          <cell r="J236">
            <v>76</v>
          </cell>
          <cell r="K236" t="str">
            <v>Kolluru</v>
          </cell>
          <cell r="L236">
            <v>38</v>
          </cell>
          <cell r="M236" t="str">
            <v>Vejandla</v>
          </cell>
          <cell r="N236">
            <v>57</v>
          </cell>
          <cell r="O236" t="str">
            <v>Vejandla</v>
          </cell>
          <cell r="P236">
            <v>57</v>
          </cell>
          <cell r="Q236" t="str">
            <v>Repalle</v>
          </cell>
          <cell r="R236">
            <v>9</v>
          </cell>
          <cell r="S236" t="str">
            <v>I.B patnam</v>
          </cell>
          <cell r="T236">
            <v>85</v>
          </cell>
          <cell r="Y236" t="str">
            <v>Repalle</v>
          </cell>
          <cell r="Z236">
            <v>9</v>
          </cell>
          <cell r="AA236">
            <v>0.2</v>
          </cell>
        </row>
        <row r="237">
          <cell r="A237">
            <v>233</v>
          </cell>
          <cell r="B237" t="str">
            <v>Kothapalem</v>
          </cell>
          <cell r="C237" t="str">
            <v>Muktheswarapuram</v>
          </cell>
          <cell r="D237" t="str">
            <v>Nizampatnam</v>
          </cell>
          <cell r="E237" t="str">
            <v>Local</v>
          </cell>
          <cell r="F237">
            <v>2</v>
          </cell>
          <cell r="G237" t="str">
            <v>Zoolapalem</v>
          </cell>
          <cell r="H237">
            <v>40</v>
          </cell>
          <cell r="I237" t="str">
            <v>Lam</v>
          </cell>
          <cell r="J237">
            <v>97</v>
          </cell>
          <cell r="K237" t="str">
            <v>Kolluru</v>
          </cell>
          <cell r="L237">
            <v>52</v>
          </cell>
          <cell r="M237" t="str">
            <v>Vejandla</v>
          </cell>
          <cell r="N237">
            <v>79</v>
          </cell>
          <cell r="O237" t="str">
            <v>Vejandla</v>
          </cell>
          <cell r="P237">
            <v>79</v>
          </cell>
          <cell r="Q237" t="str">
            <v>Repalle</v>
          </cell>
          <cell r="R237">
            <v>24</v>
          </cell>
          <cell r="S237" t="str">
            <v>I.B patnam</v>
          </cell>
          <cell r="T237">
            <v>85</v>
          </cell>
          <cell r="Y237" t="str">
            <v>Repalle</v>
          </cell>
          <cell r="Z237">
            <v>24</v>
          </cell>
          <cell r="AA237">
            <v>0</v>
          </cell>
        </row>
        <row r="238">
          <cell r="A238">
            <v>234</v>
          </cell>
          <cell r="B238" t="str">
            <v>Kothapalem</v>
          </cell>
          <cell r="C238" t="str">
            <v>Muneredu of Kothapalem</v>
          </cell>
          <cell r="D238" t="str">
            <v>Nizampatnam</v>
          </cell>
          <cell r="E238" t="str">
            <v>Local</v>
          </cell>
          <cell r="F238">
            <v>2</v>
          </cell>
          <cell r="G238" t="str">
            <v>Zoolapalem</v>
          </cell>
          <cell r="H238">
            <v>39</v>
          </cell>
          <cell r="I238" t="str">
            <v>Lam</v>
          </cell>
          <cell r="J238">
            <v>98</v>
          </cell>
          <cell r="K238" t="str">
            <v>Kolluru</v>
          </cell>
          <cell r="L238">
            <v>51</v>
          </cell>
          <cell r="M238" t="str">
            <v>Vejandla</v>
          </cell>
          <cell r="N238">
            <v>80</v>
          </cell>
          <cell r="O238" t="str">
            <v>Vejandla</v>
          </cell>
          <cell r="P238">
            <v>80</v>
          </cell>
          <cell r="Q238" t="str">
            <v>Repalle</v>
          </cell>
          <cell r="R238">
            <v>23</v>
          </cell>
          <cell r="S238" t="str">
            <v>I.B patnam</v>
          </cell>
          <cell r="T238">
            <v>85</v>
          </cell>
          <cell r="Y238" t="str">
            <v>Repalle</v>
          </cell>
          <cell r="Z238">
            <v>23</v>
          </cell>
          <cell r="AA238">
            <v>0</v>
          </cell>
        </row>
        <row r="239">
          <cell r="A239">
            <v>235</v>
          </cell>
          <cell r="B239" t="str">
            <v>Nizampatnam</v>
          </cell>
          <cell r="C239" t="str">
            <v>Muniredu of Nizampatnam</v>
          </cell>
          <cell r="D239" t="str">
            <v>Nizampatnam</v>
          </cell>
          <cell r="E239" t="str">
            <v>Local</v>
          </cell>
          <cell r="F239">
            <v>2</v>
          </cell>
          <cell r="G239" t="str">
            <v>Zoolapalem</v>
          </cell>
          <cell r="H239">
            <v>37</v>
          </cell>
          <cell r="I239" t="str">
            <v>Lam</v>
          </cell>
          <cell r="J239">
            <v>64</v>
          </cell>
          <cell r="K239" t="str">
            <v>Kolluru</v>
          </cell>
          <cell r="L239">
            <v>49</v>
          </cell>
          <cell r="M239" t="str">
            <v>Vejandla</v>
          </cell>
          <cell r="N239">
            <v>46</v>
          </cell>
          <cell r="O239" t="str">
            <v>Vejandla</v>
          </cell>
          <cell r="P239">
            <v>46</v>
          </cell>
          <cell r="Q239" t="str">
            <v>Repalle</v>
          </cell>
          <cell r="R239">
            <v>21</v>
          </cell>
          <cell r="S239" t="str">
            <v>I.B patnam</v>
          </cell>
          <cell r="T239">
            <v>85</v>
          </cell>
          <cell r="Y239" t="str">
            <v>Repalle</v>
          </cell>
          <cell r="Z239">
            <v>21</v>
          </cell>
          <cell r="AA239">
            <v>0</v>
          </cell>
        </row>
        <row r="240">
          <cell r="A240">
            <v>236</v>
          </cell>
          <cell r="B240" t="str">
            <v>Muthupalli</v>
          </cell>
          <cell r="C240" t="str">
            <v>Muthupalli Agraharam</v>
          </cell>
          <cell r="D240" t="str">
            <v>Nizampatnam</v>
          </cell>
          <cell r="E240" t="str">
            <v>Local</v>
          </cell>
          <cell r="F240">
            <v>2</v>
          </cell>
          <cell r="G240" t="str">
            <v>Zoolapalem</v>
          </cell>
          <cell r="H240">
            <v>42</v>
          </cell>
          <cell r="I240" t="str">
            <v>Lam</v>
          </cell>
          <cell r="J240">
            <v>69</v>
          </cell>
          <cell r="K240" t="str">
            <v>Kolluru</v>
          </cell>
          <cell r="L240">
            <v>45</v>
          </cell>
          <cell r="M240" t="str">
            <v>Vejandla</v>
          </cell>
          <cell r="N240">
            <v>51</v>
          </cell>
          <cell r="O240" t="str">
            <v>Vejandla</v>
          </cell>
          <cell r="P240">
            <v>51</v>
          </cell>
          <cell r="Q240" t="str">
            <v>Repalle</v>
          </cell>
          <cell r="R240">
            <v>17</v>
          </cell>
          <cell r="S240" t="str">
            <v>I.B patnam</v>
          </cell>
          <cell r="T240">
            <v>85</v>
          </cell>
          <cell r="Y240" t="str">
            <v>Repalle</v>
          </cell>
          <cell r="Z240">
            <v>17</v>
          </cell>
          <cell r="AA240">
            <v>0.2</v>
          </cell>
        </row>
        <row r="241">
          <cell r="A241">
            <v>237</v>
          </cell>
          <cell r="B241" t="str">
            <v>Kothapalem</v>
          </cell>
          <cell r="C241" t="str">
            <v>Nakshtranagar</v>
          </cell>
          <cell r="D241" t="str">
            <v>Nizampatnam</v>
          </cell>
          <cell r="E241" t="str">
            <v>Local</v>
          </cell>
          <cell r="F241">
            <v>2</v>
          </cell>
          <cell r="G241" t="str">
            <v>Zoolapalem</v>
          </cell>
          <cell r="H241">
            <v>38</v>
          </cell>
          <cell r="I241" t="str">
            <v>Lam</v>
          </cell>
          <cell r="J241">
            <v>92</v>
          </cell>
          <cell r="K241" t="str">
            <v>Kolluru</v>
          </cell>
          <cell r="L241">
            <v>51</v>
          </cell>
          <cell r="M241" t="str">
            <v>Vejandla</v>
          </cell>
          <cell r="N241">
            <v>74</v>
          </cell>
          <cell r="O241" t="str">
            <v>Vejandla</v>
          </cell>
          <cell r="P241">
            <v>74</v>
          </cell>
          <cell r="Q241" t="str">
            <v>Repalle</v>
          </cell>
          <cell r="R241">
            <v>23</v>
          </cell>
          <cell r="S241" t="str">
            <v>I.B patnam</v>
          </cell>
          <cell r="T241">
            <v>85</v>
          </cell>
          <cell r="Y241" t="str">
            <v>Repalle</v>
          </cell>
          <cell r="Z241">
            <v>23</v>
          </cell>
          <cell r="AA241">
            <v>0</v>
          </cell>
        </row>
        <row r="242">
          <cell r="A242">
            <v>238</v>
          </cell>
          <cell r="B242" t="str">
            <v>Dindi</v>
          </cell>
          <cell r="C242" t="str">
            <v>Narravaripalem</v>
          </cell>
          <cell r="D242" t="str">
            <v>Nizampatnam</v>
          </cell>
          <cell r="E242" t="str">
            <v>Local</v>
          </cell>
          <cell r="F242">
            <v>2</v>
          </cell>
          <cell r="G242" t="str">
            <v>Zoolapalem</v>
          </cell>
          <cell r="H242">
            <v>43</v>
          </cell>
          <cell r="I242" t="str">
            <v>Lam</v>
          </cell>
          <cell r="J242">
            <v>92</v>
          </cell>
          <cell r="K242" t="str">
            <v>Kolluru</v>
          </cell>
          <cell r="L242">
            <v>55</v>
          </cell>
          <cell r="M242" t="str">
            <v>Vejandla</v>
          </cell>
          <cell r="N242">
            <v>74</v>
          </cell>
          <cell r="O242" t="str">
            <v>Vejandla</v>
          </cell>
          <cell r="P242">
            <v>74</v>
          </cell>
          <cell r="Q242" t="str">
            <v>Repalle</v>
          </cell>
          <cell r="R242">
            <v>27</v>
          </cell>
          <cell r="S242" t="str">
            <v>I.B patnam</v>
          </cell>
          <cell r="T242">
            <v>85</v>
          </cell>
          <cell r="Y242" t="str">
            <v>Repalle</v>
          </cell>
          <cell r="Z242">
            <v>27</v>
          </cell>
          <cell r="AA242">
            <v>0</v>
          </cell>
        </row>
        <row r="243">
          <cell r="A243">
            <v>239</v>
          </cell>
          <cell r="B243" t="str">
            <v>Nizampatnam</v>
          </cell>
          <cell r="C243" t="str">
            <v>Nizampatnam</v>
          </cell>
          <cell r="D243" t="str">
            <v>Nizampatnam</v>
          </cell>
          <cell r="E243" t="str">
            <v>Local</v>
          </cell>
          <cell r="F243">
            <v>2</v>
          </cell>
          <cell r="G243" t="str">
            <v>Zoolapalem</v>
          </cell>
          <cell r="H243">
            <v>41</v>
          </cell>
          <cell r="I243" t="str">
            <v>Lam</v>
          </cell>
          <cell r="J243">
            <v>66</v>
          </cell>
          <cell r="K243" t="str">
            <v>Kolluru</v>
          </cell>
          <cell r="L243">
            <v>53</v>
          </cell>
          <cell r="M243" t="str">
            <v>Vejandla</v>
          </cell>
          <cell r="N243">
            <v>48</v>
          </cell>
          <cell r="O243" t="str">
            <v>Vejandla</v>
          </cell>
          <cell r="P243">
            <v>48</v>
          </cell>
          <cell r="Q243" t="str">
            <v>Repalle</v>
          </cell>
          <cell r="R243">
            <v>25</v>
          </cell>
          <cell r="S243" t="str">
            <v>I.B patnam</v>
          </cell>
          <cell r="T243">
            <v>85</v>
          </cell>
          <cell r="Y243" t="str">
            <v>Repalle</v>
          </cell>
          <cell r="Z243">
            <v>25</v>
          </cell>
          <cell r="AA243">
            <v>0</v>
          </cell>
        </row>
        <row r="244">
          <cell r="A244">
            <v>240</v>
          </cell>
          <cell r="B244" t="str">
            <v>Pallapatla</v>
          </cell>
          <cell r="C244" t="str">
            <v>Pallapatla</v>
          </cell>
          <cell r="D244" t="str">
            <v>Nizampatnam</v>
          </cell>
          <cell r="E244" t="str">
            <v>Local</v>
          </cell>
          <cell r="F244">
            <v>2</v>
          </cell>
          <cell r="G244" t="str">
            <v>Zoolapalem</v>
          </cell>
          <cell r="H244">
            <v>28</v>
          </cell>
          <cell r="I244" t="str">
            <v>Lam</v>
          </cell>
          <cell r="J244">
            <v>74</v>
          </cell>
          <cell r="K244" t="str">
            <v>Kolluru</v>
          </cell>
          <cell r="L244">
            <v>40</v>
          </cell>
          <cell r="M244" t="str">
            <v>Vejandla</v>
          </cell>
          <cell r="N244">
            <v>56</v>
          </cell>
          <cell r="O244" t="str">
            <v>Vejandla</v>
          </cell>
          <cell r="P244">
            <v>56</v>
          </cell>
          <cell r="Q244" t="str">
            <v>Repalle</v>
          </cell>
          <cell r="R244">
            <v>11</v>
          </cell>
          <cell r="S244" t="str">
            <v>I.B patnam</v>
          </cell>
          <cell r="T244">
            <v>85</v>
          </cell>
          <cell r="Y244" t="str">
            <v>Repalle</v>
          </cell>
          <cell r="Z244">
            <v>11</v>
          </cell>
          <cell r="AA244">
            <v>0.2</v>
          </cell>
        </row>
        <row r="245">
          <cell r="A245">
            <v>241</v>
          </cell>
          <cell r="B245" t="str">
            <v>Adavuladeevi</v>
          </cell>
          <cell r="C245" t="str">
            <v>Pallipalem</v>
          </cell>
          <cell r="D245" t="str">
            <v>Nizampatnam</v>
          </cell>
          <cell r="E245" t="str">
            <v>Local</v>
          </cell>
          <cell r="F245">
            <v>2</v>
          </cell>
          <cell r="G245" t="str">
            <v>Zoolapalem</v>
          </cell>
          <cell r="H245">
            <v>37</v>
          </cell>
          <cell r="I245" t="str">
            <v>Lam</v>
          </cell>
          <cell r="J245">
            <v>90</v>
          </cell>
          <cell r="K245" t="str">
            <v>Kolluru</v>
          </cell>
          <cell r="L245">
            <v>49</v>
          </cell>
          <cell r="M245" t="str">
            <v>Vejandla</v>
          </cell>
          <cell r="N245">
            <v>72</v>
          </cell>
          <cell r="O245" t="str">
            <v>Vejandla</v>
          </cell>
          <cell r="P245">
            <v>72</v>
          </cell>
          <cell r="Q245" t="str">
            <v>Repalle</v>
          </cell>
          <cell r="R245">
            <v>21</v>
          </cell>
          <cell r="S245" t="str">
            <v>I.B patnam</v>
          </cell>
          <cell r="T245">
            <v>85</v>
          </cell>
          <cell r="Y245" t="str">
            <v>Repalle</v>
          </cell>
          <cell r="Z245">
            <v>21</v>
          </cell>
          <cell r="AA245">
            <v>0</v>
          </cell>
        </row>
        <row r="246">
          <cell r="A246">
            <v>242</v>
          </cell>
          <cell r="B246" t="str">
            <v>Nizampatnam</v>
          </cell>
          <cell r="C246" t="str">
            <v>Pamarthi</v>
          </cell>
          <cell r="D246" t="str">
            <v>Nizampatnam</v>
          </cell>
          <cell r="E246" t="str">
            <v>Local</v>
          </cell>
          <cell r="F246">
            <v>2</v>
          </cell>
          <cell r="G246" t="str">
            <v>Zoolapalem</v>
          </cell>
          <cell r="H246">
            <v>48</v>
          </cell>
          <cell r="I246" t="str">
            <v>Lam</v>
          </cell>
          <cell r="J246">
            <v>74</v>
          </cell>
          <cell r="K246" t="str">
            <v>Kolluru</v>
          </cell>
          <cell r="L246">
            <v>60</v>
          </cell>
          <cell r="M246" t="str">
            <v>Vejandla</v>
          </cell>
          <cell r="N246">
            <v>56</v>
          </cell>
          <cell r="O246" t="str">
            <v>Vejandla</v>
          </cell>
          <cell r="P246">
            <v>56</v>
          </cell>
          <cell r="Q246" t="str">
            <v>Repalle</v>
          </cell>
          <cell r="R246">
            <v>54</v>
          </cell>
          <cell r="S246" t="str">
            <v>I.B patnam</v>
          </cell>
          <cell r="T246">
            <v>85</v>
          </cell>
          <cell r="Y246" t="str">
            <v>Repalle</v>
          </cell>
          <cell r="Z246">
            <v>54</v>
          </cell>
          <cell r="AA246">
            <v>0</v>
          </cell>
        </row>
        <row r="247">
          <cell r="A247">
            <v>243</v>
          </cell>
          <cell r="B247" t="str">
            <v>Dindi</v>
          </cell>
          <cell r="C247" t="str">
            <v>Parisavaripalem</v>
          </cell>
          <cell r="D247" t="str">
            <v>Nizampatnam</v>
          </cell>
          <cell r="E247" t="str">
            <v>Local</v>
          </cell>
          <cell r="F247">
            <v>2</v>
          </cell>
          <cell r="G247" t="str">
            <v>Zoolapalem</v>
          </cell>
          <cell r="H247">
            <v>44</v>
          </cell>
          <cell r="I247" t="str">
            <v>Lam</v>
          </cell>
          <cell r="J247">
            <v>93</v>
          </cell>
          <cell r="K247" t="str">
            <v>Kolluru</v>
          </cell>
          <cell r="L247">
            <v>56</v>
          </cell>
          <cell r="M247" t="str">
            <v>Vejandla</v>
          </cell>
          <cell r="N247">
            <v>75</v>
          </cell>
          <cell r="O247" t="str">
            <v>Vejandla</v>
          </cell>
          <cell r="P247">
            <v>75</v>
          </cell>
          <cell r="Q247" t="str">
            <v>Repalle</v>
          </cell>
          <cell r="R247">
            <v>28</v>
          </cell>
          <cell r="S247" t="str">
            <v>I.B patnam</v>
          </cell>
          <cell r="T247">
            <v>85</v>
          </cell>
          <cell r="Y247" t="str">
            <v>Repalle</v>
          </cell>
          <cell r="Z247">
            <v>28</v>
          </cell>
          <cell r="AA247">
            <v>0</v>
          </cell>
        </row>
        <row r="248">
          <cell r="A248">
            <v>244</v>
          </cell>
          <cell r="B248" t="str">
            <v>Nizampatnam</v>
          </cell>
          <cell r="C248" t="str">
            <v>Pasumarthivaripalem</v>
          </cell>
          <cell r="D248" t="str">
            <v>Nizampatnam</v>
          </cell>
          <cell r="E248" t="str">
            <v>Local</v>
          </cell>
          <cell r="F248">
            <v>2</v>
          </cell>
          <cell r="G248" t="str">
            <v>Zoolapalem</v>
          </cell>
          <cell r="H248">
            <v>44</v>
          </cell>
          <cell r="I248" t="str">
            <v>Lam</v>
          </cell>
          <cell r="J248">
            <v>69</v>
          </cell>
          <cell r="K248" t="str">
            <v>Kolluru</v>
          </cell>
          <cell r="L248">
            <v>56</v>
          </cell>
          <cell r="M248" t="str">
            <v>Vejandla</v>
          </cell>
          <cell r="N248">
            <v>51</v>
          </cell>
          <cell r="O248" t="str">
            <v>Vejandla</v>
          </cell>
          <cell r="P248">
            <v>51</v>
          </cell>
          <cell r="Q248" t="str">
            <v>Repalle</v>
          </cell>
          <cell r="R248">
            <v>28</v>
          </cell>
          <cell r="S248" t="str">
            <v>I.B patnam</v>
          </cell>
          <cell r="T248">
            <v>85</v>
          </cell>
          <cell r="Y248" t="str">
            <v>Repalle</v>
          </cell>
          <cell r="Z248">
            <v>28</v>
          </cell>
          <cell r="AA248">
            <v>0</v>
          </cell>
        </row>
        <row r="249">
          <cell r="A249">
            <v>245</v>
          </cell>
          <cell r="B249" t="str">
            <v>Kothapalem</v>
          </cell>
          <cell r="C249" t="str">
            <v>Pathuru H/O Kothapalem</v>
          </cell>
          <cell r="D249" t="str">
            <v>Nizampatnam</v>
          </cell>
          <cell r="E249" t="str">
            <v>Local</v>
          </cell>
          <cell r="F249">
            <v>2</v>
          </cell>
          <cell r="G249" t="str">
            <v>Zoolapalem</v>
          </cell>
          <cell r="H249">
            <v>43</v>
          </cell>
          <cell r="I249" t="str">
            <v>Lam</v>
          </cell>
          <cell r="J249">
            <v>96</v>
          </cell>
          <cell r="K249" t="str">
            <v>Kolluru</v>
          </cell>
          <cell r="L249">
            <v>53</v>
          </cell>
          <cell r="M249" t="str">
            <v>Vejandla</v>
          </cell>
          <cell r="N249">
            <v>78</v>
          </cell>
          <cell r="O249" t="str">
            <v>Vejandla</v>
          </cell>
          <cell r="P249">
            <v>78</v>
          </cell>
          <cell r="Q249" t="str">
            <v>Repalle</v>
          </cell>
          <cell r="R249">
            <v>25</v>
          </cell>
          <cell r="S249" t="str">
            <v>I.B patnam</v>
          </cell>
          <cell r="T249">
            <v>85</v>
          </cell>
          <cell r="Y249" t="str">
            <v>Repalle</v>
          </cell>
          <cell r="Z249">
            <v>25</v>
          </cell>
          <cell r="AA249">
            <v>0</v>
          </cell>
        </row>
        <row r="250">
          <cell r="A250">
            <v>246</v>
          </cell>
          <cell r="B250" t="str">
            <v>Garuvupalem</v>
          </cell>
          <cell r="C250" t="str">
            <v>Pillavaripalem</v>
          </cell>
          <cell r="D250" t="str">
            <v>Nizampatnam</v>
          </cell>
          <cell r="E250" t="str">
            <v>Local</v>
          </cell>
          <cell r="F250">
            <v>2</v>
          </cell>
          <cell r="G250" t="str">
            <v>Zoolapalem</v>
          </cell>
          <cell r="H250">
            <v>35</v>
          </cell>
          <cell r="I250" t="str">
            <v>Lam</v>
          </cell>
          <cell r="J250">
            <v>83</v>
          </cell>
          <cell r="K250" t="str">
            <v>Kolluru</v>
          </cell>
          <cell r="L250">
            <v>47</v>
          </cell>
          <cell r="M250" t="str">
            <v>Vejandla</v>
          </cell>
          <cell r="N250">
            <v>65</v>
          </cell>
          <cell r="O250" t="str">
            <v>Vejandla</v>
          </cell>
          <cell r="P250">
            <v>65</v>
          </cell>
          <cell r="Q250" t="str">
            <v>Repalle</v>
          </cell>
          <cell r="R250">
            <v>19</v>
          </cell>
          <cell r="S250" t="str">
            <v>I.B patnam</v>
          </cell>
          <cell r="T250">
            <v>85</v>
          </cell>
          <cell r="Y250" t="str">
            <v>Repalle</v>
          </cell>
          <cell r="Z250">
            <v>19</v>
          </cell>
          <cell r="AA250">
            <v>0.2</v>
          </cell>
        </row>
        <row r="251">
          <cell r="A251">
            <v>247</v>
          </cell>
          <cell r="B251" t="str">
            <v>Pregnam</v>
          </cell>
          <cell r="C251" t="str">
            <v>Pregnam</v>
          </cell>
          <cell r="D251" t="str">
            <v>Nizampatnam</v>
          </cell>
          <cell r="E251" t="str">
            <v>Local</v>
          </cell>
          <cell r="F251">
            <v>2</v>
          </cell>
          <cell r="G251" t="str">
            <v>Zoolapalem</v>
          </cell>
          <cell r="H251">
            <v>36</v>
          </cell>
          <cell r="I251" t="str">
            <v>Lam</v>
          </cell>
          <cell r="J251">
            <v>84</v>
          </cell>
          <cell r="K251" t="str">
            <v>Kolluru</v>
          </cell>
          <cell r="L251">
            <v>47</v>
          </cell>
          <cell r="M251" t="str">
            <v>Vejandla</v>
          </cell>
          <cell r="N251">
            <v>67</v>
          </cell>
          <cell r="O251" t="str">
            <v>Vejandla</v>
          </cell>
          <cell r="P251">
            <v>67</v>
          </cell>
          <cell r="Q251" t="str">
            <v>Repalle</v>
          </cell>
          <cell r="R251">
            <v>20</v>
          </cell>
          <cell r="S251" t="str">
            <v>I.B patnam</v>
          </cell>
          <cell r="T251">
            <v>85</v>
          </cell>
          <cell r="Y251" t="str">
            <v>Repalle</v>
          </cell>
          <cell r="Z251">
            <v>20</v>
          </cell>
          <cell r="AA251">
            <v>0</v>
          </cell>
        </row>
        <row r="252">
          <cell r="A252">
            <v>248</v>
          </cell>
          <cell r="B252" t="str">
            <v>Kuchinapudi</v>
          </cell>
          <cell r="C252" t="str">
            <v>Pullameraka</v>
          </cell>
          <cell r="D252" t="str">
            <v>Nizampatnam</v>
          </cell>
          <cell r="E252" t="str">
            <v>Local</v>
          </cell>
          <cell r="F252">
            <v>2</v>
          </cell>
          <cell r="G252" t="str">
            <v>Zoolapalem</v>
          </cell>
          <cell r="H252">
            <v>30</v>
          </cell>
          <cell r="I252" t="str">
            <v>Lam</v>
          </cell>
          <cell r="J252">
            <v>79</v>
          </cell>
          <cell r="K252" t="str">
            <v>Kolluru</v>
          </cell>
          <cell r="L252">
            <v>42</v>
          </cell>
          <cell r="M252" t="str">
            <v>Vejandla</v>
          </cell>
          <cell r="N252">
            <v>61</v>
          </cell>
          <cell r="O252" t="str">
            <v>Vejandla</v>
          </cell>
          <cell r="P252">
            <v>61</v>
          </cell>
          <cell r="Q252" t="str">
            <v>Repalle</v>
          </cell>
          <cell r="R252">
            <v>14</v>
          </cell>
          <cell r="S252" t="str">
            <v>I.B patnam</v>
          </cell>
          <cell r="T252">
            <v>85</v>
          </cell>
          <cell r="Y252" t="str">
            <v>Repalle</v>
          </cell>
          <cell r="Z252">
            <v>14</v>
          </cell>
          <cell r="AA252">
            <v>0.2</v>
          </cell>
        </row>
        <row r="253">
          <cell r="A253">
            <v>249</v>
          </cell>
          <cell r="B253" t="str">
            <v>Pallapatla</v>
          </cell>
          <cell r="C253" t="str">
            <v>Puttavaripalem</v>
          </cell>
          <cell r="D253" t="str">
            <v>Nizampatnam</v>
          </cell>
          <cell r="E253" t="str">
            <v>Local</v>
          </cell>
          <cell r="F253">
            <v>2</v>
          </cell>
          <cell r="G253" t="str">
            <v>Zoolapalem</v>
          </cell>
          <cell r="H253">
            <v>29</v>
          </cell>
          <cell r="I253" t="str">
            <v>Lam</v>
          </cell>
          <cell r="J253">
            <v>76</v>
          </cell>
          <cell r="K253" t="str">
            <v>Kolluru</v>
          </cell>
          <cell r="L253">
            <v>40</v>
          </cell>
          <cell r="M253" t="str">
            <v>Vejandla</v>
          </cell>
          <cell r="N253">
            <v>58</v>
          </cell>
          <cell r="O253" t="str">
            <v>Vejandla</v>
          </cell>
          <cell r="P253">
            <v>58</v>
          </cell>
          <cell r="Q253" t="str">
            <v>Repalle</v>
          </cell>
          <cell r="R253">
            <v>11</v>
          </cell>
          <cell r="S253" t="str">
            <v>I.B patnam</v>
          </cell>
          <cell r="T253">
            <v>85</v>
          </cell>
          <cell r="Y253" t="str">
            <v>Repalle</v>
          </cell>
          <cell r="Z253">
            <v>11</v>
          </cell>
          <cell r="AA253">
            <v>0.2</v>
          </cell>
        </row>
        <row r="254">
          <cell r="A254">
            <v>250</v>
          </cell>
          <cell r="B254" t="str">
            <v>Adavuladeevi</v>
          </cell>
          <cell r="C254" t="str">
            <v>Rajakapalem H/O Adavuladeevi</v>
          </cell>
          <cell r="D254" t="str">
            <v>Nizampatnam</v>
          </cell>
          <cell r="E254" t="str">
            <v>Local</v>
          </cell>
          <cell r="F254">
            <v>2</v>
          </cell>
          <cell r="G254" t="str">
            <v>Zoolapalem</v>
          </cell>
          <cell r="H254">
            <v>36</v>
          </cell>
          <cell r="I254" t="str">
            <v>Lam</v>
          </cell>
          <cell r="J254">
            <v>89</v>
          </cell>
          <cell r="K254" t="str">
            <v>Kolluru</v>
          </cell>
          <cell r="L254">
            <v>48</v>
          </cell>
          <cell r="M254" t="str">
            <v>Vejandla</v>
          </cell>
          <cell r="N254">
            <v>71</v>
          </cell>
          <cell r="O254" t="str">
            <v>Vejandla</v>
          </cell>
          <cell r="P254">
            <v>71</v>
          </cell>
          <cell r="Q254" t="str">
            <v>Repalle</v>
          </cell>
          <cell r="R254">
            <v>20</v>
          </cell>
          <cell r="S254" t="str">
            <v>I.B patnam</v>
          </cell>
          <cell r="T254">
            <v>85</v>
          </cell>
          <cell r="Y254" t="str">
            <v>Repalle</v>
          </cell>
          <cell r="Z254">
            <v>20</v>
          </cell>
          <cell r="AA254">
            <v>0</v>
          </cell>
        </row>
        <row r="255">
          <cell r="A255">
            <v>251</v>
          </cell>
          <cell r="B255" t="str">
            <v>Adavuladeevi</v>
          </cell>
          <cell r="C255" t="str">
            <v>Ramakrishnapuram</v>
          </cell>
          <cell r="D255" t="str">
            <v>Nizampatnam</v>
          </cell>
          <cell r="E255" t="str">
            <v>Local</v>
          </cell>
          <cell r="F255">
            <v>2</v>
          </cell>
          <cell r="G255" t="str">
            <v>Zoolapalem</v>
          </cell>
          <cell r="H255">
            <v>36</v>
          </cell>
          <cell r="I255" t="str">
            <v>Lam</v>
          </cell>
          <cell r="J255">
            <v>89</v>
          </cell>
          <cell r="K255" t="str">
            <v>Kolluru</v>
          </cell>
          <cell r="L255">
            <v>48</v>
          </cell>
          <cell r="M255" t="str">
            <v>Vejandla</v>
          </cell>
          <cell r="N255">
            <v>71</v>
          </cell>
          <cell r="O255" t="str">
            <v>Vejandla</v>
          </cell>
          <cell r="P255">
            <v>71</v>
          </cell>
          <cell r="Q255" t="str">
            <v>Repalle</v>
          </cell>
          <cell r="R255">
            <v>20</v>
          </cell>
          <cell r="S255" t="str">
            <v>I.B patnam</v>
          </cell>
          <cell r="T255">
            <v>85</v>
          </cell>
          <cell r="Y255" t="str">
            <v>Repalle</v>
          </cell>
          <cell r="Z255">
            <v>20</v>
          </cell>
          <cell r="AA255">
            <v>0</v>
          </cell>
        </row>
        <row r="256">
          <cell r="A256">
            <v>252</v>
          </cell>
          <cell r="B256" t="str">
            <v>Kothapalem</v>
          </cell>
          <cell r="C256" t="str">
            <v>Sanjeevanagar</v>
          </cell>
          <cell r="D256" t="str">
            <v>Nizampatnam</v>
          </cell>
          <cell r="E256" t="str">
            <v>Local</v>
          </cell>
          <cell r="F256">
            <v>2</v>
          </cell>
          <cell r="G256" t="str">
            <v>Zoolapalem</v>
          </cell>
          <cell r="H256">
            <v>39</v>
          </cell>
          <cell r="I256" t="str">
            <v>Lam</v>
          </cell>
          <cell r="J256">
            <v>92</v>
          </cell>
          <cell r="K256" t="str">
            <v>Kolluru</v>
          </cell>
          <cell r="L256">
            <v>51</v>
          </cell>
          <cell r="M256" t="str">
            <v>Vejandla</v>
          </cell>
          <cell r="N256">
            <v>74</v>
          </cell>
          <cell r="O256" t="str">
            <v>Vejandla</v>
          </cell>
          <cell r="P256">
            <v>74</v>
          </cell>
          <cell r="Q256" t="str">
            <v>Repalle</v>
          </cell>
          <cell r="R256">
            <v>23</v>
          </cell>
          <cell r="S256" t="str">
            <v>I.B patnam</v>
          </cell>
          <cell r="T256">
            <v>85</v>
          </cell>
          <cell r="Y256" t="str">
            <v>Repalle</v>
          </cell>
          <cell r="Z256">
            <v>23</v>
          </cell>
          <cell r="AA256">
            <v>0</v>
          </cell>
        </row>
        <row r="257">
          <cell r="A257">
            <v>253</v>
          </cell>
          <cell r="B257" t="str">
            <v>Kothapalem</v>
          </cell>
          <cell r="C257" t="str">
            <v>Sardhanagar Colony</v>
          </cell>
          <cell r="D257" t="str">
            <v>Nizampatnam</v>
          </cell>
          <cell r="E257" t="str">
            <v>Local</v>
          </cell>
          <cell r="F257">
            <v>2</v>
          </cell>
          <cell r="G257" t="str">
            <v>Zoolapalem</v>
          </cell>
          <cell r="H257">
            <v>42</v>
          </cell>
          <cell r="I257" t="str">
            <v>Lam</v>
          </cell>
          <cell r="J257">
            <v>95</v>
          </cell>
          <cell r="K257" t="str">
            <v>Kolluru</v>
          </cell>
          <cell r="L257">
            <v>54</v>
          </cell>
          <cell r="M257" t="str">
            <v>Vejandla</v>
          </cell>
          <cell r="N257">
            <v>77</v>
          </cell>
          <cell r="O257" t="str">
            <v>Vejandla</v>
          </cell>
          <cell r="P257">
            <v>77</v>
          </cell>
          <cell r="Q257" t="str">
            <v>Repalle</v>
          </cell>
          <cell r="R257">
            <v>26</v>
          </cell>
          <cell r="S257" t="str">
            <v>I.B patnam</v>
          </cell>
          <cell r="T257">
            <v>85</v>
          </cell>
          <cell r="Y257" t="str">
            <v>Repalle</v>
          </cell>
          <cell r="Z257">
            <v>26</v>
          </cell>
          <cell r="AA257">
            <v>0</v>
          </cell>
        </row>
        <row r="258">
          <cell r="A258">
            <v>254</v>
          </cell>
          <cell r="B258" t="str">
            <v>Kothapalem</v>
          </cell>
          <cell r="C258" t="str">
            <v>Tallathippa</v>
          </cell>
          <cell r="D258" t="str">
            <v>Nizampatnam</v>
          </cell>
          <cell r="E258" t="str">
            <v>Local</v>
          </cell>
          <cell r="F258">
            <v>2</v>
          </cell>
          <cell r="G258" t="str">
            <v>Zoolapalem</v>
          </cell>
          <cell r="H258">
            <v>40</v>
          </cell>
          <cell r="I258" t="str">
            <v>Lam</v>
          </cell>
          <cell r="J258">
            <v>97</v>
          </cell>
          <cell r="K258" t="str">
            <v>Kolluru</v>
          </cell>
          <cell r="L258">
            <v>52</v>
          </cell>
          <cell r="M258" t="str">
            <v>Vejandla</v>
          </cell>
          <cell r="N258">
            <v>79</v>
          </cell>
          <cell r="O258" t="str">
            <v>Vejandla</v>
          </cell>
          <cell r="P258">
            <v>79</v>
          </cell>
          <cell r="Q258" t="str">
            <v>Repalle</v>
          </cell>
          <cell r="R258">
            <v>24</v>
          </cell>
          <cell r="S258" t="str">
            <v>I.B patnam</v>
          </cell>
          <cell r="T258">
            <v>85</v>
          </cell>
          <cell r="Y258" t="str">
            <v>Repalle</v>
          </cell>
          <cell r="Z258">
            <v>24</v>
          </cell>
          <cell r="AA258">
            <v>0</v>
          </cell>
        </row>
        <row r="259">
          <cell r="A259">
            <v>255</v>
          </cell>
          <cell r="B259" t="str">
            <v>Nizampatnam</v>
          </cell>
          <cell r="C259" t="str">
            <v>Thomaspet</v>
          </cell>
          <cell r="D259" t="str">
            <v>Nizampatnam</v>
          </cell>
          <cell r="E259" t="str">
            <v>Local</v>
          </cell>
          <cell r="F259">
            <v>2</v>
          </cell>
          <cell r="G259" t="str">
            <v>Zoolapalem</v>
          </cell>
          <cell r="H259">
            <v>42</v>
          </cell>
          <cell r="I259" t="str">
            <v>Lam</v>
          </cell>
          <cell r="J259">
            <v>67</v>
          </cell>
          <cell r="K259" t="str">
            <v>Kolluru</v>
          </cell>
          <cell r="L259">
            <v>54</v>
          </cell>
          <cell r="M259" t="str">
            <v>Vejandla</v>
          </cell>
          <cell r="N259">
            <v>49</v>
          </cell>
          <cell r="O259" t="str">
            <v>Vejandla</v>
          </cell>
          <cell r="P259">
            <v>49</v>
          </cell>
          <cell r="Q259" t="str">
            <v>Repalle</v>
          </cell>
          <cell r="R259">
            <v>26</v>
          </cell>
          <cell r="S259" t="str">
            <v>I.B patnam</v>
          </cell>
          <cell r="T259">
            <v>85</v>
          </cell>
          <cell r="Y259" t="str">
            <v>Repalle</v>
          </cell>
          <cell r="Z259">
            <v>26</v>
          </cell>
          <cell r="AA259">
            <v>0</v>
          </cell>
        </row>
        <row r="260">
          <cell r="A260">
            <v>256</v>
          </cell>
          <cell r="B260" t="str">
            <v>Adavuladeevi</v>
          </cell>
          <cell r="C260" t="str">
            <v>Thotavaripalem</v>
          </cell>
          <cell r="D260" t="str">
            <v>Nizampatnam</v>
          </cell>
          <cell r="E260" t="str">
            <v>Local</v>
          </cell>
          <cell r="F260">
            <v>2</v>
          </cell>
          <cell r="G260" t="str">
            <v>Zoolapalem</v>
          </cell>
          <cell r="H260">
            <v>40</v>
          </cell>
          <cell r="I260" t="str">
            <v>Lam</v>
          </cell>
          <cell r="J260">
            <v>93</v>
          </cell>
          <cell r="K260" t="str">
            <v>Kolluru</v>
          </cell>
          <cell r="L260">
            <v>52</v>
          </cell>
          <cell r="M260" t="str">
            <v>Vejandla</v>
          </cell>
          <cell r="N260">
            <v>75</v>
          </cell>
          <cell r="O260" t="str">
            <v>Vejandla</v>
          </cell>
          <cell r="P260">
            <v>75</v>
          </cell>
          <cell r="Q260" t="str">
            <v>Repalle</v>
          </cell>
          <cell r="R260">
            <v>24</v>
          </cell>
          <cell r="S260" t="str">
            <v>I.B patnam</v>
          </cell>
          <cell r="T260">
            <v>85</v>
          </cell>
          <cell r="Y260" t="str">
            <v>Repalle</v>
          </cell>
          <cell r="Z260">
            <v>24</v>
          </cell>
          <cell r="AA260">
            <v>0</v>
          </cell>
        </row>
        <row r="261">
          <cell r="A261">
            <v>257</v>
          </cell>
          <cell r="B261" t="str">
            <v>Bavajiaplem</v>
          </cell>
          <cell r="C261" t="str">
            <v>Totakuravaripalem</v>
          </cell>
          <cell r="D261" t="str">
            <v>Nizampatnam</v>
          </cell>
          <cell r="E261" t="str">
            <v>Local</v>
          </cell>
          <cell r="F261">
            <v>2</v>
          </cell>
          <cell r="G261" t="str">
            <v>Zoolapalem</v>
          </cell>
          <cell r="H261">
            <v>42</v>
          </cell>
          <cell r="I261" t="str">
            <v>Lam</v>
          </cell>
          <cell r="J261">
            <v>67</v>
          </cell>
          <cell r="K261" t="str">
            <v>Kolluru</v>
          </cell>
          <cell r="L261">
            <v>54</v>
          </cell>
          <cell r="M261" t="str">
            <v>Vejandla</v>
          </cell>
          <cell r="N261">
            <v>49</v>
          </cell>
          <cell r="O261" t="str">
            <v>Vejandla</v>
          </cell>
          <cell r="P261">
            <v>49</v>
          </cell>
          <cell r="Q261" t="str">
            <v>Repalle</v>
          </cell>
          <cell r="R261">
            <v>26</v>
          </cell>
          <cell r="S261" t="str">
            <v>I.B patnam</v>
          </cell>
          <cell r="T261">
            <v>85</v>
          </cell>
          <cell r="Y261" t="str">
            <v>Repalle</v>
          </cell>
          <cell r="Z261">
            <v>26</v>
          </cell>
          <cell r="AA261">
            <v>0</v>
          </cell>
        </row>
        <row r="262">
          <cell r="A262">
            <v>258</v>
          </cell>
          <cell r="B262" t="str">
            <v>Kothapalem</v>
          </cell>
          <cell r="C262" t="str">
            <v>Varmapuram</v>
          </cell>
          <cell r="D262" t="str">
            <v>Nizampatnam</v>
          </cell>
          <cell r="E262" t="str">
            <v>Local</v>
          </cell>
          <cell r="F262">
            <v>2</v>
          </cell>
          <cell r="G262" t="str">
            <v>Zoolapalem</v>
          </cell>
          <cell r="H262">
            <v>42</v>
          </cell>
          <cell r="I262" t="str">
            <v>Lam</v>
          </cell>
          <cell r="J262">
            <v>95</v>
          </cell>
          <cell r="K262" t="str">
            <v>Kolluru</v>
          </cell>
          <cell r="L262">
            <v>54</v>
          </cell>
          <cell r="M262" t="str">
            <v>Vejandla</v>
          </cell>
          <cell r="N262">
            <v>77</v>
          </cell>
          <cell r="O262" t="str">
            <v>Vejandla</v>
          </cell>
          <cell r="P262">
            <v>77</v>
          </cell>
          <cell r="Q262" t="str">
            <v>Repalle</v>
          </cell>
          <cell r="R262">
            <v>26</v>
          </cell>
          <cell r="S262" t="str">
            <v>I.B patnam</v>
          </cell>
          <cell r="T262">
            <v>85</v>
          </cell>
          <cell r="Y262" t="str">
            <v>Repalle</v>
          </cell>
          <cell r="Z262">
            <v>26</v>
          </cell>
          <cell r="AA262">
            <v>0</v>
          </cell>
        </row>
        <row r="263">
          <cell r="A263">
            <v>259</v>
          </cell>
          <cell r="B263" t="str">
            <v>Adavuladeevi</v>
          </cell>
          <cell r="C263" t="str">
            <v>Veerankivaripalem</v>
          </cell>
          <cell r="D263" t="str">
            <v>Nizampatnam</v>
          </cell>
          <cell r="E263" t="str">
            <v>Local</v>
          </cell>
          <cell r="F263">
            <v>2</v>
          </cell>
          <cell r="G263" t="str">
            <v>Zoolapalem</v>
          </cell>
          <cell r="H263">
            <v>36</v>
          </cell>
          <cell r="I263" t="str">
            <v>Lam</v>
          </cell>
          <cell r="J263">
            <v>89</v>
          </cell>
          <cell r="K263" t="str">
            <v>Kolluru</v>
          </cell>
          <cell r="L263">
            <v>48</v>
          </cell>
          <cell r="M263" t="str">
            <v>Vejandla</v>
          </cell>
          <cell r="N263">
            <v>71</v>
          </cell>
          <cell r="O263" t="str">
            <v>Vejandla</v>
          </cell>
          <cell r="P263">
            <v>71</v>
          </cell>
          <cell r="Q263" t="str">
            <v>Repalle</v>
          </cell>
          <cell r="R263">
            <v>20</v>
          </cell>
          <cell r="S263" t="str">
            <v>I.B patnam</v>
          </cell>
          <cell r="T263">
            <v>85</v>
          </cell>
          <cell r="Y263" t="str">
            <v>Repalle</v>
          </cell>
          <cell r="Z263">
            <v>20</v>
          </cell>
          <cell r="AA263">
            <v>0</v>
          </cell>
        </row>
        <row r="264">
          <cell r="A264">
            <v>260</v>
          </cell>
          <cell r="B264" t="str">
            <v>Kuchinapudi</v>
          </cell>
          <cell r="C264" t="str">
            <v>Yeminenivaripalem</v>
          </cell>
          <cell r="D264" t="str">
            <v>Nizampatnam</v>
          </cell>
          <cell r="E264" t="str">
            <v>Local</v>
          </cell>
          <cell r="F264">
            <v>2</v>
          </cell>
          <cell r="G264" t="str">
            <v>Zoolapalem</v>
          </cell>
          <cell r="H264">
            <v>45</v>
          </cell>
          <cell r="I264" t="str">
            <v>Lam</v>
          </cell>
          <cell r="J264">
            <v>94</v>
          </cell>
          <cell r="K264" t="str">
            <v>Kolluru</v>
          </cell>
          <cell r="L264">
            <v>57</v>
          </cell>
          <cell r="M264" t="str">
            <v>Vejandla</v>
          </cell>
          <cell r="N264">
            <v>76</v>
          </cell>
          <cell r="O264" t="str">
            <v>Vejandla</v>
          </cell>
          <cell r="P264">
            <v>76</v>
          </cell>
          <cell r="Q264" t="str">
            <v>Repalle</v>
          </cell>
          <cell r="R264">
            <v>29</v>
          </cell>
          <cell r="S264" t="str">
            <v>I.B patnam</v>
          </cell>
          <cell r="T264">
            <v>85</v>
          </cell>
          <cell r="Y264" t="str">
            <v>Repalle</v>
          </cell>
          <cell r="Z264">
            <v>29</v>
          </cell>
          <cell r="AA264">
            <v>0.2</v>
          </cell>
        </row>
        <row r="265">
          <cell r="A265">
            <v>261</v>
          </cell>
          <cell r="B265" t="str">
            <v>Kothapalem</v>
          </cell>
          <cell r="C265" t="str">
            <v>Zoolu</v>
          </cell>
          <cell r="D265" t="str">
            <v>Nizampatnam</v>
          </cell>
          <cell r="E265" t="str">
            <v>Local</v>
          </cell>
          <cell r="F265">
            <v>2</v>
          </cell>
          <cell r="G265" t="str">
            <v>Zoolapalem</v>
          </cell>
          <cell r="H265">
            <v>42</v>
          </cell>
          <cell r="I265" t="str">
            <v>Lam</v>
          </cell>
          <cell r="J265">
            <v>95</v>
          </cell>
          <cell r="K265" t="str">
            <v>Kolluru</v>
          </cell>
          <cell r="L265">
            <v>54</v>
          </cell>
          <cell r="M265" t="str">
            <v>Vejandla</v>
          </cell>
          <cell r="N265">
            <v>77</v>
          </cell>
          <cell r="O265" t="str">
            <v>Vejandla</v>
          </cell>
          <cell r="P265">
            <v>77</v>
          </cell>
          <cell r="Q265" t="str">
            <v>Repalle</v>
          </cell>
          <cell r="R265">
            <v>26</v>
          </cell>
          <cell r="S265" t="str">
            <v>I.B patnam</v>
          </cell>
          <cell r="T265">
            <v>85</v>
          </cell>
          <cell r="Y265" t="str">
            <v>Repalle</v>
          </cell>
          <cell r="Z265">
            <v>26</v>
          </cell>
          <cell r="AA265">
            <v>0</v>
          </cell>
        </row>
        <row r="266">
          <cell r="A266">
            <v>262</v>
          </cell>
          <cell r="B266" t="str">
            <v>Gangadipalem</v>
          </cell>
          <cell r="C266" t="str">
            <v>Adavipalem</v>
          </cell>
          <cell r="D266" t="str">
            <v>Repalle</v>
          </cell>
          <cell r="E266" t="str">
            <v>Local</v>
          </cell>
          <cell r="F266">
            <v>5</v>
          </cell>
          <cell r="G266" t="str">
            <v>Zoolapalem</v>
          </cell>
          <cell r="H266">
            <v>35.9</v>
          </cell>
          <cell r="I266" t="str">
            <v>Lam</v>
          </cell>
          <cell r="J266">
            <v>104.7</v>
          </cell>
          <cell r="K266" t="str">
            <v>Kolluru</v>
          </cell>
          <cell r="L266">
            <v>51.1</v>
          </cell>
          <cell r="M266" t="str">
            <v>Vejandla</v>
          </cell>
          <cell r="N266">
            <v>82.7</v>
          </cell>
          <cell r="O266" t="str">
            <v>Vejandla</v>
          </cell>
          <cell r="P266">
            <v>82.7</v>
          </cell>
          <cell r="Q266" t="str">
            <v>Repalle</v>
          </cell>
          <cell r="R266">
            <v>23.7</v>
          </cell>
          <cell r="S266" t="str">
            <v>I.B patnam</v>
          </cell>
          <cell r="T266">
            <v>85</v>
          </cell>
          <cell r="Y266" t="str">
            <v>Repalle</v>
          </cell>
          <cell r="Z266">
            <v>23.7</v>
          </cell>
          <cell r="AA266">
            <v>0</v>
          </cell>
        </row>
        <row r="267">
          <cell r="A267">
            <v>263</v>
          </cell>
          <cell r="B267" t="str">
            <v>Aravapalli</v>
          </cell>
          <cell r="C267" t="str">
            <v>Aravapalli</v>
          </cell>
          <cell r="D267" t="str">
            <v>Repalle</v>
          </cell>
          <cell r="E267" t="str">
            <v>Penumudi</v>
          </cell>
          <cell r="F267">
            <v>5.7</v>
          </cell>
          <cell r="G267" t="str">
            <v>Zoolapalem</v>
          </cell>
          <cell r="H267">
            <v>20.9</v>
          </cell>
          <cell r="I267" t="str">
            <v>Lam</v>
          </cell>
          <cell r="J267">
            <v>83.7</v>
          </cell>
          <cell r="K267" t="str">
            <v>Kolluru</v>
          </cell>
          <cell r="L267">
            <v>34.1</v>
          </cell>
          <cell r="M267" t="str">
            <v>Vejandla</v>
          </cell>
          <cell r="N267">
            <v>60.7</v>
          </cell>
          <cell r="O267" t="str">
            <v>Vejandla</v>
          </cell>
          <cell r="P267">
            <v>60.7</v>
          </cell>
          <cell r="Q267" t="str">
            <v>Repalle</v>
          </cell>
          <cell r="R267">
            <v>4.4000000000000004</v>
          </cell>
          <cell r="S267" t="str">
            <v>I.B patnam</v>
          </cell>
          <cell r="T267">
            <v>85</v>
          </cell>
          <cell r="Y267" t="str">
            <v>Repalle</v>
          </cell>
          <cell r="Z267">
            <v>4.4000000000000004</v>
          </cell>
          <cell r="AA267">
            <v>0.2</v>
          </cell>
        </row>
        <row r="268">
          <cell r="A268">
            <v>264</v>
          </cell>
          <cell r="B268" t="str">
            <v>Potumeraka</v>
          </cell>
          <cell r="C268" t="str">
            <v>Banikollamotu</v>
          </cell>
          <cell r="D268" t="str">
            <v>Repalle</v>
          </cell>
          <cell r="E268" t="str">
            <v>Penumudi</v>
          </cell>
          <cell r="F268">
            <v>20</v>
          </cell>
          <cell r="G268" t="str">
            <v>Zoolapalem</v>
          </cell>
          <cell r="H268">
            <v>34.299999999999997</v>
          </cell>
          <cell r="I268" t="str">
            <v>Lam</v>
          </cell>
          <cell r="J268">
            <v>98</v>
          </cell>
          <cell r="K268" t="str">
            <v>Kolluru</v>
          </cell>
          <cell r="L268">
            <v>48.4</v>
          </cell>
          <cell r="M268" t="str">
            <v>Vejandla</v>
          </cell>
          <cell r="N268">
            <v>75</v>
          </cell>
          <cell r="O268" t="str">
            <v>Vejandla</v>
          </cell>
          <cell r="P268">
            <v>75</v>
          </cell>
          <cell r="Q268" t="str">
            <v>Repalle</v>
          </cell>
          <cell r="R268">
            <v>16.3</v>
          </cell>
          <cell r="S268" t="str">
            <v>I.B patnam</v>
          </cell>
          <cell r="T268">
            <v>85</v>
          </cell>
          <cell r="Y268" t="str">
            <v>Repalle</v>
          </cell>
          <cell r="Z268">
            <v>16.3</v>
          </cell>
          <cell r="AA268">
            <v>0.2</v>
          </cell>
        </row>
        <row r="269">
          <cell r="A269">
            <v>265</v>
          </cell>
          <cell r="B269" t="str">
            <v>Bethapudi</v>
          </cell>
          <cell r="C269" t="str">
            <v>Betapudi</v>
          </cell>
          <cell r="D269" t="str">
            <v>Repalle</v>
          </cell>
          <cell r="E269" t="str">
            <v>Penumudi</v>
          </cell>
          <cell r="F269">
            <v>5</v>
          </cell>
          <cell r="G269" t="str">
            <v>Zoolapalem</v>
          </cell>
          <cell r="H269">
            <v>21.5</v>
          </cell>
          <cell r="I269" t="str">
            <v>Lam</v>
          </cell>
          <cell r="J269">
            <v>79.5</v>
          </cell>
          <cell r="K269" t="str">
            <v>Kolluru</v>
          </cell>
          <cell r="L269">
            <v>26.9</v>
          </cell>
          <cell r="M269" t="str">
            <v>Vejandla</v>
          </cell>
          <cell r="N269">
            <v>56.5</v>
          </cell>
          <cell r="O269" t="str">
            <v>Vejandla</v>
          </cell>
          <cell r="P269">
            <v>56.5</v>
          </cell>
          <cell r="Q269" t="str">
            <v>Repalle</v>
          </cell>
          <cell r="R269">
            <v>2.9</v>
          </cell>
          <cell r="S269" t="str">
            <v>I.B patnam</v>
          </cell>
          <cell r="T269">
            <v>85</v>
          </cell>
          <cell r="Y269" t="str">
            <v>Repalle</v>
          </cell>
          <cell r="Z269">
            <v>2.9</v>
          </cell>
          <cell r="AA269">
            <v>0.2</v>
          </cell>
        </row>
        <row r="270">
          <cell r="A270">
            <v>266</v>
          </cell>
          <cell r="B270" t="str">
            <v>Chodayapalem</v>
          </cell>
          <cell r="C270" t="str">
            <v>Bobbarlanka</v>
          </cell>
          <cell r="D270" t="str">
            <v>Repalle</v>
          </cell>
          <cell r="E270" t="str">
            <v>Penumudi</v>
          </cell>
          <cell r="F270">
            <v>10.7</v>
          </cell>
          <cell r="G270" t="str">
            <v>Zoolapalem</v>
          </cell>
          <cell r="H270">
            <v>27.2</v>
          </cell>
          <cell r="I270" t="str">
            <v>Lam</v>
          </cell>
          <cell r="J270">
            <v>96.5</v>
          </cell>
          <cell r="K270" t="str">
            <v>Kolluru</v>
          </cell>
          <cell r="L270">
            <v>43.9</v>
          </cell>
          <cell r="M270" t="str">
            <v>Vejandla</v>
          </cell>
          <cell r="N270">
            <v>72.5</v>
          </cell>
          <cell r="O270" t="str">
            <v>Vejandla</v>
          </cell>
          <cell r="P270">
            <v>72.5</v>
          </cell>
          <cell r="Q270" t="str">
            <v>Repalle</v>
          </cell>
          <cell r="R270">
            <v>14.5</v>
          </cell>
          <cell r="S270" t="str">
            <v>I.B patnam</v>
          </cell>
          <cell r="T270">
            <v>85</v>
          </cell>
          <cell r="Y270" t="str">
            <v>Repalle</v>
          </cell>
          <cell r="Z270">
            <v>14.5</v>
          </cell>
          <cell r="AA270">
            <v>0.2</v>
          </cell>
        </row>
        <row r="271">
          <cell r="A271">
            <v>267</v>
          </cell>
          <cell r="B271" t="str">
            <v>Bondalagaruvu</v>
          </cell>
          <cell r="C271" t="str">
            <v>Bondalagaruvu</v>
          </cell>
          <cell r="D271" t="str">
            <v>Repalle</v>
          </cell>
          <cell r="E271" t="str">
            <v>Penumudi</v>
          </cell>
          <cell r="F271">
            <v>18.7</v>
          </cell>
          <cell r="G271" t="str">
            <v>Zoolapalem</v>
          </cell>
          <cell r="H271">
            <v>35.200000000000003</v>
          </cell>
          <cell r="I271" t="str">
            <v>Lam</v>
          </cell>
          <cell r="J271">
            <v>96.7</v>
          </cell>
          <cell r="K271" t="str">
            <v>Kolluru</v>
          </cell>
          <cell r="L271">
            <v>47.1</v>
          </cell>
          <cell r="M271" t="str">
            <v>Vejandla</v>
          </cell>
          <cell r="N271">
            <v>73.7</v>
          </cell>
          <cell r="O271" t="str">
            <v>Vejandla</v>
          </cell>
          <cell r="P271">
            <v>73.7</v>
          </cell>
          <cell r="Q271" t="str">
            <v>Repalle</v>
          </cell>
          <cell r="R271">
            <v>16.5</v>
          </cell>
          <cell r="S271" t="str">
            <v>I.B patnam</v>
          </cell>
          <cell r="T271">
            <v>85</v>
          </cell>
          <cell r="Y271" t="str">
            <v>Repalle</v>
          </cell>
          <cell r="Z271">
            <v>16.5</v>
          </cell>
          <cell r="AA271">
            <v>0.2</v>
          </cell>
        </row>
        <row r="272">
          <cell r="A272">
            <v>268</v>
          </cell>
          <cell r="B272" t="str">
            <v>Kamarajugadda(North)</v>
          </cell>
          <cell r="C272" t="str">
            <v>Burugulankapalem</v>
          </cell>
          <cell r="D272" t="str">
            <v>Repalle</v>
          </cell>
          <cell r="E272" t="str">
            <v>Penumudi</v>
          </cell>
          <cell r="F272">
            <v>5.9</v>
          </cell>
          <cell r="G272" t="str">
            <v>Zoolapalem</v>
          </cell>
          <cell r="H272">
            <v>22.4</v>
          </cell>
          <cell r="I272" t="str">
            <v>Lam</v>
          </cell>
          <cell r="J272">
            <v>89.7</v>
          </cell>
          <cell r="K272" t="str">
            <v>Kolluru</v>
          </cell>
          <cell r="L272">
            <v>35.9</v>
          </cell>
          <cell r="M272" t="str">
            <v>Vejandla</v>
          </cell>
          <cell r="N272">
            <v>66.7</v>
          </cell>
          <cell r="O272" t="str">
            <v>Vejandla</v>
          </cell>
          <cell r="P272">
            <v>66.7</v>
          </cell>
          <cell r="Q272" t="str">
            <v>Repalle</v>
          </cell>
          <cell r="R272">
            <v>9.6999999999999993</v>
          </cell>
          <cell r="S272" t="str">
            <v>I.B patnam</v>
          </cell>
          <cell r="T272">
            <v>85</v>
          </cell>
          <cell r="Y272" t="str">
            <v>Repalle</v>
          </cell>
          <cell r="Z272">
            <v>9.6999999999999993</v>
          </cell>
          <cell r="AA272">
            <v>0.2</v>
          </cell>
        </row>
        <row r="273">
          <cell r="A273">
            <v>269</v>
          </cell>
          <cell r="B273" t="str">
            <v>Potumeraka</v>
          </cell>
          <cell r="C273" t="str">
            <v>Chandramoulinagar</v>
          </cell>
          <cell r="D273" t="str">
            <v>Repalle</v>
          </cell>
          <cell r="E273" t="str">
            <v>Penumudi</v>
          </cell>
          <cell r="F273">
            <v>19.2</v>
          </cell>
          <cell r="G273" t="str">
            <v>Zoolapalem</v>
          </cell>
          <cell r="H273">
            <v>35.700000000000003</v>
          </cell>
          <cell r="I273" t="str">
            <v>Lam</v>
          </cell>
          <cell r="J273">
            <v>97.2</v>
          </cell>
          <cell r="K273" t="str">
            <v>Kolluru</v>
          </cell>
          <cell r="L273">
            <v>47.6</v>
          </cell>
          <cell r="M273" t="str">
            <v>Vejandla</v>
          </cell>
          <cell r="N273">
            <v>74.2</v>
          </cell>
          <cell r="O273" t="str">
            <v>Vejandla</v>
          </cell>
          <cell r="P273">
            <v>74.2</v>
          </cell>
          <cell r="Q273" t="str">
            <v>Repalle</v>
          </cell>
          <cell r="R273">
            <v>17</v>
          </cell>
          <cell r="S273" t="str">
            <v>I.B patnam</v>
          </cell>
          <cell r="T273">
            <v>85</v>
          </cell>
          <cell r="Y273" t="str">
            <v>Repalle</v>
          </cell>
          <cell r="Z273">
            <v>17</v>
          </cell>
          <cell r="AA273">
            <v>0.2</v>
          </cell>
        </row>
        <row r="274">
          <cell r="A274">
            <v>270</v>
          </cell>
          <cell r="B274" t="str">
            <v>Peteru</v>
          </cell>
          <cell r="C274" t="str">
            <v>Gantavaripalem of Peteru</v>
          </cell>
          <cell r="D274" t="str">
            <v>Repalle</v>
          </cell>
          <cell r="E274" t="str">
            <v>Penumudi</v>
          </cell>
          <cell r="F274">
            <v>5.7</v>
          </cell>
          <cell r="G274" t="str">
            <v>Zoolapalem</v>
          </cell>
          <cell r="H274">
            <v>12.2</v>
          </cell>
          <cell r="I274" t="str">
            <v>Lam</v>
          </cell>
          <cell r="J274">
            <v>80.3</v>
          </cell>
          <cell r="K274" t="str">
            <v>Kolluru</v>
          </cell>
          <cell r="L274">
            <v>27.7</v>
          </cell>
          <cell r="M274" t="str">
            <v>Vejandla</v>
          </cell>
          <cell r="N274">
            <v>56.3</v>
          </cell>
          <cell r="O274" t="str">
            <v>Vejandla</v>
          </cell>
          <cell r="P274">
            <v>56.3</v>
          </cell>
          <cell r="Q274" t="str">
            <v>Repalle</v>
          </cell>
          <cell r="R274">
            <v>4.3</v>
          </cell>
          <cell r="S274" t="str">
            <v>I.B patnam</v>
          </cell>
          <cell r="T274">
            <v>85</v>
          </cell>
          <cell r="Y274" t="str">
            <v>Repalle</v>
          </cell>
          <cell r="Z274">
            <v>4.3</v>
          </cell>
          <cell r="AA274">
            <v>0.2</v>
          </cell>
        </row>
        <row r="275">
          <cell r="A275">
            <v>271</v>
          </cell>
          <cell r="B275" t="str">
            <v>Chatragadda</v>
          </cell>
          <cell r="C275" t="str">
            <v>Chatragadda</v>
          </cell>
          <cell r="D275" t="str">
            <v>Repalle</v>
          </cell>
          <cell r="E275" t="str">
            <v>Penumudi</v>
          </cell>
          <cell r="F275">
            <v>5.9</v>
          </cell>
          <cell r="G275" t="str">
            <v>Zoolapalem</v>
          </cell>
          <cell r="H275">
            <v>22.4</v>
          </cell>
          <cell r="I275" t="str">
            <v>Lam</v>
          </cell>
          <cell r="J275">
            <v>89.7</v>
          </cell>
          <cell r="K275" t="str">
            <v>Kolluru</v>
          </cell>
          <cell r="L275">
            <v>35.9</v>
          </cell>
          <cell r="M275" t="str">
            <v>Vejandla</v>
          </cell>
          <cell r="N275">
            <v>66.7</v>
          </cell>
          <cell r="O275" t="str">
            <v>Vejandla</v>
          </cell>
          <cell r="P275">
            <v>66.7</v>
          </cell>
          <cell r="Q275" t="str">
            <v>Repalle</v>
          </cell>
          <cell r="R275">
            <v>9.6999999999999993</v>
          </cell>
          <cell r="S275" t="str">
            <v>I.B patnam</v>
          </cell>
          <cell r="T275">
            <v>85</v>
          </cell>
          <cell r="Y275" t="str">
            <v>Repalle</v>
          </cell>
          <cell r="Z275">
            <v>9.6999999999999993</v>
          </cell>
          <cell r="AA275">
            <v>0.2</v>
          </cell>
        </row>
        <row r="276">
          <cell r="A276">
            <v>272</v>
          </cell>
          <cell r="B276" t="str">
            <v>Chennupallivaripalem</v>
          </cell>
          <cell r="C276" t="str">
            <v>Chennupallivaripalem</v>
          </cell>
          <cell r="D276" t="str">
            <v>Repalle</v>
          </cell>
          <cell r="E276" t="str">
            <v>Penumudi</v>
          </cell>
          <cell r="F276">
            <v>16.100000000000001</v>
          </cell>
          <cell r="G276" t="str">
            <v>Zoolapalem</v>
          </cell>
          <cell r="H276">
            <v>36.4</v>
          </cell>
          <cell r="I276" t="str">
            <v>Lam</v>
          </cell>
          <cell r="J276">
            <v>101.9</v>
          </cell>
          <cell r="K276" t="str">
            <v>Kolluru</v>
          </cell>
          <cell r="L276">
            <v>49.3</v>
          </cell>
          <cell r="M276" t="str">
            <v>Vejandla</v>
          </cell>
          <cell r="N276">
            <v>77.900000000000006</v>
          </cell>
          <cell r="O276" t="str">
            <v>Vejandla</v>
          </cell>
          <cell r="P276">
            <v>77.900000000000006</v>
          </cell>
          <cell r="Q276" t="str">
            <v>Repalle</v>
          </cell>
          <cell r="R276">
            <v>19.899999999999999</v>
          </cell>
          <cell r="S276" t="str">
            <v>I.B patnam</v>
          </cell>
          <cell r="T276">
            <v>85</v>
          </cell>
          <cell r="Y276" t="str">
            <v>Repalle</v>
          </cell>
          <cell r="Z276">
            <v>19.899999999999999</v>
          </cell>
          <cell r="AA276">
            <v>0</v>
          </cell>
        </row>
        <row r="277">
          <cell r="A277">
            <v>273</v>
          </cell>
          <cell r="B277" t="str">
            <v>Uppudi</v>
          </cell>
          <cell r="C277" t="str">
            <v>Cheruvupalem</v>
          </cell>
          <cell r="D277" t="str">
            <v>Repalle</v>
          </cell>
          <cell r="E277" t="str">
            <v>Penumudi</v>
          </cell>
          <cell r="F277">
            <v>5.7</v>
          </cell>
          <cell r="G277" t="str">
            <v>Zoolapalem</v>
          </cell>
          <cell r="H277">
            <v>20.9</v>
          </cell>
          <cell r="I277" t="str">
            <v>Lam</v>
          </cell>
          <cell r="J277">
            <v>83.7</v>
          </cell>
          <cell r="K277" t="str">
            <v>Kolluru</v>
          </cell>
          <cell r="L277">
            <v>34.1</v>
          </cell>
          <cell r="M277" t="str">
            <v>Vejandla</v>
          </cell>
          <cell r="N277">
            <v>60.7</v>
          </cell>
          <cell r="O277" t="str">
            <v>Vejandla</v>
          </cell>
          <cell r="P277">
            <v>60.7</v>
          </cell>
          <cell r="Q277" t="str">
            <v>Repalle</v>
          </cell>
          <cell r="R277">
            <v>5.7</v>
          </cell>
          <cell r="S277" t="str">
            <v>I.B patnam</v>
          </cell>
          <cell r="T277">
            <v>85</v>
          </cell>
          <cell r="Y277" t="str">
            <v>Repalle</v>
          </cell>
          <cell r="Z277">
            <v>5.7</v>
          </cell>
          <cell r="AA277">
            <v>0.2</v>
          </cell>
        </row>
        <row r="278">
          <cell r="A278">
            <v>274</v>
          </cell>
          <cell r="B278" t="str">
            <v>Chodayapalem</v>
          </cell>
          <cell r="C278" t="str">
            <v>Chodayapalem</v>
          </cell>
          <cell r="D278" t="str">
            <v>Repalle</v>
          </cell>
          <cell r="E278" t="str">
            <v>Penumudi</v>
          </cell>
          <cell r="F278">
            <v>12.1</v>
          </cell>
          <cell r="G278" t="str">
            <v>Zoolapalem</v>
          </cell>
          <cell r="H278">
            <v>32.4</v>
          </cell>
          <cell r="I278" t="str">
            <v>Lam</v>
          </cell>
          <cell r="J278">
            <v>97.9</v>
          </cell>
          <cell r="K278" t="str">
            <v>Kolluru</v>
          </cell>
          <cell r="L278">
            <v>45.3</v>
          </cell>
          <cell r="M278" t="str">
            <v>Vejandla</v>
          </cell>
          <cell r="N278">
            <v>73.900000000000006</v>
          </cell>
          <cell r="O278" t="str">
            <v>Vejandla</v>
          </cell>
          <cell r="P278">
            <v>73.900000000000006</v>
          </cell>
          <cell r="Q278" t="str">
            <v>Repalle</v>
          </cell>
          <cell r="R278">
            <v>15.9</v>
          </cell>
          <cell r="S278" t="str">
            <v>I.B patnam</v>
          </cell>
          <cell r="T278">
            <v>85</v>
          </cell>
          <cell r="Y278" t="str">
            <v>Repalle</v>
          </cell>
          <cell r="Z278">
            <v>15.9</v>
          </cell>
          <cell r="AA278">
            <v>0.2</v>
          </cell>
        </row>
        <row r="279">
          <cell r="A279">
            <v>275</v>
          </cell>
          <cell r="B279" t="str">
            <v>Visweswaram</v>
          </cell>
          <cell r="C279" t="str">
            <v>Erukulapalem</v>
          </cell>
          <cell r="D279" t="str">
            <v>Repalle</v>
          </cell>
          <cell r="E279" t="str">
            <v>Penumudi</v>
          </cell>
          <cell r="F279">
            <v>15.6</v>
          </cell>
          <cell r="G279" t="str">
            <v>Zoolapalem</v>
          </cell>
          <cell r="H279">
            <v>29.9</v>
          </cell>
          <cell r="I279" t="str">
            <v>Lam</v>
          </cell>
          <cell r="J279">
            <v>93.6</v>
          </cell>
          <cell r="K279" t="str">
            <v>Kolluru</v>
          </cell>
          <cell r="L279">
            <v>44</v>
          </cell>
          <cell r="M279" t="str">
            <v>Vejandla</v>
          </cell>
          <cell r="N279">
            <v>70.599999999999994</v>
          </cell>
          <cell r="O279" t="str">
            <v>Vejandla</v>
          </cell>
          <cell r="P279">
            <v>70.599999999999994</v>
          </cell>
          <cell r="Q279" t="str">
            <v>Repalle</v>
          </cell>
          <cell r="R279">
            <v>13.4</v>
          </cell>
          <cell r="S279" t="str">
            <v>I.B patnam</v>
          </cell>
          <cell r="T279">
            <v>85</v>
          </cell>
          <cell r="Y279" t="str">
            <v>Repalle</v>
          </cell>
          <cell r="Z279">
            <v>13.4</v>
          </cell>
          <cell r="AA279">
            <v>0.2</v>
          </cell>
        </row>
        <row r="280">
          <cell r="A280">
            <v>276</v>
          </cell>
          <cell r="B280" t="str">
            <v>Thummala</v>
          </cell>
          <cell r="C280" t="str">
            <v>Gadevaripalem</v>
          </cell>
          <cell r="D280" t="str">
            <v>Repalle</v>
          </cell>
          <cell r="E280" t="str">
            <v>Penumudi</v>
          </cell>
          <cell r="F280">
            <v>20.5</v>
          </cell>
          <cell r="G280" t="str">
            <v>Zoolapalem</v>
          </cell>
          <cell r="H280">
            <v>32.799999999999997</v>
          </cell>
          <cell r="I280" t="str">
            <v>Lam</v>
          </cell>
          <cell r="J280">
            <v>98.5</v>
          </cell>
          <cell r="K280" t="str">
            <v>Kolluru</v>
          </cell>
          <cell r="L280">
            <v>48.9</v>
          </cell>
          <cell r="M280" t="str">
            <v>Vejandla</v>
          </cell>
          <cell r="N280">
            <v>75.5</v>
          </cell>
          <cell r="O280" t="str">
            <v>Vejandla</v>
          </cell>
          <cell r="P280">
            <v>75.5</v>
          </cell>
          <cell r="Q280" t="str">
            <v>Repalle</v>
          </cell>
          <cell r="R280">
            <v>18.3</v>
          </cell>
          <cell r="S280" t="str">
            <v>I.B patnam</v>
          </cell>
          <cell r="T280">
            <v>85</v>
          </cell>
          <cell r="Y280" t="str">
            <v>Repalle</v>
          </cell>
          <cell r="Z280">
            <v>18.3</v>
          </cell>
          <cell r="AA280">
            <v>0.2</v>
          </cell>
        </row>
        <row r="281">
          <cell r="A281">
            <v>277</v>
          </cell>
          <cell r="B281" t="str">
            <v>Gangadipalem</v>
          </cell>
          <cell r="C281" t="str">
            <v>Gangadipalem</v>
          </cell>
          <cell r="D281" t="str">
            <v>Repalle</v>
          </cell>
          <cell r="E281" t="str">
            <v>Penumudi</v>
          </cell>
          <cell r="F281">
            <v>18.100000000000001</v>
          </cell>
          <cell r="G281" t="str">
            <v>Zoolapalem</v>
          </cell>
          <cell r="H281">
            <v>38.4</v>
          </cell>
          <cell r="I281" t="str">
            <v>Lam</v>
          </cell>
          <cell r="J281">
            <v>103.9</v>
          </cell>
          <cell r="K281" t="str">
            <v>Kolluru</v>
          </cell>
          <cell r="L281">
            <v>51.3</v>
          </cell>
          <cell r="M281" t="str">
            <v>Vejandla</v>
          </cell>
          <cell r="N281">
            <v>80.900000000000006</v>
          </cell>
          <cell r="O281" t="str">
            <v>Vejandla</v>
          </cell>
          <cell r="P281">
            <v>80.900000000000006</v>
          </cell>
          <cell r="Q281" t="str">
            <v>Repalle</v>
          </cell>
          <cell r="R281">
            <v>21.9</v>
          </cell>
          <cell r="S281" t="str">
            <v>I.B patnam</v>
          </cell>
          <cell r="T281">
            <v>85</v>
          </cell>
          <cell r="Y281" t="str">
            <v>Repalle</v>
          </cell>
          <cell r="Z281">
            <v>21.9</v>
          </cell>
          <cell r="AA281">
            <v>0</v>
          </cell>
        </row>
        <row r="282">
          <cell r="A282">
            <v>278</v>
          </cell>
          <cell r="B282" t="str">
            <v>Kaithepalli</v>
          </cell>
          <cell r="C282" t="str">
            <v>Gowdapalem(kaithepalli)</v>
          </cell>
          <cell r="D282" t="str">
            <v>Repalle</v>
          </cell>
          <cell r="E282" t="str">
            <v>Penumudi</v>
          </cell>
          <cell r="F282">
            <v>17.100000000000001</v>
          </cell>
          <cell r="G282" t="str">
            <v>Zoolapalem</v>
          </cell>
          <cell r="H282">
            <v>31.4</v>
          </cell>
          <cell r="I282" t="str">
            <v>Lam</v>
          </cell>
          <cell r="J282">
            <v>95.1</v>
          </cell>
          <cell r="K282" t="str">
            <v>Kolluru</v>
          </cell>
          <cell r="L282">
            <v>45.5</v>
          </cell>
          <cell r="M282" t="str">
            <v>Vejandla</v>
          </cell>
          <cell r="N282">
            <v>72.099999999999994</v>
          </cell>
          <cell r="O282" t="str">
            <v>Vejandla</v>
          </cell>
          <cell r="P282">
            <v>72.099999999999994</v>
          </cell>
          <cell r="Q282" t="str">
            <v>Repalle</v>
          </cell>
          <cell r="R282">
            <v>14.9</v>
          </cell>
          <cell r="S282" t="str">
            <v>I.B patnam</v>
          </cell>
          <cell r="T282">
            <v>85</v>
          </cell>
          <cell r="Y282" t="str">
            <v>Repalle</v>
          </cell>
          <cell r="Z282">
            <v>14.9</v>
          </cell>
          <cell r="AA282">
            <v>0.2</v>
          </cell>
        </row>
        <row r="283">
          <cell r="A283">
            <v>279</v>
          </cell>
          <cell r="B283" t="str">
            <v>Chatragadda</v>
          </cell>
          <cell r="C283" t="str">
            <v>Gowdapalem Colony</v>
          </cell>
          <cell r="D283" t="str">
            <v>Repalle</v>
          </cell>
          <cell r="E283" t="str">
            <v>Local</v>
          </cell>
          <cell r="F283">
            <v>3.7</v>
          </cell>
          <cell r="G283" t="str">
            <v>Zoolapalem</v>
          </cell>
          <cell r="H283">
            <v>23</v>
          </cell>
          <cell r="I283" t="str">
            <v>Lam</v>
          </cell>
          <cell r="J283">
            <v>86.5</v>
          </cell>
          <cell r="K283" t="str">
            <v>Kolluru</v>
          </cell>
          <cell r="L283">
            <v>34.9</v>
          </cell>
          <cell r="M283" t="str">
            <v>Vejandla</v>
          </cell>
          <cell r="N283">
            <v>63.5</v>
          </cell>
          <cell r="O283" t="str">
            <v>Vejandla</v>
          </cell>
          <cell r="P283">
            <v>63.5</v>
          </cell>
          <cell r="Q283" t="str">
            <v>Repalle</v>
          </cell>
          <cell r="R283">
            <v>7.5</v>
          </cell>
          <cell r="S283" t="str">
            <v>I.B patnam</v>
          </cell>
          <cell r="T283">
            <v>85</v>
          </cell>
          <cell r="Y283" t="str">
            <v>Repalle</v>
          </cell>
          <cell r="Z283">
            <v>7.5</v>
          </cell>
          <cell r="AA283">
            <v>0.2</v>
          </cell>
        </row>
        <row r="284">
          <cell r="A284">
            <v>280</v>
          </cell>
          <cell r="B284" t="str">
            <v>Guddikayalanka</v>
          </cell>
          <cell r="C284" t="str">
            <v>Guddikayalanka</v>
          </cell>
          <cell r="D284" t="str">
            <v>Repalle</v>
          </cell>
          <cell r="E284" t="str">
            <v>Local</v>
          </cell>
          <cell r="F284">
            <v>5</v>
          </cell>
          <cell r="G284" t="str">
            <v>Zoolapalem</v>
          </cell>
          <cell r="H284">
            <v>21.5</v>
          </cell>
          <cell r="I284" t="str">
            <v>Lam</v>
          </cell>
          <cell r="J284">
            <v>83.1</v>
          </cell>
          <cell r="K284" t="str">
            <v>Kolluru</v>
          </cell>
          <cell r="L284">
            <v>30.5</v>
          </cell>
          <cell r="M284" t="str">
            <v>Vejandla</v>
          </cell>
          <cell r="N284">
            <v>59.1</v>
          </cell>
          <cell r="O284" t="str">
            <v>Vejandla</v>
          </cell>
          <cell r="P284">
            <v>59.1</v>
          </cell>
          <cell r="Q284" t="str">
            <v>Repalle</v>
          </cell>
          <cell r="R284">
            <v>4.0999999999999996</v>
          </cell>
          <cell r="S284" t="str">
            <v>I.B patnam</v>
          </cell>
          <cell r="T284">
            <v>85</v>
          </cell>
          <cell r="Y284" t="str">
            <v>Repalle</v>
          </cell>
          <cell r="Z284">
            <v>4.0999999999999996</v>
          </cell>
          <cell r="AA284">
            <v>0.2</v>
          </cell>
        </row>
        <row r="285">
          <cell r="A285">
            <v>281</v>
          </cell>
          <cell r="B285" t="str">
            <v>Potumeraka</v>
          </cell>
          <cell r="C285" t="str">
            <v>Guntakolla</v>
          </cell>
          <cell r="D285" t="str">
            <v>Repalle</v>
          </cell>
          <cell r="E285" t="str">
            <v>Penumudi</v>
          </cell>
          <cell r="F285">
            <v>20.5</v>
          </cell>
          <cell r="G285" t="str">
            <v>Zoolapalem</v>
          </cell>
          <cell r="H285">
            <v>34.799999999999997</v>
          </cell>
          <cell r="I285" t="str">
            <v>Lam</v>
          </cell>
          <cell r="J285">
            <v>98.5</v>
          </cell>
          <cell r="K285" t="str">
            <v>Kolluru</v>
          </cell>
          <cell r="L285">
            <v>48.5</v>
          </cell>
          <cell r="M285" t="str">
            <v>Vejandla</v>
          </cell>
          <cell r="N285">
            <v>75.5</v>
          </cell>
          <cell r="O285" t="str">
            <v>Vejandla</v>
          </cell>
          <cell r="P285">
            <v>75.5</v>
          </cell>
          <cell r="Q285" t="str">
            <v>Repalle</v>
          </cell>
          <cell r="R285">
            <v>18.3</v>
          </cell>
          <cell r="S285" t="str">
            <v>I.B patnam</v>
          </cell>
          <cell r="T285">
            <v>85</v>
          </cell>
          <cell r="Y285" t="str">
            <v>Repalle</v>
          </cell>
          <cell r="Z285">
            <v>18.3</v>
          </cell>
          <cell r="AA285">
            <v>0.2</v>
          </cell>
        </row>
        <row r="286">
          <cell r="A286">
            <v>282</v>
          </cell>
          <cell r="B286" t="str">
            <v>Aravapalli</v>
          </cell>
          <cell r="C286" t="str">
            <v>GunturuvariMalapalli</v>
          </cell>
          <cell r="D286" t="str">
            <v>Repalle</v>
          </cell>
          <cell r="E286" t="str">
            <v>Local</v>
          </cell>
          <cell r="F286">
            <v>2.6</v>
          </cell>
          <cell r="G286" t="str">
            <v>Zoolapalem</v>
          </cell>
          <cell r="H286">
            <v>22.9</v>
          </cell>
          <cell r="I286" t="str">
            <v>Lam</v>
          </cell>
          <cell r="J286">
            <v>86.4</v>
          </cell>
          <cell r="K286" t="str">
            <v>Kolluru</v>
          </cell>
          <cell r="L286">
            <v>33.9</v>
          </cell>
          <cell r="M286" t="str">
            <v>Vejandla</v>
          </cell>
          <cell r="N286">
            <v>62.4</v>
          </cell>
          <cell r="O286" t="str">
            <v>Vejandla</v>
          </cell>
          <cell r="P286">
            <v>62.4</v>
          </cell>
          <cell r="Q286" t="str">
            <v>Repalle</v>
          </cell>
          <cell r="R286">
            <v>6.4</v>
          </cell>
          <cell r="S286" t="str">
            <v>I.B patnam</v>
          </cell>
          <cell r="T286">
            <v>85</v>
          </cell>
          <cell r="Y286" t="str">
            <v>Repalle</v>
          </cell>
          <cell r="Z286">
            <v>6.4</v>
          </cell>
          <cell r="AA286">
            <v>0.2</v>
          </cell>
        </row>
        <row r="287">
          <cell r="A287">
            <v>283</v>
          </cell>
          <cell r="B287" t="str">
            <v>Nalluripalem</v>
          </cell>
          <cell r="C287" t="str">
            <v>Harizanawada (Uppudi)</v>
          </cell>
          <cell r="D287" t="str">
            <v>Repalle</v>
          </cell>
          <cell r="E287" t="str">
            <v>Penumudi</v>
          </cell>
          <cell r="F287">
            <v>7.1</v>
          </cell>
          <cell r="G287" t="str">
            <v>Zoolapalem</v>
          </cell>
          <cell r="H287">
            <v>21.4</v>
          </cell>
          <cell r="I287" t="str">
            <v>Lam</v>
          </cell>
          <cell r="J287">
            <v>85.1</v>
          </cell>
          <cell r="K287" t="str">
            <v>Kolluru</v>
          </cell>
          <cell r="L287">
            <v>35.700000000000003</v>
          </cell>
          <cell r="M287" t="str">
            <v>Vejandla</v>
          </cell>
          <cell r="N287">
            <v>62.1</v>
          </cell>
          <cell r="O287" t="str">
            <v>Vejandla</v>
          </cell>
          <cell r="P287">
            <v>62.1</v>
          </cell>
          <cell r="Q287" t="str">
            <v>Repalle</v>
          </cell>
          <cell r="R287">
            <v>4.9000000000000004</v>
          </cell>
          <cell r="S287" t="str">
            <v>I.B patnam</v>
          </cell>
          <cell r="T287">
            <v>85</v>
          </cell>
          <cell r="Y287" t="str">
            <v>Repalle</v>
          </cell>
          <cell r="Z287">
            <v>4.9000000000000004</v>
          </cell>
          <cell r="AA287">
            <v>0.2</v>
          </cell>
        </row>
        <row r="288">
          <cell r="A288">
            <v>284</v>
          </cell>
          <cell r="B288" t="str">
            <v>Uppudi</v>
          </cell>
          <cell r="C288" t="str">
            <v>Harizanawada  (Singupalem )</v>
          </cell>
          <cell r="D288" t="str">
            <v>Repalle</v>
          </cell>
          <cell r="E288" t="str">
            <v>Penumudi</v>
          </cell>
          <cell r="F288">
            <v>14.8</v>
          </cell>
          <cell r="G288" t="str">
            <v>Zoolapalem</v>
          </cell>
          <cell r="H288">
            <v>29.1</v>
          </cell>
          <cell r="I288" t="str">
            <v>Lam</v>
          </cell>
          <cell r="J288">
            <v>92.8</v>
          </cell>
          <cell r="K288" t="str">
            <v>Kolluru</v>
          </cell>
          <cell r="L288">
            <v>43.4</v>
          </cell>
          <cell r="M288" t="str">
            <v>Vejandla</v>
          </cell>
          <cell r="N288">
            <v>69.8</v>
          </cell>
          <cell r="O288" t="str">
            <v>Vejandla</v>
          </cell>
          <cell r="P288">
            <v>69.8</v>
          </cell>
          <cell r="Q288" t="str">
            <v>Repalle</v>
          </cell>
          <cell r="R288">
            <v>12.6</v>
          </cell>
          <cell r="S288" t="str">
            <v>I.B patnam</v>
          </cell>
          <cell r="T288">
            <v>85</v>
          </cell>
          <cell r="Y288" t="str">
            <v>Repalle</v>
          </cell>
          <cell r="Z288">
            <v>12.6</v>
          </cell>
          <cell r="AA288">
            <v>0.2</v>
          </cell>
        </row>
        <row r="289">
          <cell r="A289">
            <v>285</v>
          </cell>
          <cell r="B289" t="str">
            <v>Chodayapalem</v>
          </cell>
          <cell r="C289" t="str">
            <v>Harizanawada Colony of Tsodayapalem</v>
          </cell>
          <cell r="D289" t="str">
            <v>Repalle</v>
          </cell>
          <cell r="E289" t="str">
            <v>Penumudi</v>
          </cell>
          <cell r="F289">
            <v>12.1</v>
          </cell>
          <cell r="G289" t="str">
            <v>Zoolapalem</v>
          </cell>
          <cell r="H289">
            <v>32.4</v>
          </cell>
          <cell r="I289" t="str">
            <v>Lam</v>
          </cell>
          <cell r="J289">
            <v>97.9</v>
          </cell>
          <cell r="K289" t="str">
            <v>Kolluru</v>
          </cell>
          <cell r="L289">
            <v>45.3</v>
          </cell>
          <cell r="M289" t="str">
            <v>Vejandla</v>
          </cell>
          <cell r="N289">
            <v>73.900000000000006</v>
          </cell>
          <cell r="O289" t="str">
            <v>Vejandla</v>
          </cell>
          <cell r="P289">
            <v>73.900000000000006</v>
          </cell>
          <cell r="Q289" t="str">
            <v>Repalle</v>
          </cell>
          <cell r="R289">
            <v>15.9</v>
          </cell>
          <cell r="S289" t="str">
            <v>I.B patnam</v>
          </cell>
          <cell r="T289">
            <v>85</v>
          </cell>
          <cell r="Y289" t="str">
            <v>Repalle</v>
          </cell>
          <cell r="Z289">
            <v>15.9</v>
          </cell>
          <cell r="AA289">
            <v>0.2</v>
          </cell>
        </row>
        <row r="290">
          <cell r="A290">
            <v>286</v>
          </cell>
          <cell r="B290" t="str">
            <v>Kamarajugadda(South)</v>
          </cell>
          <cell r="C290" t="str">
            <v>Jangalacheruvu Malapalli</v>
          </cell>
          <cell r="D290" t="str">
            <v>Repalle</v>
          </cell>
          <cell r="E290" t="str">
            <v>Penumudi</v>
          </cell>
          <cell r="F290">
            <v>7.3</v>
          </cell>
          <cell r="G290" t="str">
            <v>Zoolapalem</v>
          </cell>
          <cell r="H290">
            <v>27.6</v>
          </cell>
          <cell r="I290" t="str">
            <v>Lam</v>
          </cell>
          <cell r="J290">
            <v>90.1</v>
          </cell>
          <cell r="K290" t="str">
            <v>Kolluru</v>
          </cell>
          <cell r="L290">
            <v>38.5</v>
          </cell>
          <cell r="M290" t="str">
            <v>Vejandla</v>
          </cell>
          <cell r="N290">
            <v>67.099999999999994</v>
          </cell>
          <cell r="O290" t="str">
            <v>Vejandla</v>
          </cell>
          <cell r="P290">
            <v>67.099999999999994</v>
          </cell>
          <cell r="Q290" t="str">
            <v>Repalle</v>
          </cell>
          <cell r="R290">
            <v>11.1</v>
          </cell>
          <cell r="S290" t="str">
            <v>I.B patnam</v>
          </cell>
          <cell r="T290">
            <v>85</v>
          </cell>
          <cell r="Y290" t="str">
            <v>Repalle</v>
          </cell>
          <cell r="Z290">
            <v>11.1</v>
          </cell>
          <cell r="AA290">
            <v>0.2</v>
          </cell>
        </row>
        <row r="291">
          <cell r="A291">
            <v>287</v>
          </cell>
          <cell r="B291" t="str">
            <v>Kamarajugadda(North)</v>
          </cell>
          <cell r="C291" t="str">
            <v>Jangalapalem</v>
          </cell>
          <cell r="D291" t="str">
            <v>Repalle</v>
          </cell>
          <cell r="E291" t="str">
            <v>Penumudi</v>
          </cell>
          <cell r="F291">
            <v>7.3</v>
          </cell>
          <cell r="G291" t="str">
            <v>Zoolapalem</v>
          </cell>
          <cell r="H291">
            <v>27.6</v>
          </cell>
          <cell r="I291" t="str">
            <v>Lam</v>
          </cell>
          <cell r="J291">
            <v>90.1</v>
          </cell>
          <cell r="K291" t="str">
            <v>Kolluru</v>
          </cell>
          <cell r="L291">
            <v>38.5</v>
          </cell>
          <cell r="M291" t="str">
            <v>Vejandla</v>
          </cell>
          <cell r="N291">
            <v>67.099999999999994</v>
          </cell>
          <cell r="O291" t="str">
            <v>Vejandla</v>
          </cell>
          <cell r="P291">
            <v>67.099999999999994</v>
          </cell>
          <cell r="Q291" t="str">
            <v>Repalle</v>
          </cell>
          <cell r="R291">
            <v>11.1</v>
          </cell>
          <cell r="S291" t="str">
            <v>I.B patnam</v>
          </cell>
          <cell r="T291">
            <v>85</v>
          </cell>
          <cell r="Y291" t="str">
            <v>Repalle</v>
          </cell>
          <cell r="Z291">
            <v>11.1</v>
          </cell>
          <cell r="AA291">
            <v>0.2</v>
          </cell>
        </row>
        <row r="292">
          <cell r="A292">
            <v>288</v>
          </cell>
          <cell r="B292" t="str">
            <v>Gangadipalem</v>
          </cell>
          <cell r="C292" t="str">
            <v>Jonnavaripalem</v>
          </cell>
          <cell r="D292" t="str">
            <v>Repalle</v>
          </cell>
          <cell r="E292" t="str">
            <v>Penumudi</v>
          </cell>
          <cell r="F292">
            <v>17.100000000000001</v>
          </cell>
          <cell r="G292" t="str">
            <v>Zoolapalem</v>
          </cell>
          <cell r="H292">
            <v>38.5</v>
          </cell>
          <cell r="I292" t="str">
            <v>Lam</v>
          </cell>
          <cell r="J292">
            <v>102.9</v>
          </cell>
          <cell r="K292" t="str">
            <v>Kolluru</v>
          </cell>
          <cell r="L292">
            <v>50.3</v>
          </cell>
          <cell r="M292" t="str">
            <v>Vejandla</v>
          </cell>
          <cell r="N292">
            <v>79.900000000000006</v>
          </cell>
          <cell r="O292" t="str">
            <v>Vejandla</v>
          </cell>
          <cell r="P292">
            <v>79.900000000000006</v>
          </cell>
          <cell r="Q292" t="str">
            <v>Repalle</v>
          </cell>
          <cell r="R292">
            <v>20.9</v>
          </cell>
          <cell r="S292" t="str">
            <v>I.B patnam</v>
          </cell>
          <cell r="T292">
            <v>85</v>
          </cell>
          <cell r="Y292" t="str">
            <v>Repalle</v>
          </cell>
          <cell r="Z292">
            <v>20.9</v>
          </cell>
          <cell r="AA292">
            <v>0</v>
          </cell>
        </row>
        <row r="293">
          <cell r="A293">
            <v>289</v>
          </cell>
          <cell r="B293" t="str">
            <v>Kaithepalli</v>
          </cell>
          <cell r="C293" t="str">
            <v>Kaithepalli</v>
          </cell>
          <cell r="D293" t="str">
            <v>Repalle</v>
          </cell>
          <cell r="E293" t="str">
            <v>Penumudi</v>
          </cell>
          <cell r="F293">
            <v>18</v>
          </cell>
          <cell r="G293" t="str">
            <v>Zoolapalem</v>
          </cell>
          <cell r="H293">
            <v>32.299999999999997</v>
          </cell>
          <cell r="I293" t="str">
            <v>Lam</v>
          </cell>
          <cell r="J293">
            <v>96.2</v>
          </cell>
          <cell r="K293" t="str">
            <v>Kolluru</v>
          </cell>
          <cell r="L293">
            <v>46.4</v>
          </cell>
          <cell r="M293" t="str">
            <v>Vejandla</v>
          </cell>
          <cell r="N293">
            <v>73.2</v>
          </cell>
          <cell r="O293" t="str">
            <v>Vejandla</v>
          </cell>
          <cell r="P293">
            <v>73.2</v>
          </cell>
          <cell r="Q293" t="str">
            <v>Repalle</v>
          </cell>
          <cell r="R293">
            <v>15.8</v>
          </cell>
          <cell r="S293" t="str">
            <v>I.B patnam</v>
          </cell>
          <cell r="T293">
            <v>85</v>
          </cell>
          <cell r="Y293" t="str">
            <v>Repalle</v>
          </cell>
          <cell r="Z293">
            <v>15.8</v>
          </cell>
          <cell r="AA293">
            <v>0.2</v>
          </cell>
        </row>
        <row r="294">
          <cell r="A294">
            <v>290</v>
          </cell>
          <cell r="B294" t="str">
            <v>Kamarajugadda(North)</v>
          </cell>
          <cell r="C294" t="str">
            <v>Kamarajugadda North</v>
          </cell>
          <cell r="D294" t="str">
            <v>Repalle</v>
          </cell>
          <cell r="E294" t="str">
            <v>Penumudi</v>
          </cell>
          <cell r="F294">
            <v>5.9</v>
          </cell>
          <cell r="G294" t="str">
            <v>Zoolapalem</v>
          </cell>
          <cell r="H294">
            <v>26.2</v>
          </cell>
          <cell r="I294" t="str">
            <v>Lam</v>
          </cell>
          <cell r="J294">
            <v>89.7</v>
          </cell>
          <cell r="K294" t="str">
            <v>Kolluru</v>
          </cell>
          <cell r="L294">
            <v>35.9</v>
          </cell>
          <cell r="M294" t="str">
            <v>Vejandla</v>
          </cell>
          <cell r="N294">
            <v>66.7</v>
          </cell>
          <cell r="O294" t="str">
            <v>Vejandla</v>
          </cell>
          <cell r="P294">
            <v>66.7</v>
          </cell>
          <cell r="Q294" t="str">
            <v>Repalle</v>
          </cell>
          <cell r="R294">
            <v>9.6999999999999993</v>
          </cell>
          <cell r="S294" t="str">
            <v>I.B patnam</v>
          </cell>
          <cell r="T294">
            <v>85</v>
          </cell>
          <cell r="Y294" t="str">
            <v>Repalle</v>
          </cell>
          <cell r="Z294">
            <v>9.6999999999999993</v>
          </cell>
          <cell r="AA294">
            <v>0.2</v>
          </cell>
        </row>
        <row r="295">
          <cell r="A295">
            <v>291</v>
          </cell>
          <cell r="B295" t="str">
            <v>Uppudi</v>
          </cell>
          <cell r="C295" t="str">
            <v>Kammavaripalem</v>
          </cell>
          <cell r="D295" t="str">
            <v>Repalle</v>
          </cell>
          <cell r="E295" t="str">
            <v>Penumudi</v>
          </cell>
          <cell r="F295">
            <v>9.1</v>
          </cell>
          <cell r="G295" t="str">
            <v>Zoolapalem</v>
          </cell>
          <cell r="H295">
            <v>23.4</v>
          </cell>
          <cell r="I295" t="str">
            <v>Lam</v>
          </cell>
          <cell r="J295">
            <v>87.1</v>
          </cell>
          <cell r="K295" t="str">
            <v>Kolluru</v>
          </cell>
          <cell r="L295">
            <v>37.700000000000003</v>
          </cell>
          <cell r="M295" t="str">
            <v>Vejandla</v>
          </cell>
          <cell r="N295">
            <v>64.099999999999994</v>
          </cell>
          <cell r="O295" t="str">
            <v>Vejandla</v>
          </cell>
          <cell r="P295">
            <v>64.099999999999994</v>
          </cell>
          <cell r="Q295" t="str">
            <v>Repalle</v>
          </cell>
          <cell r="R295">
            <v>6.9</v>
          </cell>
          <cell r="S295" t="str">
            <v>I.B patnam</v>
          </cell>
          <cell r="T295">
            <v>85</v>
          </cell>
          <cell r="Y295" t="str">
            <v>Repalle</v>
          </cell>
          <cell r="Z295">
            <v>6.9</v>
          </cell>
          <cell r="AA295">
            <v>0.2</v>
          </cell>
        </row>
        <row r="296">
          <cell r="A296">
            <v>292</v>
          </cell>
          <cell r="B296" t="str">
            <v>Kamarajugadda(South)</v>
          </cell>
          <cell r="C296" t="str">
            <v>Kanagalavaripalem</v>
          </cell>
          <cell r="D296" t="str">
            <v>Repalle</v>
          </cell>
          <cell r="E296" t="str">
            <v>Penumudi</v>
          </cell>
          <cell r="F296">
            <v>9.3000000000000007</v>
          </cell>
          <cell r="G296" t="str">
            <v>Zoolapalem</v>
          </cell>
          <cell r="H296">
            <v>29.6</v>
          </cell>
          <cell r="I296" t="str">
            <v>Lam</v>
          </cell>
          <cell r="J296">
            <v>93.1</v>
          </cell>
          <cell r="K296" t="str">
            <v>Kolluru</v>
          </cell>
          <cell r="L296">
            <v>40.5</v>
          </cell>
          <cell r="M296" t="str">
            <v>Vejandla</v>
          </cell>
          <cell r="N296">
            <v>69.099999999999994</v>
          </cell>
          <cell r="O296" t="str">
            <v>Vejandla</v>
          </cell>
          <cell r="P296">
            <v>69.099999999999994</v>
          </cell>
          <cell r="Q296" t="str">
            <v>Repalle</v>
          </cell>
          <cell r="R296">
            <v>13.1</v>
          </cell>
          <cell r="S296" t="str">
            <v>I.B patnam</v>
          </cell>
          <cell r="T296">
            <v>85</v>
          </cell>
          <cell r="Y296" t="str">
            <v>Repalle</v>
          </cell>
          <cell r="Z296">
            <v>13.1</v>
          </cell>
          <cell r="AA296">
            <v>0</v>
          </cell>
        </row>
        <row r="297">
          <cell r="A297">
            <v>293</v>
          </cell>
          <cell r="B297" t="str">
            <v>Kamarajugadda(South)</v>
          </cell>
          <cell r="C297" t="str">
            <v>Kotha- Morthota</v>
          </cell>
          <cell r="D297" t="str">
            <v>Repalle</v>
          </cell>
          <cell r="E297" t="str">
            <v>Penumudi</v>
          </cell>
          <cell r="F297">
            <v>8.3000000000000007</v>
          </cell>
          <cell r="G297" t="str">
            <v>Zoolapalem</v>
          </cell>
          <cell r="H297">
            <v>28.6</v>
          </cell>
          <cell r="I297" t="str">
            <v>Lam</v>
          </cell>
          <cell r="J297">
            <v>92.1</v>
          </cell>
          <cell r="K297" t="str">
            <v>Kolluru</v>
          </cell>
          <cell r="L297">
            <v>39.5</v>
          </cell>
          <cell r="M297" t="str">
            <v>Vejandla</v>
          </cell>
          <cell r="N297">
            <v>68.099999999999994</v>
          </cell>
          <cell r="O297" t="str">
            <v>Vejandla</v>
          </cell>
          <cell r="P297">
            <v>68.099999999999994</v>
          </cell>
          <cell r="Q297" t="str">
            <v>Repalle</v>
          </cell>
          <cell r="R297">
            <v>12.1</v>
          </cell>
          <cell r="S297" t="str">
            <v>I.B patnam</v>
          </cell>
          <cell r="T297">
            <v>85</v>
          </cell>
          <cell r="Y297" t="str">
            <v>Repalle</v>
          </cell>
          <cell r="Z297">
            <v>12.1</v>
          </cell>
          <cell r="AA297">
            <v>0.2</v>
          </cell>
        </row>
        <row r="298">
          <cell r="A298">
            <v>294</v>
          </cell>
          <cell r="B298" t="str">
            <v>Aravapalli</v>
          </cell>
          <cell r="C298" t="str">
            <v>Kothapet of Aravapalli</v>
          </cell>
          <cell r="D298" t="str">
            <v>Repalle</v>
          </cell>
          <cell r="E298" t="str">
            <v>Penumudi</v>
          </cell>
          <cell r="F298">
            <v>7.7</v>
          </cell>
          <cell r="G298" t="str">
            <v>Zoolapalem</v>
          </cell>
          <cell r="H298">
            <v>22.8</v>
          </cell>
          <cell r="I298" t="str">
            <v>Lam</v>
          </cell>
          <cell r="J298">
            <v>86.5</v>
          </cell>
          <cell r="K298" t="str">
            <v>Kolluru</v>
          </cell>
          <cell r="L298">
            <v>36.9</v>
          </cell>
          <cell r="M298" t="str">
            <v>Vejandla</v>
          </cell>
          <cell r="N298">
            <v>63.5</v>
          </cell>
          <cell r="O298" t="str">
            <v>Vejandla</v>
          </cell>
          <cell r="P298">
            <v>63.5</v>
          </cell>
          <cell r="Q298" t="str">
            <v>Repalle</v>
          </cell>
          <cell r="R298">
            <v>6.3</v>
          </cell>
          <cell r="S298" t="str">
            <v>I.B patnam</v>
          </cell>
          <cell r="T298">
            <v>85</v>
          </cell>
          <cell r="Y298" t="str">
            <v>Repalle</v>
          </cell>
          <cell r="Z298">
            <v>6.3</v>
          </cell>
          <cell r="AA298">
            <v>0.2</v>
          </cell>
        </row>
        <row r="299">
          <cell r="A299">
            <v>295</v>
          </cell>
          <cell r="B299" t="str">
            <v>Lankevanidibba</v>
          </cell>
          <cell r="C299" t="str">
            <v>Lankevanidibba</v>
          </cell>
          <cell r="D299" t="str">
            <v>Repalle</v>
          </cell>
          <cell r="E299" t="str">
            <v>Penumudi</v>
          </cell>
          <cell r="F299">
            <v>31.1</v>
          </cell>
          <cell r="G299" t="str">
            <v>Zoolapalem</v>
          </cell>
          <cell r="H299">
            <v>51.4</v>
          </cell>
          <cell r="I299" t="str">
            <v>Lam</v>
          </cell>
          <cell r="J299">
            <v>116.9</v>
          </cell>
          <cell r="K299" t="str">
            <v>Kolluru</v>
          </cell>
          <cell r="L299">
            <v>62.3</v>
          </cell>
          <cell r="M299" t="str">
            <v>Vejandla</v>
          </cell>
          <cell r="N299">
            <v>93.9</v>
          </cell>
          <cell r="O299" t="str">
            <v>Vejandla</v>
          </cell>
          <cell r="P299">
            <v>93.9</v>
          </cell>
          <cell r="Q299" t="str">
            <v>Repalle</v>
          </cell>
          <cell r="R299">
            <v>34.9</v>
          </cell>
          <cell r="S299" t="str">
            <v>I.B patnam</v>
          </cell>
          <cell r="T299">
            <v>85</v>
          </cell>
          <cell r="Y299" t="str">
            <v>Repalle</v>
          </cell>
          <cell r="Z299">
            <v>34.9</v>
          </cell>
          <cell r="AA299">
            <v>0</v>
          </cell>
        </row>
        <row r="300">
          <cell r="A300">
            <v>296</v>
          </cell>
          <cell r="B300" t="str">
            <v>Bethapudi</v>
          </cell>
          <cell r="C300" t="str">
            <v>Madigapalli of Bethapudi</v>
          </cell>
          <cell r="D300" t="str">
            <v>Repalle</v>
          </cell>
          <cell r="E300" t="str">
            <v>Penumudi</v>
          </cell>
          <cell r="F300">
            <v>5</v>
          </cell>
          <cell r="G300" t="str">
            <v>Zoolapalem</v>
          </cell>
          <cell r="H300">
            <v>21.5</v>
          </cell>
          <cell r="I300" t="str">
            <v>Lam</v>
          </cell>
          <cell r="J300">
            <v>79.5</v>
          </cell>
          <cell r="K300" t="str">
            <v>Kolluru</v>
          </cell>
          <cell r="L300">
            <v>26.9</v>
          </cell>
          <cell r="M300" t="str">
            <v>Vejandla</v>
          </cell>
          <cell r="N300">
            <v>56.5</v>
          </cell>
          <cell r="O300" t="str">
            <v>Vejandla</v>
          </cell>
          <cell r="P300">
            <v>56.5</v>
          </cell>
          <cell r="Q300" t="str">
            <v>Repalle</v>
          </cell>
          <cell r="R300">
            <v>2.9</v>
          </cell>
          <cell r="S300" t="str">
            <v>I.B patnam</v>
          </cell>
          <cell r="T300">
            <v>85</v>
          </cell>
          <cell r="Y300" t="str">
            <v>Repalle</v>
          </cell>
          <cell r="Z300">
            <v>2.9</v>
          </cell>
          <cell r="AA300">
            <v>0.2</v>
          </cell>
        </row>
        <row r="301">
          <cell r="A301">
            <v>297</v>
          </cell>
          <cell r="B301" t="str">
            <v>Kaithepalli</v>
          </cell>
          <cell r="C301" t="str">
            <v>Madigapalli of Kaithepalli</v>
          </cell>
          <cell r="D301" t="str">
            <v>Repalle</v>
          </cell>
          <cell r="E301" t="str">
            <v>Penumudi</v>
          </cell>
          <cell r="F301">
            <v>14.8</v>
          </cell>
          <cell r="G301" t="str">
            <v>Zoolapalem</v>
          </cell>
          <cell r="H301">
            <v>29.1</v>
          </cell>
          <cell r="I301" t="str">
            <v>Lam</v>
          </cell>
          <cell r="J301">
            <v>92.8</v>
          </cell>
          <cell r="K301" t="str">
            <v>Kolluru</v>
          </cell>
          <cell r="L301">
            <v>43.4</v>
          </cell>
          <cell r="M301" t="str">
            <v>Vejandla</v>
          </cell>
          <cell r="N301">
            <v>69.8</v>
          </cell>
          <cell r="O301" t="str">
            <v>Vejandla</v>
          </cell>
          <cell r="P301">
            <v>69.8</v>
          </cell>
          <cell r="Q301" t="str">
            <v>Repalle</v>
          </cell>
          <cell r="R301">
            <v>12.6</v>
          </cell>
          <cell r="S301" t="str">
            <v>I.B patnam</v>
          </cell>
          <cell r="T301">
            <v>85</v>
          </cell>
          <cell r="Y301" t="str">
            <v>Repalle</v>
          </cell>
          <cell r="Z301">
            <v>12.6</v>
          </cell>
          <cell r="AA301">
            <v>0.2</v>
          </cell>
        </row>
        <row r="302">
          <cell r="A302">
            <v>298</v>
          </cell>
          <cell r="B302" t="str">
            <v>Potumeraka</v>
          </cell>
          <cell r="C302" t="str">
            <v>Madigapalli of Pothumeraka</v>
          </cell>
          <cell r="D302" t="str">
            <v>Repalle</v>
          </cell>
          <cell r="E302" t="str">
            <v>Penumudi</v>
          </cell>
          <cell r="F302">
            <v>16.3</v>
          </cell>
          <cell r="G302" t="str">
            <v>Zoolapalem</v>
          </cell>
          <cell r="H302">
            <v>30.6</v>
          </cell>
          <cell r="I302" t="str">
            <v>Lam</v>
          </cell>
          <cell r="J302">
            <v>94.3</v>
          </cell>
          <cell r="K302" t="str">
            <v>Kolluru</v>
          </cell>
          <cell r="L302">
            <v>44.7</v>
          </cell>
          <cell r="M302" t="str">
            <v>Vejandla</v>
          </cell>
          <cell r="N302">
            <v>71.3</v>
          </cell>
          <cell r="O302" t="str">
            <v>Vejandla</v>
          </cell>
          <cell r="P302">
            <v>71.3</v>
          </cell>
          <cell r="Q302" t="str">
            <v>Repalle</v>
          </cell>
          <cell r="R302">
            <v>14.1</v>
          </cell>
          <cell r="S302" t="str">
            <v>I.B patnam</v>
          </cell>
          <cell r="T302">
            <v>85</v>
          </cell>
          <cell r="Y302" t="str">
            <v>Repalle</v>
          </cell>
          <cell r="Z302">
            <v>14.1</v>
          </cell>
          <cell r="AA302">
            <v>0.2</v>
          </cell>
        </row>
        <row r="303">
          <cell r="A303">
            <v>299</v>
          </cell>
          <cell r="B303" t="str">
            <v>Peteru</v>
          </cell>
          <cell r="C303" t="str">
            <v>Madigapalli (South) H/O Peteru</v>
          </cell>
          <cell r="D303" t="str">
            <v>Repalle</v>
          </cell>
          <cell r="E303" t="str">
            <v>Penumudi</v>
          </cell>
          <cell r="F303">
            <v>5.7</v>
          </cell>
          <cell r="G303" t="str">
            <v>Zoolapalem</v>
          </cell>
          <cell r="H303">
            <v>12.2</v>
          </cell>
          <cell r="I303" t="str">
            <v>Lam</v>
          </cell>
          <cell r="J303">
            <v>80.3</v>
          </cell>
          <cell r="K303" t="str">
            <v>Kolluru</v>
          </cell>
          <cell r="L303">
            <v>27.7</v>
          </cell>
          <cell r="M303" t="str">
            <v>Vejandla</v>
          </cell>
          <cell r="N303">
            <v>56.3</v>
          </cell>
          <cell r="O303" t="str">
            <v>Vejandla</v>
          </cell>
          <cell r="P303">
            <v>56.3</v>
          </cell>
          <cell r="Q303" t="str">
            <v>Repalle</v>
          </cell>
          <cell r="R303">
            <v>4.3</v>
          </cell>
          <cell r="S303" t="str">
            <v>I.B patnam</v>
          </cell>
          <cell r="T303">
            <v>85</v>
          </cell>
          <cell r="Y303" t="str">
            <v>Repalle</v>
          </cell>
          <cell r="Z303">
            <v>4.3</v>
          </cell>
          <cell r="AA303">
            <v>0.2</v>
          </cell>
        </row>
        <row r="304">
          <cell r="A304">
            <v>300</v>
          </cell>
          <cell r="B304" t="str">
            <v>Peteru</v>
          </cell>
          <cell r="C304" t="str">
            <v>Madigapalli(North) H/O Peteru</v>
          </cell>
          <cell r="D304" t="str">
            <v>Repalle</v>
          </cell>
          <cell r="E304" t="str">
            <v>Penumudi</v>
          </cell>
          <cell r="F304">
            <v>5.7</v>
          </cell>
          <cell r="G304" t="str">
            <v>Zoolapalem</v>
          </cell>
          <cell r="H304">
            <v>12.2</v>
          </cell>
          <cell r="I304" t="str">
            <v>Lam</v>
          </cell>
          <cell r="J304">
            <v>80.3</v>
          </cell>
          <cell r="K304" t="str">
            <v>Kolluru</v>
          </cell>
          <cell r="L304">
            <v>27.7</v>
          </cell>
          <cell r="M304" t="str">
            <v>Vejandla</v>
          </cell>
          <cell r="N304">
            <v>56.3</v>
          </cell>
          <cell r="O304" t="str">
            <v>Vejandla</v>
          </cell>
          <cell r="P304">
            <v>56.3</v>
          </cell>
          <cell r="Q304" t="str">
            <v>Repalle</v>
          </cell>
          <cell r="R304">
            <v>4.3</v>
          </cell>
          <cell r="S304" t="str">
            <v>I.B patnam</v>
          </cell>
          <cell r="T304">
            <v>85</v>
          </cell>
          <cell r="Y304" t="str">
            <v>Repalle</v>
          </cell>
          <cell r="Z304">
            <v>4.3</v>
          </cell>
          <cell r="AA304">
            <v>0.2</v>
          </cell>
        </row>
        <row r="305">
          <cell r="A305">
            <v>301</v>
          </cell>
          <cell r="B305" t="str">
            <v>Bethapudi</v>
          </cell>
          <cell r="C305" t="str">
            <v>Malapalli of Bethapudi</v>
          </cell>
          <cell r="D305" t="str">
            <v>Repalle</v>
          </cell>
          <cell r="E305" t="str">
            <v>Penumudi</v>
          </cell>
          <cell r="F305">
            <v>5</v>
          </cell>
          <cell r="G305" t="str">
            <v>Zoolapalem</v>
          </cell>
          <cell r="H305">
            <v>21.5</v>
          </cell>
          <cell r="I305" t="str">
            <v>Lam</v>
          </cell>
          <cell r="J305">
            <v>79.5</v>
          </cell>
          <cell r="K305" t="str">
            <v>Kolluru</v>
          </cell>
          <cell r="L305">
            <v>26.9</v>
          </cell>
          <cell r="M305" t="str">
            <v>Vejandla</v>
          </cell>
          <cell r="N305">
            <v>56.5</v>
          </cell>
          <cell r="O305" t="str">
            <v>Vejandla</v>
          </cell>
          <cell r="P305">
            <v>56.5</v>
          </cell>
          <cell r="Q305" t="str">
            <v>Repalle</v>
          </cell>
          <cell r="R305">
            <v>2.9</v>
          </cell>
          <cell r="S305" t="str">
            <v>I.B patnam</v>
          </cell>
          <cell r="T305">
            <v>85</v>
          </cell>
          <cell r="Y305" t="str">
            <v>Repalle</v>
          </cell>
          <cell r="Z305">
            <v>2.9</v>
          </cell>
          <cell r="AA305">
            <v>0.2</v>
          </cell>
        </row>
        <row r="306">
          <cell r="A306">
            <v>302</v>
          </cell>
          <cell r="B306" t="str">
            <v>Kaithepalli</v>
          </cell>
          <cell r="C306" t="str">
            <v>Malapalli of Uppudi</v>
          </cell>
          <cell r="D306" t="str">
            <v>Repalle</v>
          </cell>
          <cell r="E306" t="str">
            <v>Penumudi</v>
          </cell>
          <cell r="F306">
            <v>8.3000000000000007</v>
          </cell>
          <cell r="G306" t="str">
            <v>Zoolapalem</v>
          </cell>
          <cell r="H306">
            <v>19.2</v>
          </cell>
          <cell r="I306" t="str">
            <v>Lam</v>
          </cell>
          <cell r="J306">
            <v>83.9</v>
          </cell>
          <cell r="K306" t="str">
            <v>Kolluru</v>
          </cell>
          <cell r="L306">
            <v>31.3</v>
          </cell>
          <cell r="M306" t="str">
            <v>Vejandla</v>
          </cell>
          <cell r="N306">
            <v>59.9</v>
          </cell>
          <cell r="O306" t="str">
            <v>Vejandla</v>
          </cell>
          <cell r="P306">
            <v>59.9</v>
          </cell>
          <cell r="Q306" t="str">
            <v>Repalle</v>
          </cell>
          <cell r="R306">
            <v>2.7</v>
          </cell>
          <cell r="S306" t="str">
            <v>I.B patnam</v>
          </cell>
          <cell r="T306">
            <v>85</v>
          </cell>
          <cell r="Y306" t="str">
            <v>Repalle</v>
          </cell>
          <cell r="Z306">
            <v>2.7</v>
          </cell>
          <cell r="AA306">
            <v>0.2</v>
          </cell>
        </row>
        <row r="307">
          <cell r="A307">
            <v>303</v>
          </cell>
          <cell r="B307" t="str">
            <v>Uppudi</v>
          </cell>
          <cell r="C307" t="str">
            <v>Malapalli of Kaithepalli</v>
          </cell>
          <cell r="D307" t="str">
            <v>Repalle</v>
          </cell>
          <cell r="E307" t="str">
            <v>Penumudi</v>
          </cell>
          <cell r="F307">
            <v>18</v>
          </cell>
          <cell r="G307" t="str">
            <v>Zoolapalem</v>
          </cell>
          <cell r="H307">
            <v>32.299999999999997</v>
          </cell>
          <cell r="I307" t="str">
            <v>Lam</v>
          </cell>
          <cell r="J307">
            <v>96.2</v>
          </cell>
          <cell r="K307" t="str">
            <v>Kolluru</v>
          </cell>
          <cell r="L307">
            <v>46.4</v>
          </cell>
          <cell r="M307" t="str">
            <v>Vejandla</v>
          </cell>
          <cell r="N307">
            <v>73.2</v>
          </cell>
          <cell r="O307" t="str">
            <v>Vejandla</v>
          </cell>
          <cell r="P307">
            <v>73.2</v>
          </cell>
          <cell r="Q307" t="str">
            <v>Repalle</v>
          </cell>
          <cell r="R307">
            <v>15.8</v>
          </cell>
          <cell r="S307" t="str">
            <v>I.B patnam</v>
          </cell>
          <cell r="T307">
            <v>85</v>
          </cell>
          <cell r="Y307" t="str">
            <v>Repalle</v>
          </cell>
          <cell r="Z307">
            <v>15.8</v>
          </cell>
          <cell r="AA307">
            <v>0.2</v>
          </cell>
        </row>
        <row r="308">
          <cell r="A308">
            <v>304</v>
          </cell>
          <cell r="B308" t="str">
            <v>Peteru</v>
          </cell>
          <cell r="C308" t="str">
            <v>Malapalli (East) H/O Peteru</v>
          </cell>
          <cell r="D308" t="str">
            <v>Repalle</v>
          </cell>
          <cell r="E308" t="str">
            <v>Penumudi</v>
          </cell>
          <cell r="F308">
            <v>5.7</v>
          </cell>
          <cell r="G308" t="str">
            <v>Zoolapalem</v>
          </cell>
          <cell r="H308">
            <v>12.2</v>
          </cell>
          <cell r="I308" t="str">
            <v>Lam</v>
          </cell>
          <cell r="J308">
            <v>80.3</v>
          </cell>
          <cell r="K308" t="str">
            <v>Kolluru</v>
          </cell>
          <cell r="L308">
            <v>27.7</v>
          </cell>
          <cell r="M308" t="str">
            <v>Vejandla</v>
          </cell>
          <cell r="N308">
            <v>56.3</v>
          </cell>
          <cell r="O308" t="str">
            <v>Vejandla</v>
          </cell>
          <cell r="P308">
            <v>56.3</v>
          </cell>
          <cell r="Q308" t="str">
            <v>Repalle</v>
          </cell>
          <cell r="R308">
            <v>4.3</v>
          </cell>
          <cell r="S308" t="str">
            <v>I.B patnam</v>
          </cell>
          <cell r="T308">
            <v>85</v>
          </cell>
          <cell r="Y308" t="str">
            <v>Repalle</v>
          </cell>
          <cell r="Z308">
            <v>4.3</v>
          </cell>
          <cell r="AA308">
            <v>0.2</v>
          </cell>
        </row>
        <row r="309">
          <cell r="A309">
            <v>305</v>
          </cell>
          <cell r="B309" t="str">
            <v>Peteru</v>
          </cell>
          <cell r="C309" t="str">
            <v>Malapalli (South) H/O Peteru</v>
          </cell>
          <cell r="D309" t="str">
            <v>Repalle</v>
          </cell>
          <cell r="E309" t="str">
            <v>Penumudi</v>
          </cell>
          <cell r="F309">
            <v>5.7</v>
          </cell>
          <cell r="G309" t="str">
            <v>Zoolapalem</v>
          </cell>
          <cell r="H309">
            <v>12.2</v>
          </cell>
          <cell r="I309" t="str">
            <v>Lam</v>
          </cell>
          <cell r="J309">
            <v>80.3</v>
          </cell>
          <cell r="K309" t="str">
            <v>Kolluru</v>
          </cell>
          <cell r="L309">
            <v>27.7</v>
          </cell>
          <cell r="M309" t="str">
            <v>Vejandla</v>
          </cell>
          <cell r="N309">
            <v>56.3</v>
          </cell>
          <cell r="O309" t="str">
            <v>Vejandla</v>
          </cell>
          <cell r="P309">
            <v>56.3</v>
          </cell>
          <cell r="Q309" t="str">
            <v>Repalle</v>
          </cell>
          <cell r="R309">
            <v>4.3</v>
          </cell>
          <cell r="S309" t="str">
            <v>I.B patnam</v>
          </cell>
          <cell r="T309">
            <v>85</v>
          </cell>
          <cell r="Y309" t="str">
            <v>Repalle</v>
          </cell>
          <cell r="Z309">
            <v>4.3</v>
          </cell>
          <cell r="AA309">
            <v>0.2</v>
          </cell>
        </row>
        <row r="310">
          <cell r="A310">
            <v>306</v>
          </cell>
          <cell r="B310" t="str">
            <v>Kamarajugadda(North)</v>
          </cell>
          <cell r="C310" t="str">
            <v>Mynenivaripalem</v>
          </cell>
          <cell r="D310" t="str">
            <v>Repalle</v>
          </cell>
          <cell r="E310" t="str">
            <v>Penumudi</v>
          </cell>
          <cell r="F310">
            <v>5.9</v>
          </cell>
          <cell r="G310" t="str">
            <v>Zoolapalem</v>
          </cell>
          <cell r="H310">
            <v>26.2</v>
          </cell>
          <cell r="I310" t="str">
            <v>Lam</v>
          </cell>
          <cell r="J310">
            <v>89.7</v>
          </cell>
          <cell r="K310" t="str">
            <v>Kolluru</v>
          </cell>
          <cell r="L310">
            <v>35.9</v>
          </cell>
          <cell r="M310" t="str">
            <v>Vejandla</v>
          </cell>
          <cell r="N310">
            <v>66.7</v>
          </cell>
          <cell r="O310" t="str">
            <v>Vejandla</v>
          </cell>
          <cell r="P310">
            <v>66.7</v>
          </cell>
          <cell r="Q310" t="str">
            <v>Repalle</v>
          </cell>
          <cell r="R310">
            <v>9.6999999999999993</v>
          </cell>
          <cell r="S310" t="str">
            <v>I.B patnam</v>
          </cell>
          <cell r="T310">
            <v>85</v>
          </cell>
          <cell r="Y310" t="str">
            <v>Repalle</v>
          </cell>
          <cell r="Z310">
            <v>9.6999999999999993</v>
          </cell>
          <cell r="AA310">
            <v>0.2</v>
          </cell>
        </row>
        <row r="311">
          <cell r="A311">
            <v>307</v>
          </cell>
          <cell r="B311" t="str">
            <v>Mollagunta</v>
          </cell>
          <cell r="C311" t="str">
            <v>Mollagunta</v>
          </cell>
          <cell r="D311" t="str">
            <v>Repalle</v>
          </cell>
          <cell r="E311" t="str">
            <v>Local</v>
          </cell>
          <cell r="F311">
            <v>5</v>
          </cell>
          <cell r="G311" t="str">
            <v>Zoolapalem</v>
          </cell>
          <cell r="H311">
            <v>35.200000000000003</v>
          </cell>
          <cell r="I311" t="str">
            <v>Lam</v>
          </cell>
          <cell r="J311">
            <v>98.9</v>
          </cell>
          <cell r="K311" t="str">
            <v>Kolluru</v>
          </cell>
          <cell r="L311">
            <v>49.3</v>
          </cell>
          <cell r="M311" t="str">
            <v>Vejandla</v>
          </cell>
          <cell r="N311">
            <v>75.900000000000006</v>
          </cell>
          <cell r="O311" t="str">
            <v>Vejandla</v>
          </cell>
          <cell r="P311">
            <v>75.900000000000006</v>
          </cell>
          <cell r="Q311" t="str">
            <v>Repalle</v>
          </cell>
          <cell r="R311">
            <v>18.7</v>
          </cell>
          <cell r="S311" t="str">
            <v>I.B patnam</v>
          </cell>
          <cell r="T311">
            <v>85</v>
          </cell>
          <cell r="Y311" t="str">
            <v>Repalle</v>
          </cell>
          <cell r="Z311">
            <v>18.7</v>
          </cell>
          <cell r="AA311">
            <v>0</v>
          </cell>
        </row>
        <row r="312">
          <cell r="A312">
            <v>308</v>
          </cell>
          <cell r="B312" t="str">
            <v>Morlavaripalem</v>
          </cell>
          <cell r="C312" t="str">
            <v>Morlavaripalem</v>
          </cell>
          <cell r="D312" t="str">
            <v>Repalle</v>
          </cell>
          <cell r="E312" t="str">
            <v>Penumudi</v>
          </cell>
          <cell r="F312">
            <v>8.1</v>
          </cell>
          <cell r="G312" t="str">
            <v>Zoolapalem</v>
          </cell>
          <cell r="H312">
            <v>14</v>
          </cell>
          <cell r="I312" t="str">
            <v>Lam</v>
          </cell>
          <cell r="J312">
            <v>81</v>
          </cell>
          <cell r="K312" t="str">
            <v>Kolluru</v>
          </cell>
          <cell r="L312">
            <v>28.4</v>
          </cell>
          <cell r="M312" t="str">
            <v>Vejandla</v>
          </cell>
          <cell r="N312">
            <v>57</v>
          </cell>
          <cell r="O312" t="str">
            <v>Vejandla</v>
          </cell>
          <cell r="P312">
            <v>57</v>
          </cell>
          <cell r="Q312" t="str">
            <v>Repalle</v>
          </cell>
          <cell r="R312">
            <v>2.5</v>
          </cell>
          <cell r="S312" t="str">
            <v>I.B patnam</v>
          </cell>
          <cell r="T312">
            <v>85</v>
          </cell>
          <cell r="Y312" t="str">
            <v>Repalle</v>
          </cell>
          <cell r="Z312">
            <v>2.5</v>
          </cell>
          <cell r="AA312">
            <v>0.2</v>
          </cell>
        </row>
        <row r="313">
          <cell r="A313">
            <v>309</v>
          </cell>
          <cell r="B313" t="str">
            <v>Kamarajugadda(South)</v>
          </cell>
          <cell r="C313" t="str">
            <v>Morthota</v>
          </cell>
          <cell r="D313" t="str">
            <v>Repalle</v>
          </cell>
          <cell r="E313" t="str">
            <v>Penumudi</v>
          </cell>
          <cell r="F313">
            <v>8.3000000000000007</v>
          </cell>
          <cell r="G313" t="str">
            <v>Zoolapalem</v>
          </cell>
          <cell r="H313">
            <v>28.6</v>
          </cell>
          <cell r="I313" t="str">
            <v>Lam</v>
          </cell>
          <cell r="J313">
            <v>92.1</v>
          </cell>
          <cell r="K313" t="str">
            <v>Kolluru</v>
          </cell>
          <cell r="L313">
            <v>39.5</v>
          </cell>
          <cell r="M313" t="str">
            <v>Vejandla</v>
          </cell>
          <cell r="N313">
            <v>68.099999999999994</v>
          </cell>
          <cell r="O313" t="str">
            <v>Vejandla</v>
          </cell>
          <cell r="P313">
            <v>68.099999999999994</v>
          </cell>
          <cell r="Q313" t="str">
            <v>Repalle</v>
          </cell>
          <cell r="R313">
            <v>12.1</v>
          </cell>
          <cell r="S313" t="str">
            <v>I.B patnam</v>
          </cell>
          <cell r="T313">
            <v>85</v>
          </cell>
          <cell r="Y313" t="str">
            <v>Repalle</v>
          </cell>
          <cell r="Z313">
            <v>12.1</v>
          </cell>
          <cell r="AA313">
            <v>0.2</v>
          </cell>
        </row>
        <row r="314">
          <cell r="A314">
            <v>310</v>
          </cell>
          <cell r="B314" t="str">
            <v>Gangadipalem</v>
          </cell>
          <cell r="C314" t="str">
            <v>Mruthumjayavaripalem</v>
          </cell>
          <cell r="D314" t="str">
            <v>Repalle</v>
          </cell>
          <cell r="E314" t="str">
            <v>Local</v>
          </cell>
          <cell r="F314">
            <v>5</v>
          </cell>
          <cell r="G314" t="str">
            <v>Zoolapalem</v>
          </cell>
          <cell r="H314">
            <v>37</v>
          </cell>
          <cell r="I314" t="str">
            <v>Lam</v>
          </cell>
          <cell r="J314">
            <v>100.7</v>
          </cell>
          <cell r="K314" t="str">
            <v>Kolluru</v>
          </cell>
          <cell r="L314">
            <v>51.1</v>
          </cell>
          <cell r="M314" t="str">
            <v>Vejandla</v>
          </cell>
          <cell r="N314">
            <v>77.7</v>
          </cell>
          <cell r="O314" t="str">
            <v>Vejandla</v>
          </cell>
          <cell r="P314">
            <v>77.7</v>
          </cell>
          <cell r="Q314" t="str">
            <v>Repalle</v>
          </cell>
          <cell r="R314">
            <v>20.5</v>
          </cell>
          <cell r="S314" t="str">
            <v>I.B patnam</v>
          </cell>
          <cell r="T314">
            <v>85</v>
          </cell>
          <cell r="Y314" t="str">
            <v>Repalle</v>
          </cell>
          <cell r="Z314">
            <v>20.5</v>
          </cell>
          <cell r="AA314">
            <v>0</v>
          </cell>
        </row>
        <row r="315">
          <cell r="A315">
            <v>311</v>
          </cell>
          <cell r="B315" t="str">
            <v>Nalluripalem</v>
          </cell>
          <cell r="C315" t="str">
            <v>Nalluripalem</v>
          </cell>
          <cell r="D315" t="str">
            <v>Repalle</v>
          </cell>
          <cell r="E315" t="str">
            <v>Penumudi</v>
          </cell>
          <cell r="F315">
            <v>6.9</v>
          </cell>
          <cell r="G315" t="str">
            <v>Zoolapalem</v>
          </cell>
          <cell r="H315">
            <v>23.4</v>
          </cell>
          <cell r="I315" t="str">
            <v>Lam</v>
          </cell>
          <cell r="J315">
            <v>87.1</v>
          </cell>
          <cell r="K315" t="str">
            <v>Kolluru</v>
          </cell>
          <cell r="L315">
            <v>37.700000000000003</v>
          </cell>
          <cell r="M315" t="str">
            <v>Vejandla</v>
          </cell>
          <cell r="N315">
            <v>64.099999999999994</v>
          </cell>
          <cell r="O315" t="str">
            <v>Vejandla</v>
          </cell>
          <cell r="P315">
            <v>64.099999999999994</v>
          </cell>
          <cell r="Q315" t="str">
            <v>Repalle</v>
          </cell>
          <cell r="R315">
            <v>6.9</v>
          </cell>
          <cell r="S315" t="str">
            <v>I.B patnam</v>
          </cell>
          <cell r="T315">
            <v>85</v>
          </cell>
          <cell r="Y315" t="str">
            <v>Repalle</v>
          </cell>
          <cell r="Z315">
            <v>6.9</v>
          </cell>
          <cell r="AA315">
            <v>0.2</v>
          </cell>
        </row>
        <row r="316">
          <cell r="A316">
            <v>312</v>
          </cell>
          <cell r="B316" t="str">
            <v>Aravapalli</v>
          </cell>
          <cell r="C316" t="str">
            <v>Nellurivaripalem</v>
          </cell>
          <cell r="D316" t="str">
            <v>Repalle</v>
          </cell>
          <cell r="E316" t="str">
            <v>Penumudi</v>
          </cell>
          <cell r="F316">
            <v>4.7</v>
          </cell>
          <cell r="G316" t="str">
            <v>Zoolapalem</v>
          </cell>
          <cell r="H316">
            <v>25</v>
          </cell>
          <cell r="I316" t="str">
            <v>Lam</v>
          </cell>
          <cell r="J316">
            <v>88.5</v>
          </cell>
          <cell r="K316" t="str">
            <v>Kolluru</v>
          </cell>
          <cell r="L316">
            <v>35.9</v>
          </cell>
          <cell r="M316" t="str">
            <v>Vejandla</v>
          </cell>
          <cell r="N316">
            <v>65.5</v>
          </cell>
          <cell r="O316" t="str">
            <v>Vejandla</v>
          </cell>
          <cell r="P316">
            <v>65.5</v>
          </cell>
          <cell r="Q316" t="str">
            <v>Repalle</v>
          </cell>
          <cell r="R316">
            <v>8.5</v>
          </cell>
          <cell r="S316" t="str">
            <v>I.B patnam</v>
          </cell>
          <cell r="T316">
            <v>85</v>
          </cell>
          <cell r="Y316" t="str">
            <v>Repalle</v>
          </cell>
          <cell r="Z316">
            <v>8.5</v>
          </cell>
          <cell r="AA316">
            <v>0.2</v>
          </cell>
        </row>
        <row r="317">
          <cell r="A317">
            <v>313</v>
          </cell>
          <cell r="B317" t="str">
            <v>Nalluru(North)</v>
          </cell>
          <cell r="C317" t="str">
            <v>Nalluru</v>
          </cell>
          <cell r="D317" t="str">
            <v>Repalle</v>
          </cell>
          <cell r="E317" t="str">
            <v>Penumudi</v>
          </cell>
          <cell r="F317">
            <v>4.7</v>
          </cell>
          <cell r="G317" t="str">
            <v>Zoolapalem</v>
          </cell>
          <cell r="H317">
            <v>25</v>
          </cell>
          <cell r="I317" t="str">
            <v>Lam</v>
          </cell>
          <cell r="J317">
            <v>88.5</v>
          </cell>
          <cell r="K317" t="str">
            <v>Kolluru</v>
          </cell>
          <cell r="L317">
            <v>35.9</v>
          </cell>
          <cell r="M317" t="str">
            <v>Vejandla</v>
          </cell>
          <cell r="N317">
            <v>65.5</v>
          </cell>
          <cell r="O317" t="str">
            <v>Vejandla</v>
          </cell>
          <cell r="P317">
            <v>65.5</v>
          </cell>
          <cell r="Q317" t="str">
            <v>Repalle</v>
          </cell>
          <cell r="R317">
            <v>8.5</v>
          </cell>
          <cell r="S317" t="str">
            <v>I.B patnam</v>
          </cell>
          <cell r="T317">
            <v>85</v>
          </cell>
          <cell r="Y317" t="str">
            <v>Repalle</v>
          </cell>
          <cell r="Z317">
            <v>8.5</v>
          </cell>
          <cell r="AA317">
            <v>0.2</v>
          </cell>
        </row>
        <row r="318">
          <cell r="A318">
            <v>314</v>
          </cell>
          <cell r="B318" t="str">
            <v>Aravapalli</v>
          </cell>
          <cell r="C318" t="str">
            <v>Okspet</v>
          </cell>
          <cell r="D318" t="str">
            <v>Repalle</v>
          </cell>
          <cell r="E318" t="str">
            <v>Penumudi</v>
          </cell>
          <cell r="F318">
            <v>5.7</v>
          </cell>
          <cell r="G318" t="str">
            <v>Zoolapalem</v>
          </cell>
          <cell r="H318">
            <v>20.9</v>
          </cell>
          <cell r="I318" t="str">
            <v>Lam</v>
          </cell>
          <cell r="J318">
            <v>83.7</v>
          </cell>
          <cell r="K318" t="str">
            <v>Kolluru</v>
          </cell>
          <cell r="L318">
            <v>34.1</v>
          </cell>
          <cell r="M318" t="str">
            <v>Vejandla</v>
          </cell>
          <cell r="N318">
            <v>60.7</v>
          </cell>
          <cell r="O318" t="str">
            <v>Vejandla</v>
          </cell>
          <cell r="P318">
            <v>60.7</v>
          </cell>
          <cell r="Q318" t="str">
            <v>Repalle</v>
          </cell>
          <cell r="R318">
            <v>4.4000000000000004</v>
          </cell>
          <cell r="S318" t="str">
            <v>I.B patnam</v>
          </cell>
          <cell r="T318">
            <v>85</v>
          </cell>
          <cell r="Y318" t="str">
            <v>Repalle</v>
          </cell>
          <cell r="Z318">
            <v>4.4000000000000004</v>
          </cell>
          <cell r="AA318">
            <v>0.2</v>
          </cell>
        </row>
        <row r="319">
          <cell r="A319">
            <v>315</v>
          </cell>
          <cell r="B319" t="str">
            <v>Potumeraka</v>
          </cell>
          <cell r="C319" t="str">
            <v>Palakurthi</v>
          </cell>
          <cell r="D319" t="str">
            <v>Repalle</v>
          </cell>
          <cell r="E319" t="str">
            <v>Local</v>
          </cell>
          <cell r="F319">
            <v>2</v>
          </cell>
          <cell r="G319" t="str">
            <v>Zoolapalem</v>
          </cell>
          <cell r="H319">
            <v>38</v>
          </cell>
          <cell r="I319" t="str">
            <v>Lam</v>
          </cell>
          <cell r="J319">
            <v>92</v>
          </cell>
          <cell r="K319" t="str">
            <v>Kolluru</v>
          </cell>
          <cell r="L319">
            <v>51</v>
          </cell>
          <cell r="M319" t="str">
            <v>Vejandla</v>
          </cell>
          <cell r="N319">
            <v>74</v>
          </cell>
          <cell r="O319" t="str">
            <v>Vejandla</v>
          </cell>
          <cell r="P319">
            <v>74</v>
          </cell>
          <cell r="Q319" t="str">
            <v>Repalle</v>
          </cell>
          <cell r="R319">
            <v>23</v>
          </cell>
          <cell r="S319" t="str">
            <v>I.B patnam</v>
          </cell>
          <cell r="T319">
            <v>85</v>
          </cell>
          <cell r="Y319" t="str">
            <v>Repalle</v>
          </cell>
          <cell r="Z319">
            <v>23</v>
          </cell>
          <cell r="AA319">
            <v>0.2</v>
          </cell>
        </row>
        <row r="320">
          <cell r="A320">
            <v>316</v>
          </cell>
          <cell r="B320" t="str">
            <v>Penumudi</v>
          </cell>
          <cell r="C320" t="str">
            <v>Pallipalem of penumudi</v>
          </cell>
          <cell r="D320" t="str">
            <v>Repalle</v>
          </cell>
          <cell r="E320" t="str">
            <v>Local</v>
          </cell>
          <cell r="F320">
            <v>0.5</v>
          </cell>
          <cell r="G320" t="str">
            <v>Zoolapalem</v>
          </cell>
          <cell r="H320">
            <v>20</v>
          </cell>
          <cell r="I320" t="str">
            <v>Lam</v>
          </cell>
          <cell r="J320">
            <v>85.5</v>
          </cell>
          <cell r="K320" t="str">
            <v>Kolluru</v>
          </cell>
          <cell r="L320">
            <v>32.9</v>
          </cell>
          <cell r="M320" t="str">
            <v>Vejandla</v>
          </cell>
          <cell r="N320">
            <v>61.5</v>
          </cell>
          <cell r="O320" t="str">
            <v>Vejandla</v>
          </cell>
          <cell r="P320">
            <v>61.5</v>
          </cell>
          <cell r="Q320" t="str">
            <v>Repalle</v>
          </cell>
          <cell r="R320">
            <v>5</v>
          </cell>
          <cell r="S320" t="str">
            <v>I.B patnam</v>
          </cell>
          <cell r="T320">
            <v>85</v>
          </cell>
          <cell r="Y320" t="str">
            <v>Repalle</v>
          </cell>
          <cell r="Z320">
            <v>5</v>
          </cell>
          <cell r="AA320">
            <v>0.2</v>
          </cell>
        </row>
        <row r="321">
          <cell r="A321">
            <v>317</v>
          </cell>
          <cell r="B321" t="str">
            <v>Penumudi</v>
          </cell>
          <cell r="C321" t="str">
            <v>Penumudi</v>
          </cell>
          <cell r="D321" t="str">
            <v>Repalle</v>
          </cell>
          <cell r="E321" t="str">
            <v>Local</v>
          </cell>
          <cell r="F321">
            <v>0.5</v>
          </cell>
          <cell r="G321" t="str">
            <v>Zoolapalem</v>
          </cell>
          <cell r="H321">
            <v>20</v>
          </cell>
          <cell r="I321" t="str">
            <v>Lam</v>
          </cell>
          <cell r="J321">
            <v>85.5</v>
          </cell>
          <cell r="K321" t="str">
            <v>Kolluru</v>
          </cell>
          <cell r="L321">
            <v>32.9</v>
          </cell>
          <cell r="M321" t="str">
            <v>Vejandla</v>
          </cell>
          <cell r="N321">
            <v>61.5</v>
          </cell>
          <cell r="O321" t="str">
            <v>Vejandla</v>
          </cell>
          <cell r="P321">
            <v>61.5</v>
          </cell>
          <cell r="Q321" t="str">
            <v>Repalle</v>
          </cell>
          <cell r="R321">
            <v>5</v>
          </cell>
          <cell r="S321" t="str">
            <v>I.B patnam</v>
          </cell>
          <cell r="T321">
            <v>85</v>
          </cell>
          <cell r="Y321" t="str">
            <v>Repalle</v>
          </cell>
          <cell r="Z321">
            <v>5</v>
          </cell>
          <cell r="AA321">
            <v>0.2</v>
          </cell>
        </row>
        <row r="322">
          <cell r="A322">
            <v>318</v>
          </cell>
          <cell r="B322" t="str">
            <v>Peteru</v>
          </cell>
          <cell r="C322" t="str">
            <v>Peteru</v>
          </cell>
          <cell r="D322" t="str">
            <v>Repalle</v>
          </cell>
          <cell r="E322" t="str">
            <v>Penumudi</v>
          </cell>
          <cell r="F322">
            <v>5.7</v>
          </cell>
          <cell r="G322" t="str">
            <v>Zoolapalem</v>
          </cell>
          <cell r="H322">
            <v>12.2</v>
          </cell>
          <cell r="I322" t="str">
            <v>Lam</v>
          </cell>
          <cell r="J322">
            <v>80.3</v>
          </cell>
          <cell r="K322" t="str">
            <v>Kolluru</v>
          </cell>
          <cell r="L322">
            <v>27.7</v>
          </cell>
          <cell r="M322" t="str">
            <v>Vejandla</v>
          </cell>
          <cell r="N322">
            <v>56.3</v>
          </cell>
          <cell r="O322" t="str">
            <v>Vejandla</v>
          </cell>
          <cell r="P322">
            <v>56.3</v>
          </cell>
          <cell r="Q322" t="str">
            <v>Repalle</v>
          </cell>
          <cell r="R322">
            <v>4.3</v>
          </cell>
          <cell r="S322" t="str">
            <v>I.B patnam</v>
          </cell>
          <cell r="T322">
            <v>85</v>
          </cell>
          <cell r="Y322" t="str">
            <v>Repalle</v>
          </cell>
          <cell r="Z322">
            <v>4.3</v>
          </cell>
          <cell r="AA322">
            <v>0.2</v>
          </cell>
        </row>
        <row r="323">
          <cell r="A323">
            <v>319</v>
          </cell>
          <cell r="B323" t="str">
            <v>Piratlanka</v>
          </cell>
          <cell r="C323" t="str">
            <v>Piratlanka</v>
          </cell>
          <cell r="D323" t="str">
            <v>Repalle</v>
          </cell>
          <cell r="E323" t="str">
            <v>Penumudi</v>
          </cell>
          <cell r="F323">
            <v>14.9</v>
          </cell>
          <cell r="G323" t="str">
            <v>Zoolapalem</v>
          </cell>
          <cell r="H323">
            <v>35.200000000000003</v>
          </cell>
          <cell r="I323" t="str">
            <v>Lam</v>
          </cell>
          <cell r="J323">
            <v>100.7</v>
          </cell>
          <cell r="K323" t="str">
            <v>Kolluru</v>
          </cell>
          <cell r="L323">
            <v>48.1</v>
          </cell>
          <cell r="M323" t="str">
            <v>Vejandla</v>
          </cell>
          <cell r="N323">
            <v>76.7</v>
          </cell>
          <cell r="O323" t="str">
            <v>Vejandla</v>
          </cell>
          <cell r="P323">
            <v>76.7</v>
          </cell>
          <cell r="Q323" t="str">
            <v>Repalle</v>
          </cell>
          <cell r="R323">
            <v>18.7</v>
          </cell>
          <cell r="S323" t="str">
            <v>I.B patnam</v>
          </cell>
          <cell r="T323">
            <v>85</v>
          </cell>
          <cell r="Y323" t="str">
            <v>Repalle</v>
          </cell>
          <cell r="Z323">
            <v>18.7</v>
          </cell>
          <cell r="AA323">
            <v>0</v>
          </cell>
        </row>
        <row r="324">
          <cell r="A324">
            <v>320</v>
          </cell>
          <cell r="B324" t="str">
            <v>Potumeraka</v>
          </cell>
          <cell r="C324" t="str">
            <v>Pothumeraka</v>
          </cell>
          <cell r="D324" t="str">
            <v>Repalle</v>
          </cell>
          <cell r="E324" t="str">
            <v>Penumudi</v>
          </cell>
          <cell r="F324">
            <v>16.3</v>
          </cell>
          <cell r="G324" t="str">
            <v>Zoolapalem</v>
          </cell>
          <cell r="H324">
            <v>30.6</v>
          </cell>
          <cell r="I324" t="str">
            <v>Lam</v>
          </cell>
          <cell r="J324">
            <v>94.3</v>
          </cell>
          <cell r="K324" t="str">
            <v>Kolluru</v>
          </cell>
          <cell r="L324">
            <v>44.7</v>
          </cell>
          <cell r="M324" t="str">
            <v>Vejandla</v>
          </cell>
          <cell r="N324">
            <v>71.3</v>
          </cell>
          <cell r="O324" t="str">
            <v>Vejandla</v>
          </cell>
          <cell r="P324">
            <v>71.3</v>
          </cell>
          <cell r="Q324" t="str">
            <v>Repalle</v>
          </cell>
          <cell r="R324">
            <v>14.1</v>
          </cell>
          <cell r="S324" t="str">
            <v>I.B patnam</v>
          </cell>
          <cell r="T324">
            <v>85</v>
          </cell>
          <cell r="Y324" t="str">
            <v>Repalle</v>
          </cell>
          <cell r="Z324">
            <v>14.1</v>
          </cell>
          <cell r="AA324">
            <v>0.2</v>
          </cell>
        </row>
        <row r="325">
          <cell r="A325">
            <v>321</v>
          </cell>
          <cell r="B325" t="str">
            <v>Rajukalva</v>
          </cell>
          <cell r="C325" t="str">
            <v>Rajukalva</v>
          </cell>
          <cell r="D325" t="str">
            <v>Repalle</v>
          </cell>
          <cell r="E325" t="str">
            <v>Penumudi</v>
          </cell>
          <cell r="F325">
            <v>21.1</v>
          </cell>
          <cell r="G325" t="str">
            <v>Zoolapalem</v>
          </cell>
          <cell r="H325">
            <v>41.4</v>
          </cell>
          <cell r="I325" t="str">
            <v>Lam</v>
          </cell>
          <cell r="J325">
            <v>106.9</v>
          </cell>
          <cell r="K325" t="str">
            <v>Kolluru</v>
          </cell>
          <cell r="L325">
            <v>52</v>
          </cell>
          <cell r="M325" t="str">
            <v>Vejandla</v>
          </cell>
          <cell r="N325">
            <v>82.9</v>
          </cell>
          <cell r="O325" t="str">
            <v>Vejandla</v>
          </cell>
          <cell r="P325">
            <v>82.9</v>
          </cell>
          <cell r="Q325" t="str">
            <v>Repalle</v>
          </cell>
          <cell r="R325">
            <v>24.9</v>
          </cell>
          <cell r="S325" t="str">
            <v>I.B patnam</v>
          </cell>
          <cell r="T325">
            <v>85</v>
          </cell>
          <cell r="Y325" t="str">
            <v>Repalle</v>
          </cell>
          <cell r="Z325">
            <v>24.9</v>
          </cell>
          <cell r="AA325">
            <v>0</v>
          </cell>
        </row>
        <row r="326">
          <cell r="A326">
            <v>322</v>
          </cell>
          <cell r="B326" t="str">
            <v>Penumudi</v>
          </cell>
          <cell r="C326" t="str">
            <v>Ravianthavaram</v>
          </cell>
          <cell r="D326" t="str">
            <v>Repalle</v>
          </cell>
          <cell r="E326" t="str">
            <v>Penumudi</v>
          </cell>
          <cell r="F326">
            <v>2.5</v>
          </cell>
          <cell r="G326" t="str">
            <v>Zoolapalem</v>
          </cell>
          <cell r="H326">
            <v>22</v>
          </cell>
          <cell r="I326" t="str">
            <v>Lam</v>
          </cell>
          <cell r="J326">
            <v>87.5</v>
          </cell>
          <cell r="K326" t="str">
            <v>Kolluru</v>
          </cell>
          <cell r="L326">
            <v>34.9</v>
          </cell>
          <cell r="M326" t="str">
            <v>Vejandla</v>
          </cell>
          <cell r="N326">
            <v>63.5</v>
          </cell>
          <cell r="O326" t="str">
            <v>Vejandla</v>
          </cell>
          <cell r="P326">
            <v>63.5</v>
          </cell>
          <cell r="Q326" t="str">
            <v>Repalle</v>
          </cell>
          <cell r="R326">
            <v>7</v>
          </cell>
          <cell r="S326" t="str">
            <v>I.B patnam</v>
          </cell>
          <cell r="T326">
            <v>85</v>
          </cell>
          <cell r="Y326" t="str">
            <v>Repalle</v>
          </cell>
          <cell r="Z326">
            <v>7</v>
          </cell>
          <cell r="AA326">
            <v>0.2</v>
          </cell>
        </row>
        <row r="327">
          <cell r="A327">
            <v>323</v>
          </cell>
          <cell r="B327" t="str">
            <v>Singupalem</v>
          </cell>
          <cell r="C327" t="str">
            <v>Singupalem</v>
          </cell>
          <cell r="D327" t="str">
            <v>Repalle</v>
          </cell>
          <cell r="E327" t="str">
            <v>Penumudi</v>
          </cell>
          <cell r="F327">
            <v>14.8</v>
          </cell>
          <cell r="G327" t="str">
            <v>Zoolapalem</v>
          </cell>
          <cell r="H327">
            <v>39.1</v>
          </cell>
          <cell r="I327" t="str">
            <v>Lam</v>
          </cell>
          <cell r="J327">
            <v>92.8</v>
          </cell>
          <cell r="K327" t="str">
            <v>Kolluru</v>
          </cell>
          <cell r="L327">
            <v>43.4</v>
          </cell>
          <cell r="M327" t="str">
            <v>Vejandla</v>
          </cell>
          <cell r="N327">
            <v>69.8</v>
          </cell>
          <cell r="O327" t="str">
            <v>Vejandla</v>
          </cell>
          <cell r="P327">
            <v>69.8</v>
          </cell>
          <cell r="Q327" t="str">
            <v>Repalle</v>
          </cell>
          <cell r="R327">
            <v>12.6</v>
          </cell>
          <cell r="S327" t="str">
            <v>I.B patnam</v>
          </cell>
          <cell r="T327">
            <v>85</v>
          </cell>
          <cell r="Y327" t="str">
            <v>Repalle</v>
          </cell>
          <cell r="Z327">
            <v>12.6</v>
          </cell>
          <cell r="AA327">
            <v>0.2</v>
          </cell>
        </row>
        <row r="328">
          <cell r="A328">
            <v>324</v>
          </cell>
          <cell r="B328" t="str">
            <v>Thummala</v>
          </cell>
          <cell r="C328" t="str">
            <v>Thummala</v>
          </cell>
          <cell r="D328" t="str">
            <v>Repalle</v>
          </cell>
          <cell r="E328" t="str">
            <v>Penumudi</v>
          </cell>
          <cell r="F328">
            <v>18.5</v>
          </cell>
          <cell r="G328" t="str">
            <v>Zoolapalem</v>
          </cell>
          <cell r="H328">
            <v>32.799999999999997</v>
          </cell>
          <cell r="I328" t="str">
            <v>Lam</v>
          </cell>
          <cell r="J328">
            <v>96.5</v>
          </cell>
          <cell r="K328" t="str">
            <v>Kolluru</v>
          </cell>
          <cell r="L328">
            <v>46.9</v>
          </cell>
          <cell r="M328" t="str">
            <v>Vejandla</v>
          </cell>
          <cell r="N328">
            <v>73.5</v>
          </cell>
          <cell r="O328" t="str">
            <v>Vejandla</v>
          </cell>
          <cell r="P328">
            <v>73.5</v>
          </cell>
          <cell r="Q328" t="str">
            <v>Repalle</v>
          </cell>
          <cell r="R328">
            <v>16.3</v>
          </cell>
          <cell r="S328" t="str">
            <v>I.B patnam</v>
          </cell>
          <cell r="T328">
            <v>85</v>
          </cell>
          <cell r="Y328" t="str">
            <v>Repalle</v>
          </cell>
          <cell r="Z328">
            <v>16.3</v>
          </cell>
          <cell r="AA328">
            <v>0.2</v>
          </cell>
        </row>
        <row r="329">
          <cell r="A329">
            <v>325</v>
          </cell>
          <cell r="B329" t="str">
            <v>Kaithepalli</v>
          </cell>
          <cell r="C329" t="str">
            <v>Thurakapalem of Kaithepalli</v>
          </cell>
          <cell r="D329" t="str">
            <v>Repalle</v>
          </cell>
          <cell r="E329" t="str">
            <v>Penumudi</v>
          </cell>
          <cell r="F329">
            <v>16</v>
          </cell>
          <cell r="G329" t="str">
            <v>Zoolapalem</v>
          </cell>
          <cell r="H329">
            <v>40.299999999999997</v>
          </cell>
          <cell r="I329" t="str">
            <v>Lam</v>
          </cell>
          <cell r="J329">
            <v>98.2</v>
          </cell>
          <cell r="K329" t="str">
            <v>Kolluru</v>
          </cell>
          <cell r="L329">
            <v>48.4</v>
          </cell>
          <cell r="M329" t="str">
            <v>Vejandla</v>
          </cell>
          <cell r="N329">
            <v>75.2</v>
          </cell>
          <cell r="O329" t="str">
            <v>Vejandla</v>
          </cell>
          <cell r="P329">
            <v>75.2</v>
          </cell>
          <cell r="Q329" t="str">
            <v>Repalle</v>
          </cell>
          <cell r="R329">
            <v>17.8</v>
          </cell>
          <cell r="S329" t="str">
            <v>I.B patnam</v>
          </cell>
          <cell r="T329">
            <v>85</v>
          </cell>
          <cell r="Y329" t="str">
            <v>Repalle</v>
          </cell>
          <cell r="Z329">
            <v>17.8</v>
          </cell>
          <cell r="AA329">
            <v>0.2</v>
          </cell>
        </row>
        <row r="330">
          <cell r="A330">
            <v>326</v>
          </cell>
          <cell r="B330" t="str">
            <v>Thummala</v>
          </cell>
          <cell r="C330" t="str">
            <v>Thurupu malapalli of Pothumeraka</v>
          </cell>
          <cell r="D330" t="str">
            <v>Repalle</v>
          </cell>
          <cell r="E330" t="str">
            <v>Penumudi</v>
          </cell>
          <cell r="F330">
            <v>17.3</v>
          </cell>
          <cell r="G330" t="str">
            <v>Zoolapalem</v>
          </cell>
          <cell r="H330">
            <v>31.6</v>
          </cell>
          <cell r="I330" t="str">
            <v>Lam</v>
          </cell>
          <cell r="J330">
            <v>94.3</v>
          </cell>
          <cell r="K330" t="str">
            <v>Kolluru</v>
          </cell>
          <cell r="L330">
            <v>45.7</v>
          </cell>
          <cell r="M330" t="str">
            <v>Vejandla</v>
          </cell>
          <cell r="N330">
            <v>72.3</v>
          </cell>
          <cell r="O330" t="str">
            <v>Vejandla</v>
          </cell>
          <cell r="P330">
            <v>72.3</v>
          </cell>
          <cell r="Q330" t="str">
            <v>Repalle</v>
          </cell>
          <cell r="R330">
            <v>15.1</v>
          </cell>
          <cell r="S330" t="str">
            <v>I.B patnam</v>
          </cell>
          <cell r="T330">
            <v>85</v>
          </cell>
          <cell r="Y330" t="str">
            <v>Repalle</v>
          </cell>
          <cell r="Z330">
            <v>15.1</v>
          </cell>
          <cell r="AA330">
            <v>0.2</v>
          </cell>
        </row>
        <row r="331">
          <cell r="A331">
            <v>327</v>
          </cell>
          <cell r="B331" t="str">
            <v>Uppudi</v>
          </cell>
          <cell r="C331" t="str">
            <v>Uppudi</v>
          </cell>
          <cell r="D331" t="str">
            <v>Repalle</v>
          </cell>
          <cell r="E331" t="str">
            <v>Penumudi</v>
          </cell>
          <cell r="F331">
            <v>8.3000000000000007</v>
          </cell>
          <cell r="G331" t="str">
            <v>Zoolapalem</v>
          </cell>
          <cell r="H331">
            <v>19.399999999999999</v>
          </cell>
          <cell r="I331" t="str">
            <v>Lam</v>
          </cell>
          <cell r="J331">
            <v>83.9</v>
          </cell>
          <cell r="K331" t="str">
            <v>Kolluru</v>
          </cell>
          <cell r="L331">
            <v>31.3</v>
          </cell>
          <cell r="M331" t="str">
            <v>Vejandla</v>
          </cell>
          <cell r="N331">
            <v>59.9</v>
          </cell>
          <cell r="O331" t="str">
            <v>Vejandla</v>
          </cell>
          <cell r="P331">
            <v>59.9</v>
          </cell>
          <cell r="Q331" t="str">
            <v>Repalle</v>
          </cell>
          <cell r="R331">
            <v>2.7</v>
          </cell>
          <cell r="S331" t="str">
            <v>I.B patnam</v>
          </cell>
          <cell r="T331">
            <v>85</v>
          </cell>
          <cell r="Y331" t="str">
            <v>Repalle</v>
          </cell>
          <cell r="Z331">
            <v>2.7</v>
          </cell>
          <cell r="AA331">
            <v>0.2</v>
          </cell>
        </row>
        <row r="332">
          <cell r="A332">
            <v>328</v>
          </cell>
          <cell r="B332" t="str">
            <v>Aravapalli</v>
          </cell>
          <cell r="C332" t="str">
            <v>Ura -mlapalli of Aravapalli</v>
          </cell>
          <cell r="D332" t="str">
            <v>Repalle</v>
          </cell>
          <cell r="E332" t="str">
            <v>Penumudi</v>
          </cell>
          <cell r="F332">
            <v>5.7</v>
          </cell>
          <cell r="G332" t="str">
            <v>Zoolapalem</v>
          </cell>
          <cell r="H332">
            <v>20.9</v>
          </cell>
          <cell r="I332" t="str">
            <v>Lam</v>
          </cell>
          <cell r="J332">
            <v>83.7</v>
          </cell>
          <cell r="K332" t="str">
            <v>Kolluru</v>
          </cell>
          <cell r="L332">
            <v>34.1</v>
          </cell>
          <cell r="M332" t="str">
            <v>Vejandla</v>
          </cell>
          <cell r="N332">
            <v>60.7</v>
          </cell>
          <cell r="O332" t="str">
            <v>Vejandla</v>
          </cell>
          <cell r="P332">
            <v>60.7</v>
          </cell>
          <cell r="Q332" t="str">
            <v>Repalle</v>
          </cell>
          <cell r="R332">
            <v>4.4000000000000004</v>
          </cell>
          <cell r="S332" t="str">
            <v>I.B patnam</v>
          </cell>
          <cell r="T332">
            <v>85</v>
          </cell>
          <cell r="Y332" t="str">
            <v>Repalle</v>
          </cell>
          <cell r="Z332">
            <v>4.4000000000000004</v>
          </cell>
          <cell r="AA332">
            <v>0.2</v>
          </cell>
        </row>
        <row r="333">
          <cell r="A333">
            <v>329</v>
          </cell>
          <cell r="B333" t="str">
            <v>Vaddevaripalem</v>
          </cell>
          <cell r="C333" t="str">
            <v>Vaddevaripalem</v>
          </cell>
          <cell r="D333" t="str">
            <v>Repalle</v>
          </cell>
          <cell r="E333" t="str">
            <v>Penumudi</v>
          </cell>
          <cell r="F333">
            <v>18.100000000000001</v>
          </cell>
          <cell r="G333" t="str">
            <v>Zoolapalem</v>
          </cell>
          <cell r="H333">
            <v>32.4</v>
          </cell>
          <cell r="I333" t="str">
            <v>Lam</v>
          </cell>
          <cell r="J333">
            <v>96.1</v>
          </cell>
          <cell r="K333" t="str">
            <v>Kolluru</v>
          </cell>
          <cell r="L333">
            <v>46.5</v>
          </cell>
          <cell r="M333" t="str">
            <v>Vejandla</v>
          </cell>
          <cell r="N333">
            <v>73.099999999999994</v>
          </cell>
          <cell r="O333" t="str">
            <v>Vejandla</v>
          </cell>
          <cell r="P333">
            <v>73.099999999999994</v>
          </cell>
          <cell r="Q333" t="str">
            <v>Repalle</v>
          </cell>
          <cell r="R333">
            <v>15.9</v>
          </cell>
          <cell r="S333" t="str">
            <v>I.B patnam</v>
          </cell>
          <cell r="T333">
            <v>85</v>
          </cell>
          <cell r="Y333" t="str">
            <v>Repalle</v>
          </cell>
          <cell r="Z333">
            <v>15.9</v>
          </cell>
          <cell r="AA333">
            <v>0.2</v>
          </cell>
        </row>
        <row r="334">
          <cell r="A334">
            <v>330</v>
          </cell>
          <cell r="B334" t="str">
            <v>Peteru</v>
          </cell>
          <cell r="C334" t="str">
            <v>Vejandlavarilanka</v>
          </cell>
          <cell r="D334" t="str">
            <v>Repalle</v>
          </cell>
          <cell r="E334" t="str">
            <v>Penumudi</v>
          </cell>
          <cell r="F334">
            <v>8.6</v>
          </cell>
          <cell r="G334" t="str">
            <v>Zoolapalem</v>
          </cell>
          <cell r="H334">
            <v>19.5</v>
          </cell>
          <cell r="I334" t="str">
            <v>Lam</v>
          </cell>
          <cell r="J334">
            <v>80.099999999999994</v>
          </cell>
          <cell r="K334" t="str">
            <v>Kolluru</v>
          </cell>
          <cell r="L334">
            <v>27.5</v>
          </cell>
          <cell r="M334" t="str">
            <v>Vejandla</v>
          </cell>
          <cell r="N334">
            <v>57.1</v>
          </cell>
          <cell r="O334" t="str">
            <v>Vejandla</v>
          </cell>
          <cell r="P334">
            <v>57.1</v>
          </cell>
          <cell r="Q334" t="str">
            <v>Repalle</v>
          </cell>
          <cell r="R334">
            <v>3</v>
          </cell>
          <cell r="S334" t="str">
            <v>I.B patnam</v>
          </cell>
          <cell r="T334">
            <v>85</v>
          </cell>
          <cell r="Y334" t="str">
            <v>Repalle</v>
          </cell>
          <cell r="Z334">
            <v>3</v>
          </cell>
          <cell r="AA334">
            <v>0.2</v>
          </cell>
        </row>
        <row r="335">
          <cell r="A335">
            <v>331</v>
          </cell>
          <cell r="B335" t="str">
            <v>Visweswaram</v>
          </cell>
          <cell r="C335" t="str">
            <v>Visweswaram</v>
          </cell>
          <cell r="D335" t="str">
            <v>Repalle</v>
          </cell>
          <cell r="E335" t="str">
            <v>Penumudi</v>
          </cell>
          <cell r="F335">
            <v>15.6</v>
          </cell>
          <cell r="G335" t="str">
            <v>Zoolapalem</v>
          </cell>
          <cell r="H335">
            <v>29.9</v>
          </cell>
          <cell r="I335" t="str">
            <v>Lam</v>
          </cell>
          <cell r="J335">
            <v>93.6</v>
          </cell>
          <cell r="K335" t="str">
            <v>Kolluru</v>
          </cell>
          <cell r="L335">
            <v>44</v>
          </cell>
          <cell r="M335" t="str">
            <v>Vejandla</v>
          </cell>
          <cell r="N335">
            <v>70.599999999999994</v>
          </cell>
          <cell r="O335" t="str">
            <v>Vejandla</v>
          </cell>
          <cell r="P335">
            <v>70.599999999999994</v>
          </cell>
          <cell r="Q335" t="str">
            <v>Repalle</v>
          </cell>
          <cell r="R335">
            <v>13.4</v>
          </cell>
          <cell r="S335" t="str">
            <v>I.B patnam</v>
          </cell>
          <cell r="T335">
            <v>85</v>
          </cell>
          <cell r="Y335" t="str">
            <v>Repalle</v>
          </cell>
          <cell r="Z335">
            <v>13.4</v>
          </cell>
          <cell r="AA335">
            <v>0.2</v>
          </cell>
        </row>
        <row r="336">
          <cell r="A336">
            <v>332</v>
          </cell>
          <cell r="B336" t="str">
            <v>Bethapudi</v>
          </cell>
          <cell r="C336" t="str">
            <v>Vuyyurivaripalem of Bethapudi</v>
          </cell>
          <cell r="D336" t="str">
            <v>Repalle</v>
          </cell>
          <cell r="E336" t="str">
            <v>Penumudi</v>
          </cell>
          <cell r="F336">
            <v>7.1</v>
          </cell>
          <cell r="G336" t="str">
            <v>Zoolapalem</v>
          </cell>
          <cell r="H336">
            <v>18</v>
          </cell>
          <cell r="I336" t="str">
            <v>Lam</v>
          </cell>
          <cell r="J336">
            <v>80</v>
          </cell>
          <cell r="K336" t="str">
            <v>Kolluru</v>
          </cell>
          <cell r="L336">
            <v>29.4</v>
          </cell>
          <cell r="M336" t="str">
            <v>Vejandla</v>
          </cell>
          <cell r="N336">
            <v>58</v>
          </cell>
          <cell r="O336" t="str">
            <v>Vejandla</v>
          </cell>
          <cell r="P336">
            <v>58</v>
          </cell>
          <cell r="Q336" t="str">
            <v>Repalle</v>
          </cell>
          <cell r="R336">
            <v>1.5</v>
          </cell>
          <cell r="S336" t="str">
            <v>I.B patnam</v>
          </cell>
          <cell r="T336">
            <v>85</v>
          </cell>
          <cell r="Y336" t="str">
            <v>Repalle</v>
          </cell>
          <cell r="Z336">
            <v>1.5</v>
          </cell>
          <cell r="AA336">
            <v>0.2</v>
          </cell>
        </row>
        <row r="337">
          <cell r="A337">
            <v>333</v>
          </cell>
          <cell r="B337" t="str">
            <v>Potumeraka</v>
          </cell>
          <cell r="C337" t="str">
            <v>Yanadisangam</v>
          </cell>
          <cell r="D337" t="str">
            <v>Repalle</v>
          </cell>
          <cell r="E337" t="str">
            <v>Penumudi</v>
          </cell>
          <cell r="F337">
            <v>20.5</v>
          </cell>
          <cell r="G337" t="str">
            <v>Zoolapalem</v>
          </cell>
          <cell r="H337">
            <v>34.799999999999997</v>
          </cell>
          <cell r="I337" t="str">
            <v>Lam</v>
          </cell>
          <cell r="J337">
            <v>98.5</v>
          </cell>
          <cell r="K337" t="str">
            <v>Kolluru</v>
          </cell>
          <cell r="L337">
            <v>48.5</v>
          </cell>
          <cell r="M337" t="str">
            <v>Vejandla</v>
          </cell>
          <cell r="N337">
            <v>75.5</v>
          </cell>
          <cell r="O337" t="str">
            <v>Vejandla</v>
          </cell>
          <cell r="P337">
            <v>75.5</v>
          </cell>
          <cell r="Q337" t="str">
            <v>Repalle</v>
          </cell>
          <cell r="R337">
            <v>18.3</v>
          </cell>
          <cell r="S337" t="str">
            <v>I.B patnam</v>
          </cell>
          <cell r="T337">
            <v>85</v>
          </cell>
          <cell r="Y337" t="str">
            <v>Repalle</v>
          </cell>
          <cell r="Z337">
            <v>18.3</v>
          </cell>
          <cell r="AA337">
            <v>0.2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ow r="7">
          <cell r="F7">
            <v>91</v>
          </cell>
        </row>
      </sheetData>
      <sheetData sheetId="9"/>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efreshError="1">
        <row r="7">
          <cell r="F7">
            <v>91</v>
          </cell>
        </row>
      </sheetData>
      <sheetData sheetId="9"/>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
      <sheetName val="VC rate"/>
      <sheetName val="DFjoints"/>
      <sheetName val="dbl-airvalve-PVC"/>
      <sheetName val="dbl-airvalve-HDPE"/>
      <sheetName val="ssr-rates"/>
      <sheetName val="MS-BWSC-GRP-PSC"/>
      <sheetName val="airvalve-AC"/>
      <sheetName val="sluice-AC"/>
      <sheetName val="sluice-PSC"/>
      <sheetName val="sluice-BWSCP-MS"/>
      <sheetName val="sluice-GRP"/>
      <sheetName val="sluice-PVC"/>
      <sheetName val="sluice-HDPE"/>
      <sheetName val="scour-pvc-hdpe-psc-bwsc"/>
      <sheetName val="airvalve-AC-BWSC-GRP-MS-PSC"/>
      <sheetName val="kintc-airvalve-DI"/>
      <sheetName val="sluice-DI"/>
      <sheetName val="scour-DI-CI"/>
      <sheetName val="Sluice AC GRP BWSP MS"/>
      <sheetName val="NRV-DI "/>
      <sheetName val="Lead"/>
      <sheetName val="Data"/>
      <sheetName val="vc80"/>
      <sheetName val="vc200"/>
      <sheetName val="vc450"/>
      <sheetName val="vc600"/>
      <sheetName val="vc700"/>
      <sheetName val="vc1000"/>
      <sheetName val="leads"/>
      <sheetName val="r"/>
      <sheetName val="quarry"/>
      <sheetName val="Estt"/>
      <sheetName val="Data.F8.BTR"/>
      <sheetName val="sand"/>
      <sheetName val="stone"/>
      <sheetName val="index"/>
      <sheetName val="lead-st"/>
      <sheetName val="temp-SDData (2)"/>
      <sheetName val="t_prsr"/>
      <sheetName val="wh"/>
      <sheetName val="detls"/>
      <sheetName val="Airvalve-HDPE"/>
      <sheetName val="int-Dia-pvc"/>
      <sheetName val="WATER-HAMMER"/>
      <sheetName val=" data sheet "/>
      <sheetName val="RMR"/>
      <sheetName val="Rate"/>
      <sheetName val="LEAD STATEMENT"/>
      <sheetName val="DATA SHEET"/>
      <sheetName val="Valves 10-11Data"/>
      <sheetName val="SUMMARY"/>
      <sheetName val="Road Detail Est."/>
      <sheetName val="int-Dia-hdpe"/>
      <sheetName val="Plant &amp;  Machinery"/>
      <sheetName val="Labour"/>
      <sheetName val="Material"/>
      <sheetName val="Road data"/>
      <sheetName val="Sheet2"/>
      <sheetName val="C-data"/>
      <sheetName val="Airvalve-DI"/>
      <sheetName val="airvalve(AC)"/>
      <sheetName val="Caze Estimate "/>
      <sheetName val="sluice-DI upto 1000"/>
      <sheetName val="Fund Req Abstract"/>
      <sheetName val="Fund Requirement"/>
      <sheetName val="roads fund estimate"/>
      <sheetName val="Resorse Planning"/>
      <sheetName val="Roads Work Plan"/>
      <sheetName val="Staff Quarters work plan"/>
      <sheetName val="Compound Wall Plan"/>
      <sheetName val="PM&amp;GM"/>
      <sheetName val="1-Pop Proj"/>
      <sheetName val="pvc-pipe-rates"/>
      <sheetName val="LOCAL RATES"/>
      <sheetName val="Cd"/>
      <sheetName val="Cs"/>
      <sheetName val="CPIPE"/>
      <sheetName val="THK"/>
      <sheetName val="CPIPE 1"/>
      <sheetName val="90 kl at UPPAL"/>
      <sheetName val="PVC weights"/>
      <sheetName val="PVC_dia"/>
      <sheetName val="JAWAHAR-hyd-original"/>
      <sheetName val="GA"/>
      <sheetName val="v"/>
      <sheetName val="DFjoints 2.11.17"/>
      <sheetName val="Data-ELSR"/>
      <sheetName val="hdpe weights"/>
      <sheetName val="HDPE-pipe-rates"/>
      <sheetName val="labour &amp; Centering"/>
      <sheetName val="3405-2014"/>
      <sheetName val="Sluice-DI-16"/>
      <sheetName val="DATA_PRG"/>
      <sheetName val="m"/>
      <sheetName val="Levels"/>
      <sheetName val="l"/>
      <sheetName val="Sheet5"/>
      <sheetName val="pvc-rates"/>
      <sheetName val="HS 1"/>
      <sheetName val="Iocount"/>
      <sheetName val="Attributes"/>
      <sheetName val="hdpe-rates"/>
      <sheetName val="DISCOUNT"/>
      <sheetName val="Rising Main"/>
      <sheetName val="E1"/>
      <sheetName val="IW-SRD-Rect"/>
      <sheetName val="Sorted"/>
      <sheetName val="m1"/>
      <sheetName val="mas_hab"/>
      <sheetName val="Cover"/>
      <sheetName val="Usage"/>
      <sheetName val="Common "/>
      <sheetName val="General"/>
      <sheetName val="Nspt-smp-final-ORIGINAL"/>
      <sheetName val="water-hammar-strenght"/>
      <sheetName val="MRATES"/>
      <sheetName val="Roadlist"/>
      <sheetName val="ewst"/>
      <sheetName val="Sheet3"/>
      <sheetName val="I-CO"/>
      <sheetName val="bom"/>
      <sheetName val="rdamdata"/>
      <sheetName val="Sheet1"/>
      <sheetName val="VC rate-Modified"/>
      <sheetName val="ssr_rates"/>
      <sheetName val="Cul_detail"/>
      <sheetName val="Data_Renuals"/>
      <sheetName val="ABS"/>
      <sheetName val="mro_bldg"/>
      <sheetName val="EST"/>
      <sheetName val="Main sheet"/>
      <sheetName val="ANGAN"/>
      <sheetName val="EST- Laxmidevipally"/>
      <sheetName val="Det Est"/>
      <sheetName val="CD Data"/>
      <sheetName val="Lead-2014-15"/>
      <sheetName val="RATES"/>
      <sheetName val="DATA_PILE_RT2"/>
      <sheetName val="Conveyance"/>
      <sheetName val="maya"/>
      <sheetName val="input"/>
      <sheetName val="DI"/>
      <sheetName val="AV HDPE"/>
      <sheetName val="GM&amp;PM EST"/>
      <sheetName val="Rates_PVC"/>
    </sheetNames>
    <sheetDataSet>
      <sheetData sheetId="0" refreshError="1"/>
      <sheetData sheetId="1" refreshError="1"/>
      <sheetData sheetId="2" refreshError="1"/>
      <sheetData sheetId="3" refreshError="1"/>
      <sheetData sheetId="4" refreshError="1"/>
      <sheetData sheetId="5" refreshError="1">
        <row r="1">
          <cell r="B1" t="str">
            <v>code</v>
          </cell>
          <cell r="C1" t="str">
            <v>Type</v>
          </cell>
          <cell r="D1" t="str">
            <v>Dia</v>
          </cell>
          <cell r="E1" t="str">
            <v>Class</v>
          </cell>
          <cell r="F1" t="str">
            <v>Unit</v>
          </cell>
          <cell r="G1" t="str">
            <v>2007-08</v>
          </cell>
          <cell r="H1" t="str">
            <v>2008-09</v>
          </cell>
          <cell r="I1" t="str">
            <v>2009-10</v>
          </cell>
          <cell r="J1" t="str">
            <v>2009-10</v>
          </cell>
        </row>
        <row r="2">
          <cell r="B2" t="str">
            <v>Sluice valve50PN-1</v>
          </cell>
          <cell r="C2" t="str">
            <v>Sluice valve</v>
          </cell>
          <cell r="D2">
            <v>50</v>
          </cell>
          <cell r="E2" t="str">
            <v>PN-1</v>
          </cell>
          <cell r="F2" t="str">
            <v>each</v>
          </cell>
          <cell r="G2">
            <v>2800</v>
          </cell>
          <cell r="H2">
            <v>3640</v>
          </cell>
          <cell r="I2">
            <v>3640</v>
          </cell>
          <cell r="J2">
            <v>3640</v>
          </cell>
        </row>
        <row r="3">
          <cell r="B3" t="str">
            <v>Sluice valve65PN-1</v>
          </cell>
          <cell r="C3" t="str">
            <v>Sluice valve</v>
          </cell>
          <cell r="D3">
            <v>65</v>
          </cell>
          <cell r="E3" t="str">
            <v>PN-1</v>
          </cell>
          <cell r="F3" t="str">
            <v>each</v>
          </cell>
          <cell r="G3">
            <v>3094</v>
          </cell>
          <cell r="H3">
            <v>4022</v>
          </cell>
          <cell r="I3">
            <v>4022</v>
          </cell>
          <cell r="J3">
            <v>4022</v>
          </cell>
        </row>
        <row r="4">
          <cell r="B4" t="str">
            <v>Sluice valve80PN-1</v>
          </cell>
          <cell r="C4" t="str">
            <v>Sluice valve</v>
          </cell>
          <cell r="D4">
            <v>80</v>
          </cell>
          <cell r="E4" t="str">
            <v>PN-1</v>
          </cell>
          <cell r="F4" t="str">
            <v>each</v>
          </cell>
          <cell r="G4">
            <v>3273</v>
          </cell>
          <cell r="H4">
            <v>4255</v>
          </cell>
          <cell r="I4">
            <v>4255</v>
          </cell>
          <cell r="J4">
            <v>4255</v>
          </cell>
        </row>
        <row r="5">
          <cell r="B5" t="str">
            <v>Sluice valve100PN-1</v>
          </cell>
          <cell r="C5" t="str">
            <v>Sluice valve</v>
          </cell>
          <cell r="D5">
            <v>100</v>
          </cell>
          <cell r="E5" t="str">
            <v>PN-1</v>
          </cell>
          <cell r="F5" t="str">
            <v>each</v>
          </cell>
          <cell r="G5">
            <v>4364</v>
          </cell>
          <cell r="H5">
            <v>5673</v>
          </cell>
          <cell r="I5">
            <v>5673</v>
          </cell>
          <cell r="J5">
            <v>5673</v>
          </cell>
        </row>
        <row r="6">
          <cell r="B6" t="str">
            <v>Sluice valve125PN-1</v>
          </cell>
          <cell r="C6" t="str">
            <v>Sluice valve</v>
          </cell>
          <cell r="D6">
            <v>125</v>
          </cell>
          <cell r="E6" t="str">
            <v>PN-1</v>
          </cell>
          <cell r="F6" t="str">
            <v>each</v>
          </cell>
          <cell r="G6">
            <v>5454</v>
          </cell>
          <cell r="H6">
            <v>7090</v>
          </cell>
          <cell r="I6">
            <v>7090</v>
          </cell>
          <cell r="J6">
            <v>7090</v>
          </cell>
        </row>
        <row r="7">
          <cell r="B7" t="str">
            <v>Sluice valve150PN-1</v>
          </cell>
          <cell r="C7" t="str">
            <v>Sluice valve</v>
          </cell>
          <cell r="D7">
            <v>150</v>
          </cell>
          <cell r="E7" t="str">
            <v>PN-1</v>
          </cell>
          <cell r="F7" t="str">
            <v>each</v>
          </cell>
          <cell r="G7">
            <v>6545</v>
          </cell>
          <cell r="H7">
            <v>8509</v>
          </cell>
          <cell r="I7">
            <v>8509</v>
          </cell>
          <cell r="J7">
            <v>8509</v>
          </cell>
        </row>
        <row r="8">
          <cell r="B8" t="str">
            <v>Sluice valve200PN-1</v>
          </cell>
          <cell r="C8" t="str">
            <v>Sluice valve</v>
          </cell>
          <cell r="D8">
            <v>200</v>
          </cell>
          <cell r="E8" t="str">
            <v>PN-1</v>
          </cell>
          <cell r="F8" t="str">
            <v>each</v>
          </cell>
          <cell r="G8">
            <v>11472</v>
          </cell>
          <cell r="H8">
            <v>14914</v>
          </cell>
          <cell r="I8">
            <v>14914</v>
          </cell>
          <cell r="J8">
            <v>14914</v>
          </cell>
        </row>
        <row r="9">
          <cell r="B9" t="str">
            <v>Sluice valve250PN-1</v>
          </cell>
          <cell r="C9" t="str">
            <v>Sluice valve</v>
          </cell>
          <cell r="D9">
            <v>250</v>
          </cell>
          <cell r="E9" t="str">
            <v>PN-1</v>
          </cell>
          <cell r="F9" t="str">
            <v>each</v>
          </cell>
          <cell r="G9">
            <v>16226</v>
          </cell>
          <cell r="H9">
            <v>21094</v>
          </cell>
          <cell r="I9">
            <v>21094</v>
          </cell>
          <cell r="J9">
            <v>21094</v>
          </cell>
        </row>
        <row r="10">
          <cell r="B10" t="str">
            <v>Sluice valve300PN-1</v>
          </cell>
          <cell r="C10" t="str">
            <v>Sluice valve</v>
          </cell>
          <cell r="D10">
            <v>300</v>
          </cell>
          <cell r="E10" t="str">
            <v>PN-1</v>
          </cell>
          <cell r="F10" t="str">
            <v>each</v>
          </cell>
          <cell r="G10">
            <v>22274</v>
          </cell>
          <cell r="H10">
            <v>28956</v>
          </cell>
          <cell r="I10">
            <v>28956</v>
          </cell>
          <cell r="J10">
            <v>28956</v>
          </cell>
        </row>
        <row r="11">
          <cell r="B11" t="str">
            <v>Sluice valve50PN-1.6</v>
          </cell>
          <cell r="C11" t="str">
            <v>Sluice valve</v>
          </cell>
          <cell r="D11">
            <v>50</v>
          </cell>
          <cell r="E11" t="str">
            <v>PN-1.6</v>
          </cell>
          <cell r="F11" t="str">
            <v>each</v>
          </cell>
          <cell r="G11">
            <v>3360</v>
          </cell>
          <cell r="H11">
            <v>4368</v>
          </cell>
          <cell r="I11">
            <v>4368</v>
          </cell>
          <cell r="J11">
            <v>4368</v>
          </cell>
        </row>
        <row r="12">
          <cell r="B12" t="str">
            <v>Sluice valve65PN-1.6</v>
          </cell>
          <cell r="C12" t="str">
            <v>Sluice valve</v>
          </cell>
          <cell r="D12">
            <v>65</v>
          </cell>
          <cell r="E12" t="str">
            <v>PN-1.6</v>
          </cell>
          <cell r="F12" t="str">
            <v>each</v>
          </cell>
          <cell r="G12">
            <v>3713</v>
          </cell>
          <cell r="H12">
            <v>4827</v>
          </cell>
          <cell r="I12">
            <v>4827</v>
          </cell>
          <cell r="J12">
            <v>4827</v>
          </cell>
        </row>
        <row r="13">
          <cell r="B13" t="str">
            <v>Sluice valve80PN-1.6</v>
          </cell>
          <cell r="C13" t="str">
            <v>Sluice valve</v>
          </cell>
          <cell r="D13">
            <v>80</v>
          </cell>
          <cell r="E13" t="str">
            <v>PN-1.6</v>
          </cell>
          <cell r="F13" t="str">
            <v>each</v>
          </cell>
          <cell r="G13">
            <v>3927</v>
          </cell>
          <cell r="H13">
            <v>5105</v>
          </cell>
          <cell r="I13">
            <v>5105</v>
          </cell>
          <cell r="J13">
            <v>5105</v>
          </cell>
        </row>
        <row r="14">
          <cell r="B14" t="str">
            <v>Sluice valve100PN-1.6</v>
          </cell>
          <cell r="C14" t="str">
            <v>Sluice valve</v>
          </cell>
          <cell r="D14">
            <v>100</v>
          </cell>
          <cell r="E14" t="str">
            <v>PN-1.6</v>
          </cell>
          <cell r="F14" t="str">
            <v>each</v>
          </cell>
          <cell r="G14">
            <v>5236</v>
          </cell>
          <cell r="H14">
            <v>6807</v>
          </cell>
          <cell r="I14">
            <v>6807</v>
          </cell>
          <cell r="J14">
            <v>6807</v>
          </cell>
        </row>
        <row r="15">
          <cell r="B15" t="str">
            <v>Sluice valve125PN-1.6</v>
          </cell>
          <cell r="C15" t="str">
            <v>Sluice valve</v>
          </cell>
          <cell r="D15">
            <v>125</v>
          </cell>
          <cell r="E15" t="str">
            <v>PN-1.6</v>
          </cell>
          <cell r="F15" t="str">
            <v>each</v>
          </cell>
          <cell r="G15">
            <v>6545</v>
          </cell>
          <cell r="H15">
            <v>8509</v>
          </cell>
          <cell r="I15">
            <v>8509</v>
          </cell>
          <cell r="J15">
            <v>8509</v>
          </cell>
        </row>
        <row r="16">
          <cell r="B16" t="str">
            <v>Sluice valve150PN-1.6</v>
          </cell>
          <cell r="C16" t="str">
            <v>Sluice valve</v>
          </cell>
          <cell r="D16">
            <v>150</v>
          </cell>
          <cell r="E16" t="str">
            <v>PN-1.6</v>
          </cell>
          <cell r="F16" t="str">
            <v>each</v>
          </cell>
          <cell r="G16">
            <v>7854</v>
          </cell>
          <cell r="H16">
            <v>10210</v>
          </cell>
          <cell r="I16">
            <v>10210</v>
          </cell>
          <cell r="J16">
            <v>10210</v>
          </cell>
        </row>
        <row r="17">
          <cell r="B17" t="str">
            <v>Sluice valve200PN-1.6</v>
          </cell>
          <cell r="C17" t="str">
            <v>Sluice valve</v>
          </cell>
          <cell r="D17">
            <v>200</v>
          </cell>
          <cell r="E17" t="str">
            <v>PN-1.6</v>
          </cell>
          <cell r="F17" t="str">
            <v>each</v>
          </cell>
          <cell r="G17">
            <v>13532</v>
          </cell>
          <cell r="H17">
            <v>17592</v>
          </cell>
          <cell r="I17">
            <v>17592</v>
          </cell>
          <cell r="J17">
            <v>17592</v>
          </cell>
        </row>
        <row r="18">
          <cell r="B18" t="str">
            <v>Sluice valve250PN-1.6</v>
          </cell>
          <cell r="C18" t="str">
            <v>Sluice valve</v>
          </cell>
          <cell r="D18">
            <v>250</v>
          </cell>
          <cell r="E18" t="str">
            <v>PN-1.6</v>
          </cell>
          <cell r="F18" t="str">
            <v>each</v>
          </cell>
          <cell r="G18">
            <v>19496</v>
          </cell>
          <cell r="H18">
            <v>25345</v>
          </cell>
          <cell r="I18">
            <v>25345</v>
          </cell>
          <cell r="J18">
            <v>25345</v>
          </cell>
        </row>
        <row r="19">
          <cell r="B19" t="str">
            <v>Sluice valve300PN-1.6</v>
          </cell>
          <cell r="C19" t="str">
            <v>Sluice valve</v>
          </cell>
          <cell r="D19">
            <v>300</v>
          </cell>
          <cell r="E19" t="str">
            <v>PN-1.6</v>
          </cell>
          <cell r="F19" t="str">
            <v>each</v>
          </cell>
          <cell r="G19">
            <v>25721</v>
          </cell>
          <cell r="H19">
            <v>33437</v>
          </cell>
          <cell r="I19">
            <v>33437</v>
          </cell>
          <cell r="J19">
            <v>33437</v>
          </cell>
        </row>
        <row r="20">
          <cell r="B20" t="str">
            <v>Sluice valve NR stem350PN-1</v>
          </cell>
          <cell r="C20" t="str">
            <v>Sluice valve NR stem</v>
          </cell>
          <cell r="D20">
            <v>350</v>
          </cell>
          <cell r="E20" t="str">
            <v>PN-1</v>
          </cell>
          <cell r="F20" t="str">
            <v>each</v>
          </cell>
          <cell r="G20">
            <v>50087</v>
          </cell>
          <cell r="H20">
            <v>65113</v>
          </cell>
          <cell r="I20">
            <v>65113</v>
          </cell>
          <cell r="J20">
            <v>65113</v>
          </cell>
        </row>
        <row r="21">
          <cell r="B21" t="str">
            <v>Sluice valve NR stem400PN-1</v>
          </cell>
          <cell r="C21" t="str">
            <v>Sluice valve NR stem</v>
          </cell>
          <cell r="D21">
            <v>400</v>
          </cell>
          <cell r="E21" t="str">
            <v>PN-1</v>
          </cell>
          <cell r="F21" t="str">
            <v>each</v>
          </cell>
          <cell r="G21">
            <v>59372</v>
          </cell>
          <cell r="H21">
            <v>77184</v>
          </cell>
          <cell r="I21">
            <v>77184</v>
          </cell>
          <cell r="J21">
            <v>77184</v>
          </cell>
        </row>
        <row r="22">
          <cell r="B22" t="str">
            <v>Sluice valve NR stem450PN-1</v>
          </cell>
          <cell r="C22" t="str">
            <v>Sluice valve NR stem</v>
          </cell>
          <cell r="D22">
            <v>450</v>
          </cell>
          <cell r="E22" t="str">
            <v>PN-1</v>
          </cell>
          <cell r="F22" t="str">
            <v>each</v>
          </cell>
          <cell r="G22">
            <v>74549</v>
          </cell>
          <cell r="H22">
            <v>96914</v>
          </cell>
          <cell r="I22">
            <v>96914</v>
          </cell>
          <cell r="J22">
            <v>96914</v>
          </cell>
        </row>
        <row r="23">
          <cell r="B23" t="str">
            <v>Sluice valve NR stem500PN-1</v>
          </cell>
          <cell r="C23" t="str">
            <v>Sluice valve NR stem</v>
          </cell>
          <cell r="D23">
            <v>500</v>
          </cell>
          <cell r="E23" t="str">
            <v>PN-1</v>
          </cell>
          <cell r="F23" t="str">
            <v>each</v>
          </cell>
          <cell r="G23">
            <v>85525</v>
          </cell>
          <cell r="H23">
            <v>111183</v>
          </cell>
          <cell r="I23">
            <v>111183</v>
          </cell>
          <cell r="J23">
            <v>111183</v>
          </cell>
        </row>
        <row r="24">
          <cell r="B24" t="str">
            <v>Sluice valve NR stem600PN-1</v>
          </cell>
          <cell r="C24" t="str">
            <v>Sluice valve NR stem</v>
          </cell>
          <cell r="D24">
            <v>600</v>
          </cell>
          <cell r="E24" t="str">
            <v>PN-1</v>
          </cell>
          <cell r="F24" t="str">
            <v>each</v>
          </cell>
          <cell r="G24">
            <v>125270</v>
          </cell>
          <cell r="H24">
            <v>162851</v>
          </cell>
          <cell r="I24">
            <v>162851</v>
          </cell>
          <cell r="J24">
            <v>162851</v>
          </cell>
        </row>
        <row r="25">
          <cell r="B25" t="str">
            <v>Sluice valve NR stem700PN-1</v>
          </cell>
          <cell r="C25" t="str">
            <v>Sluice valve NR stem</v>
          </cell>
          <cell r="D25">
            <v>700</v>
          </cell>
          <cell r="E25" t="str">
            <v>PN-1</v>
          </cell>
          <cell r="F25" t="str">
            <v>each</v>
          </cell>
          <cell r="G25">
            <v>207460</v>
          </cell>
          <cell r="H25">
            <v>269698</v>
          </cell>
          <cell r="I25">
            <v>269698</v>
          </cell>
          <cell r="J25">
            <v>269698</v>
          </cell>
        </row>
        <row r="26">
          <cell r="B26" t="str">
            <v>Sluice valve NR stem750PN-1</v>
          </cell>
          <cell r="C26" t="str">
            <v>Sluice valve NR stem</v>
          </cell>
          <cell r="D26">
            <v>750</v>
          </cell>
          <cell r="E26" t="str">
            <v>PN-1</v>
          </cell>
          <cell r="F26" t="str">
            <v>each</v>
          </cell>
          <cell r="G26">
            <v>291499</v>
          </cell>
          <cell r="H26">
            <v>378949</v>
          </cell>
          <cell r="I26">
            <v>378949</v>
          </cell>
          <cell r="J26">
            <v>378949</v>
          </cell>
        </row>
        <row r="27">
          <cell r="B27" t="str">
            <v>Sluice valve NR stem800PN-1</v>
          </cell>
          <cell r="C27" t="str">
            <v>Sluice valve NR stem</v>
          </cell>
          <cell r="D27">
            <v>800</v>
          </cell>
          <cell r="E27" t="str">
            <v>PN-1</v>
          </cell>
          <cell r="F27" t="str">
            <v>each</v>
          </cell>
          <cell r="G27">
            <v>339900</v>
          </cell>
          <cell r="H27">
            <v>441870</v>
          </cell>
          <cell r="I27">
            <v>441870</v>
          </cell>
          <cell r="J27">
            <v>441870</v>
          </cell>
        </row>
        <row r="28">
          <cell r="B28" t="str">
            <v>Sluice valve NR stem900PN-1</v>
          </cell>
          <cell r="C28" t="str">
            <v>Sluice valve NR stem</v>
          </cell>
          <cell r="D28">
            <v>900</v>
          </cell>
          <cell r="E28" t="str">
            <v>PN-1</v>
          </cell>
          <cell r="F28" t="str">
            <v>each</v>
          </cell>
          <cell r="G28">
            <v>403852</v>
          </cell>
          <cell r="H28">
            <v>525008</v>
          </cell>
          <cell r="I28">
            <v>525008</v>
          </cell>
          <cell r="J28">
            <v>525008</v>
          </cell>
        </row>
        <row r="29">
          <cell r="B29" t="str">
            <v>Sluice valve NR stem1000PN-1</v>
          </cell>
          <cell r="C29" t="str">
            <v>Sluice valve NR stem</v>
          </cell>
          <cell r="D29">
            <v>1000</v>
          </cell>
          <cell r="E29" t="str">
            <v>PN-1</v>
          </cell>
          <cell r="F29" t="str">
            <v>each</v>
          </cell>
          <cell r="G29">
            <v>624000</v>
          </cell>
          <cell r="H29">
            <v>811200</v>
          </cell>
          <cell r="I29">
            <v>811200</v>
          </cell>
          <cell r="J29">
            <v>811200</v>
          </cell>
        </row>
        <row r="30">
          <cell r="B30" t="str">
            <v>Sluice valve NR stem1100PN-1</v>
          </cell>
          <cell r="C30" t="str">
            <v>Sluice valve NR stem</v>
          </cell>
          <cell r="D30">
            <v>1100</v>
          </cell>
          <cell r="E30" t="str">
            <v>PN-1</v>
          </cell>
          <cell r="F30" t="str">
            <v>each</v>
          </cell>
          <cell r="G30">
            <v>705000</v>
          </cell>
          <cell r="H30">
            <v>916500</v>
          </cell>
          <cell r="I30">
            <v>916500</v>
          </cell>
          <cell r="J30">
            <v>916500</v>
          </cell>
        </row>
        <row r="31">
          <cell r="B31" t="str">
            <v>Sluice valve NR stem1200PN-1</v>
          </cell>
          <cell r="C31" t="str">
            <v>Sluice valve NR stem</v>
          </cell>
          <cell r="D31">
            <v>1200</v>
          </cell>
          <cell r="E31" t="str">
            <v>PN-1</v>
          </cell>
          <cell r="F31" t="str">
            <v>each</v>
          </cell>
          <cell r="G31">
            <v>840000</v>
          </cell>
          <cell r="H31">
            <v>1092000</v>
          </cell>
          <cell r="I31">
            <v>1092000</v>
          </cell>
          <cell r="J31">
            <v>1092000</v>
          </cell>
        </row>
        <row r="32">
          <cell r="B32" t="str">
            <v>Sluice valve NR stem350PN-1.6</v>
          </cell>
          <cell r="C32" t="str">
            <v>Sluice valve NR stem</v>
          </cell>
          <cell r="D32">
            <v>350</v>
          </cell>
          <cell r="E32" t="str">
            <v>PN-1.6</v>
          </cell>
          <cell r="F32" t="str">
            <v>each</v>
          </cell>
          <cell r="G32">
            <v>55099</v>
          </cell>
          <cell r="H32">
            <v>71629</v>
          </cell>
          <cell r="I32">
            <v>71629</v>
          </cell>
          <cell r="J32">
            <v>71629</v>
          </cell>
        </row>
        <row r="33">
          <cell r="B33" t="str">
            <v>Sluice valve NR stem400PN-1.6</v>
          </cell>
          <cell r="C33" t="str">
            <v>Sluice valve NR stem</v>
          </cell>
          <cell r="D33">
            <v>400</v>
          </cell>
          <cell r="E33" t="str">
            <v>PN-1.6</v>
          </cell>
          <cell r="F33" t="str">
            <v>each</v>
          </cell>
          <cell r="G33">
            <v>68883</v>
          </cell>
          <cell r="H33">
            <v>89548</v>
          </cell>
          <cell r="I33">
            <v>89548</v>
          </cell>
          <cell r="J33">
            <v>89548</v>
          </cell>
        </row>
        <row r="34">
          <cell r="B34" t="str">
            <v>Sluice valve NR stem450PN-1.6</v>
          </cell>
          <cell r="C34" t="str">
            <v>Sluice valve NR stem</v>
          </cell>
          <cell r="D34">
            <v>450</v>
          </cell>
          <cell r="E34" t="str">
            <v>PN-1.6</v>
          </cell>
          <cell r="F34" t="str">
            <v>each</v>
          </cell>
          <cell r="G34">
            <v>86470</v>
          </cell>
          <cell r="H34">
            <v>112411</v>
          </cell>
          <cell r="I34">
            <v>112411</v>
          </cell>
          <cell r="J34">
            <v>112411</v>
          </cell>
        </row>
        <row r="35">
          <cell r="B35" t="str">
            <v>Sluice valve NR stem500PN-1.6</v>
          </cell>
          <cell r="C35" t="str">
            <v>Sluice valve NR stem</v>
          </cell>
          <cell r="D35">
            <v>500</v>
          </cell>
          <cell r="E35" t="str">
            <v>PN-1.6</v>
          </cell>
          <cell r="F35" t="str">
            <v>each</v>
          </cell>
          <cell r="G35">
            <v>99360</v>
          </cell>
          <cell r="H35">
            <v>129168</v>
          </cell>
          <cell r="I35">
            <v>129168</v>
          </cell>
          <cell r="J35">
            <v>129168</v>
          </cell>
        </row>
        <row r="36">
          <cell r="B36" t="str">
            <v>Sluice valve NR stem600PN-1.6</v>
          </cell>
          <cell r="C36" t="str">
            <v>Sluice valve NR stem</v>
          </cell>
          <cell r="D36">
            <v>600</v>
          </cell>
          <cell r="E36" t="str">
            <v>PN-1.6</v>
          </cell>
          <cell r="F36" t="str">
            <v>each</v>
          </cell>
          <cell r="G36">
            <v>147322</v>
          </cell>
          <cell r="H36">
            <v>191519</v>
          </cell>
          <cell r="I36">
            <v>191519</v>
          </cell>
          <cell r="J36">
            <v>191519</v>
          </cell>
        </row>
        <row r="37">
          <cell r="B37" t="str">
            <v>Non return valve50PN-1.6</v>
          </cell>
          <cell r="C37" t="str">
            <v>Non return valve</v>
          </cell>
          <cell r="D37">
            <v>50</v>
          </cell>
          <cell r="E37" t="str">
            <v>PN-1.6</v>
          </cell>
          <cell r="F37" t="str">
            <v>each</v>
          </cell>
          <cell r="G37">
            <v>1720</v>
          </cell>
          <cell r="H37">
            <v>2236</v>
          </cell>
          <cell r="I37">
            <v>2236</v>
          </cell>
          <cell r="J37">
            <v>2236</v>
          </cell>
        </row>
        <row r="38">
          <cell r="B38" t="str">
            <v>Non return valve65PN-1.6</v>
          </cell>
          <cell r="C38" t="str">
            <v>Non return valve</v>
          </cell>
          <cell r="D38">
            <v>65</v>
          </cell>
          <cell r="E38" t="str">
            <v>PN-1.6</v>
          </cell>
          <cell r="F38" t="str">
            <v>each</v>
          </cell>
          <cell r="G38">
            <v>2150</v>
          </cell>
          <cell r="H38">
            <v>2795</v>
          </cell>
          <cell r="I38">
            <v>2795</v>
          </cell>
          <cell r="J38">
            <v>2795</v>
          </cell>
        </row>
        <row r="39">
          <cell r="B39" t="str">
            <v>Non return valve80PN-1.6</v>
          </cell>
          <cell r="C39" t="str">
            <v>Non return valve</v>
          </cell>
          <cell r="D39">
            <v>80</v>
          </cell>
          <cell r="E39" t="str">
            <v>PN-1.6</v>
          </cell>
          <cell r="F39" t="str">
            <v>each</v>
          </cell>
          <cell r="G39">
            <v>2581</v>
          </cell>
          <cell r="H39">
            <v>3355</v>
          </cell>
          <cell r="I39">
            <v>3355</v>
          </cell>
          <cell r="J39">
            <v>3355</v>
          </cell>
        </row>
        <row r="40">
          <cell r="B40" t="str">
            <v>Non return valve100PN-1.6</v>
          </cell>
          <cell r="C40" t="str">
            <v>Non return valve</v>
          </cell>
          <cell r="D40">
            <v>100</v>
          </cell>
          <cell r="E40" t="str">
            <v>PN-1.6</v>
          </cell>
          <cell r="F40" t="str">
            <v>each</v>
          </cell>
          <cell r="G40">
            <v>3440</v>
          </cell>
          <cell r="H40">
            <v>4472</v>
          </cell>
          <cell r="I40">
            <v>4472</v>
          </cell>
          <cell r="J40">
            <v>4472</v>
          </cell>
        </row>
        <row r="41">
          <cell r="B41" t="str">
            <v>Non return valve125PN-1.6</v>
          </cell>
          <cell r="C41" t="str">
            <v>Non return valve</v>
          </cell>
          <cell r="D41">
            <v>125</v>
          </cell>
          <cell r="E41" t="str">
            <v>PN-1.6</v>
          </cell>
          <cell r="F41" t="str">
            <v>each</v>
          </cell>
          <cell r="G41">
            <v>4300</v>
          </cell>
          <cell r="H41">
            <v>5590</v>
          </cell>
          <cell r="I41">
            <v>5590</v>
          </cell>
          <cell r="J41">
            <v>5590</v>
          </cell>
        </row>
        <row r="42">
          <cell r="B42" t="str">
            <v>Non return valve150PN-1.6</v>
          </cell>
          <cell r="C42" t="str">
            <v>Non return valve</v>
          </cell>
          <cell r="D42">
            <v>150</v>
          </cell>
          <cell r="E42" t="str">
            <v>PN-1.6</v>
          </cell>
          <cell r="F42" t="str">
            <v>each</v>
          </cell>
          <cell r="G42">
            <v>6449</v>
          </cell>
          <cell r="H42">
            <v>8384</v>
          </cell>
          <cell r="I42">
            <v>8384</v>
          </cell>
          <cell r="J42">
            <v>8384</v>
          </cell>
        </row>
        <row r="43">
          <cell r="B43" t="str">
            <v>Non return valve200PN-1.6</v>
          </cell>
          <cell r="C43" t="str">
            <v>Non return valve</v>
          </cell>
          <cell r="D43">
            <v>200</v>
          </cell>
          <cell r="E43" t="str">
            <v>PN-1.6</v>
          </cell>
          <cell r="F43" t="str">
            <v>each</v>
          </cell>
          <cell r="G43">
            <v>12865</v>
          </cell>
          <cell r="H43">
            <v>16725</v>
          </cell>
          <cell r="I43">
            <v>16725</v>
          </cell>
          <cell r="J43">
            <v>16725</v>
          </cell>
        </row>
        <row r="44">
          <cell r="B44" t="str">
            <v>Non return valve250PN-1.6</v>
          </cell>
          <cell r="C44" t="str">
            <v>Non return valve</v>
          </cell>
          <cell r="D44">
            <v>250</v>
          </cell>
          <cell r="E44" t="str">
            <v>PN-1.6</v>
          </cell>
          <cell r="F44" t="str">
            <v>each</v>
          </cell>
          <cell r="G44">
            <v>18660</v>
          </cell>
          <cell r="H44">
            <v>24258</v>
          </cell>
          <cell r="I44">
            <v>24258</v>
          </cell>
          <cell r="J44">
            <v>24258</v>
          </cell>
        </row>
        <row r="45">
          <cell r="B45" t="str">
            <v>Non return valve300PN-1.6</v>
          </cell>
          <cell r="C45" t="str">
            <v>Non return valve</v>
          </cell>
          <cell r="D45">
            <v>300</v>
          </cell>
          <cell r="E45" t="str">
            <v>PN-1.6</v>
          </cell>
          <cell r="F45" t="str">
            <v>each</v>
          </cell>
          <cell r="G45">
            <v>28071</v>
          </cell>
          <cell r="H45">
            <v>36492</v>
          </cell>
          <cell r="I45">
            <v>36492</v>
          </cell>
          <cell r="J45">
            <v>36492</v>
          </cell>
        </row>
        <row r="46">
          <cell r="B46" t="str">
            <v>Non return valve350PN-1.6</v>
          </cell>
          <cell r="C46" t="str">
            <v>Non return valve</v>
          </cell>
          <cell r="D46">
            <v>350</v>
          </cell>
          <cell r="E46" t="str">
            <v>PN-1.6</v>
          </cell>
          <cell r="F46" t="str">
            <v>each</v>
          </cell>
          <cell r="G46">
            <v>37928</v>
          </cell>
          <cell r="H46">
            <v>49306</v>
          </cell>
          <cell r="I46">
            <v>49306</v>
          </cell>
          <cell r="J46">
            <v>49306</v>
          </cell>
        </row>
        <row r="47">
          <cell r="B47" t="str">
            <v>Non return valve400PN-1.6</v>
          </cell>
          <cell r="C47" t="str">
            <v>Non return valve</v>
          </cell>
          <cell r="D47">
            <v>400</v>
          </cell>
          <cell r="E47" t="str">
            <v>PN-1.6</v>
          </cell>
          <cell r="F47" t="str">
            <v>each</v>
          </cell>
          <cell r="G47">
            <v>49345</v>
          </cell>
          <cell r="H47">
            <v>64149</v>
          </cell>
          <cell r="I47">
            <v>64149</v>
          </cell>
          <cell r="J47">
            <v>64149</v>
          </cell>
        </row>
        <row r="48">
          <cell r="B48" t="str">
            <v>Non return valve450PN-1.6</v>
          </cell>
          <cell r="C48" t="str">
            <v>Non return valve</v>
          </cell>
          <cell r="D48">
            <v>450</v>
          </cell>
          <cell r="E48" t="str">
            <v>PN-1.6</v>
          </cell>
          <cell r="F48" t="str">
            <v>each</v>
          </cell>
          <cell r="G48">
            <v>83129</v>
          </cell>
          <cell r="H48">
            <v>108068</v>
          </cell>
          <cell r="I48">
            <v>108068</v>
          </cell>
          <cell r="J48">
            <v>108068</v>
          </cell>
        </row>
        <row r="49">
          <cell r="B49" t="str">
            <v>Non return valve500PN-1.6</v>
          </cell>
          <cell r="C49" t="str">
            <v>Non return valve</v>
          </cell>
          <cell r="D49">
            <v>500</v>
          </cell>
          <cell r="E49" t="str">
            <v>PN-1.6</v>
          </cell>
          <cell r="F49" t="str">
            <v>each</v>
          </cell>
          <cell r="G49">
            <v>100273</v>
          </cell>
          <cell r="H49">
            <v>130355</v>
          </cell>
          <cell r="I49">
            <v>130355</v>
          </cell>
          <cell r="J49">
            <v>130355</v>
          </cell>
        </row>
        <row r="50">
          <cell r="B50" t="str">
            <v>Non return valve600PN-1.6</v>
          </cell>
          <cell r="C50" t="str">
            <v>Non return valve</v>
          </cell>
          <cell r="D50">
            <v>600</v>
          </cell>
          <cell r="E50" t="str">
            <v>PN-1.6</v>
          </cell>
          <cell r="F50" t="str">
            <v>each</v>
          </cell>
          <cell r="G50">
            <v>160196</v>
          </cell>
          <cell r="H50">
            <v>208255</v>
          </cell>
          <cell r="I50">
            <v>208255</v>
          </cell>
          <cell r="J50">
            <v>208255</v>
          </cell>
        </row>
        <row r="51">
          <cell r="B51" t="str">
            <v>Kinetic Double Air valve40PN-1</v>
          </cell>
          <cell r="C51" t="str">
            <v>Kinetic Double Air valve</v>
          </cell>
          <cell r="D51">
            <v>40</v>
          </cell>
          <cell r="E51" t="str">
            <v>PN-1</v>
          </cell>
          <cell r="F51" t="str">
            <v>each</v>
          </cell>
          <cell r="G51">
            <v>2029</v>
          </cell>
          <cell r="H51">
            <v>2638</v>
          </cell>
          <cell r="I51">
            <v>2638</v>
          </cell>
          <cell r="J51">
            <v>2638</v>
          </cell>
        </row>
        <row r="52">
          <cell r="B52" t="str">
            <v>Kinetic Double Air valve50PN-1</v>
          </cell>
          <cell r="C52" t="str">
            <v>Kinetic Double Air valve</v>
          </cell>
          <cell r="D52">
            <v>50</v>
          </cell>
          <cell r="E52" t="str">
            <v>PN-1</v>
          </cell>
          <cell r="F52" t="str">
            <v>each</v>
          </cell>
          <cell r="G52">
            <v>2452</v>
          </cell>
          <cell r="H52">
            <v>3188</v>
          </cell>
          <cell r="I52">
            <v>3188</v>
          </cell>
          <cell r="J52">
            <v>3188</v>
          </cell>
        </row>
        <row r="53">
          <cell r="B53" t="str">
            <v>Kinetic Double Air valve80PN-1</v>
          </cell>
          <cell r="C53" t="str">
            <v>Kinetic Double Air valve</v>
          </cell>
          <cell r="D53">
            <v>80</v>
          </cell>
          <cell r="E53" t="str">
            <v>PN-1</v>
          </cell>
          <cell r="F53" t="str">
            <v>each</v>
          </cell>
          <cell r="G53">
            <v>3280</v>
          </cell>
          <cell r="H53">
            <v>4264</v>
          </cell>
          <cell r="I53">
            <v>4264</v>
          </cell>
          <cell r="J53">
            <v>4264</v>
          </cell>
        </row>
        <row r="54">
          <cell r="B54" t="str">
            <v>Kinetic Double Air valve100PN-1</v>
          </cell>
          <cell r="C54" t="str">
            <v>Kinetic Double Air valve</v>
          </cell>
          <cell r="D54">
            <v>100</v>
          </cell>
          <cell r="E54" t="str">
            <v>PN-1</v>
          </cell>
          <cell r="F54" t="str">
            <v>each</v>
          </cell>
          <cell r="G54">
            <v>4395</v>
          </cell>
          <cell r="H54">
            <v>5714</v>
          </cell>
          <cell r="I54">
            <v>5714</v>
          </cell>
          <cell r="J54">
            <v>5714</v>
          </cell>
        </row>
        <row r="55">
          <cell r="B55" t="str">
            <v>Kinetic Double Air valve150PN-1</v>
          </cell>
          <cell r="C55" t="str">
            <v>Kinetic Double Air valve</v>
          </cell>
          <cell r="D55">
            <v>150</v>
          </cell>
          <cell r="E55" t="str">
            <v>PN-1</v>
          </cell>
          <cell r="F55" t="str">
            <v>each</v>
          </cell>
          <cell r="G55">
            <v>9902</v>
          </cell>
          <cell r="H55">
            <v>12873</v>
          </cell>
          <cell r="I55">
            <v>12873</v>
          </cell>
          <cell r="J55">
            <v>12873</v>
          </cell>
        </row>
        <row r="56">
          <cell r="B56" t="str">
            <v>Kinetic Double Air valve200PN-1</v>
          </cell>
          <cell r="C56" t="str">
            <v>Kinetic Double Air valve</v>
          </cell>
          <cell r="D56">
            <v>200</v>
          </cell>
          <cell r="E56" t="str">
            <v>PN-1</v>
          </cell>
          <cell r="F56" t="str">
            <v>each</v>
          </cell>
          <cell r="G56">
            <v>16398</v>
          </cell>
          <cell r="H56">
            <v>21317</v>
          </cell>
          <cell r="I56">
            <v>21317</v>
          </cell>
          <cell r="J56">
            <v>21317</v>
          </cell>
        </row>
        <row r="57">
          <cell r="B57" t="str">
            <v>Double Air valve40PN-1</v>
          </cell>
          <cell r="C57" t="str">
            <v>Double Air valve</v>
          </cell>
          <cell r="D57">
            <v>40</v>
          </cell>
          <cell r="E57" t="str">
            <v>PN-1</v>
          </cell>
          <cell r="F57" t="str">
            <v>each</v>
          </cell>
          <cell r="G57">
            <v>1259</v>
          </cell>
          <cell r="H57">
            <v>1637</v>
          </cell>
          <cell r="I57">
            <v>1637</v>
          </cell>
          <cell r="J57">
            <v>1637</v>
          </cell>
        </row>
        <row r="58">
          <cell r="B58" t="str">
            <v>Double Air valve50PN-1</v>
          </cell>
          <cell r="C58" t="str">
            <v>Double Air valve</v>
          </cell>
          <cell r="D58">
            <v>50</v>
          </cell>
          <cell r="E58" t="str">
            <v>PN-1</v>
          </cell>
          <cell r="F58" t="str">
            <v>each</v>
          </cell>
          <cell r="G58">
            <v>1739</v>
          </cell>
          <cell r="H58">
            <v>2261</v>
          </cell>
          <cell r="I58">
            <v>2261</v>
          </cell>
          <cell r="J58">
            <v>2261</v>
          </cell>
        </row>
        <row r="59">
          <cell r="B59" t="str">
            <v>Double Air valve80PN-1</v>
          </cell>
          <cell r="C59" t="str">
            <v>Double Air valve</v>
          </cell>
          <cell r="D59">
            <v>80</v>
          </cell>
          <cell r="E59" t="str">
            <v>PN-1</v>
          </cell>
          <cell r="F59" t="str">
            <v>each</v>
          </cell>
          <cell r="G59">
            <v>2409</v>
          </cell>
          <cell r="H59">
            <v>3132</v>
          </cell>
          <cell r="I59">
            <v>3132</v>
          </cell>
          <cell r="J59">
            <v>3132</v>
          </cell>
        </row>
        <row r="60">
          <cell r="B60" t="str">
            <v>Double Air valve100PN-1</v>
          </cell>
          <cell r="C60" t="str">
            <v>Double Air valve</v>
          </cell>
          <cell r="D60">
            <v>100</v>
          </cell>
          <cell r="E60" t="str">
            <v>PN-1</v>
          </cell>
          <cell r="F60" t="str">
            <v>each</v>
          </cell>
          <cell r="G60">
            <v>2989</v>
          </cell>
          <cell r="H60">
            <v>3886</v>
          </cell>
          <cell r="I60">
            <v>3886</v>
          </cell>
          <cell r="J60">
            <v>3886</v>
          </cell>
        </row>
        <row r="61">
          <cell r="B61" t="str">
            <v>Double Air valve150PN-1</v>
          </cell>
          <cell r="C61" t="str">
            <v>Double Air valve</v>
          </cell>
          <cell r="D61">
            <v>150</v>
          </cell>
          <cell r="E61" t="str">
            <v>PN-1</v>
          </cell>
          <cell r="F61" t="str">
            <v>each</v>
          </cell>
          <cell r="G61">
            <v>7789</v>
          </cell>
          <cell r="H61">
            <v>10126</v>
          </cell>
          <cell r="I61">
            <v>10126</v>
          </cell>
          <cell r="J61">
            <v>10126</v>
          </cell>
        </row>
        <row r="62">
          <cell r="B62" t="str">
            <v>Double Air valve200PN-1</v>
          </cell>
          <cell r="C62" t="str">
            <v>Double Air valve</v>
          </cell>
          <cell r="D62">
            <v>200</v>
          </cell>
          <cell r="E62" t="str">
            <v>PN-1</v>
          </cell>
          <cell r="F62" t="str">
            <v>each</v>
          </cell>
          <cell r="G62">
            <v>13585</v>
          </cell>
          <cell r="H62">
            <v>17661</v>
          </cell>
          <cell r="I62">
            <v>17661</v>
          </cell>
          <cell r="J62">
            <v>17661</v>
          </cell>
        </row>
        <row r="63">
          <cell r="B63" t="str">
            <v>Kinetic Air valve40PN-1</v>
          </cell>
          <cell r="C63" t="str">
            <v>Kinetic Air valve</v>
          </cell>
          <cell r="D63">
            <v>40</v>
          </cell>
          <cell r="E63" t="str">
            <v>PN-1</v>
          </cell>
          <cell r="F63" t="str">
            <v>each</v>
          </cell>
          <cell r="G63">
            <v>5774</v>
          </cell>
          <cell r="H63">
            <v>7506</v>
          </cell>
          <cell r="I63">
            <v>7506</v>
          </cell>
          <cell r="J63">
            <v>7506</v>
          </cell>
        </row>
        <row r="64">
          <cell r="B64" t="str">
            <v>Kinetic Air valve50PN-1</v>
          </cell>
          <cell r="C64" t="str">
            <v>Kinetic Air valve</v>
          </cell>
          <cell r="D64">
            <v>50</v>
          </cell>
          <cell r="E64" t="str">
            <v>PN-1</v>
          </cell>
          <cell r="F64" t="str">
            <v>each</v>
          </cell>
          <cell r="G64">
            <v>6738</v>
          </cell>
          <cell r="H64">
            <v>8759</v>
          </cell>
          <cell r="I64">
            <v>8759</v>
          </cell>
          <cell r="J64">
            <v>8759</v>
          </cell>
        </row>
        <row r="65">
          <cell r="B65" t="str">
            <v>Kinetic Air valve80PN-1</v>
          </cell>
          <cell r="C65" t="str">
            <v>Kinetic Air valve</v>
          </cell>
          <cell r="D65">
            <v>80</v>
          </cell>
          <cell r="E65" t="str">
            <v>PN-1</v>
          </cell>
          <cell r="F65" t="str">
            <v>each</v>
          </cell>
          <cell r="G65">
            <v>8876</v>
          </cell>
          <cell r="H65">
            <v>11539</v>
          </cell>
          <cell r="I65">
            <v>11539</v>
          </cell>
          <cell r="J65">
            <v>11539</v>
          </cell>
        </row>
        <row r="66">
          <cell r="B66" t="str">
            <v>Kinetic Air valve100PN-1</v>
          </cell>
          <cell r="C66" t="str">
            <v>Kinetic Air valve</v>
          </cell>
          <cell r="D66">
            <v>100</v>
          </cell>
          <cell r="E66" t="str">
            <v>PN-1</v>
          </cell>
          <cell r="F66" t="str">
            <v>each</v>
          </cell>
          <cell r="G66">
            <v>12226</v>
          </cell>
          <cell r="H66">
            <v>15894</v>
          </cell>
          <cell r="I66">
            <v>15894</v>
          </cell>
          <cell r="J66">
            <v>15894</v>
          </cell>
        </row>
        <row r="67">
          <cell r="B67" t="str">
            <v>Kinetic Air valve150PN-1</v>
          </cell>
          <cell r="C67" t="str">
            <v>Kinetic Air valve</v>
          </cell>
          <cell r="D67">
            <v>150</v>
          </cell>
          <cell r="E67" t="str">
            <v>PN-1</v>
          </cell>
          <cell r="F67" t="str">
            <v>each</v>
          </cell>
          <cell r="G67">
            <v>24090</v>
          </cell>
          <cell r="H67">
            <v>31317</v>
          </cell>
          <cell r="I67">
            <v>31317</v>
          </cell>
          <cell r="J67">
            <v>31317</v>
          </cell>
        </row>
        <row r="68">
          <cell r="B68" t="str">
            <v>Kinetic Air valve200PN-1</v>
          </cell>
          <cell r="C68" t="str">
            <v>Kinetic Air valve</v>
          </cell>
          <cell r="D68">
            <v>200</v>
          </cell>
          <cell r="E68" t="str">
            <v>PN-1</v>
          </cell>
          <cell r="F68" t="str">
            <v>each</v>
          </cell>
          <cell r="G68">
            <v>35924</v>
          </cell>
          <cell r="H68">
            <v>46701</v>
          </cell>
          <cell r="I68">
            <v>46701</v>
          </cell>
          <cell r="J68">
            <v>46701</v>
          </cell>
        </row>
        <row r="69">
          <cell r="B69" t="str">
            <v>Kinetic Air valve40PN-1.6</v>
          </cell>
          <cell r="C69" t="str">
            <v>Kinetic Air valve</v>
          </cell>
          <cell r="D69">
            <v>40</v>
          </cell>
          <cell r="E69" t="str">
            <v>PN-1.6</v>
          </cell>
          <cell r="F69" t="str">
            <v>each</v>
          </cell>
          <cell r="G69">
            <v>6641</v>
          </cell>
          <cell r="H69">
            <v>8633</v>
          </cell>
          <cell r="I69">
            <v>8633</v>
          </cell>
          <cell r="J69">
            <v>8633</v>
          </cell>
        </row>
        <row r="70">
          <cell r="B70" t="str">
            <v>Kinetic Air valve50PN-1.6</v>
          </cell>
          <cell r="C70" t="str">
            <v>Kinetic Air valve</v>
          </cell>
          <cell r="D70">
            <v>50</v>
          </cell>
          <cell r="E70" t="str">
            <v>PN-1.6</v>
          </cell>
          <cell r="F70" t="str">
            <v>each</v>
          </cell>
          <cell r="G70">
            <v>7749</v>
          </cell>
          <cell r="H70">
            <v>10074</v>
          </cell>
          <cell r="I70">
            <v>10074</v>
          </cell>
          <cell r="J70">
            <v>10074</v>
          </cell>
        </row>
        <row r="71">
          <cell r="B71" t="str">
            <v>Kinetic Air valve80PN-1.6</v>
          </cell>
          <cell r="C71" t="str">
            <v>Kinetic Air valve</v>
          </cell>
          <cell r="D71">
            <v>80</v>
          </cell>
          <cell r="E71" t="str">
            <v>PN-1.6</v>
          </cell>
          <cell r="F71" t="str">
            <v>each</v>
          </cell>
          <cell r="G71">
            <v>10204</v>
          </cell>
          <cell r="H71">
            <v>13265</v>
          </cell>
          <cell r="I71">
            <v>13265</v>
          </cell>
          <cell r="J71">
            <v>13265</v>
          </cell>
        </row>
        <row r="72">
          <cell r="B72" t="str">
            <v>Kinetic Air valve100PN-1.6</v>
          </cell>
          <cell r="C72" t="str">
            <v>Kinetic Air valve</v>
          </cell>
          <cell r="D72">
            <v>100</v>
          </cell>
          <cell r="E72" t="str">
            <v>PN-1.6</v>
          </cell>
          <cell r="F72" t="str">
            <v>each</v>
          </cell>
          <cell r="G72">
            <v>14068</v>
          </cell>
          <cell r="H72">
            <v>18288</v>
          </cell>
          <cell r="I72">
            <v>18288</v>
          </cell>
          <cell r="J72">
            <v>18288</v>
          </cell>
        </row>
        <row r="73">
          <cell r="B73" t="str">
            <v>Kinetic Air valve150PN-1.6</v>
          </cell>
          <cell r="C73" t="str">
            <v>Kinetic Air valve</v>
          </cell>
          <cell r="D73">
            <v>150</v>
          </cell>
          <cell r="E73" t="str">
            <v>PN-1.6</v>
          </cell>
          <cell r="F73" t="str">
            <v>each</v>
          </cell>
          <cell r="G73">
            <v>27713</v>
          </cell>
          <cell r="H73">
            <v>36027</v>
          </cell>
          <cell r="I73">
            <v>36027</v>
          </cell>
          <cell r="J73">
            <v>36027</v>
          </cell>
        </row>
        <row r="74">
          <cell r="B74" t="str">
            <v>Kinetic Air valve200PN-1.6</v>
          </cell>
          <cell r="C74" t="str">
            <v>Kinetic Air valve</v>
          </cell>
          <cell r="D74">
            <v>200</v>
          </cell>
          <cell r="E74" t="str">
            <v>PN-1.6</v>
          </cell>
          <cell r="F74" t="str">
            <v>each</v>
          </cell>
          <cell r="G74">
            <v>41315</v>
          </cell>
          <cell r="H74">
            <v>53710</v>
          </cell>
          <cell r="I74">
            <v>53710</v>
          </cell>
          <cell r="J74">
            <v>53710</v>
          </cell>
        </row>
        <row r="75">
          <cell r="B75" t="str">
            <v>Dismantling joint63</v>
          </cell>
          <cell r="C75" t="str">
            <v>Dismantling joint</v>
          </cell>
          <cell r="D75">
            <v>63</v>
          </cell>
          <cell r="E75">
            <v>0</v>
          </cell>
          <cell r="F75" t="str">
            <v>each</v>
          </cell>
          <cell r="G75">
            <v>1082</v>
          </cell>
          <cell r="H75">
            <v>1082</v>
          </cell>
          <cell r="I75">
            <v>1082</v>
          </cell>
          <cell r="J75">
            <v>2723</v>
          </cell>
        </row>
        <row r="76">
          <cell r="B76" t="str">
            <v>Dismantling joint75</v>
          </cell>
          <cell r="C76" t="str">
            <v>Dismantling joint</v>
          </cell>
          <cell r="D76">
            <v>75</v>
          </cell>
          <cell r="E76">
            <v>0</v>
          </cell>
          <cell r="F76" t="str">
            <v>each</v>
          </cell>
          <cell r="G76">
            <v>1082</v>
          </cell>
          <cell r="H76">
            <v>1082</v>
          </cell>
          <cell r="I76">
            <v>1082</v>
          </cell>
          <cell r="J76">
            <v>2723</v>
          </cell>
        </row>
        <row r="77">
          <cell r="B77" t="str">
            <v>Dismantling joint90</v>
          </cell>
          <cell r="C77" t="str">
            <v>Dismantling joint</v>
          </cell>
          <cell r="D77">
            <v>90</v>
          </cell>
          <cell r="E77">
            <v>0</v>
          </cell>
          <cell r="F77" t="str">
            <v>each</v>
          </cell>
          <cell r="G77">
            <v>1082</v>
          </cell>
          <cell r="H77">
            <v>1082</v>
          </cell>
          <cell r="I77">
            <v>1082</v>
          </cell>
          <cell r="J77">
            <v>2981</v>
          </cell>
        </row>
        <row r="78">
          <cell r="B78" t="str">
            <v>Dismantling joint110</v>
          </cell>
          <cell r="C78" t="str">
            <v>Dismantling joint</v>
          </cell>
          <cell r="D78">
            <v>110</v>
          </cell>
          <cell r="E78">
            <v>0</v>
          </cell>
          <cell r="F78" t="str">
            <v>each</v>
          </cell>
          <cell r="G78">
            <v>1332</v>
          </cell>
          <cell r="H78">
            <v>1332</v>
          </cell>
          <cell r="I78">
            <v>1332</v>
          </cell>
          <cell r="J78">
            <v>3913</v>
          </cell>
        </row>
        <row r="79">
          <cell r="B79" t="str">
            <v>Dismantling joint125</v>
          </cell>
          <cell r="C79" t="str">
            <v>Dismantling joint</v>
          </cell>
          <cell r="D79">
            <v>125</v>
          </cell>
          <cell r="E79">
            <v>0</v>
          </cell>
          <cell r="F79" t="str">
            <v>each</v>
          </cell>
          <cell r="G79">
            <v>1720</v>
          </cell>
          <cell r="H79">
            <v>1720</v>
          </cell>
          <cell r="I79">
            <v>1720</v>
          </cell>
          <cell r="J79">
            <v>5030</v>
          </cell>
        </row>
        <row r="80">
          <cell r="B80" t="str">
            <v>Dismantling joint140</v>
          </cell>
          <cell r="C80" t="str">
            <v>Dismantling joint</v>
          </cell>
          <cell r="D80">
            <v>140</v>
          </cell>
          <cell r="E80">
            <v>0</v>
          </cell>
          <cell r="F80" t="str">
            <v>each</v>
          </cell>
          <cell r="G80">
            <v>2130</v>
          </cell>
          <cell r="H80">
            <v>2130</v>
          </cell>
          <cell r="I80">
            <v>2130</v>
          </cell>
          <cell r="J80">
            <v>5518</v>
          </cell>
        </row>
        <row r="81">
          <cell r="B81" t="str">
            <v>Dismantling joint160</v>
          </cell>
          <cell r="C81" t="str">
            <v>Dismantling joint</v>
          </cell>
          <cell r="D81">
            <v>160</v>
          </cell>
          <cell r="E81">
            <v>0</v>
          </cell>
          <cell r="F81" t="str">
            <v>each</v>
          </cell>
          <cell r="G81">
            <v>2130</v>
          </cell>
          <cell r="H81">
            <v>2130</v>
          </cell>
          <cell r="I81">
            <v>2130</v>
          </cell>
          <cell r="J81">
            <v>5518</v>
          </cell>
        </row>
        <row r="82">
          <cell r="B82" t="str">
            <v>Dismantling joint180</v>
          </cell>
          <cell r="C82" t="str">
            <v>Dismantling joint</v>
          </cell>
          <cell r="D82">
            <v>180</v>
          </cell>
          <cell r="E82">
            <v>0</v>
          </cell>
          <cell r="F82" t="str">
            <v>each</v>
          </cell>
          <cell r="G82">
            <v>2130</v>
          </cell>
          <cell r="H82">
            <v>2130</v>
          </cell>
          <cell r="I82">
            <v>2130</v>
          </cell>
          <cell r="J82">
            <v>5518</v>
          </cell>
        </row>
        <row r="83">
          <cell r="B83" t="str">
            <v>Dismantling joint200</v>
          </cell>
          <cell r="C83" t="str">
            <v>Dismantling joint</v>
          </cell>
          <cell r="D83">
            <v>200</v>
          </cell>
          <cell r="E83">
            <v>0</v>
          </cell>
          <cell r="F83" t="str">
            <v>each</v>
          </cell>
          <cell r="G83">
            <v>3532</v>
          </cell>
          <cell r="H83">
            <v>3532</v>
          </cell>
          <cell r="I83">
            <v>3532</v>
          </cell>
          <cell r="J83">
            <v>7825</v>
          </cell>
        </row>
        <row r="84">
          <cell r="B84" t="str">
            <v>Dismantling joint225</v>
          </cell>
          <cell r="C84" t="str">
            <v>Dismantling joint</v>
          </cell>
          <cell r="D84">
            <v>225</v>
          </cell>
          <cell r="E84">
            <v>0</v>
          </cell>
          <cell r="F84" t="str">
            <v>each</v>
          </cell>
          <cell r="G84">
            <v>3532</v>
          </cell>
          <cell r="H84">
            <v>3532</v>
          </cell>
          <cell r="I84">
            <v>3532</v>
          </cell>
          <cell r="J84">
            <v>7825</v>
          </cell>
        </row>
        <row r="85">
          <cell r="B85" t="str">
            <v>Dismantling joint250</v>
          </cell>
          <cell r="C85" t="str">
            <v>Dismantling joint</v>
          </cell>
          <cell r="D85">
            <v>250</v>
          </cell>
          <cell r="E85">
            <v>0</v>
          </cell>
          <cell r="F85" t="str">
            <v>each</v>
          </cell>
          <cell r="G85">
            <v>4995</v>
          </cell>
          <cell r="H85">
            <v>4995</v>
          </cell>
          <cell r="I85">
            <v>4995</v>
          </cell>
          <cell r="J85">
            <v>9316</v>
          </cell>
        </row>
        <row r="86">
          <cell r="B86" t="str">
            <v>Dismantling joint280</v>
          </cell>
          <cell r="C86" t="str">
            <v>Dismantling joint</v>
          </cell>
          <cell r="D86">
            <v>280</v>
          </cell>
          <cell r="E86">
            <v>0</v>
          </cell>
          <cell r="F86" t="str">
            <v>each</v>
          </cell>
          <cell r="G86">
            <v>4995</v>
          </cell>
          <cell r="H86">
            <v>4995</v>
          </cell>
          <cell r="I86">
            <v>4995</v>
          </cell>
          <cell r="J86">
            <v>9316</v>
          </cell>
        </row>
        <row r="87">
          <cell r="B87" t="str">
            <v>Dismantling joint315</v>
          </cell>
          <cell r="C87" t="str">
            <v>Dismantling joint</v>
          </cell>
          <cell r="D87">
            <v>315</v>
          </cell>
          <cell r="E87">
            <v>0</v>
          </cell>
          <cell r="F87" t="str">
            <v>each</v>
          </cell>
          <cell r="G87">
            <v>6348</v>
          </cell>
          <cell r="H87">
            <v>6348</v>
          </cell>
          <cell r="I87">
            <v>6348</v>
          </cell>
          <cell r="J87">
            <v>14906</v>
          </cell>
        </row>
        <row r="88">
          <cell r="B88" t="str">
            <v>Dismantling joint350</v>
          </cell>
          <cell r="C88" t="str">
            <v>Dismantling joint</v>
          </cell>
          <cell r="D88">
            <v>350</v>
          </cell>
          <cell r="E88">
            <v>0</v>
          </cell>
          <cell r="F88" t="str">
            <v>each</v>
          </cell>
          <cell r="G88">
            <v>7703</v>
          </cell>
          <cell r="H88">
            <v>7703</v>
          </cell>
          <cell r="I88">
            <v>7703</v>
          </cell>
          <cell r="J88">
            <v>35354</v>
          </cell>
        </row>
        <row r="89">
          <cell r="B89" t="str">
            <v>Dismantling joint400</v>
          </cell>
          <cell r="C89" t="str">
            <v>Dismantling joint</v>
          </cell>
          <cell r="D89">
            <v>400</v>
          </cell>
          <cell r="E89">
            <v>0</v>
          </cell>
          <cell r="F89" t="str">
            <v>each</v>
          </cell>
          <cell r="G89">
            <v>9705</v>
          </cell>
          <cell r="H89">
            <v>9705</v>
          </cell>
          <cell r="I89">
            <v>9705</v>
          </cell>
          <cell r="J89">
            <v>40513</v>
          </cell>
        </row>
        <row r="90">
          <cell r="B90" t="str">
            <v>Dismantling joint450</v>
          </cell>
          <cell r="C90" t="str">
            <v>Dismantling joint</v>
          </cell>
          <cell r="D90">
            <v>450</v>
          </cell>
          <cell r="E90">
            <v>0</v>
          </cell>
          <cell r="F90" t="str">
            <v>each</v>
          </cell>
          <cell r="G90">
            <v>11532</v>
          </cell>
          <cell r="H90">
            <v>11532</v>
          </cell>
          <cell r="I90">
            <v>11532</v>
          </cell>
          <cell r="J90">
            <v>43953</v>
          </cell>
        </row>
        <row r="91">
          <cell r="B91" t="str">
            <v>Dismantling joint500</v>
          </cell>
          <cell r="C91" t="str">
            <v>Dismantling joint</v>
          </cell>
          <cell r="D91">
            <v>500</v>
          </cell>
          <cell r="E91">
            <v>0</v>
          </cell>
          <cell r="F91" t="str">
            <v>each</v>
          </cell>
          <cell r="G91">
            <v>13535</v>
          </cell>
          <cell r="H91">
            <v>13535</v>
          </cell>
          <cell r="I91">
            <v>13535</v>
          </cell>
          <cell r="J91">
            <v>52606</v>
          </cell>
        </row>
        <row r="92">
          <cell r="B92" t="str">
            <v>Dismantling joint600</v>
          </cell>
          <cell r="C92" t="str">
            <v>Dismantling joint</v>
          </cell>
          <cell r="D92">
            <v>600</v>
          </cell>
          <cell r="E92">
            <v>0</v>
          </cell>
          <cell r="F92" t="str">
            <v>each</v>
          </cell>
          <cell r="G92">
            <v>20508</v>
          </cell>
          <cell r="H92">
            <v>20508</v>
          </cell>
          <cell r="I92">
            <v>20508</v>
          </cell>
          <cell r="J92">
            <v>61214</v>
          </cell>
        </row>
        <row r="93">
          <cell r="B93" t="str">
            <v>Dismantling joint700</v>
          </cell>
          <cell r="C93" t="str">
            <v>Dismantling joint</v>
          </cell>
          <cell r="D93">
            <v>700</v>
          </cell>
          <cell r="E93">
            <v>0</v>
          </cell>
          <cell r="F93" t="str">
            <v>each</v>
          </cell>
          <cell r="G93">
            <v>26643</v>
          </cell>
          <cell r="H93">
            <v>26643</v>
          </cell>
          <cell r="I93">
            <v>26643</v>
          </cell>
          <cell r="J93">
            <v>68101</v>
          </cell>
        </row>
        <row r="94">
          <cell r="B94" t="str">
            <v>Dismantling joint800</v>
          </cell>
          <cell r="C94" t="str">
            <v>Dismantling joint</v>
          </cell>
          <cell r="D94">
            <v>800</v>
          </cell>
          <cell r="E94">
            <v>0</v>
          </cell>
          <cell r="F94" t="str">
            <v>each</v>
          </cell>
          <cell r="G94">
            <v>32414</v>
          </cell>
          <cell r="H94">
            <v>32414</v>
          </cell>
          <cell r="I94">
            <v>32414</v>
          </cell>
          <cell r="J94">
            <v>83596</v>
          </cell>
        </row>
        <row r="95">
          <cell r="E95" t="str">
            <v>WEIGTHS</v>
          </cell>
        </row>
        <row r="96">
          <cell r="B96" t="str">
            <v>CI pipes and Specials</v>
          </cell>
          <cell r="C96">
            <v>0</v>
          </cell>
          <cell r="D96" t="str">
            <v>CI pipes and Specials</v>
          </cell>
          <cell r="E96">
            <v>0</v>
          </cell>
          <cell r="F96" t="str">
            <v>kg</v>
          </cell>
          <cell r="G96">
            <v>33.25</v>
          </cell>
          <cell r="H96">
            <v>52.9</v>
          </cell>
          <cell r="I96">
            <v>52.9</v>
          </cell>
          <cell r="J96">
            <v>40.700000000000003</v>
          </cell>
        </row>
        <row r="97">
          <cell r="B97" t="str">
            <v>Pigiron</v>
          </cell>
          <cell r="C97">
            <v>0</v>
          </cell>
          <cell r="D97" t="str">
            <v>Pigiron</v>
          </cell>
          <cell r="E97">
            <v>0</v>
          </cell>
          <cell r="F97" t="str">
            <v>MT</v>
          </cell>
          <cell r="G97">
            <v>20000</v>
          </cell>
          <cell r="H97">
            <v>27000</v>
          </cell>
          <cell r="I97">
            <v>27000</v>
          </cell>
          <cell r="J97">
            <v>19000</v>
          </cell>
        </row>
        <row r="98">
          <cell r="B98" t="str">
            <v>Coke</v>
          </cell>
          <cell r="C98">
            <v>0</v>
          </cell>
          <cell r="D98" t="str">
            <v>Coke</v>
          </cell>
          <cell r="E98">
            <v>0</v>
          </cell>
          <cell r="F98" t="str">
            <v>MT</v>
          </cell>
          <cell r="G98">
            <v>20000</v>
          </cell>
          <cell r="H98">
            <v>24900</v>
          </cell>
          <cell r="I98">
            <v>24900</v>
          </cell>
          <cell r="J98">
            <v>23500</v>
          </cell>
        </row>
        <row r="99">
          <cell r="B99" t="str">
            <v>CI D/F pipes - 2m long8047</v>
          </cell>
          <cell r="C99" t="str">
            <v>CI D/F pipes - 2m long</v>
          </cell>
          <cell r="D99">
            <v>80</v>
          </cell>
          <cell r="E99">
            <v>47</v>
          </cell>
          <cell r="F99" t="str">
            <v>each</v>
          </cell>
          <cell r="G99">
            <v>1562.75</v>
          </cell>
          <cell r="H99">
            <v>2486.2999999999997</v>
          </cell>
          <cell r="I99">
            <v>2486.2999999999997</v>
          </cell>
          <cell r="J99">
            <v>1912.9</v>
          </cell>
        </row>
        <row r="100">
          <cell r="B100" t="str">
            <v>CI D/F pipes - 2m long10059.2</v>
          </cell>
          <cell r="C100" t="str">
            <v>CI D/F pipes - 2m long</v>
          </cell>
          <cell r="D100">
            <v>100</v>
          </cell>
          <cell r="E100">
            <v>59.2</v>
          </cell>
          <cell r="F100" t="str">
            <v>each</v>
          </cell>
          <cell r="G100">
            <v>1968.4</v>
          </cell>
          <cell r="H100">
            <v>3131.6800000000003</v>
          </cell>
          <cell r="I100">
            <v>3131.6800000000003</v>
          </cell>
          <cell r="J100">
            <v>2409.4400000000005</v>
          </cell>
        </row>
        <row r="101">
          <cell r="B101" t="str">
            <v>CI D/F pipes - 2m long12576.8</v>
          </cell>
          <cell r="C101" t="str">
            <v>CI D/F pipes - 2m long</v>
          </cell>
          <cell r="D101">
            <v>125</v>
          </cell>
          <cell r="E101">
            <v>76.8</v>
          </cell>
          <cell r="F101" t="str">
            <v>each</v>
          </cell>
          <cell r="G101">
            <v>2553.6</v>
          </cell>
          <cell r="H101">
            <v>4062.72</v>
          </cell>
          <cell r="I101">
            <v>4062.72</v>
          </cell>
          <cell r="J101">
            <v>3125.76</v>
          </cell>
        </row>
        <row r="102">
          <cell r="B102" t="str">
            <v>CI D/F pipes - 2m long15096.6</v>
          </cell>
          <cell r="C102" t="str">
            <v>CI D/F pipes - 2m long</v>
          </cell>
          <cell r="D102">
            <v>150</v>
          </cell>
          <cell r="E102">
            <v>96.6</v>
          </cell>
          <cell r="F102" t="str">
            <v>each</v>
          </cell>
          <cell r="G102">
            <v>3211.95</v>
          </cell>
          <cell r="H102">
            <v>5110.1399999999994</v>
          </cell>
          <cell r="I102">
            <v>5110.1399999999994</v>
          </cell>
          <cell r="J102">
            <v>3931.62</v>
          </cell>
        </row>
        <row r="103">
          <cell r="B103" t="str">
            <v>CI D/F pipes - 2m long200138.8</v>
          </cell>
          <cell r="C103" t="str">
            <v>CI D/F pipes - 2m long</v>
          </cell>
          <cell r="D103">
            <v>200</v>
          </cell>
          <cell r="E103">
            <v>138.80000000000001</v>
          </cell>
          <cell r="F103" t="str">
            <v>each</v>
          </cell>
          <cell r="G103">
            <v>4615.1000000000004</v>
          </cell>
          <cell r="H103">
            <v>7342.52</v>
          </cell>
          <cell r="I103">
            <v>7342.52</v>
          </cell>
          <cell r="J103">
            <v>5649.1600000000008</v>
          </cell>
        </row>
        <row r="104">
          <cell r="B104" t="str">
            <v>CI D/F pipes - 2m long250187.6</v>
          </cell>
          <cell r="C104" t="str">
            <v>CI D/F pipes - 2m long</v>
          </cell>
          <cell r="D104">
            <v>250</v>
          </cell>
          <cell r="E104">
            <v>187.6</v>
          </cell>
          <cell r="F104" t="str">
            <v>each</v>
          </cell>
          <cell r="G104">
            <v>6237.7</v>
          </cell>
          <cell r="H104">
            <v>9924.0399999999991</v>
          </cell>
          <cell r="I104">
            <v>9924.0399999999991</v>
          </cell>
          <cell r="J104">
            <v>7635.3200000000006</v>
          </cell>
        </row>
        <row r="105">
          <cell r="B105" t="str">
            <v>CI D/F pipes - 2m long300241.2</v>
          </cell>
          <cell r="C105" t="str">
            <v>CI D/F pipes - 2m long</v>
          </cell>
          <cell r="D105">
            <v>300</v>
          </cell>
          <cell r="E105">
            <v>241.2</v>
          </cell>
          <cell r="F105" t="str">
            <v>each</v>
          </cell>
          <cell r="G105">
            <v>8019.9</v>
          </cell>
          <cell r="H105">
            <v>12759.48</v>
          </cell>
          <cell r="I105">
            <v>12759.48</v>
          </cell>
          <cell r="J105">
            <v>9816.84</v>
          </cell>
        </row>
        <row r="106">
          <cell r="B106" t="str">
            <v>CI D/F pipes - 2m long350305</v>
          </cell>
          <cell r="C106" t="str">
            <v>CI D/F pipes - 2m long</v>
          </cell>
          <cell r="D106">
            <v>350</v>
          </cell>
          <cell r="E106">
            <v>305</v>
          </cell>
          <cell r="F106" t="str">
            <v>each</v>
          </cell>
          <cell r="G106">
            <v>10141.25</v>
          </cell>
          <cell r="H106">
            <v>16134.5</v>
          </cell>
          <cell r="I106">
            <v>16134.5</v>
          </cell>
          <cell r="J106">
            <v>12413.5</v>
          </cell>
        </row>
        <row r="107">
          <cell r="B107" t="str">
            <v>CI D/F pipes - 2m long400372</v>
          </cell>
          <cell r="C107" t="str">
            <v>CI D/F pipes - 2m long</v>
          </cell>
          <cell r="D107">
            <v>400</v>
          </cell>
          <cell r="E107">
            <v>372</v>
          </cell>
          <cell r="F107" t="str">
            <v>each</v>
          </cell>
          <cell r="G107">
            <v>12369</v>
          </cell>
          <cell r="H107">
            <v>19678.8</v>
          </cell>
          <cell r="I107">
            <v>19678.8</v>
          </cell>
          <cell r="J107">
            <v>15140.400000000001</v>
          </cell>
        </row>
        <row r="108">
          <cell r="B108" t="str">
            <v>CI D/F pipes - 2m long450447</v>
          </cell>
          <cell r="C108" t="str">
            <v>CI D/F pipes - 2m long</v>
          </cell>
          <cell r="D108">
            <v>450</v>
          </cell>
          <cell r="E108">
            <v>447</v>
          </cell>
          <cell r="F108" t="str">
            <v>each</v>
          </cell>
          <cell r="G108">
            <v>14862.75</v>
          </cell>
          <cell r="H108">
            <v>23646.3</v>
          </cell>
          <cell r="I108">
            <v>23646.3</v>
          </cell>
          <cell r="J108">
            <v>18192.900000000001</v>
          </cell>
        </row>
        <row r="109">
          <cell r="B109" t="str">
            <v>CI D/F pipes - 2m long500522.8</v>
          </cell>
          <cell r="C109" t="str">
            <v>CI D/F pipes - 2m long</v>
          </cell>
          <cell r="D109">
            <v>500</v>
          </cell>
          <cell r="E109">
            <v>522.79999999999995</v>
          </cell>
          <cell r="F109" t="str">
            <v>each</v>
          </cell>
          <cell r="G109">
            <v>17383.099999999999</v>
          </cell>
          <cell r="H109">
            <v>27656.119999999995</v>
          </cell>
          <cell r="I109">
            <v>27656.119999999995</v>
          </cell>
          <cell r="J109">
            <v>21277.96</v>
          </cell>
        </row>
        <row r="110">
          <cell r="B110" t="str">
            <v>CI D/F pipes - 2m long600701</v>
          </cell>
          <cell r="C110" t="str">
            <v>CI D/F pipes - 2m long</v>
          </cell>
          <cell r="D110">
            <v>600</v>
          </cell>
          <cell r="E110">
            <v>701</v>
          </cell>
          <cell r="F110" t="str">
            <v>each</v>
          </cell>
          <cell r="G110">
            <v>23308.25</v>
          </cell>
          <cell r="H110">
            <v>37082.9</v>
          </cell>
          <cell r="I110">
            <v>37082.9</v>
          </cell>
          <cell r="J110">
            <v>28530.7</v>
          </cell>
        </row>
        <row r="111">
          <cell r="B111" t="str">
            <v>CI D/F pipes - 0.9m long8025.22</v>
          </cell>
          <cell r="C111" t="str">
            <v>CI D/F pipes - 0.9m long</v>
          </cell>
          <cell r="D111">
            <v>80</v>
          </cell>
          <cell r="E111">
            <v>25.22</v>
          </cell>
          <cell r="F111" t="str">
            <v>each</v>
          </cell>
          <cell r="G111">
            <v>838.56499999999994</v>
          </cell>
          <cell r="H111">
            <v>1334.1379999999999</v>
          </cell>
          <cell r="I111">
            <v>1334.1379999999999</v>
          </cell>
          <cell r="J111">
            <v>1026.454</v>
          </cell>
        </row>
        <row r="112">
          <cell r="B112" t="str">
            <v>CI D/F pipes - 0.9m long10031.26</v>
          </cell>
          <cell r="C112" t="str">
            <v>CI D/F pipes - 0.9m long</v>
          </cell>
          <cell r="D112">
            <v>100</v>
          </cell>
          <cell r="E112">
            <v>31.26</v>
          </cell>
          <cell r="F112" t="str">
            <v>each</v>
          </cell>
          <cell r="G112">
            <v>1039.395</v>
          </cell>
          <cell r="H112">
            <v>1653.654</v>
          </cell>
          <cell r="I112">
            <v>1653.654</v>
          </cell>
          <cell r="J112">
            <v>1272.2820000000002</v>
          </cell>
        </row>
        <row r="113">
          <cell r="B113" t="str">
            <v>CI D/F pipes - 0.9m long12540.39</v>
          </cell>
          <cell r="C113" t="str">
            <v>CI D/F pipes - 0.9m long</v>
          </cell>
          <cell r="D113">
            <v>125</v>
          </cell>
          <cell r="E113">
            <v>40.39</v>
          </cell>
          <cell r="F113" t="str">
            <v>each</v>
          </cell>
          <cell r="G113">
            <v>1342.9675</v>
          </cell>
          <cell r="H113">
            <v>2136.6309999999999</v>
          </cell>
          <cell r="I113">
            <v>2136.6309999999999</v>
          </cell>
          <cell r="J113">
            <v>1643.873</v>
          </cell>
        </row>
        <row r="114">
          <cell r="B114" t="str">
            <v>CI D/F pipes - 0.9m long15050.84</v>
          </cell>
          <cell r="C114" t="str">
            <v>CI D/F pipes - 0.9m long</v>
          </cell>
          <cell r="D114">
            <v>150</v>
          </cell>
          <cell r="E114">
            <v>50.84</v>
          </cell>
          <cell r="F114" t="str">
            <v>each</v>
          </cell>
          <cell r="G114">
            <v>1690.43</v>
          </cell>
          <cell r="H114">
            <v>2689.4360000000001</v>
          </cell>
          <cell r="I114">
            <v>2689.4360000000001</v>
          </cell>
          <cell r="J114">
            <v>2069.1880000000001</v>
          </cell>
        </row>
        <row r="115">
          <cell r="B115" t="str">
            <v>CI D/F pipes - 0.9m long20072.69</v>
          </cell>
          <cell r="C115" t="str">
            <v>CI D/F pipes - 0.9m long</v>
          </cell>
          <cell r="D115">
            <v>200</v>
          </cell>
          <cell r="E115">
            <v>72.69</v>
          </cell>
          <cell r="F115" t="str">
            <v>each</v>
          </cell>
          <cell r="G115">
            <v>2416.9425000000001</v>
          </cell>
          <cell r="H115">
            <v>3845.3009999999999</v>
          </cell>
          <cell r="I115">
            <v>3845.3009999999999</v>
          </cell>
          <cell r="J115">
            <v>2958.4830000000002</v>
          </cell>
        </row>
        <row r="116">
          <cell r="B116" t="str">
            <v>CI D/F pipes - 0.9m long25097.62</v>
          </cell>
          <cell r="C116" t="str">
            <v>CI D/F pipes - 0.9m long</v>
          </cell>
          <cell r="D116">
            <v>250</v>
          </cell>
          <cell r="E116">
            <v>97.62</v>
          </cell>
          <cell r="F116" t="str">
            <v>each</v>
          </cell>
          <cell r="G116">
            <v>3245.8650000000002</v>
          </cell>
          <cell r="H116">
            <v>5164.098</v>
          </cell>
          <cell r="I116">
            <v>5164.098</v>
          </cell>
          <cell r="J116">
            <v>3973.1340000000005</v>
          </cell>
        </row>
        <row r="117">
          <cell r="B117" t="str">
            <v>CI D/F pipes - 0.9m long300124.49</v>
          </cell>
          <cell r="C117" t="str">
            <v>CI D/F pipes - 0.9m long</v>
          </cell>
          <cell r="D117">
            <v>300</v>
          </cell>
          <cell r="E117">
            <v>124.49</v>
          </cell>
          <cell r="F117" t="str">
            <v>each</v>
          </cell>
          <cell r="G117">
            <v>4139.2924999999996</v>
          </cell>
          <cell r="H117">
            <v>6585.5209999999997</v>
          </cell>
          <cell r="I117">
            <v>6585.5209999999997</v>
          </cell>
          <cell r="J117">
            <v>5066.7430000000004</v>
          </cell>
        </row>
        <row r="118">
          <cell r="B118" t="str">
            <v>CI D/F pipes - 0.9m long350158.15</v>
          </cell>
          <cell r="C118" t="str">
            <v>CI D/F pipes - 0.9m long</v>
          </cell>
          <cell r="D118">
            <v>350</v>
          </cell>
          <cell r="E118">
            <v>158.15</v>
          </cell>
          <cell r="F118" t="str">
            <v>each</v>
          </cell>
          <cell r="G118">
            <v>5258.4875000000002</v>
          </cell>
          <cell r="H118">
            <v>8366.1350000000002</v>
          </cell>
          <cell r="I118">
            <v>8366.1350000000002</v>
          </cell>
          <cell r="J118">
            <v>6436.7050000000008</v>
          </cell>
        </row>
        <row r="119">
          <cell r="B119" t="str">
            <v>CI D/F pipes - 0.9m long400193.14</v>
          </cell>
          <cell r="C119" t="str">
            <v>CI D/F pipes - 0.9m long</v>
          </cell>
          <cell r="D119">
            <v>400</v>
          </cell>
          <cell r="E119">
            <v>193.14</v>
          </cell>
          <cell r="F119" t="str">
            <v>each</v>
          </cell>
          <cell r="G119">
            <v>6421.9049999999997</v>
          </cell>
          <cell r="H119">
            <v>10217.106</v>
          </cell>
          <cell r="I119">
            <v>10217.106</v>
          </cell>
          <cell r="J119">
            <v>7860.7979999999998</v>
          </cell>
        </row>
        <row r="120">
          <cell r="B120" t="str">
            <v>CI D/F pipes - 0.9m long450230.3</v>
          </cell>
          <cell r="C120" t="str">
            <v>CI D/F pipes - 0.9m long</v>
          </cell>
          <cell r="D120">
            <v>450</v>
          </cell>
          <cell r="E120">
            <v>230.3</v>
          </cell>
          <cell r="F120" t="str">
            <v>each</v>
          </cell>
          <cell r="G120">
            <v>7657.4750000000004</v>
          </cell>
          <cell r="H120">
            <v>12182.87</v>
          </cell>
          <cell r="I120">
            <v>12182.87</v>
          </cell>
          <cell r="J120">
            <v>9373.2100000000009</v>
          </cell>
        </row>
        <row r="121">
          <cell r="B121" t="str">
            <v>CI D/F pipes - 0.9m long500270.57</v>
          </cell>
          <cell r="C121" t="str">
            <v>CI D/F pipes - 0.9m long</v>
          </cell>
          <cell r="D121">
            <v>500</v>
          </cell>
          <cell r="E121">
            <v>270.57</v>
          </cell>
          <cell r="F121" t="str">
            <v>each</v>
          </cell>
          <cell r="G121">
            <v>8996.4524999999994</v>
          </cell>
          <cell r="H121">
            <v>14313.152999999998</v>
          </cell>
          <cell r="I121">
            <v>14313.152999999998</v>
          </cell>
          <cell r="J121">
            <v>11012.199000000001</v>
          </cell>
        </row>
        <row r="122">
          <cell r="B122" t="str">
            <v>CI D/F pipes - 0.9m long600363.85</v>
          </cell>
          <cell r="C122" t="str">
            <v>CI D/F pipes - 0.9m long</v>
          </cell>
          <cell r="D122">
            <v>600</v>
          </cell>
          <cell r="E122">
            <v>363.85</v>
          </cell>
          <cell r="F122" t="str">
            <v>each</v>
          </cell>
          <cell r="G122">
            <v>12098.012500000001</v>
          </cell>
          <cell r="H122">
            <v>19247.665000000001</v>
          </cell>
          <cell r="I122">
            <v>19247.665000000001</v>
          </cell>
          <cell r="J122">
            <v>14808.695000000002</v>
          </cell>
        </row>
        <row r="123">
          <cell r="B123" t="str">
            <v>CI D/F pipes - 0.6m long8019.28</v>
          </cell>
          <cell r="C123" t="str">
            <v>CI D/F pipes - 0.6m long</v>
          </cell>
          <cell r="D123">
            <v>80</v>
          </cell>
          <cell r="E123">
            <v>19.28</v>
          </cell>
          <cell r="F123" t="str">
            <v>each</v>
          </cell>
          <cell r="G123">
            <v>641.06000000000006</v>
          </cell>
          <cell r="H123">
            <v>1019.912</v>
          </cell>
          <cell r="I123">
            <v>1019.912</v>
          </cell>
          <cell r="J123">
            <v>784.69600000000014</v>
          </cell>
        </row>
        <row r="124">
          <cell r="B124" t="str">
            <v>CI D/F pipes - 0.6m long10023.64</v>
          </cell>
          <cell r="C124" t="str">
            <v>CI D/F pipes - 0.6m long</v>
          </cell>
          <cell r="D124">
            <v>100</v>
          </cell>
          <cell r="E124">
            <v>23.64</v>
          </cell>
          <cell r="F124" t="str">
            <v>each</v>
          </cell>
          <cell r="G124">
            <v>786.03</v>
          </cell>
          <cell r="H124">
            <v>1250.556</v>
          </cell>
          <cell r="I124">
            <v>1250.556</v>
          </cell>
          <cell r="J124">
            <v>962.14800000000014</v>
          </cell>
        </row>
        <row r="125">
          <cell r="B125" t="str">
            <v>CI D/F pipes - 0.6m long12530.46</v>
          </cell>
          <cell r="C125" t="str">
            <v>CI D/F pipes - 0.6m long</v>
          </cell>
          <cell r="D125">
            <v>125</v>
          </cell>
          <cell r="E125">
            <v>30.46</v>
          </cell>
          <cell r="F125" t="str">
            <v>each</v>
          </cell>
          <cell r="G125">
            <v>1012.7950000000001</v>
          </cell>
          <cell r="H125">
            <v>1611.3340000000001</v>
          </cell>
          <cell r="I125">
            <v>1611.3340000000001</v>
          </cell>
          <cell r="J125">
            <v>1239.7220000000002</v>
          </cell>
        </row>
        <row r="126">
          <cell r="B126" t="str">
            <v>CI D/F pipes - 0.6m long15038.33</v>
          </cell>
          <cell r="C126" t="str">
            <v>CI D/F pipes - 0.6m long</v>
          </cell>
          <cell r="D126">
            <v>150</v>
          </cell>
          <cell r="E126">
            <v>38.33</v>
          </cell>
          <cell r="F126" t="str">
            <v>each</v>
          </cell>
          <cell r="G126">
            <v>1274.4724999999999</v>
          </cell>
          <cell r="H126">
            <v>2027.6569999999999</v>
          </cell>
          <cell r="I126">
            <v>2027.6569999999999</v>
          </cell>
          <cell r="J126">
            <v>1560.0309999999999</v>
          </cell>
        </row>
        <row r="127">
          <cell r="B127" t="str">
            <v>CI D/F pipes - 0.6m long20054.66</v>
          </cell>
          <cell r="C127" t="str">
            <v>CI D/F pipes - 0.6m long</v>
          </cell>
          <cell r="D127">
            <v>200</v>
          </cell>
          <cell r="E127">
            <v>54.66</v>
          </cell>
          <cell r="F127" t="str">
            <v>each</v>
          </cell>
          <cell r="G127">
            <v>1817.4449999999999</v>
          </cell>
          <cell r="H127">
            <v>2891.5139999999997</v>
          </cell>
          <cell r="I127">
            <v>2891.5139999999997</v>
          </cell>
          <cell r="J127">
            <v>2224.6619999999998</v>
          </cell>
        </row>
        <row r="128">
          <cell r="B128" t="str">
            <v>CI D/F pipes - 0.6m long25073.08</v>
          </cell>
          <cell r="C128" t="str">
            <v>CI D/F pipes - 0.6m long</v>
          </cell>
          <cell r="D128">
            <v>250</v>
          </cell>
          <cell r="E128">
            <v>73.08</v>
          </cell>
          <cell r="F128" t="str">
            <v>each</v>
          </cell>
          <cell r="G128">
            <v>2429.91</v>
          </cell>
          <cell r="H128">
            <v>3865.9319999999998</v>
          </cell>
          <cell r="I128">
            <v>3865.9319999999998</v>
          </cell>
          <cell r="J128">
            <v>2974.3560000000002</v>
          </cell>
        </row>
        <row r="129">
          <cell r="B129" t="str">
            <v>CI D/F pipes - 0.6m long30093.26</v>
          </cell>
          <cell r="C129" t="str">
            <v>CI D/F pipes - 0.6m long</v>
          </cell>
          <cell r="D129">
            <v>300</v>
          </cell>
          <cell r="E129">
            <v>93.26</v>
          </cell>
          <cell r="F129" t="str">
            <v>each</v>
          </cell>
          <cell r="G129">
            <v>3100.895</v>
          </cell>
          <cell r="H129">
            <v>4933.4539999999997</v>
          </cell>
          <cell r="I129">
            <v>4933.4539999999997</v>
          </cell>
          <cell r="J129">
            <v>3795.6820000000007</v>
          </cell>
        </row>
        <row r="130">
          <cell r="B130" t="str">
            <v>CI D/F pipes - 0.6m long350118.1</v>
          </cell>
          <cell r="C130" t="str">
            <v>CI D/F pipes - 0.6m long</v>
          </cell>
          <cell r="D130">
            <v>350</v>
          </cell>
          <cell r="E130">
            <v>118.1</v>
          </cell>
          <cell r="F130" t="str">
            <v>each</v>
          </cell>
          <cell r="G130">
            <v>3926.8249999999998</v>
          </cell>
          <cell r="H130">
            <v>6247.49</v>
          </cell>
          <cell r="I130">
            <v>6247.49</v>
          </cell>
          <cell r="J130">
            <v>4806.67</v>
          </cell>
        </row>
        <row r="131">
          <cell r="B131" t="str">
            <v>CI D/F pipes - 0.6m long400144.36</v>
          </cell>
          <cell r="C131" t="str">
            <v>CI D/F pipes - 0.6m long</v>
          </cell>
          <cell r="D131">
            <v>400</v>
          </cell>
          <cell r="E131">
            <v>144.36000000000001</v>
          </cell>
          <cell r="F131" t="str">
            <v>each</v>
          </cell>
          <cell r="G131">
            <v>4799.97</v>
          </cell>
          <cell r="H131">
            <v>7636.6440000000002</v>
          </cell>
          <cell r="I131">
            <v>7636.6440000000002</v>
          </cell>
          <cell r="J131">
            <v>5875.4520000000011</v>
          </cell>
        </row>
        <row r="132">
          <cell r="B132" t="str">
            <v>CI D/F pipes - 0.6m long450171.2</v>
          </cell>
          <cell r="C132" t="str">
            <v>CI D/F pipes - 0.6m long</v>
          </cell>
          <cell r="D132">
            <v>450</v>
          </cell>
          <cell r="E132">
            <v>171.2</v>
          </cell>
          <cell r="F132" t="str">
            <v>each</v>
          </cell>
          <cell r="G132">
            <v>5692.4</v>
          </cell>
          <cell r="H132">
            <v>9056.48</v>
          </cell>
          <cell r="I132">
            <v>9056.48</v>
          </cell>
          <cell r="J132">
            <v>6967.84</v>
          </cell>
        </row>
        <row r="133">
          <cell r="B133" t="str">
            <v>CI D/F pipes - 0.6m long500201.78</v>
          </cell>
          <cell r="C133" t="str">
            <v>CI D/F pipes - 0.6m long</v>
          </cell>
          <cell r="D133">
            <v>500</v>
          </cell>
          <cell r="E133">
            <v>201.78</v>
          </cell>
          <cell r="F133" t="str">
            <v>each</v>
          </cell>
          <cell r="G133">
            <v>6709.1850000000004</v>
          </cell>
          <cell r="H133">
            <v>10674.162</v>
          </cell>
          <cell r="I133">
            <v>10674.162</v>
          </cell>
          <cell r="J133">
            <v>8212.4459999999999</v>
          </cell>
        </row>
        <row r="134">
          <cell r="B134" t="str">
            <v>CI D/F pipes - 0.6m long600271.9</v>
          </cell>
          <cell r="C134" t="str">
            <v>CI D/F pipes - 0.6m long</v>
          </cell>
          <cell r="D134">
            <v>600</v>
          </cell>
          <cell r="E134">
            <v>271.89999999999998</v>
          </cell>
          <cell r="F134" t="str">
            <v>each</v>
          </cell>
          <cell r="G134">
            <v>9040.6749999999993</v>
          </cell>
          <cell r="H134">
            <v>14383.509999999998</v>
          </cell>
          <cell r="I134">
            <v>14383.509999999998</v>
          </cell>
          <cell r="J134">
            <v>11066.33</v>
          </cell>
        </row>
        <row r="135">
          <cell r="B135" t="str">
            <v>Bell mouth807</v>
          </cell>
          <cell r="C135" t="str">
            <v>Bell mouth</v>
          </cell>
          <cell r="D135">
            <v>80</v>
          </cell>
          <cell r="E135">
            <v>7</v>
          </cell>
          <cell r="F135" t="str">
            <v>each</v>
          </cell>
          <cell r="G135">
            <v>232.75</v>
          </cell>
          <cell r="H135">
            <v>370.3</v>
          </cell>
          <cell r="I135">
            <v>370.3</v>
          </cell>
          <cell r="J135">
            <v>284.90000000000003</v>
          </cell>
        </row>
        <row r="136">
          <cell r="B136" t="str">
            <v>Bell mouth1009</v>
          </cell>
          <cell r="C136" t="str">
            <v>Bell mouth</v>
          </cell>
          <cell r="D136">
            <v>100</v>
          </cell>
          <cell r="E136">
            <v>9</v>
          </cell>
          <cell r="F136" t="str">
            <v>each</v>
          </cell>
          <cell r="G136">
            <v>299.25</v>
          </cell>
          <cell r="H136">
            <v>476.09999999999997</v>
          </cell>
          <cell r="I136">
            <v>476.09999999999997</v>
          </cell>
          <cell r="J136">
            <v>366.3</v>
          </cell>
        </row>
        <row r="137">
          <cell r="B137" t="str">
            <v>Bell mouth12512</v>
          </cell>
          <cell r="C137" t="str">
            <v>Bell mouth</v>
          </cell>
          <cell r="D137">
            <v>125</v>
          </cell>
          <cell r="E137">
            <v>12</v>
          </cell>
          <cell r="F137" t="str">
            <v>each</v>
          </cell>
          <cell r="G137">
            <v>399</v>
          </cell>
          <cell r="H137">
            <v>634.79999999999995</v>
          </cell>
          <cell r="I137">
            <v>634.79999999999995</v>
          </cell>
          <cell r="J137">
            <v>488.40000000000003</v>
          </cell>
        </row>
        <row r="138">
          <cell r="B138" t="str">
            <v>Bell mouth15015</v>
          </cell>
          <cell r="C138" t="str">
            <v>Bell mouth</v>
          </cell>
          <cell r="D138">
            <v>150</v>
          </cell>
          <cell r="E138">
            <v>15</v>
          </cell>
          <cell r="F138" t="str">
            <v>each</v>
          </cell>
          <cell r="G138">
            <v>498.75</v>
          </cell>
          <cell r="H138">
            <v>793.5</v>
          </cell>
          <cell r="I138">
            <v>793.5</v>
          </cell>
          <cell r="J138">
            <v>610.5</v>
          </cell>
        </row>
        <row r="139">
          <cell r="B139" t="str">
            <v>Bell mouth20023</v>
          </cell>
          <cell r="C139" t="str">
            <v>Bell mouth</v>
          </cell>
          <cell r="D139">
            <v>200</v>
          </cell>
          <cell r="E139">
            <v>23</v>
          </cell>
          <cell r="F139" t="str">
            <v>each</v>
          </cell>
          <cell r="G139">
            <v>764.75</v>
          </cell>
          <cell r="H139">
            <v>1216.7</v>
          </cell>
          <cell r="I139">
            <v>1216.7</v>
          </cell>
          <cell r="J139">
            <v>936.1</v>
          </cell>
        </row>
        <row r="140">
          <cell r="B140" t="str">
            <v>Bell mouth25031</v>
          </cell>
          <cell r="C140" t="str">
            <v>Bell mouth</v>
          </cell>
          <cell r="D140">
            <v>250</v>
          </cell>
          <cell r="E140">
            <v>31</v>
          </cell>
          <cell r="F140" t="str">
            <v>each</v>
          </cell>
          <cell r="G140">
            <v>1030.75</v>
          </cell>
          <cell r="H140">
            <v>1639.8999999999999</v>
          </cell>
          <cell r="I140">
            <v>1639.8999999999999</v>
          </cell>
          <cell r="J140">
            <v>1261.7</v>
          </cell>
        </row>
        <row r="141">
          <cell r="B141" t="str">
            <v>Bell mouth30045</v>
          </cell>
          <cell r="C141" t="str">
            <v>Bell mouth</v>
          </cell>
          <cell r="D141">
            <v>300</v>
          </cell>
          <cell r="E141">
            <v>45</v>
          </cell>
          <cell r="F141" t="str">
            <v>each</v>
          </cell>
          <cell r="G141">
            <v>1496.25</v>
          </cell>
          <cell r="H141">
            <v>2380.5</v>
          </cell>
          <cell r="I141">
            <v>2380.5</v>
          </cell>
          <cell r="J141">
            <v>1831.5000000000002</v>
          </cell>
        </row>
        <row r="142">
          <cell r="B142" t="str">
            <v>Bell mouth35058</v>
          </cell>
          <cell r="C142" t="str">
            <v>Bell mouth</v>
          </cell>
          <cell r="D142">
            <v>350</v>
          </cell>
          <cell r="E142">
            <v>58</v>
          </cell>
          <cell r="F142" t="str">
            <v>each</v>
          </cell>
          <cell r="G142">
            <v>1928.5</v>
          </cell>
          <cell r="H142">
            <v>3068.2</v>
          </cell>
          <cell r="I142">
            <v>3068.2</v>
          </cell>
          <cell r="J142">
            <v>2360.6000000000004</v>
          </cell>
        </row>
        <row r="143">
          <cell r="B143" t="str">
            <v>Bell mouth40080</v>
          </cell>
          <cell r="C143" t="str">
            <v>Bell mouth</v>
          </cell>
          <cell r="D143">
            <v>400</v>
          </cell>
          <cell r="E143">
            <v>80</v>
          </cell>
          <cell r="F143" t="str">
            <v>each</v>
          </cell>
          <cell r="G143">
            <v>2660</v>
          </cell>
          <cell r="H143">
            <v>4232</v>
          </cell>
          <cell r="I143">
            <v>4232</v>
          </cell>
          <cell r="J143">
            <v>3256</v>
          </cell>
        </row>
        <row r="144">
          <cell r="B144" t="str">
            <v>Bell mouth45093</v>
          </cell>
          <cell r="C144" t="str">
            <v>Bell mouth</v>
          </cell>
          <cell r="D144">
            <v>450</v>
          </cell>
          <cell r="E144">
            <v>93</v>
          </cell>
          <cell r="F144" t="str">
            <v>each</v>
          </cell>
          <cell r="G144">
            <v>3092.25</v>
          </cell>
          <cell r="H144">
            <v>4919.7</v>
          </cell>
          <cell r="I144">
            <v>4919.7</v>
          </cell>
          <cell r="J144">
            <v>3785.1000000000004</v>
          </cell>
        </row>
        <row r="145">
          <cell r="B145" t="str">
            <v>Bell mouth500120</v>
          </cell>
          <cell r="C145" t="str">
            <v>Bell mouth</v>
          </cell>
          <cell r="D145">
            <v>500</v>
          </cell>
          <cell r="E145">
            <v>120</v>
          </cell>
          <cell r="F145" t="str">
            <v>each</v>
          </cell>
          <cell r="G145">
            <v>3990</v>
          </cell>
          <cell r="H145">
            <v>6348</v>
          </cell>
          <cell r="I145">
            <v>6348</v>
          </cell>
          <cell r="J145">
            <v>4884</v>
          </cell>
        </row>
        <row r="146">
          <cell r="B146" t="str">
            <v>Bell mouth600201</v>
          </cell>
          <cell r="C146" t="str">
            <v>Bell mouth</v>
          </cell>
          <cell r="D146">
            <v>600</v>
          </cell>
          <cell r="E146">
            <v>201</v>
          </cell>
          <cell r="F146" t="str">
            <v>each</v>
          </cell>
          <cell r="G146">
            <v>6683.25</v>
          </cell>
          <cell r="H146">
            <v>10632.9</v>
          </cell>
          <cell r="I146">
            <v>10632.9</v>
          </cell>
          <cell r="J146">
            <v>8180.7000000000007</v>
          </cell>
        </row>
        <row r="147">
          <cell r="B147" t="str">
            <v>CI D/F Bend 90deg8013</v>
          </cell>
          <cell r="C147" t="str">
            <v>CI D/F Bend 90deg</v>
          </cell>
          <cell r="D147">
            <v>80</v>
          </cell>
          <cell r="E147">
            <v>13</v>
          </cell>
          <cell r="F147" t="str">
            <v>each</v>
          </cell>
          <cell r="G147">
            <v>432.25</v>
          </cell>
          <cell r="H147">
            <v>687.69999999999993</v>
          </cell>
          <cell r="I147">
            <v>687.69999999999993</v>
          </cell>
          <cell r="J147">
            <v>529.1</v>
          </cell>
        </row>
        <row r="148">
          <cell r="B148" t="str">
            <v>CI D/F Bend 90deg10017</v>
          </cell>
          <cell r="C148" t="str">
            <v>CI D/F Bend 90deg</v>
          </cell>
          <cell r="D148">
            <v>100</v>
          </cell>
          <cell r="E148">
            <v>17</v>
          </cell>
          <cell r="F148" t="str">
            <v>each</v>
          </cell>
          <cell r="G148">
            <v>565.25</v>
          </cell>
          <cell r="H148">
            <v>899.3</v>
          </cell>
          <cell r="I148">
            <v>899.3</v>
          </cell>
          <cell r="J148">
            <v>691.90000000000009</v>
          </cell>
        </row>
        <row r="149">
          <cell r="B149" t="str">
            <v>CI D/F Bend 90deg12523</v>
          </cell>
          <cell r="C149" t="str">
            <v>CI D/F Bend 90deg</v>
          </cell>
          <cell r="D149">
            <v>125</v>
          </cell>
          <cell r="E149">
            <v>23</v>
          </cell>
          <cell r="F149" t="str">
            <v>each</v>
          </cell>
          <cell r="G149">
            <v>764.75</v>
          </cell>
          <cell r="H149">
            <v>1216.7</v>
          </cell>
          <cell r="I149">
            <v>1216.7</v>
          </cell>
          <cell r="J149">
            <v>936.1</v>
          </cell>
        </row>
        <row r="150">
          <cell r="B150" t="str">
            <v>CI D/F Bend 90deg15031</v>
          </cell>
          <cell r="C150" t="str">
            <v>CI D/F Bend 90deg</v>
          </cell>
          <cell r="D150">
            <v>150</v>
          </cell>
          <cell r="E150">
            <v>31</v>
          </cell>
          <cell r="F150" t="str">
            <v>each</v>
          </cell>
          <cell r="G150">
            <v>1030.75</v>
          </cell>
          <cell r="H150">
            <v>1639.8999999999999</v>
          </cell>
          <cell r="I150">
            <v>1639.8999999999999</v>
          </cell>
          <cell r="J150">
            <v>1261.7</v>
          </cell>
        </row>
        <row r="151">
          <cell r="B151" t="str">
            <v>CI D/F Bend 90deg20049</v>
          </cell>
          <cell r="C151" t="str">
            <v>CI D/F Bend 90deg</v>
          </cell>
          <cell r="D151">
            <v>200</v>
          </cell>
          <cell r="E151">
            <v>49</v>
          </cell>
          <cell r="F151" t="str">
            <v>each</v>
          </cell>
          <cell r="G151">
            <v>1629.25</v>
          </cell>
          <cell r="H151">
            <v>2592.1</v>
          </cell>
          <cell r="I151">
            <v>2592.1</v>
          </cell>
          <cell r="J151">
            <v>1994.3000000000002</v>
          </cell>
        </row>
        <row r="152">
          <cell r="B152" t="str">
            <v>CI D/F Bend 90deg25072</v>
          </cell>
          <cell r="C152" t="str">
            <v>CI D/F Bend 90deg</v>
          </cell>
          <cell r="D152">
            <v>250</v>
          </cell>
          <cell r="E152">
            <v>72</v>
          </cell>
          <cell r="F152" t="str">
            <v>each</v>
          </cell>
          <cell r="G152">
            <v>2394</v>
          </cell>
          <cell r="H152">
            <v>3808.7999999999997</v>
          </cell>
          <cell r="I152">
            <v>3808.7999999999997</v>
          </cell>
          <cell r="J152">
            <v>2930.4</v>
          </cell>
        </row>
        <row r="153">
          <cell r="B153" t="str">
            <v>CI D/F Bend 90deg300100</v>
          </cell>
          <cell r="C153" t="str">
            <v>CI D/F Bend 90deg</v>
          </cell>
          <cell r="D153">
            <v>300</v>
          </cell>
          <cell r="E153">
            <v>100</v>
          </cell>
          <cell r="F153" t="str">
            <v>each</v>
          </cell>
          <cell r="G153">
            <v>3325</v>
          </cell>
          <cell r="H153">
            <v>5290</v>
          </cell>
          <cell r="I153">
            <v>5290</v>
          </cell>
          <cell r="J153">
            <v>4070.0000000000005</v>
          </cell>
        </row>
        <row r="154">
          <cell r="B154" t="str">
            <v>CI D/F Bend 90deg350137</v>
          </cell>
          <cell r="C154" t="str">
            <v>CI D/F Bend 90deg</v>
          </cell>
          <cell r="D154">
            <v>350</v>
          </cell>
          <cell r="E154">
            <v>137</v>
          </cell>
          <cell r="F154" t="str">
            <v>each</v>
          </cell>
          <cell r="G154">
            <v>4555.25</v>
          </cell>
          <cell r="H154">
            <v>7247.3</v>
          </cell>
          <cell r="I154">
            <v>7247.3</v>
          </cell>
          <cell r="J154">
            <v>5575.9000000000005</v>
          </cell>
        </row>
        <row r="155">
          <cell r="B155" t="str">
            <v>CI D/F Bend 90deg400181</v>
          </cell>
          <cell r="C155" t="str">
            <v>CI D/F Bend 90deg</v>
          </cell>
          <cell r="D155">
            <v>400</v>
          </cell>
          <cell r="E155">
            <v>181</v>
          </cell>
          <cell r="F155" t="str">
            <v>each</v>
          </cell>
          <cell r="G155">
            <v>6018.25</v>
          </cell>
          <cell r="H155">
            <v>9574.9</v>
          </cell>
          <cell r="I155">
            <v>9574.9</v>
          </cell>
          <cell r="J155">
            <v>7366.7000000000007</v>
          </cell>
        </row>
        <row r="156">
          <cell r="B156" t="str">
            <v>CI D/F Bend 90deg450226</v>
          </cell>
          <cell r="C156" t="str">
            <v>CI D/F Bend 90deg</v>
          </cell>
          <cell r="D156">
            <v>450</v>
          </cell>
          <cell r="E156">
            <v>226</v>
          </cell>
          <cell r="F156" t="str">
            <v>each</v>
          </cell>
          <cell r="G156">
            <v>7514.5</v>
          </cell>
          <cell r="H156">
            <v>11955.4</v>
          </cell>
          <cell r="I156">
            <v>11955.4</v>
          </cell>
          <cell r="J156">
            <v>9198.2000000000007</v>
          </cell>
        </row>
        <row r="157">
          <cell r="B157" t="str">
            <v>CI D/F Bend 90deg500290</v>
          </cell>
          <cell r="C157" t="str">
            <v>CI D/F Bend 90deg</v>
          </cell>
          <cell r="D157">
            <v>500</v>
          </cell>
          <cell r="E157">
            <v>290</v>
          </cell>
          <cell r="F157" t="str">
            <v>each</v>
          </cell>
          <cell r="G157">
            <v>9642.5</v>
          </cell>
          <cell r="H157">
            <v>15341</v>
          </cell>
          <cell r="I157">
            <v>15341</v>
          </cell>
          <cell r="J157">
            <v>11803</v>
          </cell>
        </row>
        <row r="158">
          <cell r="B158" t="str">
            <v>CI D/F Bend 90deg600442</v>
          </cell>
          <cell r="C158" t="str">
            <v>CI D/F Bend 90deg</v>
          </cell>
          <cell r="D158">
            <v>600</v>
          </cell>
          <cell r="E158">
            <v>442</v>
          </cell>
          <cell r="F158" t="str">
            <v>each</v>
          </cell>
          <cell r="G158">
            <v>14696.5</v>
          </cell>
          <cell r="H158">
            <v>23381.8</v>
          </cell>
          <cell r="I158">
            <v>23381.8</v>
          </cell>
          <cell r="J158">
            <v>17989.400000000001</v>
          </cell>
        </row>
        <row r="159">
          <cell r="B159" t="str">
            <v>Tail piece8012</v>
          </cell>
          <cell r="C159" t="str">
            <v>Tail piece</v>
          </cell>
          <cell r="D159">
            <v>80</v>
          </cell>
          <cell r="E159">
            <v>12</v>
          </cell>
          <cell r="F159" t="str">
            <v>each</v>
          </cell>
          <cell r="G159">
            <v>399</v>
          </cell>
          <cell r="H159">
            <v>634.79999999999995</v>
          </cell>
          <cell r="I159">
            <v>634.79999999999995</v>
          </cell>
          <cell r="J159">
            <v>488.40000000000003</v>
          </cell>
        </row>
        <row r="160">
          <cell r="B160" t="str">
            <v>Tail piece10013.513</v>
          </cell>
          <cell r="C160" t="str">
            <v>Tail piece</v>
          </cell>
          <cell r="D160">
            <v>100</v>
          </cell>
          <cell r="E160">
            <v>13.513</v>
          </cell>
          <cell r="F160" t="str">
            <v>each</v>
          </cell>
          <cell r="G160">
            <v>449.30725000000001</v>
          </cell>
          <cell r="H160">
            <v>714.83769999999993</v>
          </cell>
          <cell r="I160">
            <v>714.83769999999993</v>
          </cell>
          <cell r="J160">
            <v>549.97910000000002</v>
          </cell>
        </row>
        <row r="161">
          <cell r="B161" t="str">
            <v>Tail piece12519</v>
          </cell>
          <cell r="C161" t="str">
            <v>Tail piece</v>
          </cell>
          <cell r="D161">
            <v>125</v>
          </cell>
          <cell r="E161">
            <v>19</v>
          </cell>
          <cell r="F161" t="str">
            <v>each</v>
          </cell>
          <cell r="G161">
            <v>631.75</v>
          </cell>
          <cell r="H161">
            <v>1005.1</v>
          </cell>
          <cell r="I161">
            <v>1005.1</v>
          </cell>
          <cell r="J161">
            <v>773.30000000000007</v>
          </cell>
        </row>
        <row r="162">
          <cell r="B162" t="str">
            <v>Tail piece15023</v>
          </cell>
          <cell r="C162" t="str">
            <v>Tail piece</v>
          </cell>
          <cell r="D162">
            <v>150</v>
          </cell>
          <cell r="E162">
            <v>23</v>
          </cell>
          <cell r="F162" t="str">
            <v>each</v>
          </cell>
          <cell r="G162">
            <v>764.75</v>
          </cell>
          <cell r="H162">
            <v>1216.7</v>
          </cell>
          <cell r="I162">
            <v>1216.7</v>
          </cell>
          <cell r="J162">
            <v>936.1</v>
          </cell>
        </row>
        <row r="163">
          <cell r="B163" t="str">
            <v>Tail piece20038.97</v>
          </cell>
          <cell r="C163" t="str">
            <v>Tail piece</v>
          </cell>
          <cell r="D163">
            <v>200</v>
          </cell>
          <cell r="E163">
            <v>38.97</v>
          </cell>
          <cell r="F163" t="str">
            <v>each</v>
          </cell>
          <cell r="G163">
            <v>1295.7525000000001</v>
          </cell>
          <cell r="H163">
            <v>2061.5129999999999</v>
          </cell>
          <cell r="I163">
            <v>2061.5129999999999</v>
          </cell>
          <cell r="J163">
            <v>1586.079</v>
          </cell>
        </row>
        <row r="164">
          <cell r="B164" t="str">
            <v>Tail piece25053</v>
          </cell>
          <cell r="C164" t="str">
            <v>Tail piece</v>
          </cell>
          <cell r="D164">
            <v>250</v>
          </cell>
          <cell r="E164">
            <v>53</v>
          </cell>
          <cell r="F164" t="str">
            <v>each</v>
          </cell>
          <cell r="G164">
            <v>1762.25</v>
          </cell>
          <cell r="H164">
            <v>2803.7</v>
          </cell>
          <cell r="I164">
            <v>2803.7</v>
          </cell>
          <cell r="J164">
            <v>2157.1000000000004</v>
          </cell>
        </row>
        <row r="165">
          <cell r="B165" t="str">
            <v>Tail piece30068</v>
          </cell>
          <cell r="C165" t="str">
            <v>Tail piece</v>
          </cell>
          <cell r="D165">
            <v>300</v>
          </cell>
          <cell r="E165">
            <v>68</v>
          </cell>
          <cell r="F165" t="str">
            <v>each</v>
          </cell>
          <cell r="G165">
            <v>2261</v>
          </cell>
          <cell r="H165">
            <v>3597.2</v>
          </cell>
          <cell r="I165">
            <v>3597.2</v>
          </cell>
          <cell r="J165">
            <v>2767.6000000000004</v>
          </cell>
        </row>
        <row r="166">
          <cell r="B166" t="str">
            <v>Tail piece35089.44</v>
          </cell>
          <cell r="C166" t="str">
            <v>Tail piece</v>
          </cell>
          <cell r="D166">
            <v>350</v>
          </cell>
          <cell r="E166">
            <v>89.44</v>
          </cell>
          <cell r="F166" t="str">
            <v>each</v>
          </cell>
          <cell r="G166">
            <v>2973.88</v>
          </cell>
          <cell r="H166">
            <v>4731.3760000000002</v>
          </cell>
          <cell r="I166">
            <v>4731.3760000000002</v>
          </cell>
          <cell r="J166">
            <v>3640.2080000000001</v>
          </cell>
        </row>
        <row r="167">
          <cell r="B167" t="str">
            <v>Tail piece400108.86</v>
          </cell>
          <cell r="C167" t="str">
            <v>Tail piece</v>
          </cell>
          <cell r="D167">
            <v>400</v>
          </cell>
          <cell r="E167">
            <v>108.86</v>
          </cell>
          <cell r="F167" t="str">
            <v>each</v>
          </cell>
          <cell r="G167">
            <v>3619.5949999999998</v>
          </cell>
          <cell r="H167">
            <v>5758.6939999999995</v>
          </cell>
          <cell r="I167">
            <v>5758.6939999999995</v>
          </cell>
          <cell r="J167">
            <v>4430.6019999999999</v>
          </cell>
        </row>
        <row r="168">
          <cell r="B168" t="str">
            <v>Tail piece450127.62</v>
          </cell>
          <cell r="C168" t="str">
            <v>Tail piece</v>
          </cell>
          <cell r="D168">
            <v>450</v>
          </cell>
          <cell r="E168">
            <v>127.62</v>
          </cell>
          <cell r="F168" t="str">
            <v>each</v>
          </cell>
          <cell r="G168">
            <v>4243.3649999999998</v>
          </cell>
          <cell r="H168">
            <v>6751.098</v>
          </cell>
          <cell r="I168">
            <v>6751.098</v>
          </cell>
          <cell r="J168">
            <v>5194.1340000000009</v>
          </cell>
        </row>
        <row r="169">
          <cell r="B169" t="str">
            <v>Tail piece500151.48</v>
          </cell>
          <cell r="C169" t="str">
            <v>Tail piece</v>
          </cell>
          <cell r="D169">
            <v>500</v>
          </cell>
          <cell r="E169">
            <v>151.47999999999999</v>
          </cell>
          <cell r="F169" t="str">
            <v>each</v>
          </cell>
          <cell r="G169">
            <v>5036.71</v>
          </cell>
          <cell r="H169">
            <v>8013.2919999999995</v>
          </cell>
          <cell r="I169">
            <v>8013.2919999999995</v>
          </cell>
          <cell r="J169">
            <v>6165.2359999999999</v>
          </cell>
        </row>
        <row r="170">
          <cell r="B170" t="str">
            <v>Tail piece600204.11</v>
          </cell>
          <cell r="C170" t="str">
            <v>Tail piece</v>
          </cell>
          <cell r="D170">
            <v>600</v>
          </cell>
          <cell r="E170">
            <v>204.11</v>
          </cell>
          <cell r="F170" t="str">
            <v>each</v>
          </cell>
          <cell r="G170">
            <v>6786.6575000000003</v>
          </cell>
          <cell r="H170">
            <v>10797.419</v>
          </cell>
          <cell r="I170">
            <v>10797.419</v>
          </cell>
          <cell r="J170">
            <v>8307.2770000000019</v>
          </cell>
        </row>
        <row r="171">
          <cell r="B171" t="str">
            <v>Duckfoot bend8021</v>
          </cell>
          <cell r="C171" t="str">
            <v>Duckfoot bend</v>
          </cell>
          <cell r="D171">
            <v>80</v>
          </cell>
          <cell r="E171">
            <v>21</v>
          </cell>
          <cell r="F171" t="str">
            <v>each</v>
          </cell>
          <cell r="G171">
            <v>698.25</v>
          </cell>
          <cell r="H171">
            <v>1110.8999999999999</v>
          </cell>
          <cell r="I171">
            <v>1110.8999999999999</v>
          </cell>
          <cell r="J171">
            <v>854.7</v>
          </cell>
        </row>
        <row r="172">
          <cell r="B172" t="str">
            <v>Duckfoot bend10026</v>
          </cell>
          <cell r="C172" t="str">
            <v>Duckfoot bend</v>
          </cell>
          <cell r="D172">
            <v>100</v>
          </cell>
          <cell r="E172">
            <v>26</v>
          </cell>
          <cell r="F172" t="str">
            <v>each</v>
          </cell>
          <cell r="G172">
            <v>864.5</v>
          </cell>
          <cell r="H172">
            <v>1375.3999999999999</v>
          </cell>
          <cell r="I172">
            <v>1375.3999999999999</v>
          </cell>
          <cell r="J172">
            <v>1058.2</v>
          </cell>
        </row>
        <row r="173">
          <cell r="B173" t="str">
            <v>Duckfoot bend12536</v>
          </cell>
          <cell r="C173" t="str">
            <v>Duckfoot bend</v>
          </cell>
          <cell r="D173">
            <v>125</v>
          </cell>
          <cell r="E173">
            <v>36</v>
          </cell>
          <cell r="F173" t="str">
            <v>each</v>
          </cell>
          <cell r="G173">
            <v>1197</v>
          </cell>
          <cell r="H173">
            <v>1904.3999999999999</v>
          </cell>
          <cell r="I173">
            <v>1904.3999999999999</v>
          </cell>
          <cell r="J173">
            <v>1465.2</v>
          </cell>
        </row>
        <row r="174">
          <cell r="B174" t="str">
            <v>Duckfoot bend15046.97</v>
          </cell>
          <cell r="C174" t="str">
            <v>Duckfoot bend</v>
          </cell>
          <cell r="D174">
            <v>150</v>
          </cell>
          <cell r="E174">
            <v>46.97</v>
          </cell>
          <cell r="F174" t="str">
            <v>each</v>
          </cell>
          <cell r="G174">
            <v>1561.7525000000001</v>
          </cell>
          <cell r="H174">
            <v>2484.7129999999997</v>
          </cell>
          <cell r="I174">
            <v>2484.7129999999997</v>
          </cell>
          <cell r="J174">
            <v>1911.6790000000001</v>
          </cell>
        </row>
        <row r="175">
          <cell r="B175" t="str">
            <v>Duckfoot bend20074</v>
          </cell>
          <cell r="C175" t="str">
            <v>Duckfoot bend</v>
          </cell>
          <cell r="D175">
            <v>200</v>
          </cell>
          <cell r="E175">
            <v>74</v>
          </cell>
          <cell r="F175" t="str">
            <v>each</v>
          </cell>
          <cell r="G175">
            <v>2460.5</v>
          </cell>
          <cell r="H175">
            <v>3914.6</v>
          </cell>
          <cell r="I175">
            <v>3914.6</v>
          </cell>
          <cell r="J175">
            <v>3011.8</v>
          </cell>
        </row>
        <row r="176">
          <cell r="B176" t="str">
            <v>Duckfoot bend250111</v>
          </cell>
          <cell r="C176" t="str">
            <v>Duckfoot bend</v>
          </cell>
          <cell r="D176">
            <v>250</v>
          </cell>
          <cell r="E176">
            <v>111</v>
          </cell>
          <cell r="F176" t="str">
            <v>each</v>
          </cell>
          <cell r="G176">
            <v>3690.75</v>
          </cell>
          <cell r="H176">
            <v>5871.9</v>
          </cell>
          <cell r="I176">
            <v>5871.9</v>
          </cell>
          <cell r="J176">
            <v>4517.7000000000007</v>
          </cell>
        </row>
        <row r="177">
          <cell r="B177" t="str">
            <v>Duckfoot bend300156</v>
          </cell>
          <cell r="C177" t="str">
            <v>Duckfoot bend</v>
          </cell>
          <cell r="D177">
            <v>300</v>
          </cell>
          <cell r="E177">
            <v>156</v>
          </cell>
          <cell r="F177" t="str">
            <v>each</v>
          </cell>
          <cell r="G177">
            <v>5187</v>
          </cell>
          <cell r="H177">
            <v>8252.4</v>
          </cell>
          <cell r="I177">
            <v>8252.4</v>
          </cell>
          <cell r="J177">
            <v>6349.2000000000007</v>
          </cell>
        </row>
        <row r="178">
          <cell r="B178" t="str">
            <v>Duckfoot bend350214</v>
          </cell>
          <cell r="C178" t="str">
            <v>Duckfoot bend</v>
          </cell>
          <cell r="D178">
            <v>350</v>
          </cell>
          <cell r="E178">
            <v>214</v>
          </cell>
          <cell r="F178" t="str">
            <v>each</v>
          </cell>
          <cell r="G178">
            <v>7115.5</v>
          </cell>
          <cell r="H178">
            <v>11320.6</v>
          </cell>
          <cell r="I178">
            <v>11320.6</v>
          </cell>
          <cell r="J178">
            <v>8709.8000000000011</v>
          </cell>
        </row>
        <row r="179">
          <cell r="B179" t="str">
            <v>Duckfoot bend400281</v>
          </cell>
          <cell r="C179" t="str">
            <v>Duckfoot bend</v>
          </cell>
          <cell r="D179">
            <v>400</v>
          </cell>
          <cell r="E179">
            <v>281</v>
          </cell>
          <cell r="F179" t="str">
            <v>each</v>
          </cell>
          <cell r="G179">
            <v>9343.25</v>
          </cell>
          <cell r="H179">
            <v>14864.9</v>
          </cell>
          <cell r="I179">
            <v>14864.9</v>
          </cell>
          <cell r="J179">
            <v>11436.7</v>
          </cell>
        </row>
        <row r="180">
          <cell r="B180" t="str">
            <v>Duckfoot bend450350</v>
          </cell>
          <cell r="C180" t="str">
            <v>Duckfoot bend</v>
          </cell>
          <cell r="D180">
            <v>450</v>
          </cell>
          <cell r="E180">
            <v>350</v>
          </cell>
          <cell r="F180" t="str">
            <v>each</v>
          </cell>
          <cell r="G180">
            <v>11637.5</v>
          </cell>
          <cell r="H180">
            <v>18515</v>
          </cell>
          <cell r="I180">
            <v>18515</v>
          </cell>
          <cell r="J180">
            <v>14245.000000000002</v>
          </cell>
        </row>
        <row r="181">
          <cell r="B181" t="str">
            <v>Duckfoot bend500446</v>
          </cell>
          <cell r="C181" t="str">
            <v>Duckfoot bend</v>
          </cell>
          <cell r="D181">
            <v>500</v>
          </cell>
          <cell r="E181">
            <v>446</v>
          </cell>
          <cell r="F181" t="str">
            <v>each</v>
          </cell>
          <cell r="G181">
            <v>14829.5</v>
          </cell>
          <cell r="H181">
            <v>23593.399999999998</v>
          </cell>
          <cell r="I181">
            <v>23593.399999999998</v>
          </cell>
          <cell r="J181">
            <v>18152.2</v>
          </cell>
        </row>
        <row r="182">
          <cell r="B182" t="str">
            <v>Duckfoot bend600677</v>
          </cell>
          <cell r="C182" t="str">
            <v>Duckfoot bend</v>
          </cell>
          <cell r="D182">
            <v>600</v>
          </cell>
          <cell r="E182">
            <v>677</v>
          </cell>
          <cell r="F182" t="str">
            <v>each</v>
          </cell>
          <cell r="G182">
            <v>22510.25</v>
          </cell>
          <cell r="H182">
            <v>35813.299999999996</v>
          </cell>
          <cell r="I182">
            <v>35813.299999999996</v>
          </cell>
          <cell r="J182">
            <v>27553.9</v>
          </cell>
        </row>
        <row r="183">
          <cell r="B183" t="str">
            <v>Semicircular bend8025.44</v>
          </cell>
          <cell r="C183" t="str">
            <v>Semicircular bend</v>
          </cell>
          <cell r="D183">
            <v>80</v>
          </cell>
          <cell r="E183">
            <v>25.44</v>
          </cell>
          <cell r="F183" t="str">
            <v>each</v>
          </cell>
          <cell r="G183">
            <v>845.88</v>
          </cell>
          <cell r="H183">
            <v>1345.7760000000001</v>
          </cell>
          <cell r="I183">
            <v>1345.7760000000001</v>
          </cell>
          <cell r="J183">
            <v>1035.4080000000001</v>
          </cell>
        </row>
        <row r="184">
          <cell r="B184" t="str">
            <v>Semicircular bend10035.35</v>
          </cell>
          <cell r="C184" t="str">
            <v>Semicircular bend</v>
          </cell>
          <cell r="D184">
            <v>100</v>
          </cell>
          <cell r="E184">
            <v>35.35</v>
          </cell>
          <cell r="F184" t="str">
            <v>each</v>
          </cell>
          <cell r="G184">
            <v>1175.3875</v>
          </cell>
          <cell r="H184">
            <v>1870.0150000000001</v>
          </cell>
          <cell r="I184">
            <v>1870.0150000000001</v>
          </cell>
          <cell r="J184">
            <v>1438.7450000000001</v>
          </cell>
        </row>
        <row r="185">
          <cell r="B185" t="str">
            <v>Semicircular bend12550.8</v>
          </cell>
          <cell r="C185" t="str">
            <v>Semicircular bend</v>
          </cell>
          <cell r="D185">
            <v>125</v>
          </cell>
          <cell r="E185">
            <v>50.8</v>
          </cell>
          <cell r="F185" t="str">
            <v>each</v>
          </cell>
          <cell r="G185">
            <v>1689.1</v>
          </cell>
          <cell r="H185">
            <v>2687.3199999999997</v>
          </cell>
          <cell r="I185">
            <v>2687.3199999999997</v>
          </cell>
          <cell r="J185">
            <v>2067.56</v>
          </cell>
        </row>
        <row r="186">
          <cell r="B186" t="str">
            <v>Semicircular bend15071.12</v>
          </cell>
          <cell r="C186" t="str">
            <v>Semicircular bend</v>
          </cell>
          <cell r="D186">
            <v>150</v>
          </cell>
          <cell r="E186">
            <v>71.12</v>
          </cell>
          <cell r="F186" t="str">
            <v>each</v>
          </cell>
          <cell r="G186">
            <v>2364.7400000000002</v>
          </cell>
          <cell r="H186">
            <v>3762.248</v>
          </cell>
          <cell r="I186">
            <v>3762.248</v>
          </cell>
          <cell r="J186">
            <v>2894.5840000000003</v>
          </cell>
        </row>
        <row r="187">
          <cell r="B187" t="str">
            <v>Semicircular bend200116.85</v>
          </cell>
          <cell r="C187" t="str">
            <v>Semicircular bend</v>
          </cell>
          <cell r="D187">
            <v>200</v>
          </cell>
          <cell r="E187">
            <v>116.85</v>
          </cell>
          <cell r="F187" t="str">
            <v>each</v>
          </cell>
          <cell r="G187">
            <v>3885.2624999999998</v>
          </cell>
          <cell r="H187">
            <v>6181.3649999999998</v>
          </cell>
          <cell r="I187">
            <v>6181.3649999999998</v>
          </cell>
          <cell r="J187">
            <v>4755.7950000000001</v>
          </cell>
        </row>
        <row r="188">
          <cell r="B188" t="str">
            <v>Sluice valve80</v>
          </cell>
          <cell r="C188" t="str">
            <v>Sluice valve</v>
          </cell>
          <cell r="D188">
            <v>80</v>
          </cell>
          <cell r="E188">
            <v>0</v>
          </cell>
          <cell r="F188" t="str">
            <v>each</v>
          </cell>
          <cell r="G188">
            <v>3273</v>
          </cell>
          <cell r="H188">
            <v>4255</v>
          </cell>
          <cell r="I188">
            <v>4255</v>
          </cell>
          <cell r="J188">
            <v>4255</v>
          </cell>
        </row>
        <row r="189">
          <cell r="B189" t="str">
            <v>Sluice valve100</v>
          </cell>
          <cell r="C189" t="str">
            <v>Sluice valve</v>
          </cell>
          <cell r="D189">
            <v>100</v>
          </cell>
          <cell r="E189">
            <v>0</v>
          </cell>
          <cell r="F189" t="str">
            <v>each</v>
          </cell>
          <cell r="G189">
            <v>4364</v>
          </cell>
          <cell r="H189">
            <v>5673</v>
          </cell>
          <cell r="I189">
            <v>5673</v>
          </cell>
          <cell r="J189">
            <v>5673</v>
          </cell>
        </row>
        <row r="190">
          <cell r="B190" t="str">
            <v>Sluice valve125</v>
          </cell>
          <cell r="C190" t="str">
            <v>Sluice valve</v>
          </cell>
          <cell r="D190">
            <v>125</v>
          </cell>
          <cell r="E190">
            <v>0</v>
          </cell>
          <cell r="F190" t="str">
            <v>each</v>
          </cell>
          <cell r="G190">
            <v>5454</v>
          </cell>
          <cell r="H190">
            <v>7090</v>
          </cell>
          <cell r="I190">
            <v>7090</v>
          </cell>
          <cell r="J190">
            <v>7090</v>
          </cell>
        </row>
        <row r="191">
          <cell r="B191" t="str">
            <v>Sluice valve150</v>
          </cell>
          <cell r="C191" t="str">
            <v>Sluice valve</v>
          </cell>
          <cell r="D191">
            <v>150</v>
          </cell>
          <cell r="E191">
            <v>0</v>
          </cell>
          <cell r="F191" t="str">
            <v>each</v>
          </cell>
          <cell r="G191">
            <v>6545</v>
          </cell>
          <cell r="H191">
            <v>8509</v>
          </cell>
          <cell r="I191">
            <v>8509</v>
          </cell>
          <cell r="J191">
            <v>8509</v>
          </cell>
        </row>
        <row r="192">
          <cell r="B192" t="str">
            <v>Sluice valve200</v>
          </cell>
          <cell r="C192" t="str">
            <v>Sluice valve</v>
          </cell>
          <cell r="D192">
            <v>200</v>
          </cell>
          <cell r="E192">
            <v>0</v>
          </cell>
          <cell r="F192" t="str">
            <v>each</v>
          </cell>
          <cell r="G192">
            <v>11472</v>
          </cell>
          <cell r="H192">
            <v>14914</v>
          </cell>
          <cell r="I192">
            <v>14914</v>
          </cell>
          <cell r="J192">
            <v>14914</v>
          </cell>
        </row>
        <row r="193">
          <cell r="B193" t="str">
            <v>Sluice valve250</v>
          </cell>
          <cell r="C193" t="str">
            <v>Sluice valve</v>
          </cell>
          <cell r="D193">
            <v>250</v>
          </cell>
          <cell r="E193">
            <v>0</v>
          </cell>
          <cell r="F193" t="str">
            <v>each</v>
          </cell>
          <cell r="G193">
            <v>16226</v>
          </cell>
          <cell r="H193">
            <v>21094</v>
          </cell>
          <cell r="I193">
            <v>21094</v>
          </cell>
          <cell r="J193">
            <v>21094</v>
          </cell>
        </row>
        <row r="194">
          <cell r="B194" t="str">
            <v>Sluice valve300</v>
          </cell>
          <cell r="C194" t="str">
            <v>Sluice valve</v>
          </cell>
          <cell r="D194">
            <v>300</v>
          </cell>
          <cell r="E194">
            <v>0</v>
          </cell>
          <cell r="F194" t="str">
            <v>each</v>
          </cell>
          <cell r="G194">
            <v>22274</v>
          </cell>
          <cell r="H194">
            <v>28956</v>
          </cell>
          <cell r="I194">
            <v>28956</v>
          </cell>
          <cell r="J194">
            <v>28956</v>
          </cell>
        </row>
        <row r="195">
          <cell r="B195" t="str">
            <v>Sluice valve350</v>
          </cell>
          <cell r="C195" t="str">
            <v>Sluice valve</v>
          </cell>
          <cell r="D195">
            <v>350</v>
          </cell>
          <cell r="E195">
            <v>0</v>
          </cell>
          <cell r="F195" t="str">
            <v>each</v>
          </cell>
          <cell r="G195">
            <v>50087</v>
          </cell>
          <cell r="H195">
            <v>71629</v>
          </cell>
          <cell r="I195">
            <v>71629</v>
          </cell>
          <cell r="J195">
            <v>71629</v>
          </cell>
        </row>
        <row r="196">
          <cell r="B196" t="str">
            <v>Sluice valve400</v>
          </cell>
          <cell r="C196" t="str">
            <v>Sluice valve</v>
          </cell>
          <cell r="D196">
            <v>400</v>
          </cell>
          <cell r="E196">
            <v>0</v>
          </cell>
          <cell r="F196" t="str">
            <v>each</v>
          </cell>
          <cell r="G196">
            <v>59372</v>
          </cell>
          <cell r="H196">
            <v>89548</v>
          </cell>
          <cell r="I196">
            <v>89548</v>
          </cell>
          <cell r="J196">
            <v>89548</v>
          </cell>
        </row>
        <row r="197">
          <cell r="B197" t="str">
            <v>Sluice valve450</v>
          </cell>
          <cell r="C197" t="str">
            <v>Sluice valve</v>
          </cell>
          <cell r="D197">
            <v>450</v>
          </cell>
          <cell r="E197">
            <v>0</v>
          </cell>
          <cell r="F197" t="str">
            <v>each</v>
          </cell>
          <cell r="G197">
            <v>74549</v>
          </cell>
          <cell r="H197">
            <v>112411</v>
          </cell>
          <cell r="I197">
            <v>112411</v>
          </cell>
          <cell r="J197">
            <v>112411</v>
          </cell>
        </row>
        <row r="198">
          <cell r="B198" t="str">
            <v>Sluice valve500</v>
          </cell>
          <cell r="C198" t="str">
            <v>Sluice valve</v>
          </cell>
          <cell r="D198">
            <v>500</v>
          </cell>
          <cell r="E198">
            <v>0</v>
          </cell>
          <cell r="F198" t="str">
            <v>each</v>
          </cell>
          <cell r="G198">
            <v>85525</v>
          </cell>
          <cell r="H198">
            <v>129168</v>
          </cell>
          <cell r="I198">
            <v>129168</v>
          </cell>
          <cell r="J198">
            <v>129168</v>
          </cell>
        </row>
        <row r="199">
          <cell r="B199" t="str">
            <v>Sluice valve600</v>
          </cell>
          <cell r="C199" t="str">
            <v>Sluice valve</v>
          </cell>
          <cell r="D199">
            <v>600</v>
          </cell>
          <cell r="E199">
            <v>0</v>
          </cell>
          <cell r="F199" t="str">
            <v>each</v>
          </cell>
          <cell r="G199">
            <v>125270</v>
          </cell>
          <cell r="H199">
            <v>191519</v>
          </cell>
          <cell r="I199">
            <v>191519</v>
          </cell>
          <cell r="J199">
            <v>191519</v>
          </cell>
        </row>
        <row r="200">
          <cell r="B200" t="str">
            <v>MTAs63mm</v>
          </cell>
          <cell r="C200" t="str">
            <v>MTAs</v>
          </cell>
          <cell r="D200" t="str">
            <v>63mm</v>
          </cell>
          <cell r="E200" t="str">
            <v>PVC</v>
          </cell>
          <cell r="F200" t="str">
            <v>each</v>
          </cell>
          <cell r="G200">
            <v>50</v>
          </cell>
          <cell r="H200">
            <v>58</v>
          </cell>
          <cell r="I200">
            <v>67</v>
          </cell>
        </row>
        <row r="201">
          <cell r="B201" t="str">
            <v>MTAs75mm</v>
          </cell>
          <cell r="C201" t="str">
            <v>MTAs</v>
          </cell>
          <cell r="D201" t="str">
            <v>75mm</v>
          </cell>
          <cell r="E201" t="str">
            <v>PVC</v>
          </cell>
          <cell r="F201" t="str">
            <v>each</v>
          </cell>
          <cell r="G201">
            <v>70</v>
          </cell>
          <cell r="H201">
            <v>81</v>
          </cell>
          <cell r="I201">
            <v>93</v>
          </cell>
        </row>
        <row r="202">
          <cell r="B202" t="str">
            <v>MTAs90mm</v>
          </cell>
          <cell r="C202" t="str">
            <v>MTAs</v>
          </cell>
          <cell r="D202" t="str">
            <v>90mm</v>
          </cell>
          <cell r="E202" t="str">
            <v>PVC</v>
          </cell>
          <cell r="F202" t="str">
            <v>each</v>
          </cell>
          <cell r="G202">
            <v>90</v>
          </cell>
          <cell r="H202">
            <v>104</v>
          </cell>
          <cell r="I202">
            <v>120</v>
          </cell>
        </row>
        <row r="203">
          <cell r="B203" t="str">
            <v>MTAs110mm</v>
          </cell>
          <cell r="C203" t="str">
            <v>MTAs</v>
          </cell>
          <cell r="D203" t="str">
            <v>110mm</v>
          </cell>
          <cell r="E203" t="str">
            <v>PVC</v>
          </cell>
          <cell r="F203" t="str">
            <v>each</v>
          </cell>
          <cell r="G203">
            <v>100</v>
          </cell>
          <cell r="H203">
            <v>115</v>
          </cell>
          <cell r="I203">
            <v>132</v>
          </cell>
        </row>
        <row r="204">
          <cell r="B204" t="str">
            <v>MTAs125mm</v>
          </cell>
          <cell r="C204" t="str">
            <v>MTAs</v>
          </cell>
          <cell r="D204" t="str">
            <v>125mm</v>
          </cell>
          <cell r="E204" t="str">
            <v>PVC</v>
          </cell>
          <cell r="F204" t="str">
            <v>each</v>
          </cell>
          <cell r="G204">
            <v>142</v>
          </cell>
          <cell r="H204">
            <v>163</v>
          </cell>
          <cell r="I204">
            <v>187</v>
          </cell>
        </row>
        <row r="205">
          <cell r="B205" t="str">
            <v>MTAs140mm</v>
          </cell>
          <cell r="C205" t="str">
            <v>MTAs</v>
          </cell>
          <cell r="D205" t="str">
            <v>140mm</v>
          </cell>
          <cell r="E205" t="str">
            <v>PVC</v>
          </cell>
          <cell r="F205" t="str">
            <v>each</v>
          </cell>
          <cell r="G205">
            <v>165</v>
          </cell>
          <cell r="H205">
            <v>190</v>
          </cell>
          <cell r="I205">
            <v>219</v>
          </cell>
        </row>
        <row r="206">
          <cell r="B206" t="str">
            <v>MTAs160mm</v>
          </cell>
          <cell r="C206" t="str">
            <v>MTAs</v>
          </cell>
          <cell r="D206" t="str">
            <v>160mm</v>
          </cell>
          <cell r="E206" t="str">
            <v>PVC</v>
          </cell>
          <cell r="F206" t="str">
            <v>each</v>
          </cell>
          <cell r="G206">
            <v>188</v>
          </cell>
          <cell r="H206">
            <v>216</v>
          </cell>
          <cell r="I206">
            <v>248</v>
          </cell>
        </row>
        <row r="207">
          <cell r="B207" t="str">
            <v>MTAs180mm</v>
          </cell>
          <cell r="C207" t="str">
            <v>MTAs</v>
          </cell>
          <cell r="D207" t="str">
            <v>180mm</v>
          </cell>
          <cell r="E207" t="str">
            <v>PVC</v>
          </cell>
          <cell r="F207" t="str">
            <v>each</v>
          </cell>
          <cell r="G207">
            <v>220</v>
          </cell>
          <cell r="H207">
            <v>253</v>
          </cell>
          <cell r="I207">
            <v>291</v>
          </cell>
        </row>
        <row r="208">
          <cell r="B208" t="str">
            <v>MTAs200mm</v>
          </cell>
          <cell r="C208" t="str">
            <v>MTAs</v>
          </cell>
          <cell r="D208" t="str">
            <v>200mm</v>
          </cell>
          <cell r="E208" t="str">
            <v>PVC</v>
          </cell>
          <cell r="F208" t="str">
            <v>each</v>
          </cell>
          <cell r="G208">
            <v>260</v>
          </cell>
          <cell r="H208">
            <v>299</v>
          </cell>
          <cell r="I208">
            <v>344</v>
          </cell>
        </row>
        <row r="209">
          <cell r="B209" t="str">
            <v>MTAs225mm</v>
          </cell>
          <cell r="C209" t="str">
            <v>MTAs</v>
          </cell>
          <cell r="D209" t="str">
            <v>225mm</v>
          </cell>
          <cell r="E209" t="str">
            <v>PVC</v>
          </cell>
          <cell r="F209" t="str">
            <v>each</v>
          </cell>
          <cell r="G209">
            <v>280</v>
          </cell>
          <cell r="H209">
            <v>322</v>
          </cell>
          <cell r="I209">
            <v>370</v>
          </cell>
        </row>
        <row r="210">
          <cell r="B210" t="str">
            <v>MTAs250mm</v>
          </cell>
          <cell r="C210" t="str">
            <v>MTAs</v>
          </cell>
          <cell r="D210" t="str">
            <v>250mm</v>
          </cell>
          <cell r="E210" t="str">
            <v>PVC</v>
          </cell>
          <cell r="F210" t="str">
            <v>each</v>
          </cell>
          <cell r="G210">
            <v>340</v>
          </cell>
          <cell r="H210">
            <v>391</v>
          </cell>
          <cell r="I210">
            <v>450</v>
          </cell>
        </row>
        <row r="211">
          <cell r="B211" t="str">
            <v>MTAs280mm</v>
          </cell>
          <cell r="C211" t="str">
            <v>MTAs</v>
          </cell>
          <cell r="D211" t="str">
            <v>280mm</v>
          </cell>
          <cell r="E211" t="str">
            <v>PVC</v>
          </cell>
          <cell r="F211" t="str">
            <v>each</v>
          </cell>
          <cell r="G211">
            <v>380</v>
          </cell>
          <cell r="H211">
            <v>437</v>
          </cell>
          <cell r="I211">
            <v>503</v>
          </cell>
        </row>
        <row r="212">
          <cell r="B212" t="str">
            <v>MTAs315mm</v>
          </cell>
          <cell r="C212" t="str">
            <v>MTAs</v>
          </cell>
          <cell r="D212" t="str">
            <v>315mm</v>
          </cell>
          <cell r="E212" t="str">
            <v>PVC</v>
          </cell>
          <cell r="F212" t="str">
            <v>each</v>
          </cell>
          <cell r="G212">
            <v>420</v>
          </cell>
          <cell r="H212">
            <v>483</v>
          </cell>
          <cell r="I212">
            <v>555</v>
          </cell>
        </row>
        <row r="213">
          <cell r="B213" t="str">
            <v>MS threaded flanges63mm</v>
          </cell>
          <cell r="C213" t="str">
            <v>MS threaded flanges</v>
          </cell>
          <cell r="D213" t="str">
            <v>63mm</v>
          </cell>
          <cell r="E213" t="str">
            <v>PVC</v>
          </cell>
          <cell r="F213" t="str">
            <v>each</v>
          </cell>
          <cell r="G213">
            <v>296</v>
          </cell>
          <cell r="H213">
            <v>340</v>
          </cell>
          <cell r="I213">
            <v>391</v>
          </cell>
        </row>
        <row r="214">
          <cell r="B214" t="str">
            <v>MS threaded flanges75mm</v>
          </cell>
          <cell r="C214" t="str">
            <v>MS threaded flanges</v>
          </cell>
          <cell r="D214" t="str">
            <v>75mm</v>
          </cell>
          <cell r="E214" t="str">
            <v>PVC</v>
          </cell>
          <cell r="F214" t="str">
            <v>each</v>
          </cell>
          <cell r="G214">
            <v>296</v>
          </cell>
          <cell r="H214">
            <v>340</v>
          </cell>
          <cell r="I214">
            <v>391</v>
          </cell>
        </row>
        <row r="215">
          <cell r="B215" t="str">
            <v>MS threaded flanges90mm</v>
          </cell>
          <cell r="C215" t="str">
            <v>MS threaded flanges</v>
          </cell>
          <cell r="D215" t="str">
            <v>90mm</v>
          </cell>
          <cell r="E215" t="str">
            <v>PVC</v>
          </cell>
          <cell r="F215" t="str">
            <v>each</v>
          </cell>
          <cell r="G215">
            <v>296</v>
          </cell>
          <cell r="H215">
            <v>340</v>
          </cell>
          <cell r="I215">
            <v>391</v>
          </cell>
        </row>
        <row r="216">
          <cell r="B216" t="str">
            <v>MS threaded flanges110mm</v>
          </cell>
          <cell r="C216" t="str">
            <v>MS threaded flanges</v>
          </cell>
          <cell r="D216" t="str">
            <v>110mm</v>
          </cell>
          <cell r="E216" t="str">
            <v>PVC</v>
          </cell>
          <cell r="F216" t="str">
            <v>each</v>
          </cell>
          <cell r="G216">
            <v>360</v>
          </cell>
          <cell r="H216">
            <v>414</v>
          </cell>
          <cell r="I216">
            <v>476</v>
          </cell>
        </row>
        <row r="217">
          <cell r="B217" t="str">
            <v>MS threaded flanges125mm</v>
          </cell>
          <cell r="C217" t="str">
            <v>MS threaded flanges</v>
          </cell>
          <cell r="D217" t="str">
            <v>125mm</v>
          </cell>
          <cell r="E217" t="str">
            <v>PVC</v>
          </cell>
          <cell r="F217" t="str">
            <v>each</v>
          </cell>
          <cell r="G217">
            <v>484</v>
          </cell>
          <cell r="H217">
            <v>557</v>
          </cell>
          <cell r="I217">
            <v>641</v>
          </cell>
        </row>
        <row r="218">
          <cell r="B218" t="str">
            <v>MS threaded flanges140mm</v>
          </cell>
          <cell r="C218" t="str">
            <v>MS threaded flanges</v>
          </cell>
          <cell r="D218" t="str">
            <v>140mm</v>
          </cell>
          <cell r="E218" t="str">
            <v>PVC</v>
          </cell>
          <cell r="F218" t="str">
            <v>each</v>
          </cell>
          <cell r="G218">
            <v>564</v>
          </cell>
          <cell r="H218">
            <v>649</v>
          </cell>
          <cell r="I218">
            <v>746</v>
          </cell>
        </row>
        <row r="219">
          <cell r="B219" t="str">
            <v>MS threaded flanges160mm</v>
          </cell>
          <cell r="C219" t="str">
            <v>MS threaded flanges</v>
          </cell>
          <cell r="D219" t="str">
            <v>160mm</v>
          </cell>
          <cell r="E219" t="str">
            <v>PVC</v>
          </cell>
          <cell r="F219" t="str">
            <v>each</v>
          </cell>
          <cell r="G219">
            <v>564</v>
          </cell>
          <cell r="H219">
            <v>649</v>
          </cell>
          <cell r="I219">
            <v>746</v>
          </cell>
        </row>
        <row r="220">
          <cell r="B220" t="str">
            <v>MS threaded flanges180mm</v>
          </cell>
          <cell r="C220" t="str">
            <v>MS threaded flanges</v>
          </cell>
          <cell r="D220" t="str">
            <v>180mm</v>
          </cell>
          <cell r="E220" t="str">
            <v>PVC</v>
          </cell>
          <cell r="F220" t="str">
            <v>each</v>
          </cell>
          <cell r="G220">
            <v>764</v>
          </cell>
          <cell r="H220">
            <v>879</v>
          </cell>
          <cell r="I220">
            <v>1011</v>
          </cell>
        </row>
        <row r="221">
          <cell r="B221" t="str">
            <v>MS threaded flanges200mm</v>
          </cell>
          <cell r="C221" t="str">
            <v>MS threaded flanges</v>
          </cell>
          <cell r="D221" t="str">
            <v>200mm</v>
          </cell>
          <cell r="E221" t="str">
            <v>PVC</v>
          </cell>
          <cell r="F221" t="str">
            <v>each</v>
          </cell>
          <cell r="G221">
            <v>780</v>
          </cell>
          <cell r="H221">
            <v>897</v>
          </cell>
          <cell r="I221">
            <v>1032</v>
          </cell>
        </row>
        <row r="222">
          <cell r="B222" t="str">
            <v>MS threaded flanges225mm</v>
          </cell>
          <cell r="C222" t="str">
            <v>MS threaded flanges</v>
          </cell>
          <cell r="D222" t="str">
            <v>225mm</v>
          </cell>
          <cell r="E222" t="str">
            <v>PVC</v>
          </cell>
          <cell r="F222" t="str">
            <v>each</v>
          </cell>
          <cell r="G222">
            <v>825</v>
          </cell>
          <cell r="H222">
            <v>949</v>
          </cell>
          <cell r="I222">
            <v>1091</v>
          </cell>
        </row>
        <row r="223">
          <cell r="B223" t="str">
            <v>MS threaded flanges250mm</v>
          </cell>
          <cell r="C223" t="str">
            <v>MS threaded flanges</v>
          </cell>
          <cell r="D223" t="str">
            <v>250mm</v>
          </cell>
          <cell r="E223" t="str">
            <v>PVC</v>
          </cell>
          <cell r="F223" t="str">
            <v>each</v>
          </cell>
          <cell r="G223">
            <v>840</v>
          </cell>
          <cell r="H223">
            <v>966</v>
          </cell>
          <cell r="I223">
            <v>1111</v>
          </cell>
        </row>
        <row r="224">
          <cell r="B224" t="str">
            <v>MS threaded flanges280mm</v>
          </cell>
          <cell r="C224" t="str">
            <v>MS threaded flanges</v>
          </cell>
          <cell r="D224" t="str">
            <v>280mm</v>
          </cell>
          <cell r="E224" t="str">
            <v>PVC</v>
          </cell>
          <cell r="F224" t="str">
            <v>each</v>
          </cell>
          <cell r="G224">
            <v>860</v>
          </cell>
          <cell r="H224">
            <v>989</v>
          </cell>
          <cell r="I224">
            <v>1137</v>
          </cell>
        </row>
        <row r="225">
          <cell r="B225" t="str">
            <v>MS threaded flanges315mm</v>
          </cell>
          <cell r="C225" t="str">
            <v>MS threaded flanges</v>
          </cell>
          <cell r="D225" t="str">
            <v>315mm</v>
          </cell>
          <cell r="E225" t="str">
            <v>PVC</v>
          </cell>
          <cell r="F225" t="str">
            <v>each</v>
          </cell>
          <cell r="G225">
            <v>860</v>
          </cell>
          <cell r="H225">
            <v>989</v>
          </cell>
          <cell r="I225">
            <v>1137</v>
          </cell>
        </row>
        <row r="226">
          <cell r="B226" t="str">
            <v>Jointing charges-Main line63mmPVC</v>
          </cell>
          <cell r="C226" t="str">
            <v>Jointing charges-Main line</v>
          </cell>
          <cell r="D226" t="str">
            <v>63mm</v>
          </cell>
          <cell r="E226" t="str">
            <v>PVC</v>
          </cell>
          <cell r="F226" t="str">
            <v>each</v>
          </cell>
          <cell r="G226">
            <v>147.16</v>
          </cell>
          <cell r="H226">
            <v>147.16</v>
          </cell>
          <cell r="I226">
            <v>147.16</v>
          </cell>
        </row>
        <row r="227">
          <cell r="B227" t="str">
            <v>Jointing charges-Main line75mmPVC</v>
          </cell>
          <cell r="C227" t="str">
            <v>Jointing charges-Main line</v>
          </cell>
          <cell r="D227" t="str">
            <v>75mm</v>
          </cell>
          <cell r="E227" t="str">
            <v>PVC</v>
          </cell>
          <cell r="F227" t="str">
            <v>each</v>
          </cell>
          <cell r="G227">
            <v>147.16</v>
          </cell>
          <cell r="H227">
            <v>147.16</v>
          </cell>
          <cell r="I227">
            <v>147.16</v>
          </cell>
        </row>
        <row r="228">
          <cell r="B228" t="str">
            <v>Jointing charges-Main line90mmPVC</v>
          </cell>
          <cell r="C228" t="str">
            <v>Jointing charges-Main line</v>
          </cell>
          <cell r="D228" t="str">
            <v>90mm</v>
          </cell>
          <cell r="E228" t="str">
            <v>PVC</v>
          </cell>
          <cell r="F228" t="str">
            <v>each</v>
          </cell>
          <cell r="G228">
            <v>147.16</v>
          </cell>
          <cell r="H228">
            <v>147.16</v>
          </cell>
          <cell r="I228">
            <v>147.16</v>
          </cell>
        </row>
        <row r="229">
          <cell r="B229" t="str">
            <v>Jointing charges-Main line110mmPVC</v>
          </cell>
          <cell r="C229" t="str">
            <v>Jointing charges-Main line</v>
          </cell>
          <cell r="D229" t="str">
            <v>110mm</v>
          </cell>
          <cell r="E229" t="str">
            <v>PVC</v>
          </cell>
          <cell r="F229" t="str">
            <v>each</v>
          </cell>
          <cell r="G229">
            <v>264.36</v>
          </cell>
          <cell r="H229">
            <v>264.36</v>
          </cell>
          <cell r="I229">
            <v>264.36</v>
          </cell>
        </row>
        <row r="230">
          <cell r="B230" t="str">
            <v>Jointing charges-Main line125mmPVC</v>
          </cell>
          <cell r="C230" t="str">
            <v>Jointing charges-Main line</v>
          </cell>
          <cell r="D230" t="str">
            <v>125mm</v>
          </cell>
          <cell r="E230" t="str">
            <v>PVC</v>
          </cell>
          <cell r="F230" t="str">
            <v>each</v>
          </cell>
          <cell r="G230">
            <v>276.5</v>
          </cell>
          <cell r="H230">
            <v>276.5</v>
          </cell>
          <cell r="I230">
            <v>276.5</v>
          </cell>
        </row>
        <row r="231">
          <cell r="B231" t="str">
            <v>Jointing charges-Main line140mmPVC</v>
          </cell>
          <cell r="C231" t="str">
            <v>Jointing charges-Main line</v>
          </cell>
          <cell r="D231" t="str">
            <v>140mm</v>
          </cell>
          <cell r="E231" t="str">
            <v>PVC</v>
          </cell>
          <cell r="F231" t="str">
            <v>each</v>
          </cell>
          <cell r="G231">
            <v>364.94</v>
          </cell>
          <cell r="H231">
            <v>364.94</v>
          </cell>
          <cell r="I231">
            <v>364.94</v>
          </cell>
        </row>
        <row r="232">
          <cell r="B232" t="str">
            <v>Jointing charges-Main line160mmPVC</v>
          </cell>
          <cell r="C232" t="str">
            <v>Jointing charges-Main line</v>
          </cell>
          <cell r="D232" t="str">
            <v>160mm</v>
          </cell>
          <cell r="E232" t="str">
            <v>PVC</v>
          </cell>
          <cell r="F232" t="str">
            <v>each</v>
          </cell>
          <cell r="G232">
            <v>364.94</v>
          </cell>
          <cell r="H232">
            <v>364.94</v>
          </cell>
          <cell r="I232">
            <v>364.94</v>
          </cell>
        </row>
        <row r="233">
          <cell r="B233" t="str">
            <v>Jointing charges-Main line180mmPVC</v>
          </cell>
          <cell r="C233" t="str">
            <v>Jointing charges-Main line</v>
          </cell>
          <cell r="D233" t="str">
            <v>180mm</v>
          </cell>
          <cell r="E233" t="str">
            <v>PVC</v>
          </cell>
          <cell r="F233" t="str">
            <v>each</v>
          </cell>
          <cell r="G233">
            <v>364.94</v>
          </cell>
          <cell r="H233">
            <v>364.94</v>
          </cell>
          <cell r="I233">
            <v>364.94</v>
          </cell>
        </row>
        <row r="234">
          <cell r="B234" t="str">
            <v>Jointing charges-Main line200mmPVC</v>
          </cell>
          <cell r="C234" t="str">
            <v>Jointing charges-Main line</v>
          </cell>
          <cell r="D234" t="str">
            <v>200mm</v>
          </cell>
          <cell r="E234" t="str">
            <v>PVC</v>
          </cell>
          <cell r="F234" t="str">
            <v>each</v>
          </cell>
          <cell r="G234">
            <v>387.88</v>
          </cell>
          <cell r="H234">
            <v>387.88</v>
          </cell>
          <cell r="I234">
            <v>387.88</v>
          </cell>
        </row>
        <row r="235">
          <cell r="B235" t="str">
            <v>Jointing charges-Main line225mmPVC</v>
          </cell>
          <cell r="C235" t="str">
            <v>Jointing charges-Main line</v>
          </cell>
          <cell r="D235" t="str">
            <v>225mm</v>
          </cell>
          <cell r="E235" t="str">
            <v>PVC</v>
          </cell>
          <cell r="F235" t="str">
            <v>each</v>
          </cell>
          <cell r="G235">
            <v>387.88</v>
          </cell>
          <cell r="H235">
            <v>387.88</v>
          </cell>
          <cell r="I235">
            <v>387.88</v>
          </cell>
        </row>
        <row r="236">
          <cell r="B236" t="str">
            <v>Jointing charges-Main line250mmPVC</v>
          </cell>
          <cell r="C236" t="str">
            <v>Jointing charges-Main line</v>
          </cell>
          <cell r="D236" t="str">
            <v>250mm</v>
          </cell>
          <cell r="E236" t="str">
            <v>PVC</v>
          </cell>
          <cell r="F236" t="str">
            <v>each</v>
          </cell>
          <cell r="G236">
            <v>567.64</v>
          </cell>
          <cell r="H236">
            <v>567.64</v>
          </cell>
          <cell r="I236">
            <v>567.64</v>
          </cell>
        </row>
        <row r="237">
          <cell r="B237" t="str">
            <v>Jointing charges-Main line280mmPVC</v>
          </cell>
          <cell r="C237" t="str">
            <v>Jointing charges-Main line</v>
          </cell>
          <cell r="D237" t="str">
            <v>280mm</v>
          </cell>
          <cell r="E237" t="str">
            <v>PVC</v>
          </cell>
          <cell r="F237" t="str">
            <v>each</v>
          </cell>
          <cell r="G237">
            <v>567.64</v>
          </cell>
          <cell r="H237">
            <v>567.64</v>
          </cell>
          <cell r="I237">
            <v>567.64</v>
          </cell>
        </row>
        <row r="238">
          <cell r="B238" t="str">
            <v>Jointing charges-Main line315mmPVC</v>
          </cell>
          <cell r="C238" t="str">
            <v>Jointing charges-Main line</v>
          </cell>
          <cell r="D238" t="str">
            <v>315mm</v>
          </cell>
          <cell r="E238" t="str">
            <v>PVC</v>
          </cell>
          <cell r="F238" t="str">
            <v>each</v>
          </cell>
          <cell r="G238">
            <v>602.08000000000004</v>
          </cell>
          <cell r="H238">
            <v>602.08000000000004</v>
          </cell>
          <cell r="I238">
            <v>602.08000000000004</v>
          </cell>
        </row>
        <row r="239">
          <cell r="B239" t="str">
            <v>Jointing charges-Air valve63mmPVC</v>
          </cell>
          <cell r="C239" t="str">
            <v>Jointing charges-Air valve</v>
          </cell>
          <cell r="D239" t="str">
            <v>63mm</v>
          </cell>
          <cell r="E239" t="str">
            <v>PVC</v>
          </cell>
          <cell r="F239" t="str">
            <v>each</v>
          </cell>
          <cell r="G239">
            <v>46.06</v>
          </cell>
          <cell r="H239">
            <v>46.06</v>
          </cell>
          <cell r="I239">
            <v>46.06</v>
          </cell>
        </row>
        <row r="240">
          <cell r="B240" t="str">
            <v>Jointing charges-Air valve75mmPVC</v>
          </cell>
          <cell r="C240" t="str">
            <v>Jointing charges-Air valve</v>
          </cell>
          <cell r="D240" t="str">
            <v>75mm</v>
          </cell>
          <cell r="E240" t="str">
            <v>PVC</v>
          </cell>
          <cell r="F240" t="str">
            <v>each</v>
          </cell>
          <cell r="G240">
            <v>46.06</v>
          </cell>
          <cell r="H240">
            <v>46.06</v>
          </cell>
          <cell r="I240">
            <v>46.06</v>
          </cell>
        </row>
        <row r="241">
          <cell r="B241" t="str">
            <v>Jointing charges-Air valve90mmPVC</v>
          </cell>
          <cell r="C241" t="str">
            <v>Jointing charges-Air valve</v>
          </cell>
          <cell r="D241" t="str">
            <v>90mm</v>
          </cell>
          <cell r="E241" t="str">
            <v>PVC</v>
          </cell>
          <cell r="F241" t="str">
            <v>each</v>
          </cell>
          <cell r="G241">
            <v>46.06</v>
          </cell>
          <cell r="H241">
            <v>46.06</v>
          </cell>
          <cell r="I241">
            <v>46.06</v>
          </cell>
        </row>
        <row r="242">
          <cell r="B242" t="str">
            <v>Jointing charges-Air valve110mmPVC</v>
          </cell>
          <cell r="C242" t="str">
            <v>Jointing charges-Air valve</v>
          </cell>
          <cell r="D242" t="str">
            <v>110mm</v>
          </cell>
          <cell r="E242" t="str">
            <v>PVC</v>
          </cell>
          <cell r="F242" t="str">
            <v>each</v>
          </cell>
          <cell r="G242">
            <v>46.06</v>
          </cell>
          <cell r="H242">
            <v>46.06</v>
          </cell>
          <cell r="I242">
            <v>46.06</v>
          </cell>
        </row>
        <row r="243">
          <cell r="B243" t="str">
            <v>Jointing charges-Air valve125mmPVC</v>
          </cell>
          <cell r="C243" t="str">
            <v>Jointing charges-Air valve</v>
          </cell>
          <cell r="D243" t="str">
            <v>125mm</v>
          </cell>
          <cell r="E243" t="str">
            <v>PVC</v>
          </cell>
          <cell r="F243" t="str">
            <v>each</v>
          </cell>
          <cell r="G243">
            <v>71.89</v>
          </cell>
          <cell r="H243">
            <v>71.89</v>
          </cell>
          <cell r="I243">
            <v>71.89</v>
          </cell>
        </row>
        <row r="244">
          <cell r="B244" t="str">
            <v>Jointing charges-Air valve140mmPVC</v>
          </cell>
          <cell r="C244" t="str">
            <v>Jointing charges-Air valve</v>
          </cell>
          <cell r="D244" t="str">
            <v>140mm</v>
          </cell>
          <cell r="E244" t="str">
            <v>PVC</v>
          </cell>
          <cell r="F244" t="str">
            <v>each</v>
          </cell>
          <cell r="G244">
            <v>71.89</v>
          </cell>
          <cell r="H244">
            <v>71.89</v>
          </cell>
          <cell r="I244">
            <v>71.89</v>
          </cell>
        </row>
        <row r="245">
          <cell r="B245" t="str">
            <v>Jointing charges-Air valve160mmPVC</v>
          </cell>
          <cell r="C245" t="str">
            <v>Jointing charges-Air valve</v>
          </cell>
          <cell r="D245" t="str">
            <v>160mm</v>
          </cell>
          <cell r="E245" t="str">
            <v>PVC</v>
          </cell>
          <cell r="F245" t="str">
            <v>each</v>
          </cell>
          <cell r="G245">
            <v>71.89</v>
          </cell>
          <cell r="H245">
            <v>71.89</v>
          </cell>
          <cell r="I245">
            <v>71.89</v>
          </cell>
        </row>
        <row r="246">
          <cell r="B246" t="str">
            <v>Jointing charges-Air valve180mmPVC</v>
          </cell>
          <cell r="C246" t="str">
            <v>Jointing charges-Air valve</v>
          </cell>
          <cell r="D246" t="str">
            <v>180mm</v>
          </cell>
          <cell r="E246" t="str">
            <v>PVC</v>
          </cell>
          <cell r="F246" t="str">
            <v>each</v>
          </cell>
          <cell r="G246">
            <v>71.89</v>
          </cell>
          <cell r="H246">
            <v>71.89</v>
          </cell>
          <cell r="I246">
            <v>71.89</v>
          </cell>
        </row>
        <row r="247">
          <cell r="B247" t="str">
            <v>Jointing charges-Air valve200mmPVC</v>
          </cell>
          <cell r="C247" t="str">
            <v>Jointing charges-Air valve</v>
          </cell>
          <cell r="D247" t="str">
            <v>200mm</v>
          </cell>
          <cell r="E247" t="str">
            <v>PVC</v>
          </cell>
          <cell r="F247" t="str">
            <v>each</v>
          </cell>
          <cell r="G247">
            <v>71.89</v>
          </cell>
          <cell r="H247">
            <v>71.89</v>
          </cell>
          <cell r="I247">
            <v>71.89</v>
          </cell>
        </row>
        <row r="248">
          <cell r="B248" t="str">
            <v>Jointing charges-Air valve225mmPVC</v>
          </cell>
          <cell r="C248" t="str">
            <v>Jointing charges-Air valve</v>
          </cell>
          <cell r="D248" t="str">
            <v>225mm</v>
          </cell>
          <cell r="E248" t="str">
            <v>PVC</v>
          </cell>
          <cell r="F248" t="str">
            <v>each</v>
          </cell>
          <cell r="G248">
            <v>71.89</v>
          </cell>
          <cell r="H248">
            <v>71.89</v>
          </cell>
          <cell r="I248">
            <v>71.89</v>
          </cell>
        </row>
        <row r="249">
          <cell r="B249" t="str">
            <v>Jointing charges-Air valve250mmPVC</v>
          </cell>
          <cell r="C249" t="str">
            <v>Jointing charges-Air valve</v>
          </cell>
          <cell r="D249" t="str">
            <v>250mm</v>
          </cell>
          <cell r="E249" t="str">
            <v>PVC</v>
          </cell>
          <cell r="F249" t="str">
            <v>each</v>
          </cell>
          <cell r="G249">
            <v>73.58</v>
          </cell>
          <cell r="H249">
            <v>73.58</v>
          </cell>
          <cell r="I249">
            <v>73.58</v>
          </cell>
        </row>
        <row r="250">
          <cell r="B250" t="str">
            <v>Jointing charges-Air valve280mmPVC</v>
          </cell>
          <cell r="C250" t="str">
            <v>Jointing charges-Air valve</v>
          </cell>
          <cell r="D250" t="str">
            <v>280mm</v>
          </cell>
          <cell r="E250" t="str">
            <v>PVC</v>
          </cell>
          <cell r="F250" t="str">
            <v>each</v>
          </cell>
          <cell r="G250">
            <v>73.58</v>
          </cell>
          <cell r="H250">
            <v>73.58</v>
          </cell>
          <cell r="I250">
            <v>73.58</v>
          </cell>
        </row>
        <row r="251">
          <cell r="B251" t="str">
            <v>Jointing charges-Air valve315mmPVC</v>
          </cell>
          <cell r="C251" t="str">
            <v>Jointing charges-Air valve</v>
          </cell>
          <cell r="D251" t="str">
            <v>315mm</v>
          </cell>
          <cell r="E251" t="str">
            <v>PVC</v>
          </cell>
          <cell r="F251" t="str">
            <v>each</v>
          </cell>
          <cell r="G251">
            <v>73.58</v>
          </cell>
          <cell r="H251">
            <v>73.58</v>
          </cell>
          <cell r="I251">
            <v>73.58</v>
          </cell>
        </row>
        <row r="252">
          <cell r="B252" t="str">
            <v>Labour charges for flanged joints63mmPVC</v>
          </cell>
          <cell r="C252" t="str">
            <v>Labour charges for flanged joints</v>
          </cell>
          <cell r="D252" t="str">
            <v>63mm</v>
          </cell>
          <cell r="E252" t="str">
            <v>PVC</v>
          </cell>
          <cell r="F252" t="str">
            <v>each</v>
          </cell>
          <cell r="G252">
            <v>220.4</v>
          </cell>
          <cell r="H252">
            <v>220.4</v>
          </cell>
          <cell r="I252">
            <v>220.4</v>
          </cell>
        </row>
        <row r="253">
          <cell r="B253" t="str">
            <v>Labour charges for flanged joints75mmPVC</v>
          </cell>
          <cell r="C253" t="str">
            <v>Labour charges for flanged joints</v>
          </cell>
          <cell r="D253" t="str">
            <v>75mm</v>
          </cell>
          <cell r="E253" t="str">
            <v>PVC</v>
          </cell>
          <cell r="F253" t="str">
            <v>each</v>
          </cell>
          <cell r="G253">
            <v>220.4</v>
          </cell>
          <cell r="H253">
            <v>220.4</v>
          </cell>
          <cell r="I253">
            <v>220.4</v>
          </cell>
        </row>
        <row r="254">
          <cell r="B254" t="str">
            <v>Labour charges for flanged joints90mmPVC</v>
          </cell>
          <cell r="C254" t="str">
            <v>Labour charges for flanged joints</v>
          </cell>
          <cell r="D254" t="str">
            <v>90mm</v>
          </cell>
          <cell r="E254" t="str">
            <v>PVC</v>
          </cell>
          <cell r="F254" t="str">
            <v>each</v>
          </cell>
          <cell r="G254">
            <v>220.4</v>
          </cell>
          <cell r="H254">
            <v>220.4</v>
          </cell>
          <cell r="I254">
            <v>220.4</v>
          </cell>
        </row>
        <row r="255">
          <cell r="B255" t="str">
            <v>Labour charges for flanged joints110mmPVC</v>
          </cell>
          <cell r="C255" t="str">
            <v>Labour charges for flanged joints</v>
          </cell>
          <cell r="D255" t="str">
            <v>110mm</v>
          </cell>
          <cell r="E255" t="str">
            <v>PVC</v>
          </cell>
          <cell r="F255" t="str">
            <v>each</v>
          </cell>
          <cell r="G255">
            <v>234.8</v>
          </cell>
          <cell r="H255">
            <v>234.8</v>
          </cell>
          <cell r="I255">
            <v>234.8</v>
          </cell>
        </row>
        <row r="256">
          <cell r="B256" t="str">
            <v>Labour charges for flanged joints125mmPVC</v>
          </cell>
          <cell r="C256" t="str">
            <v>Labour charges for flanged joints</v>
          </cell>
          <cell r="D256" t="str">
            <v>125mm</v>
          </cell>
          <cell r="E256" t="str">
            <v>PVC</v>
          </cell>
          <cell r="F256" t="str">
            <v>each</v>
          </cell>
          <cell r="G256">
            <v>339.2</v>
          </cell>
          <cell r="H256">
            <v>339.2</v>
          </cell>
          <cell r="I256">
            <v>339.2</v>
          </cell>
        </row>
        <row r="257">
          <cell r="B257" t="str">
            <v>Labour charges for flanged joints140mmPVC</v>
          </cell>
          <cell r="C257" t="str">
            <v>Labour charges for flanged joints</v>
          </cell>
          <cell r="D257" t="str">
            <v>140mm</v>
          </cell>
          <cell r="E257" t="str">
            <v>PVC</v>
          </cell>
          <cell r="F257" t="str">
            <v>each</v>
          </cell>
          <cell r="G257">
            <v>353.2</v>
          </cell>
          <cell r="H257">
            <v>353.2</v>
          </cell>
          <cell r="I257">
            <v>353.2</v>
          </cell>
        </row>
        <row r="258">
          <cell r="B258" t="str">
            <v>Labour charges for flanged joints160mmPVC</v>
          </cell>
          <cell r="C258" t="str">
            <v>Labour charges for flanged joints</v>
          </cell>
          <cell r="D258" t="str">
            <v>160mm</v>
          </cell>
          <cell r="E258" t="str">
            <v>PVC</v>
          </cell>
          <cell r="F258" t="str">
            <v>each</v>
          </cell>
          <cell r="G258">
            <v>353.2</v>
          </cell>
          <cell r="H258">
            <v>353.2</v>
          </cell>
          <cell r="I258">
            <v>353.2</v>
          </cell>
        </row>
        <row r="259">
          <cell r="B259" t="str">
            <v>Labour charges for flanged joints180mmPVC</v>
          </cell>
          <cell r="C259" t="str">
            <v>Labour charges for flanged joints</v>
          </cell>
          <cell r="D259" t="str">
            <v>180mm</v>
          </cell>
          <cell r="E259" t="str">
            <v>PVC</v>
          </cell>
          <cell r="F259" t="str">
            <v>each</v>
          </cell>
          <cell r="G259">
            <v>353.2</v>
          </cell>
          <cell r="H259">
            <v>353.2</v>
          </cell>
          <cell r="I259">
            <v>353.2</v>
          </cell>
        </row>
        <row r="260">
          <cell r="B260" t="str">
            <v>Labour charges for flanged joints200mmPVC</v>
          </cell>
          <cell r="C260" t="str">
            <v>Labour charges for flanged joints</v>
          </cell>
          <cell r="D260" t="str">
            <v>200mm</v>
          </cell>
          <cell r="E260" t="str">
            <v>PVC</v>
          </cell>
          <cell r="F260" t="str">
            <v>each</v>
          </cell>
          <cell r="G260">
            <v>466</v>
          </cell>
          <cell r="H260">
            <v>466</v>
          </cell>
          <cell r="I260">
            <v>466</v>
          </cell>
        </row>
        <row r="261">
          <cell r="B261" t="str">
            <v>Labour charges for flanged joints225mmPVC</v>
          </cell>
          <cell r="C261" t="str">
            <v>Labour charges for flanged joints</v>
          </cell>
          <cell r="D261" t="str">
            <v>225mm</v>
          </cell>
          <cell r="E261" t="str">
            <v>PVC</v>
          </cell>
          <cell r="F261" t="str">
            <v>each</v>
          </cell>
          <cell r="G261">
            <v>466</v>
          </cell>
          <cell r="H261">
            <v>466</v>
          </cell>
          <cell r="I261">
            <v>466</v>
          </cell>
        </row>
        <row r="262">
          <cell r="B262" t="str">
            <v>Labour charges for flanged joints250mmPVC</v>
          </cell>
          <cell r="C262" t="str">
            <v>Labour charges for flanged joints</v>
          </cell>
          <cell r="D262" t="str">
            <v>250mm</v>
          </cell>
          <cell r="E262" t="str">
            <v>PVC</v>
          </cell>
          <cell r="F262" t="str">
            <v>each</v>
          </cell>
          <cell r="G262">
            <v>576</v>
          </cell>
          <cell r="H262">
            <v>576</v>
          </cell>
          <cell r="I262">
            <v>576</v>
          </cell>
        </row>
        <row r="263">
          <cell r="B263" t="str">
            <v>Labour charges for flanged joints280mmPVC</v>
          </cell>
          <cell r="C263" t="str">
            <v>Labour charges for flanged joints</v>
          </cell>
          <cell r="D263" t="str">
            <v>280mm</v>
          </cell>
          <cell r="E263" t="str">
            <v>PVC</v>
          </cell>
          <cell r="F263" t="str">
            <v>each</v>
          </cell>
          <cell r="G263">
            <v>576</v>
          </cell>
          <cell r="H263">
            <v>576</v>
          </cell>
          <cell r="I263">
            <v>576</v>
          </cell>
        </row>
        <row r="264">
          <cell r="B264" t="str">
            <v>Labour charges for flanged joints315mmPVC</v>
          </cell>
          <cell r="C264" t="str">
            <v>Labour charges for flanged joints</v>
          </cell>
          <cell r="D264" t="str">
            <v>315mm</v>
          </cell>
          <cell r="E264" t="str">
            <v>PVC</v>
          </cell>
          <cell r="F264" t="str">
            <v>each</v>
          </cell>
          <cell r="G264">
            <v>690</v>
          </cell>
          <cell r="H264">
            <v>690</v>
          </cell>
          <cell r="I264">
            <v>690</v>
          </cell>
        </row>
        <row r="265">
          <cell r="B265" t="str">
            <v>Labour charges for fixing of valve63mmPVC</v>
          </cell>
          <cell r="C265" t="str">
            <v>Labour charges for fixing of valve</v>
          </cell>
          <cell r="D265" t="str">
            <v>63mm</v>
          </cell>
          <cell r="E265" t="str">
            <v>PVC</v>
          </cell>
          <cell r="F265" t="str">
            <v>each</v>
          </cell>
          <cell r="G265">
            <v>72.599999999999994</v>
          </cell>
          <cell r="H265">
            <v>72.599999999999994</v>
          </cell>
          <cell r="I265">
            <v>72.599999999999994</v>
          </cell>
        </row>
        <row r="266">
          <cell r="B266" t="str">
            <v>Labour charges for fixing of valve75mmPVC</v>
          </cell>
          <cell r="C266" t="str">
            <v>Labour charges for fixing of valve</v>
          </cell>
          <cell r="D266" t="str">
            <v>75mm</v>
          </cell>
          <cell r="E266" t="str">
            <v>PVC</v>
          </cell>
          <cell r="F266" t="str">
            <v>each</v>
          </cell>
          <cell r="G266">
            <v>72.599999999999994</v>
          </cell>
          <cell r="H266">
            <v>72.599999999999994</v>
          </cell>
          <cell r="I266">
            <v>72.599999999999994</v>
          </cell>
        </row>
        <row r="267">
          <cell r="B267" t="str">
            <v>Labour charges for fixing of valve90mmPVC</v>
          </cell>
          <cell r="C267" t="str">
            <v>Labour charges for fixing of valve</v>
          </cell>
          <cell r="D267" t="str">
            <v>90mm</v>
          </cell>
          <cell r="E267" t="str">
            <v>PVC</v>
          </cell>
          <cell r="F267" t="str">
            <v>each</v>
          </cell>
          <cell r="G267">
            <v>72.599999999999994</v>
          </cell>
          <cell r="H267">
            <v>72.599999999999994</v>
          </cell>
          <cell r="I267">
            <v>72.599999999999994</v>
          </cell>
        </row>
        <row r="268">
          <cell r="B268" t="str">
            <v>Labour charges for fixing of valve110mmPVC</v>
          </cell>
          <cell r="C268" t="str">
            <v>Labour charges for fixing of valve</v>
          </cell>
          <cell r="D268" t="str">
            <v>110mm</v>
          </cell>
          <cell r="E268" t="str">
            <v>PVC</v>
          </cell>
          <cell r="F268" t="str">
            <v>each</v>
          </cell>
          <cell r="G268">
            <v>72.599999999999994</v>
          </cell>
          <cell r="H268">
            <v>72.599999999999994</v>
          </cell>
          <cell r="I268">
            <v>72.599999999999994</v>
          </cell>
        </row>
        <row r="269">
          <cell r="B269" t="str">
            <v>Labour charges for fixing of valve125mmPVC</v>
          </cell>
          <cell r="C269" t="str">
            <v>Labour charges for fixing of valve</v>
          </cell>
          <cell r="D269" t="str">
            <v>125mm</v>
          </cell>
          <cell r="E269" t="str">
            <v>PVC</v>
          </cell>
          <cell r="F269" t="str">
            <v>each</v>
          </cell>
          <cell r="G269">
            <v>76.599999999999994</v>
          </cell>
          <cell r="H269">
            <v>76.599999999999994</v>
          </cell>
          <cell r="I269">
            <v>76.599999999999994</v>
          </cell>
        </row>
        <row r="270">
          <cell r="B270" t="str">
            <v>Labour charges for fixing of valve140mmPVC</v>
          </cell>
          <cell r="C270" t="str">
            <v>Labour charges for fixing of valve</v>
          </cell>
          <cell r="D270" t="str">
            <v>140mm</v>
          </cell>
          <cell r="E270" t="str">
            <v>PVC</v>
          </cell>
          <cell r="F270" t="str">
            <v>each</v>
          </cell>
          <cell r="G270">
            <v>76.599999999999994</v>
          </cell>
          <cell r="H270">
            <v>76.599999999999994</v>
          </cell>
          <cell r="I270">
            <v>76.599999999999994</v>
          </cell>
        </row>
        <row r="271">
          <cell r="B271" t="str">
            <v>Labour charges for fixing of valve160mmPVC</v>
          </cell>
          <cell r="C271" t="str">
            <v>Labour charges for fixing of valve</v>
          </cell>
          <cell r="D271" t="str">
            <v>160mm</v>
          </cell>
          <cell r="E271" t="str">
            <v>PVC</v>
          </cell>
          <cell r="F271" t="str">
            <v>each</v>
          </cell>
          <cell r="G271">
            <v>76.599999999999994</v>
          </cell>
          <cell r="H271">
            <v>76.599999999999994</v>
          </cell>
          <cell r="I271">
            <v>76.599999999999994</v>
          </cell>
        </row>
        <row r="272">
          <cell r="B272" t="str">
            <v>Labour charges for fixing of valve180mmPVC</v>
          </cell>
          <cell r="C272" t="str">
            <v>Labour charges for fixing of valve</v>
          </cell>
          <cell r="D272" t="str">
            <v>180mm</v>
          </cell>
          <cell r="E272" t="str">
            <v>PVC</v>
          </cell>
          <cell r="F272" t="str">
            <v>each</v>
          </cell>
          <cell r="G272">
            <v>76.599999999999994</v>
          </cell>
          <cell r="H272">
            <v>76.599999999999994</v>
          </cell>
          <cell r="I272">
            <v>76.599999999999994</v>
          </cell>
        </row>
        <row r="273">
          <cell r="B273" t="str">
            <v>Labour charges for fixing of valve200mmPVC</v>
          </cell>
          <cell r="C273" t="str">
            <v>Labour charges for fixing of valve</v>
          </cell>
          <cell r="D273" t="str">
            <v>200mm</v>
          </cell>
          <cell r="E273" t="str">
            <v>PVC</v>
          </cell>
          <cell r="F273" t="str">
            <v>each</v>
          </cell>
          <cell r="G273">
            <v>76.599999999999994</v>
          </cell>
          <cell r="H273">
            <v>76.599999999999994</v>
          </cell>
          <cell r="I273">
            <v>76.599999999999994</v>
          </cell>
        </row>
        <row r="274">
          <cell r="B274" t="str">
            <v>Labour charges for fixing of valve225mmPVC</v>
          </cell>
          <cell r="C274" t="str">
            <v>Labour charges for fixing of valve</v>
          </cell>
          <cell r="D274" t="str">
            <v>225mm</v>
          </cell>
          <cell r="E274" t="str">
            <v>PVC</v>
          </cell>
          <cell r="F274" t="str">
            <v>each</v>
          </cell>
          <cell r="G274">
            <v>76.599999999999994</v>
          </cell>
          <cell r="H274">
            <v>76.599999999999994</v>
          </cell>
          <cell r="I274">
            <v>76.599999999999994</v>
          </cell>
        </row>
        <row r="275">
          <cell r="B275" t="str">
            <v>Labour charges for fixing of valve250mmPVC</v>
          </cell>
          <cell r="C275" t="str">
            <v>Labour charges for fixing of valve</v>
          </cell>
          <cell r="D275" t="str">
            <v>250mm</v>
          </cell>
          <cell r="E275" t="str">
            <v>PVC</v>
          </cell>
          <cell r="F275" t="str">
            <v>each</v>
          </cell>
          <cell r="G275">
            <v>89.8</v>
          </cell>
          <cell r="H275">
            <v>89.8</v>
          </cell>
          <cell r="I275">
            <v>89.8</v>
          </cell>
        </row>
        <row r="276">
          <cell r="B276" t="str">
            <v>Labour charges for fixing of valve280mmPVC</v>
          </cell>
          <cell r="C276" t="str">
            <v>Labour charges for fixing of valve</v>
          </cell>
          <cell r="D276" t="str">
            <v>280mm</v>
          </cell>
          <cell r="E276" t="str">
            <v>PVC</v>
          </cell>
          <cell r="F276" t="str">
            <v>each</v>
          </cell>
          <cell r="G276">
            <v>89.8</v>
          </cell>
          <cell r="H276">
            <v>89.8</v>
          </cell>
          <cell r="I276">
            <v>89.8</v>
          </cell>
        </row>
        <row r="277">
          <cell r="B277" t="str">
            <v>Labour charges for fixing of valve315mmPVC</v>
          </cell>
          <cell r="C277" t="str">
            <v>Labour charges for fixing of valve</v>
          </cell>
          <cell r="D277" t="str">
            <v>315mm</v>
          </cell>
          <cell r="E277" t="str">
            <v>PVC</v>
          </cell>
          <cell r="F277" t="str">
            <v>each</v>
          </cell>
          <cell r="G277">
            <v>89.8</v>
          </cell>
          <cell r="H277">
            <v>89.8</v>
          </cell>
          <cell r="I277">
            <v>89.8</v>
          </cell>
        </row>
        <row r="278">
          <cell r="B278" t="str">
            <v>CI A/F Air Tee80x40mm</v>
          </cell>
          <cell r="C278" t="str">
            <v>CI A/F Air Tee</v>
          </cell>
          <cell r="D278" t="str">
            <v>80x40mm</v>
          </cell>
          <cell r="E278">
            <v>24.5</v>
          </cell>
          <cell r="F278" t="str">
            <v>each</v>
          </cell>
          <cell r="G278">
            <v>814.625</v>
          </cell>
          <cell r="H278">
            <v>1296.05</v>
          </cell>
          <cell r="I278">
            <v>997.15000000000009</v>
          </cell>
        </row>
        <row r="279">
          <cell r="B279" t="str">
            <v>CI A/F Air Tee100x40mm</v>
          </cell>
          <cell r="C279" t="str">
            <v>CI A/F Air Tee</v>
          </cell>
          <cell r="D279" t="str">
            <v>100x40mm</v>
          </cell>
          <cell r="E279">
            <v>29.08</v>
          </cell>
          <cell r="F279" t="str">
            <v>each</v>
          </cell>
          <cell r="G279">
            <v>966.91</v>
          </cell>
          <cell r="H279">
            <v>1538.3319999999999</v>
          </cell>
          <cell r="I279">
            <v>1183.556</v>
          </cell>
        </row>
        <row r="280">
          <cell r="B280" t="str">
            <v>CI A/F Air Tee125x50mm</v>
          </cell>
          <cell r="C280" t="str">
            <v>CI A/F Air Tee</v>
          </cell>
          <cell r="D280" t="str">
            <v>125x50mm</v>
          </cell>
          <cell r="E280">
            <v>36.03</v>
          </cell>
          <cell r="F280" t="str">
            <v>each</v>
          </cell>
          <cell r="G280">
            <v>1197.9974999999999</v>
          </cell>
          <cell r="H280">
            <v>1905.9870000000001</v>
          </cell>
          <cell r="I280">
            <v>1466.421</v>
          </cell>
        </row>
        <row r="281">
          <cell r="B281" t="str">
            <v>CI A/F Air Tee150x50mm</v>
          </cell>
          <cell r="C281" t="str">
            <v>CI A/F Air Tee</v>
          </cell>
          <cell r="D281" t="str">
            <v>150x50mm</v>
          </cell>
          <cell r="E281">
            <v>41.64</v>
          </cell>
          <cell r="F281" t="str">
            <v>each</v>
          </cell>
          <cell r="G281">
            <v>1384.53</v>
          </cell>
          <cell r="H281">
            <v>2202.7559999999999</v>
          </cell>
          <cell r="I281">
            <v>1694.748</v>
          </cell>
        </row>
        <row r="282">
          <cell r="B282" t="str">
            <v>CI A/F Air Tee200x50mm</v>
          </cell>
          <cell r="C282" t="str">
            <v>CI A/F Air Tee</v>
          </cell>
          <cell r="D282" t="str">
            <v>200x50mm</v>
          </cell>
          <cell r="E282">
            <v>58.07</v>
          </cell>
          <cell r="F282" t="str">
            <v>each</v>
          </cell>
          <cell r="G282">
            <v>1930.8275000000001</v>
          </cell>
          <cell r="H282">
            <v>3071.9029999999998</v>
          </cell>
          <cell r="I282">
            <v>2363.4490000000001</v>
          </cell>
        </row>
        <row r="283">
          <cell r="B283" t="str">
            <v>CI A/F Air Tee250x80mm</v>
          </cell>
          <cell r="C283" t="str">
            <v>CI A/F Air Tee</v>
          </cell>
          <cell r="D283" t="str">
            <v>250x80mm</v>
          </cell>
          <cell r="E283">
            <v>78</v>
          </cell>
          <cell r="F283" t="str">
            <v>each</v>
          </cell>
          <cell r="G283">
            <v>2593.5</v>
          </cell>
          <cell r="H283">
            <v>4126.2</v>
          </cell>
          <cell r="I283">
            <v>3174.6000000000004</v>
          </cell>
        </row>
        <row r="284">
          <cell r="B284" t="str">
            <v>CI A/F Air Tee300x80mm</v>
          </cell>
          <cell r="C284" t="str">
            <v>CI A/F Air Tee</v>
          </cell>
          <cell r="D284" t="str">
            <v>300x80mm</v>
          </cell>
          <cell r="E284">
            <v>99.12</v>
          </cell>
          <cell r="F284" t="str">
            <v>each</v>
          </cell>
          <cell r="G284">
            <v>3295.7400000000002</v>
          </cell>
          <cell r="H284">
            <v>5243.4480000000003</v>
          </cell>
          <cell r="I284">
            <v>4034.1840000000007</v>
          </cell>
        </row>
        <row r="285">
          <cell r="B285" t="str">
            <v>HDPE Tail piece80x40mm</v>
          </cell>
          <cell r="C285" t="str">
            <v>HDPE Tail piece</v>
          </cell>
          <cell r="D285" t="str">
            <v>80x40mm</v>
          </cell>
          <cell r="E285">
            <v>0</v>
          </cell>
          <cell r="F285">
            <v>0</v>
          </cell>
          <cell r="G285">
            <v>48</v>
          </cell>
          <cell r="H285">
            <v>48</v>
          </cell>
          <cell r="I285">
            <v>48</v>
          </cell>
        </row>
        <row r="286">
          <cell r="B286" t="str">
            <v>HDPE Tail piece80x40mm</v>
          </cell>
          <cell r="C286" t="str">
            <v>HDPE Tail piece</v>
          </cell>
          <cell r="D286" t="str">
            <v>80x40mm</v>
          </cell>
          <cell r="E286">
            <v>0</v>
          </cell>
          <cell r="F286">
            <v>0</v>
          </cell>
          <cell r="G286">
            <v>56</v>
          </cell>
          <cell r="H286">
            <v>56</v>
          </cell>
          <cell r="I286">
            <v>56</v>
          </cell>
        </row>
        <row r="287">
          <cell r="B287" t="str">
            <v>HDPE Tail piece80x40mm</v>
          </cell>
          <cell r="C287" t="str">
            <v>HDPE Tail piece</v>
          </cell>
          <cell r="D287" t="str">
            <v>80x40mm</v>
          </cell>
          <cell r="E287">
            <v>0</v>
          </cell>
          <cell r="F287">
            <v>0</v>
          </cell>
          <cell r="G287">
            <v>64</v>
          </cell>
          <cell r="H287">
            <v>64</v>
          </cell>
          <cell r="I287">
            <v>64</v>
          </cell>
        </row>
        <row r="288">
          <cell r="B288" t="str">
            <v>HDPE Tail piece100x40mm</v>
          </cell>
          <cell r="C288" t="str">
            <v>HDPE Tail piece</v>
          </cell>
          <cell r="D288" t="str">
            <v>100x40mm</v>
          </cell>
          <cell r="E288">
            <v>0</v>
          </cell>
          <cell r="F288">
            <v>0</v>
          </cell>
          <cell r="G288">
            <v>82</v>
          </cell>
          <cell r="H288">
            <v>82</v>
          </cell>
          <cell r="I288">
            <v>82</v>
          </cell>
        </row>
        <row r="289">
          <cell r="B289" t="str">
            <v>HDPE Tail piece125x50mm</v>
          </cell>
          <cell r="C289" t="str">
            <v>HDPE Tail piece</v>
          </cell>
          <cell r="D289" t="str">
            <v>125x50mm</v>
          </cell>
          <cell r="E289">
            <v>0</v>
          </cell>
          <cell r="F289">
            <v>0</v>
          </cell>
          <cell r="G289">
            <v>112</v>
          </cell>
          <cell r="H289">
            <v>112</v>
          </cell>
          <cell r="I289">
            <v>112</v>
          </cell>
        </row>
        <row r="290">
          <cell r="B290" t="str">
            <v>HDPE Tail piece150x50mm</v>
          </cell>
          <cell r="C290" t="str">
            <v>HDPE Tail piece</v>
          </cell>
          <cell r="D290" t="str">
            <v>150x50mm</v>
          </cell>
          <cell r="E290">
            <v>0</v>
          </cell>
          <cell r="F290">
            <v>0</v>
          </cell>
          <cell r="G290">
            <v>142</v>
          </cell>
          <cell r="H290">
            <v>142</v>
          </cell>
          <cell r="I290">
            <v>142</v>
          </cell>
        </row>
        <row r="291">
          <cell r="B291" t="str">
            <v>HDPE Tail piece150x50mm</v>
          </cell>
          <cell r="C291" t="str">
            <v>HDPE Tail piece</v>
          </cell>
          <cell r="D291" t="str">
            <v>150x50mm</v>
          </cell>
          <cell r="E291">
            <v>0</v>
          </cell>
          <cell r="F291">
            <v>0</v>
          </cell>
          <cell r="G291">
            <v>155</v>
          </cell>
          <cell r="H291">
            <v>155</v>
          </cell>
          <cell r="I291">
            <v>155</v>
          </cell>
        </row>
        <row r="292">
          <cell r="B292" t="str">
            <v>HDPE Tail piece150x50mm</v>
          </cell>
          <cell r="C292" t="str">
            <v>HDPE Tail piece</v>
          </cell>
          <cell r="D292" t="str">
            <v>150x50mm</v>
          </cell>
          <cell r="E292">
            <v>0</v>
          </cell>
          <cell r="F292">
            <v>0</v>
          </cell>
          <cell r="G292">
            <v>195</v>
          </cell>
          <cell r="H292">
            <v>195</v>
          </cell>
          <cell r="I292">
            <v>195</v>
          </cell>
        </row>
        <row r="293">
          <cell r="B293" t="str">
            <v>HDPE Tail piece200x50mm</v>
          </cell>
          <cell r="C293" t="str">
            <v>HDPE Tail piece</v>
          </cell>
          <cell r="D293" t="str">
            <v>200x50mm</v>
          </cell>
          <cell r="E293">
            <v>0</v>
          </cell>
          <cell r="F293">
            <v>0</v>
          </cell>
          <cell r="G293">
            <v>242</v>
          </cell>
          <cell r="H293">
            <v>242</v>
          </cell>
          <cell r="I293">
            <v>242</v>
          </cell>
        </row>
        <row r="294">
          <cell r="B294" t="str">
            <v>HDPE Tail piece200x50mm</v>
          </cell>
          <cell r="C294" t="str">
            <v>HDPE Tail piece</v>
          </cell>
          <cell r="D294" t="str">
            <v>200x50mm</v>
          </cell>
          <cell r="E294">
            <v>0</v>
          </cell>
          <cell r="F294">
            <v>0</v>
          </cell>
          <cell r="G294">
            <v>279</v>
          </cell>
          <cell r="H294">
            <v>279</v>
          </cell>
          <cell r="I294">
            <v>279</v>
          </cell>
        </row>
        <row r="295">
          <cell r="B295" t="str">
            <v>HDPE Tail piece250x80mm</v>
          </cell>
          <cell r="C295" t="str">
            <v>HDPE Tail piece</v>
          </cell>
          <cell r="D295" t="str">
            <v>250x80mm</v>
          </cell>
          <cell r="E295">
            <v>0</v>
          </cell>
          <cell r="F295">
            <v>0</v>
          </cell>
          <cell r="G295">
            <v>328</v>
          </cell>
          <cell r="H295">
            <v>328</v>
          </cell>
          <cell r="I295">
            <v>328</v>
          </cell>
        </row>
        <row r="296">
          <cell r="B296" t="str">
            <v>HDPE Tail piece250x80mm</v>
          </cell>
          <cell r="C296" t="str">
            <v>HDPE Tail piece</v>
          </cell>
          <cell r="D296" t="str">
            <v>250x80mm</v>
          </cell>
          <cell r="E296">
            <v>0</v>
          </cell>
          <cell r="F296">
            <v>0</v>
          </cell>
          <cell r="G296">
            <v>336</v>
          </cell>
          <cell r="H296">
            <v>336</v>
          </cell>
          <cell r="I296">
            <v>336</v>
          </cell>
        </row>
        <row r="297">
          <cell r="B297" t="str">
            <v>HDPE Tail piece300x80mm</v>
          </cell>
          <cell r="C297" t="str">
            <v>HDPE Tail piece</v>
          </cell>
          <cell r="D297" t="str">
            <v>300x80mm</v>
          </cell>
          <cell r="E297">
            <v>0</v>
          </cell>
          <cell r="F297">
            <v>0</v>
          </cell>
          <cell r="G297">
            <v>342</v>
          </cell>
          <cell r="H297">
            <v>342</v>
          </cell>
          <cell r="I297">
            <v>342</v>
          </cell>
        </row>
        <row r="298">
          <cell r="B298" t="str">
            <v>MS flanges63mm</v>
          </cell>
          <cell r="C298" t="str">
            <v>MS flanges</v>
          </cell>
          <cell r="D298" t="str">
            <v>63mm</v>
          </cell>
          <cell r="E298">
            <v>0</v>
          </cell>
          <cell r="F298">
            <v>0</v>
          </cell>
          <cell r="G298">
            <v>148</v>
          </cell>
          <cell r="H298">
            <v>148</v>
          </cell>
          <cell r="I298">
            <v>148</v>
          </cell>
        </row>
        <row r="299">
          <cell r="B299" t="str">
            <v>MS flanges75mm</v>
          </cell>
          <cell r="C299" t="str">
            <v>MS flanges</v>
          </cell>
          <cell r="D299" t="str">
            <v>75mm</v>
          </cell>
          <cell r="E299">
            <v>0</v>
          </cell>
          <cell r="F299">
            <v>0</v>
          </cell>
          <cell r="G299">
            <v>148</v>
          </cell>
          <cell r="H299">
            <v>148</v>
          </cell>
          <cell r="I299">
            <v>148</v>
          </cell>
        </row>
        <row r="300">
          <cell r="B300" t="str">
            <v>MS flanges90mm</v>
          </cell>
          <cell r="C300" t="str">
            <v>MS flanges</v>
          </cell>
          <cell r="D300" t="str">
            <v>90mm</v>
          </cell>
          <cell r="E300">
            <v>0</v>
          </cell>
          <cell r="F300">
            <v>0</v>
          </cell>
          <cell r="G300">
            <v>148</v>
          </cell>
          <cell r="H300">
            <v>148</v>
          </cell>
          <cell r="I300">
            <v>148</v>
          </cell>
        </row>
        <row r="301">
          <cell r="B301" t="str">
            <v>MS flanges110mm</v>
          </cell>
          <cell r="C301" t="str">
            <v>MS flanges</v>
          </cell>
          <cell r="D301" t="str">
            <v>110mm</v>
          </cell>
          <cell r="E301">
            <v>0</v>
          </cell>
          <cell r="F301">
            <v>0</v>
          </cell>
          <cell r="G301">
            <v>180</v>
          </cell>
          <cell r="H301">
            <v>180</v>
          </cell>
          <cell r="I301">
            <v>180</v>
          </cell>
        </row>
        <row r="302">
          <cell r="B302" t="str">
            <v>MS flanges125mm</v>
          </cell>
          <cell r="C302" t="str">
            <v>MS flanges</v>
          </cell>
          <cell r="D302" t="str">
            <v>125mm</v>
          </cell>
          <cell r="E302">
            <v>0</v>
          </cell>
          <cell r="F302">
            <v>0</v>
          </cell>
          <cell r="G302">
            <v>242</v>
          </cell>
          <cell r="H302">
            <v>242</v>
          </cell>
          <cell r="I302">
            <v>242</v>
          </cell>
        </row>
        <row r="303">
          <cell r="B303" t="str">
            <v>MS flanges140mm</v>
          </cell>
          <cell r="C303" t="str">
            <v>MS flanges</v>
          </cell>
          <cell r="D303" t="str">
            <v>140mm</v>
          </cell>
          <cell r="E303">
            <v>0</v>
          </cell>
          <cell r="F303">
            <v>0</v>
          </cell>
          <cell r="G303">
            <v>282</v>
          </cell>
          <cell r="H303">
            <v>282</v>
          </cell>
          <cell r="I303">
            <v>282</v>
          </cell>
        </row>
        <row r="304">
          <cell r="B304" t="str">
            <v>MS flanges160mm</v>
          </cell>
          <cell r="C304" t="str">
            <v>MS flanges</v>
          </cell>
          <cell r="D304" t="str">
            <v>160mm</v>
          </cell>
          <cell r="E304">
            <v>0</v>
          </cell>
          <cell r="F304">
            <v>0</v>
          </cell>
          <cell r="G304">
            <v>282</v>
          </cell>
          <cell r="H304">
            <v>282</v>
          </cell>
          <cell r="I304">
            <v>282</v>
          </cell>
        </row>
        <row r="305">
          <cell r="B305" t="str">
            <v>MS flanges180mm</v>
          </cell>
          <cell r="C305" t="str">
            <v>MS flanges</v>
          </cell>
          <cell r="D305" t="str">
            <v>180mm</v>
          </cell>
          <cell r="E305">
            <v>0</v>
          </cell>
          <cell r="F305">
            <v>0</v>
          </cell>
          <cell r="G305">
            <v>382</v>
          </cell>
          <cell r="H305">
            <v>382</v>
          </cell>
          <cell r="I305">
            <v>382</v>
          </cell>
        </row>
        <row r="306">
          <cell r="B306" t="str">
            <v>MS flanges200mm</v>
          </cell>
          <cell r="C306" t="str">
            <v>MS flanges</v>
          </cell>
          <cell r="D306" t="str">
            <v>200mm</v>
          </cell>
          <cell r="E306">
            <v>0</v>
          </cell>
          <cell r="F306">
            <v>0</v>
          </cell>
          <cell r="G306">
            <v>382</v>
          </cell>
          <cell r="H306">
            <v>382</v>
          </cell>
          <cell r="I306">
            <v>382</v>
          </cell>
        </row>
        <row r="307">
          <cell r="B307" t="str">
            <v>MS flanges225mm</v>
          </cell>
          <cell r="C307" t="str">
            <v>MS flanges</v>
          </cell>
          <cell r="D307" t="str">
            <v>225mm</v>
          </cell>
          <cell r="E307">
            <v>0</v>
          </cell>
          <cell r="F307">
            <v>0</v>
          </cell>
          <cell r="G307">
            <v>382</v>
          </cell>
          <cell r="H307">
            <v>382</v>
          </cell>
          <cell r="I307">
            <v>382</v>
          </cell>
        </row>
        <row r="308">
          <cell r="B308" t="str">
            <v>MS flanges250mm</v>
          </cell>
          <cell r="C308" t="str">
            <v>MS flanges</v>
          </cell>
          <cell r="D308" t="str">
            <v>250mm</v>
          </cell>
          <cell r="E308">
            <v>0</v>
          </cell>
          <cell r="F308">
            <v>0</v>
          </cell>
          <cell r="G308">
            <v>461</v>
          </cell>
          <cell r="H308">
            <v>461</v>
          </cell>
          <cell r="I308">
            <v>461</v>
          </cell>
        </row>
        <row r="309">
          <cell r="B309" t="str">
            <v>MS flanges280mm</v>
          </cell>
          <cell r="C309" t="str">
            <v>MS flanges</v>
          </cell>
          <cell r="D309" t="str">
            <v>280mm</v>
          </cell>
          <cell r="E309">
            <v>0</v>
          </cell>
          <cell r="F309">
            <v>0</v>
          </cell>
          <cell r="G309">
            <v>470</v>
          </cell>
          <cell r="H309">
            <v>470</v>
          </cell>
          <cell r="I309">
            <v>470</v>
          </cell>
        </row>
        <row r="310">
          <cell r="B310" t="str">
            <v>MS flanges315mm</v>
          </cell>
          <cell r="C310" t="str">
            <v>MS flanges</v>
          </cell>
          <cell r="D310" t="str">
            <v>315mm</v>
          </cell>
          <cell r="E310">
            <v>0</v>
          </cell>
          <cell r="F310">
            <v>0</v>
          </cell>
          <cell r="G310">
            <v>482</v>
          </cell>
          <cell r="H310">
            <v>482</v>
          </cell>
          <cell r="I310">
            <v>482</v>
          </cell>
        </row>
        <row r="311">
          <cell r="B311" t="str">
            <v>Jiffy Joint80mm diaDI</v>
          </cell>
          <cell r="C311" t="str">
            <v>Jiffy Joint</v>
          </cell>
          <cell r="D311" t="str">
            <v>80mm dia</v>
          </cell>
          <cell r="E311" t="str">
            <v>DI</v>
          </cell>
          <cell r="F311" t="str">
            <v>each</v>
          </cell>
          <cell r="G311">
            <v>458</v>
          </cell>
          <cell r="H311">
            <v>458</v>
          </cell>
          <cell r="I311">
            <v>458</v>
          </cell>
        </row>
        <row r="312">
          <cell r="B312" t="str">
            <v>Jiffy Joint100mm diaDI</v>
          </cell>
          <cell r="C312" t="str">
            <v>Jiffy Joint</v>
          </cell>
          <cell r="D312" t="str">
            <v>100mm dia</v>
          </cell>
          <cell r="E312" t="str">
            <v>DI</v>
          </cell>
          <cell r="F312" t="str">
            <v>each</v>
          </cell>
          <cell r="G312">
            <v>526</v>
          </cell>
          <cell r="H312">
            <v>526</v>
          </cell>
          <cell r="I312">
            <v>526</v>
          </cell>
        </row>
        <row r="313">
          <cell r="B313" t="str">
            <v>Jiffy Joint125mm diaDI</v>
          </cell>
          <cell r="C313" t="str">
            <v>Jiffy Joint</v>
          </cell>
          <cell r="D313" t="str">
            <v>125mm dia</v>
          </cell>
          <cell r="E313" t="str">
            <v>DI</v>
          </cell>
          <cell r="F313" t="str">
            <v>each</v>
          </cell>
          <cell r="G313">
            <v>566</v>
          </cell>
          <cell r="H313">
            <v>566</v>
          </cell>
          <cell r="I313">
            <v>566</v>
          </cell>
        </row>
        <row r="314">
          <cell r="B314" t="str">
            <v>Jiffy Joint150mm diaDI</v>
          </cell>
          <cell r="C314" t="str">
            <v>Jiffy Joint</v>
          </cell>
          <cell r="D314" t="str">
            <v>150mm dia</v>
          </cell>
          <cell r="E314" t="str">
            <v>DI</v>
          </cell>
          <cell r="F314" t="str">
            <v>each</v>
          </cell>
          <cell r="G314">
            <v>899</v>
          </cell>
          <cell r="H314">
            <v>899</v>
          </cell>
          <cell r="I314">
            <v>899</v>
          </cell>
        </row>
        <row r="315">
          <cell r="B315" t="str">
            <v>Jiffy Joint200mm diaDI</v>
          </cell>
          <cell r="C315" t="str">
            <v>Jiffy Joint</v>
          </cell>
          <cell r="D315" t="str">
            <v>200mm dia</v>
          </cell>
          <cell r="E315" t="str">
            <v>DI</v>
          </cell>
          <cell r="F315" t="str">
            <v>each</v>
          </cell>
          <cell r="G315">
            <v>1147</v>
          </cell>
          <cell r="H315">
            <v>1147</v>
          </cell>
          <cell r="I315">
            <v>1147</v>
          </cell>
        </row>
        <row r="316">
          <cell r="B316" t="str">
            <v>Jiffy Joint250mm diaDI</v>
          </cell>
          <cell r="C316" t="str">
            <v>Jiffy Joint</v>
          </cell>
          <cell r="D316" t="str">
            <v>250mm dia</v>
          </cell>
          <cell r="E316" t="str">
            <v>DI</v>
          </cell>
          <cell r="F316" t="str">
            <v>each</v>
          </cell>
          <cell r="G316">
            <v>1813</v>
          </cell>
          <cell r="H316">
            <v>1813</v>
          </cell>
          <cell r="I316">
            <v>1813</v>
          </cell>
        </row>
        <row r="317">
          <cell r="B317" t="str">
            <v>Jiffy Joint300mm diaDI</v>
          </cell>
          <cell r="C317" t="str">
            <v>Jiffy Joint</v>
          </cell>
          <cell r="D317" t="str">
            <v>300mm dia</v>
          </cell>
          <cell r="E317" t="str">
            <v>DI</v>
          </cell>
          <cell r="F317" t="str">
            <v>each</v>
          </cell>
          <cell r="G317">
            <v>2155</v>
          </cell>
          <cell r="H317">
            <v>2155</v>
          </cell>
          <cell r="I317">
            <v>2155</v>
          </cell>
        </row>
        <row r="318">
          <cell r="B318" t="str">
            <v>Jiffy Joint350mm diaDI</v>
          </cell>
          <cell r="C318" t="str">
            <v>Jiffy Joint</v>
          </cell>
          <cell r="D318" t="str">
            <v>350mm dia</v>
          </cell>
          <cell r="E318" t="str">
            <v>DI</v>
          </cell>
          <cell r="F318" t="str">
            <v>each</v>
          </cell>
          <cell r="G318">
            <v>2557</v>
          </cell>
          <cell r="H318">
            <v>2557</v>
          </cell>
          <cell r="I318">
            <v>2557</v>
          </cell>
        </row>
        <row r="319">
          <cell r="B319" t="str">
            <v>Jiffy Joint400mm diaDI</v>
          </cell>
          <cell r="C319" t="str">
            <v>Jiffy Joint</v>
          </cell>
          <cell r="D319" t="str">
            <v>400mm dia</v>
          </cell>
          <cell r="E319" t="str">
            <v>DI</v>
          </cell>
          <cell r="F319" t="str">
            <v>each</v>
          </cell>
          <cell r="G319">
            <v>3430</v>
          </cell>
          <cell r="H319">
            <v>3430</v>
          </cell>
          <cell r="I319">
            <v>3430</v>
          </cell>
        </row>
        <row r="320">
          <cell r="B320" t="str">
            <v>Jiffy Joint450mm diaDI</v>
          </cell>
          <cell r="C320" t="str">
            <v>Jiffy Joint</v>
          </cell>
          <cell r="D320" t="str">
            <v>450mm dia</v>
          </cell>
          <cell r="E320" t="str">
            <v>DI</v>
          </cell>
          <cell r="F320" t="str">
            <v>each</v>
          </cell>
          <cell r="G320">
            <v>3859</v>
          </cell>
          <cell r="H320">
            <v>3859</v>
          </cell>
          <cell r="I320">
            <v>3859</v>
          </cell>
        </row>
        <row r="321">
          <cell r="B321" t="str">
            <v>Jiffy Joint500mm diaDI</v>
          </cell>
          <cell r="C321" t="str">
            <v>Jiffy Joint</v>
          </cell>
          <cell r="D321" t="str">
            <v>500mm dia</v>
          </cell>
          <cell r="E321" t="str">
            <v>DI</v>
          </cell>
          <cell r="F321" t="str">
            <v>each</v>
          </cell>
          <cell r="G321">
            <v>4288</v>
          </cell>
          <cell r="H321">
            <v>4288</v>
          </cell>
          <cell r="I321">
            <v>4288</v>
          </cell>
        </row>
        <row r="322">
          <cell r="B322" t="str">
            <v>Jiffy Joint600mm diaDI</v>
          </cell>
          <cell r="C322" t="str">
            <v>Jiffy Joint</v>
          </cell>
          <cell r="D322" t="str">
            <v>600mm dia</v>
          </cell>
          <cell r="E322" t="str">
            <v>DI</v>
          </cell>
          <cell r="F322" t="str">
            <v>each</v>
          </cell>
          <cell r="G322">
            <v>5146</v>
          </cell>
          <cell r="H322">
            <v>5146</v>
          </cell>
          <cell r="I322">
            <v>5146</v>
          </cell>
        </row>
        <row r="323">
          <cell r="B323" t="str">
            <v>Jiffy Joint700mm diaDI</v>
          </cell>
          <cell r="C323" t="str">
            <v>Jiffy Joint</v>
          </cell>
          <cell r="D323" t="str">
            <v>700mm dia</v>
          </cell>
          <cell r="E323" t="str">
            <v>DI</v>
          </cell>
          <cell r="F323" t="str">
            <v>each</v>
          </cell>
          <cell r="G323">
            <v>6004</v>
          </cell>
          <cell r="H323">
            <v>6004</v>
          </cell>
          <cell r="I323">
            <v>6004</v>
          </cell>
        </row>
        <row r="324">
          <cell r="B324" t="str">
            <v>Jiffy Joint800mm diaDI</v>
          </cell>
          <cell r="C324" t="str">
            <v>Jiffy Joint</v>
          </cell>
          <cell r="D324" t="str">
            <v>800mm dia</v>
          </cell>
          <cell r="E324" t="str">
            <v>DI</v>
          </cell>
          <cell r="F324" t="str">
            <v>each</v>
          </cell>
          <cell r="G324">
            <v>6862</v>
          </cell>
          <cell r="H324">
            <v>6862</v>
          </cell>
          <cell r="I324">
            <v>6862</v>
          </cell>
        </row>
        <row r="325">
          <cell r="B325" t="str">
            <v>Jointing materials- sluive valve80mm diaDI</v>
          </cell>
          <cell r="C325" t="str">
            <v>Jointing materials- sluive valve</v>
          </cell>
          <cell r="D325" t="str">
            <v>80mm dia</v>
          </cell>
          <cell r="E325" t="str">
            <v>DI</v>
          </cell>
          <cell r="F325" t="str">
            <v>each</v>
          </cell>
          <cell r="G325">
            <v>179.60999999999999</v>
          </cell>
          <cell r="H325">
            <v>179.60999999999999</v>
          </cell>
          <cell r="I325">
            <v>179.60999999999999</v>
          </cell>
        </row>
        <row r="326">
          <cell r="B326" t="str">
            <v>Jointing materials- sluive valve100mm diaDI</v>
          </cell>
          <cell r="C326" t="str">
            <v>Jointing materials- sluive valve</v>
          </cell>
          <cell r="D326" t="str">
            <v>100mm dia</v>
          </cell>
          <cell r="E326" t="str">
            <v>DI</v>
          </cell>
          <cell r="F326" t="str">
            <v>each</v>
          </cell>
          <cell r="G326">
            <v>396.54</v>
          </cell>
          <cell r="H326">
            <v>396.54</v>
          </cell>
          <cell r="I326">
            <v>396.54</v>
          </cell>
        </row>
        <row r="327">
          <cell r="B327" t="str">
            <v>Jointing materials- sluive valve125mm diaDI</v>
          </cell>
          <cell r="C327" t="str">
            <v>Jointing materials- sluive valve</v>
          </cell>
          <cell r="D327" t="str">
            <v>125mm dia</v>
          </cell>
          <cell r="E327" t="str">
            <v>DI</v>
          </cell>
          <cell r="F327" t="str">
            <v>each</v>
          </cell>
          <cell r="G327">
            <v>414.75</v>
          </cell>
          <cell r="H327">
            <v>414.75</v>
          </cell>
          <cell r="I327">
            <v>414.75</v>
          </cell>
        </row>
        <row r="328">
          <cell r="B328" t="str">
            <v>Jointing materials- sluive valve150mm diaDI</v>
          </cell>
          <cell r="C328" t="str">
            <v>Jointing materials- sluive valve</v>
          </cell>
          <cell r="D328" t="str">
            <v>150mm dia</v>
          </cell>
          <cell r="E328" t="str">
            <v>DI</v>
          </cell>
          <cell r="F328" t="str">
            <v>each</v>
          </cell>
          <cell r="G328">
            <v>547.41</v>
          </cell>
          <cell r="H328">
            <v>547.41</v>
          </cell>
          <cell r="I328">
            <v>547.41</v>
          </cell>
        </row>
        <row r="329">
          <cell r="B329" t="str">
            <v>Jointing materials- sluive valve200mm diaDI</v>
          </cell>
          <cell r="C329" t="str">
            <v>Jointing materials- sluive valve</v>
          </cell>
          <cell r="D329" t="str">
            <v>200mm dia</v>
          </cell>
          <cell r="E329" t="str">
            <v>DI</v>
          </cell>
          <cell r="F329" t="str">
            <v>each</v>
          </cell>
          <cell r="G329">
            <v>581.81999999999994</v>
          </cell>
          <cell r="H329">
            <v>581.81999999999994</v>
          </cell>
          <cell r="I329">
            <v>581.81999999999994</v>
          </cell>
        </row>
        <row r="330">
          <cell r="B330" t="str">
            <v>Jointing materials- sluive valve250mm diaDI</v>
          </cell>
          <cell r="C330" t="str">
            <v>Jointing materials- sluive valve</v>
          </cell>
          <cell r="D330" t="str">
            <v>250mm dia</v>
          </cell>
          <cell r="E330" t="str">
            <v>DI</v>
          </cell>
          <cell r="F330" t="str">
            <v>each</v>
          </cell>
          <cell r="G330">
            <v>851.46</v>
          </cell>
          <cell r="H330">
            <v>851.46</v>
          </cell>
          <cell r="I330">
            <v>851.46</v>
          </cell>
        </row>
        <row r="331">
          <cell r="B331" t="str">
            <v>Jointing materials- sluive valve300mm diaDI</v>
          </cell>
          <cell r="C331" t="str">
            <v>Jointing materials- sluive valve</v>
          </cell>
          <cell r="D331" t="str">
            <v>300mm dia</v>
          </cell>
          <cell r="E331" t="str">
            <v>DI</v>
          </cell>
          <cell r="F331" t="str">
            <v>each</v>
          </cell>
          <cell r="G331">
            <v>903.12000000000012</v>
          </cell>
          <cell r="H331">
            <v>903.12000000000012</v>
          </cell>
          <cell r="I331">
            <v>903.12000000000012</v>
          </cell>
        </row>
        <row r="332">
          <cell r="B332" t="str">
            <v>Jointing materials- sluive valve350mm diaDI</v>
          </cell>
          <cell r="C332" t="str">
            <v>Jointing materials- sluive valve</v>
          </cell>
          <cell r="D332" t="str">
            <v>350mm dia</v>
          </cell>
          <cell r="E332" t="str">
            <v>DI</v>
          </cell>
          <cell r="F332" t="str">
            <v>each</v>
          </cell>
          <cell r="G332">
            <v>1185.96</v>
          </cell>
          <cell r="H332">
            <v>1185.96</v>
          </cell>
          <cell r="I332">
            <v>1185.96</v>
          </cell>
        </row>
        <row r="333">
          <cell r="B333" t="str">
            <v>Jointing materials- sluive valve400mm diaDI</v>
          </cell>
          <cell r="C333" t="str">
            <v>Jointing materials- sluive valve</v>
          </cell>
          <cell r="D333" t="str">
            <v>400mm dia</v>
          </cell>
          <cell r="E333" t="str">
            <v>DI</v>
          </cell>
          <cell r="F333" t="str">
            <v>each</v>
          </cell>
          <cell r="G333">
            <v>1872.78</v>
          </cell>
          <cell r="H333">
            <v>1872.78</v>
          </cell>
          <cell r="I333">
            <v>1872.78</v>
          </cell>
        </row>
        <row r="334">
          <cell r="B334" t="str">
            <v>Jointing materials- sluive valve450mm diaDI</v>
          </cell>
          <cell r="C334" t="str">
            <v>Jointing materials- sluive valve</v>
          </cell>
          <cell r="D334" t="str">
            <v>450mm dia</v>
          </cell>
          <cell r="E334" t="str">
            <v>DI</v>
          </cell>
          <cell r="F334" t="str">
            <v>each</v>
          </cell>
          <cell r="G334">
            <v>2315.6999999999998</v>
          </cell>
          <cell r="H334">
            <v>2315.6999999999998</v>
          </cell>
          <cell r="I334">
            <v>2315.6999999999998</v>
          </cell>
        </row>
        <row r="335">
          <cell r="B335" t="str">
            <v>Jointing materials- sluive valve500mm diaDI</v>
          </cell>
          <cell r="C335" t="str">
            <v>Jointing materials- sluive valve</v>
          </cell>
          <cell r="D335" t="str">
            <v>500mm dia</v>
          </cell>
          <cell r="E335" t="str">
            <v>DI</v>
          </cell>
          <cell r="F335" t="str">
            <v>each</v>
          </cell>
          <cell r="G335">
            <v>2609.37</v>
          </cell>
          <cell r="H335">
            <v>2609.37</v>
          </cell>
          <cell r="I335">
            <v>2609.37</v>
          </cell>
        </row>
        <row r="336">
          <cell r="B336" t="str">
            <v>Jointing materials- sluive valve600mm diaDI</v>
          </cell>
          <cell r="C336" t="str">
            <v>Jointing materials- sluive valve</v>
          </cell>
          <cell r="D336" t="str">
            <v>600mm dia</v>
          </cell>
          <cell r="E336" t="str">
            <v>DI</v>
          </cell>
          <cell r="F336" t="str">
            <v>each</v>
          </cell>
          <cell r="G336">
            <v>4151.5499999999993</v>
          </cell>
          <cell r="H336">
            <v>4151.5499999999993</v>
          </cell>
          <cell r="I336">
            <v>4151.5499999999993</v>
          </cell>
        </row>
        <row r="337">
          <cell r="B337" t="str">
            <v>Jointing materials- sluive valve700mm diaDI</v>
          </cell>
          <cell r="C337" t="str">
            <v>Jointing materials- sluive valve</v>
          </cell>
          <cell r="D337" t="str">
            <v>700mm dia</v>
          </cell>
          <cell r="E337" t="str">
            <v>DI</v>
          </cell>
          <cell r="F337" t="str">
            <v>each</v>
          </cell>
          <cell r="G337">
            <v>4404.54</v>
          </cell>
          <cell r="H337">
            <v>4404.54</v>
          </cell>
          <cell r="I337">
            <v>4404.54</v>
          </cell>
        </row>
        <row r="338">
          <cell r="B338" t="str">
            <v>Jointing materials- sluive valve800mm diaDI</v>
          </cell>
          <cell r="C338" t="str">
            <v>Jointing materials- sluive valve</v>
          </cell>
          <cell r="D338" t="str">
            <v>800mm dia</v>
          </cell>
          <cell r="E338" t="str">
            <v>DI</v>
          </cell>
          <cell r="F338" t="str">
            <v>each</v>
          </cell>
          <cell r="G338">
            <v>4536.6900000000005</v>
          </cell>
          <cell r="H338">
            <v>4536.6900000000005</v>
          </cell>
          <cell r="I338">
            <v>4536.6900000000005</v>
          </cell>
        </row>
        <row r="339">
          <cell r="B339" t="str">
            <v>Labour charges for flanged joints80mm diaDI</v>
          </cell>
          <cell r="C339" t="str">
            <v>Labour charges for flanged joints</v>
          </cell>
          <cell r="D339" t="str">
            <v>80mm dia</v>
          </cell>
          <cell r="E339" t="str">
            <v>DI</v>
          </cell>
          <cell r="F339" t="str">
            <v>each</v>
          </cell>
          <cell r="G339">
            <v>137.69999999999999</v>
          </cell>
          <cell r="H339">
            <v>137.69999999999999</v>
          </cell>
          <cell r="I339">
            <v>137.69999999999999</v>
          </cell>
        </row>
        <row r="340">
          <cell r="B340" t="str">
            <v>Labour charges for flanged joints100mm diaDI</v>
          </cell>
          <cell r="C340" t="str">
            <v>Labour charges for flanged joints</v>
          </cell>
          <cell r="D340" t="str">
            <v>100mm dia</v>
          </cell>
          <cell r="E340" t="str">
            <v>DI</v>
          </cell>
          <cell r="F340" t="str">
            <v>each</v>
          </cell>
          <cell r="G340">
            <v>176.10000000000002</v>
          </cell>
          <cell r="H340">
            <v>176.10000000000002</v>
          </cell>
          <cell r="I340">
            <v>176.10000000000002</v>
          </cell>
        </row>
        <row r="341">
          <cell r="B341" t="str">
            <v>Labour charges for flanged joints125mm diaDI</v>
          </cell>
          <cell r="C341" t="str">
            <v>Labour charges for flanged joints</v>
          </cell>
          <cell r="D341" t="str">
            <v>125mm dia</v>
          </cell>
          <cell r="E341" t="str">
            <v>DI</v>
          </cell>
          <cell r="F341" t="str">
            <v>each</v>
          </cell>
          <cell r="G341">
            <v>254.39999999999998</v>
          </cell>
          <cell r="H341">
            <v>254.39999999999998</v>
          </cell>
          <cell r="I341">
            <v>254.39999999999998</v>
          </cell>
        </row>
        <row r="342">
          <cell r="B342" t="str">
            <v>Labour charges for flanged joints150mm diaDI</v>
          </cell>
          <cell r="C342" t="str">
            <v>Labour charges for flanged joints</v>
          </cell>
          <cell r="D342" t="str">
            <v>150mm dia</v>
          </cell>
          <cell r="E342" t="str">
            <v>DI</v>
          </cell>
          <cell r="F342" t="str">
            <v>each</v>
          </cell>
          <cell r="G342">
            <v>264.89999999999998</v>
          </cell>
          <cell r="H342">
            <v>264.89999999999998</v>
          </cell>
          <cell r="I342">
            <v>264.89999999999998</v>
          </cell>
        </row>
        <row r="343">
          <cell r="B343" t="str">
            <v>Labour charges for flanged joints200mm diaDI</v>
          </cell>
          <cell r="C343" t="str">
            <v>Labour charges for flanged joints</v>
          </cell>
          <cell r="D343" t="str">
            <v>200mm dia</v>
          </cell>
          <cell r="E343" t="str">
            <v>DI</v>
          </cell>
          <cell r="F343" t="str">
            <v>each</v>
          </cell>
          <cell r="G343">
            <v>349.5</v>
          </cell>
          <cell r="H343">
            <v>349.5</v>
          </cell>
          <cell r="I343">
            <v>349.5</v>
          </cell>
        </row>
        <row r="344">
          <cell r="B344" t="str">
            <v>Labour charges for flanged joints250mm diaDI</v>
          </cell>
          <cell r="C344" t="str">
            <v>Labour charges for flanged joints</v>
          </cell>
          <cell r="D344" t="str">
            <v>250mm dia</v>
          </cell>
          <cell r="E344" t="str">
            <v>DI</v>
          </cell>
          <cell r="F344" t="str">
            <v>each</v>
          </cell>
          <cell r="G344">
            <v>432</v>
          </cell>
          <cell r="H344">
            <v>432</v>
          </cell>
          <cell r="I344">
            <v>432</v>
          </cell>
        </row>
        <row r="345">
          <cell r="B345" t="str">
            <v>Labour charges for flanged joints300mm diaDI</v>
          </cell>
          <cell r="C345" t="str">
            <v>Labour charges for flanged joints</v>
          </cell>
          <cell r="D345" t="str">
            <v>300mm dia</v>
          </cell>
          <cell r="E345" t="str">
            <v>DI</v>
          </cell>
          <cell r="F345" t="str">
            <v>each</v>
          </cell>
          <cell r="G345">
            <v>517.5</v>
          </cell>
          <cell r="H345">
            <v>517.5</v>
          </cell>
          <cell r="I345">
            <v>517.5</v>
          </cell>
        </row>
        <row r="346">
          <cell r="B346" t="str">
            <v>Labour charges for flanged joints350mm diaDI</v>
          </cell>
          <cell r="C346" t="str">
            <v>Labour charges for flanged joints</v>
          </cell>
          <cell r="D346" t="str">
            <v>350mm dia</v>
          </cell>
          <cell r="E346" t="str">
            <v>DI</v>
          </cell>
          <cell r="F346" t="str">
            <v>each</v>
          </cell>
          <cell r="G346">
            <v>566.40000000000009</v>
          </cell>
          <cell r="H346">
            <v>566.40000000000009</v>
          </cell>
          <cell r="I346">
            <v>566.40000000000009</v>
          </cell>
        </row>
        <row r="347">
          <cell r="B347" t="str">
            <v>Labour charges for flanged joints400mm diaDI</v>
          </cell>
          <cell r="C347" t="str">
            <v>Labour charges for flanged joints</v>
          </cell>
          <cell r="D347" t="str">
            <v>400mm dia</v>
          </cell>
          <cell r="E347" t="str">
            <v>DI</v>
          </cell>
          <cell r="F347" t="str">
            <v>each</v>
          </cell>
          <cell r="G347">
            <v>728.7</v>
          </cell>
          <cell r="H347">
            <v>728.7</v>
          </cell>
          <cell r="I347">
            <v>728.7</v>
          </cell>
        </row>
        <row r="348">
          <cell r="B348" t="str">
            <v>Labour charges for flanged joints450mm diaDI</v>
          </cell>
          <cell r="C348" t="str">
            <v>Labour charges for flanged joints</v>
          </cell>
          <cell r="D348" t="str">
            <v>450mm dia</v>
          </cell>
          <cell r="E348" t="str">
            <v>DI</v>
          </cell>
          <cell r="F348" t="str">
            <v>each</v>
          </cell>
          <cell r="G348">
            <v>817.19999999999993</v>
          </cell>
          <cell r="H348">
            <v>817.19999999999993</v>
          </cell>
          <cell r="I348">
            <v>817.19999999999993</v>
          </cell>
        </row>
        <row r="349">
          <cell r="B349" t="str">
            <v>Labour charges for flanged joints500mm diaDI</v>
          </cell>
          <cell r="C349" t="str">
            <v>Labour charges for flanged joints</v>
          </cell>
          <cell r="D349" t="str">
            <v>500mm dia</v>
          </cell>
          <cell r="E349" t="str">
            <v>DI</v>
          </cell>
          <cell r="F349" t="str">
            <v>each</v>
          </cell>
          <cell r="G349">
            <v>858.59999999999991</v>
          </cell>
          <cell r="H349">
            <v>858.59999999999991</v>
          </cell>
          <cell r="I349">
            <v>858.59999999999991</v>
          </cell>
        </row>
        <row r="350">
          <cell r="B350" t="str">
            <v>Labour charges for flanged joints600mm diaDI</v>
          </cell>
          <cell r="C350" t="str">
            <v>Labour charges for flanged joints</v>
          </cell>
          <cell r="D350" t="str">
            <v>600mm dia</v>
          </cell>
          <cell r="E350" t="str">
            <v>DI</v>
          </cell>
          <cell r="F350" t="str">
            <v>each</v>
          </cell>
          <cell r="G350">
            <v>1197.9000000000001</v>
          </cell>
          <cell r="H350">
            <v>1197.9000000000001</v>
          </cell>
          <cell r="I350">
            <v>1197.9000000000001</v>
          </cell>
        </row>
        <row r="351">
          <cell r="B351" t="str">
            <v>Labour charges for flanged joints700mm diaDI</v>
          </cell>
          <cell r="C351" t="str">
            <v>Labour charges for flanged joints</v>
          </cell>
          <cell r="D351" t="str">
            <v>700mm dia</v>
          </cell>
          <cell r="E351" t="str">
            <v>DI</v>
          </cell>
          <cell r="F351" t="str">
            <v>each</v>
          </cell>
          <cell r="G351">
            <v>1217.0999999999999</v>
          </cell>
          <cell r="H351">
            <v>1217.0999999999999</v>
          </cell>
          <cell r="I351">
            <v>1217.0999999999999</v>
          </cell>
        </row>
        <row r="352">
          <cell r="B352" t="str">
            <v>Labour charges for flanged joints800mm diaDI</v>
          </cell>
          <cell r="C352" t="str">
            <v>Labour charges for flanged joints</v>
          </cell>
          <cell r="D352" t="str">
            <v>800mm dia</v>
          </cell>
          <cell r="E352" t="str">
            <v>DI</v>
          </cell>
          <cell r="F352" t="str">
            <v>each</v>
          </cell>
          <cell r="G352">
            <v>1423.1999999999998</v>
          </cell>
          <cell r="H352">
            <v>1423.1999999999998</v>
          </cell>
          <cell r="I352">
            <v>1423.1999999999998</v>
          </cell>
        </row>
        <row r="353">
          <cell r="B353" t="str">
            <v>Lowering of sluice valve80mm diaDI</v>
          </cell>
          <cell r="C353" t="str">
            <v>Lowering of sluice valve</v>
          </cell>
          <cell r="D353" t="str">
            <v>80mm dia</v>
          </cell>
          <cell r="E353" t="str">
            <v>DI</v>
          </cell>
          <cell r="F353" t="str">
            <v>each</v>
          </cell>
          <cell r="G353">
            <v>18.5</v>
          </cell>
          <cell r="H353">
            <v>26.7</v>
          </cell>
          <cell r="I353">
            <v>26.7</v>
          </cell>
        </row>
        <row r="354">
          <cell r="B354" t="str">
            <v>Lowering of sluice valve100mm diaDI</v>
          </cell>
          <cell r="C354" t="str">
            <v>Lowering of sluice valve</v>
          </cell>
          <cell r="D354" t="str">
            <v>100mm dia</v>
          </cell>
          <cell r="E354" t="str">
            <v>DI</v>
          </cell>
          <cell r="F354" t="str">
            <v>each</v>
          </cell>
          <cell r="G354">
            <v>30.6</v>
          </cell>
          <cell r="H354">
            <v>35.200000000000003</v>
          </cell>
          <cell r="I354">
            <v>35.200000000000003</v>
          </cell>
        </row>
        <row r="355">
          <cell r="B355" t="str">
            <v>Lowering of sluice valve125mm diaDI</v>
          </cell>
          <cell r="C355" t="str">
            <v>Lowering of sluice valve</v>
          </cell>
          <cell r="D355" t="str">
            <v>125mm dia</v>
          </cell>
          <cell r="E355" t="str">
            <v>DI</v>
          </cell>
          <cell r="F355" t="str">
            <v>each</v>
          </cell>
          <cell r="G355">
            <v>40.1</v>
          </cell>
          <cell r="H355">
            <v>46.1</v>
          </cell>
          <cell r="I355">
            <v>46.1</v>
          </cell>
        </row>
        <row r="356">
          <cell r="B356" t="str">
            <v>Lowering of sluice valve150mm diaDI</v>
          </cell>
          <cell r="C356" t="str">
            <v>Lowering of sluice valve</v>
          </cell>
          <cell r="D356" t="str">
            <v>150mm dia</v>
          </cell>
          <cell r="E356" t="str">
            <v>DI</v>
          </cell>
          <cell r="F356" t="str">
            <v>each</v>
          </cell>
          <cell r="G356">
            <v>47.4</v>
          </cell>
          <cell r="H356">
            <v>54.5</v>
          </cell>
          <cell r="I356">
            <v>54.5</v>
          </cell>
        </row>
        <row r="357">
          <cell r="B357" t="str">
            <v>Lowering of sluice valve200mm diaDI</v>
          </cell>
          <cell r="C357" t="str">
            <v>Lowering of sluice valve</v>
          </cell>
          <cell r="D357" t="str">
            <v>200mm dia</v>
          </cell>
          <cell r="E357" t="str">
            <v>DI</v>
          </cell>
          <cell r="F357" t="str">
            <v>each</v>
          </cell>
          <cell r="G357">
            <v>87.7</v>
          </cell>
          <cell r="H357">
            <v>100.9</v>
          </cell>
          <cell r="I357">
            <v>100.9</v>
          </cell>
        </row>
        <row r="358">
          <cell r="B358" t="str">
            <v>Lowering of sluice valve250mm diaDI</v>
          </cell>
          <cell r="C358" t="str">
            <v>Lowering of sluice valve</v>
          </cell>
          <cell r="D358" t="str">
            <v>250mm dia</v>
          </cell>
          <cell r="E358" t="str">
            <v>DI</v>
          </cell>
          <cell r="F358" t="str">
            <v>each</v>
          </cell>
          <cell r="G358">
            <v>118.6</v>
          </cell>
          <cell r="H358">
            <v>136.4</v>
          </cell>
          <cell r="I358">
            <v>136.4</v>
          </cell>
        </row>
        <row r="359">
          <cell r="B359" t="str">
            <v>Lowering of sluice valve300mm diaDI</v>
          </cell>
          <cell r="C359" t="str">
            <v>Lowering of sluice valve</v>
          </cell>
          <cell r="D359" t="str">
            <v>300mm dia</v>
          </cell>
          <cell r="E359" t="str">
            <v>DI</v>
          </cell>
          <cell r="F359" t="str">
            <v>each</v>
          </cell>
          <cell r="G359">
            <v>179.6</v>
          </cell>
          <cell r="H359">
            <v>206.5</v>
          </cell>
          <cell r="I359">
            <v>206.5</v>
          </cell>
        </row>
        <row r="360">
          <cell r="B360" t="str">
            <v>Lowering of sluice valve350mm diaDI</v>
          </cell>
          <cell r="C360" t="str">
            <v>Lowering of sluice valve</v>
          </cell>
          <cell r="D360" t="str">
            <v>350mm dia</v>
          </cell>
          <cell r="E360" t="str">
            <v>DI</v>
          </cell>
          <cell r="F360" t="str">
            <v>each</v>
          </cell>
          <cell r="G360">
            <v>309</v>
          </cell>
          <cell r="H360">
            <v>355.4</v>
          </cell>
          <cell r="I360">
            <v>355.4</v>
          </cell>
        </row>
        <row r="361">
          <cell r="B361" t="str">
            <v>Lowering of sluice valve400mm diaDI</v>
          </cell>
          <cell r="C361" t="str">
            <v>Lowering of sluice valve</v>
          </cell>
          <cell r="D361" t="str">
            <v>400mm dia</v>
          </cell>
          <cell r="E361" t="str">
            <v>DI</v>
          </cell>
          <cell r="F361" t="str">
            <v>each</v>
          </cell>
          <cell r="G361">
            <v>379</v>
          </cell>
          <cell r="H361">
            <v>435.9</v>
          </cell>
          <cell r="I361">
            <v>435.9</v>
          </cell>
        </row>
        <row r="362">
          <cell r="B362" t="str">
            <v>Lowering of sluice valve450mm diaDI</v>
          </cell>
          <cell r="C362" t="str">
            <v>Lowering of sluice valve</v>
          </cell>
          <cell r="D362" t="str">
            <v>450mm dia</v>
          </cell>
          <cell r="E362" t="str">
            <v>DI</v>
          </cell>
          <cell r="F362" t="str">
            <v>each</v>
          </cell>
          <cell r="G362">
            <v>496.3</v>
          </cell>
          <cell r="H362">
            <v>570.70000000000005</v>
          </cell>
          <cell r="I362">
            <v>570.70000000000005</v>
          </cell>
        </row>
        <row r="363">
          <cell r="B363" t="str">
            <v>Lowering of sluice valve500mm diaDI</v>
          </cell>
          <cell r="C363" t="str">
            <v>Lowering of sluice valve</v>
          </cell>
          <cell r="D363" t="str">
            <v>500mm dia</v>
          </cell>
          <cell r="E363" t="str">
            <v>DI</v>
          </cell>
          <cell r="F363" t="str">
            <v>each</v>
          </cell>
          <cell r="G363">
            <v>551.44444444444446</v>
          </cell>
        </row>
        <row r="364">
          <cell r="B364" t="str">
            <v>Lowering of sluice valve600mm diaDI</v>
          </cell>
          <cell r="C364" t="str">
            <v>Lowering of sluice valve</v>
          </cell>
          <cell r="D364" t="str">
            <v>600mm dia</v>
          </cell>
          <cell r="E364" t="str">
            <v>DI</v>
          </cell>
          <cell r="F364" t="str">
            <v>each</v>
          </cell>
          <cell r="G364">
            <v>661.73333333333335</v>
          </cell>
        </row>
        <row r="365">
          <cell r="B365" t="str">
            <v>Lowering of sluice valve700mm diaDI</v>
          </cell>
          <cell r="C365" t="str">
            <v>Lowering of sluice valve</v>
          </cell>
          <cell r="D365" t="str">
            <v>700mm dia</v>
          </cell>
          <cell r="E365" t="str">
            <v>DI</v>
          </cell>
          <cell r="F365" t="str">
            <v>each</v>
          </cell>
          <cell r="G365">
            <v>772.02222222222224</v>
          </cell>
        </row>
        <row r="366">
          <cell r="B366" t="str">
            <v>Lowering of sluice valve800mm diaDI</v>
          </cell>
          <cell r="C366" t="str">
            <v>Lowering of sluice valve</v>
          </cell>
          <cell r="D366" t="str">
            <v>800mm dia</v>
          </cell>
          <cell r="E366" t="str">
            <v>DI</v>
          </cell>
          <cell r="F366" t="str">
            <v>each</v>
          </cell>
          <cell r="G366">
            <v>882.31111111111102</v>
          </cell>
        </row>
        <row r="367">
          <cell r="B367">
            <v>0</v>
          </cell>
        </row>
        <row r="368">
          <cell r="B368">
            <v>0</v>
          </cell>
        </row>
        <row r="369">
          <cell r="B369">
            <v>0</v>
          </cell>
        </row>
        <row r="370">
          <cell r="B370">
            <v>0</v>
          </cell>
        </row>
        <row r="371">
          <cell r="B371">
            <v>0</v>
          </cell>
        </row>
        <row r="372">
          <cell r="B372">
            <v>0</v>
          </cell>
        </row>
        <row r="373">
          <cell r="B373">
            <v>0</v>
          </cell>
        </row>
        <row r="374">
          <cell r="B374">
            <v>0</v>
          </cell>
        </row>
        <row r="375">
          <cell r="B375">
            <v>0</v>
          </cell>
        </row>
        <row r="376">
          <cell r="B376">
            <v>0</v>
          </cell>
        </row>
        <row r="377">
          <cell r="B377">
            <v>0</v>
          </cell>
        </row>
        <row r="378">
          <cell r="B378">
            <v>0</v>
          </cell>
        </row>
        <row r="379">
          <cell r="B379">
            <v>0</v>
          </cell>
        </row>
        <row r="380">
          <cell r="B380">
            <v>0</v>
          </cell>
        </row>
        <row r="381">
          <cell r="B381">
            <v>0</v>
          </cell>
        </row>
        <row r="382">
          <cell r="B382">
            <v>0</v>
          </cell>
        </row>
        <row r="383">
          <cell r="B383">
            <v>0</v>
          </cell>
        </row>
        <row r="384">
          <cell r="B384">
            <v>0</v>
          </cell>
        </row>
        <row r="385">
          <cell r="B385">
            <v>0</v>
          </cell>
        </row>
        <row r="386">
          <cell r="B386">
            <v>0</v>
          </cell>
        </row>
        <row r="387">
          <cell r="B387">
            <v>0</v>
          </cell>
        </row>
        <row r="388">
          <cell r="B388">
            <v>0</v>
          </cell>
        </row>
        <row r="389">
          <cell r="B389">
            <v>0</v>
          </cell>
        </row>
        <row r="390">
          <cell r="B390">
            <v>0</v>
          </cell>
        </row>
        <row r="391">
          <cell r="B391">
            <v>0</v>
          </cell>
        </row>
        <row r="392">
          <cell r="B392">
            <v>0</v>
          </cell>
        </row>
        <row r="393">
          <cell r="B393">
            <v>0</v>
          </cell>
        </row>
        <row r="394">
          <cell r="B394">
            <v>0</v>
          </cell>
        </row>
        <row r="395">
          <cell r="B395">
            <v>0</v>
          </cell>
        </row>
        <row r="396">
          <cell r="B396">
            <v>0</v>
          </cell>
        </row>
        <row r="397">
          <cell r="B397">
            <v>0</v>
          </cell>
        </row>
        <row r="398">
          <cell r="B398">
            <v>0</v>
          </cell>
        </row>
        <row r="399">
          <cell r="B399">
            <v>0</v>
          </cell>
        </row>
        <row r="400">
          <cell r="B400">
            <v>0</v>
          </cell>
        </row>
        <row r="401">
          <cell r="B401">
            <v>0</v>
          </cell>
        </row>
        <row r="402">
          <cell r="B402">
            <v>0</v>
          </cell>
        </row>
        <row r="403">
          <cell r="B403">
            <v>0</v>
          </cell>
        </row>
        <row r="404">
          <cell r="B404">
            <v>0</v>
          </cell>
        </row>
        <row r="405">
          <cell r="B405">
            <v>0</v>
          </cell>
        </row>
        <row r="406">
          <cell r="B406">
            <v>0</v>
          </cell>
        </row>
        <row r="407">
          <cell r="B407">
            <v>0</v>
          </cell>
        </row>
        <row r="408">
          <cell r="B408">
            <v>0</v>
          </cell>
        </row>
        <row r="409">
          <cell r="B409">
            <v>0</v>
          </cell>
        </row>
        <row r="410">
          <cell r="B410">
            <v>0</v>
          </cell>
        </row>
        <row r="411">
          <cell r="B411">
            <v>0</v>
          </cell>
        </row>
        <row r="412">
          <cell r="B412">
            <v>0</v>
          </cell>
        </row>
        <row r="413">
          <cell r="B413">
            <v>0</v>
          </cell>
        </row>
        <row r="414">
          <cell r="B414">
            <v>0</v>
          </cell>
        </row>
        <row r="415">
          <cell r="B415">
            <v>0</v>
          </cell>
        </row>
        <row r="416">
          <cell r="B416">
            <v>0</v>
          </cell>
        </row>
        <row r="417">
          <cell r="B417">
            <v>0</v>
          </cell>
        </row>
        <row r="418">
          <cell r="B418">
            <v>0</v>
          </cell>
        </row>
        <row r="419">
          <cell r="B419">
            <v>0</v>
          </cell>
        </row>
        <row r="420">
          <cell r="B420">
            <v>0</v>
          </cell>
        </row>
        <row r="421">
          <cell r="B421">
            <v>0</v>
          </cell>
        </row>
        <row r="422">
          <cell r="B422">
            <v>0</v>
          </cell>
        </row>
        <row r="423">
          <cell r="B423">
            <v>0</v>
          </cell>
        </row>
        <row r="424">
          <cell r="B424">
            <v>0</v>
          </cell>
        </row>
        <row r="425">
          <cell r="B425">
            <v>0</v>
          </cell>
        </row>
        <row r="426">
          <cell r="B426">
            <v>0</v>
          </cell>
        </row>
        <row r="427">
          <cell r="B427">
            <v>0</v>
          </cell>
        </row>
        <row r="428">
          <cell r="B428">
            <v>0</v>
          </cell>
        </row>
        <row r="429">
          <cell r="B429">
            <v>0</v>
          </cell>
        </row>
        <row r="430">
          <cell r="B430">
            <v>0</v>
          </cell>
        </row>
        <row r="431">
          <cell r="B431">
            <v>0</v>
          </cell>
        </row>
        <row r="432">
          <cell r="B432">
            <v>0</v>
          </cell>
        </row>
        <row r="433">
          <cell r="B433">
            <v>0</v>
          </cell>
        </row>
        <row r="434">
          <cell r="B434">
            <v>0</v>
          </cell>
        </row>
        <row r="435">
          <cell r="B435">
            <v>0</v>
          </cell>
        </row>
        <row r="436">
          <cell r="B436">
            <v>0</v>
          </cell>
        </row>
        <row r="437">
          <cell r="B437">
            <v>0</v>
          </cell>
        </row>
        <row r="438">
          <cell r="B438">
            <v>0</v>
          </cell>
        </row>
        <row r="439">
          <cell r="B439">
            <v>0</v>
          </cell>
        </row>
        <row r="440">
          <cell r="B440">
            <v>0</v>
          </cell>
        </row>
        <row r="441">
          <cell r="B441">
            <v>0</v>
          </cell>
        </row>
        <row r="442">
          <cell r="B442">
            <v>0</v>
          </cell>
        </row>
        <row r="443">
          <cell r="B443">
            <v>0</v>
          </cell>
        </row>
        <row r="444">
          <cell r="B444">
            <v>0</v>
          </cell>
        </row>
        <row r="445">
          <cell r="B445">
            <v>0</v>
          </cell>
        </row>
        <row r="446">
          <cell r="B446">
            <v>0</v>
          </cell>
        </row>
        <row r="447">
          <cell r="B447">
            <v>0</v>
          </cell>
        </row>
        <row r="448">
          <cell r="B448">
            <v>0</v>
          </cell>
        </row>
        <row r="449">
          <cell r="B449">
            <v>0</v>
          </cell>
        </row>
        <row r="450">
          <cell r="B450">
            <v>0</v>
          </cell>
        </row>
        <row r="451">
          <cell r="B451">
            <v>0</v>
          </cell>
        </row>
        <row r="452">
          <cell r="B452">
            <v>0</v>
          </cell>
        </row>
        <row r="453">
          <cell r="B453">
            <v>0</v>
          </cell>
        </row>
        <row r="454">
          <cell r="B454">
            <v>0</v>
          </cell>
        </row>
        <row r="455">
          <cell r="B455">
            <v>0</v>
          </cell>
        </row>
        <row r="456">
          <cell r="B456">
            <v>0</v>
          </cell>
        </row>
        <row r="457">
          <cell r="B457">
            <v>0</v>
          </cell>
        </row>
        <row r="458">
          <cell r="B458">
            <v>0</v>
          </cell>
        </row>
        <row r="459">
          <cell r="B459">
            <v>0</v>
          </cell>
        </row>
        <row r="460">
          <cell r="B460">
            <v>0</v>
          </cell>
        </row>
        <row r="461">
          <cell r="B461">
            <v>0</v>
          </cell>
        </row>
        <row r="462">
          <cell r="B462">
            <v>0</v>
          </cell>
        </row>
        <row r="463">
          <cell r="B463">
            <v>0</v>
          </cell>
        </row>
        <row r="464">
          <cell r="B464">
            <v>0</v>
          </cell>
        </row>
        <row r="465">
          <cell r="B465">
            <v>0</v>
          </cell>
        </row>
        <row r="466">
          <cell r="B466">
            <v>0</v>
          </cell>
        </row>
        <row r="467">
          <cell r="B467">
            <v>0</v>
          </cell>
        </row>
        <row r="468">
          <cell r="B468">
            <v>0</v>
          </cell>
        </row>
        <row r="469">
          <cell r="B469">
            <v>0</v>
          </cell>
        </row>
        <row r="470">
          <cell r="B470">
            <v>0</v>
          </cell>
        </row>
        <row r="471">
          <cell r="B471">
            <v>0</v>
          </cell>
        </row>
        <row r="472">
          <cell r="B472">
            <v>0</v>
          </cell>
        </row>
        <row r="473">
          <cell r="B473">
            <v>0</v>
          </cell>
        </row>
        <row r="474">
          <cell r="B474">
            <v>0</v>
          </cell>
        </row>
        <row r="475">
          <cell r="B475">
            <v>0</v>
          </cell>
        </row>
        <row r="476">
          <cell r="B476">
            <v>0</v>
          </cell>
        </row>
        <row r="477">
          <cell r="B477">
            <v>0</v>
          </cell>
        </row>
        <row r="478">
          <cell r="B478">
            <v>0</v>
          </cell>
        </row>
        <row r="479">
          <cell r="B479">
            <v>0</v>
          </cell>
        </row>
        <row r="480">
          <cell r="B480">
            <v>0</v>
          </cell>
        </row>
        <row r="481">
          <cell r="B481">
            <v>0</v>
          </cell>
        </row>
        <row r="482">
          <cell r="B482">
            <v>0</v>
          </cell>
        </row>
        <row r="483">
          <cell r="B483">
            <v>0</v>
          </cell>
        </row>
        <row r="484">
          <cell r="B484">
            <v>0</v>
          </cell>
        </row>
        <row r="485">
          <cell r="B485">
            <v>0</v>
          </cell>
        </row>
        <row r="486">
          <cell r="B486">
            <v>0</v>
          </cell>
        </row>
        <row r="487">
          <cell r="B487">
            <v>0</v>
          </cell>
        </row>
        <row r="488">
          <cell r="B488">
            <v>0</v>
          </cell>
        </row>
        <row r="489">
          <cell r="B489">
            <v>0</v>
          </cell>
        </row>
        <row r="490">
          <cell r="B490">
            <v>0</v>
          </cell>
        </row>
        <row r="491">
          <cell r="B491">
            <v>0</v>
          </cell>
        </row>
        <row r="492">
          <cell r="B492">
            <v>0</v>
          </cell>
        </row>
        <row r="493">
          <cell r="B493">
            <v>0</v>
          </cell>
        </row>
        <row r="494">
          <cell r="B494">
            <v>0</v>
          </cell>
        </row>
        <row r="495">
          <cell r="B495">
            <v>0</v>
          </cell>
        </row>
        <row r="496">
          <cell r="B496">
            <v>0</v>
          </cell>
        </row>
        <row r="497">
          <cell r="B497">
            <v>0</v>
          </cell>
        </row>
        <row r="498">
          <cell r="B498">
            <v>0</v>
          </cell>
        </row>
        <row r="499">
          <cell r="B499">
            <v>0</v>
          </cell>
        </row>
        <row r="500">
          <cell r="B500">
            <v>0</v>
          </cell>
        </row>
        <row r="501">
          <cell r="B501">
            <v>0</v>
          </cell>
        </row>
        <row r="502">
          <cell r="B502">
            <v>0</v>
          </cell>
        </row>
        <row r="503">
          <cell r="B503">
            <v>0</v>
          </cell>
        </row>
        <row r="504">
          <cell r="B504">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overpage"/>
      <sheetName val="TS memo"/>
      <sheetName val="Spn report"/>
      <sheetName val="BTR"/>
      <sheetName val="RMR"/>
      <sheetName val="Road data"/>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s>
    <sheetDataSet>
      <sheetData sheetId="0" refreshError="1"/>
      <sheetData sheetId="1" refreshError="1"/>
      <sheetData sheetId="2" refreshError="1"/>
      <sheetData sheetId="3" refreshError="1"/>
      <sheetData sheetId="4" refreshError="1"/>
      <sheetData sheetId="5" refreshError="1"/>
      <sheetData sheetId="6" refreshError="1">
        <row r="21">
          <cell r="L21">
            <v>931.346</v>
          </cell>
        </row>
        <row r="23">
          <cell r="L23">
            <v>703.64600000000007</v>
          </cell>
        </row>
        <row r="25">
          <cell r="L25">
            <v>224.46899999999999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Mix seal data"/>
      <sheetName val="TRAFF-Count-ESAL-Cal"/>
      <sheetName val="SP-72 DESIGN"/>
      <sheetName val="SP-72-CHART"/>
      <sheetName val="Gen Abs"/>
      <sheetName val="Det esti"/>
      <sheetName val="Road-furniture"/>
      <sheetName val="MTC-ABS"/>
      <sheetName val="MTC-estimate"/>
      <sheetName val="LEAD"/>
      <sheetName val="Data-Road "/>
      <sheetName val="DATA-CD"/>
      <sheetName val="Sup Data"/>
      <sheetName val="Sup Data (3)"/>
      <sheetName val="Sup Data (2)"/>
      <sheetName val="Road Furniture-Data"/>
      <sheetName val="Mtc-data"/>
      <sheetName val="CD Abs"/>
      <sheetName val="Parapet walls"/>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temp"/>
      <sheetName val="Slab culve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2">
          <cell r="C2" t="str">
            <v>Providing B.T on  R/F Kondapur to Koilsagar project of Dhanwada Mandal</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mtc est (5)"/>
      <sheetName val="mtc est (4)"/>
      <sheetName val="mtc est (3)"/>
      <sheetName val="mtc est (2)"/>
      <sheetName val="mtc est (1)"/>
      <sheetName val="mtc abst"/>
      <sheetName val="Specification report (2)"/>
      <sheetName val="mtc data"/>
      <sheetName val="cover"/>
      <sheetName val="Specification report"/>
      <sheetName val="Abstract"/>
      <sheetName val="cd abst"/>
      <sheetName val="road infrastructure"/>
      <sheetName val="Protection works"/>
      <sheetName val="Retain wall"/>
      <sheetName val="600 dia 2 rows"/>
      <sheetName val="900 mm dia PC 1 Rows"/>
      <sheetName val="900 mm dia causeway"/>
      <sheetName val="Sheet2"/>
      <sheetName val="900  mm 2 rows pc"/>
      <sheetName val="LEAD"/>
      <sheetName val="Quarry Chart"/>
      <sheetName val="Quarry "/>
      <sheetName val="road_est"/>
      <sheetName val="Data-Road "/>
      <sheetName val="DATA-CD"/>
      <sheetName val="Road Furniture-Data"/>
      <sheetName val="Hire"/>
      <sheetName val="other rates"/>
      <sheetName val="Conv"/>
      <sheetName val="NP3 pipes"/>
      <sheetName val="mtc est"/>
      <sheetName val="NP3 collars"/>
      <sheetName val="tem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row r="20">
          <cell r="I20">
            <v>22</v>
          </cell>
        </row>
        <row r="21">
          <cell r="I21">
            <v>40</v>
          </cell>
        </row>
        <row r="22">
          <cell r="I22">
            <v>50</v>
          </cell>
        </row>
      </sheetData>
      <sheetData sheetId="31" refreshError="1"/>
      <sheetData sheetId="32" refreshError="1"/>
      <sheetData sheetId="33" refreshError="1"/>
      <sheetData sheetId="34" refreshError="1"/>
      <sheetData sheetId="35"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mtc est (5)"/>
      <sheetName val="mtc est (4)"/>
      <sheetName val="mtc est (3)"/>
      <sheetName val="mtc est (2)"/>
      <sheetName val="mtc est (1)"/>
      <sheetName val="mtc abst"/>
      <sheetName val="Specification report (2)"/>
      <sheetName val="mtc data"/>
      <sheetName val="cover"/>
      <sheetName val="Specification report"/>
      <sheetName val="Abstract"/>
      <sheetName val="cd abst"/>
      <sheetName val="road infrastructure"/>
      <sheetName val="Protection works"/>
      <sheetName val="Retain wall"/>
      <sheetName val="600 dia 2 rows"/>
      <sheetName val="900 mm dia PC 1 Rows"/>
      <sheetName val="900 mm dia causeway"/>
      <sheetName val="Sheet2"/>
      <sheetName val="900  mm 2 rows pc"/>
      <sheetName val="LEAD"/>
      <sheetName val="Quarry Chart"/>
      <sheetName val="Quarry "/>
      <sheetName val="road_est"/>
      <sheetName val="Data-Road "/>
      <sheetName val="DATA-CD"/>
      <sheetName val="Road Furniture-Data"/>
      <sheetName val="Hire"/>
      <sheetName val="other rates"/>
      <sheetName val="Conv"/>
      <sheetName val="NP3 pipes"/>
      <sheetName val="mtc est"/>
      <sheetName val="NP3 collars"/>
      <sheetName val="tem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46">
          <cell r="K46">
            <v>0.125</v>
          </cell>
        </row>
      </sheetData>
      <sheetData sheetId="23"/>
      <sheetData sheetId="24"/>
      <sheetData sheetId="25"/>
      <sheetData sheetId="26"/>
      <sheetData sheetId="27"/>
      <sheetData sheetId="28"/>
      <sheetData sheetId="29"/>
      <sheetData sheetId="30">
        <row r="20">
          <cell r="I20">
            <v>22</v>
          </cell>
        </row>
        <row r="21">
          <cell r="I21">
            <v>40</v>
          </cell>
        </row>
        <row r="22">
          <cell r="I22">
            <v>50</v>
          </cell>
        </row>
      </sheetData>
      <sheetData sheetId="31"/>
      <sheetData sheetId="32"/>
      <sheetData sheetId="33"/>
      <sheetData sheetId="34"/>
      <sheetData sheetId="35"/>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nav"/>
      <sheetName val="m4"/>
      <sheetName val="she"/>
      <sheetName val="m"/>
      <sheetName val="m1"/>
      <sheetName val="est"/>
      <sheetName val="est (2)"/>
      <sheetName val="m4 (2)"/>
      <sheetName val="m4 (4)"/>
      <sheetName val="Road Detail Est."/>
      <sheetName val="Road data"/>
      <sheetName val="other rates"/>
      <sheetName val="r"/>
      <sheetName val="Part-A"/>
      <sheetName val="RMR"/>
      <sheetName val="Data"/>
      <sheetName val="lead-st"/>
      <sheetName val="ewst"/>
      <sheetName val="maya"/>
      <sheetName val="Plant &amp;  Machinery"/>
      <sheetName val="Material"/>
      <sheetName val="Labour"/>
      <sheetName val="ssr-rates"/>
      <sheetName val="sand"/>
      <sheetName val="stone"/>
      <sheetName val="index"/>
      <sheetName val="other rates N"/>
      <sheetName val="LEAD"/>
      <sheetName val="Data.F8.BTR"/>
      <sheetName val="Lead statement"/>
      <sheetName val="t_prsr"/>
      <sheetName val="wh"/>
      <sheetName val="MRATES"/>
      <sheetName val="Title"/>
      <sheetName val="Estt"/>
      <sheetName val="C-data"/>
      <sheetName val="leads"/>
      <sheetName val="v"/>
      <sheetName val="CD Data"/>
      <sheetName val="ABS"/>
      <sheetName val="Data_Renuals"/>
      <sheetName val="l"/>
      <sheetName val="Sent NHO"/>
      <sheetName val="OPD-Civil"/>
      <sheetName val="Boq"/>
      <sheetName val="DATA-CD"/>
      <sheetName val="Data_Base"/>
      <sheetName val="Specification"/>
      <sheetName val="data existing_do not delete"/>
      <sheetName val="abs road"/>
      <sheetName val="temp-SDData (2)"/>
      <sheetName val="Sheet3"/>
      <sheetName val="AX-B"/>
      <sheetName val="Footings"/>
      <sheetName val="Works"/>
      <sheetName val="General"/>
      <sheetName val="est_(2)"/>
      <sheetName val="m4_(2)"/>
      <sheetName val="m4_(4)"/>
      <sheetName val="Road_Detail_Est_"/>
      <sheetName val="Road_data"/>
      <sheetName val="est_(2)1"/>
      <sheetName val="m4_(2)1"/>
      <sheetName val="m4_(4)1"/>
      <sheetName val="Road_Detail_Est_1"/>
      <sheetName val="Road_data1"/>
      <sheetName val="Sheet1"/>
      <sheetName val="Input"/>
      <sheetName val="road_est (2)"/>
      <sheetName val="furniture"/>
      <sheetName val="abst-cdworks (2)"/>
      <sheetName val="Seig_Cal"/>
      <sheetName val="7 Other Costs"/>
      <sheetName val="quarry"/>
      <sheetName val="BOQ_Direct_selling cost"/>
      <sheetName val="RA-markate"/>
      <sheetName val="0000000000000"/>
    </sheetNames>
    <sheetDataSet>
      <sheetData sheetId="0" refreshError="1"/>
      <sheetData sheetId="1" refreshError="1"/>
      <sheetData sheetId="2" refreshError="1"/>
      <sheetData sheetId="3" refreshError="1">
        <row r="2">
          <cell r="A2" t="str">
            <v>Name of work: BT to road from PWD Road to Jaggasagari via Chowlamaddi and Kondrikarla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SUP DATA (2)"/>
      <sheetName val="lead"/>
      <sheetName val="Lead statement"/>
      <sheetName val="DATA - RIDF - XII"/>
      <sheetName val="sup data"/>
      <sheetName val="COMP. STAT."/>
      <sheetName val="COMP. STAT. (2)"/>
      <sheetName val="ABR"/>
      <sheetName val="WORK DONE"/>
      <sheetName val="CR"/>
      <sheetName val="QUT"/>
      <sheetName val="KM"/>
      <sheetName val="Data_Renuals"/>
      <sheetName val="Data_Renuals (2)"/>
      <sheetName val="Abstract"/>
      <sheetName val="Data"/>
      <sheetName val="WORKING"/>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Cover (2)"/>
      <sheetName val="Input Data"/>
      <sheetName val="NOTE File1"/>
      <sheetName val="SPR"/>
      <sheetName val="Inspection Report"/>
      <sheetName val="Key Map"/>
      <sheetName val="LS_2LS (2)"/>
      <sheetName val="LS_2LS"/>
      <sheetName val="TRAFF-Count-ESAL-Cal"/>
      <sheetName val="ESAL-result"/>
      <sheetName val="ESAL-calculation "/>
      <sheetName val="ESAL-Data"/>
      <sheetName val="Cover"/>
      <sheetName val="google-map"/>
      <sheetName val="GA"/>
      <sheetName val="Road Estimate"/>
      <sheetName val="Road-furniture "/>
      <sheetName val="CD Abs"/>
      <sheetName val="Mtc-Abs"/>
      <sheetName val="MTS Esti"/>
      <sheetName val="Schedule-A"/>
      <sheetName val="Schedule-A (Part-B)"/>
      <sheetName val="MTC DAtas"/>
      <sheetName val="Mtc-data"/>
      <sheetName val="1V 1m dia Pipe Culverts"/>
      <sheetName val="2V 1m dia Pipe Culverts"/>
      <sheetName val="Slab Culvert 1V 5m x 2m span"/>
      <sheetName val="Slab Culvert 1V 6m x 2m spa"/>
      <sheetName val="Slab Culvert 2V 6m x 2m spa"/>
      <sheetName val="Road dam 30m"/>
      <sheetName val="Ret wall"/>
      <sheetName val="Drain "/>
      <sheetName val="Seigneorage"/>
      <sheetName val="Lead"/>
      <sheetName val="Road data"/>
      <sheetName val="Pipe data"/>
      <sheetName val="Slab-Culverts Data"/>
      <sheetName val="Road-Marks"/>
      <sheetName val="TENDER-NF"/>
      <sheetName val="Road Furniture-Data"/>
      <sheetName val="SSR-rates"/>
      <sheetName val="NP4 pipes"/>
      <sheetName val="NP4 collars"/>
      <sheetName val="TEMP-CAL"/>
      <sheetName val="Sheet1"/>
      <sheetName val="One vent Pipe"/>
      <sheetName val="Four vents"/>
      <sheetName val="two vents"/>
      <sheetName val="data"/>
      <sheetName val="Designs"/>
      <sheetName val="3Vents"/>
      <sheetName val="Abut"/>
      <sheetName val="Pier"/>
      <sheetName val="Speci"/>
      <sheetName val="One vent "/>
      <sheetName val="Material"/>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6.5% (2)"/>
      <sheetName val="est (2)"/>
      <sheetName val="XXXXXXXXXXXX0"/>
      <sheetName val="Abstract (2)"/>
      <sheetName val="Detailed"/>
      <sheetName val="key (2)"/>
      <sheetName val="pro-B (2)"/>
      <sheetName val="est  (mord)"/>
      <sheetName val="est(old) "/>
      <sheetName val="6.5%"/>
      <sheetName val="10%"/>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 val="connect status"/>
      <sheetName val="Census"/>
      <sheetName val="3 day"/>
      <sheetName val="Hydraulic(3.00) 1vent (2)"/>
      <sheetName val="ave lead (calculation))"/>
      <sheetName val="3m-S1"/>
      <sheetName val="2m-S1"/>
      <sheetName val="Spec Report "/>
      <sheetName val="CBR Cert"/>
      <sheetName val="Inspect Report EE"/>
      <sheetName val="traffic"/>
      <sheetName val="design1"/>
      <sheetName val="design1 (2)"/>
      <sheetName val="Ls 250"/>
      <sheetName val="Ls 200"/>
      <sheetName val="LS"/>
      <sheetName val="CS"/>
      <sheetName val="CS -color"/>
      <sheetName val="Pro-C"/>
      <sheetName val="CS-color les"/>
      <sheetName val="Quarry"/>
      <sheetName val="CD-PC-Data"/>
      <sheetName val="PC1000"/>
      <sheetName val="CC pave"/>
      <sheetName val="Ave lead"/>
      <sheetName val="Gen-abs"/>
      <sheetName val="Prof -C "/>
      <sheetName val="prof-B"/>
      <sheetName val="Hydraulic"/>
      <sheetName val="data(MORD)"/>
      <sheetName val="Esti"/>
      <sheetName val="Esti -part -b"/>
      <sheetName val="Data CD"/>
      <sheetName val="Hydraulic(2.00) 1vent"/>
      <sheetName val="硸硸硸⵸汯呤传⁆䅊䵍䱁䵁䑁"/>
      <sheetName val="SSR 2006-07"/>
      <sheetName val="Steel&amp;Cement"/>
      <sheetName val="Plan(Columns)"/>
      <sheetName val="Plan (Plinth Beams)"/>
      <sheetName val="Plan (Roof Beams) "/>
      <sheetName val="Steel -Roof beams "/>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XXXXX"/>
      <sheetName val="Note file"/>
      <sheetName val="corr G.ABST27122010"/>
      <sheetName val="21-01-2011 GUJJA Abstract"/>
      <sheetName val="gujja road est-21-01-2011"/>
      <sheetName val="gujja det bridge-21-01.2011"/>
      <sheetName val="21-01.2011gujja bridge estt"/>
      <sheetName val="EWE"/>
      <sheetName val="21-01.2011 gujja Seign charges"/>
      <sheetName val="DATA-CD "/>
      <sheetName val="Data-Road "/>
      <sheetName val="water_cost_certificate"/>
      <sheetName val="Model sh"/>
      <sheetName val="Seig_Calculations"/>
      <sheetName val="transport"/>
      <sheetName val="Cover-MEstt."/>
      <sheetName val="ABST(PART B) "/>
      <sheetName val="F6-Gnrl Abstrt"/>
      <sheetName val="Data.F8.BTR"/>
      <sheetName val="F6-Estt"/>
      <sheetName val="sub-data -no full"/>
      <sheetName val="Machinery"/>
      <sheetName val="Diff stmnt (2)"/>
      <sheetName val="Cvr Pg"/>
      <sheetName val="Rd Map India"/>
      <sheetName val="Rd Map AP"/>
      <sheetName val="Dist Map"/>
      <sheetName val="Bar Chart"/>
      <sheetName val="Pre-Dev.Photos"/>
      <sheetName val="SE Curve Plan"/>
      <sheetName val="KM HM "/>
      <sheetName val="Quary Map"/>
      <sheetName val="Pipe Drawg "/>
      <sheetName val="CS1"/>
      <sheetName val="CS2"/>
      <sheetName val="CS3"/>
      <sheetName val="Rd Fntr Dwg"/>
      <sheetName val="Chapters"/>
      <sheetName val="M.Map"/>
      <sheetName val="Strip Map Plan"/>
      <sheetName val="Cap 2.1"/>
      <sheetName val="Sheet5"/>
      <sheetName val="Lab Rprt Org"/>
      <sheetName val="Lab Rprt"/>
      <sheetName val="Gen.Abs"/>
      <sheetName val="Rd desin brief"/>
      <sheetName val="Daily Trf"/>
      <sheetName val="Weekly Trf"/>
      <sheetName val="Pav Desgn"/>
      <sheetName val="Desn Chart"/>
      <sheetName val="SE Curve"/>
      <sheetName val="CC Pav"/>
      <sheetName val="Crust"/>
      <sheetName val="Drain Draw"/>
      <sheetName val="Road Plan"/>
      <sheetName val="Insp.Rept SE"/>
      <sheetName val="Draft Format"/>
      <sheetName val="Curve Desn"/>
      <sheetName val="Road Estt"/>
      <sheetName val="Side Drn Est"/>
      <sheetName val="Hyd.Part"/>
      <sheetName val="CD Est 1.0M Slab"/>
      <sheetName val="CD Est 6.0M Slab"/>
      <sheetName val="CD Est 1V1000PC"/>
      <sheetName val="CD Est 3V1000PC"/>
      <sheetName val="Seign chrgs"/>
      <sheetName val="CD Est 4V1000PC"/>
      <sheetName val="CD Est 6V1000PC"/>
      <sheetName val="Rd Furn Est"/>
      <sheetName val="Lead "/>
      <sheetName val="Quary chart"/>
      <sheetName val="Data Rd.Furn"/>
      <sheetName val="Ret Wal Desn"/>
      <sheetName val="CD Data"/>
      <sheetName val="Drg Slab Culvt"/>
      <sheetName val="Mtc Cert"/>
      <sheetName val="CD's Extng Prpsd"/>
      <sheetName val="Cert.Wtr Cost"/>
      <sheetName val="Land Cert"/>
      <sheetName val="CE Cert"/>
      <sheetName val="EWE Abst"/>
      <sheetName val="CN1"/>
      <sheetName val="inputs"/>
      <sheetName val="F1"/>
      <sheetName val="F 2A"/>
      <sheetName val="F 2B"/>
      <sheetName val="F-4A"/>
      <sheetName val="F 4"/>
      <sheetName val="F-9A"/>
      <sheetName val="F-9B"/>
      <sheetName val="com cons"/>
      <sheetName val="Annex7.3 STA"/>
      <sheetName val="Prof B"/>
      <sheetName val="Prof C"/>
      <sheetName val="STA Lr"/>
      <sheetName val="PRINTING"/>
      <sheetName val="Conveyance"/>
      <sheetName val="Labr &amp; Mac Rates"/>
      <sheetName val="EW-2"/>
      <sheetName val="L-sec-2"/>
      <sheetName val="Circle Segment"/>
      <sheetName val="EW Bathupuram"/>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CN Map"/>
      <sheetName val="Site Photoes"/>
      <sheetName val="Quarry Map"/>
      <sheetName val="Rd C Plan"/>
      <sheetName val="Envi Check-List"/>
      <sheetName val="Not to Print"/>
      <sheetName val="Planning"/>
      <sheetName val="Title"/>
      <sheetName val="specific"/>
      <sheetName val="Door"/>
      <sheetName val="coverpage"/>
      <sheetName val="TS memo"/>
      <sheetName val="Spn report"/>
      <sheetName val="BTR"/>
      <sheetName val="RMR"/>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 val="btrates"/>
      <sheetName val="cost"/>
      <sheetName val="thick"/>
      <sheetName val="Leadcost"/>
      <sheetName val="leads"/>
      <sheetName val="hp900"/>
      <sheetName val="2v900"/>
      <sheetName val="3v900"/>
      <sheetName val="impRdam"/>
      <sheetName val="lchart"/>
      <sheetName val="lchart1"/>
      <sheetName val="data "/>
      <sheetName val="Annex-C"/>
      <sheetName val="Annexure"/>
      <sheetName val="Road"/>
      <sheetName val="bridge est"/>
      <sheetName val="Specification (2)"/>
      <sheetName val="Cover est"/>
      <sheetName val="Trafic Valume (SP 72)"/>
      <sheetName val="Pavement design SP 72"/>
      <sheetName val="Culvert Diag (2)"/>
      <sheetName val="Pavement Desgn"/>
      <sheetName val="Form 5"/>
      <sheetName val="Spe."/>
      <sheetName val="Slab Culvert 2 mts"/>
      <sheetName val="CC Road -2"/>
      <sheetName val="Precast Slab Culvert"/>
      <sheetName val="High level Bridge"/>
      <sheetName val="CS -1 (2)"/>
      <sheetName val="600 Pipe culvert "/>
      <sheetName val="Slab Culvert"/>
      <sheetName val="Retaining walls"/>
      <sheetName val="900,1000mm Pipe culvert"/>
      <sheetName val="700  Pipe culvert "/>
      <sheetName val="Con"/>
      <sheetName val="600 Pipe Two rows"/>
      <sheetName val="600 Pipe culvert"/>
      <sheetName val="Symbals"/>
      <sheetName val="CS -1"/>
      <sheetName val="Quarry "/>
      <sheetName val="Key Map "/>
      <sheetName val="Rt.Wall Design"/>
      <sheetName val="curve design"/>
      <sheetName val="CS-2 "/>
      <sheetName val="Trafic Valume"/>
      <sheetName val="Infrmn. Sheet"/>
      <sheetName val="Stamp"/>
      <sheetName val="Specification"/>
      <sheetName val="General"/>
      <sheetName val="CS-1"/>
      <sheetName val="L . S. "/>
      <sheetName val="F2A"/>
      <sheetName val="F4"/>
      <sheetName val="F 4 A"/>
      <sheetName val="B &amp; C"/>
      <sheetName val=" Road Abstract"/>
      <sheetName val="CD works"/>
      <sheetName val="1000 Pipe culvert "/>
      <sheetName val="Side Drains"/>
      <sheetName val="Retaining walls "/>
      <sheetName val="2mts Slab Culvert "/>
      <sheetName val="CC road Ramp"/>
      <sheetName val="Revetment&amp; Toe wall"/>
      <sheetName val="High levl Bridge II@21+50"/>
      <sheetName val="High level Bridge I@19+50"/>
      <sheetName val="road furniture sub estimate"/>
      <sheetName val="Materials Statement (CD Works)"/>
      <sheetName val="Materials Statement"/>
      <sheetName val="Data road"/>
      <sheetName val="Lead road"/>
      <sheetName val="Lead statement road work"/>
      <sheetName val="Lead statement for CD works"/>
      <sheetName val="9A"/>
      <sheetName val="9 B"/>
      <sheetName val="New C"/>
      <sheetName val="STA"/>
      <sheetName val="chapter - 16 "/>
      <sheetName val="Ch- 16 tab. - 17.4"/>
      <sheetName val="Pavement Design"/>
      <sheetName val="Geomatric desgn"/>
      <sheetName val="Bearings"/>
      <sheetName val="Horiz"/>
      <sheetName val="Vert."/>
      <sheetName val="Retain_Design"/>
      <sheetName val="CC Desgin"/>
      <sheetName val="PC Degin"/>
      <sheetName val="Quarry chart"/>
      <sheetName val="BC Map"/>
      <sheetName val="land availability"/>
      <sheetName val="Strip  Plan"/>
      <sheetName val="C.B.R. Chart"/>
      <sheetName val="C.S.(1)"/>
      <sheetName val="Long. Sec.(1)"/>
      <sheetName val="Detail-B"/>
      <sheetName val="Compa.-B   "/>
      <sheetName val="Gen. Abt."/>
      <sheetName val="Gen.Abt. Comp."/>
      <sheetName val="data -B"/>
      <sheetName val="Appron-fig"/>
      <sheetName val="Rt. Wall"/>
      <sheetName val="inputs1"/>
      <sheetName val="inputs2"/>
      <sheetName val="Cv.Lr"/>
      <sheetName val="Main"/>
      <sheetName val="Basic info &amp; Obs"/>
      <sheetName val="Physical Observation_Ann I "/>
      <sheetName val="CC Rec_Ann I(A)"/>
      <sheetName val="CC-II"/>
      <sheetName val="Photo"/>
      <sheetName val="Sieve Analyasis"/>
      <sheetName val="Core Cutting Density "/>
      <sheetName val="M-15_Ann-II"/>
      <sheetName val="M-10_Ann-III"/>
      <sheetName val="Work Sheet"/>
      <sheetName val="Num"/>
      <sheetName val="index"/>
      <sheetName val="gen_abst"/>
      <sheetName val="water"/>
      <sheetName val="data_new"/>
      <sheetName val="v"/>
      <sheetName val="r"/>
      <sheetName val="l"/>
      <sheetName val="electrical"/>
      <sheetName val="marking"/>
      <sheetName val="beams"/>
      <sheetName val="features"/>
      <sheetName val="c_wall"/>
      <sheetName val="ATM List"/>
      <sheetName val="Calendar"/>
      <sheetName val="MOBILE_CODES"/>
      <sheetName val="Unit Conversion"/>
      <sheetName val="Checkbook Balance"/>
      <sheetName val="Loan Payment"/>
      <sheetName val="BMI &amp; Calorie"/>
      <sheetName val="Blood Pressure"/>
      <sheetName val="Conversion"/>
      <sheetName val="Convert"/>
      <sheetName val="Right Triangle"/>
      <sheetName val="Tap Drill"/>
      <sheetName val="Drill Bit Equivalence"/>
      <sheetName val="Chart 1"/>
      <sheetName val="Chart 2"/>
      <sheetName val="Bolt Circle"/>
      <sheetName val="Spiral"/>
      <sheetName val="Rotate"/>
      <sheetName val="Cone Fab"/>
      <sheetName val="Polygon"/>
      <sheetName val="Trig Function"/>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m"/>
      <sheetName val="m1"/>
      <sheetName val="est"/>
      <sheetName val="she"/>
      <sheetName val="m4"/>
      <sheetName val="cdAbst"/>
      <sheetName val="keymap"/>
      <sheetName val="F2B"/>
      <sheetName val="F6pave"/>
      <sheetName val="F7hp900"/>
      <sheetName val="F7slb3m"/>
      <sheetName val="F7slb4m"/>
      <sheetName val="F8rate"/>
      <sheetName val="mro_bldg"/>
      <sheetName val="mpp_bldg"/>
      <sheetName val="sanitory"/>
      <sheetName val="septic_tank"/>
      <sheetName val="electri"/>
      <sheetName val="data_sein"/>
      <sheetName val="win"/>
      <sheetName val="3v600"/>
      <sheetName val="30mRdam"/>
      <sheetName val="Gen_Abs"/>
      <sheetName val="rainfall"/>
      <sheetName val="Form-4"/>
      <sheetName val="Form-2b"/>
      <sheetName val="Form-2a"/>
      <sheetName val="Form-F1"/>
      <sheetName val="Prof_C"/>
      <sheetName val="Prof_B"/>
      <sheetName val="det without launching appron"/>
      <sheetName val="det thama"/>
      <sheetName val="det sam"/>
      <sheetName val="road furniture "/>
      <sheetName val="CD ABST"/>
      <sheetName val="CULVERTS"/>
      <sheetName val="MAIN EST"/>
      <sheetName val="conyanc"/>
      <sheetName val="EX.SUM"/>
      <sheetName val="CHECK LIST"/>
      <sheetName val="TRAFFIC DATA"/>
      <sheetName val="MAIN ABST"/>
      <sheetName val="CROSS SECTION"/>
      <sheetName val="DESIGN LIFE"/>
      <sheetName val="SPEC REPORT"/>
      <sheetName val="F-B"/>
      <sheetName val="F-1"/>
      <sheetName val="F-2A"/>
      <sheetName val="Packag Summary"/>
      <sheetName val="F-1A"/>
      <sheetName val="F-2"/>
      <sheetName val="F-2B"/>
      <sheetName val="format F4"/>
      <sheetName val="pav desn"/>
      <sheetName val="Format F-4A"/>
      <sheetName val="LHS RHS"/>
      <sheetName val="Est Rd Funt"/>
      <sheetName val="desin HPC"/>
      <sheetName val="grd veri"/>
      <sheetName val="com consultn"/>
      <sheetName val="Ann I "/>
      <sheetName val="Ann-II."/>
      <sheetName val="Ann-IV."/>
      <sheetName val="M.20_Ann-II.."/>
      <sheetName val="Annex-I"/>
      <sheetName val="Annex-II"/>
      <sheetName val="Photo (2)"/>
      <sheetName val="Brea filling"/>
      <sheetName val="Bf  Data sheet"/>
      <sheetName val="kast"/>
      <sheetName val="sird"/>
      <sheetName val="est1"/>
      <sheetName val="spec"/>
      <sheetName val="est.4"/>
      <sheetName val="18.10.06"/>
      <sheetName val="donp"/>
      <sheetName val="3V 1000PC "/>
      <sheetName val="Road dam"/>
      <sheetName val="1V 3mt"/>
      <sheetName val="3V 6mt "/>
      <sheetName val="Lead  RATES"/>
      <sheetName val="int-Dia"/>
      <sheetName val="habs-list"/>
      <sheetName val="nodes"/>
      <sheetName val="Scedule A"/>
      <sheetName val="Scedule B"/>
      <sheetName val="Input"/>
      <sheetName val="Civil SSR"/>
      <sheetName val="SUM-MC"/>
      <sheetName val="CIVL-ABS P SHED 4"/>
      <sheetName val="Parking Shed -tRUSS (4W)"/>
      <sheetName val="CIVL-ABS(Parking Shed- 2 W)  "/>
      <sheetName val="Parking Shed -2 Wheeler"/>
      <sheetName val="General abstract final"/>
      <sheetName val="1) GEN ABS"/>
      <sheetName val="CIVIL WORKS -EST."/>
      <sheetName val="2) Main Bldg EST"/>
      <sheetName val="QTY WORK OUT -CIVIL"/>
      <sheetName val="Det-Hosp-Terrace"/>
      <sheetName val="3) WS-Data"/>
      <sheetName val="5) Civil-data"/>
      <sheetName val="6) Joinery Data"/>
      <sheetName val="SUM-Hospital"/>
      <sheetName val="7) SANITATION EST"/>
      <sheetName val="9) LEAD"/>
      <sheetName val="10) Seigniorage"/>
      <sheetName val="Det-Hosp-FF"/>
      <sheetName val="Hospital-ABS-WS  "/>
      <sheetName val="Hosp-WS Det"/>
      <sheetName val="WS SSR"/>
      <sheetName val="Abs- 50000 lit sump"/>
      <sheetName val="Detail-RCC 50000lit sump"/>
      <sheetName val="Abs-Septic tank 100 users"/>
      <sheetName val="Det septic tank 100 users"/>
      <sheetName val="CC Road-ABS "/>
      <sheetName val="CC Road (det)"/>
      <sheetName val="comp rep gen (2)"/>
      <sheetName val="comp rep road (2)"/>
      <sheetName val="comp rep CD works (2)"/>
      <sheetName val="comp rep- CD works detailed (2)"/>
      <sheetName val="comp rep road furn (2)"/>
      <sheetName val="Comp stat gen"/>
      <sheetName val="Comp stat  road"/>
      <sheetName val="Comp stat  road furn"/>
      <sheetName val="comp sta CD works"/>
      <sheetName val="comp stat- works detailed"/>
      <sheetName val="User-Instructions"/>
      <sheetName val="INPUT-SHEET"/>
      <sheetName val="Insp.Rept EE"/>
      <sheetName val="IR EE"/>
      <sheetName val="IR SE"/>
      <sheetName val="SP-72 DESIGN"/>
      <sheetName val="SP-72-CHART"/>
      <sheetName val="Gen Abs (2)"/>
      <sheetName val="Det esti"/>
      <sheetName val="cd abs new"/>
      <sheetName val="1 v 600 -0-0-0-2"/>
      <sheetName val="1 v 1000 -0-4-0-6"/>
      <sheetName val="1 v 1000 -0-6-08- KM"/>
      <sheetName val="1 v 1000 -0-8-1-0- KM "/>
      <sheetName val="1 v 1000 -1-8-2-0 km"/>
      <sheetName val="1 v 600 -1-0-1-2)"/>
      <sheetName val="1 v 600 -1-2-1-4"/>
      <sheetName val="1 v 600 -1-8-2-0 "/>
      <sheetName val="1 v 600 -2-0-1-2  "/>
      <sheetName val="1 v 600 -pipes"/>
      <sheetName val="Retaining-wall"/>
      <sheetName val="Road-furniture"/>
      <sheetName val="Drains"/>
      <sheetName val="2 v 1000 -1-4-1-6-"/>
      <sheetName val="1 v 600 -3-2-3-4"/>
      <sheetName val="1 v 1000 -3-4-3-6-1"/>
      <sheetName val="1 v 1000 -3-4-3-6-1 (2)"/>
      <sheetName val="1 v 1000 -3-4-3-6 -(3)"/>
      <sheetName val="1 v 600 -3-6-3-8"/>
      <sheetName val="DATA-CD"/>
      <sheetName val="1 v 1000 - as per mea-1"/>
      <sheetName val="1 v 1000 - as per mea-II "/>
      <sheetName val="1 v 1000 - as per mea-III"/>
      <sheetName val="2v_1000_PC-as per san"/>
      <sheetName val="2v_1000_PC- as per m-1"/>
      <sheetName val="2v_1000_PC- as per m-2-"/>
      <sheetName val="2v_1000_PC- as per m3"/>
      <sheetName val="Extension"/>
      <sheetName val="MTC-estimate"/>
      <sheetName val="Comparative Statement- Road Dam"/>
      <sheetName val="1v_900_PC"/>
      <sheetName val="1v_600_PC widening"/>
      <sheetName val="1v_1000_PC"/>
      <sheetName val="2v_600_ widening PC"/>
      <sheetName val="1v_1000_PC widening"/>
      <sheetName val="3 v_900_PC"/>
      <sheetName val="3 v_1000_PC "/>
      <sheetName val="2v_1000_ widening PC "/>
      <sheetName val="3v_1000_ widening PC "/>
      <sheetName val="4v_1000_ widening PC "/>
      <sheetName val="sc_1v_2m"/>
      <sheetName val="sc_1v_3m"/>
      <sheetName val="sc_2v_3m"/>
      <sheetName val="sc_2v_5m"/>
      <sheetName val="RD"/>
      <sheetName val="3v_600_RDVENTS"/>
      <sheetName val="CC_WC"/>
      <sheetName val="temp-ws"/>
      <sheetName val="other rates"/>
      <sheetName val="Hire"/>
      <sheetName val="Conv"/>
      <sheetName val="NP3 pipes"/>
      <sheetName val="NP3 collars"/>
      <sheetName val="MTC-Table"/>
      <sheetName val="Cd-qty-ws-temp"/>
      <sheetName val="Encl."/>
      <sheetName val="Tender Gist"/>
      <sheetName val="EMD Req form"/>
      <sheetName val="BP"/>
      <sheetName val="P+M "/>
      <sheetName val="Split Up"/>
      <sheetName val="Boq"/>
      <sheetName val="RA"/>
      <sheetName val="Annexure - 1"/>
      <sheetName val="Std"/>
      <sheetName val="OH"/>
      <sheetName val="TS"/>
      <sheetName val="Cem. Consmption"/>
      <sheetName val="Scaffolding"/>
      <sheetName val="labour coeff"/>
      <sheetName val="C-data"/>
      <sheetName val="Joinery"/>
      <sheetName val="WS-data"/>
      <sheetName val="PQ-Sum"/>
      <sheetName val="PQ-Civil"/>
      <sheetName val="PQ-GF-1st"/>
      <sheetName val="PQ-FF-2nd"/>
      <sheetName val="TS-Sum"/>
      <sheetName val="TS-Civil"/>
      <sheetName val="TS-Stilt-1st"/>
      <sheetName val="TS-FF-2nd"/>
      <sheetName val="TS-SF-3rd"/>
      <sheetName val="TS-TF-4th"/>
      <sheetName val="TS-Fourth-5th"/>
      <sheetName val="TS-Fifth-6th"/>
      <sheetName val="TS-Sixth-7th"/>
      <sheetName val="Shed-Sum"/>
      <sheetName val="Shed-Civil"/>
      <sheetName val="Shed-GF-1st"/>
      <sheetName val="DATA_ENTRY"/>
      <sheetName val="Letter"/>
      <sheetName val="Report"/>
      <sheetName val="GenAbs"/>
      <sheetName val="Seignarages"/>
      <sheetName val="DetEst"/>
      <sheetName val="WorkSlip"/>
      <sheetName val="BTLeads"/>
      <sheetName val="MRoad data"/>
      <sheetName val="Certificates"/>
      <sheetName val="MRATES"/>
      <sheetName val="Sheet4"/>
      <sheetName val="C.page (2)"/>
      <sheetName val="C.page (3)"/>
      <sheetName val="Truss Data (2)"/>
      <sheetName val="Conversion  sheds"/>
      <sheetName val="Cover  sheds (2)"/>
      <sheetName val="Shops 25 Nos"/>
      <sheetName val="Shops 5 Nos"/>
      <sheetName val="Compound wall"/>
      <sheetName val="Water Harvest"/>
      <sheetName val="C.C"/>
      <sheetName val="Levelling"/>
      <sheetName val="Drain"/>
      <sheetName val="Pro Rolling"/>
      <sheetName val="Removal CGI"/>
      <sheetName val="Canteen"/>
      <sheetName val="Shops  (2)"/>
      <sheetName val="RRH"/>
      <sheetName val="Ele"/>
      <sheetName val="Shed No 1"/>
      <sheetName val="Shed No 2"/>
      <sheetName val="Shed No 3"/>
      <sheetName val="Shed"/>
      <sheetName val="Toilet"/>
      <sheetName val="Roads"/>
      <sheetName val="Conveyance ch"/>
      <sheetName val="SSR 2014-15 Rates"/>
      <sheetName val="C wall"/>
      <sheetName val="Sales"/>
      <sheetName val="CW With Gate"/>
      <sheetName val="ABS-Compound wall"/>
      <sheetName val="Hire charges"/>
      <sheetName val="centering"/>
      <sheetName val="40KL-250KL Estimate &amp; data"/>
      <sheetName val="CI specials for OHSR"/>
      <sheetName val="C wall (2)"/>
      <sheetName val="Data-ST"/>
      <sheetName val="Rates"/>
      <sheetName val="Commu  Room GA"/>
      <sheetName val="Basic Input"/>
      <sheetName val="F type PSB WITH MST"/>
      <sheetName val="library"/>
      <sheetName val="DIRECTOR QTR"/>
      <sheetName val="PAREDE GROUND "/>
      <sheetName val="WS&amp;E"/>
      <sheetName val="MST "/>
      <sheetName val="w. s &amp; drainage"/>
      <sheetName val="Abs-Civil"/>
      <sheetName val="Chart"/>
      <sheetName val="1st&amp;2nd sotc"/>
      <sheetName val="2nd fl. IOM"/>
      <sheetName val="Electrical data 12-13"/>
      <sheetName val="W.Supply"/>
      <sheetName val="Door Datas"/>
      <sheetName val="Road datas"/>
      <sheetName val="Footing, Col steel above plinth"/>
      <sheetName val="EW"/>
      <sheetName val="Staircase,Ramp,GF Slab,1F Col"/>
      <sheetName val="SocialKTDM-MESURE-MB-1"/>
      <sheetName val="Cutting"/>
      <sheetName val="Narsapur Hospital MB 1 (2)"/>
      <sheetName val="10TH CIVIL"/>
      <sheetName val="10TH STEEL"/>
      <sheetName val="Sheet8"/>
      <sheetName val="Sheet9"/>
      <sheetName val="6th&amp;part civil"/>
      <sheetName val="6th&amp;pat abstract"/>
      <sheetName val="6th&amp;part steel"/>
      <sheetName val="7th&amp;Part CIVIL"/>
      <sheetName val="Sheet13"/>
      <sheetName val="7thbill "/>
      <sheetName val="Sheet14"/>
      <sheetName val="7TH BILL-STEEL"/>
      <sheetName val="8th Bill-Steel"/>
      <sheetName val="Sheet12"/>
      <sheetName val="Sheet17"/>
      <sheetName val="Sheet18"/>
      <sheetName val="Sheet19"/>
      <sheetName val="Sheet20"/>
      <sheetName val="Sheet21"/>
      <sheetName val="Sheet7"/>
      <sheetName val="11th bill"/>
      <sheetName val="Sec-Civil"/>
      <sheetName val="V-CS"/>
      <sheetName val="maya"/>
      <sheetName val="ValveChamber"/>
      <sheetName val="V-CR"/>
      <sheetName val="2.40 mts slab"/>
      <sheetName val="Seig"/>
      <sheetName val="Piped culvert"/>
      <sheetName val="6x4"/>
      <sheetName val="12x6"/>
      <sheetName val="cover page"/>
      <sheetName val="general abstract"/>
      <sheetName val="door window calculations"/>
      <sheetName val="door window datas"/>
      <sheetName val="electrification data"/>
      <sheetName val="data existing_do not delete"/>
      <sheetName val="pipe line sub estimate"/>
      <sheetName val="pipe line data"/>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WS Data"/>
      <sheetName val="Civil"/>
      <sheetName val="WS"/>
      <sheetName val="ele.Abstract"/>
      <sheetName val="L-CIVIL-1"/>
      <sheetName val="L-STEEL-2"/>
      <sheetName val="LEVEL SHEET FOR RR MASONRY"/>
      <sheetName val="ABCD-CIVIL"/>
      <sheetName val="ABCD-WS &amp;&amp; SA"/>
      <sheetName val="ABCD-ELE"/>
      <sheetName val="CIVL-ABS"/>
      <sheetName val="HOSP-WS-AbS"/>
      <sheetName val="ABS-ELE"/>
      <sheetName val=" Hospital-GF (FF) "/>
      <sheetName val="Hospital-FF (SF)"/>
      <sheetName val="Hospital- SF"/>
      <sheetName val="Hospital-Terrace"/>
      <sheetName val="HOSP-WS-Det "/>
      <sheetName val="Mort-Civil-abs"/>
      <sheetName val="MorT-WS-Abs"/>
      <sheetName val="Mortuary-GF(Dd)"/>
      <sheetName val="Mortury-WS-Det"/>
      <sheetName val="Patient-Civil"/>
      <sheetName val="WS-Abs-P.shed"/>
      <sheetName val="Patient-GF-1st "/>
      <sheetName val="WS-Det-P.shed"/>
      <sheetName val="Garrage-Civil-ABS"/>
      <sheetName val="Garrage-Det"/>
      <sheetName val="Abs-sump 2lit"/>
      <sheetName val="Abs-ST (300)"/>
      <sheetName val="Sump(2 Lack Litr)"/>
      <sheetName val="Det-ST (300users)"/>
      <sheetName val="BOQ-CIVIL"/>
      <sheetName val="BOQ-WS &amp;&amp; SA"/>
      <sheetName val="BOQ-ELE"/>
      <sheetName val="CP (2)"/>
      <sheetName val="Deviation Stmnt"/>
      <sheetName val="Updated GA"/>
      <sheetName val="SUPL-CIVIL"/>
      <sheetName val="SUPL-WS"/>
      <sheetName val="SUPL-EL"/>
      <sheetName val="Working Estimate"/>
      <sheetName val="RENOVATION BUILDING"/>
      <sheetName val="10TH Abstract"/>
      <sheetName val="Fee Rate Summary"/>
      <sheetName val="LEAD STATEMENT-2014-15"/>
      <sheetName val="EARTH WORK"/>
      <sheetName val="Data-2014-15"/>
      <sheetName val="buiding"/>
      <sheetName val="sumps and glsrs"/>
      <sheetName val="Doors,windows"/>
      <sheetName val="concrete data (2010-11)"/>
      <sheetName val="C.C.ROAD"/>
      <sheetName val="M.S pipe"/>
      <sheetName val="PH items"/>
      <sheetName val="DI-K7 &amp; K9 (2014-15)"/>
      <sheetName val="HDPE"/>
      <sheetName val="DI VALVES "/>
      <sheetName val="Rubber gaskets(2014-15)"/>
      <sheetName val="DI Specials (2014-15"/>
      <sheetName val="PH"/>
      <sheetName val="not req"/>
      <sheetName val="M 20 (2010-11)"/>
      <sheetName val="Domesetic con (2)"/>
      <sheetName val="Domesetic con"/>
      <sheetName val="New HSCs"/>
      <sheetName val="HSC"/>
      <sheetName val="7.COM AB"/>
      <sheetName val="7.COM DETAIL"/>
      <sheetName val="Door,Win Data"/>
      <sheetName val="6.staff AB"/>
      <sheetName val="6.staff qt det"/>
      <sheetName val="5.watch ABS"/>
      <sheetName val="5.watch DET"/>
      <sheetName val="pcc 1510"/>
      <sheetName val="LEAD STATEMENT-2016-17"/>
      <sheetName val="EARTH WORK-2016-17"/>
      <sheetName val="M.S-2016-17 "/>
      <sheetName val="Data-2016-17"/>
      <sheetName val="PH items-2016-17"/>
      <sheetName val="DI-K7 &amp; K9 (2016-17)"/>
      <sheetName val="HDPE&amp;RCC valves"/>
      <sheetName val="psc"/>
      <sheetName val="HDPE PIPE"/>
      <sheetName val="DI VALVES PN1.6"/>
      <sheetName val="Rubber gaskets(2016-17)"/>
      <sheetName val="CI &amp; DI Specials (2016-17)"/>
      <sheetName val="Doors "/>
      <sheetName val="EMBANKMENT"/>
      <sheetName val="CI WEIGHTS"/>
      <sheetName val="su"/>
      <sheetName val="1"/>
      <sheetName val="2A"/>
      <sheetName val="2B"/>
      <sheetName val="2C"/>
      <sheetName val="2D"/>
      <sheetName val="2E"/>
      <sheetName val="2F"/>
      <sheetName val="2G"/>
      <sheetName val="2H"/>
      <sheetName val="3A"/>
      <sheetName val="3B"/>
      <sheetName val="4"/>
      <sheetName val="5"/>
      <sheetName val="6A"/>
      <sheetName val="6B"/>
      <sheetName val="7A"/>
      <sheetName val="7B"/>
      <sheetName val="8A"/>
      <sheetName val="8B"/>
      <sheetName val="9B"/>
      <sheetName val="9C"/>
      <sheetName val="9D"/>
      <sheetName val="9E"/>
      <sheetName val="9F"/>
      <sheetName val="9G"/>
      <sheetName val="9H"/>
      <sheetName val="9I"/>
      <sheetName val="9J"/>
      <sheetName val="9K"/>
      <sheetName val="10"/>
      <sheetName val="11"/>
      <sheetName val="12"/>
      <sheetName val="13"/>
      <sheetName val="14"/>
      <sheetName val="Seigniorages"/>
      <sheetName val="Lead cal"/>
      <sheetName val="TO BE UPDATE"/>
      <sheetName val="DETAILED ESTIMATE "/>
      <sheetName val="data input "/>
      <sheetName val="site clearance "/>
      <sheetName val="traffic "/>
      <sheetName val="PC ABS"/>
      <sheetName val="bc abs"/>
      <sheetName val="INV "/>
      <sheetName val="road safety datas"/>
      <sheetName val="C-Mat"/>
      <sheetName val="Mortars,"/>
      <sheetName val="hire-08-09"/>
      <sheetName val="CC Road"/>
      <sheetName val="SW drain"/>
      <sheetName val="Sewer"/>
      <sheetName val="mh"/>
      <sheetName val="MH-0.90"/>
      <sheetName val="MH-1.20"/>
      <sheetName val="Borewells"/>
      <sheetName val="Pump sets-RC"/>
      <sheetName val="Septic tank"/>
      <sheetName val="HDPE-16"/>
      <sheetName val="RCC SS"/>
      <sheetName val="PVC-6Kg"/>
      <sheetName val="Lowering"/>
      <sheetName val="Elec"/>
      <sheetName val="PH data"/>
      <sheetName val="bom"/>
      <sheetName val="DETAILED ESTIMATE  (2)"/>
      <sheetName val="DATA_PRG"/>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OUT to Mettuguda abs"/>
      <sheetName val="OUT to Mettuguda det"/>
      <sheetName val="OUT to sainikpuri abs"/>
      <sheetName val="OUT to sainikpuri det"/>
      <sheetName val="Ghanapur to OUT abs"/>
      <sheetName val="Ghanapur to OUT det"/>
      <sheetName val="Suraram to weigh bridge Abs"/>
      <sheetName val="Suraram to weigh bridge det"/>
      <sheetName val="Huda park to Lingampally abs "/>
      <sheetName val="Huda park to Lingampally det  "/>
      <sheetName val="Suraram to Huda park abs"/>
      <sheetName val="Suraram to Huda park det"/>
      <sheetName val="Ghanapur to Suraram jn. Abs"/>
      <sheetName val="Ghanapur to Suraram jn. det"/>
      <sheetName val="MS pipe Data"/>
      <sheetName val="MS pipe rates"/>
      <sheetName val="lowering and jointing of flange"/>
      <sheetName val="MS Flanges &amp; TPs"/>
      <sheetName val="Ms Bends &amp; tee's"/>
      <sheetName val="sluice valves"/>
      <sheetName val="Air valves over"/>
      <sheetName val="general data"/>
      <sheetName val="RCC valve chamber"/>
      <sheetName val="PM"/>
      <sheetName val="com st PM"/>
      <sheetName val="GM"/>
      <sheetName val="comst GM"/>
      <sheetName val="eweljlt"/>
      <sheetName val="pvc_basic"/>
      <sheetName val="pvc"/>
      <sheetName val="hdpe_basic"/>
      <sheetName val="DI"/>
      <sheetName val="CI"/>
      <sheetName val="G.R.P"/>
      <sheetName val="Joint"/>
      <sheetName val="Read me"/>
      <sheetName val="CI_Culvert"/>
      <sheetName val="Main_calcn1(culvert)"/>
      <sheetName val="GI_culvert"/>
      <sheetName val="CI_Sump"/>
      <sheetName val="Sump_cal"/>
      <sheetName val="Main_calcn1 (sump)"/>
      <sheetName val="Jt_table"/>
      <sheetName val="Jt_rate"/>
      <sheetName val="spare"/>
      <sheetName val="Main_Calcn2"/>
      <sheetName val="SPECIAL"/>
      <sheetName val="A S TEE"/>
      <sheetName val="A F TEE"/>
      <sheetName val="D F TAPER"/>
      <sheetName val="GI_Sump"/>
      <sheetName val="Rates_CI"/>
      <sheetName val="Rate_GI"/>
      <sheetName val="Rate_Labour"/>
      <sheetName val="special_copy"/>
      <sheetName val="00000"/>
      <sheetName val="AAAAAAAAAAAAA"/>
      <sheetName val="ew OG"/>
      <sheetName val="ew-DiMs"/>
      <sheetName val="BWSCP"/>
      <sheetName val="GRP"/>
      <sheetName val="AC"/>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PVC weights"/>
      <sheetName val="DESIGEN_RCC_CULVERT"/>
      <sheetName val="DESIGENS_HP_CULVERT"/>
      <sheetName val="ANGANWADI_BULDG"/>
      <sheetName val="DATA_COPY"/>
      <sheetName val="DATA_PRG _NO_SEIG"/>
      <sheetName val="Gravity 10"/>
      <sheetName val=" rates_Dec 2013"/>
      <sheetName val="AV-HDPE"/>
      <sheetName val="AV-DI"/>
      <sheetName val="DI_gate_di"/>
      <sheetName val="Di_gate-HDPE"/>
      <sheetName val="scour-DI-CI"/>
      <sheetName val="scour-pvc-hdpe-psc-bwsc"/>
      <sheetName val="MS data"/>
      <sheetName val="MS "/>
      <sheetName val="VC rate"/>
      <sheetName val="DFjoints"/>
      <sheetName val="AV-PVC"/>
      <sheetName val="AV-BWSC&amp;MS"/>
      <sheetName val="AV_AC"/>
      <sheetName val="DIgate_PVC"/>
      <sheetName val="sluice-PVC"/>
      <sheetName val="sluice-HDPE"/>
      <sheetName val="sluice-DI"/>
      <sheetName val="di_Gate_AC"/>
      <sheetName val="sluice-AC"/>
      <sheetName val="Digate-BWSCP-MS"/>
      <sheetName val="sluice-BWSCP-MS"/>
      <sheetName val="NRV(Swing check valve)-DI"/>
      <sheetName val="vc80"/>
      <sheetName val="vc200"/>
      <sheetName val="vc450"/>
      <sheetName val="vc600"/>
      <sheetName val="vc700"/>
      <sheetName val="vc1000"/>
      <sheetName val="MS"/>
      <sheetName val="pipeleads"/>
      <sheetName val="PSC -pv"/>
      <sheetName val="GRP-pv"/>
      <sheetName val="COVER_SHEET"/>
      <sheetName val="M2"/>
      <sheetName val="ESTT_FINAL"/>
      <sheetName val="LEAD_CHART"/>
      <sheetName val="SCHEDULE_A"/>
      <sheetName val="GENABST"/>
      <sheetName val="PEA "/>
      <sheetName val="Indirect Cost"/>
      <sheetName val="RATE LIST CUM BOM"/>
      <sheetName val="Direct Cost A1 "/>
      <sheetName val="Direct cost shed A-2 "/>
      <sheetName val="Direct cost shed A-3 Reservoirs"/>
      <sheetName val="shed A-4 Ancillary civil works"/>
      <sheetName val="she A-5 tools"/>
      <sheetName val="she A-6 sPARES"/>
      <sheetName val="price B(O&amp;M)"/>
      <sheetName val="Bill of Resources"/>
      <sheetName val="Assets "/>
      <sheetName val="Electrical items-FROM SERVI.."/>
      <sheetName val="Sluice valve chambers"/>
      <sheetName val=" pump houses"/>
      <sheetName val="OHSR-cost analysis"/>
      <sheetName val="OHSR-analysis"/>
      <sheetName val="Air valve chambers"/>
      <sheetName val="Scour valve chambers"/>
      <sheetName val="Drainage-workings"/>
      <sheetName val="Transfer chamber-type B "/>
      <sheetName val="Transfer chamber-type A"/>
      <sheetName val="Electrical items"/>
      <sheetName val="Staff quarters"/>
      <sheetName val="internal roads"/>
      <sheetName val="Cost analysis for roads"/>
      <sheetName val=" Esti. of compound"/>
      <sheetName val="Cost analysis of compound"/>
      <sheetName val="Pipe Rates"/>
      <sheetName val="Rate list"/>
      <sheetName val="Consolidated"/>
      <sheetName val="Top Line - WWW"/>
      <sheetName val="Top Line - BUILDINGS"/>
      <sheetName val="Top Line - ROADS"/>
      <sheetName val="Top Line - POWER"/>
      <sheetName val="Top Line - INDUSTRIAL"/>
      <sheetName val="Top Line - IRRIGATION"/>
      <sheetName val="Cash Flow - WWW"/>
      <sheetName val="Cash Flow - BUILDINGS"/>
      <sheetName val="Cash Flow - ROADS"/>
      <sheetName val="Cash Flow - POWER"/>
      <sheetName val="Cash Flow - INDUSTRIAL"/>
      <sheetName val="Cash Flow - IRRIGATION"/>
      <sheetName val="Fund Requirement"/>
      <sheetName val="Business Development &amp; Orders"/>
      <sheetName val="Capital Expenses"/>
      <sheetName val="Overheads"/>
      <sheetName val="Organisation Chart"/>
      <sheetName val="Manpower Requirement"/>
      <sheetName val="Conversions"/>
      <sheetName val="C.L"/>
      <sheetName val="Part II Complnce.Reass Tech"/>
      <sheetName val="Part I Assessmnt rept Tech"/>
      <sheetName val="Systemic (Annex 2.01)"/>
      <sheetName val="Steel reconci (Annex 2.02)"/>
      <sheetName val="material rec Annex 2.03"/>
      <sheetName val="RMC rec Annex 2.04"/>
      <sheetName val="material rate comp annex 2.05"/>
      <sheetName val="WO Annex 2.06"/>
      <sheetName val="C L"/>
      <sheetName val="AMC Tech"/>
      <sheetName val="Finance Annex"/>
      <sheetName val="Reassess Techn"/>
      <sheetName val="Tech "/>
      <sheetName val="VO"/>
      <sheetName val="CASH CONTRACTS"/>
      <sheetName val="B2B &amp; OWN"/>
      <sheetName val="est(mord)"/>
      <sheetName val="Lead statement ss5"/>
      <sheetName val="Lead statement -IRC"/>
      <sheetName val="Informtion Anne. (2)"/>
      <sheetName val="Format Road Proj. (2)"/>
      <sheetName val="ANNEXURE I"/>
      <sheetName val="ANNEXURE II"/>
      <sheetName val="ANNEXURE III "/>
      <sheetName val="ANNEXURE IV"/>
      <sheetName val="ANNEXURE V"/>
      <sheetName val="ANNEXURE VI"/>
      <sheetName val="ANNEXURE Vii"/>
      <sheetName val="ANNEXURE VIii"/>
      <sheetName val="ANNEXURE IX"/>
      <sheetName val="ANNEXURE IX (2)"/>
      <sheetName val="Key Map1"/>
      <sheetName val="stripmap"/>
      <sheetName val="Hydraulic(600)"/>
      <sheetName val="Hydraulic(2v600)"/>
      <sheetName val="Hydraulic(900)"/>
      <sheetName val="Abst   (2)"/>
      <sheetName val="CD abstract"/>
      <sheetName val="Executive"/>
      <sheetName val="road_est"/>
      <sheetName val="bridge _mord data"/>
      <sheetName val="Bridge data"/>
      <sheetName val="conveyances"/>
      <sheetName val="Format Road Proj."/>
      <sheetName val="Informtion Anne."/>
      <sheetName val="Annexure-B"/>
      <sheetName val="Photos"/>
      <sheetName val="lead chart"/>
      <sheetName val="2V_3M_SLAB (2)"/>
      <sheetName val="RD_X"/>
      <sheetName val="ROAD_DAM_100M"/>
      <sheetName val="RD_100M"/>
      <sheetName val="RD_VENTES"/>
      <sheetName val="Estimate (2)"/>
      <sheetName val="Check_Slip"/>
      <sheetName val="Misc"/>
      <sheetName val="Data_Base"/>
      <sheetName val="Templates"/>
      <sheetName val="Sp_Report"/>
      <sheetName val="Conveyance_Rates"/>
      <sheetName val="Conveyance_Table"/>
      <sheetName val="Est_amt_text"/>
      <sheetName val="Labour_Charges"/>
      <sheetName val="OHSRCAP"/>
      <sheetName val="PIPES-FINAL"/>
      <sheetName val="covered-habs"/>
      <sheetName val="covered-habs-nss"/>
      <sheetName val="NEW-ohsr list"/>
      <sheetName val="abstract ohsr&amp;bpt"/>
      <sheetName val="list"/>
      <sheetName val="JAWAHAR-hyd-original"/>
      <sheetName val="3200"/>
      <sheetName val="2750"/>
      <sheetName val="2500"/>
      <sheetName val="2200"/>
      <sheetName val="1800"/>
      <sheetName val="1500"/>
      <sheetName val="GL1"/>
      <sheetName val="GL2"/>
      <sheetName val="200"/>
      <sheetName val="100"/>
      <sheetName val="50"/>
      <sheetName val="water-pros-ultimate-rate"/>
      <sheetName val="water-ultimater"/>
      <sheetName val="A'rangapur-Out Flow"/>
      <sheetName val="chart-A'rangapur-OUT-flow"/>
      <sheetName val="Chart2-habs"/>
      <sheetName val="Chart2-total"/>
      <sheetName val="Programme "/>
      <sheetName val="LEAD  CHART 2013-14"/>
      <sheetName val="ABSRACT "/>
      <sheetName val="SPECIFICATION REPORT"/>
      <sheetName val="SEIGNROAGE CHARGES  "/>
      <sheetName val="ESTIMATE "/>
      <sheetName val="LEAD CHART ( 2013 - 14 )"/>
      <sheetName val="DATA SHEET FOR 2012 - 13"/>
      <sheetName val=" DOOR DATA SHEET  2012-13"/>
      <sheetName val="WORK EXECUTIVE MEMBER"/>
      <sheetName val="Nomination Covering Letter "/>
      <sheetName val="Nomination Proposals"/>
      <sheetName val="MEMORANDAM"/>
      <sheetName val="AGREEMENT"/>
      <sheetName val=" SCHEDULE"/>
      <sheetName val="Tender Schedule "/>
      <sheetName val="SUPPLEMENTARY AGREEMENT "/>
      <sheetName val="DD Covering Letter "/>
      <sheetName val="Estimate Covering Letter "/>
      <sheetName val="Workdone Specification Report "/>
      <sheetName val="WORKDONE ESTIMATE"/>
      <sheetName val="COMPARATIVE STATEMENT "/>
      <sheetName val="COMPLITION REPORT "/>
      <sheetName val="CC BILLS"/>
      <sheetName val="CC BILLS COVERING LETTER"/>
      <sheetName val="MP MEMORANDAM"/>
      <sheetName val="MP Agreement "/>
      <sheetName val="MOVEMENT SLIP "/>
      <sheetName val="LUMP SUM CONTRACTOR "/>
      <sheetName val="PART- LUMP SUM CONTRACTOR"/>
      <sheetName val="LINE SPECIFICATION REPORT"/>
      <sheetName val="LINE ESTIMATE"/>
      <sheetName val="Generic "/>
      <sheetName val="Name Sheet"/>
      <sheetName val="Spicification Report "/>
      <sheetName val="GP Building 10.00 lAKS (2)"/>
      <sheetName val="Datas"/>
      <sheetName val=" Doors windows Coutry wood "/>
      <sheetName val="GP Building 10.00 lAKS"/>
      <sheetName val="GP Building "/>
      <sheetName val="Ele data"/>
      <sheetName val="San data"/>
      <sheetName val="CR"/>
      <sheetName val="CS "/>
      <sheetName val="Estt"/>
      <sheetName val="#REF"/>
      <sheetName val="#REF!"/>
      <sheetName val="CDdata_(2)"/>
      <sheetName val="cwaydata_(2)"/>
      <sheetName val="CDdata_(3)"/>
      <sheetName val="Lead_statement_ss5"/>
      <sheetName val="lead_st"/>
      <sheetName val="CDdata_(2)1"/>
      <sheetName val="cwaydata_(2)1"/>
      <sheetName val="CDdata_(3)1"/>
      <sheetName val="data-WC"/>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Common "/>
      <sheetName val="Data-ELSR"/>
      <sheetName val="Mortars"/>
      <sheetName val="Usage"/>
      <sheetName val="SUMP1420KL@HW"/>
      <sheetName val="DATA-BASE"/>
      <sheetName val="DATA-ABSTRACT"/>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p. Rep. (2)"/>
      <sheetName val="Work done"/>
      <sheetName val="Completion"/>
      <sheetName val="New lead2"/>
      <sheetName val="CD-DAta"/>
      <sheetName val="Base Course "/>
      <sheetName val="final abstract"/>
      <sheetName val="Main sheet"/>
      <sheetName val="Quotes"/>
      <sheetName val="work_sheet"/>
      <sheetName val="t_prsr"/>
      <sheetName val="id"/>
      <sheetName val="BALAN1"/>
      <sheetName val="sand"/>
      <sheetName val="stone"/>
      <sheetName val="BS8007"/>
      <sheetName val="Deck Slab"/>
      <sheetName val="CDdata_(2)6"/>
      <sheetName val="cwaydata_(2)6"/>
      <sheetName val="CDdata_(3)6"/>
      <sheetName val="Lead_statement_ss54"/>
      <sheetName val="Common_"/>
      <sheetName val="Lead_statement"/>
      <sheetName val="CD_works"/>
      <sheetName val="Road_data"/>
      <sheetName val="Detailed Estimate"/>
      <sheetName val="clvrt_data"/>
      <sheetName val="wh"/>
      <sheetName val="PVC_dia"/>
      <sheetName val="Rate"/>
      <sheetName val="ONLINE DUMP"/>
      <sheetName val="sancdump"/>
      <sheetName val="wh_data"/>
      <sheetName val="CPHEEO"/>
      <sheetName val="wh_data_R"/>
      <sheetName val="C.D.Abs.Est."/>
      <sheetName val="Doors Data (2)"/>
      <sheetName val="C-data (2)"/>
      <sheetName val="lead 2"/>
      <sheetName val="stall"/>
      <sheetName val="compound"/>
      <sheetName val="auction"/>
      <sheetName val="platform"/>
      <sheetName val="etp"/>
      <sheetName val="CI soft PN1"/>
      <sheetName val="SSTank"/>
      <sheetName val="BWSC (2)"/>
      <sheetName val="Data-2011-12"/>
      <sheetName val="DI-K7 &amp; K9 (2011-12)"/>
      <sheetName val="MS pipes"/>
      <sheetName val="DI VALVES PN1.6 (2)"/>
      <sheetName val="HDPE&amp;RCC"/>
      <sheetName val="PH-pipe lines"/>
      <sheetName val="LEAD STATEMENT-2011-12"/>
      <sheetName val="DI Specials (2011-12)"/>
      <sheetName val="CI Specials (2011-12) "/>
      <sheetName val="buiding "/>
      <sheetName val="elsr "/>
      <sheetName val="PSC (Cyl)"/>
      <sheetName val="Carting"/>
      <sheetName val="HDPE Specials"/>
      <sheetName val="Zone-1"/>
      <sheetName val="Zone-2"/>
      <sheetName val="Zone-3"/>
      <sheetName val="Zone-3 (alt)"/>
      <sheetName val="PS1"/>
      <sheetName val="DATA-2005-06"/>
      <sheetName val="Sheet"/>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Cent'g-1"/>
      <sheetName val="Cent'g-2"/>
      <sheetName val="Loading"/>
      <sheetName val="Dismantling"/>
      <sheetName val="DI pipes"/>
      <sheetName val="DI-Spe-1"/>
      <sheetName val="Wt.of DI Spe."/>
      <sheetName val="HDPE pipes"/>
      <sheetName val="HDPE-Spe"/>
      <sheetName val="RCC-PE"/>
      <sheetName val="CI Spe."/>
      <sheetName val="PVC-WS"/>
      <sheetName val="ELSR-2"/>
      <sheetName val="data-ELSR "/>
      <sheetName val="data-Water Supply"/>
      <sheetName val="Sump &amp; ST"/>
      <sheetName val="Chamber-1"/>
      <sheetName val="Bld.Stnd,Data"/>
      <sheetName val="Bld up to 3F"/>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PH-BWSC"/>
      <sheetName val="BWSC-Rate"/>
      <sheetName val="BWSC-Cal"/>
      <sheetName val="IMP-Notes"/>
      <sheetName val="GA-Miryalaguda-I"/>
      <sheetName val="Sewer-Mlguda -1"/>
      <sheetName val="5.75 Mld-STP- Est"/>
      <sheetName val="5.75 Mld-STP- Est -II"/>
      <sheetName val="5.75 -STP-Details (2)"/>
      <sheetName val="UPVC-HSC"/>
      <sheetName val="Inspection-Chambers"/>
      <sheetName val="CC Roads-3.00m."/>
      <sheetName val="CC Roads-4.00m "/>
      <sheetName val="5.75 -STP-Details"/>
      <sheetName val="Intake well-M.Guda"/>
      <sheetName val="Design-Intake well"/>
      <sheetName val="Grit Chambers"/>
      <sheetName val="11.50 Mld-STP- Est"/>
      <sheetName val="11.50 -STP-Details"/>
      <sheetName val="W.man.Qrts-1"/>
      <sheetName val="Office cum Lab-1"/>
      <sheetName val="Store room-1."/>
      <sheetName val="C.Wall to STP-1"/>
      <sheetName val="Machinary"/>
      <sheetName val="Manhole"/>
      <sheetName val="Ref"/>
      <sheetName val="Wind Pressure-ELSR"/>
      <sheetName val="BT rates"/>
      <sheetName val="Abstract of Rates"/>
      <sheetName val="W.man.Qrts-2"/>
      <sheetName val="Office cum Lab-2"/>
      <sheetName val="Store room-2"/>
      <sheetName val="C.Wall to STP-2"/>
      <sheetName val="PVC-WS&amp;Sani"/>
      <sheetName val="data-Lowering"/>
      <sheetName val="data-WTP"/>
      <sheetName val="data-Sump &amp; ST"/>
      <sheetName val="Data-Gallery"/>
      <sheetName val="data-Borewells"/>
      <sheetName val="data-Chamber-1"/>
      <sheetName val="drains-data"/>
      <sheetName val="R1-Loading"/>
      <sheetName val="R2-Site clearence"/>
      <sheetName val="R3-EWE-Roads"/>
      <sheetName val="R4-Sub base"/>
      <sheetName val="R5-BT Roads"/>
      <sheetName val="data-CC road"/>
      <sheetName val="C.Wall to Ambedkar park"/>
      <sheetName val="RC-Bore wells-1"/>
      <sheetName val="RC-Bore wells-3"/>
      <sheetName val="Borewells-Est"/>
      <sheetName val="Borewell-Details"/>
      <sheetName val="RC-Bore wells-2"/>
      <sheetName val="WS &amp; Sani"/>
      <sheetName val="GA-Nzb-Ph-I"/>
      <sheetName val="SWG-100- with Road Restoration"/>
      <sheetName val="SWG-100-without Road restoratio"/>
      <sheetName val="Inspection-Chamber Brick"/>
      <sheetName val="CC Roads-3.00m"/>
      <sheetName val="CC Roads-4.00m"/>
      <sheetName val="CC-App,Road-1"/>
      <sheetName val="BT Road over WBM-5.5m"/>
      <sheetName val="BT Road over BT-5.5m"/>
      <sheetName val="BT Road over WBM-7.0m"/>
      <sheetName val="BT Road over BT-7.0m"/>
      <sheetName val="Inspection-Chamber.RCC"/>
      <sheetName val="HDPE-110-with Road Restoration"/>
      <sheetName val="SP for O&amp;M-CPHEO"/>
      <sheetName val="C.Wall to Zo-III-ELSR"/>
      <sheetName val="ELSR-below-500 KL"/>
      <sheetName val="ELSR - above 500 KL"/>
      <sheetName val="Intake well-with Foot Bridge"/>
      <sheetName val="Collection well- Est-2"/>
      <sheetName val="Inf.Well -Estl"/>
      <sheetName val="Inf.Gallary-Est"/>
      <sheetName val="4.60 Mld-WTP"/>
      <sheetName val=" GLSR-Columns"/>
      <sheetName val="Sump-Dome"/>
      <sheetName val="Intake well-Max"/>
      <sheetName val="Intake well-Gajwel"/>
      <sheetName val="350mm G.Main-canal crossing"/>
      <sheetName val="Generator Rooms"/>
      <sheetName val="Elc.Stnd.Data"/>
      <sheetName val="SW Drains"/>
      <sheetName val="data-Sewer"/>
      <sheetName val="data-MH"/>
      <sheetName val="MH-est"/>
      <sheetName val="data-SS Tanks &amp; WTPs"/>
      <sheetName val="Sewer-final"/>
      <sheetName val="Sewer-Mlguda"/>
      <sheetName val="Sewer-200"/>
      <sheetName val="GF"/>
      <sheetName val="F-I"/>
      <sheetName val="F-II"/>
      <sheetName val="Data-Bld Elec (2)"/>
      <sheetName val="Elc.Stnd.Data (2)"/>
      <sheetName val=" Elec.Data-PH"/>
      <sheetName val="Data-Sanitary-PH"/>
      <sheetName val="Data-Gen sets-14-15"/>
      <sheetName val="Abstract W.S &amp; Sanitation"/>
      <sheetName val="QTY"/>
      <sheetName val="EPABX"/>
      <sheetName val="LAN"/>
      <sheetName val="UPS"/>
      <sheetName val="AC-Data"/>
      <sheetName val="DG set"/>
      <sheetName val="DATA FINAL"/>
      <sheetName val="Abstract-1"/>
      <sheetName val="ST-5 x 1.60-(51users)"/>
      <sheetName val="ST-7.5 x 2.65-(100 users)"/>
      <sheetName val="Bore wll-Est-1"/>
      <sheetName val="Borewells-Est."/>
      <sheetName val="RCC-Sump"/>
      <sheetName val="AC-Est."/>
      <sheetName val="Lift-Est"/>
      <sheetName val="Esti-Sump"/>
      <sheetName val="Gen sets-Est"/>
      <sheetName val="CC Road-Est. "/>
      <sheetName val="Total SSRs"/>
      <sheetName val="data-Bld-14-15"/>
      <sheetName val="Main door-1"/>
      <sheetName val="Elec -Est."/>
      <sheetName val="Sanitary -Est."/>
      <sheetName val="Plinth protection-Est"/>
      <sheetName val="Lightning Arrestor"/>
      <sheetName val="data-Borewells (2)"/>
      <sheetName val="Compound-Ornamental"/>
      <sheetName val="data-WS &amp; Sewer-14-15"/>
      <sheetName val="GA-Tandur"/>
      <sheetName val="Municipal Office-G+2"/>
      <sheetName val="Municipal Office-G+3 (2)"/>
      <sheetName val="Elc.Estimate-Office."/>
      <sheetName val="Railing"/>
      <sheetName val="WS &amp; Sanitary-14-15"/>
      <sheetName val="Solar Lighting-Rythu Bazar"/>
      <sheetName val="data-Parks"/>
      <sheetName val="ST-20 users"/>
      <sheetName val="Municipal Office-G+1"/>
      <sheetName val="Municipal Office-G+1 (2)"/>
      <sheetName val="Est-RWHS (2)"/>
      <sheetName val="data-RWHS "/>
      <sheetName val="Main door"/>
      <sheetName val="C-Mat-Gen-Miryalaguda"/>
      <sheetName val="C-Mat-R&amp;B"/>
      <sheetName val="Convey -14-15"/>
      <sheetName val="Cent'g--14-15"/>
      <sheetName val="Greenary"/>
      <sheetName val="Elc.Stnd.Data-House"/>
      <sheetName val="Esti- Sani"/>
      <sheetName val="Truss"/>
      <sheetName val="Borewells-Hand pump"/>
      <sheetName val="Est-RWHS"/>
      <sheetName val="ST-10 x 3-(150 users)"/>
      <sheetName val="ST-12x3.3-(200 Users)"/>
      <sheetName val="Steel pipe"/>
      <sheetName val="Truss (2)"/>
      <sheetName val="Sanitary (2)"/>
      <sheetName val="Sanitary-Est"/>
      <sheetName val="ST-20 users (2)"/>
      <sheetName val="ST-7.5x2.65"/>
      <sheetName val="kitch&amp;dinin (Sanitary)"/>
      <sheetName val="Bath (Sanitary)"/>
      <sheetName val="bath room(elec.) "/>
      <sheetName val="kitch&amp;din(elec.) "/>
      <sheetName val="Sanitary"/>
      <sheetName val="Elec. Sch cum Dor (2)"/>
      <sheetName val="Elc.Estimate"/>
      <sheetName val="data-ele"/>
      <sheetName val="Elec-Det"/>
      <sheetName val="Data-Bld Elec"/>
      <sheetName val="labour&amp; Hire-14-15"/>
      <sheetName val="JOINERY DATA 12"/>
      <sheetName val="Revised rates(SSR 2014-15)"/>
      <sheetName val="Comp- abs "/>
      <sheetName val="Pipe lines"/>
      <sheetName val="Comp- PL "/>
      <sheetName val="SSR "/>
      <sheetName val="Dismantling-data"/>
      <sheetName val="data-Filters"/>
      <sheetName val="ELSR-Ses"/>
      <sheetName val="Data- Street light"/>
      <sheetName val="data-EWE-Roads"/>
      <sheetName val="GA-Gajwel"/>
      <sheetName val="Intake well-Est-1"/>
      <sheetName val="Intake well- Est-2"/>
      <sheetName val="Pumping main-400"/>
      <sheetName val="Pumping Main-600mm"/>
      <sheetName val="Feeder mains -DI-up to 450"/>
      <sheetName val="Feeder mains up to 500"/>
      <sheetName val="Feeder mains -450"/>
      <sheetName val="Dist-Mini-150"/>
      <sheetName val="Dist-est-HDPE-DI"/>
      <sheetName val="Dist-HDPE &amp; DI-mini=100"/>
      <sheetName val="Dist-HDPE-Mini-100 to 225"/>
      <sheetName val="Dist-HDPE-min-110 to 160"/>
      <sheetName val="ELSR-1500KL"/>
      <sheetName val="650 KL GLSR"/>
      <sheetName val="600 KL sump"/>
      <sheetName val="C.Wall to FW"/>
      <sheetName val="Generator Room-8x4"/>
      <sheetName val="Office room"/>
      <sheetName val="Pump room"/>
      <sheetName val="App,Road-1"/>
      <sheetName val="App road-2"/>
      <sheetName val="Pump set-RC"/>
      <sheetName val="data-Check Dam"/>
      <sheetName val="C.Lighting"/>
      <sheetName val="Two Tire Reservoir"/>
      <sheetName val="Kollapur"/>
      <sheetName val="Toilet block"/>
      <sheetName val="ELSR-below-500"/>
      <sheetName val="Bld - 3F"/>
      <sheetName val="Rq-Spe"/>
      <sheetName val="R-2"/>
      <sheetName val="R-3"/>
      <sheetName val="Pump design"/>
      <sheetName val="CI-Weights"/>
      <sheetName val="GA-Dalmill area"/>
      <sheetName val="G+3-Dalmil"/>
      <sheetName val="CC Roads-Dalmil"/>
      <sheetName val="Water Supply"/>
      <sheetName val="Sewers"/>
      <sheetName val="Retaining wall"/>
      <sheetName val="Street Light"/>
      <sheetName val="Solid waste"/>
      <sheetName val="Water Sump"/>
      <sheetName val="Approach Road"/>
      <sheetName val="Street Lights - off site"/>
      <sheetName val="Amenity Centre"/>
      <sheetName val="Transit"/>
      <sheetName val="Municipal Office-FF"/>
      <sheetName val="Municipal Office-SF"/>
      <sheetName val="IMP"/>
      <sheetName val="Total SSR"/>
      <sheetName val="Pump sets -old RC"/>
      <sheetName val="Intake well-Gajwel "/>
      <sheetName val="16.5 Mld-WTP"/>
      <sheetName val="DI -Feeder mains 150 to 450mm "/>
      <sheetName val="Dist-HDPE-DI-110 to 400mm"/>
      <sheetName val="Dist-HDPE-110 to 160mm"/>
      <sheetName val="Dist-HDPE-DI-110 to 200"/>
      <sheetName val="Pumping Main-700mm"/>
      <sheetName val="Pumping Main-500mm"/>
      <sheetName val="P. main-300mm WO road cutting"/>
      <sheetName val="C.Walls"/>
      <sheetName val="C.Wall to WTP"/>
      <sheetName val="Office cum Lab"/>
      <sheetName val="Pump room 6 x 4m"/>
      <sheetName val="CC Drains &amp; Culverts"/>
      <sheetName val="RCC Drains &amp; Culverts-"/>
      <sheetName val="RCC &amp; CC Drains &amp; Culverts"/>
      <sheetName val="RCC  Culverts"/>
      <sheetName val="Dist-HDPE-90 "/>
      <sheetName val="Sewer-150"/>
      <sheetName val="Dist-GI-50mm"/>
      <sheetName val="GA-Siddipet (2)"/>
      <sheetName val="CC Drains &amp; Culverts (2)"/>
      <sheetName val="RCC Drains &amp; Culverts- (3)"/>
      <sheetName val="Classiv(sanitary)"/>
      <sheetName val="Electricals Class IV"/>
      <sheetName val="Elect. Din&amp;Kitc"/>
      <sheetName val="Staff Qtrs (Sanitary)"/>
      <sheetName val="Staff Qtrs.(Elec)"/>
      <sheetName val="principle(sanitary)"/>
      <sheetName val="principle(elec.)"/>
      <sheetName val="sch cum dor (sanitary) "/>
      <sheetName val="Elec. Sch cum Dor"/>
      <sheetName val="WS (2)"/>
      <sheetName val="Ele."/>
      <sheetName val="WS-ABS"/>
      <sheetName val="Relig-place"/>
      <sheetName val="WS &amp; Sanitary"/>
      <sheetName val="datas-ele"/>
      <sheetName val="Works"/>
      <sheetName val="El Data"/>
      <sheetName val="Basic Data"/>
      <sheetName val="SP Report "/>
      <sheetName val="FF"/>
      <sheetName val="INT ELEC"/>
      <sheetName val="EXT Elec"/>
      <sheetName val="-WS-Det"/>
      <sheetName val="ABS-WS"/>
      <sheetName val=" Terrace"/>
      <sheetName val="det-cmpd"/>
      <sheetName val="Compound wall-ABS"/>
      <sheetName val="Detail ST (300 user)"/>
      <sheetName val="Septic tank (300 Nos)"/>
      <sheetName val="Detail Sump50000lit"/>
      <sheetName val="Sump 50000 lit(ABS)"/>
      <sheetName val="Borewell"/>
      <sheetName val="Road-ABS"/>
      <sheetName val="HVAC BOQ"/>
      <sheetName val="Ele-Data"/>
      <sheetName val="D&amp;W DATA"/>
      <sheetName val="doors data final"/>
      <sheetName val="WINDOWS DATA final"/>
      <sheetName val="doors data"/>
      <sheetName val="Elec DATAS-17-18"/>
      <sheetName val="Panel Data "/>
      <sheetName val="Scheme Area Details_Block__ C2"/>
      <sheetName val="detls"/>
      <sheetName val="3 Nos Fuses Data"/>
      <sheetName val="NON ISI Cons PVC Pipes"/>
      <sheetName val="NON ISI Sur PVC Pipes"/>
      <sheetName val="PANEL BOARD DATAS"/>
      <sheetName val="PROFORMA DATAS"/>
      <sheetName val="31. DURA GUARD"/>
      <sheetName val="30. FLAT CABLES "/>
      <sheetName val="29. ALLUMINIUM"/>
      <sheetName val="28. COPPER"/>
      <sheetName val="27. G I "/>
      <sheetName val="26. STABILIZERS"/>
      <sheetName val="25. EARTHINGS"/>
      <sheetName val="24. UG CABLES LAYING "/>
      <sheetName val="23. CEILING FANS"/>
      <sheetName val="SOR 14-15 FOR DATAS"/>
      <sheetName val="22. EXTERNAL LUMINAIRES"/>
      <sheetName val="21. INTERNAL LUMINAIRS "/>
      <sheetName val="20. WPSC AND WPTC "/>
      <sheetName val="19. METALPLUG SURFACE AND FLUSH"/>
      <sheetName val="18. VTPN DB SURFACE AND FLUSH"/>
      <sheetName val="17. TPN DB SURFACE AND FLUSH"/>
      <sheetName val="16. SPN DB SURFACE AND FLUSH"/>
      <sheetName val=" 15. CALLING BELLS "/>
      <sheetName val="14. BH"/>
      <sheetName val="13. RUN OF MAINS WIRING"/>
      <sheetName val="12. COMMON ITEMS IN MODULAR "/>
      <sheetName val="11.L.P. IN MODULAR IN NRB &amp; RB"/>
      <sheetName val="10.CONS COMMON ITEMS F.T. &amp; M.M"/>
      <sheetName val="9.CONS L.P. IN NRB&amp;RB F.T.&amp;M.M."/>
      <sheetName val="8. SUR COMMON ITEMS F.T. &amp; M.M."/>
      <sheetName val="7.SURF L.P. IN NRB&amp;RB F.T.&amp;M.M."/>
      <sheetName val="6. PIPE IN ROOF SLAB"/>
      <sheetName val="5. ISI PIPE-CON-RUN MAINS"/>
      <sheetName val="4. ISI PIPE-CONSEALED"/>
      <sheetName val="3. ISI CASING &amp; CAPING"/>
      <sheetName val="2. ISI PIPE-SUR-RUN MAINS"/>
      <sheetName val="1. ISI PIPE-SURFACE"/>
      <sheetName val="ZONE WISE"/>
      <sheetName val="S - Cash"/>
      <sheetName val="Gr Co Works"/>
      <sheetName val="Subsidiary Works"/>
      <sheetName val="Top Line"/>
      <sheetName val="Business Development"/>
      <sheetName val="Status of Works Quoted"/>
      <sheetName val="New Order Booking"/>
      <sheetName val="Order Book Status"/>
      <sheetName val="POWERPOINT BACKUP"/>
      <sheetName val="Cash Flows"/>
      <sheetName val="Fund"/>
      <sheetName val="Fund Support"/>
      <sheetName val="Lookahead"/>
      <sheetName val="Bottom Lines"/>
      <sheetName val="EVM"/>
      <sheetName val="Charts"/>
      <sheetName val="Monthly MIS - B2B Contracts"/>
      <sheetName val="Job Exp Qtd Next month"/>
      <sheetName val="Job exp qtd rest of yr."/>
      <sheetName val="Fund Supports"/>
      <sheetName val="EVM x"/>
      <sheetName val="CS (3)"/>
      <sheetName val="CS (2)"/>
      <sheetName val="DAR"/>
      <sheetName val="Assessment Report SCM"/>
      <sheetName val="Report "/>
      <sheetName val="IAFR Tech REASSESS Q1 "/>
      <sheetName val="IAFR Tech ASSESS REG Q2"/>
      <sheetName val="RMC rec Annex 2.02"/>
      <sheetName val="Labour  rate comp annex 2.03"/>
      <sheetName val="material rate comp annex 2.04"/>
      <sheetName val="Steel recon Annex2.05"/>
      <sheetName val="List of Non repair(2.06)"/>
      <sheetName val="List of Repair(Annex 2.07) "/>
      <sheetName val="P &amp; M Utilize(2.08)"/>
      <sheetName val="client corres(Annex2.09)"/>
      <sheetName val="WO1(Annex2.10a)"/>
      <sheetName val="WO2(Annex2.10 b)"/>
      <sheetName val="DAR  Vs ERP (Annex 2.11)"/>
      <sheetName val="Mat Reco (2.12)"/>
      <sheetName val="qty recon(Annex2.13a)"/>
      <sheetName val="qty recon(Annex2.13b) STEEL"/>
      <sheetName val="qty reco(Annex2.13c) BLOCK WORK"/>
      <sheetName val="St"/>
      <sheetName val="total"/>
      <sheetName val="Abs JR"/>
      <sheetName val="PCC "/>
      <sheetName val="Earthwork Excavation"/>
      <sheetName val="Abs  Pravin"/>
      <sheetName val="Abs JR cum"/>
      <sheetName val="Abs Subbaiah"/>
      <sheetName val="Abs gupta"/>
      <sheetName val="Abs Madhu"/>
      <sheetName val="Abs par"/>
      <sheetName val="Abs bhas"/>
      <sheetName val="Abs Elumalai"/>
      <sheetName val="Abs  Bed"/>
      <sheetName val="Abs Hari"/>
      <sheetName val="Abs ram"/>
      <sheetName val="Break up-labour bill"/>
      <sheetName val="Abs Han "/>
      <sheetName val="Abs Balu"/>
      <sheetName val="Abs peri"/>
      <sheetName val="Abs ck"/>
      <sheetName val="Abs Murugan"/>
      <sheetName val="Abs Rainbow"/>
      <sheetName val="Abs Tammana"/>
      <sheetName val="Abs Vavi"/>
      <sheetName val="Blank"/>
      <sheetName val="Abs Srinivasu"/>
      <sheetName val="Abs SP"/>
      <sheetName val="Abs RR"/>
      <sheetName val="Ab Ga"/>
      <sheetName val="Final"/>
      <sheetName val="bill period wise"/>
      <sheetName val="Rectified Report HR"/>
      <sheetName val="Dummy"/>
      <sheetName val="Dummy (2)"/>
      <sheetName val="Project Details.."/>
      <sheetName val="C. L"/>
      <sheetName val="Part I  Assessment FINANCE"/>
      <sheetName val="Annexure 1.01"/>
      <sheetName val="Part-II Reassessment Technical"/>
      <sheetName val="Part-I Assessment Technical "/>
      <sheetName val="Systemic Annex 2.01"/>
      <sheetName val="Drws Details.lAnnexure 2.02"/>
      <sheetName val="Steel reconci (Annex 2.03)"/>
      <sheetName val="RMC10(Annex2.04)"/>
      <sheetName val="RMC20(Annex2.05)"/>
      <sheetName val="RMC35(Annex2.06)"/>
      <sheetName val="MATERIAL RATE COM(Annex 2.07"/>
      <sheetName val="WO1(Annex2.08a) (2)"/>
      <sheetName val="WO2(Annex2.08b) (2)"/>
      <sheetName val="client corres(Annex2.08)1"/>
      <sheetName val="WO1(Annex2.08a)"/>
      <sheetName val="WO2(Annex2.08b)"/>
      <sheetName val="client corres(Annex2.08)"/>
      <sheetName val="Part I - Assessment Material"/>
      <sheetName val="Annex. 3.01"/>
      <sheetName val="Part-I Assessment Rept  HR"/>
      <sheetName val="Annex 4.01"/>
      <sheetName val="Annexure 4.02"/>
      <sheetName val="Annex. 4.03"/>
      <sheetName val="WO1(Annex2.08a)POR"/>
      <sheetName val="WO2(Annex2.08b) POR"/>
      <sheetName val="WIP"/>
      <sheetName val="Indirect Expenses"/>
      <sheetName val="Budget"/>
      <sheetName val="SP"/>
      <sheetName val="RP"/>
      <sheetName val="DCP"/>
      <sheetName val="ICP"/>
      <sheetName val="CF"/>
      <sheetName val="FP"/>
      <sheetName val="RESP"/>
      <sheetName val="EP"/>
      <sheetName val="ORG"/>
      <sheetName val="STFP"/>
      <sheetName val="EQPP"/>
      <sheetName val="MP"/>
      <sheetName val="BCWP"/>
      <sheetName val="Subcontracting"/>
      <sheetName val="Client Bill "/>
      <sheetName val="Scope Variations"/>
      <sheetName val="WORK ORDERS"/>
      <sheetName val="Quantity Reconciliation (2)"/>
      <sheetName val="Material reconcilliation"/>
      <sheetName val="Material Consumption"/>
      <sheetName val="Status of work quoted"/>
      <sheetName val="ORDER BOOKING"/>
      <sheetName val="Expenditure plan"/>
      <sheetName val="PRECAST lightconc-II"/>
      <sheetName val="ASSESS TECH Q1"/>
      <sheetName val="Systemic (2.01)"/>
      <sheetName val="Measurement sampling (2.02)"/>
      <sheetName val="REPAIRABLE P&amp;M(2.03)"/>
      <sheetName val="IDLE P&amp;M(2.04)"/>
      <sheetName val="Reg Q2 Tech"/>
      <sheetName val="LAND AQUI (Annex-2.02)"/>
      <sheetName val="client corres(Annex2.03)"/>
      <sheetName val="WO1(Annex2.04a)"/>
      <sheetName val="WO2(Annex2.04b)"/>
      <sheetName val="Annex 4.01(site)"/>
      <sheetName val="R.O &amp; BD"/>
      <sheetName val="CL"/>
      <sheetName val="ASSESSMENT FINANCEPORBANDAR"/>
      <sheetName val="TQS-4_plants"/>
      <sheetName val="discount_small_plants"/>
      <sheetName val="0.42 MLD"/>
      <sheetName val="0.71 MLD"/>
      <sheetName val="1.00 MLD"/>
      <sheetName val="5 MLD"/>
      <sheetName val="O&amp;M_5 MLD"/>
      <sheetName val="O&amp;M_1MLD"/>
      <sheetName val="O&amp;M_0.71 MLD"/>
      <sheetName val="O&amp;M_0.42 MLD"/>
      <sheetName val="BillofQty"/>
      <sheetName val="GENABST "/>
      <sheetName val="PEA"/>
      <sheetName val="Ten vs Budget"/>
      <sheetName val="Budget Summary-new"/>
      <sheetName val="TQS"/>
      <sheetName val="Budget-Summary -old"/>
      <sheetName val="BOR"/>
      <sheetName val="A1 OW"/>
      <sheetName val="A2 IG"/>
      <sheetName val="A2 annex"/>
      <sheetName val="A3 conn"/>
      <sheetName val="A4 sump"/>
      <sheetName val="A5 feeder"/>
      <sheetName val="A6 pumproom"/>
      <sheetName val="A7 PSET"/>
      <sheetName val="A8 TPSET"/>
      <sheetName val="A9 sr"/>
      <sheetName val="A9 annex"/>
      <sheetName val="A10dsy"/>
      <sheetName val="A11 comp"/>
      <sheetName val="A12 weir"/>
      <sheetName val="A 13 maint"/>
      <sheetName val="valvesannex"/>
      <sheetName val="Cover letter"/>
      <sheetName val="REASSESS TECH Q1"/>
      <sheetName val="REGULAR TECH Q2"/>
      <sheetName val="Planning 2.01 A"/>
      <sheetName val="Planning 2.01 B"/>
      <sheetName val="Planning 2.01 C"/>
      <sheetName val="BD &amp; OB  WWW (Annex 2.02)"/>
      <sheetName val="MUMBAI RO - EMDs Annex 2.03 "/>
      <sheetName val="WIP (Annex 2.04)"/>
      <sheetName val="Annexure-2.05"/>
      <sheetName val="PRIORITY"/>
      <sheetName val="Project cost"/>
      <sheetName val="comparision statement"/>
      <sheetName val="Rate analysis 1"/>
      <sheetName val=" Rates 1"/>
      <sheetName val="Rate Analysis 2"/>
      <sheetName val="Rate 2"/>
      <sheetName val="Comparison"/>
      <sheetName val="Quantity"/>
      <sheetName val="BOQ1"/>
      <sheetName val="Consolidate"/>
      <sheetName val="Indirect Expenditure"/>
      <sheetName val="P&amp;L CUM"/>
      <sheetName val="Consolidate1"/>
      <sheetName val="Direct Expenses (2)"/>
      <sheetName val="Bill- 1"/>
      <sheetName val="Bill- 2"/>
      <sheetName val="Bill- 3"/>
      <sheetName val="Bill- 4"/>
      <sheetName val="Bill- 5"/>
      <sheetName val="Bill- 6"/>
      <sheetName val="Bill- 7"/>
      <sheetName val="Bill-8"/>
      <sheetName val="Bill- 9"/>
      <sheetName val="Bill- 10"/>
      <sheetName val="Bill-11"/>
      <sheetName val="Bill-12"/>
      <sheetName val="Bill- 14"/>
      <sheetName val="Bill-14"/>
      <sheetName val="Estimate Toll Plaza"/>
      <sheetName val="LOT 8"/>
      <sheetName val="1A"/>
      <sheetName val="4A"/>
      <sheetName val="5A"/>
      <sheetName val="10A"/>
      <sheetName val="11A"/>
      <sheetName val="12A"/>
      <sheetName val="13A"/>
      <sheetName val="14A"/>
      <sheetName val="15A"/>
      <sheetName val="16A"/>
      <sheetName val="17A"/>
      <sheetName val="18A"/>
      <sheetName val="19A"/>
      <sheetName val="20A"/>
      <sheetName val="21A"/>
      <sheetName val="22A"/>
      <sheetName val="23A"/>
      <sheetName val="24A"/>
      <sheetName val="sUB cONTRACTOR rATES"/>
      <sheetName val="ANAL"/>
      <sheetName val="Dewater Anal"/>
      <sheetName val="Service Tax"/>
      <sheetName val="ED_Benefit"/>
      <sheetName val="Pipe_Abstract"/>
      <sheetName val="VAT"/>
      <sheetName val="QT_ST"/>
      <sheetName val="MAT"/>
      <sheetName val="Pipe work"/>
      <sheetName val="MD"/>
      <sheetName val="EPU"/>
      <sheetName val="EO"/>
      <sheetName val="MAT (2)"/>
      <sheetName val="EA"/>
      <sheetName val="Material Reqd"/>
      <sheetName val="Manholes_Abstract"/>
      <sheetName val="Road_Abs"/>
      <sheetName val="Misc_Abs"/>
      <sheetName val="Calcutta Comp"/>
      <sheetName val="GRAIN SIZE "/>
      <sheetName val="Sp.Gr."/>
      <sheetName val="LLPL"/>
      <sheetName val="PROCTOR"/>
      <sheetName val="C.B.R"/>
      <sheetName val="sp.CBR"/>
      <sheetName val="Module2"/>
      <sheetName val="LS Provisions "/>
      <sheetName val="LOADINGS"/>
      <sheetName val="ANAL-PIPE LINE"/>
      <sheetName val="Qty Est"/>
      <sheetName val="MS Pipe Working"/>
      <sheetName val="Rates Basic"/>
      <sheetName val="Rate Analysis "/>
      <sheetName val="22-MD"/>
      <sheetName val="Top sheet-WTP"/>
      <sheetName val="Top sheet-WO O&amp;M"/>
      <sheetName val="Top sheet-Overall"/>
      <sheetName val="21-Rate Analysis-1"/>
      <sheetName val="Top sheet-Overall-Final (2)"/>
      <sheetName val="Check"/>
      <sheetName val="Material-Overal"/>
      <sheetName val="Material-LITL"/>
      <sheetName val="Equipment"/>
      <sheetName val="Subcontractor"/>
      <sheetName val="Material-SC"/>
      <sheetName val="Cash Flow-LMP"/>
      <sheetName val="Escalation"/>
      <sheetName val="W PLAN-OUT"/>
      <sheetName val="Top sheet-Overall-Final"/>
      <sheetName val="Top sheet-O&amp;M"/>
      <sheetName val="Final Rate"/>
      <sheetName val="Cash Flow"/>
      <sheetName val="W PLAN-IN"/>
      <sheetName val="Instrumentation"/>
      <sheetName val="Aeration Fountain"/>
      <sheetName val="Raw Water Channel"/>
      <sheetName val="Ventury Flume"/>
      <sheetName val="Flash Mixer"/>
      <sheetName val="Clari-flocculator-1"/>
      <sheetName val="Clari-flocculator-2"/>
      <sheetName val="Filter House"/>
      <sheetName val="Pure water Sump"/>
      <sheetName val="Chemical House"/>
      <sheetName val="Store House"/>
      <sheetName val="Wash Water"/>
      <sheetName val="Sludge Disposal"/>
      <sheetName val="Water closet"/>
      <sheetName val="Chlorinator"/>
      <sheetName val="Chemical Store "/>
      <sheetName val="water-hammar-strenght"/>
      <sheetName val="Laboratory room"/>
      <sheetName val="Panel board"/>
      <sheetName val="Blow room"/>
      <sheetName val="Synop"/>
      <sheetName val="Ref Ab"/>
      <sheetName val="Proj. View "/>
      <sheetName val="civil cost"/>
      <sheetName val="Toll Plaza"/>
      <sheetName val="C.P"/>
      <sheetName val="ANALYSIS"/>
      <sheetName val="st.analysis"/>
      <sheetName val="Traffic signs"/>
      <sheetName val="Qty Cal"/>
      <sheetName val="bus_bay"/>
      <sheetName val="Materials"/>
      <sheetName val="LOCAL RATES"/>
      <sheetName val="MAJ Qtys "/>
      <sheetName val="DATA SHEET"/>
      <sheetName val="MECH-PROG"/>
      <sheetName val="MECH-ANLYS"/>
      <sheetName val="Crusher"/>
      <sheetName val="Crushing n screening"/>
      <sheetName val="SHUTTERING "/>
      <sheetName val="HQ-TO"/>
      <sheetName val="smp_lakhs"/>
      <sheetName val="Add Admin Bldg"/>
      <sheetName val="Staff Quartres"/>
      <sheetName val="LEVELING"/>
      <sheetName val="cover-page"/>
      <sheetName val="Elec Sub Est_0.75"/>
      <sheetName val="Data_Bit_I"/>
      <sheetName val="Data- Electrical "/>
      <sheetName val="SSR_2006-07"/>
      <sheetName val="Elec_Sub_Est_0_75"/>
      <sheetName val="Data-_Electrical_"/>
      <sheetName val="Global factors"/>
      <sheetName val="Global_factors"/>
      <sheetName val="Nspt-smp-final-ORIGINAL"/>
      <sheetName val="Dormitory"/>
      <sheetName val="atr"/>
      <sheetName val="ew-cal"/>
      <sheetName val="ann-b"/>
      <sheetName val="Abstrct "/>
      <sheetName val="Part A"/>
      <sheetName val="BKDNS-11KV"/>
      <sheetName val="BKDNS-33KV"/>
      <sheetName val="BKDNS-EHT"/>
      <sheetName val="Newabstract"/>
      <sheetName val="SHORTFALL"/>
      <sheetName val="ehtbds"/>
      <sheetName val="EHT"/>
      <sheetName val="BKDNS"/>
      <sheetName val="ehtbd"/>
      <sheetName val="PTR-FAILURES"/>
      <sheetName val="DTR-FAILURES"/>
      <sheetName val="disomwiseDTRs"/>
      <sheetName val="EHT-ABSTRACT"/>
      <sheetName val="BKDNS (2)"/>
      <sheetName val="24-07-04 "/>
      <sheetName val="ABST(SOUTH)"/>
      <sheetName val="Profit &amp; Loss"/>
      <sheetName val="Profit &amp; Loss july"/>
      <sheetName val="27-08-04  (2)"/>
      <sheetName val="ABST(SOUTH) rev 08-04"/>
      <sheetName val="2000000000000"/>
      <sheetName val="3000000000000"/>
      <sheetName val="4000000000000"/>
      <sheetName val="5000000000000"/>
      <sheetName val="Achivements"/>
      <sheetName val="Ser rel"/>
      <sheetName val="Services released"/>
      <sheetName val="Ser-2006-07"/>
      <sheetName val="Ser-existing"/>
      <sheetName val="Divn month progress"/>
      <sheetName val="Divn abst."/>
      <sheetName val="Month wise prog."/>
      <sheetName val="SSs"/>
      <sheetName val="Achvt "/>
      <sheetName val="Agl (white paper)"/>
      <sheetName val="Dried up wells"/>
      <sheetName val="SS( 2006-07) "/>
      <sheetName val="SS-existing"/>
      <sheetName val="DW2004-05 "/>
      <sheetName val="a"/>
      <sheetName val="b"/>
      <sheetName val="c"/>
      <sheetName val="d"/>
      <sheetName val="HT"/>
      <sheetName val="HT abstrct"/>
      <sheetName val="HT Add (2)"/>
      <sheetName val="HT details"/>
      <sheetName val="HT Add"/>
      <sheetName val="HT Rel"/>
      <sheetName val="LI Sch"/>
      <sheetName val="LI Schemes dedi Charged"/>
      <sheetName val="LI 1"/>
      <sheetName val="LT Abstract"/>
      <sheetName val="LT Town"/>
      <sheetName val="LT Rural"/>
      <sheetName val="LT MTM"/>
      <sheetName val="LT GDV"/>
      <sheetName val="LT Pending"/>
      <sheetName val="New Agl"/>
      <sheetName val="aquaculture"/>
      <sheetName val="Tathkal"/>
      <sheetName val="agriculture"/>
      <sheetName val="house holds"/>
      <sheetName val="3"/>
      <sheetName val="2"/>
      <sheetName val="Fire Wall-NEW"/>
      <sheetName val="Recator"/>
      <sheetName val="Cab Tre dc yard"/>
      <sheetName val="Cab Tre-ac yard"/>
      <sheetName val="AC FILTER YARD"/>
      <sheetName val="Ac Yard Equipments"/>
      <sheetName val="DC YARD TOWERS"/>
      <sheetName val="DC Yard Equipments"/>
      <sheetName val="AC YARD TOWERS"/>
      <sheetName val="changes"/>
      <sheetName val="BOQ total"/>
      <sheetName val="BOQ - AC Switchyard"/>
      <sheetName val="BOQ DC YARD"/>
      <sheetName val="BOQ Buildings -final-BALLIA"/>
      <sheetName val="Control Bldg"/>
      <sheetName val="Adani Haryana_VH"/>
      <sheetName val="Valve Hall including AHU"/>
      <sheetName val="Civil BOQ"/>
      <sheetName val="4 Plumbing"/>
      <sheetName val="Changed Analysis"/>
      <sheetName val="Area Statement"/>
      <sheetName val="OH Calculation sheet"/>
      <sheetName val="Program"/>
      <sheetName val="Road BOQ)"/>
      <sheetName val="Machinary  Analysis- DSIDC"/>
      <sheetName val="hmp"/>
      <sheetName val="wmm"/>
      <sheetName val="Over Head Total"/>
      <sheetName val="Calculations"/>
      <sheetName val="Analysis( Civil )."/>
      <sheetName val="Road-Analysis"/>
      <sheetName val="Road-Boq"/>
      <sheetName val="Analy"/>
      <sheetName val="AppeE"/>
      <sheetName val="Boq-with fire"/>
      <sheetName val="Boq-wo fire"/>
      <sheetName val="Compare"/>
      <sheetName val="Shutter"/>
      <sheetName val="Appendix-E"/>
      <sheetName val="ANALYS"/>
      <sheetName val="Summary - Page 1"/>
      <sheetName val="Interest"/>
      <sheetName val="Facility"/>
      <sheetName val="P&amp;M"/>
      <sheetName val="Salary"/>
      <sheetName val="Grand Summary"/>
      <sheetName val="Common Plant"/>
      <sheetName val="Shut"/>
      <sheetName val="pLUMBING"/>
      <sheetName val="List of Items"/>
      <sheetName val="Major Quantities"/>
      <sheetName val="s"/>
      <sheetName val="Boiler&amp;TG"/>
      <sheetName val="Tg_foundn"/>
      <sheetName val="Stru_steel"/>
      <sheetName val="Digester building"/>
      <sheetName val="Conc-Site"/>
      <sheetName val="T Crane"/>
      <sheetName val="SDF I"/>
      <sheetName val="Synopsis "/>
      <sheetName val="OH- Summery"/>
      <sheetName val="OH Calculations"/>
      <sheetName val="Fin. Charges"/>
      <sheetName val="Backup CC"/>
      <sheetName val="Abst"/>
      <sheetName val="PBQ"/>
      <sheetName val="Materials Reqd"/>
      <sheetName val="Rate anly as per site sink data"/>
      <sheetName val="KL Bridge BoQ"/>
      <sheetName val="Mech Details"/>
      <sheetName val="Electrical BoQ"/>
      <sheetName val="Analysis (2)"/>
      <sheetName val="earth work RA"/>
      <sheetName val="BoQ Bld"/>
      <sheetName val="Top Sheet"/>
      <sheetName val="SHUTTERING (NS-40)"/>
      <sheetName val="Elect- Naidu designs"/>
      <sheetName val="Pile-1000mm dia"/>
      <sheetName val="Pile-1200mm dia "/>
      <sheetName val="Synopsis C-10"/>
      <sheetName val="Loading "/>
      <sheetName val="MAJ Qtys"/>
      <sheetName val="BoQ C- 10"/>
      <sheetName val="TSP-CRUSHER"/>
      <sheetName val="END"/>
      <sheetName val="Brief"/>
      <sheetName val="Shuttering Cost NS 40"/>
      <sheetName val=" summary"/>
      <sheetName val="01"/>
      <sheetName val="02"/>
      <sheetName val="03"/>
      <sheetName val="04"/>
      <sheetName val="05"/>
      <sheetName val="06"/>
      <sheetName val="07"/>
      <sheetName val="08"/>
      <sheetName val="09"/>
      <sheetName val="Abs 4 L"/>
      <sheetName val="Abs 6 L"/>
      <sheetName val="Syn"/>
      <sheetName val="OHs"/>
      <sheetName val="T-2 material"/>
      <sheetName val="T Plaza boq"/>
      <sheetName val="T plaza"/>
      <sheetName val="civil cost (Sun)"/>
      <sheetName val="HOSPET-EMIPRICE"/>
      <sheetName val="Civil Analysis "/>
      <sheetName val="D.I pipe"/>
      <sheetName val="D.IComp"/>
      <sheetName val="Site Visit Report"/>
      <sheetName val="Abstruct"/>
      <sheetName val="Major material list"/>
      <sheetName val="Coke Drum Str - BOQ"/>
      <sheetName val="Analysis-Civil"/>
      <sheetName val="CD errection cost"/>
      <sheetName val="shuttering"/>
      <sheetName val="BP-PMC"/>
      <sheetName val="SoA"/>
      <sheetName val="SoA Breakup"/>
      <sheetName val="CoA"/>
      <sheetName val="Out Flow PMC"/>
      <sheetName val="Crude tank  "/>
      <sheetName val="Rate analysis-civil"/>
      <sheetName val="Concrete ana"/>
      <sheetName val="masonry"/>
      <sheetName val="reinf"/>
      <sheetName val="SoA Abstr."/>
      <sheetName val="SoA Bre"/>
      <sheetName val="CoA- Abst."/>
      <sheetName val="CoA Bre"/>
      <sheetName val="WATER DRAIN TANKS"/>
      <sheetName val="HDT HSD"/>
      <sheetName val="REFRIGERATED LPG"/>
      <sheetName val="NAPHTHA ST"/>
      <sheetName val="MS PREMIUM"/>
      <sheetName val="DPK AND SKO"/>
      <sheetName val="HSD DIESEL EXPORT ST"/>
      <sheetName val="HSD DIESEL STORAGE TANK"/>
      <sheetName val="MS REGULAR"/>
      <sheetName val="SULPHUR STORAGE TANKS"/>
      <sheetName val="LPG"/>
      <sheetName val="PROPYLENE"/>
      <sheetName val="ANALSIS"/>
      <sheetName val="rev.boq"/>
      <sheetName val="Summary "/>
      <sheetName val="Ana=Civ"/>
      <sheetName val="ANa=Str"/>
      <sheetName val="Ana=SW"/>
      <sheetName val="Civil Work-building"/>
      <sheetName val="Analysis."/>
      <sheetName val="Elect."/>
      <sheetName val="ANALYSIS (PMC)"/>
      <sheetName val="Hire -based on depr"/>
      <sheetName val="machinery charges road"/>
      <sheetName val="BP (2)"/>
      <sheetName val="earth work Railway"/>
      <sheetName val="DC - HMP Plant"/>
      <sheetName val="P&amp;M Dep"/>
      <sheetName val="cash flow-tn06"/>
      <sheetName val="BOQ (F)"/>
      <sheetName val="SUMMARY_"/>
      <sheetName val="Sal1"/>
      <sheetName val="DIR USED ITEMS"/>
      <sheetName val="HRA Mess"/>
      <sheetName val="Off-Veh"/>
      <sheetName val="T.KM"/>
      <sheetName val="DC - WMM Plant"/>
      <sheetName val="RA - WMM"/>
      <sheetName val="BP from 74"/>
      <sheetName val="BP @ 58.00km"/>
      <sheetName val="Concrete works"/>
      <sheetName val="8"/>
      <sheetName val="9"/>
      <sheetName val="15"/>
      <sheetName val="Exc items"/>
      <sheetName val="Top Sheet working"/>
      <sheetName val="Major qty "/>
      <sheetName val="SUMMARY_ (2)"/>
      <sheetName val="Escalation-not used"/>
      <sheetName val="Conc Qty"/>
      <sheetName val="WO Rates"/>
      <sheetName val="site rates"/>
      <sheetName val=" BoQ"/>
      <sheetName val="33 kV-Eqpt.fdn."/>
      <sheetName val="220 kV-Eqpt.-fdn."/>
      <sheetName val="400 kV-Eqpt.fdn."/>
      <sheetName val="Tower &amp; LM Foundation"/>
      <sheetName val="Transformer FDN"/>
      <sheetName val="Transformer FDN.Drawing"/>
      <sheetName val="Transformer FDN 1"/>
      <sheetName val="Working Rates"/>
      <sheetName val="Detailed Expenditure Breakup"/>
      <sheetName val="Expenditure det"/>
      <sheetName val="Batching plant"/>
      <sheetName val="CONCRETE MIXER"/>
      <sheetName val="Concrete Pump"/>
      <sheetName val="Compressor"/>
      <sheetName val="Dozer"/>
      <sheetName val="Excavator"/>
      <sheetName val="FE Loader"/>
      <sheetName val="Grader"/>
      <sheetName val="HMP Plant"/>
      <sheetName val="PTR"/>
      <sheetName val="Tipper"/>
      <sheetName val="Tractor with Ripper "/>
      <sheetName val="Tandem Roller"/>
      <sheetName val="Vibratory Roller "/>
      <sheetName val="Water tanker"/>
      <sheetName val="WMM Paver"/>
      <sheetName val="WMM Plant"/>
      <sheetName val="Synopsis"/>
      <sheetName val="TUGSS3-549"/>
      <sheetName val="Trial Balance"/>
      <sheetName val="MRate"/>
      <sheetName val="A17"/>
      <sheetName val="ANNX A 17"/>
      <sheetName val="A18"/>
      <sheetName val="ANNX A 18"/>
      <sheetName val="A19"/>
      <sheetName val="ANNX A 19"/>
      <sheetName val="A20"/>
      <sheetName val="ANNX A 20"/>
      <sheetName val="A21"/>
      <sheetName val="ANNX A 21"/>
      <sheetName val="A 22"/>
      <sheetName val="A 23"/>
      <sheetName val="Mar-2017"/>
      <sheetName val="ELE "/>
      <sheetName val="Man Power cost"/>
      <sheetName val="Site Infrastructure"/>
      <sheetName val="O&amp;M Cost"/>
      <sheetName val="Site Infra-Unit"/>
      <sheetName val=" CIVIL (Quoted)"/>
      <sheetName val="Mech (Quoted)"/>
      <sheetName val=" ELECTRICAL (Quoted)"/>
      <sheetName val=" instrumentation (Quoted)"/>
      <sheetName val=" CIVIL"/>
      <sheetName val="Mech"/>
      <sheetName val=" ELECTRICAL"/>
      <sheetName val=" instrumentation"/>
      <sheetName val="MS Pipe"/>
      <sheetName val="CIF Civil"/>
      <sheetName val="Work Plan-Grouped"/>
      <sheetName val="Work Plan-Finan"/>
      <sheetName val="Yard"/>
      <sheetName val="PH Stage-I"/>
      <sheetName val="RWS-1500 Cum"/>
      <sheetName val="TWS-250 Cum"/>
      <sheetName val="PH Stage-III A"/>
      <sheetName val="PH Stage-III B"/>
      <sheetName val="Elec Control room"/>
      <sheetName val="Pipe Supports-Concrete"/>
      <sheetName val="Pipe Supports-Str Steel"/>
      <sheetName val="RA Civil"/>
      <sheetName val="RA MS-Pipe"/>
      <sheetName val="RA Elec"/>
      <sheetName val="Valves &amp; EMI"/>
      <sheetName val="Preamble"/>
      <sheetName val="Prilim"/>
      <sheetName val="Quoted"/>
      <sheetName val="Pipe line-1500"/>
      <sheetName val="Pipe line-1400"/>
      <sheetName val="Pipe line-1200"/>
      <sheetName val="Pipe line-1400-6.5"/>
      <sheetName val="Analy_7-10"/>
      <sheetName val="Basic-Rates"/>
      <sheetName val="Culvert"/>
      <sheetName val="Bridges"/>
      <sheetName val="Mtl"/>
      <sheetName val="Mcry"/>
      <sheetName val="Cashflow"/>
      <sheetName val="C-Flow"/>
      <sheetName val="Tech."/>
      <sheetName val="Lab-Survey-Furn."/>
      <sheetName val="Top sheet-New"/>
      <sheetName val="Work Plan"/>
      <sheetName val="Work Plan-Financial"/>
      <sheetName val="contingency"/>
      <sheetName val="Bridge"/>
      <sheetName val="2-Group Code"/>
      <sheetName val="3-Work Plan"/>
      <sheetName val="4-Work Plan Grouped"/>
      <sheetName val="5-Fin Plan WOL (Grouped)"/>
      <sheetName val="6-Escalation"/>
      <sheetName val="7-Contingency"/>
      <sheetName val="7-Mat-Calc"/>
      <sheetName val="8-Material"/>
      <sheetName val="9-Labour"/>
      <sheetName val="10-P&amp;M"/>
      <sheetName val="Priliminary Exp"/>
      <sheetName val="11-OH"/>
      <sheetName val="12-DI &amp; GI Pipes"/>
      <sheetName val="13-Pipe-Civil"/>
      <sheetName val="Qty Estimates"/>
      <sheetName val="1-BOQ"/>
      <sheetName val="Top sheet (3)"/>
      <sheetName val="Top Sheet (2)"/>
      <sheetName val="Cash Flow-Abstract"/>
      <sheetName val="Cash Flow-IN"/>
      <sheetName val="Cash Flow-Out"/>
      <sheetName val="TOP SHEET-1"/>
      <sheetName val="Final-Quote"/>
      <sheetName val="Final-Quote -1"/>
      <sheetName val="Obstruction &amp; Utilities"/>
      <sheetName val="Final-Quote -1 (2)"/>
      <sheetName val="Elec&amp;Ins"/>
      <sheetName val="CIVIL BoQ Abstract"/>
      <sheetName val="BoQ Calc"/>
      <sheetName val="Pipe line"/>
      <sheetName val="WTP Sizing"/>
      <sheetName val="Line Diag"/>
      <sheetName val="RA Valves &amp; EMI"/>
      <sheetName val="TD Notes"/>
      <sheetName val="RW RESERVOIR"/>
      <sheetName val="Top sheet-improvement works"/>
      <sheetName val="Margin incl EScalation"/>
      <sheetName val="L+M+P"/>
      <sheetName val="Inflow Abs"/>
      <sheetName val="Out flow Abs"/>
      <sheetName val="OH-1-Rev"/>
      <sheetName val="OH-2-Rev"/>
      <sheetName val="BG "/>
      <sheetName val="Material Rates"/>
      <sheetName val="Rate Analysis"/>
      <sheetName val="GSB &amp; WMM"/>
      <sheetName val="Prime coat"/>
      <sheetName val="Tack Coat @ 0.3"/>
      <sheetName val="Tack coat @ 0.25"/>
      <sheetName val="B M"/>
      <sheetName val="DBM"/>
      <sheetName val="BC"/>
      <sheetName val="M 15"/>
      <sheetName val="M 20"/>
      <sheetName val="M 30"/>
      <sheetName val="M 30 WEARING COAT"/>
      <sheetName val="Hysd"/>
      <sheetName val="Diesel- ESC- not to Print"/>
      <sheetName val="Quot-Rate - not to Print"/>
      <sheetName val="Prog - not to Print"/>
      <sheetName val="Out flow- not to Print"/>
      <sheetName val="Cashflow-site -not to Print"/>
      <sheetName val="Inflow - not to Print"/>
      <sheetName val="ITEMS TO BE CHECK"/>
      <sheetName val="PROJ VIEW"/>
      <sheetName val="PAGE COLLECTION"/>
      <sheetName val="RESOUR_MACH"/>
      <sheetName val="MECH-COST ANALYSIS"/>
      <sheetName val="MAJOR QTYS"/>
      <sheetName val="RESOUR_MANPOWER"/>
      <sheetName val="TRANS"/>
      <sheetName val="Eqpt_Manpoer Schedule"/>
      <sheetName val="NH-25(MP-UP) synopsys"/>
      <sheetName val="catch pit"/>
      <sheetName val="Shuttering&amp;Concrete"/>
      <sheetName val="Rate Ana"/>
      <sheetName val="Top sheet-LITL"/>
      <sheetName val="Cash Flow-LITL"/>
      <sheetName val="Top sheet-Actual"/>
      <sheetName val="Cash Flow-Actual"/>
      <sheetName val="S-Curve"/>
      <sheetName val="Labour-LITL"/>
      <sheetName val="Labour-Sc"/>
      <sheetName val="Equipment-LITL"/>
      <sheetName val="LMP-Check"/>
      <sheetName val="S-Curve-data"/>
      <sheetName val="Proposed"/>
      <sheetName val="june 2014"/>
      <sheetName val="Aug-14"/>
      <sheetName val="Sep 14"/>
      <sheetName val="Oct 14"/>
      <sheetName val="dec 14 (2)"/>
      <sheetName val="DPR - UGT &amp; OHT "/>
      <sheetName val="Client Bill - UGT &amp; OHT RA 09"/>
      <sheetName val="Almech UGT &amp; OHT - 57"/>
      <sheetName val="Tapan Bepari UGT &amp; OHT- 9 &amp; 166"/>
      <sheetName val="D.Sebastian UGT &amp; OHT"/>
      <sheetName val="Client Bill Pipeline RA 09"/>
      <sheetName val="DPR Pipeline"/>
      <sheetName val="MSS Pipeline"/>
      <sheetName val="Backup Data Alandur - P2"/>
      <sheetName val="GI"/>
      <sheetName val="Rates_PVC"/>
      <sheetName val="Rates_GI"/>
      <sheetName val="SWD-03M-MDU-Corp"/>
      <sheetName val="RecoveredExternalLink1"/>
      <sheetName val="Fill this out first..."/>
      <sheetName val="Checklist"/>
      <sheetName val="Front"/>
      <sheetName val="PDF Front"/>
      <sheetName val="Simple Letter"/>
      <sheetName val="Inside"/>
      <sheetName val="Basis"/>
      <sheetName val="Inclusions"/>
      <sheetName val="Exclusions"/>
      <sheetName val="Overall Summary"/>
      <sheetName val="CSI Summary"/>
      <sheetName val="Section 1 Areas"/>
      <sheetName val="Section 1 Summary"/>
      <sheetName val="Section 1"/>
      <sheetName val="Section 2 Areas"/>
      <sheetName val="Section 2 Summary"/>
      <sheetName val="Section 2"/>
      <sheetName val="Section 3 Areas"/>
      <sheetName val="Section 3 Summary"/>
      <sheetName val="Section 3"/>
      <sheetName val="Section 4 Areas"/>
      <sheetName val="Section 4 Summary"/>
      <sheetName val="Section 4"/>
      <sheetName val="Section 5 Areas"/>
      <sheetName val="Section 5 Summary"/>
      <sheetName val="Section 5"/>
      <sheetName val="Sitework Areas"/>
      <sheetName val="Section 6 Areas"/>
      <sheetName val="Section 6 Summary"/>
      <sheetName val="Section 6"/>
      <sheetName val="Sitework Summary"/>
      <sheetName val="Sitework"/>
      <sheetName val="Alternates"/>
      <sheetName val="Comparison Summary"/>
      <sheetName val="Fill this out first___"/>
      <sheetName val="Salient Features"/>
      <sheetName val="LOI"/>
      <sheetName val="construction_schedule"/>
      <sheetName val="top_sheet"/>
      <sheetName val="Offtop-Tender"/>
      <sheetName val="Offtop-Prestart"/>
      <sheetName val="SummaryIDC"/>
      <sheetName val="Basic"/>
      <sheetName val="Items"/>
      <sheetName val="IDC.AHK "/>
      <sheetName val="BOQ_Direct_selling cost"/>
      <sheetName val="Monthwise breakup"/>
      <sheetName val="Labourrate"/>
      <sheetName val="conanalysis"/>
      <sheetName val="ShuttAna"/>
      <sheetName val="Reinf Analy"/>
      <sheetName val="Power anal"/>
      <sheetName val="quality_obj"/>
      <sheetName val="Assumptions"/>
      <sheetName val="Power"/>
      <sheetName val="master"/>
      <sheetName val="pro-1"/>
      <sheetName val="Poforma-1"/>
      <sheetName val="Proforma-1A"/>
      <sheetName val="SEA"/>
      <sheetName val="Status of Seasonal bores (2)"/>
      <sheetName val="Status of Seasonal bores"/>
      <sheetName val="Airvalve-DI"/>
      <sheetName val="sluice-DI upto 1000"/>
      <sheetName val="OE - Trunk"/>
      <sheetName val="WE-1 Trunk"/>
      <sheetName val="Comparative"/>
      <sheetName val="DI Above GL"/>
      <sheetName val="OE-HS"/>
      <sheetName val="WE1- HS"/>
      <sheetName val="PIVOT OE"/>
      <sheetName val="Trunk Blasting estt"/>
      <sheetName val="WE1-Pivot"/>
      <sheetName val="OE-Blasting"/>
      <sheetName val="ANCHOR-OE"/>
      <sheetName val="without blasting"/>
      <sheetName val="MS pipesfinal"/>
      <sheetName val="Revised rates(SSR 2015-16)"/>
      <sheetName val="PCCP"/>
      <sheetName val="RCC 1400"/>
      <sheetName val="VC 80"/>
      <sheetName val="VC 200"/>
      <sheetName val="VC 450"/>
      <sheetName val="VC 600"/>
      <sheetName val="VC 700"/>
      <sheetName val="VC 1000"/>
      <sheetName val="VC 1500"/>
      <sheetName val="VC 2000"/>
      <sheetName val="SSR"/>
      <sheetName val="CI specials"/>
      <sheetName val="RAM"/>
      <sheetName val="Sump"/>
      <sheetName val="Chap-4"/>
      <sheetName val="PL DI"/>
      <sheetName val="C.Wall"/>
      <sheetName val="IW-SRD-Cir"/>
      <sheetName val="Data- Final  (2)"/>
      <sheetName val="IW-SRD-Rect"/>
      <sheetName val="OHBR Datas"/>
      <sheetName val="60_30m"/>
      <sheetName val="60-25m"/>
      <sheetName val="40-20hunreddy"/>
      <sheetName val="40-20nandula"/>
      <sheetName val="40-20parvathi"/>
      <sheetName val="40-20ganta"/>
      <sheetName val="40-21shesha"/>
      <sheetName val="40-21komati"/>
      <sheetName val="40-21rangoni"/>
      <sheetName val="40-21shakhaji"/>
      <sheetName val="40-21tunga"/>
      <sheetName val="40-25mchinthapally"/>
      <sheetName val="40-25 nainivani"/>
      <sheetName val="40-18PApally"/>
      <sheetName val="40_30mkhanapur"/>
      <sheetName val="40-30iddampa"/>
      <sheetName val="40-30dugge"/>
      <sheetName val="40-30janigani"/>
      <sheetName val="40-30sagarrd"/>
      <sheetName val="40-30kannekal"/>
      <sheetName val="40-30annaram"/>
      <sheetName val="40-30padam"/>
      <sheetName val="90-18kolthanda"/>
      <sheetName val="90-30mthripu"/>
      <sheetName val="200-30waddipatla"/>
      <sheetName val="stair18"/>
      <sheetName val="stair20"/>
      <sheetName val="stair21"/>
      <sheetName val="Staircase-25"/>
      <sheetName val="Staircase-30"/>
      <sheetName val="Staircase-DG"/>
      <sheetName val="300-30m"/>
      <sheetName val="OHBRS-DAta"/>
      <sheetName val="Hyd designs"/>
      <sheetName val="Design"/>
      <sheetName val="Valve chambers"/>
      <sheetName val="Intakewell-canal"/>
      <sheetName val="Intakewell-SSt"/>
      <sheetName val="SS Tank"/>
      <sheetName val="RSF"/>
      <sheetName val="Pump House"/>
      <sheetName val="WQ"/>
      <sheetName val="GLBR flat"/>
      <sheetName val="100KL GLBR"/>
      <sheetName val="Sump Flat"/>
      <sheetName val="Sump Dome"/>
      <sheetName val="Single column"/>
      <sheetName val="Sump rec"/>
      <sheetName val="C well"/>
      <sheetName val="Shaft type"/>
      <sheetName val="OHBR-90-20"/>
      <sheetName val="OHBR-25"/>
      <sheetName val="90-30"/>
      <sheetName val="90-25 lt"/>
      <sheetName val="OHSR Lit"/>
      <sheetName val="OHSR Lit (2)"/>
      <sheetName val="Abstract.Est"/>
      <sheetName val="Epoxy Data"/>
      <sheetName val="Quarry chart (2)"/>
      <sheetName val="DI Specials data"/>
      <sheetName val="OE-Kethapally OHBR 40KL-30m"/>
      <sheetName val="WE1-Kethapally OHBR 40KL-30m"/>
      <sheetName val="Comp_stmt_ Katepally"/>
      <sheetName val="OHBR Datas (2)"/>
      <sheetName val="Supp Data"/>
      <sheetName val="sample PH (16X10)"/>
      <sheetName val="Final Abstract working-final"/>
      <sheetName val="hydraulics-Final"/>
      <sheetName val="Exist CPWS"/>
      <sheetName val="Medak Grid dec"/>
      <sheetName val="MDK Grid EST "/>
      <sheetName val="eco dia  upto Brahmanply"/>
      <sheetName val="Medak pop 2011 (2)"/>
      <sheetName val="Medak pop 2011"/>
      <sheetName val="PH Water req"/>
      <sheetName val="MDK LPM"/>
      <sheetName val="Abstract f"/>
      <sheetName val="Inputs Line Est"/>
      <sheetName val="ESTIMATION "/>
      <sheetName val="CC road filling"/>
      <sheetName val="cc  cutting est "/>
      <sheetName val="OHSR ESt"/>
      <sheetName val="Tap data"/>
      <sheetName val="Tap est"/>
      <sheetName val="DI verticals data"/>
      <sheetName val="Est DI Verticals"/>
      <sheetName val="PH-Data"/>
      <sheetName val="Stag 12"/>
      <sheetName val="Stag 10"/>
      <sheetName val="Stag 15"/>
      <sheetName val="Stag 20"/>
      <sheetName val="Stag 25"/>
      <sheetName val="Stag 30"/>
      <sheetName val="GLBR Dome"/>
      <sheetName val="OHBR-Col"/>
      <sheetName val="Staircase"/>
      <sheetName val="Marriguda-OHBR-21m"/>
      <sheetName val="100 KL OHSR Lit Kunoor"/>
      <sheetName val="40kl-30m shaft Katepally"/>
      <sheetName val="40kl-30m shaft Thimmapur"/>
      <sheetName val="40kl-30m shaft Posanikunta "/>
      <sheetName val="40kl-30m shaft Vartur "/>
      <sheetName val="40kl-30m shaft Lingaraju pally"/>
      <sheetName val="40kl-30m shaft Wangapally "/>
      <sheetName val="OHSR Lit 60 -12 KONDAPUR"/>
      <sheetName val="40kl-30m shaft Rustapur "/>
      <sheetName val="40kl-30m shaft Veera reddy"/>
      <sheetName val="120kl-27m shaft Thurkapally"/>
      <sheetName val="120kl-27 m shaft Thurkapally"/>
      <sheetName val="40kl-30m shaft Venkatapur "/>
      <sheetName val="40kl-30m shaft Madapuram "/>
      <sheetName val="OHSR Lit 60 -12  Parvathapur"/>
      <sheetName val="OHSR Lit 40-12  Singaram"/>
      <sheetName val="40kl-30m shaft Singaram"/>
      <sheetName val="OHSR Lit 250 -10 Thukkapur"/>
      <sheetName val="40kl-30m shaft Bibinagar"/>
      <sheetName val="40kl-30m shaft Makuda"/>
      <sheetName val="OHSR Lit 40 -10  Pedda palugu "/>
      <sheetName val="40 KL -OHBR-20m Pedda"/>
      <sheetName val="60kl-30m shaft Julur"/>
      <sheetName val="40 KL -OHBR-20m Gokaram"/>
      <sheetName val="120kl-30m shaft Golanakonda"/>
      <sheetName val="40kl-30m shaft Dolphi"/>
      <sheetName val="40kl-30m shaft Thurkapally"/>
      <sheetName val="OHSR Lit 40 -20 (4)"/>
      <sheetName val="40kl-30m shaft (2)"/>
      <sheetName val="40kl-30m shaft (3)"/>
      <sheetName val="40kl-30m shaft (4)"/>
      <sheetName val="40kl-30m shaft (5)"/>
      <sheetName val="40kl-30m shaft (6)"/>
      <sheetName val="40kl-30m shaft (7)"/>
      <sheetName val="40kl-30m shaft (8)"/>
      <sheetName val="40kl-30m shaft (9)"/>
      <sheetName val="40kl-30m shaft (10)"/>
      <sheetName val="40kl-30m shaft (11)"/>
      <sheetName val="40kl-30m shaft (12)"/>
      <sheetName val="40kl-30m shaft (13)"/>
      <sheetName val="40kl-30m shaft (17)"/>
      <sheetName val="40 KL -OHBR-20m (2)"/>
      <sheetName val="40 KL -OHBR-20m (4)"/>
      <sheetName val="60kl-30m shaft (18)"/>
      <sheetName val="60kl-30m shaft (19)"/>
      <sheetName val="60kl-30m shaft (20)"/>
      <sheetName val="60kl-30m shaft (29)"/>
      <sheetName val="OHSR Lit 40 -20 (3)"/>
      <sheetName val="90kl-30m shaft (21)"/>
      <sheetName val="120kl-30m shaft (22)"/>
      <sheetName val="60 KL -OHBR-21m (2)"/>
      <sheetName val="Retaing"/>
      <sheetName val="Abstract(F6)"/>
      <sheetName val="gen"/>
      <sheetName val="DET CD"/>
      <sheetName val="EST CD"/>
      <sheetName val="DET ROAD"/>
      <sheetName val="EST RAOD"/>
      <sheetName val="Part-B"/>
      <sheetName val="EWR"/>
      <sheetName val="RR"/>
      <sheetName val="BCR"/>
      <sheetName val="proposal"/>
      <sheetName val="bundqty"/>
      <sheetName val="weir"/>
      <sheetName val="desig cd works"/>
      <sheetName val="est canal"/>
      <sheetName val="l.s bund"/>
      <sheetName val="LFcanal"/>
      <sheetName val="RFcanal"/>
      <sheetName val="qrmap"/>
      <sheetName val="Route Map"/>
      <sheetName val="Drawing"/>
      <sheetName val="Old drawings"/>
      <sheetName val="inspn"/>
      <sheetName val="Chart1"/>
      <sheetName val="certifc"/>
      <sheetName val="Regime"/>
      <sheetName val="weir heads (2)"/>
      <sheetName val="basicdata"/>
      <sheetName val="weir heads"/>
      <sheetName val="Data-abs"/>
      <sheetName val="Data-Drains"/>
      <sheetName val="house service connection"/>
      <sheetName val="TRIAL5"/>
      <sheetName val="DE"/>
      <sheetName val="BAR"/>
      <sheetName val="Detailed Drawing"/>
      <sheetName val="RCC Ladder"/>
      <sheetName val="AE"/>
      <sheetName val="MS Ladder"/>
      <sheetName val="SUMPPIPE"/>
      <sheetName val="SUMPPIPE (2)"/>
      <sheetName val="DISINFECTION"/>
      <sheetName val="CCKUNTA (3)"/>
      <sheetName val="CCKUNTA (EXISTING) Hydrauli (2)"/>
      <sheetName val="CCKUNTA (EXISTING) Hydraulic"/>
      <sheetName val="Front page"/>
      <sheetName val="Line Estimate 100x22"/>
      <sheetName val="Transmission lines 100x22 (2)"/>
      <sheetName val="Transmission lines 100x22"/>
      <sheetName val="Est Pipeline Tax"/>
      <sheetName val="GM100x22"/>
      <sheetName val="GM100x22 old"/>
      <sheetName val="Design100x22 "/>
      <sheetName val="Internal dia"/>
      <sheetName val="Sub Est Pipe Lines"/>
      <sheetName val="kintc-airvalve-DI"/>
      <sheetName val="Trustblock"/>
      <sheetName val="grid I"/>
      <sheetName val="Confirmed Grid_Final_ Groups"/>
      <sheetName val="dbl-airvalve-PVC"/>
      <sheetName val="dbl-airvalve-HDPE"/>
      <sheetName val="airvalve(AC)"/>
      <sheetName val="kintc-airvalve-BWSC&amp;MS"/>
      <sheetName val="MS-BWSC-GRP-PSC"/>
      <sheetName val="airvalve-AC"/>
      <sheetName val="sluice-PSC"/>
      <sheetName val="sluice-GRP"/>
      <sheetName val="Total Popualtion"/>
      <sheetName val="Const RR"/>
      <sheetName val="Const NLG"/>
      <sheetName val="Const WGL"/>
      <sheetName val="const Adlbd"/>
      <sheetName val="const NZMBD"/>
      <sheetName val="const Karimnagar"/>
      <sheetName val="const Medak"/>
      <sheetName val="khammam"/>
      <sheetName val="Mandal wise "/>
      <sheetName val="Constituency wise"/>
      <sheetName val="MBNR WATER GRID"/>
      <sheetName val="Const MBNGR"/>
      <sheetName val="BM-HOOP"/>
      <sheetName val="plan-final"/>
      <sheetName val="800kL-design-final"/>
      <sheetName val="700kl Sump-Comp Stat"/>
      <sheetName val="1000 kl sump"/>
      <sheetName val="Comp Stat. for Sump"/>
      <sheetName val="TOP SLAB-beams"/>
      <sheetName val="1000kl comp"/>
      <sheetName val="1800 kl sump"/>
      <sheetName val="1800kl comp"/>
      <sheetName val="RAMAPPA-sump"/>
      <sheetName val="RAMAPPA-sump1"/>
      <sheetName val="CPWS-MULUGU"/>
      <sheetName val="plan"/>
      <sheetName val="RAMAPPA-supplementary"/>
      <sheetName val="RAMAPPA-supplementary (2)"/>
      <sheetName val="RAMAPPA-sump (2)"/>
      <sheetName val="RAMAPPA-sump-850kL"/>
      <sheetName val="middle head works"/>
      <sheetName val="RAMAPPA-sump-850kL (2)"/>
      <sheetName val="RAMAPPA-supplementary (3)"/>
      <sheetName val="RAMAPPA-sump-850kL (3)"/>
      <sheetName val="RAMAPPA-sump-850kL (4)"/>
      <sheetName val="PALAMPET-sump-1700kL"/>
      <sheetName val="FILTERS LOCATION"/>
      <sheetName val="SUMP-PLAN"/>
      <sheetName val="palampet1-sump-1700kL"/>
      <sheetName val="palampet1-sump-1700kL (2)"/>
      <sheetName val="plan (2)"/>
      <sheetName val="palampet1-sump-1700kL (3)"/>
      <sheetName val="palampet1-sump-1700kL (4)"/>
      <sheetName val="palampet-sump-1700kL-1"/>
      <sheetName val="palampet-sump-1700kL-2"/>
      <sheetName val="palampet-sump-1700kL-3"/>
      <sheetName val="plan (3)"/>
      <sheetName val="palampet-sump-1700kL-4"/>
      <sheetName val="palampet-sump-1700kL-1 (2)"/>
      <sheetName val="PM&amp;GM"/>
      <sheetName val="PM-w"/>
      <sheetName val="P-I"/>
      <sheetName val="pipes-abst"/>
      <sheetName val="PM-Ifinal"/>
      <sheetName val="lvls"/>
      <sheetName val="forabst"/>
      <sheetName val="ORI-POP"/>
      <sheetName val="kadtha"/>
      <sheetName val="GM (2)"/>
      <sheetName val="for abst"/>
      <sheetName val="150-30"/>
      <sheetName val="SQ_OK"/>
      <sheetName val="Data- All"/>
      <sheetName val="1000 KLSump  Medchal_OK"/>
      <sheetName val="PH 24x12_OK"/>
      <sheetName val="Compound walls_OK"/>
      <sheetName val="Medchal 120KL-30_OK"/>
      <sheetName val="120KL - 30m, Medchal Specials"/>
      <sheetName val="Dabilpur 40KL-30_OK"/>
      <sheetName val="40KL-30, Dabilpur Specials"/>
      <sheetName val="200Kl-9m,  Bogaram"/>
      <sheetName val="Ped Thrst est_OK"/>
      <sheetName val="pedestals"/>
      <sheetName val="Thrust blocks"/>
      <sheetName val="200KL-9m, Bogarm Specials"/>
      <sheetName val="Specials- SRD"/>
      <sheetName val="DI Wt"/>
      <sheetName val="Argul C.Wall"/>
      <sheetName val="Tir C.Wall"/>
      <sheetName val="Balk C. Wall"/>
      <sheetName val="Mor C.Wall"/>
      <sheetName val="Mal C.Wall"/>
      <sheetName val="Kon C.Wall"/>
      <sheetName val="Sec C.Wall"/>
      <sheetName val="Moti C.Wall"/>
      <sheetName val="Mail C.Wall"/>
      <sheetName val="Lon C.Wall"/>
      <sheetName val="Bhiknoor C wall"/>
      <sheetName val="Chandapur C wall"/>
      <sheetName val="Gandhari C wall"/>
      <sheetName val="Consolidated TB"/>
      <sheetName val="Tax Computation-13-14"/>
      <sheetName val="Revised-BS"/>
      <sheetName val="Revised P&amp;L"/>
      <sheetName val="Notes To Accounts"/>
      <sheetName val="Tax Computation"/>
      <sheetName val="Depreciation Companies act"/>
      <sheetName val="Deprecation On companies act"/>
      <sheetName val="DEP.( IT )-2013-14"/>
      <sheetName val="Interest 234B"/>
      <sheetName val="234C"/>
      <sheetName val="Repairs &amp; Maintenance"/>
      <sheetName val="Out standing expenses"/>
      <sheetName val="Closing stock-13-14"/>
      <sheetName val="Finished goods"/>
      <sheetName val="sub schdule"/>
      <sheetName val="Consolidated trail balance"/>
      <sheetName val="Corporate"/>
      <sheetName val="Loan Account TB"/>
      <sheetName val="D Dharmaram"/>
      <sheetName val="Gurralagondi"/>
      <sheetName val="Vantimamidi"/>
      <sheetName val="Janagam"/>
      <sheetName val="Parvatagiri"/>
      <sheetName val="Nangunoor"/>
      <sheetName val="Bhonagiri"/>
      <sheetName val="Peddapoor"/>
      <sheetName val="Main KNR"/>
      <sheetName val="Siddipet"/>
      <sheetName val="CLOSING STOCK-fINAL"/>
      <sheetName val="Closing Stock"/>
      <sheetName val="234A"/>
      <sheetName val="Closing Stock 30-9-13"/>
      <sheetName val="Capital"/>
      <sheetName val="COMMUNITY_HALL_ESTT22"/>
      <sheetName val="COMM_HALL_3LAKHS"/>
      <sheetName val="DATA_TEMP(MC)"/>
      <sheetName val="SSR RATE"/>
      <sheetName val="lead-state"/>
      <sheetName val="Data EWE"/>
      <sheetName val="Data- Final "/>
      <sheetName val="xxx OHBR verticals"/>
      <sheetName val="40-30"/>
      <sheetName val="Budhera-1500.30"/>
      <sheetName val="Mamidigi-Parwatapur 40.30 "/>
      <sheetName val="Stair case 40 KL OHBR"/>
      <sheetName val="Indrakalan SS Pet x 60.30"/>
      <sheetName val="Medchal 120-30"/>
      <sheetName val="Aroor 100-30"/>
      <sheetName val="Kavelly-150.30"/>
      <sheetName val="Didgi-275.30"/>
      <sheetName val="Kyasaram-300.30"/>
      <sheetName val="Kasimpur-250-25"/>
      <sheetName val="Abstrct-C0mparative"/>
      <sheetName val="DVKD Hydrulic"/>
      <sheetName val="Trans Line"/>
      <sheetName val="Trns-Comparative"/>
      <sheetName val="Caze Estimate "/>
      <sheetName val="Airvalve-HDPE"/>
      <sheetName val="sluice-upto 1000"/>
      <sheetName val="scour-pvc-hdpe-psc-DI-bwsc"/>
      <sheetName val="SOR"/>
      <sheetName val="970121 fee rates"/>
      <sheetName val="SPT vs PHI"/>
      <sheetName val="PA- Consutant "/>
      <sheetName val="Materials Cost"/>
      <sheetName val="Kurkumbh BOQ"/>
      <sheetName val="BOQ (2)"/>
      <sheetName val="VCH-SLC"/>
      <sheetName val="Supplier"/>
      <sheetName val="A1-Continuous"/>
      <sheetName val="MASTER_RATE ANALYSIS"/>
      <sheetName val="Headings"/>
      <sheetName val="CASHFLOWS"/>
      <sheetName val="jobhist"/>
      <sheetName val="upa"/>
      <sheetName val="Form 6"/>
      <sheetName val="PPA Summary"/>
      <sheetName val="India F&amp;S Template"/>
      <sheetName val="Site Dev BOQ"/>
      <sheetName val="GBW"/>
      <sheetName val="FitOutConfCentre"/>
      <sheetName val="Fee_Rate_Summary"/>
      <sheetName val="970121_fee_rates"/>
      <sheetName val="PA-_Consutant_"/>
      <sheetName val="Materials_Cost"/>
      <sheetName val="Civil_Boq"/>
      <sheetName val="SPT_vs_PHI"/>
      <sheetName val="Site_Dev_BOQ"/>
      <sheetName val="BOQ_(2)"/>
      <sheetName val="PRECAST_lightconc-II"/>
      <sheetName val="CASH-FLOW"/>
      <sheetName val="Tax Invoice"/>
      <sheetName val="Lab"/>
      <sheetName val="FORM7"/>
      <sheetName val="girder"/>
      <sheetName val="INDIGINEOUS ITEMS "/>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PointNo.5"/>
      <sheetName val="LEVEL SHEET"/>
      <sheetName val="TBEAM"/>
      <sheetName val="Rocker"/>
      <sheetName val="office"/>
      <sheetName val="PRELIM5"/>
      <sheetName val="monitoring-breakup Feb02"/>
      <sheetName val="細目"/>
      <sheetName val="BLK2"/>
      <sheetName val="BLK3"/>
      <sheetName val="E &amp; R"/>
      <sheetName val="radar"/>
      <sheetName val="UG"/>
      <sheetName val="CIVIL WORK PLAN-13-14"/>
      <sheetName val="WORK SUMMERY "/>
      <sheetName val="MEP DETAIL"/>
      <sheetName val="rev.02"/>
      <sheetName val="R20_R30_work"/>
      <sheetName val="COLUMN"/>
      <sheetName val="col-reinft1"/>
      <sheetName val="Kurkumbh_BOQ"/>
      <sheetName val="MASTER_RATE_ANALYSIS"/>
      <sheetName val="Form_6"/>
      <sheetName val="PPA_Summary"/>
      <sheetName val="India_F&amp;S_Template"/>
      <sheetName val="Tax_Invoice"/>
      <sheetName val="INDIGINEOUS_ITEMS_"/>
      <sheetName val="PointNo_5"/>
      <sheetName val="monitoring-breakup_Feb02"/>
      <sheetName val="parametry"/>
      <sheetName val="FORMATION"/>
      <sheetName val="LBD"/>
      <sheetName val="exec"/>
      <sheetName val="glance"/>
      <sheetName val="68 col - SE"/>
      <sheetName val="68 col - ENC"/>
      <sheetName val="Det"/>
      <sheetName val="Hab wise Details"/>
      <sheetName val="District ABS"/>
      <sheetName val="consol"/>
      <sheetName val="NCC"/>
      <sheetName val="PLR-Mucherla"/>
      <sheetName val="SMC-Parigi"/>
      <sheetName val="Purchase Status"/>
      <sheetName val="RR-DPR"/>
      <sheetName val="mpp"/>
      <sheetName val="Data_F8_BTR"/>
      <sheetName val="Plant_&amp;__Machinery"/>
      <sheetName val="Fee_Rate_Summary1"/>
      <sheetName val="PA-_Consutant_1"/>
      <sheetName val="Materials_Cost1"/>
      <sheetName val="970121_fee_rates1"/>
      <sheetName val="Kurkumbh_BOQ1"/>
      <sheetName val="SPT_vs_PHI1"/>
      <sheetName val="BOQ_(2)1"/>
      <sheetName val="MASTER_RATE_ANALYSIS1"/>
      <sheetName val="Civil_Boq1"/>
      <sheetName val="Form_61"/>
      <sheetName val="PPA_Summary1"/>
      <sheetName val="India_F&amp;S_Template1"/>
      <sheetName val="Site_Dev_BOQ1"/>
      <sheetName val="PRECAST_lightconc-II1"/>
      <sheetName val="Tax_Invoice1"/>
      <sheetName val="INDIGINEOUS_ITEMS_1"/>
      <sheetName val="PointNo_51"/>
      <sheetName val="monitoring-breakup_Feb021"/>
      <sheetName val="Fee_Rate_Summary2"/>
      <sheetName val="PA-_Consutant_2"/>
      <sheetName val="Materials_Cost2"/>
      <sheetName val="970121_fee_rates2"/>
      <sheetName val="Kurkumbh_BOQ2"/>
      <sheetName val="SPT_vs_PHI2"/>
      <sheetName val="BOQ_(2)2"/>
      <sheetName val="MASTER_RATE_ANALYSIS2"/>
      <sheetName val="Civil_Boq2"/>
      <sheetName val="Form_62"/>
      <sheetName val="PPA_Summary2"/>
      <sheetName val="India_F&amp;S_Template2"/>
      <sheetName val="Site_Dev_BOQ2"/>
      <sheetName val="PRECAST_lightconc-II2"/>
      <sheetName val="Tax_Invoice2"/>
      <sheetName val="INDIGINEOUS_ITEMS_2"/>
      <sheetName val="PointNo_52"/>
      <sheetName val="monitoring-breakup_Feb022"/>
      <sheetName val="Fee_Rate_Summary3"/>
      <sheetName val="PA-_Consutant_3"/>
      <sheetName val="Materials_Cost3"/>
      <sheetName val="970121_fee_rates3"/>
      <sheetName val="Kurkumbh_BOQ3"/>
      <sheetName val="SPT_vs_PHI3"/>
      <sheetName val="BOQ_(2)3"/>
      <sheetName val="MASTER_RATE_ANALYSIS3"/>
      <sheetName val="Civil_Boq3"/>
      <sheetName val="Form_63"/>
      <sheetName val="PPA_Summary3"/>
      <sheetName val="India_F&amp;S_Template3"/>
      <sheetName val="Site_Dev_BOQ3"/>
      <sheetName val="PRECAST_lightconc-II3"/>
      <sheetName val="Tax_Invoice3"/>
      <sheetName val="INDIGINEOUS_ITEMS_3"/>
      <sheetName val="PointNo_53"/>
      <sheetName val="monitoring-breakup_Feb023"/>
      <sheetName val="Fee_Rate_Summary4"/>
      <sheetName val="PA-_Consutant_4"/>
      <sheetName val="Materials_Cost4"/>
      <sheetName val="970121_fee_rates4"/>
      <sheetName val="Kurkumbh_BOQ4"/>
      <sheetName val="SPT_vs_PHI4"/>
      <sheetName val="BOQ_(2)4"/>
      <sheetName val="MASTER_RATE_ANALYSIS4"/>
      <sheetName val="Civil_Boq4"/>
      <sheetName val="Form_64"/>
      <sheetName val="PPA_Summary4"/>
      <sheetName val="India_F&amp;S_Template4"/>
      <sheetName val="Site_Dev_BOQ4"/>
      <sheetName val="PRECAST_lightconc-II4"/>
      <sheetName val="Tax_Invoice4"/>
      <sheetName val="INDIGINEOUS_ITEMS_4"/>
      <sheetName val="PointNo_54"/>
      <sheetName val="monitoring-breakup_Feb024"/>
      <sheetName val="Fee_Rate_Summary5"/>
      <sheetName val="PA-_Consutant_5"/>
      <sheetName val="Materials_Cost5"/>
      <sheetName val="970121_fee_rates5"/>
      <sheetName val="Kurkumbh_BOQ5"/>
      <sheetName val="SPT_vs_PHI5"/>
      <sheetName val="BOQ_(2)5"/>
      <sheetName val="MASTER_RATE_ANALYSIS5"/>
      <sheetName val="Civil_Boq5"/>
      <sheetName val="Form_65"/>
      <sheetName val="PPA_Summary5"/>
      <sheetName val="India_F&amp;S_Template5"/>
      <sheetName val="Site_Dev_BOQ5"/>
      <sheetName val="PRECAST_lightconc-II5"/>
      <sheetName val="Tax_Invoice5"/>
      <sheetName val="INDIGINEOUS_ITEMS_5"/>
      <sheetName val="PointNo_55"/>
      <sheetName val="monitoring-breakup_Feb025"/>
      <sheetName val="Fee_Rate_Summary6"/>
      <sheetName val="PA-_Consutant_6"/>
      <sheetName val="Materials_Cost6"/>
      <sheetName val="970121_fee_rates6"/>
      <sheetName val="Kurkumbh_BOQ6"/>
      <sheetName val="SPT_vs_PHI6"/>
      <sheetName val="BOQ_(2)6"/>
      <sheetName val="MASTER_RATE_ANALYSIS6"/>
      <sheetName val="Civil_Boq6"/>
      <sheetName val="Form_66"/>
      <sheetName val="PPA_Summary6"/>
      <sheetName val="India_F&amp;S_Template6"/>
      <sheetName val="Site_Dev_BOQ6"/>
      <sheetName val="PRECAST_lightconc-II6"/>
      <sheetName val="Tax_Invoice6"/>
      <sheetName val="INDIGINEOUS_ITEMS_6"/>
      <sheetName val="PointNo_56"/>
      <sheetName val="monitoring-breakup_Feb026"/>
      <sheetName val="Measurements"/>
      <sheetName val="Tables"/>
      <sheetName val="Flooring"/>
      <sheetName val="Ceilings"/>
      <sheetName val="ACAD Finishes"/>
      <sheetName val="Site Details"/>
      <sheetName val="Chair"/>
      <sheetName val="Site Area Statement"/>
      <sheetName val="Doors"/>
      <sheetName val="PI"/>
      <sheetName val="SHADIKHANA_ESTT"/>
      <sheetName val="SA"/>
      <sheetName val="SHEDULE-A"/>
      <sheetName val="Majoduck_SK_1"/>
      <sheetName val="Pipes Pivot"/>
      <sheetName val="Data Pivot"/>
      <sheetName val="enc_working_HS"/>
      <sheetName val="int-Dia-hdpe"/>
      <sheetName val="int-Dia-pvc"/>
      <sheetName val="Intakewell-Singur"/>
      <sheetName val="EMB"/>
      <sheetName val="Area EMB"/>
      <sheetName val="Chap-11 ewe"/>
      <sheetName val="Data- Final  (3)"/>
      <sheetName val="Kondapak CW"/>
      <sheetName val="Gajwel CW"/>
      <sheetName val="Lakudaram CW"/>
      <sheetName val="Burgupallu CW"/>
      <sheetName val="Data- Intake well"/>
      <sheetName val="510 KL GLBR flat"/>
      <sheetName val="250KL GLBR"/>
      <sheetName val="200=9 Bogaram"/>
      <sheetName val="600KL GLBR"/>
      <sheetName val="20000KL Sump"/>
      <sheetName val="2000KL Sump"/>
      <sheetName val="1600KL Sump"/>
      <sheetName val="6000KL Sump"/>
      <sheetName val="15000KL Sump"/>
      <sheetName val="900KL 20"/>
      <sheetName val="500KL 20"/>
      <sheetName val="GLBR flat (2)"/>
      <sheetName val="PH 40x12"/>
      <sheetName val="PH 16x12"/>
      <sheetName val="PH 24x12"/>
      <sheetName val="510KL GLBR "/>
      <sheetName val="300KL 20"/>
      <sheetName val="120KL 20"/>
      <sheetName val="14000GLBR"/>
      <sheetName val="220 20"/>
      <sheetName val="450-12"/>
      <sheetName val="150 16"/>
      <sheetName val="OHBR 150-12"/>
      <sheetName val="GM&amp;PM EST"/>
      <sheetName val="GLBR - 30 Kl"/>
      <sheetName val="ABSRACT=EST"/>
      <sheetName val="pumping-single-mains"/>
      <sheetName val="Pumping mains 26-8-2011"/>
      <sheetName val="pm40"/>
      <sheetName val="SRs"/>
      <sheetName val="SRs-Rev"/>
      <sheetName val="PM 70"/>
      <sheetName val="GM 70"/>
      <sheetName val="PM estimate"/>
      <sheetName val="PM 40rev  (2)"/>
      <sheetName val="PM 40rev "/>
      <sheetName val="GM estimate"/>
      <sheetName val="GM 40 OHs AC (2)"/>
      <sheetName val="GM 40 OHs AC"/>
      <sheetName val="GM 40 OHs"/>
      <sheetName val="GM 40 "/>
      <sheetName val="pm pipes"/>
      <sheetName val="gm pipes"/>
      <sheetName val="altr"/>
      <sheetName val="GM 40  (AC) (2)"/>
      <sheetName val="GM 40  (AC)"/>
      <sheetName val="PM (2)"/>
      <sheetName val="population"/>
      <sheetName val="POP "/>
      <sheetName val="HYD STA M"/>
      <sheetName val="pm-est (NEW)"/>
      <sheetName val="hyd "/>
      <sheetName val="maint est"/>
      <sheetName val="pm-est (2)"/>
      <sheetName val="GM-est"/>
      <sheetName val="pm-est"/>
      <sheetName val="OHSR GOT"/>
      <sheetName val="Original"/>
      <sheetName val="proforma"/>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Hydraulic design"/>
      <sheetName val="cw 110kl"/>
      <sheetName val="sp dis"/>
      <sheetName val="Det-sp dis"/>
      <sheetName val="PH 6x4"/>
      <sheetName val="WMqrts"/>
      <sheetName val="lead_data"/>
      <sheetName val="cWALLS"/>
      <sheetName val="diff steel qty"/>
      <sheetName val="Pmest-2"/>
      <sheetName val="PMest-1"/>
      <sheetName val="GMest2"/>
      <sheetName val="GMest phase1"/>
      <sheetName val="GMest"/>
      <sheetName val="ewelj "/>
      <sheetName val="EW,L &amp;J_pipes"/>
      <sheetName val="DI_on pedestals"/>
      <sheetName val="HDPE sluice valve"/>
      <sheetName val="PVC sluice val)"/>
      <sheetName val="Scour all"/>
      <sheetName val="PVC Air valves"/>
      <sheetName val="annualmai "/>
      <sheetName val="HYDRAULIC SSTATEMENT"/>
      <sheetName val="WATER-HAMMER"/>
      <sheetName val="mcon pm"/>
      <sheetName val="PH 6x"/>
      <sheetName val="pvc-pipe-rates"/>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Data_"/>
      <sheetName val="R_Det"/>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1"/>
      <sheetName val="mcon_pm"/>
      <sheetName val="sch"/>
      <sheetName val="Earth Final Rate"/>
      <sheetName val="Pipe trench"/>
      <sheetName val="Pipes &amp; Valves"/>
      <sheetName val="ANAL-PUMP HOUSE"/>
      <sheetName val="Manpower"/>
      <sheetName val="LMP+Loadings"/>
      <sheetName val="BoQ Plan"/>
      <sheetName val="Cash-Inflow"/>
      <sheetName val="Cash-OutFlow"/>
      <sheetName val="Cash Flow-With RM"/>
      <sheetName val="Cash Flow-With out RM"/>
      <sheetName val="0000000"/>
      <sheetName val="تدفقات و مدفوعات"/>
      <sheetName val="WORK COV"/>
      <sheetName val="اجور .ف1"/>
      <sheetName val="سلعيه"/>
      <sheetName val="خدمى"/>
      <sheetName val="مقاولين"/>
      <sheetName val="تحو"/>
      <sheetName val="تخصيصيه"/>
      <sheetName val="اهلاك"/>
      <sheetName val="معد .خ"/>
      <sheetName val="معد .ث"/>
      <sheetName val="B2826"/>
      <sheetName val="Form 1"/>
      <sheetName val="Form 2"/>
      <sheetName val="Form 3"/>
      <sheetName val="Form 4"/>
      <sheetName val="Form 7"/>
      <sheetName val="Form 8"/>
      <sheetName val="Form 9"/>
      <sheetName val="Form 10"/>
      <sheetName val="Form 11"/>
      <sheetName val="S1BOQ"/>
      <sheetName val="S2groupcode"/>
      <sheetName val="S3workplanqty"/>
      <sheetName val="S3workplanamt"/>
      <sheetName val="Shadow BOQ"/>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eason Dircost"/>
      <sheetName val="Chart-2"/>
      <sheetName val="Chart3"/>
      <sheetName val="Expenses"/>
      <sheetName val="turnover"/>
      <sheetName val="Chart4"/>
      <sheetName val="Chart5"/>
      <sheetName val="Total Collection"/>
      <sheetName val="??? .?"/>
      <sheetName val="02.06.07 (2)"/>
      <sheetName val="B2753"/>
      <sheetName val="Page-1"/>
      <sheetName val="page-2"/>
      <sheetName val="Page-3"/>
      <sheetName val="Page-4"/>
      <sheetName val="Page-5"/>
      <sheetName val="Page-6"/>
      <sheetName val="30-7"/>
      <sheetName val="DMRC3"/>
      <sheetName val="Proj Details"/>
      <sheetName val="."/>
      <sheetName val="Final Tender"/>
      <sheetName val="Sch A-Viaduct"/>
      <sheetName val="Sch A - Typ Station "/>
      <sheetName val="Q-Abstract"/>
      <sheetName val="FOB"/>
      <sheetName val=","/>
      <sheetName val=";"/>
      <sheetName val="Sch B"/>
      <sheetName val="Strip Plan"/>
      <sheetName val="Major Items"/>
      <sheetName val="Cost of equip,fabrication"/>
      <sheetName val="Schedule"/>
      <sheetName val="Late start"/>
      <sheetName val="early start"/>
      <sheetName val="Q-INP"/>
      <sheetName val="Q Baricade"/>
      <sheetName val="Q-Pil"/>
      <sheetName val="Q-PC"/>
      <sheetName val="Q-Pier"/>
      <sheetName val="Q-Seg"/>
      <sheetName val="Q-Para"/>
      <sheetName val="Q-CB"/>
      <sheetName val="Q-Be"/>
      <sheetName val="Q-HTS"/>
      <sheetName val="Q-CT"/>
      <sheetName val="Q-OS"/>
      <sheetName val="Q HR"/>
      <sheetName val="R-Mat"/>
      <sheetName val="R-Subcon"/>
      <sheetName val="R-Hire"/>
      <sheetName val="Equip Depl"/>
      <sheetName val="R-Con"/>
      <sheetName val="R-Stations"/>
      <sheetName val="R-Pil"/>
      <sheetName val="R-PC"/>
      <sheetName val="R-Pier"/>
      <sheetName val="R-Void Slab"/>
      <sheetName val="R-Seg"/>
      <sheetName val="R-Prest"/>
      <sheetName val="R-Laun"/>
      <sheetName val="R-OS"/>
      <sheetName val="R-SKB"/>
      <sheetName val="R-Bear"/>
      <sheetName val="R-CB"/>
      <sheetName val="R-Para"/>
      <sheetName val="R - portal"/>
      <sheetName val="R CLC"/>
      <sheetName val="R-CT"/>
      <sheetName val="P-Summary"/>
      <sheetName val="P-Ins &amp; Bonds"/>
      <sheetName val="P-Finance"/>
      <sheetName val="P-Salary"/>
      <sheetName val="P Staff fac"/>
      <sheetName val="P-Site fac"/>
      <sheetName val="P-Clients fac"/>
      <sheetName val="P-others"/>
      <sheetName val="P-Travel"/>
      <sheetName val="P-Admn"/>
      <sheetName val="P-Lab"/>
      <sheetName val="P Cash Flow"/>
      <sheetName val="BORING "/>
      <sheetName val="LINER"/>
      <sheetName val="EXPANSION JOINT"/>
      <sheetName val="CIS MAIN BERTH-1"/>
      <sheetName val="BOQ 725-769"/>
      <sheetName val="EVM-INDEX"/>
      <sheetName val="Flow Chart"/>
      <sheetName val="EVM1-Proj1"/>
      <sheetName val="EVM2-Proj1"/>
      <sheetName val="EVM2-Proj2"/>
      <sheetName val="EVM2-Proj3"/>
      <sheetName val="EVM3"/>
      <sheetName val="EVM4"/>
      <sheetName val="Performance Graph"/>
      <sheetName val="Format"/>
      <sheetName val="cost Format"/>
      <sheetName val="CJPC   "/>
      <sheetName val="Abstract "/>
      <sheetName val="Piling MB"/>
      <sheetName val="Abs of Pile Rein"/>
      <sheetName val="Reinforcement "/>
      <sheetName val="Pre cast Beam M.B"/>
      <sheetName val="Abs of Beam"/>
      <sheetName val="Pre cast Beam BBS"/>
      <sheetName val="C.In Situ Muff M.B."/>
      <sheetName val="P.C.Muff M.B"/>
      <sheetName val="Abs.of Muff"/>
      <sheetName val="Pre &amp; cast  Muff  BBS"/>
      <sheetName val="Abs. Cross Beam "/>
      <sheetName val="BBS CROSS Beam"/>
      <sheetName val="Cross Beam M.B. "/>
      <sheetName val="Con.Pedstal M.B."/>
      <sheetName val="BBS C.B.P."/>
      <sheetName val="Total Abstract"/>
      <sheetName val="Reco_1"/>
      <sheetName val="Reco_2"/>
      <sheetName val="Walk-way M.B."/>
      <sheetName val="concrete"/>
      <sheetName val="Con Rate"/>
      <sheetName val="concrete detail"/>
      <sheetName val="CJPC"/>
      <sheetName val="Table of Contents"/>
      <sheetName val="Table of Contents (2)"/>
      <sheetName val="Abstract-Cert"/>
      <sheetName val="Index Sheet"/>
      <sheetName val="Meas-1"/>
      <sheetName val="Meas-2"/>
      <sheetName val="Meas-3"/>
      <sheetName val="Meas-4"/>
      <sheetName val="Meas-5"/>
      <sheetName val="Meas-6"/>
      <sheetName val="Extra Item"/>
      <sheetName val="1.04-1"/>
      <sheetName val="2.01(a)-1"/>
      <sheetName val="G-13 2.01-2"/>
      <sheetName val="G-13 2.01-3"/>
      <sheetName val="G-13 2.01-4"/>
      <sheetName val="R-2 2.01-5"/>
      <sheetName val="MRR-1 2.01-6"/>
      <sheetName val="G-13 2.01-7"/>
      <sheetName val="2.01-b-II-1"/>
      <sheetName val="2.01-b-II-2"/>
      <sheetName val="2.01-b-II-3"/>
      <sheetName val="2.07-1"/>
      <sheetName val="2.07-2"/>
      <sheetName val="2.07-3"/>
      <sheetName val="2.07-4"/>
      <sheetName val="2.07-5"/>
      <sheetName val="2.07-6"/>
      <sheetName val="3.01-1"/>
      <sheetName val="3.01-2"/>
      <sheetName val="3.01-3"/>
      <sheetName val="3.01-4"/>
      <sheetName val="3.01-5"/>
      <sheetName val="3.02-1"/>
      <sheetName val="3.02-2"/>
      <sheetName val="3.02-3"/>
      <sheetName val="3.02-4"/>
      <sheetName val="3.02-5"/>
      <sheetName val="3.02-6"/>
      <sheetName val="3.02-7"/>
      <sheetName val="3.02-8"/>
      <sheetName val="3.02-9"/>
      <sheetName val="3.02-10"/>
      <sheetName val="3.02-11"/>
      <sheetName val="3.02-13"/>
      <sheetName val="4.01-1"/>
      <sheetName val="4.02-1"/>
      <sheetName val="4.04-1"/>
      <sheetName val="4.04-2"/>
      <sheetName val="E03-1"/>
      <sheetName val="E03-2"/>
      <sheetName val="E12-1"/>
      <sheetName val="Rock Filling"/>
      <sheetName val="Cement Reconciliation"/>
      <sheetName val="Bitumen Reconciliation"/>
      <sheetName val="Steel"/>
      <sheetName val="Bitumen"/>
      <sheetName val="Bitumen-Consumption"/>
      <sheetName val="Tack Coat"/>
      <sheetName val="BM"/>
      <sheetName val="Gate Pass"/>
      <sheetName val="Meas"/>
      <sheetName val="CJPC (2)"/>
      <sheetName val="RA-markate"/>
      <sheetName val="print"/>
      <sheetName val="Bill"/>
      <sheetName val="SEP-08(34)"/>
      <sheetName val="SEP-08 (5-9)"/>
      <sheetName val="___ ._"/>
      <sheetName val="산근"/>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_REF"/>
      <sheetName val="집계표_OPTION_"/>
      <sheetName val="당초"/>
      <sheetName val="단가(자재)"/>
      <sheetName val="단가(노임)"/>
      <sheetName val="기초목록"/>
      <sheetName val="노임단가"/>
      <sheetName val="???"/>
      <sheetName val="VC2 10.99"/>
      <sheetName val="예산"/>
      <sheetName val="KP1590_E"/>
      <sheetName val="영업2"/>
      <sheetName val="1월"/>
      <sheetName val="inter"/>
      <sheetName val="ERECIN"/>
      <sheetName val="BQMPALOC"/>
      <sheetName val="공문"/>
      <sheetName val="영업3"/>
      <sheetName val="금액내역서"/>
      <sheetName val="BQ_Utl_Off"/>
      <sheetName val="??"/>
      <sheetName val="수입"/>
      <sheetName val="집계표 (25,26ဩ"/>
      <sheetName val="»ê±Ù"/>
      <sheetName val="12CGOU"/>
      <sheetName val="경영혁신본부"/>
      <sheetName val="Final(1)summary"/>
      <sheetName val="BD集計用"/>
      <sheetName val="연돌일위집계"/>
      <sheetName val="Form 0"/>
      <sheetName val="___"/>
      <sheetName val="DESCRIPTION"/>
      <sheetName val="95삼성급(본사)"/>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갑지"/>
      <sheetName val="세금자료"/>
      <sheetName val="Form D-1"/>
      <sheetName val="Form B-1"/>
      <sheetName val="Form F-1"/>
      <sheetName val="Assist(B-1)"/>
      <sheetName val="Form A"/>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
      <sheetName val="집계표_(25,26ဩ"/>
      <sheetName val="Form_0"/>
      <sheetName val="Form_D-1"/>
      <sheetName val="Form_B-1"/>
      <sheetName val="Form_F-1"/>
      <sheetName val="Form_A"/>
      <sheetName val="Basic_Rate"/>
      <sheetName val="appendix_2_5_final_accounts"/>
      <sheetName val="__"/>
      <sheetName val="LABOR &amp; 자재"/>
      <sheetName val="제작도"/>
      <sheetName val="입출재고현황 (2)"/>
      <sheetName val="SANDAN"/>
      <sheetName val="뜃맟뭁돽띿맟?-BLDG"/>
      <sheetName val="SALA-002"/>
      <sheetName val="TTL"/>
      <sheetName val="DRUM"/>
      <sheetName val="eq_data"/>
      <sheetName val="기성내역"/>
      <sheetName val="General_Data"/>
      <sheetName val="DHEQSUPT"/>
      <sheetName val="CB"/>
      <sheetName val="3.공통공사대비"/>
      <sheetName val="M-EQPT-Z"/>
      <sheetName val="주간기성"/>
      <sheetName val="간접비 총괄"/>
      <sheetName val="ESCON"/>
      <sheetName val="뜃맟뭁돽띿맟_-BLDG"/>
      <sheetName val="내역ࠜĀ_x0000_M4)"/>
      <sheetName val="???(OPTION)"/>
      <sheetName val="IN"/>
      <sheetName val="Price Schedule"/>
      <sheetName val="간접비내역-1"/>
      <sheetName val="Lup2"/>
      <sheetName val="당진1,2호기전선관설치및접지4차공사내역서-을지"/>
      <sheetName val="노임단가표"/>
      <sheetName val="6PILE  (돌출)"/>
      <sheetName val="h-013211-2"/>
      <sheetName val="표지"/>
      <sheetName val="Cash2"/>
      <sheetName val="Z"/>
      <sheetName val="내역서 耰&quot;_x0000__x0000_"/>
      <sheetName val="_x0008_"/>
      <sheetName val="비교검토"/>
      <sheetName val="合成単価作成表-BLDG"/>
      <sheetName val="INSTR"/>
      <sheetName val="BOROUGE2"/>
      <sheetName val="CAL."/>
      <sheetName val="EQT-ESTN"/>
      <sheetName val="???¡§????"/>
      <sheetName val="????¢ç¢®¡¿????"/>
      <sheetName val="??????????¢ç??????"/>
      <sheetName val="???????¢ç¢®¢¯????"/>
      <sheetName val="???????®¡¿????"/>
      <sheetName val="??????????????????"/>
      <sheetName val="PRICES"/>
      <sheetName val="Q&amp;pl-V"/>
      <sheetName val="WE'T"/>
      <sheetName val="CTEMCOST"/>
      <sheetName val="내역ࠜĀ?M4)"/>
      <sheetName val="F4-F7"/>
      <sheetName val="내역서 耰&quot;??"/>
      <sheetName val="24V"/>
      <sheetName val="EQUIPMENT -2"/>
      <sheetName val="LEGEND"/>
      <sheetName val="내역ࠜĀ_x005f_x0000_M4)"/>
      <sheetName val="물량"/>
      <sheetName val="WEIGHT LIST"/>
      <sheetName val="산#2-1 (2)"/>
      <sheetName val="POL6차-PIPING"/>
      <sheetName val="산#3-1"/>
      <sheetName val="BEND LOSS"/>
      <sheetName val="찍기"/>
      <sheetName val="PBS"/>
      <sheetName val="내역서 耰&quot;_x005f_x0000__x005f_x0000_"/>
      <sheetName val="_x005f_x0008_"/>
      <sheetName val="내역ࠜĀ_x005f_x005f_x005f_x0000_M4)"/>
      <sheetName val="EQUIP LIST"/>
      <sheetName val="내역"/>
      <sheetName val="단면 (2)"/>
      <sheetName val="SOURCE"/>
      <sheetName val="실행"/>
      <sheetName val="EQUIP"/>
      <sheetName val="공사비 내역 (가)"/>
      <sheetName val="Static Equip"/>
      <sheetName val="CAT_5"/>
      <sheetName val="3.Breakdown Direct Paint"/>
      <sheetName val="Spl"/>
      <sheetName val="내역ࠜĀ"/>
      <sheetName val="PROCURE"/>
      <sheetName val="BID"/>
      <sheetName val="국내"/>
      <sheetName val="Form A "/>
      <sheetName val="___(OPTION)"/>
      <sheetName val="____¢ç¢®¡¿____"/>
      <sheetName val="__________¢ç______"/>
      <sheetName val="___¡§____"/>
      <sheetName val="_______¢ç¢®¢¯____"/>
      <sheetName val="_______®¡¿____"/>
      <sheetName val="__________________"/>
      <sheetName val="내역서 耰&quot;__"/>
      <sheetName val="Summary Sheets"/>
      <sheetName val="내역서 耰&quot;"/>
      <sheetName val="내역ࠜĀ_M4)"/>
      <sheetName val="AOC"/>
      <sheetName val="Budget Bearing _Samut"/>
      <sheetName val="Qty Bearing-Samut"/>
      <sheetName val="Basic Rate"/>
      <sheetName val="Summary of Cost"/>
      <sheetName val="Bill-13"/>
      <sheetName val="Copy of Prog"/>
      <sheetName val="Station for phy s curve"/>
      <sheetName val="for phy s curve viaduct"/>
      <sheetName val="Rev Cash Flow"/>
      <sheetName val="fin S Curve"/>
      <sheetName val="for phy s curve FOB"/>
      <sheetName val="for phy s curve sch B"/>
      <sheetName val="BCWS-CTC"/>
      <sheetName val="CTC Summary"/>
      <sheetName val="Site &amp; Administration Cost"/>
      <sheetName val="EVM1"/>
      <sheetName val="EVM2"/>
      <sheetName val="EVM4A"/>
      <sheetName val="EVM5"/>
      <sheetName val="EVM5- Revised"/>
      <sheetName val="B2826 Cost Bkp"/>
      <sheetName val="B2827"/>
      <sheetName val="B2827 Cost Bkp"/>
      <sheetName val="B2833"/>
      <sheetName val="B2833 Cost Bkp"/>
      <sheetName val="NS 34 &amp; 35 H1,11 CTC Analysis"/>
      <sheetName val="appendix 2.5 final accounts"/>
      <sheetName val="ftstaff"/>
      <sheetName val="1 Labour"/>
      <sheetName val="W block"/>
      <sheetName val="Table 41"/>
      <sheetName val="Table 9"/>
      <sheetName val="Table11"/>
      <sheetName val="Data rough"/>
      <sheetName val="Sheet1 rough"/>
      <sheetName val="To Pavan"/>
      <sheetName val="K-1"/>
      <sheetName val="K-2"/>
      <sheetName val="K-3"/>
      <sheetName val="Table 1"/>
      <sheetName val="Table 2"/>
      <sheetName val="Table 3"/>
      <sheetName val="Table 4"/>
      <sheetName val="Table 5"/>
      <sheetName val="Table 6"/>
      <sheetName val="Pivot"/>
      <sheetName val="Pivot 2"/>
      <sheetName val="DOT-Customer-data"/>
      <sheetName val="Fund Utilisation"/>
      <sheetName val="Hyderabad_NLA"/>
      <sheetName val="Silokhera_NLA"/>
      <sheetName val="Cyber City_NLA"/>
      <sheetName val="Chennai_NLA"/>
      <sheetName val="Chennai "/>
      <sheetName val="Tenant-Chennai"/>
      <sheetName val="Hyderabad"/>
      <sheetName val="Tanent-W Block"/>
      <sheetName val="W block (2)"/>
      <sheetName val="Silokhera"/>
      <sheetName val="Table 7"/>
      <sheetName val="Project Data"/>
      <sheetName val="Unleased area"/>
      <sheetName val="Assumption"/>
      <sheetName val="Pivot (2)"/>
      <sheetName val="Building Matrix"/>
      <sheetName val="Related - Construction"/>
      <sheetName val="TB31.12.2008"/>
      <sheetName val="BS &amp; PL"/>
      <sheetName val="BS Schedule"/>
      <sheetName val="Sch 4 FA Sch"/>
      <sheetName val="Sch 5- Investment"/>
      <sheetName val="P&amp;L Schedule"/>
      <sheetName val="Inventory"/>
      <sheetName val="POCM - 31.12.08"/>
      <sheetName val="Final - Plots  "/>
      <sheetName val="Final - Town Houses"/>
      <sheetName val="Deferred  Tax"/>
      <sheetName val="Tax Provision"/>
      <sheetName val="Dep As per IT act "/>
      <sheetName val="FBT-Working "/>
      <sheetName val="Details "/>
      <sheetName val="Fixed Assets Register"/>
      <sheetName val="AR TB"/>
      <sheetName val="ICD- interest Income  "/>
      <sheetName val="Interest CCD- Expenses"/>
      <sheetName val="Group -31.12.2008"/>
      <sheetName val="Related Party"/>
      <sheetName val="Balance Sheet"/>
      <sheetName val="Interest Allocation "/>
      <sheetName val="DTA &amp; C TAX"/>
      <sheetName val="One Pager"/>
      <sheetName val="P &amp; L Schedule"/>
      <sheetName val="Grouping Sheet"/>
      <sheetName val="Revised TB Ramco"/>
      <sheetName val="TB 31.03.10"/>
      <sheetName val="Ramco TB"/>
      <sheetName val="Pocm Sheet"/>
      <sheetName val="Q-1 Sale"/>
      <sheetName val="Project Summary"/>
      <sheetName val="Fixed Assets "/>
      <sheetName val="IT -Assets"/>
      <sheetName val="Furniture &amp; Fixture"/>
      <sheetName val="office equipment"/>
      <sheetName val="Leasehold"/>
      <sheetName val="Development Rights"/>
      <sheetName val="PF Details"/>
      <sheetName val="DRDL Int ICD"/>
      <sheetName val="DCDL Int ICD"/>
      <sheetName val="DHDL Int. CCD"/>
      <sheetName val="Clogs Int.CCD"/>
      <sheetName val="Epop Working"/>
      <sheetName val="Rent Equalization"/>
      <sheetName val="GAM Text"/>
      <sheetName val="BS SAC YS Ver 2.0"/>
      <sheetName val="P&amp;L SAC YS Ver 2.0"/>
      <sheetName val="BS SAC Ver 1.0"/>
      <sheetName val="P&amp;L SAC Ver 1.0"/>
      <sheetName val="YS SAC"/>
      <sheetName val="Schedule VI"/>
      <sheetName val="foundation"/>
      <sheetName val="substructure"/>
      <sheetName val="PSC SUP(5x15)"/>
      <sheetName val="PSC SUP(5x15) SR"/>
      <sheetName val="FIXED ITEMS"/>
      <sheetName val="Calculation sheet"/>
      <sheetName val="Eqpt.Running"/>
      <sheetName val="BOQ-CODE-SFP "/>
      <sheetName val="Activitywise Qty"/>
      <sheetName val="Time"/>
      <sheetName val="Requiered"/>
      <sheetName val="Module1"/>
      <sheetName val="operat_staff"/>
      <sheetName val="Book1"/>
      <sheetName val="BHANDUP"/>
      <sheetName val="PLAN_FEB97"/>
      <sheetName val=""/>
      <sheetName val="Bridges (Abst)"/>
      <sheetName val="Overpass"/>
      <sheetName val="Underpass"/>
      <sheetName val="Admin"/>
      <sheetName val="Decision Table"/>
      <sheetName val="Dates"/>
      <sheetName val="EPC Cost"/>
      <sheetName val="PrjCost Assumptions"/>
      <sheetName val="Finance Assumptions"/>
      <sheetName val="Revenue Assumptions"/>
      <sheetName val="Traffic Assum"/>
      <sheetName val="TP1 - High Case"/>
      <sheetName val="TP1 - Base Case"/>
      <sheetName val="TP1 - Low Case"/>
      <sheetName val="TP2 - High Case"/>
      <sheetName val="TP2 - Base Case"/>
      <sheetName val="TP2 - Low Case"/>
      <sheetName val="O&amp;M Assumptions"/>
      <sheetName val="MoF"/>
      <sheetName val="LoanSch - Options"/>
      <sheetName val="LoanSch"/>
      <sheetName val="Securitization"/>
      <sheetName val="Toll Rates"/>
      <sheetName val="Toll Revenues"/>
      <sheetName val="Revenue Share"/>
      <sheetName val="Ratios"/>
      <sheetName val="Traffic&gt;&gt;"/>
      <sheetName val="High Case"/>
      <sheetName val="Base case with Ganga"/>
      <sheetName val="Base case without Ganga"/>
      <sheetName val="Low Case"/>
      <sheetName val="O&amp;M&gt;&gt;"/>
      <sheetName val="Capex Cost"/>
      <sheetName val="Maintainence per kms cost"/>
      <sheetName val="MAintenance cost per month"/>
      <sheetName val="ATMS and Toll system"/>
      <sheetName val="staff"/>
      <sheetName val="Periodic Maintaince"/>
      <sheetName val="cons profitability statement"/>
      <sheetName val="cons volume"/>
      <sheetName val="cons captial employed"/>
      <sheetName val="cons cashflow"/>
      <sheetName val="cons scorecard"/>
      <sheetName val="agro_cons"/>
      <sheetName val="agroQrtWise"/>
      <sheetName val="Sumary"/>
      <sheetName val="AGRO Summary (2)"/>
      <sheetName val="energy only (2)"/>
      <sheetName val="energy _cashflow"/>
      <sheetName val="AGRO Summary"/>
      <sheetName val="agrops&amp;ce"/>
      <sheetName val="MSEZ_PMC 28022007"/>
      <sheetName val="MSEZL 28022007"/>
      <sheetName val="BS Group"/>
      <sheetName val="Grouping MSEZL"/>
      <sheetName val="Pivot Trial Balance"/>
      <sheetName val="MPSEZL"/>
      <sheetName val="PMC_MPSEZL"/>
      <sheetName val="MSEZ"/>
      <sheetName val="PMC_MSEZ"/>
      <sheetName val="ACL"/>
      <sheetName val="Grouping"/>
      <sheetName val="Trial Balances"/>
      <sheetName val="Highlight"/>
      <sheetName val="BirdEyeView"/>
      <sheetName val="Mundraport"/>
      <sheetName val="ContainerTerminal"/>
      <sheetName val="Container_Working"/>
      <sheetName val="SBMTerminal"/>
      <sheetName val="SBM_Working"/>
      <sheetName val="Variation"/>
      <sheetName val="AEL_NonAEL"/>
      <sheetName val="Marinesummary"/>
      <sheetName val="Marine_Working"/>
      <sheetName val="Marine_variation"/>
      <sheetName val="BerthFinIndicators"/>
      <sheetName val="DrySummary"/>
      <sheetName val="Dry_Working"/>
      <sheetName val="Coal"/>
      <sheetName val="DryCargo_THC"/>
      <sheetName val="DryCargo_THC (2)"/>
      <sheetName val="Liquid"/>
      <sheetName val="LiquidWorking"/>
      <sheetName val="Rail_Summary"/>
      <sheetName val="Rail_Working"/>
      <sheetName val="OtherIncome"/>
      <sheetName val="OtherIncome_Working"/>
      <sheetName val="Electricity"/>
      <sheetName val="FOH Details"/>
      <sheetName val="salient feature"/>
      <sheetName val="Brief Scope of work"/>
      <sheetName val="Insurance"/>
      <sheetName val="BG"/>
      <sheetName val="Payment"/>
      <sheetName val="Norms "/>
      <sheetName val="Eqpt Nos"/>
      <sheetName val="Cycle Time"/>
      <sheetName val="GC"/>
      <sheetName val="M.Qty"/>
      <sheetName val="Subcon Master"/>
      <sheetName val="Subcon"/>
      <sheetName val="Equipment Hr"/>
      <sheetName val="Material (2)"/>
      <sheetName val="내역서 耰&quot;_x005f_x005f_x005f_x0000__x005f_x005f_x0000"/>
      <sheetName val="_x005f_x005f_x005f_x0008_"/>
      <sheetName val="내역ࠜĀ_x005f_x005f_x005f_x005f_x005f_x005f_x005f_x0000_M4"/>
      <sheetName val="6"/>
      <sheetName val="7"/>
      <sheetName val="16"/>
      <sheetName val="معد__ث"/>
      <sheetName val="تدفقات_و_مدفوعات"/>
      <sheetName val="WORK_COV"/>
      <sheetName val="اجور__ف1"/>
      <sheetName val="معد__خ"/>
      <sheetName val="معد__ث1"/>
      <sheetName val="Form_1"/>
      <sheetName val="Form_2"/>
      <sheetName val="Form_3"/>
      <sheetName val="Form_4"/>
      <sheetName val="Form_5"/>
      <sheetName val="Form_7"/>
      <sheetName val="Form_8"/>
      <sheetName val="Form_9"/>
      <sheetName val="Form_10"/>
      <sheetName val="Form_11"/>
      <sheetName val="Shadow_BOQ"/>
      <sheetName val="S20MSE_Items"/>
      <sheetName val="Season_Dircost"/>
      <sheetName val="Total_Collection"/>
      <sheetName val="???__?"/>
      <sheetName val="02_06_07_(2)"/>
      <sheetName val="Proj_Details"/>
      <sheetName val="_"/>
      <sheetName val="Final_Tender"/>
      <sheetName val="Sch_A-Viaduct"/>
      <sheetName val="Sch_A_-_Typ_Station_"/>
      <sheetName val="Sch_B"/>
      <sheetName val="Strip_Plan"/>
      <sheetName val="Major_Items"/>
      <sheetName val="Cost_of_equip,fabrication"/>
      <sheetName val="Late_start"/>
      <sheetName val="early_start"/>
      <sheetName val="Q_Baricade"/>
      <sheetName val="Q_HR"/>
      <sheetName val="Equip_Depl"/>
      <sheetName val="R-Void_Slab"/>
      <sheetName val="R_-_portal"/>
      <sheetName val="R_CLC"/>
      <sheetName val="P-Ins_&amp;_Bonds"/>
      <sheetName val="P_Staff_fac"/>
      <sheetName val="P-Site_fac"/>
      <sheetName val="P-Clients_fac"/>
      <sheetName val="P_Cash_Flow"/>
      <sheetName val="BORING_"/>
      <sheetName val="EXPANSION_JOINT"/>
      <sheetName val="CIS_MAIN_BERTH-1"/>
      <sheetName val="BOQ_725-769"/>
      <sheetName val="Flow_Chart"/>
      <sheetName val="Performance_Graph"/>
      <sheetName val="cost_Format"/>
      <sheetName val="CJPC___"/>
      <sheetName val="Abstract_"/>
      <sheetName val="Piling_MB"/>
      <sheetName val="Abs_of_Pile_Rein"/>
      <sheetName val="Reinforcement_"/>
      <sheetName val="Pre_cast_Beam_M_B"/>
      <sheetName val="Abs_of_Beam"/>
      <sheetName val="Pre_cast_Beam_BBS"/>
      <sheetName val="C_In_Situ_Muff_M_B_"/>
      <sheetName val="P_C_Muff_M_B"/>
      <sheetName val="Abs_of_Muff"/>
      <sheetName val="Pre_&amp;_cast__Muff__BBS"/>
      <sheetName val="Abs__Cross_Beam_"/>
      <sheetName val="BBS_CROSS_Beam"/>
      <sheetName val="Cross_Beam_M_B__"/>
      <sheetName val="Con_Pedstal_M_B_"/>
      <sheetName val="BBS_C_B_P_"/>
      <sheetName val="Total_Abstract"/>
      <sheetName val="Walk-way_M_B_"/>
      <sheetName val="Con_Rate"/>
      <sheetName val="concrete_detail"/>
      <sheetName val="Table_of_Contents"/>
      <sheetName val="Table_of_Contents_(2)"/>
      <sheetName val="Index_Sheet"/>
      <sheetName val="Extra_Item"/>
      <sheetName val="1_04-1"/>
      <sheetName val="2_01(a)-1"/>
      <sheetName val="G-13_2_01-2"/>
      <sheetName val="G-13_2_01-3"/>
      <sheetName val="G-13_2_01-4"/>
      <sheetName val="R-2_2_01-5"/>
      <sheetName val="MRR-1_2_01-6"/>
      <sheetName val="G-13_2_01-7"/>
      <sheetName val="2_01-b-II-1"/>
      <sheetName val="2_01-b-II-2"/>
      <sheetName val="2_01-b-II-3"/>
      <sheetName val="2_07-1"/>
      <sheetName val="2_07-2"/>
      <sheetName val="2_07-3"/>
      <sheetName val="2_07-4"/>
      <sheetName val="2_07-5"/>
      <sheetName val="2_07-6"/>
      <sheetName val="3_01-1"/>
      <sheetName val="3_01-2"/>
      <sheetName val="3_01-3"/>
      <sheetName val="3_01-4"/>
      <sheetName val="3_01-5"/>
      <sheetName val="3_02-1"/>
      <sheetName val="3_02-2"/>
      <sheetName val="3_02-3"/>
      <sheetName val="3_02-4"/>
      <sheetName val="3_02-5"/>
      <sheetName val="3_02-6"/>
      <sheetName val="3_02-7"/>
      <sheetName val="3_02-8"/>
      <sheetName val="3_02-9"/>
      <sheetName val="3_02-10"/>
      <sheetName val="3_02-11"/>
      <sheetName val="3_02-13"/>
      <sheetName val="4_01-1"/>
      <sheetName val="4_02-1"/>
      <sheetName val="4_04-1"/>
      <sheetName val="4_04-2"/>
      <sheetName val="Rock_Filling"/>
      <sheetName val="Cement_Reconciliation"/>
      <sheetName val="Bitumen_Reconciliation"/>
      <sheetName val="Prime_Coat"/>
      <sheetName val="Tack_Coat"/>
      <sheetName val="Gate_Pass"/>
      <sheetName val="CJPC_(2)"/>
      <sheetName val="SEP-08_(5-9)"/>
      <sheetName val="______"/>
      <sheetName val="KUWATI(Total)_2"/>
      <sheetName val="OPTION_22"/>
      <sheetName val="OPTION_3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2002년_현장공사비_국내_실적2"/>
      <sheetName val="2003년국내현장공사비_실적2"/>
      <sheetName val="VC2_10_992"/>
      <sheetName val="INPUT_DATA1"/>
      <sheetName val="집계표_(25,26ဩ1"/>
      <sheetName val="Form_01"/>
      <sheetName val="Form_D-11"/>
      <sheetName val="Form_B-11"/>
      <sheetName val="Form_F-11"/>
      <sheetName val="Form_A1"/>
      <sheetName val="General_Data1"/>
      <sheetName val="LABOR_&amp;_자재"/>
      <sheetName val="입출재고현황_(2)"/>
      <sheetName val="3_공통공사대비"/>
      <sheetName val="간접비_총괄"/>
      <sheetName val="내역ࠜĀM4)"/>
      <sheetName val="Price_Schedule"/>
      <sheetName val="6PILE__(돌출)"/>
      <sheetName val="내역서_耰&quot;"/>
      <sheetName val="CAL_"/>
      <sheetName val="Rate_Analysis"/>
      <sheetName val="내역서_耰&quot;??"/>
      <sheetName val="EQUIPMENT_-2"/>
      <sheetName val="WEIGHT_LIST"/>
      <sheetName val="산#2-1_(2)"/>
      <sheetName val="BEND_LOSS"/>
      <sheetName val="내역서_耰&quot;_x005f_x0000__x005f_x0000_"/>
      <sheetName val="EQUIP_LIST"/>
      <sheetName val="단면_(2)"/>
      <sheetName val="공사비_내역_(가)"/>
      <sheetName val="Static_Equip"/>
      <sheetName val="3_Breakdown_Direct_Paint"/>
      <sheetName val="Form_A_"/>
      <sheetName val="내역서_耰&quot;__"/>
      <sheetName val="Summary_Sheets"/>
      <sheetName val="Station_for_phy_s_curve"/>
      <sheetName val="for_phy_s_curve_viaduct"/>
      <sheetName val="Rev_Cash_Flow"/>
      <sheetName val="fin_S_Curve"/>
      <sheetName val="for_phy_s_curve_FOB"/>
      <sheetName val="for_phy_s_curve_sch_B"/>
      <sheetName val="CTC_Summary"/>
      <sheetName val="Site_&amp;_Administration_Cost"/>
      <sheetName val="EVM5-_Revised"/>
      <sheetName val="PSC_SUP(5x15)"/>
      <sheetName val="PSC_SUP(5x15)_SR"/>
      <sheetName val="FIXED_ITEMS"/>
      <sheetName val="Area_Statement"/>
      <sheetName val="Calculation_sheet"/>
      <sheetName val="Eqpt_Running"/>
      <sheetName val="BOQ-CODE-SFP_"/>
      <sheetName val="Activitywise_Qty"/>
      <sheetName val="Rate_Ana"/>
      <sheetName val="Bridges_(Abst)"/>
      <sheetName val="Slab_Culvert"/>
      <sheetName val="Decision_Table"/>
      <sheetName val="EPC_Cost"/>
      <sheetName val="PrjCost_Assumptions"/>
      <sheetName val="Finance_Assumptions"/>
      <sheetName val="Revenue_Assumptions"/>
      <sheetName val="Traffic_Assum"/>
      <sheetName val="Inputs "/>
      <sheetName val="PanhandleB"/>
      <sheetName val="rsm"/>
      <sheetName val="GasConsumption"/>
      <sheetName val="Opex"/>
      <sheetName val="IntlCmprPwr"/>
      <sheetName val="BoostrPwr"/>
      <sheetName val="LastBoostrPwr"/>
      <sheetName val="CapexBasis"/>
      <sheetName val="Capex"/>
      <sheetName val="Graph"/>
      <sheetName val="Cht_basis"/>
      <sheetName val="apiDimension"/>
      <sheetName val="weightChart"/>
      <sheetName val="apiWeight"/>
      <sheetName val="thicknessBasis"/>
      <sheetName val="PanhandleA"/>
      <sheetName val="Rough"/>
      <sheetName val="SummarRs Cr&amp;Cust"/>
      <sheetName val="Optimisation"/>
      <sheetName val="SummaryUSDMill-NoCust"/>
      <sheetName val="Network-2 Compr_Option2"/>
      <sheetName val="Network-2 Compr_Option1"/>
      <sheetName val="140Bar Compr_Option1"/>
      <sheetName val="140Bar Compr_Option2"/>
      <sheetName val="120Bar Compr_Option2"/>
      <sheetName val="Dialog2"/>
      <sheetName val="Module3"/>
      <sheetName val="Module4"/>
      <sheetName val="Module5"/>
      <sheetName val="Module6"/>
      <sheetName val="Layer Chart"/>
      <sheetName val="Graph Data"/>
      <sheetName val="Raw Data"/>
      <sheetName val="Layer Table"/>
      <sheetName val="WORKED OGL"/>
      <sheetName val="FRL"/>
      <sheetName val="Voucher"/>
      <sheetName val="STR1"/>
      <sheetName val="STR2"/>
      <sheetName val="STR3"/>
      <sheetName val="LIN1"/>
      <sheetName val="LIN2"/>
      <sheetName val="typical subminor"/>
      <sheetName val="S&amp;I"/>
      <sheetName val="machi"/>
      <sheetName val="TRANS1"/>
      <sheetName val="mes-fb"/>
      <sheetName val="mes-pl"/>
      <sheetName val="XL4Test5"/>
      <sheetName val="inWords"/>
      <sheetName val="Mat_Cost"/>
      <sheetName val="typical_subminor"/>
      <sheetName val="Expenditure_Plan"/>
      <sheetName val="typical_subminor1"/>
      <sheetName val="Expenditure_Plan1"/>
      <sheetName val="MATERIAL-MACHINERY-LABOUR"/>
      <sheetName val="TOLL. SHEET (WMM II)"/>
      <sheetName val="TOLL. SHEET (G.S.B.)"/>
      <sheetName val="R.E. DIS. FROM PR. CL."/>
      <sheetName val="TOLL SHEET EMB"/>
      <sheetName val="TOLL SHEET (S.G)"/>
      <sheetName val="O.R.R.ROCK (D.K.)"/>
      <sheetName val="O R R TBM  LIST"/>
      <sheetName val="O R R OGL"/>
      <sheetName val="DEPTH CHART (ORR) R.S."/>
      <sheetName val="DEPTH CHART (ORR) L.S."/>
      <sheetName val="dIFFERENCE"/>
      <sheetName val="Rock level (Parag)"/>
      <sheetName val="O.R.R.(ROCK1)"/>
      <sheetName val="DEPTH CHART (ORR) L.S. (2)"/>
      <sheetName val="DEPTH CHART (ORR) R.S. (2)"/>
      <sheetName val="co_5"/>
      <sheetName val="C.D. INDEX"/>
      <sheetName val="CPA Cost"/>
      <sheetName val="RSJ COst"/>
      <sheetName val="Connectors"/>
      <sheetName val="Group IX"/>
      <sheetName val="Group X"/>
      <sheetName val="Group XI"/>
      <sheetName val="Group XII"/>
      <sheetName val="Group XIII"/>
      <sheetName val="C. D. Index1"/>
      <sheetName val="Data base"/>
      <sheetName val="Index (Print)"/>
      <sheetName val="COST DATA"/>
      <sheetName val="Non CPA Rates"/>
      <sheetName val="Line formulas"/>
      <sheetName val="Data base (2)"/>
      <sheetName val="Comparision of CD Nov 07 Feb 08"/>
      <sheetName val="Rate Comparision Dec 07 July 08"/>
      <sheetName val="Rate Comparision Feb 06 Jul 08"/>
      <sheetName val="ORDER BOOKING1"/>
      <sheetName val="Status of works Quoted."/>
      <sheetName val="BUSINESS  DEVELOPMENT"/>
      <sheetName val="PPT SLIDES"/>
      <sheetName val="WC ASSESSMENT"/>
      <sheetName val="3.01(b)"/>
      <sheetName val="DC"/>
      <sheetName val="T Vs B Shuttering in DC"/>
      <sheetName val="T Vs B Shuttering in IDC"/>
      <sheetName val="Tender Vs Budget Comp"/>
      <sheetName val="major variation"/>
      <sheetName val="Complete BOQ"/>
      <sheetName val="Tender rates"/>
      <sheetName val="Tender Analysis"/>
      <sheetName val="Shuttering materials"/>
      <sheetName val="RMC analysis"/>
      <sheetName val="Overview"/>
      <sheetName val="COST SUMMARY"/>
      <sheetName val="Plumb"/>
      <sheetName val="Tender Study"/>
      <sheetName val="RA-Civil,plumb"/>
      <sheetName val="Resource List"/>
      <sheetName val="CM &amp; RMC"/>
      <sheetName val="RA- Civil  "/>
      <sheetName val="Major Qty"/>
      <sheetName val="Panelled door"/>
      <sheetName val="PMV"/>
      <sheetName val="Site Super"/>
      <sheetName val="AutoOpen Stub Data"/>
      <sheetName val="Guidelines"/>
      <sheetName val="SBC-BH 19"/>
      <sheetName val="SBC-BH-16"/>
      <sheetName val="BH-20"/>
      <sheetName val="BH-15"/>
      <sheetName val="BH-14"/>
      <sheetName val="BH-16"/>
      <sheetName val="BH-17"/>
      <sheetName val="sbc-ABH-1"/>
      <sheetName val="ABH-1"/>
      <sheetName val="BH-19"/>
      <sheetName val="SBC-BH-1"/>
      <sheetName val="BH-1"/>
      <sheetName val="SBC-BH-3"/>
      <sheetName val="BH-3"/>
      <sheetName val="mantri synergy"/>
      <sheetName val="Milestone"/>
      <sheetName val="Synergy_pricestrategy"/>
      <sheetName val="Synergy Sales Budget"/>
      <sheetName val="Synergy Collection Schedule"/>
      <sheetName val="ABP inputs"/>
      <sheetName val="Quarterly Collections"/>
      <sheetName val="A. Progress Summary-Bill Status"/>
      <sheetName val="B. Executive Summary"/>
      <sheetName val="C. Project Status (CMD)"/>
      <sheetName val="D. Approved Ball Park"/>
      <sheetName val="E.Stat.Approvals"/>
      <sheetName val="F. Mat Proc "/>
      <sheetName val="G. Proj Photos-K,L &amp; DEVPMENT"/>
      <sheetName val="H. DEVT-Progress"/>
      <sheetName val="I.Civil-Bills Processed"/>
      <sheetName val="G.Procurement programme"/>
      <sheetName val=" CMD"/>
      <sheetName val="pg-1"/>
      <sheetName val="Approval"/>
      <sheetName val="Annx"/>
      <sheetName val="Annx 1"/>
      <sheetName val="Proj Cost"/>
      <sheetName val="Mat Proc "/>
      <sheetName val="BLOCK WORK"/>
      <sheetName val="INT.PLASTERING"/>
      <sheetName val="EXT.PLASTRING"/>
      <sheetName val="ARPITHA MESH"/>
      <sheetName val="PERGOLA-CON &amp; FORM"/>
      <sheetName val="PERGOLA STEEL"/>
      <sheetName val="LMR-OHT STEEL"/>
      <sheetName val="LMR-OHT CONC &amp; FORM"/>
      <sheetName val="POP-CORNICE"/>
      <sheetName val="PLASTER BAND"/>
      <sheetName val="sum"/>
      <sheetName val="11B "/>
      <sheetName val="12B"/>
      <sheetName val="sc"/>
      <sheetName val="ACHIEVED"/>
      <sheetName val="plan-achieved"/>
      <sheetName val="INPUT SHEET"/>
      <sheetName val="RES-PLANNING"/>
      <sheetName val="Macro1"/>
      <sheetName val="1000000"/>
      <sheetName val="12-01"/>
      <sheetName val="12-02"/>
      <sheetName val="12-03"/>
      <sheetName val="12-04"/>
      <sheetName val="12-05"/>
      <sheetName val="12-06"/>
      <sheetName val="12-07"/>
      <sheetName val="12-08"/>
      <sheetName val="③赤紙(日文)"/>
      <sheetName val="oresreqsum"/>
      <sheetName val="1. Pay Rec"/>
      <sheetName val="2. Abs"/>
      <sheetName val="3. Summary"/>
      <sheetName val="4. BQ"/>
      <sheetName val="Prelim "/>
      <sheetName val="5.Ad Re"/>
      <sheetName val="MAS"/>
      <sheetName val="Tracking Sheet"/>
      <sheetName val="0. Check List"/>
      <sheetName val="spcl"/>
      <sheetName val="Summary VAT"/>
      <sheetName val="BOQwith VAT"/>
      <sheetName val="Provision sum"/>
      <sheetName val="Prelims_break-up"/>
      <sheetName val="Day work rates_proposed"/>
      <sheetName val="L&amp;M"/>
      <sheetName val="Bluestar-Sum"/>
      <sheetName val="Bluestar"/>
      <sheetName val="Ballpark- Commercial"/>
      <sheetName val="VOR-IA-VO"/>
      <sheetName val="VO format"/>
      <sheetName val="Budget Sheet "/>
      <sheetName val="Budget sheet"/>
      <sheetName val="Ballpark- Stn"/>
      <sheetName val="Annex-1"/>
      <sheetName val="Annexure-2 "/>
      <sheetName val="Annex-2(summary)"/>
      <sheetName val="Cement Escalation(1)"/>
      <sheetName val="RMC-cement escalation(2)"/>
      <sheetName val="RMC RECIEPT"/>
      <sheetName val="Stru.steel Mar'11-Dec'11"/>
      <sheetName val="Annex-3 "/>
      <sheetName val="Variation Tracker"/>
      <sheetName val="Steel-Dia wise"/>
      <sheetName val="Summary for Basic Price Escalat"/>
      <sheetName val="Rate Approval (Final) "/>
      <sheetName val="Annexure-2(Backup)"/>
      <sheetName val="BOQwith VAT-backup"/>
      <sheetName val="Backup"/>
      <sheetName val="BP-2-Approved"/>
      <sheetName val="Over all abstract"/>
      <sheetName val="All PO bill summary"/>
      <sheetName val="All PO bill summary incl SW"/>
      <sheetName val="Main PO Abstract"/>
      <sheetName val="BOQ-Summary "/>
      <sheetName val="Previous Net Payment"/>
      <sheetName val="Prelims_break-up %"/>
      <sheetName val="Prelims_break-up % (2)"/>
      <sheetName val="Prelim Measurement sheet"/>
      <sheetName val="Prelim Measurement sheet (1)"/>
      <sheetName val="Client supply Recovery"/>
      <sheetName val="Annexure-1"/>
      <sheetName val="Annexure-2"/>
      <sheetName val="Face sheet"/>
      <sheetName val="NSC's-Jan-2012"/>
      <sheetName val="Mob.Recovery Abstract"/>
      <sheetName val="Check September"/>
      <sheetName val="1. PayRec"/>
      <sheetName val="2. Retention"/>
      <sheetName val="2a. LD"/>
      <sheetName val="2b. Safety and Bad House"/>
      <sheetName val="3. Ad Rec"/>
      <sheetName val="4. Payment"/>
      <sheetName val="5. Sheet pile Add Pay"/>
      <sheetName val="6. Pro Pay Abs"/>
      <sheetName val="7. BQ"/>
      <sheetName val="8. Qty Reconciliation"/>
      <sheetName val="9. Variation"/>
      <sheetName val="10. Labour Cess"/>
      <sheetName val="11. PGM Inv"/>
      <sheetName val="Bill Summary"/>
      <sheetName val="Cost-abst-15"/>
      <sheetName val="Cost Abs-16"/>
      <sheetName val="Cost Abs-15th &amp; 16th"/>
      <sheetName val="MB-PILE"/>
      <sheetName val="EXCAVATION"/>
      <sheetName val="BACK FILLING"/>
      <sheetName val="ANTI-TERMITE"/>
      <sheetName val="SBFS"/>
      <sheetName val="PCC"/>
      <sheetName val="RCC IN PILE CAP &amp; RAFT"/>
      <sheetName val="R-WALL"/>
      <sheetName val="LIFT WALL"/>
      <sheetName val="RCC IN TIE BEAM"/>
      <sheetName val="RCC IN COLUMN"/>
      <sheetName val="RCC IN COLUMN SUPERSTRUCTURE"/>
      <sheetName val="RCC IN GR. FL. BEAM"/>
      <sheetName val="Shuttering PILE CAP"/>
      <sheetName val="Shuttering TIE BEAM"/>
      <sheetName val="RETAINING WALL SHUTTERING"/>
      <sheetName val="LIFT WALL SHUTTERING"/>
      <sheetName val="GR. FL.BEAM SHUTTERING"/>
      <sheetName val="Shuttering COLUMN ( FOUNDATION)"/>
      <sheetName val="Shuttering COLUMN (SUPERSTRUCT)"/>
      <sheetName val="PILE HEAD BREAKING"/>
      <sheetName val="WATER-PROFFING"/>
      <sheetName val="RMC  CONC.-Ann-(1)"/>
      <sheetName val=" (With Pump)"/>
      <sheetName val="Pile Cap"/>
      <sheetName val="Tie Beam"/>
      <sheetName val="GF Slab&amp;Beam"/>
      <sheetName val="Raft"/>
      <sheetName val="RW"/>
      <sheetName val="Reconciliation Upto 28.02.10"/>
      <sheetName val="SWOT"/>
      <sheetName val="swot Report"/>
      <sheetName val="Business Potential"/>
      <sheetName val="Resources"/>
      <sheetName val="SPILL OVER"/>
      <sheetName val="SPILL OVER PROJECTIONS"/>
      <sheetName val="SPILL OVER SECTORWISE"/>
      <sheetName val="BREAKUP_NEW ORDERS"/>
      <sheetName val="T_O_QTRY"/>
      <sheetName val="TOprj05-06"/>
      <sheetName val="TOprj06-07"/>
      <sheetName val="TOprj 07-08"/>
      <sheetName val="FUNDREQ"/>
      <sheetName val="STRRATE"/>
      <sheetName val="Intro"/>
      <sheetName val="Annex"/>
      <sheetName val="key dates"/>
      <sheetName val="Actual"/>
      <sheetName val="Actual projected"/>
      <sheetName val="CFForecast detail"/>
      <sheetName val="CFTable2"/>
      <sheetName val="CFGraphs"/>
      <sheetName val="CSIRO"/>
      <sheetName val="CF%Print"/>
      <sheetName val="LIST OF MAKES"/>
      <sheetName val="3. Elemental Summary"/>
      <sheetName val="9. Package split - Cost "/>
      <sheetName val="10. &amp; 11. Rate Code &amp; BQ"/>
      <sheetName val="Cashflow projection"/>
      <sheetName val="12a. CFTable"/>
      <sheetName val="Pacakges split"/>
      <sheetName val="WORK TABLE"/>
      <sheetName val="dlvoid"/>
      <sheetName val="factors"/>
      <sheetName val="Fin Sum"/>
      <sheetName val=" B1"/>
      <sheetName val="horizontal"/>
      <sheetName val="F1a-Pile"/>
      <sheetName val="Break_Up"/>
      <sheetName val="RESULT"/>
      <sheetName val="Pay_Sep06"/>
      <sheetName val="loadcal"/>
      <sheetName val="Cal"/>
      <sheetName val="Parameter"/>
      <sheetName val="Summray"/>
      <sheetName val="LMP Comparison"/>
      <sheetName val="escalation 2"/>
      <sheetName val="Escalation-final"/>
      <sheetName val="BG&amp;INSUR"/>
      <sheetName val="other expenses"/>
      <sheetName val="RMC"/>
      <sheetName val="MR PH"/>
      <sheetName val="MR Elect"/>
      <sheetName val="MR FP"/>
      <sheetName val="UL Elect"/>
      <sheetName val="UL FP"/>
      <sheetName val="Ulsoor PH"/>
      <sheetName val="COMAPARISON STATEMENT FINAL"/>
      <sheetName val="PILING"/>
      <sheetName val="Civil Analysis"/>
      <sheetName val="Precast PO Tention as per WO"/>
      <sheetName val="Precastprestr Girders as per WO"/>
      <sheetName val="Precast Girders"/>
      <sheetName val="BP Revised"/>
      <sheetName val="FW Mould"/>
      <sheetName val="barication"/>
      <sheetName val="safety"/>
      <sheetName val="CASHFLOW statement"/>
      <sheetName val="CASHOUTFLOW"/>
      <sheetName val="MONTHLY BILL"/>
      <sheetName val="MONTHLY BILL (160209)"/>
      <sheetName val="P4-B"/>
      <sheetName val="Basement Budget"/>
      <sheetName val="Zan-Jim"/>
      <sheetName val="Comp-Sum"/>
      <sheetName val="Comp Item"/>
      <sheetName val="Own-Sum"/>
      <sheetName val="Own"/>
      <sheetName val="Consult-Sum"/>
      <sheetName val="Consult"/>
      <sheetName val="Maji-Sum"/>
      <sheetName val="Maji"/>
      <sheetName val="MK-Sum"/>
      <sheetName val="MK"/>
      <sheetName val="Pow-Sum"/>
      <sheetName val="Pow"/>
      <sheetName val="SML-Sum"/>
      <sheetName val="SML "/>
      <sheetName val="Vijay-Sum"/>
      <sheetName val="Vijay"/>
      <sheetName val="IO LIST"/>
      <sheetName val="TAF"/>
      <sheetName val="Comp Sum"/>
      <sheetName val="Est-Sum"/>
      <sheetName val="Est "/>
      <sheetName val="Comm-sum"/>
      <sheetName val="Comm"/>
      <sheetName val="ETA-Sum"/>
      <sheetName val="ETA"/>
      <sheetName val="Mega-Sum"/>
      <sheetName val="Mega"/>
      <sheetName val="PK-Sum"/>
      <sheetName val="PK"/>
      <sheetName val="Sri-Sum"/>
      <sheetName val="sri"/>
      <sheetName val="RCC,Ret. Wall"/>
      <sheetName val="Formulas"/>
      <sheetName val="Estimation"/>
      <sheetName val="Daikin-Sum"/>
      <sheetName val="Daikin"/>
      <sheetName val="Pysco-Sum"/>
      <sheetName val="Pysco"/>
      <sheetName val="SME-Sum "/>
      <sheetName val="SME"/>
      <sheetName val="Suvidha-Sum"/>
      <sheetName val="Suvidha"/>
      <sheetName val="VK-Sum"/>
      <sheetName val="VK"/>
      <sheetName val="VK-LC-Sum"/>
      <sheetName val="VK-LC"/>
      <sheetName val="Samsung-Sum"/>
      <sheetName val="Samsung"/>
      <sheetName val="Material "/>
      <sheetName val="TAF FCU"/>
      <sheetName val="Comp Sum Rev1"/>
      <sheetName val="Comp Sum Rev0"/>
      <sheetName val="Sum-Local, Est"/>
      <sheetName val="FCU - Local, Est"/>
      <sheetName val="Spare FCU-Local, Est"/>
      <sheetName val="Sum-Est-Import"/>
      <sheetName val="FCU -Import (Est)"/>
      <sheetName val="Spare Import (Est)"/>
      <sheetName val="Sum-Local Blue Star"/>
      <sheetName val="FCU - Local, Blue star"/>
      <sheetName val="Spare FCU Local Blue Star"/>
      <sheetName val="Sum-Local, Carrier"/>
      <sheetName val="FCU - Local, carrier"/>
      <sheetName val="Spare FCU-Local, Carrier"/>
      <sheetName val="FCU -Import , Carrier"/>
      <sheetName val="Spare FCU,Import, Carrier"/>
      <sheetName val="Sum-Import, Daikin"/>
      <sheetName val="FCU - Daikin, Import"/>
      <sheetName val="Spare- daikin, Import"/>
      <sheetName val="Sum-, York"/>
      <sheetName val="FCU - York"/>
      <sheetName val="Spare FCU York"/>
      <sheetName val="Sum-Import, Trane"/>
      <sheetName val="FCU-Trane, Import"/>
      <sheetName val="Spare -Trane, Import"/>
      <sheetName val="Sum-Import, Sinco"/>
      <sheetName val="FCU-Sinco Import"/>
      <sheetName val="Spare -Sinco Import"/>
      <sheetName val="York rev 0"/>
      <sheetName val="Fcu York Rev 0"/>
      <sheetName val="Spare York Rev 0"/>
      <sheetName val="Sum- York "/>
      <sheetName val="Fcu York"/>
      <sheetName val="Spare York"/>
      <sheetName val="For print"/>
      <sheetName val="Summary of HVAc &amp; related Works"/>
      <sheetName val="analysis-superstructure"/>
      <sheetName val="Quote Sheet"/>
      <sheetName val="Certificate-A Main contrcat -40"/>
      <sheetName val="certi-ra13"/>
      <sheetName val="Payment tracker"/>
      <sheetName val="Service tax diff-May 2013"/>
      <sheetName val="Abstract - A - WO 40 "/>
      <sheetName val="NT &amp; RA4-ABSTRACT- WO 98"/>
      <sheetName val="Abstract -final cement -# 169"/>
      <sheetName val="Phase 2-I tower"/>
      <sheetName val="pHASE 1--RA12"/>
      <sheetName val="PHASE 2-RA12"/>
      <sheetName val="I TOWER-RA12"/>
      <sheetName val="Abstract - B - WO 331"/>
      <sheetName val="Summary- Qty-till RA21"/>
      <sheetName val="Mobilisation Rec-21"/>
      <sheetName val="Steel Recovery -RA21"/>
      <sheetName val=" Tiles-RA21 "/>
      <sheetName val="Summary RAB 19 - Sub Struc"/>
      <sheetName val="Summary RAB 19 - Super struc"/>
      <sheetName val="Steel Summary"/>
      <sheetName val="labor"/>
      <sheetName val="Unit Price"/>
      <sheetName val="Administrative Prices"/>
      <sheetName val="test"/>
      <sheetName val="dBase"/>
      <sheetName val="Intro."/>
      <sheetName val="wordsdata"/>
      <sheetName val="DetEstimates"/>
      <sheetName val="CshFlw"/>
      <sheetName val="DirIndLabor"/>
      <sheetName val="BoQ Covanta"/>
      <sheetName val="Codes"/>
      <sheetName val="CIVIL WORK"/>
      <sheetName val="STEEL STRUCTURE"/>
      <sheetName val="Pur"/>
      <sheetName val="Floor&amp;Ceiling Finishes"/>
      <sheetName val="Wall Finishes"/>
      <sheetName val="Wall"/>
      <sheetName val="Other Items"/>
      <sheetName val="InputPO_Del"/>
      <sheetName val="Footings"/>
      <sheetName val="Project Budget Worksheet"/>
      <sheetName val="Detail"/>
      <sheetName val="13. Steel - Ratio"/>
      <sheetName val="Window"/>
      <sheetName val="Break up Sheet"/>
      <sheetName val="Micro"/>
      <sheetName val="Macro"/>
      <sheetName val="Scaff-Rose"/>
      <sheetName val="SBI(Siliguri)"/>
      <sheetName val="Elemental Summary"/>
      <sheetName val="Classif"/>
      <sheetName val="Areas"/>
      <sheetName val="Area cal"/>
      <sheetName val="Perimeter"/>
      <sheetName val="B1"/>
      <sheetName val="CABLERET"/>
      <sheetName val="Actuals"/>
      <sheetName val="SECPROP"/>
      <sheetName val="05117 CP - Estimate sheet - Sta"/>
      <sheetName val="A-Property"/>
      <sheetName val="DC details (2)"/>
      <sheetName val="BLOCK-A (MEA.SHEET)"/>
      <sheetName val="DSLP"/>
      <sheetName val="Assumption Inputs"/>
      <sheetName val="Load Details(B2)"/>
      <sheetName val="Take off Check list"/>
      <sheetName val="Take off sheet"/>
      <sheetName val="Per Floor"/>
      <sheetName val="Per Unit"/>
      <sheetName val="Floor &amp; Ceiling"/>
      <sheetName val="Int Wall Finish"/>
      <sheetName val="Ext Wall Finish"/>
      <sheetName val="PR-Blinds-HYD2"/>
      <sheetName val="Blinds-HYD"/>
      <sheetName val="Lying Stock 1.4.99"/>
      <sheetName val="Issues-RTS 0499 to 0999"/>
      <sheetName val="Phy Stock 30.9.99"/>
      <sheetName val="Lying Stock 30.9.99"/>
      <sheetName val="MAT0499"/>
      <sheetName val="Final Sheet"/>
      <sheetName val="MAT Summary"/>
      <sheetName val="MAT Consolidated"/>
      <sheetName val="Debit MAT 499 to 999"/>
      <sheetName val="Income"/>
      <sheetName val="Contractor wise work done (2)"/>
      <sheetName val="Contractor wise work done"/>
      <sheetName val="Item Master"/>
      <sheetName val="gateway tower 0999 ctc"/>
      <sheetName val="CONTR+MATERIAL CTC"/>
      <sheetName val="Gateway Contractor 1099 - FINAL"/>
      <sheetName val="Balance Order 0110"/>
      <sheetName val="mat summ"/>
      <sheetName val="STR. BASEMENT WITH FDN"/>
      <sheetName val="F.ISSUE  (BASEMENT WITH FDN)"/>
      <sheetName val="STR. BASEMENT WITHOUT FDN"/>
      <sheetName val="F.ISSUE  (BASEMENT WITHOUT FDN)"/>
      <sheetName val="FINISHING (BASEMENT)"/>
      <sheetName val="num-word"/>
      <sheetName val="TAX TOP"/>
      <sheetName val="REC TOP"/>
      <sheetName val="ABSTRACT R-01"/>
      <sheetName val="RECONCILIATION "/>
      <sheetName val="A1-PROG"/>
      <sheetName val="CTRL-A1"/>
      <sheetName val="TOP - A1"/>
      <sheetName val="A2-PROG"/>
      <sheetName val="CTRL-A2"/>
      <sheetName val="TOP - A2"/>
      <sheetName val="B1-PROG"/>
      <sheetName val="CTRL B1 &amp; B2"/>
      <sheetName val="TOP - B1 &amp; B2"/>
      <sheetName val="B2-PROG "/>
      <sheetName val="MAT DETAIL"/>
      <sheetName val="RCC CEMENT DET"/>
      <sheetName val="CONC &amp; BW-A1"/>
      <sheetName val="CONC &amp; BW-A2"/>
      <sheetName val="CONC &amp; BW-B1 &amp; B2"/>
      <sheetName val="BOQ - A"/>
      <sheetName val="BOQ - B"/>
      <sheetName val="BOQ - C"/>
      <sheetName val="A1 &amp; A2-LIFT"/>
      <sheetName val="BOQ - B1 to B2"/>
      <sheetName val="B1 to B6-LIFT"/>
      <sheetName val="ALL TOWER PROGR"/>
      <sheetName val="Material Prices"/>
      <sheetName val="Direct"/>
      <sheetName val="LsCr"/>
      <sheetName val="Gem"/>
      <sheetName val="Plant"/>
      <sheetName val="Mob"/>
      <sheetName val="MarkUp"/>
      <sheetName val="Gross"/>
      <sheetName val="Cost Codes"/>
      <sheetName val="Formwork"/>
      <sheetName val="Hunnebeck Support Scaffold"/>
      <sheetName val="SWT Formwork &amp; Scaffold List"/>
      <sheetName val="Painting"/>
      <sheetName val="Door Schedule"/>
      <sheetName val="Contract"/>
      <sheetName val="LM1"/>
      <sheetName val="LM2"/>
      <sheetName val="LM3"/>
      <sheetName val="LM4"/>
      <sheetName val="Monat"/>
      <sheetName val="Range"/>
      <sheetName val="Control"/>
      <sheetName val="Comparative statement"/>
      <sheetName val="RA_markate"/>
      <sheetName val="Desgn(zone I)"/>
      <sheetName val="dapr"/>
      <sheetName val="sched"/>
      <sheetName val="cpm"/>
      <sheetName val="activity"/>
      <sheetName val="RateAnalysis"/>
      <sheetName val="PRECAST-conc-II"/>
      <sheetName val="Miscellaneous-civil"/>
      <sheetName val="GN-ST-10"/>
      <sheetName val="Cleaning &amp; Grubbing"/>
      <sheetName val="CF-det"/>
      <sheetName val="PRECAST lightconc_II"/>
      <sheetName val="Friends"/>
      <sheetName val="College Details"/>
      <sheetName val="Personal "/>
      <sheetName val="GN_ST_10"/>
      <sheetName val="IHC"/>
      <sheetName val="bhilai"/>
      <sheetName val="jidal dam"/>
      <sheetName val="delo"/>
      <sheetName val="fran temp"/>
      <sheetName val="gagan"/>
      <sheetName val="hsbc"/>
      <sheetName val="jeedi"/>
      <sheetName val="kona swit"/>
      <sheetName val="template (8)"/>
      <sheetName val="template (9)"/>
      <sheetName val="OVER HEADS"/>
      <sheetName val="Cover Sheet"/>
      <sheetName val="BOQ REV A"/>
      <sheetName val="PTB (IO)"/>
      <sheetName val="BMS "/>
      <sheetName val="TBAL9697 -group wise  sdpl"/>
      <sheetName val="PIPING"/>
      <sheetName val="八幡"/>
      <sheetName val="Quantity Schedule"/>
      <sheetName val="Revenue  Schedule "/>
      <sheetName val="Balance works - Direct Cost"/>
      <sheetName val="Balance works - Indirect Cost"/>
      <sheetName val="Fund Plan"/>
      <sheetName val="300x500"/>
      <sheetName val="jidal_dam"/>
      <sheetName val="fran_temp"/>
      <sheetName val="kona_swit"/>
      <sheetName val="template_(8)"/>
      <sheetName val="template_(9)"/>
      <sheetName val="PRECAST_lightconc_II"/>
      <sheetName val="College_Details"/>
      <sheetName val="Personal_"/>
      <sheetName val="Cleaning_&amp;_Grubbing"/>
      <sheetName val="SITE OVERHEADS"/>
      <sheetName val="beam-reinft-IIInd floor"/>
      <sheetName val="OVER_HEADS"/>
      <sheetName val="BOQ_REV_A"/>
      <sheetName val="PTB_(IO)"/>
      <sheetName val="BMS_"/>
      <sheetName val="TBAL9697_-group_wise__sdpl"/>
      <sheetName val="TAX BILLS"/>
      <sheetName val="CASH BILLS"/>
      <sheetName val="LABOUR BILLS"/>
      <sheetName val="BQQ"/>
      <sheetName val="july"/>
      <sheetName val="june"/>
      <sheetName val="may"/>
      <sheetName val="april"/>
      <sheetName val="march"/>
      <sheetName val="jan"/>
      <sheetName val="fefb"/>
      <sheetName val="invoice"/>
      <sheetName val="puch order"/>
      <sheetName val="decm"/>
      <sheetName val="Boq Block A"/>
      <sheetName val="SILICATE"/>
      <sheetName val="Costing Upto Mar'11 (2)"/>
      <sheetName val="Tender Summary"/>
      <sheetName val="zone-8"/>
      <sheetName val="MHNO_LEV"/>
      <sheetName val="M-Book for Conc"/>
      <sheetName val="M-Book for FW"/>
      <sheetName val="PRECAST_lightconc_II1"/>
      <sheetName val="College_Details1"/>
      <sheetName val="Personal_1"/>
      <sheetName val="Cleaning_&amp;_Grubbing1"/>
      <sheetName val="jidal_dam1"/>
      <sheetName val="fran_temp1"/>
      <sheetName val="kona_swit1"/>
      <sheetName val="template_(8)1"/>
      <sheetName val="template_(9)1"/>
      <sheetName val="OVER_HEADS1"/>
      <sheetName val="Cover_Sheet1"/>
      <sheetName val="BOQ_REV_A1"/>
      <sheetName val="PTB_(IO)1"/>
      <sheetName val="BMS_1"/>
      <sheetName val="TBAL9697_-group_wise__sdpl1"/>
      <sheetName val="Quantity_Schedule"/>
      <sheetName val="Revenue__Schedule_"/>
      <sheetName val="Balance_works_-_Direct_Cost"/>
      <sheetName val="Balance_works_-_Indirect_Cost"/>
      <sheetName val="Fund_Plan"/>
      <sheetName val="Bill_of_Resources"/>
      <sheetName val=" 24.07.10 RS &amp; SECURITY"/>
      <sheetName val="24.07.10 CIVIL WET"/>
      <sheetName val=" 24.07.10 CIVIL"/>
      <sheetName val=" 24.07.10 MECH-FAB"/>
      <sheetName val=" 24.07.10 MECH-TANK"/>
      <sheetName val=" 23.07.10 N.SHIFT MECH-FAB"/>
      <sheetName val=" 23.07.10 N.SHIFT MECH-TANK"/>
      <sheetName val=" 23.07.10 RS &amp; SECURITY"/>
      <sheetName val="23.07.10 CIVIL WET"/>
      <sheetName val=" 23.07.10 CIVIL"/>
      <sheetName val=" 23.07.10 MECH-FAB"/>
      <sheetName val=" 23.07.10 MECH-TANK"/>
      <sheetName val=" 22.07.10 N.SHIFT MECH-FAB"/>
      <sheetName val=" 22.07.10 N.SHIFT MECH-TANK"/>
      <sheetName val=" 22.07.10 RS &amp; SECURITY"/>
      <sheetName val="22.07.10 CIVIL WET"/>
      <sheetName val=" 22.07.10 CIVIL"/>
      <sheetName val=" 22.07.10 MECH-FAB"/>
      <sheetName val=" 22.07.10 MECH-TANK"/>
      <sheetName val=" 21.07.10 N.SHIFT MECH-FAB"/>
      <sheetName val=" 21.07.10 N.SHIFT MECH-TANK"/>
      <sheetName val=" 21.07.10 RS &amp; SECURITY"/>
      <sheetName val="21.07.10 CIVIL WET"/>
      <sheetName val=" 21.07.10 CIVIL"/>
      <sheetName val=" 21.07.10 MECH-FAB"/>
      <sheetName val=" 21.07.10 MECH-TANK"/>
      <sheetName val=" 20.07.10 N.SHIFT MECH-FAB"/>
      <sheetName val=" 20.07.10 N.SHIFT MECH-TANK"/>
      <sheetName val=" 20.07.10 RS &amp; SECURITY"/>
      <sheetName val="20.07.10 CIVIL WET"/>
      <sheetName val=" 20.07.10 CIVIL"/>
      <sheetName val=" 20.07.10 MECH-FAB"/>
      <sheetName val=" 20.07.10 MECH-TANK"/>
      <sheetName val=" 19.07.10 N.SHIFT MECH-FAB"/>
      <sheetName val=" 19.07.10 N.SHIFT MECH-TANK"/>
      <sheetName val=" 19.07.10 RS &amp; SECURITY"/>
      <sheetName val="19.07.10 CIVIL WET"/>
      <sheetName val=" 19.07.10 CIVIL"/>
      <sheetName val=" 19.07.10 MECH-FAB"/>
      <sheetName val=" 19.07.10 MECH-TANK"/>
      <sheetName val=" 18.07.10 N.SHIFT MECH-FAB"/>
      <sheetName val=" 18.07.10 N.SHIFT MECH-TANK"/>
      <sheetName val=" 18.07.10 RS &amp; SECURITY"/>
      <sheetName val="18.07.10 CIVIL WET"/>
      <sheetName val=" 18.07.10 CIVIL"/>
      <sheetName val=" 18.07.10 MECH-FAB"/>
      <sheetName val=" 18.07.10 MECH-TANK"/>
      <sheetName val=" 17.07.10 N.SHIFT MECH-FAB"/>
      <sheetName val=" 17.07.10 N.SHIFT MECH-TANK"/>
      <sheetName val=" 17.07.10 RS &amp; SECURITY"/>
      <sheetName val="17.07.10 CIVIL WET"/>
      <sheetName val=" 17.07.10 CIVIL"/>
      <sheetName val=" 17.07.10 MECH-FAB"/>
      <sheetName val=" 17.07.10 MECH-TANK"/>
      <sheetName val=" 16.07.10 N.SHIFT MECH-FAB"/>
      <sheetName val=" 16.07.10 N.SHIFT MECH-TANK"/>
      <sheetName val=" 16.07.10 RS &amp; SECURITY"/>
      <sheetName val="16.07.10 CIVIL WET"/>
      <sheetName val=" 16.07.10 CIVIL"/>
      <sheetName val=" 16.07.10 MECH-FAB"/>
      <sheetName val=" 16.07.10 MECH-TANK"/>
      <sheetName val=" 15.07.10 N.SHIFT MECH-FAB"/>
      <sheetName val=" 15.07.10 N.SHIFT MECH-TANK"/>
      <sheetName val=" 15.07.10 RS &amp; SECURITY"/>
      <sheetName val="15.07.10 CIVIL WET"/>
      <sheetName val=" 15.07.10 CIVIL"/>
      <sheetName val=" 15.07.10 MECH-FAB"/>
      <sheetName val=" 15.07.10 MECH-TANK"/>
      <sheetName val=" 14.07.10 N.SHIFT MECH-FAB"/>
      <sheetName val=" 14.07.10 N.SHIFT MECH-TANK"/>
      <sheetName val=" 14.07.10 RS &amp; SECURITY"/>
      <sheetName val="14.07.10 CIVIL WET"/>
      <sheetName val=" 14.07.10 CIVIL"/>
      <sheetName val=" 14.07.10 MECH-FAB"/>
      <sheetName val=" 14.07.10 MECH-TANK"/>
      <sheetName val=" 13.07.10 N.SHIFT MECH-FAB"/>
      <sheetName val=" 13.07.10 N.SHIFT MECH-TANK"/>
      <sheetName val=" 13.07.10 RS &amp; SECURITY"/>
      <sheetName val="13.07.10 CIVIL WET"/>
      <sheetName val=" 13.07.10 CIVIL"/>
      <sheetName val=" 13.07.10 MECH-FAB"/>
      <sheetName val=" 13.07.10 MECH-TANK"/>
      <sheetName val=" 12.07.10 N.SHIFT MECH-FAB"/>
      <sheetName val=" 12.07.10 N.SHIFT MECH-TANK"/>
      <sheetName val=" 12.07.10 RS &amp; SECURITY"/>
      <sheetName val="12.07.10 CIVIL WET"/>
      <sheetName val=" 12.07.10 CIVIL"/>
      <sheetName val=" 12.07.10 MECH-FAB"/>
      <sheetName val=" 12.07.10 MECH-TANK"/>
      <sheetName val=" 11.07.10 N.SHIFT MECH-FAB"/>
      <sheetName val=" 11.07.10 N.SHIFT MECH-TANK"/>
      <sheetName val=" 11.07.10 RS &amp; SECURITY"/>
      <sheetName val="11.07.10 CIVIL WET"/>
      <sheetName val=" 11.07.10 CIVIL"/>
      <sheetName val=" 11.07.10 MECH-FAB"/>
      <sheetName val=" 11.07.10 MECH-TANK"/>
      <sheetName val=" 10.07.10 N.SHIFT MECH-FAB"/>
      <sheetName val=" 10.07.10 N.SHIFT MECH-TANK"/>
      <sheetName val=" 10.07.10 RS &amp; SECURITY"/>
      <sheetName val="10.07.10 CIVIL WET"/>
      <sheetName val=" 10.07.10 CIVIL"/>
      <sheetName val=" 10.07.10 MECH-FAB"/>
      <sheetName val=" 10.07.10 MECH-TANK"/>
      <sheetName val=" 09.07.10 N.SHIFT MECH-FAB"/>
      <sheetName val=" 09.07.10 N.SHIFT MECH-TANK"/>
      <sheetName val=" 09.07.10 RS &amp; SECURITY"/>
      <sheetName val="09.07.10 CIVIL WET"/>
      <sheetName val=" 09.07.10 CIVIL"/>
      <sheetName val=" 09.07.10 MECH-FAB"/>
      <sheetName val=" 09.07.10 MECH-TANK"/>
      <sheetName val=" 08.07.10 N.SHIFT MECH-FAB"/>
      <sheetName val=" 08.07.10 N.SHIFT MECH-TANK"/>
      <sheetName val=" 08.07.10 RS &amp; SECURITY"/>
      <sheetName val="08.07.10 CIVIL WET"/>
      <sheetName val=" 08.07.10 CIVIL"/>
      <sheetName val=" 08.07.10 MECH-FAB"/>
      <sheetName val=" 08.07.10 MECH-TANK"/>
      <sheetName val=" 07.07.10 N.SHIFT MECH-FAB"/>
      <sheetName val=" 07.07.10 N.SHIFT MECH-TANK"/>
      <sheetName val=" 07.07.10 RS &amp; SECURITY"/>
      <sheetName val="07.07.10 CIVIL WET"/>
      <sheetName val=" 07.07.10 CIVIL"/>
      <sheetName val=" 07.07.10 MECH-FAB"/>
      <sheetName val=" 07.07.10 MECH-TANK"/>
      <sheetName val=" 06.07.10 N.SHIFT MECH-FAB"/>
      <sheetName val=" 06.07.10 N.SHIFT MECH-TANK"/>
      <sheetName val=" 06.07.10 RS &amp; SECURITY"/>
      <sheetName val="06.07.10 CIVIL WET"/>
      <sheetName val=" 06.07.10 CIVIL"/>
      <sheetName val=" 06.07.10 MECH-FAB"/>
      <sheetName val=" 06.07.10 MECH-TANK"/>
      <sheetName val=" 05.07.10 N.SHIFT MECH-FAB"/>
      <sheetName val=" 05.07.10 N.SHIFT MECH-TANK"/>
      <sheetName val=" 05.07.10 RS &amp; SECURITY"/>
      <sheetName val="05.07.10 CIVIL WET"/>
      <sheetName val=" 05.07.10 CIVIL"/>
      <sheetName val=" 05.07.10 MECH-FAB"/>
      <sheetName val=" 05.07.10 MECH-TANK"/>
      <sheetName val=" 04.07.10 N.SHIFT MECH-FAB"/>
      <sheetName val=" 04.07.10 N.SHIFT MECH-TANK"/>
      <sheetName val=" 04.07.10 RS &amp; SECURITY"/>
      <sheetName val="04.07.10 CIVIL WET"/>
      <sheetName val=" 04.07.10 CIVIL"/>
      <sheetName val=" 04.07.10 MECH-FAB"/>
      <sheetName val=" 04.07.10 MECH-TANK"/>
      <sheetName val=" 03.07.10 N.SHIFT MECH-FAB"/>
      <sheetName val=" 03.07.10 N.SHIFT MECH-TANK"/>
      <sheetName val=" 03.07.10 RS &amp; SECURITY "/>
      <sheetName val="03.07.10 CIVIL WET "/>
      <sheetName val=" 03.07.10 CIVIL "/>
      <sheetName val=" 03.07.10 MECH-FAB "/>
      <sheetName val=" 03.07.10 MECH-TANK "/>
      <sheetName val=" 02.07.10 N.SHIFT MECH-FAB "/>
      <sheetName val=" 02.07.10 N.SHIFT MECH-TANK "/>
      <sheetName val=" 02.07.10 RS &amp; SECURITY"/>
      <sheetName val="02.07.10 CIVIL WET"/>
      <sheetName val=" 02.07.10 CIVIL"/>
      <sheetName val=" 02.07.10 MECH-FAB"/>
      <sheetName val=" 02.07.10 MECH-TANK"/>
      <sheetName val=" 01.07.10 N.SHIFT MECH-FAB"/>
      <sheetName val=" 01.07.10 N.SHIFT MECH-TANK"/>
      <sheetName val=" 01.07.10 RS &amp; SECURITY"/>
      <sheetName val="01.07.10 CIVIL WET"/>
      <sheetName val=" 01.07.10 CIVIL"/>
      <sheetName val=" 01.07.10 MECH-FAB"/>
      <sheetName val=" 01.07.10 MECH-TANK"/>
      <sheetName val=" 30.06.10 N.SHIFT MECH-FAB"/>
      <sheetName val=" 30.06.10 N.SHIFT MECH-TANK"/>
      <sheetName val="scurve calc (2)"/>
      <sheetName val="Meas.-Hotel Part"/>
      <sheetName val="Contract Night Staff"/>
      <sheetName val="Contract Day Staff"/>
      <sheetName val="Day Shift"/>
      <sheetName val="Night Shift"/>
      <sheetName val=" 09.07.10 M顅ᎆ뤀ᨇ԰_x0000_缀_x0000_"/>
      <sheetName val="Ave.wtd.rates"/>
      <sheetName val="Labour &amp; Plant"/>
      <sheetName val="22.12.2011"/>
      <sheetName val="2gii"/>
      <sheetName val="TBAL9697 _group wise  sdpl"/>
      <sheetName val="Intake"/>
      <sheetName val="Item- Compact"/>
      <sheetName val="beam-reinft"/>
      <sheetName val="Build-up"/>
      <sheetName val="공장별판관비배부"/>
      <sheetName val="St.co.91.5lvl"/>
      <sheetName val="Civil Works"/>
      <sheetName val="SP Break Up"/>
      <sheetName val="temp"/>
      <sheetName val="HEAD"/>
      <sheetName val="Labour productivity"/>
      <sheetName val=" 09.07.10 M顅ᎆ뤀ᨇ԰?缀?"/>
      <sheetName val="Meas__Hotel Part"/>
      <sheetName val="DataInput"/>
      <sheetName val="DataInput-1"/>
      <sheetName val="DI Rate Analysis"/>
      <sheetName val="Economic RisingMain  Ph-I"/>
      <sheetName val="Sales &amp; Prod"/>
      <sheetName val="Cost Index"/>
      <sheetName val="cash in flow Summary JV "/>
      <sheetName val="water prop."/>
      <sheetName val="GR.slab-reinft"/>
      <sheetName val="section"/>
      <sheetName val="08.07.10헾】_x0005__x0000__x0000__x0000__x0000_ꎋ"/>
      <sheetName val="Staff Acco."/>
      <sheetName val="Costing"/>
      <sheetName val="HVAC"/>
      <sheetName val="Rate analysis- BOQ 1 "/>
      <sheetName val="box-12"/>
      <sheetName val="MN T.B."/>
      <sheetName val=" _x000a_¢_x0002_&amp;_x0000__x0000__x0000_ú5#_x0000__x0000__x0000__x0000__x0000__x0000__x0000_"/>
      <sheetName val="AOR"/>
      <sheetName val="F20 Risk Analysis"/>
      <sheetName val="Change Order Log"/>
      <sheetName val="lookups"/>
      <sheetName val="Bin"/>
      <sheetName val="2000 MOR"/>
      <sheetName val="Driveway Beams"/>
      <sheetName val="Prelims Breakup"/>
      <sheetName val="PRECAST_lightconc_II2"/>
      <sheetName val="Cleaning_&amp;_Grubbing2"/>
      <sheetName val="College_Details2"/>
      <sheetName val="Personal_2"/>
      <sheetName val="jidal_dam2"/>
      <sheetName val="fran_temp2"/>
      <sheetName val="kona_swit2"/>
      <sheetName val="template_(8)2"/>
      <sheetName val="template_(9)2"/>
      <sheetName val="OVER_HEADS2"/>
      <sheetName val="Cover_Sheet2"/>
      <sheetName val="BOQ_REV_A2"/>
      <sheetName val="PTB_(IO)2"/>
      <sheetName val="BMS_2"/>
      <sheetName val="TBAL9697_-group_wise__sdpl2"/>
      <sheetName val="TAX_BILLS"/>
      <sheetName val="CASH_BILLS"/>
      <sheetName val="LABOUR_BILLS"/>
      <sheetName val="puch_order"/>
      <sheetName val="Quantity_Schedule1"/>
      <sheetName val="Revenue__Schedule_1"/>
      <sheetName val="Balance_works_-_Direct_Cost1"/>
      <sheetName val="Balance_works_-_Indirect_Cost1"/>
      <sheetName val="Fund_Plan1"/>
      <sheetName val="Bill_of_Resources1"/>
      <sheetName val="SITE_OVERHEADS"/>
      <sheetName val="labour_coeff"/>
      <sheetName val="ORDER_BOOKING"/>
      <sheetName val="Costing_Upto_Mar'11_(2)"/>
      <sheetName val="Tender_Summary"/>
      <sheetName val="beam-reinft-IIInd_floor"/>
      <sheetName val="Prelims_Breakup"/>
      <sheetName val="Boq_Block_A"/>
      <sheetName val="M-Book_for_Conc"/>
      <sheetName val="M-Book_for_FW"/>
      <sheetName val="Meas_-Hotel_Part"/>
      <sheetName val="22_12_2011"/>
      <sheetName val="_24_07_10_RS_&amp;_SECURITY"/>
      <sheetName val="24_07_10_CIVIL_WET"/>
      <sheetName val="_24_07_10_CIVIL"/>
      <sheetName val="_24_07_10_MECH-FAB"/>
      <sheetName val="_24_07_10_MECH-TANK"/>
      <sheetName val="_23_07_10_N_SHIFT_MECH-FAB"/>
      <sheetName val="_23_07_10_N_SHIFT_MECH-TANK"/>
      <sheetName val="_23_07_10_RS_&amp;_SECURITY"/>
      <sheetName val="23_07_10_CIVIL_WET"/>
      <sheetName val="_23_07_10_CIVIL"/>
      <sheetName val="_23_07_10_MECH-FAB"/>
      <sheetName val="_23_07_10_MECH-TANK"/>
      <sheetName val="_22_07_10_N_SHIFT_MECH-FAB"/>
      <sheetName val="_22_07_10_N_SHIFT_MECH-TANK"/>
      <sheetName val="_22_07_10_RS_&amp;_SECURITY"/>
      <sheetName val="22_07_10_CIVIL_WET"/>
      <sheetName val="_22_07_10_CIVIL"/>
      <sheetName val="MX Equip"/>
      <sheetName val="T.SUMMARRY"/>
      <sheetName val="WS E1"/>
      <sheetName val="WS 3"/>
      <sheetName val="WS 4"/>
      <sheetName val="WS 5"/>
      <sheetName val="WS 6"/>
      <sheetName val="WS 6(2)"/>
      <sheetName val="WS 7"/>
      <sheetName val="FAS BOQ1"/>
      <sheetName val="per pt sec"/>
      <sheetName val="OPTION PRICE"/>
      <sheetName val="P2-Engr"/>
      <sheetName val="P3-T &amp; E"/>
      <sheetName val="P4-BOQ"/>
      <sheetName val="Compliance"/>
      <sheetName val="BOQ-BoH"/>
      <sheetName val="RA - Painting"/>
      <sheetName val="Stone Work"/>
      <sheetName val="Material &amp; Labour Rates"/>
      <sheetName val="1. Notes"/>
      <sheetName val="2. Estimate Summary"/>
      <sheetName val="4. Detail"/>
      <sheetName val="5. Area &amp; Perimeter Statement"/>
      <sheetName val="6. Assumption"/>
      <sheetName val="7. Economic ratios"/>
      <sheetName val="8. Pie Diagram"/>
      <sheetName val="12. Tentative Cashflow"/>
      <sheetName val="14. Std Material Cost"/>
      <sheetName val="15. Loose Furniture"/>
      <sheetName val="16. Room Equipment"/>
      <sheetName val="Costing Sheet (2)"/>
      <sheetName val="4a. Trade"/>
      <sheetName val="RMZ Summary"/>
      <sheetName val="6.Assumptions"/>
      <sheetName val="12b. Cash Flow"/>
      <sheetName val="SUMMARY RESI + commericall"/>
      <sheetName val="SUMMARY RESIDENTIAL"/>
      <sheetName val="RESIDENTIAL BOQ"/>
      <sheetName val="SUMMARY OFFICE"/>
      <sheetName val="OFFICE BOQ"/>
      <sheetName val="DS"/>
      <sheetName val=" AREA STATEMENT-RESIDENTIAL"/>
      <sheetName val=" AREA STATEMENT-OFFICE"/>
      <sheetName val="LBD-COMMERCIAL"/>
      <sheetName val="LBD-RESIDENTIAL"/>
      <sheetName val="Appendix-1.a"/>
      <sheetName val="Appendix-2.a"/>
      <sheetName val="Appendix-1.b"/>
      <sheetName val="Appendix-2.b"/>
      <sheetName val="Appendix-3"/>
      <sheetName val="Appendix-4"/>
      <sheetName val="Appendix-5"/>
      <sheetName val="Material Value"/>
      <sheetName val="Material-breakup"/>
      <sheetName val="Appendix-1.xx"/>
      <sheetName val="Appendix-2.xxx"/>
      <sheetName val="Comparision (5)"/>
      <sheetName val="Comparision (4)"/>
      <sheetName val="Summary-02-1"/>
      <sheetName val="Comparision adj-1"/>
      <sheetName val="Report backup"/>
      <sheetName val="Appendix-1.b (2)"/>
      <sheetName val="COMMERCIAL CONDITIONS"/>
      <sheetName val="Pay Rec"/>
      <sheetName val="Pro Pay Abs"/>
      <sheetName val="Mat Ad"/>
      <sheetName val="Ad Re"/>
      <sheetName val="Retention"/>
      <sheetName val="Steel Esc"/>
      <sheetName val="E.D"/>
      <sheetName val="ABs - MB"/>
      <sheetName val="ABs - SS"/>
      <sheetName val="ABs - Ext"/>
      <sheetName val="Bill 1"/>
      <sheetName val="Bill 2"/>
      <sheetName val="Bill 2 qr"/>
      <sheetName val="Bill 3"/>
      <sheetName val="Bill 3 Qr"/>
      <sheetName val="Bill 4"/>
      <sheetName val="Bill 4 Qr"/>
      <sheetName val="Bill 5"/>
      <sheetName val="Bill 6"/>
      <sheetName val="Bill 6 Qr"/>
      <sheetName val="Bill 7"/>
      <sheetName val="Bill 8"/>
      <sheetName val="Bill 9"/>
      <sheetName val="Bill final CCCL"/>
      <sheetName val="FINAL STATEMENT"/>
      <sheetName val="Pay_Rec"/>
      <sheetName val="BQ"/>
      <sheetName val="Dedcution"/>
      <sheetName val="Other Claim"/>
      <sheetName val="Contract Summary"/>
      <sheetName val="Abstract-8RA"/>
      <sheetName val="Summary compare"/>
      <sheetName val="Excavation Variation"/>
      <sheetName val="Podiam Footing Area"/>
      <sheetName val="Ad rec proposed by Mfar"/>
      <sheetName val="9aVariation-1"/>
      <sheetName val="Bill Summary (C)"/>
      <sheetName val="Cost Abs (C)"/>
      <sheetName val="MB-PILE (C)"/>
      <sheetName val="BW IN FOUNDATION(N.T)(C)"/>
      <sheetName val="MB-Sheet Pile (C)"/>
      <sheetName val="EXCAVATION (C)"/>
      <sheetName val="ANTI-TERMITE (C)"/>
      <sheetName val="SBFS (C)"/>
      <sheetName val="PCC (C)"/>
      <sheetName val="INTEGRITY TEST (C)"/>
      <sheetName val="WATER-PROFFING (C)"/>
      <sheetName val="RCC IN PILE CAP &amp; RAFT (C)"/>
      <sheetName val="Shuttering PILE CAP (C)"/>
      <sheetName val="RCC WALL(C)"/>
      <sheetName val="RETAINING WALL SHUTTERING (C)"/>
      <sheetName val="RCC IN TIE BEAM (C)"/>
      <sheetName val="Shuttering TIE BEAM (C)"/>
      <sheetName val="RCC IN COLUMN (C)"/>
      <sheetName val="Shuttering COLUMN(FOUNDATION)C"/>
      <sheetName val="RCC IN COLUMN SUPERSTRUCTURE(C)"/>
      <sheetName val="Shuttering COLUMN (SUPERSTR)(C)"/>
      <sheetName val="RCC IN GR. FL. BEAM (C)"/>
      <sheetName val="GR. FL.BEAM SHUTTERING (C)"/>
      <sheetName val="PILE HEAD BREAKING (C)"/>
      <sheetName val="RMC  CONC.-Ann-(1)(C)"/>
      <sheetName val="ULT-Ann-(2)(C)"/>
      <sheetName val="ACC-Ann-(3)(C)"/>
      <sheetName val=" (With Pump) (C)"/>
      <sheetName val="CB Nov'09 (C)"/>
      <sheetName val="Reconciliation(WIP) "/>
      <sheetName val="Summary NOV'09 "/>
      <sheetName val="Prelims Back-Up"/>
      <sheetName val="Tracking Form"/>
      <sheetName val="Sum Cement1"/>
      <sheetName val="Previous Payment"/>
      <sheetName val="HVAC COM"/>
      <sheetName val="HVAC RESI"/>
      <sheetName val="FPS COM"/>
      <sheetName val="FPS RESI"/>
      <sheetName val="ELEC COM"/>
      <sheetName val="ELEC RESI"/>
      <sheetName val="PHE COM"/>
      <sheetName val="PHE RESI"/>
      <sheetName val="Equip - Tower B"/>
      <sheetName val="Ground floor"/>
      <sheetName val="Level 1"/>
      <sheetName val="Level 2,4,6,8,10 &amp;12"/>
      <sheetName val="Level 3,5,7,9 &amp;11"/>
      <sheetName val="Level 13"/>
      <sheetName val="Level 14"/>
      <sheetName val="Level 15"/>
      <sheetName val="Level 16"/>
      <sheetName val="Level 17"/>
      <sheetName val="Terrace floor"/>
      <sheetName val="Summary - Commercial"/>
      <sheetName val="DG"/>
      <sheetName val="Lift "/>
      <sheetName val=" Valves"/>
      <sheetName val="BM 3"/>
      <sheetName val="BM 2"/>
      <sheetName val="BM 1"/>
      <sheetName val="GF &amp; 1F"/>
      <sheetName val="2 &amp; 3F"/>
      <sheetName val="4 &amp; 5F"/>
      <sheetName val="6 &amp;7F"/>
      <sheetName val="8 &amp; 9F "/>
      <sheetName val="10 &amp;11F"/>
      <sheetName val="Hyd pipe"/>
      <sheetName val="External"/>
      <sheetName val="FDS"/>
      <sheetName val="FAS - Cable "/>
      <sheetName val="PAS - Cable"/>
      <sheetName val="Fire duct"/>
      <sheetName val="Fire duct 1"/>
      <sheetName val="Common"/>
      <sheetName val="Detail Sheet - below Ground"/>
      <sheetName val="Detail Sheet - Above Ground"/>
      <sheetName val="Detail Sheet - Tower 1"/>
      <sheetName val="Detail Sheet - Tower 2"/>
      <sheetName val="Detail Sheet - Link Bride"/>
      <sheetName val="Detail Sheet - MP hall"/>
      <sheetName val="Detail Sheet - External"/>
      <sheetName val="Base"/>
      <sheetName val="Stilt"/>
      <sheetName val="Club house"/>
      <sheetName val="Tower 1"/>
      <sheetName val="Tower 2"/>
      <sheetName val="Tower 3"/>
      <sheetName val="Ext Works"/>
      <sheetName val="Assumption "/>
      <sheetName val="Reference Information"/>
      <sheetName val="Employee List"/>
      <sheetName val="Sales Office"/>
      <sheetName val="IDC"/>
      <sheetName val="Misc. points"/>
      <sheetName val="qty abst"/>
      <sheetName val="Programe"/>
      <sheetName val="histogram"/>
      <sheetName val="basic "/>
      <sheetName val="bua"/>
      <sheetName val="topsheet"/>
      <sheetName val="ZFIN"/>
      <sheetName val="Location"/>
      <sheetName val="PlantLocation"/>
      <sheetName val="Brand"/>
      <sheetName val="Sub-brand"/>
      <sheetName val="Variant"/>
      <sheetName val="TaxClassificatn"/>
      <sheetName val="PurchGroup"/>
      <sheetName val="PackagingType"/>
      <sheetName val="PackSize"/>
      <sheetName val="UOM"/>
      <sheetName val="ProductHierarchy"/>
      <sheetName val="Special Procurement key"/>
      <sheetName val="Block Work LB-Phase-I"/>
      <sheetName val="Plastering LB-Phase-I"/>
      <sheetName val="Block Work UB-Phase-I"/>
      <sheetName val="Plastering UB-Phase-I"/>
      <sheetName val="DR.Toilet-Rough Pls-UB-Phase-II"/>
      <sheetName val="LB &amp; UB Ext Plastering Qty"/>
      <sheetName val="Pre-cast"/>
      <sheetName val="switch"/>
      <sheetName val="INPUT(Direct)"/>
      <sheetName val="Direct cost"/>
      <sheetName val="Bus Shelter"/>
      <sheetName val="pvdf mtl partition"/>
      <sheetName val="Mat'lRate"/>
      <sheetName val="ConsRate"/>
      <sheetName val="CustomDuty"/>
      <sheetName val="ExciseDuty"/>
      <sheetName val="Salestax"/>
      <sheetName val="EntryTax"/>
      <sheetName val="TransitInsurance"/>
      <sheetName val="SegniorageCharges"/>
      <sheetName val="TempWrksTruss Erect"/>
      <sheetName val="TempWrksTruss Erect (2)"/>
      <sheetName val="plant&amp;machinery"/>
      <sheetName val="Glass Partition"/>
      <sheetName val="total qty"/>
      <sheetName val="total qty - ratio"/>
      <sheetName val="見積書 8月５日提出"/>
      <sheetName val="見積書 8月７日変更"/>
      <sheetName val="表紙"/>
      <sheetName val="表紙 (2)"/>
      <sheetName val="見積書 11月20日"/>
      <sheetName val="見積書 11月20日 連動"/>
      <sheetName val="ドル移行"/>
      <sheetName val="準備期間経費"/>
      <sheetName val="見積金額一覧表"/>
      <sheetName val="Manpower Histogram "/>
      <sheetName val="basdat"/>
      <sheetName val="Ex Sum"/>
      <sheetName val=" Graphs"/>
      <sheetName val="Tracker"/>
      <sheetName val="Entries"/>
      <sheetName val="Provisional entries"/>
      <sheetName val="DCDL Consol June 06"/>
      <sheetName val="Infocity-Chandigarh"/>
      <sheetName val="Infocity-Kolkata"/>
      <sheetName val="DCDL-final"/>
      <sheetName val="Info city-Bangalore"/>
      <sheetName val="Info city-Hyderabad"/>
      <sheetName val="GKS"/>
      <sheetName val="Roadtech"/>
      <sheetName val="Udipti"/>
      <sheetName val="Bhoruka"/>
      <sheetName val="Shivaji"/>
      <sheetName val="Real Estate"/>
      <sheetName val="Info city- Chennai"/>
      <sheetName val="GT_Custom"/>
      <sheetName val="Passion"/>
      <sheetName val="Database"/>
      <sheetName val="E-Core version"/>
      <sheetName val="Laptop Loan Req Form"/>
      <sheetName val="Laptop Release Form"/>
      <sheetName val="page 1 of 2"/>
      <sheetName val="page 2 of 2"/>
      <sheetName val="Explanation"/>
      <sheetName val="QMM-Graph"/>
      <sheetName val="More Exp."/>
      <sheetName val="HRM Data"/>
      <sheetName val="cflwmpbswc"/>
      <sheetName val="Working Sheet"/>
      <sheetName val="Sales &amp; Profit"/>
      <sheetName val="Perf-summary"/>
      <sheetName val="profit"/>
      <sheetName val="Explanation "/>
      <sheetName val="BS'03"/>
      <sheetName val="Cap. Exp."/>
      <sheetName val="Three Aces"/>
      <sheetName val="MHO"/>
      <sheetName val="sbu1"/>
      <sheetName val="F A Sch sbu-2"/>
      <sheetName val="sbu-3"/>
      <sheetName val="sbu-4"/>
      <sheetName val="F A SBU-5"/>
      <sheetName val="F A Sch SBU-6"/>
      <sheetName val="sbu-7"/>
      <sheetName val="sbu-9"/>
      <sheetName val="F A Sch sbu-11"/>
      <sheetName val="eob"/>
      <sheetName val="ped"/>
      <sheetName val="F A Sch NBDD"/>
      <sheetName val="F A Sch HTC"/>
      <sheetName val="F A Sch EOU"/>
      <sheetName val="eou polymer"/>
      <sheetName val="F A Sch SPBU-1"/>
      <sheetName val="STAFFSCHED "/>
      <sheetName val="Abstract 1"/>
      <sheetName val="Tor steel supply Krushi advance"/>
      <sheetName val="Payment Tracker "/>
      <sheetName val="Abstract-2 "/>
      <sheetName val="Abstract 2"/>
      <sheetName val="Recovery-Cummulative"/>
      <sheetName val="Steel and cement recovery"/>
      <sheetName val="Recon Cement"/>
      <sheetName val="Concrete Reconciliation"/>
      <sheetName val="3cd Annexure"/>
      <sheetName val="Certificate "/>
      <sheetName val="BMS BOQ"/>
      <sheetName val="Name List"/>
      <sheetName val="BLOCK MASONARY"/>
      <sheetName val="COP"/>
      <sheetName val="Raft concrete Tower B"/>
      <sheetName val="Column Tower slab bott"/>
      <sheetName val="Column Tower upto beam bottom "/>
      <sheetName val="Basement roof slab Tower area"/>
      <sheetName val="Slab area basement roof"/>
      <sheetName val="RMC RECONCILATION"/>
      <sheetName val="RECONCILATION  STEEL "/>
      <sheetName val="FF roof slab area"/>
      <sheetName val="GF roof slab area &amp; concrete"/>
      <sheetName val="Column Tower C GF roof bott"/>
      <sheetName val="Col Tower(C) GF roof beam bott"/>
      <sheetName val="GF roof beam details"/>
      <sheetName val="FF roof slab concrete "/>
      <sheetName val="FF roof beam details"/>
      <sheetName val="Col Tow C GF roof to FF roof"/>
      <sheetName val="Col Tow C GF to FF beam bott"/>
      <sheetName val="FF roof Slab area chart"/>
      <sheetName val="SF roof Slab area chart"/>
      <sheetName val="Ex. Base Slab Area"/>
      <sheetName val="Ext. Base. Beam RCC"/>
      <sheetName val="Ex. Base. Slab RCC"/>
      <sheetName val="TF Roof Slab Area (as per site)"/>
      <sheetName val="TF Roof Slab Area as per Drg"/>
      <sheetName val="TF Roof Slab Concrete"/>
      <sheetName val="TF Roof Beam"/>
      <sheetName val="Col-SF roof to TF roof"/>
      <sheetName val="Col-SF to TF beam bottom"/>
      <sheetName val="Summary (2)"/>
      <sheetName val="Comparision"/>
      <sheetName val="compa"/>
      <sheetName val="Part II Subhead I(12-73)"/>
      <sheetName val="Basic Rates"/>
      <sheetName val="SubAnlysis"/>
      <sheetName val="Part II Subhead II"/>
      <sheetName val="Part II subhead III"/>
      <sheetName val="Lifts"/>
      <sheetName val="Part IV"/>
      <sheetName val="Rate Analysis in lifts"/>
      <sheetName val="Part II Subhead II(74-112)"/>
      <sheetName val="Part II subhead III(113-126)"/>
      <sheetName val="Part IV(138-166)"/>
      <sheetName val="ELEC-RA"/>
      <sheetName val="SEC-RA"/>
      <sheetName val="FPS-RA"/>
      <sheetName val="summary of item rate"/>
      <sheetName val="Rates compa"/>
      <sheetName val="Pumps"/>
      <sheetName val="AEs PART-II"/>
      <sheetName val="AE PART-I"/>
      <sheetName val="Ele RA"/>
      <sheetName val="Fire Alarm RA"/>
      <sheetName val="Fire"/>
      <sheetName val="Civil RA"/>
      <sheetName val="Blast doors"/>
      <sheetName val=" Basic Rates"/>
      <sheetName val="Ele RA "/>
      <sheetName val="bLAST DOOR RA"/>
      <sheetName val="k"/>
      <sheetName val="Final Estimate"/>
      <sheetName val="CST-I"/>
      <sheetName val="LOW RATES"/>
      <sheetName val="N"/>
      <sheetName val="O"/>
      <sheetName val="CST-O"/>
      <sheetName val="T.S"/>
      <sheetName val="Plinth Area Cost"/>
      <sheetName val="CST"/>
      <sheetName val="APP C"/>
      <sheetName val="APP D"/>
      <sheetName val="App J"/>
      <sheetName val="App K"/>
      <sheetName val="APP L"/>
      <sheetName val="App M"/>
      <sheetName val="App N"/>
      <sheetName val="App O"/>
      <sheetName val="SOLAR FENCE"/>
      <sheetName val="J1"/>
      <sheetName val="J2"/>
      <sheetName val="K1"/>
      <sheetName val="K2"/>
      <sheetName val="High Rates"/>
      <sheetName val="Paschal"/>
      <sheetName val="sca"/>
      <sheetName val="Ammendement"/>
      <sheetName val="Amd BOQ"/>
      <sheetName val="Cost Civil"/>
      <sheetName val="Civil-AOR"/>
      <sheetName val="Electrical AOR"/>
      <sheetName val="Subdetail"/>
      <sheetName val="T7 Buildestimate"/>
      <sheetName val="RA SOLAR"/>
      <sheetName val="Servieces"/>
      <sheetName val="Tunnel "/>
      <sheetName val="FF RA"/>
      <sheetName val="Vent Rate"/>
      <sheetName val="FAS RA"/>
      <sheetName val=" T7"/>
      <sheetName val="LATEST AE"/>
      <sheetName val="AE_I"/>
      <sheetName val="AE-II"/>
      <sheetName val="FF_RA"/>
      <sheetName val="Power Supply FF RA"/>
      <sheetName val="ktr"/>
      <sheetName val="Part C - HardStand"/>
      <sheetName val="New33KVSS_E3"/>
      <sheetName val="Prop aug of Ex 33KVSS_E3a"/>
      <sheetName val="SIN"/>
      <sheetName val="CREV"/>
      <sheetName val="DREV"/>
      <sheetName val="IDCCALHYD_GOO"/>
      <sheetName val="REL"/>
      <sheetName val="CORRECTION"/>
      <sheetName val="wages"/>
      <sheetName val="Major P&amp;M deployment"/>
      <sheetName val="p&amp;m L&amp;T Hire"/>
      <sheetName val="Iron Steel &amp; handrails"/>
      <sheetName val="Publicbuilding"/>
      <sheetName val="STRUC"/>
      <sheetName val="DOOR-WIND"/>
      <sheetName val="ROOFING"/>
      <sheetName val="MR"/>
      <sheetName val="VENDOR CODE WO NO"/>
      <sheetName val="Master Item List"/>
      <sheetName val="WPR-IV"/>
      <sheetName val="Misc__points2"/>
      <sheetName val="qty_abst2"/>
      <sheetName val="basic_2"/>
      <sheetName val="Rate_Analysis2"/>
      <sheetName val="Top_Sheet2"/>
      <sheetName val="Iron_Steel_&amp;_handrails2"/>
      <sheetName val="Misc__points"/>
      <sheetName val="qty_abst"/>
      <sheetName val="basic_"/>
      <sheetName val="Iron_Steel_&amp;_handrails"/>
      <sheetName val="Misc__points1"/>
      <sheetName val="qty_abst1"/>
      <sheetName val="basic_1"/>
      <sheetName val="Rate_Analysis1"/>
      <sheetName val="Top_Sheet1"/>
      <sheetName val="Iron_Steel_&amp;_handrails1"/>
      <sheetName val="VENDER DETAIL"/>
      <sheetName val="calcul"/>
      <sheetName val="Ref_Lists_SER"/>
      <sheetName val="grid"/>
      <sheetName val="COP Final"/>
      <sheetName val="PRICED-BOQ-SUMM"/>
      <sheetName val="PRICED-BOQ"/>
      <sheetName val="RA-MKT"/>
      <sheetName val="M.S."/>
      <sheetName val="Total Quantity (2)"/>
      <sheetName val="except wiring"/>
      <sheetName val="NT LBH"/>
      <sheetName val="pol-60"/>
      <sheetName val="acevsSp"/>
      <sheetName val="Bid Items"/>
      <sheetName val="acevsSp (ABC)"/>
      <sheetName val="INFLUENCES ON GM"/>
      <sheetName val="Matl Cons"/>
      <sheetName val="Basic Cost"/>
      <sheetName val="RECON"/>
      <sheetName val="Matl. Req."/>
      <sheetName val="Form Work"/>
      <sheetName val="Deptitemc"/>
      <sheetName val="deptlc"/>
      <sheetName val="Dept break"/>
      <sheetName val="P&amp;M ITEMCOST"/>
      <sheetName val="PMbreak"/>
      <sheetName val="PMbreak%"/>
      <sheetName val="PMabs"/>
      <sheetName val="PMCOSTa"/>
      <sheetName val="PMCOSTb"/>
      <sheetName val="PMCOSTc"/>
      <sheetName val="PMCOSTd"/>
      <sheetName val="FUEL NORMS (RPLM)"/>
      <sheetName val="GEODESIC"/>
      <sheetName val="IDC.1010,1030,1100,1180"/>
      <sheetName val="IDC.1020"/>
      <sheetName val="IDC.1040 "/>
      <sheetName val="IDC.1200"/>
      <sheetName val="Clients Facilities"/>
      <sheetName val="Clts Fac Tender Vs Actuals"/>
      <sheetName val="NL-Field Lab Equipment SVD"/>
      <sheetName val="CF-Fur-Det"/>
      <sheetName val="BG Det"/>
      <sheetName val="TAXES"/>
      <sheetName val="TAXES (2)"/>
      <sheetName val="Webcity 3"/>
      <sheetName val="Manpower Summary"/>
      <sheetName val="Webcity 3 (2)"/>
      <sheetName val="Dec'16"/>
      <sheetName val="Phase 2"/>
      <sheetName val="Phase 1"/>
      <sheetName val="Phase 1-1"/>
      <sheetName val="Over All Qty"/>
      <sheetName val="Debits as on 12.04.08"/>
      <sheetName val="일위대가"/>
      <sheetName val="INPUT_SHEET"/>
      <sheetName val="Wire"/>
      <sheetName val="INFBD1"/>
      <sheetName val="PACK (B)"/>
      <sheetName val="PO Value 31st January"/>
      <sheetName val="Material Rate (2)"/>
      <sheetName val="E _ R"/>
      <sheetName val="Schedules PL"/>
      <sheetName val="Schedules BS"/>
      <sheetName val="Field Values"/>
      <sheetName val="newsales"/>
      <sheetName val="E_&amp;_R"/>
      <sheetName val="E___R"/>
      <sheetName val="new_main_20K"/>
      <sheetName val="SPS DETAIL"/>
      <sheetName val="Works - Quote Sheet"/>
      <sheetName val="A0744339"/>
      <sheetName val="Client Ref Copy"/>
      <sheetName val="CP Fittings"/>
      <sheetName val="DC Backup"/>
      <sheetName val="Summary M Sheet1"/>
      <sheetName val="GI pipe"/>
      <sheetName val="INPUT_SHEET1"/>
      <sheetName val="E_&amp;_R1"/>
      <sheetName val="Manpower_Histogram_"/>
      <sheetName val="Ex_Sum"/>
      <sheetName val="Data_sheet"/>
      <sheetName val="_Graphs"/>
      <sheetName val="Over_All_Qty"/>
      <sheetName val="Debits_as_on_12_04_08"/>
      <sheetName val="9__Package_split_-_Cost_"/>
      <sheetName val="PACK_(B)"/>
      <sheetName val="PO_Value_31st_January"/>
      <sheetName val="Material_Rate_(2)"/>
      <sheetName val="10__&amp;_11__Rate_Code_&amp;_BQ"/>
      <sheetName val="E___R1"/>
      <sheetName val="Schedules_PL"/>
      <sheetName val="Schedules_BS"/>
      <sheetName val="Field_Values"/>
      <sheetName val="WORK_TABLE"/>
      <sheetName val="INPUT_SHEET3"/>
      <sheetName val="E_&amp;_R3"/>
      <sheetName val="Manpower_Histogram_2"/>
      <sheetName val="Ex_Sum2"/>
      <sheetName val="Data_sheet2"/>
      <sheetName val="_Graphs2"/>
      <sheetName val="Over_All_Qty2"/>
      <sheetName val="Debits_as_on_12_04_082"/>
      <sheetName val="9__Package_split_-_Cost_2"/>
      <sheetName val="PACK_(B)2"/>
      <sheetName val="PO_Value_31st_January2"/>
      <sheetName val="Material_Rate_(2)2"/>
      <sheetName val="10__&amp;_11__Rate_Code_&amp;_BQ2"/>
      <sheetName val="E___R3"/>
      <sheetName val="Schedules_PL2"/>
      <sheetName val="Schedules_BS2"/>
      <sheetName val="Field_Values2"/>
      <sheetName val="WORK_TABLE2"/>
      <sheetName val="INPUT_SHEET2"/>
      <sheetName val="E_&amp;_R2"/>
      <sheetName val="Manpower_Histogram_1"/>
      <sheetName val="Ex_Sum1"/>
      <sheetName val="Data_sheet1"/>
      <sheetName val="_Graphs1"/>
      <sheetName val="Over_All_Qty1"/>
      <sheetName val="Debits_as_on_12_04_081"/>
      <sheetName val="9__Package_split_-_Cost_1"/>
      <sheetName val="PACK_(B)1"/>
      <sheetName val="PO_Value_31st_January1"/>
      <sheetName val="Material_Rate_(2)1"/>
      <sheetName val="10__&amp;_11__Rate_Code_&amp;_BQ1"/>
      <sheetName val="E___R2"/>
      <sheetName val="Schedules_PL1"/>
      <sheetName val="Schedules_BS1"/>
      <sheetName val="Field_Values1"/>
      <sheetName val="WORK_TABLE1"/>
      <sheetName val="INPUT_SHEET4"/>
      <sheetName val="E_&amp;_R4"/>
      <sheetName val="Manpower_Histogram_3"/>
      <sheetName val="Ex_Sum3"/>
      <sheetName val="Data_sheet3"/>
      <sheetName val="_Graphs3"/>
      <sheetName val="Over_All_Qty3"/>
      <sheetName val="Debits_as_on_12_04_083"/>
      <sheetName val="9__Package_split_-_Cost_3"/>
      <sheetName val="PACK_(B)3"/>
      <sheetName val="PO_Value_31st_January3"/>
      <sheetName val="Material_Rate_(2)3"/>
      <sheetName val="10__&amp;_11__Rate_Code_&amp;_BQ3"/>
      <sheetName val="E___R4"/>
      <sheetName val="Schedules_PL3"/>
      <sheetName val="Schedules_BS3"/>
      <sheetName val="Field_Values3"/>
      <sheetName val="WORK_TABLE3"/>
      <sheetName val="Rate_analysis3"/>
      <sheetName val="INPUT_SHEET5"/>
      <sheetName val="E_&amp;_R5"/>
      <sheetName val="Manpower_Histogram_4"/>
      <sheetName val="Ex_Sum4"/>
      <sheetName val="Data_sheet4"/>
      <sheetName val="_Graphs4"/>
      <sheetName val="Over_All_Qty4"/>
      <sheetName val="Debits_as_on_12_04_084"/>
      <sheetName val="9__Package_split_-_Cost_4"/>
      <sheetName val="PACK_(B)4"/>
      <sheetName val="PO_Value_31st_January4"/>
      <sheetName val="Material_Rate_(2)4"/>
      <sheetName val="10__&amp;_11__Rate_Code_&amp;_BQ4"/>
      <sheetName val="E___R5"/>
      <sheetName val="Schedules_PL4"/>
      <sheetName val="Schedules_BS4"/>
      <sheetName val="Field_Values4"/>
      <sheetName val="WORK_TABLE4"/>
      <sheetName val="Rate_analysis4"/>
      <sheetName val="INPUT_SHEET6"/>
      <sheetName val="E_&amp;_R6"/>
      <sheetName val="Manpower_Histogram_5"/>
      <sheetName val="Ex_Sum5"/>
      <sheetName val="Data_sheet5"/>
      <sheetName val="_Graphs5"/>
      <sheetName val="Over_All_Qty5"/>
      <sheetName val="Debits_as_on_12_04_085"/>
      <sheetName val="9__Package_split_-_Cost_5"/>
      <sheetName val="PACK_(B)5"/>
      <sheetName val="PO_Value_31st_January5"/>
      <sheetName val="Material_Rate_(2)5"/>
      <sheetName val="10__&amp;_11__Rate_Code_&amp;_BQ5"/>
      <sheetName val="E___R6"/>
      <sheetName val="Schedules_PL5"/>
      <sheetName val="Schedules_BS5"/>
      <sheetName val="Field_Values5"/>
      <sheetName val="WORK_TABLE5"/>
      <sheetName val="Rate_analysis5"/>
      <sheetName val="INPUT_SHEET7"/>
      <sheetName val="E_&amp;_R7"/>
      <sheetName val="Manpower_Histogram_6"/>
      <sheetName val="Ex_Sum6"/>
      <sheetName val="Data_sheet6"/>
      <sheetName val="_Graphs6"/>
      <sheetName val="Over_All_Qty6"/>
      <sheetName val="Debits_as_on_12_04_086"/>
      <sheetName val="9__Package_split_-_Cost_6"/>
      <sheetName val="PACK_(B)6"/>
      <sheetName val="PO_Value_31st_January6"/>
      <sheetName val="Material_Rate_(2)6"/>
      <sheetName val="10__&amp;_11__Rate_Code_&amp;_BQ6"/>
      <sheetName val="E___R7"/>
      <sheetName val="Schedules_PL6"/>
      <sheetName val="Schedules_BS6"/>
      <sheetName val="Field_Values6"/>
      <sheetName val="WORK_TABLE6"/>
      <sheetName val="Rate_analysis6"/>
      <sheetName val="INPUT_SHEET8"/>
      <sheetName val="E_&amp;_R8"/>
      <sheetName val="Site_Dev_BOQ7"/>
      <sheetName val="Manpower_Histogram_7"/>
      <sheetName val="India_F&amp;S_Template7"/>
      <sheetName val="Ex_Sum7"/>
      <sheetName val="Data_sheet7"/>
      <sheetName val="_Graphs7"/>
      <sheetName val="Over_All_Qty7"/>
      <sheetName val="SPT_vs_PHI7"/>
      <sheetName val="Debits_as_on_12_04_087"/>
      <sheetName val="9__Package_split_-_Cost_7"/>
      <sheetName val="PRECAST_lightconc-II7"/>
      <sheetName val="PACK_(B)7"/>
      <sheetName val="PO_Value_31st_January7"/>
      <sheetName val="Material_Rate_(2)7"/>
      <sheetName val="10__&amp;_11__Rate_Code_&amp;_BQ7"/>
      <sheetName val="Fee_Rate_Summary7"/>
      <sheetName val="E___R8"/>
      <sheetName val="Schedules_PL7"/>
      <sheetName val="Schedules_BS7"/>
      <sheetName val="Field_Values7"/>
      <sheetName val="WORK_TABLE7"/>
      <sheetName val="Rate_analysis7"/>
      <sheetName val="INPUT_SHEET9"/>
      <sheetName val="E_&amp;_R9"/>
      <sheetName val="Site_Dev_BOQ8"/>
      <sheetName val="Manpower_Histogram_8"/>
      <sheetName val="India_F&amp;S_Template8"/>
      <sheetName val="Ex_Sum8"/>
      <sheetName val="Data_sheet8"/>
      <sheetName val="_Graphs8"/>
      <sheetName val="Over_All_Qty8"/>
      <sheetName val="SPT_vs_PHI8"/>
      <sheetName val="Debits_as_on_12_04_088"/>
      <sheetName val="9__Package_split_-_Cost_8"/>
      <sheetName val="PRECAST_lightconc-II8"/>
      <sheetName val="PACK_(B)8"/>
      <sheetName val="PO_Value_31st_January8"/>
      <sheetName val="Material_Rate_(2)8"/>
      <sheetName val="10__&amp;_11__Rate_Code_&amp;_BQ8"/>
      <sheetName val="Fee_Rate_Summary8"/>
      <sheetName val="E___R9"/>
      <sheetName val="Schedules_PL8"/>
      <sheetName val="Schedules_BS8"/>
      <sheetName val="Field_Values8"/>
      <sheetName val="WORK_TABLE8"/>
      <sheetName val="Rate_analysis8"/>
      <sheetName val="98Price"/>
      <sheetName val="INPUT_SHEET15"/>
      <sheetName val="E_&amp;_R15"/>
      <sheetName val="Site_Dev_BOQ14"/>
      <sheetName val="Manpower_Histogram_14"/>
      <sheetName val="India_F&amp;S_Template14"/>
      <sheetName val="Ex_Sum14"/>
      <sheetName val="Data_sheet14"/>
      <sheetName val="_Graphs14"/>
      <sheetName val="Over_All_Qty14"/>
      <sheetName val="SPT_vs_PHI14"/>
      <sheetName val="Debits_as_on_12_04_0814"/>
      <sheetName val="9__Package_split_-_Cost_14"/>
      <sheetName val="PRECAST_lightconc-II14"/>
      <sheetName val="PACK_(B)14"/>
      <sheetName val="PO_Value_31st_January14"/>
      <sheetName val="Material_Rate_(2)14"/>
      <sheetName val="10__&amp;_11__Rate_Code_&amp;_BQ14"/>
      <sheetName val="Fee_Rate_Summary14"/>
      <sheetName val="E___R15"/>
      <sheetName val="Schedules_PL14"/>
      <sheetName val="Schedules_BS14"/>
      <sheetName val="Field_Values14"/>
      <sheetName val="WORK_TABLE14"/>
      <sheetName val="Rate_analysis14"/>
      <sheetName val="INPUT_SHEET11"/>
      <sheetName val="E_&amp;_R11"/>
      <sheetName val="Site_Dev_BOQ10"/>
      <sheetName val="Manpower_Histogram_10"/>
      <sheetName val="India_F&amp;S_Template10"/>
      <sheetName val="Ex_Sum10"/>
      <sheetName val="Data_sheet10"/>
      <sheetName val="_Graphs10"/>
      <sheetName val="Over_All_Qty10"/>
      <sheetName val="SPT_vs_PHI10"/>
      <sheetName val="Debits_as_on_12_04_0810"/>
      <sheetName val="9__Package_split_-_Cost_10"/>
      <sheetName val="PRECAST_lightconc-II10"/>
      <sheetName val="PACK_(B)10"/>
      <sheetName val="PO_Value_31st_January10"/>
      <sheetName val="Material_Rate_(2)10"/>
      <sheetName val="10__&amp;_11__Rate_Code_&amp;_BQ10"/>
      <sheetName val="Fee_Rate_Summary10"/>
      <sheetName val="E___R11"/>
      <sheetName val="Schedules_PL10"/>
      <sheetName val="Schedules_BS10"/>
      <sheetName val="Field_Values10"/>
      <sheetName val="WORK_TABLE10"/>
      <sheetName val="Rate_analysis10"/>
      <sheetName val="INPUT_SHEET10"/>
      <sheetName val="E_&amp;_R10"/>
      <sheetName val="Site_Dev_BOQ9"/>
      <sheetName val="Manpower_Histogram_9"/>
      <sheetName val="India_F&amp;S_Template9"/>
      <sheetName val="Ex_Sum9"/>
      <sheetName val="Data_sheet9"/>
      <sheetName val="_Graphs9"/>
      <sheetName val="Over_All_Qty9"/>
      <sheetName val="SPT_vs_PHI9"/>
      <sheetName val="Debits_as_on_12_04_089"/>
      <sheetName val="9__Package_split_-_Cost_9"/>
      <sheetName val="PRECAST_lightconc-II9"/>
      <sheetName val="PACK_(B)9"/>
      <sheetName val="PO_Value_31st_January9"/>
      <sheetName val="Material_Rate_(2)9"/>
      <sheetName val="10__&amp;_11__Rate_Code_&amp;_BQ9"/>
      <sheetName val="Fee_Rate_Summary9"/>
      <sheetName val="E___R10"/>
      <sheetName val="Schedules_PL9"/>
      <sheetName val="Schedules_BS9"/>
      <sheetName val="Field_Values9"/>
      <sheetName val="WORK_TABLE9"/>
      <sheetName val="Rate_analysis9"/>
      <sheetName val="INPUT_SHEET12"/>
      <sheetName val="E_&amp;_R12"/>
      <sheetName val="Site_Dev_BOQ11"/>
      <sheetName val="Manpower_Histogram_11"/>
      <sheetName val="India_F&amp;S_Template11"/>
      <sheetName val="Ex_Sum11"/>
      <sheetName val="Data_sheet11"/>
      <sheetName val="_Graphs11"/>
      <sheetName val="Over_All_Qty11"/>
      <sheetName val="SPT_vs_PHI11"/>
      <sheetName val="Debits_as_on_12_04_0811"/>
      <sheetName val="9__Package_split_-_Cost_11"/>
      <sheetName val="PRECAST_lightconc-II11"/>
      <sheetName val="PACK_(B)11"/>
      <sheetName val="PO_Value_31st_January11"/>
      <sheetName val="Material_Rate_(2)11"/>
      <sheetName val="10__&amp;_11__Rate_Code_&amp;_BQ11"/>
      <sheetName val="Fee_Rate_Summary11"/>
      <sheetName val="E___R12"/>
      <sheetName val="Schedules_PL11"/>
      <sheetName val="Schedules_BS11"/>
      <sheetName val="Field_Values11"/>
      <sheetName val="WORK_TABLE11"/>
      <sheetName val="Rate_analysis11"/>
      <sheetName val="INPUT_SHEET13"/>
      <sheetName val="E_&amp;_R13"/>
      <sheetName val="Site_Dev_BOQ12"/>
      <sheetName val="Manpower_Histogram_12"/>
      <sheetName val="India_F&amp;S_Template12"/>
      <sheetName val="Ex_Sum12"/>
      <sheetName val="Data_sheet12"/>
      <sheetName val="_Graphs12"/>
      <sheetName val="Over_All_Qty12"/>
      <sheetName val="SPT_vs_PHI12"/>
      <sheetName val="Debits_as_on_12_04_0812"/>
      <sheetName val="9__Package_split_-_Cost_12"/>
      <sheetName val="PRECAST_lightconc-II12"/>
      <sheetName val="PACK_(B)12"/>
      <sheetName val="PO_Value_31st_January12"/>
      <sheetName val="Material_Rate_(2)12"/>
      <sheetName val="10__&amp;_11__Rate_Code_&amp;_BQ12"/>
      <sheetName val="Fee_Rate_Summary12"/>
      <sheetName val="E___R13"/>
      <sheetName val="Schedules_PL12"/>
      <sheetName val="Schedules_BS12"/>
      <sheetName val="Field_Values12"/>
      <sheetName val="WORK_TABLE12"/>
      <sheetName val="Rate_analysis12"/>
      <sheetName val="INPUT_SHEET14"/>
      <sheetName val="E_&amp;_R14"/>
      <sheetName val="Site_Dev_BOQ13"/>
      <sheetName val="Manpower_Histogram_13"/>
      <sheetName val="India_F&amp;S_Template13"/>
      <sheetName val="Ex_Sum13"/>
      <sheetName val="Data_sheet13"/>
      <sheetName val="_Graphs13"/>
      <sheetName val="Over_All_Qty13"/>
      <sheetName val="SPT_vs_PHI13"/>
      <sheetName val="Debits_as_on_12_04_0813"/>
      <sheetName val="9__Package_split_-_Cost_13"/>
      <sheetName val="PRECAST_lightconc-II13"/>
      <sheetName val="PACK_(B)13"/>
      <sheetName val="PO_Value_31st_January13"/>
      <sheetName val="Material_Rate_(2)13"/>
      <sheetName val="10__&amp;_11__Rate_Code_&amp;_BQ13"/>
      <sheetName val="Fee_Rate_Summary13"/>
      <sheetName val="E___R14"/>
      <sheetName val="Schedules_PL13"/>
      <sheetName val="Schedules_BS13"/>
      <sheetName val="Field_Values13"/>
      <sheetName val="WORK_TABLE13"/>
      <sheetName val="Rate_analysis13"/>
      <sheetName val="INPUT_SHEET21"/>
      <sheetName val="E_&amp;_R21"/>
      <sheetName val="Site_Dev_BOQ20"/>
      <sheetName val="Manpower_Histogram_20"/>
      <sheetName val="India_F&amp;S_Template20"/>
      <sheetName val="Ex_Sum20"/>
      <sheetName val="Data_sheet20"/>
      <sheetName val="_Graphs20"/>
      <sheetName val="Over_All_Qty20"/>
      <sheetName val="SPT_vs_PHI20"/>
      <sheetName val="Debits_as_on_12_04_0820"/>
      <sheetName val="9__Package_split_-_Cost_20"/>
      <sheetName val="PRECAST_lightconc-II20"/>
      <sheetName val="PACK_(B)20"/>
      <sheetName val="PO_Value_31st_January20"/>
      <sheetName val="Material_Rate_(2)20"/>
      <sheetName val="10__&amp;_11__Rate_Code_&amp;_BQ20"/>
      <sheetName val="Fee_Rate_Summary20"/>
      <sheetName val="E___R21"/>
      <sheetName val="Schedules_PL20"/>
      <sheetName val="Schedules_BS20"/>
      <sheetName val="Field_Values20"/>
      <sheetName val="WORK_TABLE20"/>
      <sheetName val="Rate_analysis20"/>
      <sheetName val="INPUT_SHEET16"/>
      <sheetName val="E_&amp;_R16"/>
      <sheetName val="Site_Dev_BOQ15"/>
      <sheetName val="Manpower_Histogram_15"/>
      <sheetName val="India_F&amp;S_Template15"/>
      <sheetName val="Ex_Sum15"/>
      <sheetName val="Data_sheet15"/>
      <sheetName val="_Graphs15"/>
      <sheetName val="Over_All_Qty15"/>
      <sheetName val="SPT_vs_PHI15"/>
      <sheetName val="Debits_as_on_12_04_0815"/>
      <sheetName val="9__Package_split_-_Cost_15"/>
      <sheetName val="PRECAST_lightconc-II15"/>
      <sheetName val="PACK_(B)15"/>
      <sheetName val="PO_Value_31st_January15"/>
      <sheetName val="Material_Rate_(2)15"/>
      <sheetName val="10__&amp;_11__Rate_Code_&amp;_BQ15"/>
      <sheetName val="Fee_Rate_Summary15"/>
      <sheetName val="E___R16"/>
      <sheetName val="Schedules_PL15"/>
      <sheetName val="Schedules_BS15"/>
      <sheetName val="Field_Values15"/>
      <sheetName val="WORK_TABLE15"/>
      <sheetName val="Rate_analysis15"/>
      <sheetName val="INPUT_SHEET17"/>
      <sheetName val="E_&amp;_R17"/>
      <sheetName val="Site_Dev_BOQ16"/>
      <sheetName val="Manpower_Histogram_16"/>
      <sheetName val="India_F&amp;S_Template16"/>
      <sheetName val="Ex_Sum16"/>
      <sheetName val="Data_sheet16"/>
      <sheetName val="_Graphs16"/>
      <sheetName val="Over_All_Qty16"/>
      <sheetName val="SPT_vs_PHI16"/>
      <sheetName val="Debits_as_on_12_04_0816"/>
      <sheetName val="9__Package_split_-_Cost_16"/>
      <sheetName val="PRECAST_lightconc-II16"/>
      <sheetName val="PACK_(B)16"/>
      <sheetName val="PO_Value_31st_January16"/>
      <sheetName val="Material_Rate_(2)16"/>
      <sheetName val="10__&amp;_11__Rate_Code_&amp;_BQ16"/>
      <sheetName val="Fee_Rate_Summary16"/>
      <sheetName val="E___R17"/>
      <sheetName val="Schedules_PL16"/>
      <sheetName val="Schedules_BS16"/>
      <sheetName val="Field_Values16"/>
      <sheetName val="WORK_TABLE16"/>
      <sheetName val="Rate_analysis16"/>
      <sheetName val="Client_Ref_Copy3"/>
      <sheetName val="Bill_Summary3"/>
      <sheetName val="CP_Fittings3"/>
      <sheetName val="DC_Backup3"/>
      <sheetName val="Summary_M_Sheet13"/>
      <sheetName val="GI_pipe3"/>
      <sheetName val="SPS_DETAIL3"/>
      <sheetName val="Works_-_Quote_Sheet3"/>
      <sheetName val="Fill_this_out_first___3"/>
      <sheetName val="INPUT_SHEET18"/>
      <sheetName val="E_&amp;_R18"/>
      <sheetName val="Site_Dev_BOQ17"/>
      <sheetName val="Manpower_Histogram_17"/>
      <sheetName val="India_F&amp;S_Template17"/>
      <sheetName val="Ex_Sum17"/>
      <sheetName val="Data_sheet17"/>
      <sheetName val="_Graphs17"/>
      <sheetName val="Over_All_Qty17"/>
      <sheetName val="SPT_vs_PHI17"/>
      <sheetName val="Debits_as_on_12_04_0817"/>
      <sheetName val="9__Package_split_-_Cost_17"/>
      <sheetName val="PRECAST_lightconc-II17"/>
      <sheetName val="PACK_(B)17"/>
      <sheetName val="PO_Value_31st_January17"/>
      <sheetName val="Material_Rate_(2)17"/>
      <sheetName val="10__&amp;_11__Rate_Code_&amp;_BQ17"/>
      <sheetName val="Fee_Rate_Summary17"/>
      <sheetName val="E___R18"/>
      <sheetName val="Schedules_PL17"/>
      <sheetName val="Schedules_BS17"/>
      <sheetName val="Field_Values17"/>
      <sheetName val="WORK_TABLE17"/>
      <sheetName val="Rate_analysis17"/>
      <sheetName val="Client_Ref_Copy"/>
      <sheetName val="Bill_Summary"/>
      <sheetName val="CP_Fittings"/>
      <sheetName val="DC_Backup"/>
      <sheetName val="Summary_M_Sheet1"/>
      <sheetName val="GI_pipe"/>
      <sheetName val="SPS_DETAIL"/>
      <sheetName val="Works_-_Quote_Sheet"/>
      <sheetName val="Fill_this_out_first___"/>
      <sheetName val="INPUT_SHEET19"/>
      <sheetName val="E_&amp;_R19"/>
      <sheetName val="Site_Dev_BOQ18"/>
      <sheetName val="Manpower_Histogram_18"/>
      <sheetName val="India_F&amp;S_Template18"/>
      <sheetName val="Ex_Sum18"/>
      <sheetName val="Data_sheet18"/>
      <sheetName val="_Graphs18"/>
      <sheetName val="Over_All_Qty18"/>
      <sheetName val="SPT_vs_PHI18"/>
      <sheetName val="Debits_as_on_12_04_0818"/>
      <sheetName val="9__Package_split_-_Cost_18"/>
      <sheetName val="PRECAST_lightconc-II18"/>
      <sheetName val="PACK_(B)18"/>
      <sheetName val="PO_Value_31st_January18"/>
      <sheetName val="Material_Rate_(2)18"/>
      <sheetName val="10__&amp;_11__Rate_Code_&amp;_BQ18"/>
      <sheetName val="Fee_Rate_Summary18"/>
      <sheetName val="E___R19"/>
      <sheetName val="Schedules_PL18"/>
      <sheetName val="Schedules_BS18"/>
      <sheetName val="Field_Values18"/>
      <sheetName val="WORK_TABLE18"/>
      <sheetName val="Rate_analysis18"/>
      <sheetName val="Client_Ref_Copy1"/>
      <sheetName val="Bill_Summary1"/>
      <sheetName val="CP_Fittings1"/>
      <sheetName val="DC_Backup1"/>
      <sheetName val="Summary_M_Sheet11"/>
      <sheetName val="GI_pipe1"/>
      <sheetName val="SPS_DETAIL1"/>
      <sheetName val="Works_-_Quote_Sheet1"/>
      <sheetName val="Fill_this_out_first___1"/>
      <sheetName val="INPUT_SHEET20"/>
      <sheetName val="E_&amp;_R20"/>
      <sheetName val="Site_Dev_BOQ19"/>
      <sheetName val="Manpower_Histogram_19"/>
      <sheetName val="India_F&amp;S_Template19"/>
      <sheetName val="Ex_Sum19"/>
      <sheetName val="Data_sheet19"/>
      <sheetName val="_Graphs19"/>
      <sheetName val="Over_All_Qty19"/>
      <sheetName val="SPT_vs_PHI19"/>
      <sheetName val="Debits_as_on_12_04_0819"/>
      <sheetName val="9__Package_split_-_Cost_19"/>
      <sheetName val="PRECAST_lightconc-II19"/>
      <sheetName val="PACK_(B)19"/>
      <sheetName val="PO_Value_31st_January19"/>
      <sheetName val="Material_Rate_(2)19"/>
      <sheetName val="10__&amp;_11__Rate_Code_&amp;_BQ19"/>
      <sheetName val="Fee_Rate_Summary19"/>
      <sheetName val="E___R20"/>
      <sheetName val="Schedules_PL19"/>
      <sheetName val="Schedules_BS19"/>
      <sheetName val="Field_Values19"/>
      <sheetName val="WORK_TABLE19"/>
      <sheetName val="Rate_analysis19"/>
      <sheetName val="Client_Ref_Copy2"/>
      <sheetName val="Bill_Summary2"/>
      <sheetName val="CP_Fittings2"/>
      <sheetName val="DC_Backup2"/>
      <sheetName val="Summary_M_Sheet12"/>
      <sheetName val="GI_pipe2"/>
      <sheetName val="SPS_DETAIL2"/>
      <sheetName val="Works_-_Quote_Sheet2"/>
      <sheetName val="Fill_this_out_first___2"/>
      <sheetName val="INPUT_SHEET22"/>
      <sheetName val="E_&amp;_R22"/>
      <sheetName val="Site_Dev_BOQ21"/>
      <sheetName val="Manpower_Histogram_21"/>
      <sheetName val="India_F&amp;S_Template21"/>
      <sheetName val="Ex_Sum21"/>
      <sheetName val="Data_sheet21"/>
      <sheetName val="_Graphs21"/>
      <sheetName val="Over_All_Qty21"/>
      <sheetName val="SPT_vs_PHI21"/>
      <sheetName val="Debits_as_on_12_04_0821"/>
      <sheetName val="9__Package_split_-_Cost_21"/>
      <sheetName val="PRECAST_lightconc-II21"/>
      <sheetName val="PACK_(B)21"/>
      <sheetName val="PO_Value_31st_January21"/>
      <sheetName val="Material_Rate_(2)21"/>
      <sheetName val="10__&amp;_11__Rate_Code_&amp;_BQ21"/>
      <sheetName val="Fee_Rate_Summary21"/>
      <sheetName val="E___R22"/>
      <sheetName val="Schedules_PL21"/>
      <sheetName val="Schedules_BS21"/>
      <sheetName val="Field_Values21"/>
      <sheetName val="WORK_TABLE21"/>
      <sheetName val="Rate_analysis21"/>
      <sheetName val="Client_Ref_Copy4"/>
      <sheetName val="Bill_Summary4"/>
      <sheetName val="CP_Fittings4"/>
      <sheetName val="DC_Backup4"/>
      <sheetName val="Summary_M_Sheet14"/>
      <sheetName val="GI_pipe4"/>
      <sheetName val="SPS_DETAIL4"/>
      <sheetName val="Works_-_Quote_Sheet4"/>
      <sheetName val="Fill_this_out_first___4"/>
      <sheetName val="INPUT_SHEET23"/>
      <sheetName val="E_&amp;_R23"/>
      <sheetName val="Site_Dev_BOQ22"/>
      <sheetName val="Manpower_Histogram_22"/>
      <sheetName val="India_F&amp;S_Template22"/>
      <sheetName val="Ex_Sum22"/>
      <sheetName val="Data_sheet22"/>
      <sheetName val="_Graphs22"/>
      <sheetName val="Over_All_Qty22"/>
      <sheetName val="SPT_vs_PHI22"/>
      <sheetName val="Debits_as_on_12_04_0822"/>
      <sheetName val="9__Package_split_-_Cost_22"/>
      <sheetName val="PRECAST_lightconc-II22"/>
      <sheetName val="PACK_(B)22"/>
      <sheetName val="PO_Value_31st_January22"/>
      <sheetName val="Material_Rate_(2)22"/>
      <sheetName val="10__&amp;_11__Rate_Code_&amp;_BQ22"/>
      <sheetName val="Fee_Rate_Summary22"/>
      <sheetName val="E___R23"/>
      <sheetName val="Schedules_PL22"/>
      <sheetName val="Schedules_BS22"/>
      <sheetName val="Field_Values22"/>
      <sheetName val="WORK_TABLE22"/>
      <sheetName val="Rate_analysis22"/>
      <sheetName val="Client_Ref_Copy5"/>
      <sheetName val="Bill_Summary5"/>
      <sheetName val="CP_Fittings5"/>
      <sheetName val="DC_Backup5"/>
      <sheetName val="Summary_M_Sheet15"/>
      <sheetName val="GI_pipe5"/>
      <sheetName val="SPS_DETAIL5"/>
      <sheetName val="Works_-_Quote_Sheet5"/>
      <sheetName val="Fill_this_out_first___5"/>
      <sheetName val="Variation Statement"/>
      <sheetName val="INPUT_SHEET24"/>
      <sheetName val="E_&amp;_R24"/>
      <sheetName val="Site_Dev_BOQ23"/>
      <sheetName val="Manpower_Histogram_23"/>
      <sheetName val="India_F&amp;S_Template23"/>
      <sheetName val="Ex_Sum23"/>
      <sheetName val="Data_sheet23"/>
      <sheetName val="_Graphs23"/>
      <sheetName val="Over_All_Qty23"/>
      <sheetName val="SPT_vs_PHI23"/>
      <sheetName val="Debits_as_on_12_04_0823"/>
      <sheetName val="9__Package_split_-_Cost_23"/>
      <sheetName val="PRECAST_lightconc-II23"/>
      <sheetName val="PACK_(B)23"/>
      <sheetName val="PO_Value_31st_January23"/>
      <sheetName val="Material_Rate_(2)23"/>
      <sheetName val="10__&amp;_11__Rate_Code_&amp;_BQ23"/>
      <sheetName val="Fee_Rate_Summary23"/>
      <sheetName val="E___R24"/>
      <sheetName val="Schedules_PL23"/>
      <sheetName val="Schedules_BS23"/>
      <sheetName val="Field_Values23"/>
      <sheetName val="WORK_TABLE23"/>
      <sheetName val="Rate_analysis23"/>
      <sheetName val="Client_Ref_Copy6"/>
      <sheetName val="Bill_Summary6"/>
      <sheetName val="CP_Fittings6"/>
      <sheetName val="DC_Backup6"/>
      <sheetName val="Summary_M_Sheet16"/>
      <sheetName val="GI_pipe6"/>
      <sheetName val="SPS_DETAIL6"/>
      <sheetName val="Works_-_Quote_Sheet6"/>
      <sheetName val="Fill_this_out_first___6"/>
      <sheetName val="INPUT_SHEET25"/>
      <sheetName val="E_&amp;_R25"/>
      <sheetName val="Site_Dev_BOQ24"/>
      <sheetName val="Manpower_Histogram_24"/>
      <sheetName val="India_F&amp;S_Template24"/>
      <sheetName val="Ex_Sum24"/>
      <sheetName val="Data_sheet24"/>
      <sheetName val="_Graphs24"/>
      <sheetName val="Over_All_Qty24"/>
      <sheetName val="SPT_vs_PHI24"/>
      <sheetName val="Debits_as_on_12_04_0824"/>
      <sheetName val="9__Package_split_-_Cost_24"/>
      <sheetName val="PRECAST_lightconc-II24"/>
      <sheetName val="PACK_(B)24"/>
      <sheetName val="PO_Value_31st_January24"/>
      <sheetName val="Material_Rate_(2)24"/>
      <sheetName val="10__&amp;_11__Rate_Code_&amp;_BQ24"/>
      <sheetName val="Fee_Rate_Summary24"/>
      <sheetName val="E___R25"/>
      <sheetName val="Schedules_PL24"/>
      <sheetName val="Schedules_BS24"/>
      <sheetName val="Field_Values24"/>
      <sheetName val="WORK_TABLE24"/>
      <sheetName val="Rate_analysis24"/>
      <sheetName val="Client_Ref_Copy7"/>
      <sheetName val="Bill_Summary7"/>
      <sheetName val="CP_Fittings7"/>
      <sheetName val="DC_Backup7"/>
      <sheetName val="Summary_M_Sheet17"/>
      <sheetName val="GI_pipe7"/>
      <sheetName val="SPS_DETAIL7"/>
      <sheetName val="Works_-_Quote_Sheet7"/>
      <sheetName val="Fill_this_out_first___7"/>
      <sheetName val="Back up"/>
      <sheetName val="선수금"/>
      <sheetName val="seT"/>
      <sheetName val="Reinforcement"/>
      <sheetName val="Pilling_24"/>
      <sheetName val="GF Columns"/>
      <sheetName val="Abs "/>
      <sheetName val="Tower Wise"/>
      <sheetName val="manpower backup Nov'16"/>
      <sheetName val="Abs-Mantri Centrium"/>
      <sheetName val="Mantri Centrium"/>
      <sheetName val="India F_S Template"/>
      <sheetName val="TOWER A"/>
      <sheetName val="Pile"/>
      <sheetName val="Materials Cost(PCC)"/>
      <sheetName val="beam-reinft-machine rm"/>
      <sheetName val="MPR"/>
      <sheetName val="Mix Design"/>
      <sheetName val="std-rates"/>
      <sheetName val="31Oct05 INDIA Capital Template "/>
      <sheetName val="India_F_S_Template"/>
      <sheetName val="TOWER_A"/>
      <sheetName val="ACAD_Finishes"/>
      <sheetName val="Site_Details"/>
      <sheetName val="Site_Area_Statement"/>
      <sheetName val="Materials_Cost(PCC)"/>
      <sheetName val="beam-reinft-machine_rm"/>
      <sheetName val="Mix_Design"/>
      <sheetName val="final_abstract"/>
      <sheetName val="31Oct05_INDIA_Capital_Template_"/>
      <sheetName val="foot-slab reinft"/>
      <sheetName val="Keyword"/>
      <sheetName val="Summary_Local"/>
      <sheetName val="Ins &amp; Bonds"/>
      <sheetName val="Site facilities"/>
      <sheetName val="Clients Requirements"/>
      <sheetName val="매크로"/>
      <sheetName val="India_F_S_Template1"/>
      <sheetName val="TOWER_A1"/>
      <sheetName val="ACAD_Finishes1"/>
      <sheetName val="Site_Details1"/>
      <sheetName val="Site_Area_Statement1"/>
      <sheetName val="Materials_Cost(PCC)1"/>
      <sheetName val="beam-reinft-machine_rm1"/>
      <sheetName val="Mix_Design1"/>
      <sheetName val="final_abstract1"/>
      <sheetName val="31Oct05_INDIA_Capital_Template1"/>
      <sheetName val="beam-reinft-IIInd_floor1"/>
      <sheetName val="India_F_S_Template2"/>
      <sheetName val="TOWER_A2"/>
      <sheetName val="ACAD_Finishes2"/>
      <sheetName val="Site_Details2"/>
      <sheetName val="Site_Area_Statement2"/>
      <sheetName val="Materials_Cost(PCC)2"/>
      <sheetName val="beam-reinft-machine_rm2"/>
      <sheetName val="Mix_Design2"/>
      <sheetName val="final_abstract2"/>
      <sheetName val="31Oct05_INDIA_Capital_Template2"/>
      <sheetName val="beam-reinft-IIInd_floor2"/>
      <sheetName val="India_F_S_Template3"/>
      <sheetName val="TOWER_A3"/>
      <sheetName val="ACAD_Finishes3"/>
      <sheetName val="Site_Details3"/>
      <sheetName val="Site_Area_Statement3"/>
      <sheetName val="Materials_Cost(PCC)3"/>
      <sheetName val="beam-reinft-machine_rm3"/>
      <sheetName val="Mix_Design3"/>
      <sheetName val="final_abstract3"/>
      <sheetName val="31Oct05_INDIA_Capital_Template3"/>
      <sheetName val="beam-reinft-IIInd_floor3"/>
      <sheetName val="India_F_S_Template4"/>
      <sheetName val="TOWER_A4"/>
      <sheetName val="ACAD_Finishes4"/>
      <sheetName val="Site_Details4"/>
      <sheetName val="Site_Area_Statement4"/>
      <sheetName val="Materials_Cost(PCC)4"/>
      <sheetName val="beam-reinft-machine_rm4"/>
      <sheetName val="Mix_Design4"/>
      <sheetName val="final_abstract4"/>
      <sheetName val="31Oct05_INDIA_Capital_Template4"/>
      <sheetName val="beam-reinft-IIInd_floor4"/>
      <sheetName val="Abstract_(2)"/>
      <sheetName val="India_F_S_Template5"/>
      <sheetName val="TOWER_A5"/>
      <sheetName val="ACAD_Finishes5"/>
      <sheetName val="Site_Details5"/>
      <sheetName val="Site_Area_Statement5"/>
      <sheetName val="Materials_Cost(PCC)5"/>
      <sheetName val="beam-reinft-machine_rm5"/>
      <sheetName val="Mix_Design5"/>
      <sheetName val="final_abstract5"/>
      <sheetName val="31Oct05_INDIA_Capital_Template5"/>
      <sheetName val="beam-reinft-IIInd_floor5"/>
      <sheetName val="Abstract_(2)1"/>
      <sheetName val="India_F_S_Template6"/>
      <sheetName val="TOWER_A6"/>
      <sheetName val="ACAD_Finishes6"/>
      <sheetName val="Site_Details6"/>
      <sheetName val="Site_Area_Statement6"/>
      <sheetName val="Materials_Cost(PCC)6"/>
      <sheetName val="beam-reinft-machine_rm6"/>
      <sheetName val="Mix_Design6"/>
      <sheetName val="final_abstract6"/>
      <sheetName val="31Oct05_INDIA_Capital_Template6"/>
      <sheetName val="beam-reinft-IIInd_floor6"/>
      <sheetName val="Abstract_(2)2"/>
      <sheetName val="Varthur 1"/>
      <sheetName val="Full Estimate Summary"/>
      <sheetName val="FOH Works"/>
      <sheetName val="Boiler_TG"/>
      <sheetName val=" B3"/>
      <sheetName val="Civil Chart"/>
      <sheetName val="Overall - Chart"/>
      <sheetName val="Benchmark"/>
      <sheetName val="Ext walls"/>
      <sheetName val="Unit costs"/>
      <sheetName val="Summary budgets"/>
      <sheetName val="Trade Contractors budgets"/>
      <sheetName val="SGL"/>
      <sheetName val="SPLIT"/>
      <sheetName val="Rate analysis_bmrc"/>
      <sheetName val="MG"/>
      <sheetName val="Labour_&amp;_Plant"/>
      <sheetName val="DIR_USED_ITEMS"/>
      <sheetName val="Rate_analysis_bmrc"/>
      <sheetName val="Labour_&amp;_Plant2"/>
      <sheetName val="Lead_Statement2"/>
      <sheetName val="DIR_USED_ITEMS2"/>
      <sheetName val="Rate_analysis_bmrc2"/>
      <sheetName val="Labour_&amp;_Plant1"/>
      <sheetName val="Lead_Statement1"/>
      <sheetName val="DIR_USED_ITEMS1"/>
      <sheetName val="Rate_analysis_bmrc1"/>
      <sheetName val="Labour_&amp;_Plant3"/>
      <sheetName val="Lead_Statement3"/>
      <sheetName val="DIR_USED_ITEMS3"/>
      <sheetName val="Rate_analysis_bmrc3"/>
      <sheetName val="Labour_&amp;_Plant4"/>
      <sheetName val="Lead_Statement4"/>
      <sheetName val="DIR_USED_ITEMS4"/>
      <sheetName val="Rate_analysis_bmrc4"/>
      <sheetName val="Labour_&amp;_Plant5"/>
      <sheetName val="Lead_Statement5"/>
      <sheetName val="DIR_USED_ITEMS5"/>
      <sheetName val="Rate_analysis_bmrc5"/>
      <sheetName val="Labour_&amp;_Plant6"/>
      <sheetName val="Lead_Statement6"/>
      <sheetName val="DIR_USED_ITEMS6"/>
      <sheetName val="Rate_analysis_bmrc6"/>
      <sheetName val="Labour_&amp;_Plant7"/>
      <sheetName val="Materials_Cost7"/>
      <sheetName val="Lead_Statement7"/>
      <sheetName val="DIR_USED_ITEMS7"/>
      <sheetName val="Materials_Cost(PCC)7"/>
      <sheetName val="Rate_analysis_bmrc7"/>
      <sheetName val="Labour_&amp;_Plant8"/>
      <sheetName val="Materials_Cost8"/>
      <sheetName val="Lead_Statement8"/>
      <sheetName val="DIR_USED_ITEMS8"/>
      <sheetName val="Materials_Cost(PCC)8"/>
      <sheetName val="Rate_analysis_bmrc8"/>
      <sheetName val="Labour_&amp;_Plant14"/>
      <sheetName val="Materials_Cost14"/>
      <sheetName val="Lead_Statement14"/>
      <sheetName val="DIR_USED_ITEMS14"/>
      <sheetName val="Materials_Cost(PCC)14"/>
      <sheetName val="Rate_analysis_bmrc14"/>
      <sheetName val="Labour_&amp;_Plant10"/>
      <sheetName val="Materials_Cost10"/>
      <sheetName val="Lead_Statement10"/>
      <sheetName val="DIR_USED_ITEMS10"/>
      <sheetName val="Materials_Cost(PCC)10"/>
      <sheetName val="Rate_analysis_bmrc10"/>
      <sheetName val="Labour_&amp;_Plant9"/>
      <sheetName val="Materials_Cost9"/>
      <sheetName val="Lead_Statement9"/>
      <sheetName val="DIR_USED_ITEMS9"/>
      <sheetName val="Materials_Cost(PCC)9"/>
      <sheetName val="Rate_analysis_bmrc9"/>
      <sheetName val="Labour_&amp;_Plant11"/>
      <sheetName val="Materials_Cost11"/>
      <sheetName val="Lead_Statement11"/>
      <sheetName val="DIR_USED_ITEMS11"/>
      <sheetName val="Materials_Cost(PCC)11"/>
      <sheetName val="Rate_analysis_bmrc11"/>
      <sheetName val="Labour_&amp;_Plant12"/>
      <sheetName val="Materials_Cost12"/>
      <sheetName val="Lead_Statement12"/>
      <sheetName val="DIR_USED_ITEMS12"/>
      <sheetName val="Materials_Cost(PCC)12"/>
      <sheetName val="Rate_analysis_bmrc12"/>
      <sheetName val="Labour_&amp;_Plant13"/>
      <sheetName val="Materials_Cost13"/>
      <sheetName val="Lead_Statement13"/>
      <sheetName val="DIR_USED_ITEMS13"/>
      <sheetName val="Materials_Cost(PCC)13"/>
      <sheetName val="Rate_analysis_bmrc13"/>
      <sheetName val="Labour_&amp;_Plant20"/>
      <sheetName val="Materials_Cost20"/>
      <sheetName val="Lead_Statement20"/>
      <sheetName val="DIR_USED_ITEMS20"/>
      <sheetName val="Materials_Cost(PCC)20"/>
      <sheetName val="Rate_analysis_bmrc20"/>
      <sheetName val="Labour_&amp;_Plant15"/>
      <sheetName val="Materials_Cost15"/>
      <sheetName val="Lead_Statement15"/>
      <sheetName val="DIR_USED_ITEMS15"/>
      <sheetName val="Materials_Cost(PCC)15"/>
      <sheetName val="Rate_analysis_bmrc15"/>
      <sheetName val="Labour_&amp;_Plant16"/>
      <sheetName val="Materials_Cost16"/>
      <sheetName val="Lead_Statement16"/>
      <sheetName val="DIR_USED_ITEMS16"/>
      <sheetName val="Materials_Cost(PCC)16"/>
      <sheetName val="Rate_analysis_bmrc16"/>
      <sheetName val="Labour_&amp;_Plant17"/>
      <sheetName val="Materials_Cost17"/>
      <sheetName val="Lead_Statement17"/>
      <sheetName val="DIR_USED_ITEMS17"/>
      <sheetName val="Materials_Cost(PCC)17"/>
      <sheetName val="Rate_analysis_bmrc17"/>
      <sheetName val="Labour_&amp;_Plant18"/>
      <sheetName val="Materials_Cost18"/>
      <sheetName val="Lead_Statement18"/>
      <sheetName val="DIR_USED_ITEMS18"/>
      <sheetName val="Materials_Cost(PCC)18"/>
      <sheetName val="Rate_analysis_bmrc18"/>
      <sheetName val="Labour_&amp;_Plant19"/>
      <sheetName val="Materials_Cost19"/>
      <sheetName val="Lead_Statement19"/>
      <sheetName val="DIR_USED_ITEMS19"/>
      <sheetName val="Materials_Cost(PCC)19"/>
      <sheetName val="Rate_analysis_bmrc19"/>
      <sheetName val="Labour_&amp;_Plant21"/>
      <sheetName val="Materials_Cost21"/>
      <sheetName val="Lead_Statement21"/>
      <sheetName val="DIR_USED_ITEMS21"/>
      <sheetName val="Materials_Cost(PCC)21"/>
      <sheetName val="Rate_analysis_bmrc21"/>
      <sheetName val="Labour_&amp;_Plant22"/>
      <sheetName val="Materials_Cost22"/>
      <sheetName val="Lead_Statement22"/>
      <sheetName val="DIR_USED_ITEMS22"/>
      <sheetName val="Materials_Cost(PCC)22"/>
      <sheetName val="Rate_analysis_bmrc22"/>
      <sheetName val="Labour_&amp;_Plant23"/>
      <sheetName val="Materials_Cost23"/>
      <sheetName val="Lead_Statement23"/>
      <sheetName val="DIR_USED_ITEMS23"/>
      <sheetName val="Materials_Cost(PCC)23"/>
      <sheetName val="Rate_analysis_bmrc23"/>
      <sheetName val="Labour_&amp;_Plant24"/>
      <sheetName val="Materials_Cost24"/>
      <sheetName val="Lead_Statement24"/>
      <sheetName val="DIR_USED_ITEMS24"/>
      <sheetName val="Materials_Cost(PCC)24"/>
      <sheetName val="Rate_analysis_bmrc24"/>
      <sheetName val="CPIPE"/>
      <sheetName val="Stress Calculation"/>
      <sheetName val="SCurv (3)"/>
      <sheetName val="GN-ST-06(2)(Design Sheet-Ruled)"/>
      <sheetName val="Deprec."/>
      <sheetName val="SC-E-02-03"/>
      <sheetName val="TB-JUNE-2003-18.7.03"/>
      <sheetName val="Detail In Door Stad"/>
      <sheetName val="Inc.St.-Link"/>
      <sheetName val="para"/>
      <sheetName val="kppl pl"/>
      <sheetName val="d-safe DELUXE"/>
      <sheetName val="basic-data"/>
      <sheetName val="17sept"/>
      <sheetName val="A.O.R."/>
      <sheetName val="Road- Ex-soil"/>
      <sheetName val="Road.lvl"/>
      <sheetName val="Road- Filling"/>
      <sheetName val="Curb stone and cwall "/>
      <sheetName val="filling 75 mm"/>
      <sheetName val="Road Soling"/>
      <sheetName val="Road -WBM 1"/>
      <sheetName val="Road - WBM 2"/>
      <sheetName val="Road - PCC"/>
      <sheetName val="Road - Kerb stone"/>
      <sheetName val="Road -BM1"/>
      <sheetName val="Road -BM2"/>
      <sheetName val="F Bill - Road"/>
      <sheetName val="BOQ Distribution"/>
      <sheetName val="cubes_M20"/>
      <sheetName val="Advise 40% Balance 4th RA"/>
      <sheetName val="Advise 60% Adhoc 4th RA"/>
      <sheetName val="num-word (Service Tax)"/>
      <sheetName val="num-word (Tax Top)"/>
      <sheetName val="Advice "/>
      <sheetName val="ADVICE"/>
      <sheetName val="advice 100%"/>
      <sheetName val="WO STEEL"/>
      <sheetName val="wo celling plaster"/>
      <sheetName val="wo celling plaster 12mm"/>
      <sheetName val="wo waterproofing"/>
      <sheetName val="WO ARCHITRAVE"/>
      <sheetName val="wo external plaster"/>
      <sheetName val="WO LANDSCAPE "/>
      <sheetName val="WO GRANITE FACIA"/>
      <sheetName val="wo 9&quot; brick work"/>
      <sheetName val="wo 4.5&quot; brick work"/>
      <sheetName val="WO mica laminated sheet"/>
      <sheetName val="CUMMULATIVE SUMMARY"/>
      <sheetName val="Cement cons-main BOQ"/>
      <sheetName val="WIP-STEEl2"/>
      <sheetName val="Cement Cons Extra item-WIP"/>
      <sheetName val="deviation letter CAR"/>
      <sheetName val="SUMMARY-TOWER A1"/>
      <sheetName val="SUMMARY-TOWER A2"/>
      <sheetName val="SUMMARY-TOWER B1 TO B6"/>
      <sheetName val="LANSCAPE FOR TRIMIX HARDNER"/>
      <sheetName val="TREMIX IN STILT"/>
      <sheetName val="TREMIX IN PARKING"/>
      <sheetName val="TREMIX ON ROAD"/>
      <sheetName val="TREMIX IN STILT T-B4 &amp; B5"/>
      <sheetName val="trimix"/>
      <sheetName val="Dressing"/>
      <sheetName val="STONE CHAMPERING"/>
      <sheetName val="MEASUREMENTS OF TOWER A-1"/>
      <sheetName val="MEASUREMENTS OF TOWER A-2"/>
      <sheetName val="MEASUREMENTS OF TOWERS B1-B6"/>
      <sheetName val="ALL TOWER PROG"/>
      <sheetName val="BBS TRIMIX FLOORING"/>
      <sheetName val="LANSCAPE AND NON TOWER"/>
      <sheetName val="TREMIX  STEEL"/>
      <sheetName val="NON-TOWER WATER TANK"/>
      <sheetName val="MACHINE ROOM &amp; WT PLASTER &amp;PVC "/>
      <sheetName val="WO Ceramic tiles"/>
      <sheetName val="EXTERNAL PLASTER OVER TERRACE"/>
      <sheetName val="CHICKEN WIRE MESH"/>
      <sheetName val="MB SHEET ITEM NO. 9"/>
      <sheetName val="MB Sheet Item No. 7"/>
      <sheetName val="MB Sheet Item No. 1(T-A1-A2)"/>
      <sheetName val="MB Sheet Item No. 13(T-B1-B6 (2"/>
      <sheetName val="MB Sheet Item No. 4.1"/>
      <sheetName val="Annexurre-1"/>
      <sheetName val="Toilet Water- Proofing(A1 &amp; A2 "/>
      <sheetName val="pur.tender"/>
      <sheetName val="EMD "/>
      <sheetName val="Scrutiny"/>
      <sheetName val="A.O.R. (2)"/>
      <sheetName val="formwork (2)"/>
      <sheetName val="A_O_R_"/>
      <sheetName val="Consum"/>
      <sheetName val="Package-2"/>
      <sheetName val="sheeet7"/>
      <sheetName val="Dayworks Bill"/>
      <sheetName val="Bills of Quantities"/>
      <sheetName val="pur_tender"/>
      <sheetName val="EMD_"/>
      <sheetName val="Rate_List"/>
      <sheetName val="A_O_R__(2)"/>
      <sheetName val="A_O_R_1"/>
      <sheetName val="formwork_(2)"/>
      <sheetName val="Package-2 S-curve"/>
      <sheetName val="Measurment"/>
      <sheetName val="MPR_PA_1"/>
      <sheetName val="OH's"/>
      <sheetName val="BOQ P-N"/>
      <sheetName val="Site Plan"/>
      <sheetName val="Elect"/>
      <sheetName val="DPR BOQ"/>
      <sheetName val="DPR Rates"/>
      <sheetName val="Highways BOQ"/>
      <sheetName val="Structures BOQ"/>
      <sheetName val="Cover Drain"/>
      <sheetName val="ewst"/>
      <sheetName val="hyd stm Aitpamula sector final"/>
      <sheetName val="hyd stm Inupamula sector final"/>
      <sheetName val="Bhpl sd"/>
      <sheetName val="3405-2014"/>
      <sheetName val="Const-Wise-Abs"/>
      <sheetName val="Const-Link"/>
      <sheetName val="Dist. abs"/>
      <sheetName val="Mandal Abs.final"/>
      <sheetName val="Const. abstract final"/>
      <sheetName val="Intra Village-Det"/>
      <sheetName val="Online REport"/>
      <sheetName val="DEE office REport"/>
      <sheetName val="Procedure"/>
      <sheetName val="Connection Charges"/>
      <sheetName val="Consumption Charges"/>
      <sheetName val="Cost of O &amp; O"/>
      <sheetName val="pipe-water"/>
      <sheetName val="habs-details"/>
      <sheetName val="hab-details"/>
      <sheetName val="water-pros-pros-rate-empty"/>
      <sheetName val="water-pros-Ultim-rate-empty"/>
      <sheetName val="water-Ultimate-empty"/>
      <sheetName val="Nspt-smp-final-apprd"/>
      <sheetName val="water-pros-pros-rate"/>
      <sheetName val="water-ultimate"/>
      <sheetName val="water-JPTsump-in&amp;out"/>
      <sheetName val="water-JPTsump-Balance"/>
      <sheetName val="jpt-ohbr-out-flow(U)"/>
      <sheetName val="jpt-ohbr-out-flow(P)"/>
      <sheetName val="jpt-ohbr-out-flow(P)-Ult"/>
      <sheetName val="piv-smp-n1"/>
      <sheetName val="Nspt-smp-final-ORIGINAL-(2)"/>
      <sheetName val="Nspt-final-Ultimate(mwl)"/>
      <sheetName val="Nspt-final-Ultimate"/>
      <sheetName val="Nspt-final-pros"/>
      <sheetName val="Nspt-final-Ultimate-21m"/>
      <sheetName val="Nspt-final-at-18.5mstg"/>
      <sheetName val="Nspt-final-pros-14m"/>
      <sheetName val="Nspt-final-pros-12m"/>
      <sheetName val="Nspt-final-pros-10m"/>
      <sheetName val="Nspt-final-pros-7m"/>
      <sheetName val="Nspt-final-pros-4m"/>
      <sheetName val="Nspt-final-empy-258m"/>
      <sheetName val="Nspt-final-empy-254m"/>
      <sheetName val="Nspt-final-empy-249.5m"/>
      <sheetName val="Nspt-final-empy-252m"/>
      <sheetName val="Nspt-final-empy-248m"/>
      <sheetName val="Nspt-final-empy-244m"/>
      <sheetName val="final-smp-pipes"/>
      <sheetName val="Chart1-U and P"/>
      <sheetName val="Chart1-Actual-Flow"/>
      <sheetName val="chart-Jpt-Girnibai-OUT-flow"/>
      <sheetName val="jpt to Girnibai-Out Flow"/>
      <sheetName val="chart-Jpt-Girnibai-OUT-flow (2)"/>
      <sheetName val="chart-Jpt-Girnibai-OUT-flow (3)"/>
      <sheetName val="HDPE-pipe-rates"/>
      <sheetName val="psc-pipe-rates"/>
      <sheetName val="ci-pipes-road-cross"/>
      <sheetName val="pipe-est-16+2"/>
      <sheetName val="rev-pipe-est-16"/>
      <sheetName val="pipe-est (18)"/>
      <sheetName val="pipe-est (18)-1"/>
      <sheetName val="pipe-est (13habs)100%"/>
      <sheetName val="pipe-est(13habs)-single"/>
      <sheetName val="pipe-est (13habs)-bypass-Glsr"/>
      <sheetName val="pipe-est(12habs)-bypass"/>
      <sheetName val="ANX-I"/>
      <sheetName val="ANX-II"/>
      <sheetName val="Valve-cost"/>
      <sheetName val="est(13habs)-bypass"/>
      <sheetName val="na1-pac1-gravity-lines"/>
      <sheetName val="na1-pac1-gravity-lines-Final"/>
      <sheetName val="SMP-gravity-lines-Final"/>
      <sheetName val="HS"/>
      <sheetName val="Lines"/>
      <sheetName val="na1-pac3-gravity-lines"/>
      <sheetName val="epoxy"/>
      <sheetName val="MS pipe,flange,Dummy"/>
      <sheetName val="MS Air valve Data"/>
      <sheetName val="MS Sluice valve Data"/>
      <sheetName val="MS Scour valve Data"/>
      <sheetName val="Airvalve-&gt;1000 MS"/>
      <sheetName val="sluice-MS- &gt;1000 pipe"/>
      <sheetName val="scour-MS &gt;1000"/>
      <sheetName val="sluice-HDPE- FINAL"/>
      <sheetName val="tExnwdpyfD"/>
      <sheetName val="WCO0E1htj6"/>
      <sheetName val="Airvalve-BWSC&amp;MS"/>
      <sheetName val="ziyr7m1jvc"/>
      <sheetName val="kwxes9niwdp7kyhtco1jvcq5jxeq9n3"/>
      <sheetName val="nzo1jvcq9l"/>
      <sheetName val="Swing Cgeck valves "/>
      <sheetName val="Gravity Estt"/>
      <sheetName val="pipe lengths"/>
      <sheetName val="pop corrrected"/>
      <sheetName val="Final-Hyd psets"/>
      <sheetName val="Final-Hyd pm-final (2)"/>
      <sheetName val="HYD KMR TOWN"/>
      <sheetName val="HYD KMR TOWN (2)"/>
      <sheetName val="comp ms - grp"/>
      <sheetName val="comp"/>
      <sheetName val="Project pop"/>
      <sheetName val="26 col (2)"/>
      <sheetName val="eco dia upto Indalwai"/>
      <sheetName val="eco dia upto Indalwai (2)"/>
      <sheetName val="eco dia upto gandhari"/>
      <sheetName val="eco dia upto gandhari (2)"/>
      <sheetName val="Final-Hyd pm-final"/>
      <sheetName val="pipes-tatal"/>
      <sheetName val="pipes-raw-final"/>
      <sheetName val="pipes-clear-final"/>
      <sheetName val="Format f8"/>
      <sheetName val="Gen_Abstract"/>
      <sheetName val="SECDW_I"/>
      <sheetName val="SECDW_II"/>
      <sheetName val=" Estimate"/>
      <sheetName val="1st KM"/>
      <sheetName val="2nd Km"/>
      <sheetName val="3rd Km"/>
      <sheetName val="CDT"/>
      <sheetName val="Cer_1"/>
      <sheetName val="Lead Chat"/>
      <sheetName val="Cer_2"/>
      <sheetName val="Chap-11"/>
      <sheetName val="SSR(15-16)"/>
      <sheetName val="Lead(15-16)"/>
      <sheetName val="Data- All(15-16)"/>
      <sheetName val="1000 KLSump  Medchal"/>
      <sheetName val="PH 12x6(15-16)"/>
      <sheetName val="WQ(15-16)"/>
      <sheetName val="Compound walls (15-16)"/>
      <sheetName val="Medchal 120KL-30"/>
      <sheetName val="Dabilpur 40KL-30"/>
      <sheetName val="Ped Thrst est(15-16)"/>
      <sheetName val="pedestals(15-16)"/>
      <sheetName val="Thrust blocks(15-16)"/>
      <sheetName val="ENC_HYD latest"/>
      <sheetName val="TOPSHT"/>
      <sheetName val="Instructions"/>
      <sheetName val="Size"/>
      <sheetName val="Output"/>
      <sheetName val="bend L"/>
      <sheetName val="Det_design"/>
      <sheetName val="DET_EST"/>
      <sheetName val="ABS_EST"/>
      <sheetName val="rod"/>
      <sheetName val="Cent_data"/>
      <sheetName val="TABLE"/>
      <sheetName val="Under ground  tanks"/>
      <sheetName val="Rect Tanks"/>
      <sheetName val="IS 3370-DsnTable"/>
      <sheetName val="Dsn-Cir-Tank-3m"/>
      <sheetName val="Dsn-Cir-Tank-4m"/>
      <sheetName val="Side wall"/>
      <sheetName val="wall code"/>
      <sheetName val="Side wall dsn Formula"/>
      <sheetName val="RectTankCoeff"/>
      <sheetName val="SW Formula"/>
      <sheetName val="SumpDsn-CenColInsideTank-INPUT"/>
      <sheetName val="SumpDsn-CenColInsideTank"/>
      <sheetName val="SumpDsn-NoColumn-M20"/>
      <sheetName val="SumpDsn-NoColumn-M30-INPUT"/>
      <sheetName val="SumpDsn-NoColumn-M30"/>
      <sheetName val="Abs-sump-NoCol-M30"/>
      <sheetName val="Abs-sump-NoCol-M20"/>
      <sheetName val="DE-sump-NoCol-M30"/>
      <sheetName val="DE-sump-NoCol-M20"/>
      <sheetName val="BarBendDraw-M30"/>
      <sheetName val="BarBendDraw-M20"/>
      <sheetName val="BarBendSchedl-M30"/>
      <sheetName val="BarBendSchedl-M20"/>
      <sheetName val="salient details-1"/>
      <sheetName val="SalientDetails"/>
      <sheetName val="Comp.Stt."/>
      <sheetName val="IS 456-2000"/>
      <sheetName val="Base slab"/>
      <sheetName val=" abstract"/>
      <sheetName val="DEt est"/>
      <sheetName val="IS 3370-DsnTable 9 &amp; 10"/>
      <sheetName val="Table 21-IS3370-Pt4"/>
      <sheetName val="IS 3370-DsnTable 12 &amp; 13"/>
      <sheetName val="SinglyReinForSec"/>
      <sheetName val="Design-sump"/>
      <sheetName val="Dome-opening at crown"/>
      <sheetName val="PIPE CONNNNECTION"/>
      <sheetName val="SPECIALS WT"/>
      <sheetName val="Drawing  rein"/>
      <sheetName val="Drawing size"/>
      <sheetName val="SumpDsn-NoColumn-M30 (2)"/>
      <sheetName val="Abs-sump-NoCol-M30 (2)"/>
      <sheetName val="Abs-sump-NoCol-M20-STT"/>
      <sheetName val="SumpDsn-NoColumn-M30 (3)"/>
      <sheetName val="DsnConcept"/>
      <sheetName val="Comb-Bend&amp;Axial-Concept"/>
      <sheetName val="Design (2)"/>
      <sheetName val="Column-1"/>
      <sheetName val="Column-2"/>
      <sheetName val="Column-3"/>
      <sheetName val="Column-4"/>
      <sheetName val="CombBandA-uncrack"/>
      <sheetName val="CombBandA-crack"/>
      <sheetName val="LSD-Sht-Col-1"/>
      <sheetName val="LSD-Sht-Col-2"/>
      <sheetName val="LSD-Lng-Col-1"/>
      <sheetName val="LSD-Lng-Col-2"/>
      <sheetName val="LSD-Lng-Col-3"/>
      <sheetName val="Input_create"/>
      <sheetName val="Cd"/>
      <sheetName val="THK"/>
      <sheetName val="CPIPE 1"/>
      <sheetName val="ABS EST Z-1"/>
      <sheetName val="DET EST Z-1"/>
      <sheetName val="Thrust Block Z-1"/>
      <sheetName val="ABS ESTZ-2"/>
      <sheetName val="DET EST Z-2"/>
      <sheetName val="ABS ESTZ-Z-3"/>
      <sheetName val="DET EST Z-3"/>
      <sheetName val="ABS ESTZ-Z-4"/>
      <sheetName val="DET EST Z-4"/>
      <sheetName val="ABS ESTZ-Z-5"/>
      <sheetName val="DET EST Z-5"/>
      <sheetName val="ABS ESTZ-Z-6"/>
      <sheetName val="DET EST Z-6"/>
      <sheetName val="ABS EST Z-2"/>
      <sheetName val="DET EST Z-2_"/>
      <sheetName val="Thrust Block Z-2"/>
      <sheetName val="ABS EST Z-3"/>
      <sheetName val="DET EST Z-3 "/>
      <sheetName val="Thrust Block Z-3"/>
      <sheetName val="ABS EST Z-4"/>
      <sheetName val="DET EST Z-4 "/>
      <sheetName val="Thrust Block Z-4"/>
      <sheetName val="Anchorage"/>
      <sheetName val="TH BLOCK"/>
      <sheetName val="valve ch-80mm"/>
      <sheetName val="valve ch-300mm"/>
      <sheetName val="Data Civil"/>
      <sheetName val="Schedule-SS"/>
      <sheetName val="Unit cost-specials"/>
      <sheetName val="specials"/>
      <sheetName val="EW (2)"/>
      <sheetName val="Abs Wagha"/>
      <sheetName val="Wagha BoQ"/>
      <sheetName val="Elect_"/>
      <sheetName val="Hardware"/>
      <sheetName val="Analysis "/>
      <sheetName val="PEP-Data"/>
      <sheetName val="BOQ-Structural"/>
      <sheetName val="dewatering"/>
      <sheetName val="earth work Road"/>
      <sheetName val="Cal - 08-09"/>
      <sheetName val="Lead statement - 2008-09"/>
      <sheetName val="Bitumen-2008-09"/>
      <sheetName val="13 (2)"/>
      <sheetName val="12 (20%)"/>
      <sheetName val="13 (20%)"/>
      <sheetName val="14 (20%)"/>
      <sheetName val="15 (2)"/>
      <sheetName val="Market Rate"/>
      <sheetName val="Cement"/>
      <sheetName val="Material Rate Variation"/>
      <sheetName val="sc bills"/>
      <sheetName val="Top Sheet 1 "/>
      <sheetName val="cf abstract"/>
      <sheetName val="cf sch31.07.07"/>
      <sheetName val="QTY Plan_Prime cost"/>
      <sheetName val="Itemwise Qty plan &amp; Gross Bill"/>
      <sheetName val="Summary 1"/>
      <sheetName val="BOQ_New 1"/>
      <sheetName val="RA Balance items"/>
      <sheetName val="Staff Expenses 1"/>
      <sheetName val="Lease &amp; Rentals 1"/>
      <sheetName val="Office &amp; Admn 1"/>
      <sheetName val="Input 1"/>
      <sheetName val="Bitumen Calculations 1"/>
      <sheetName val="P&amp;M Charges"/>
      <sheetName val="Tech Data"/>
      <sheetName val="Overhead summary"/>
      <sheetName val="Qnty planned"/>
      <sheetName val="PROGRM -2"/>
      <sheetName val="SC WO rates"/>
      <sheetName val="Syn.my to jam."/>
      <sheetName val="Machinery List"/>
      <sheetName val="STAFF-OH"/>
      <sheetName val="M.J.1 BOQ"/>
      <sheetName val="T-2 gen"/>
      <sheetName val="Road Map"/>
      <sheetName val="Details material"/>
      <sheetName val="MECH-PROG (2)"/>
      <sheetName val="Note Sheet"/>
      <sheetName val="notesheet"/>
      <sheetName val="Syn-pkg-1"/>
      <sheetName val="Syn-pkg-2"/>
      <sheetName val="Jhar. BOQ.I,II"/>
      <sheetName val="Machinery Costing"/>
      <sheetName val="PMC BP"/>
      <sheetName val="PMC Mach"/>
      <sheetName val="Drain calculations"/>
      <sheetName val="Con Pro.I"/>
      <sheetName val="mobilisation"/>
      <sheetName val="Con Pro.II"/>
      <sheetName val="Escl"/>
      <sheetName val="Layout"/>
      <sheetName val="Elec Items"/>
      <sheetName val="Synops"/>
      <sheetName val="Abstract ( Depre)"/>
      <sheetName val="C.P. BOQ"/>
      <sheetName val="BitAll"/>
      <sheetName val="Revised"/>
      <sheetName val="Revised (2)"/>
      <sheetName val="Work Prog"/>
      <sheetName val="C.Flow - WORKING"/>
      <sheetName val="C.Flow - ABS"/>
      <sheetName val="Syn-pkg-3"/>
      <sheetName val="Syn-pkg-4"/>
      <sheetName val="Loading (2)"/>
      <sheetName val="Jhar. BOQ.III,IV"/>
      <sheetName val="Con Pro.III"/>
      <sheetName val="Con Pro.IV"/>
      <sheetName val="Road Works"/>
      <sheetName val="MEST"/>
      <sheetName val="MBTLead"/>
      <sheetName val="MRMR"/>
      <sheetName val="MRoadMap"/>
      <sheetName val="SK BOQ Pkg-1"/>
      <sheetName val="Str.Qu."/>
      <sheetName val="AP-1(Electrical BOQ)"/>
      <sheetName val="machinery available soil"/>
      <sheetName val="MAJ Qtys HORR"/>
      <sheetName val="Crusher "/>
      <sheetName val="Shuttering Cost"/>
      <sheetName val="con pro."/>
      <sheetName val="Syn of Sk -Pkg1"/>
      <sheetName val="CoA Breakup"/>
      <sheetName val="AP-7(synopsis)"/>
      <sheetName val="Summary AP7"/>
      <sheetName val="BOQ AP 7"/>
      <sheetName val="MAJ Qtys Ap"/>
      <sheetName val="Qty's calc."/>
      <sheetName val="Cost summary (test)"/>
      <sheetName val="Cost summary (2)"/>
      <sheetName val="Activity summary"/>
      <sheetName val="Commission fees"/>
      <sheetName val="FUNCTION"/>
      <sheetName val="pr_cal"/>
      <sheetName val="Process"/>
      <sheetName val="Railway Deposit"/>
      <sheetName val="BOQ Thum"/>
      <sheetName val="PMC mach "/>
      <sheetName val="Crusher-PMC"/>
      <sheetName val="L.map"/>
      <sheetName val="Ele. workable Rates"/>
      <sheetName val="MBQ"/>
      <sheetName val="drg study"/>
      <sheetName val="block"/>
      <sheetName val="Technicla manpower"/>
      <sheetName val="Mixer"/>
      <sheetName val="Basic Material Rate"/>
      <sheetName val="BP Cost"/>
      <sheetName val="Rate Analysis- Earth work"/>
      <sheetName val="Rate Analysis-Misc "/>
      <sheetName val="Finishing"/>
      <sheetName val="Plant Hire Pile"/>
      <sheetName val="Rate Analysis-Pile"/>
      <sheetName val="Rate Analysis- Concrete"/>
      <sheetName val="Clarification"/>
      <sheetName val="Rate analysis - EW"/>
      <sheetName val="masonary"/>
      <sheetName val="Conc analysis"/>
      <sheetName val="Rate Analysis-Misc"/>
      <sheetName val="Rate Anaysis-Finish"/>
      <sheetName val="Rate Analysis-Finish1"/>
      <sheetName val="Content-Technical"/>
      <sheetName val="Org-Chart"/>
      <sheetName val="Manpower Sche"/>
      <sheetName val="equipment Sche"/>
      <sheetName val="Tools"/>
      <sheetName val="Cover "/>
      <sheetName val="Separator Sheet"/>
      <sheetName val="Module7"/>
      <sheetName val="Module8"/>
      <sheetName val="Module9"/>
      <sheetName val="R1"/>
      <sheetName val="R2"/>
      <sheetName val="R3"/>
      <sheetName val="PH "/>
      <sheetName val="PH BOQ"/>
      <sheetName val="Additional Common Cost"/>
      <sheetName val="Org. Chart"/>
      <sheetName val="BOQ_Summary"/>
      <sheetName val="BOQ_HVAC, Plumbing &amp; Control"/>
      <sheetName val="HVAC Equip. Loading Data"/>
      <sheetName val="Attachment #1"/>
      <sheetName val="Attachment #2"/>
      <sheetName val="Attachment #3"/>
      <sheetName val="Attachment #4"/>
      <sheetName val="Budgetory price-to submit"/>
      <sheetName val="Budgetory price-R2 "/>
      <sheetName val="Costing summery"/>
      <sheetName val="Ash Dyke"/>
      <sheetName val="Erection-Mech"/>
      <sheetName val="E&amp;I mHr-Consu cost"/>
      <sheetName val="W-Cost-Est-Mech"/>
      <sheetName val="Concrete analysis"/>
      <sheetName val="Shuttering analysis"/>
      <sheetName val="DAF-1"/>
      <sheetName val="Rekap"/>
      <sheetName val="ANALISA RAB"/>
      <sheetName val="Analisa Teknik"/>
      <sheetName val="UPAH + ALAT"/>
      <sheetName val="Analisa"/>
      <sheetName val="Bahan"/>
      <sheetName val="Upah"/>
      <sheetName val="Sub"/>
      <sheetName val="Gaji"/>
      <sheetName val=" BU"/>
      <sheetName val="MU"/>
      <sheetName val="Peralatan"/>
      <sheetName val="Alat"/>
      <sheetName val="PL. Ratu"/>
      <sheetName val="Indramayu"/>
      <sheetName val="BQ "/>
      <sheetName val="Dash b"/>
      <sheetName val="Prelim"/>
      <sheetName val="Summery7"/>
      <sheetName val="BQpaket7"/>
      <sheetName val="analysis2"/>
      <sheetName val="DHsat"/>
      <sheetName val="basic price"/>
      <sheetName val="an-tek"/>
      <sheetName val="ProdAlat"/>
      <sheetName val="ALAT JLN"/>
      <sheetName val="an-alat"/>
      <sheetName val="anl pump hs"/>
      <sheetName val="MOMDEMOB"/>
      <sheetName val="ebc"/>
      <sheetName val="1000"/>
      <sheetName val="1200 &amp;1400"/>
      <sheetName val="boughtout"/>
      <sheetName val="erect"/>
      <sheetName val="hours"/>
      <sheetName val="erec"/>
      <sheetName val="belt-conv"/>
      <sheetName val="E &amp; I"/>
      <sheetName val="CABLE BULK"/>
      <sheetName val="Module1 "/>
      <sheetName val="計算式"/>
      <sheetName val="DC - Dozer"/>
      <sheetName val="CCS"/>
      <sheetName val="Non-Rec"/>
      <sheetName val="Prelims"/>
      <sheetName val="Bill1"/>
      <sheetName val="1.1 Staff"/>
      <sheetName val="3.1 Labour"/>
      <sheetName val="4.1 Site_Offices"/>
      <sheetName val="6.1 Plant"/>
      <sheetName val="6.5.1 Ext Scaffold"/>
      <sheetName val="6.5.2 Int Scaffold"/>
      <sheetName val="ETP-220VAC DCS"/>
      <sheetName val="ETP_220VAC DCS"/>
      <sheetName val="Ward areas"/>
      <sheetName val="Synopsis 33A"/>
      <sheetName val="BOQ-II"/>
      <sheetName val="Programme-II"/>
      <sheetName val="Rate Bank"/>
      <sheetName val="Conc. Mixer"/>
      <sheetName val="Shuttering ana"/>
      <sheetName val="Reinf &amp; Fab"/>
      <sheetName val="TAX"/>
      <sheetName val="mem-property"/>
      <sheetName val="Adhi Price"/>
      <sheetName val="Basic Materials"/>
      <sheetName val="Precast Cc Block"/>
      <sheetName val="Borrow Earth 13Km lead"/>
      <sheetName val="option3"/>
      <sheetName val="Load Details(B1)"/>
      <sheetName val="Input "/>
      <sheetName val="Final Bill of Material"/>
      <sheetName val="SAP"/>
      <sheetName val="Zaheer"/>
      <sheetName val="Comprsn"/>
      <sheetName val="sch_a"/>
      <sheetName val="sch_c"/>
      <sheetName val="sec_d"/>
      <sheetName val="sec_e"/>
      <sheetName val="sec_f"/>
      <sheetName val="ITemised rates"/>
      <sheetName val="new items"/>
      <sheetName val="Vind - BtB"/>
      <sheetName val="CABLE"/>
      <sheetName val="DETAILED  BOQ"/>
      <sheetName val="std.wt."/>
      <sheetName val="drg.qty"/>
      <sheetName val="rf-qty"/>
      <sheetName val="str.stl"/>
      <sheetName val="rms"/>
      <sheetName val="Steel Std Wts."/>
      <sheetName val="I-BLDGS.ABS (CB)"/>
      <sheetName val="I-BLDGS. (8)CB"/>
      <sheetName val="I-BLDGS. (7)CB"/>
      <sheetName val="I-BLDGS. (6)CB"/>
      <sheetName val="I-BLDGS. (5)CB"/>
      <sheetName val="I-BLDGS. (4)CB"/>
      <sheetName val="I-BLDGS. (3)CB"/>
      <sheetName val="I-BLDGS. (2)CB"/>
      <sheetName val="I-BLDGS. (1)CB"/>
      <sheetName val="I-BLDGS.ABS (BG)"/>
      <sheetName val="I-BLDGS. (10)BG"/>
      <sheetName val="I-BLDGS. (9)BG"/>
      <sheetName val="I-BLDGS. (8)BG"/>
      <sheetName val="I-BLDGS. (7)BG"/>
      <sheetName val="I-BLDGS. (6)BG"/>
      <sheetName val="I-BLDGS. (5)BG"/>
      <sheetName val="I-BLDGS. (4)BG"/>
      <sheetName val="I-BLDGS. (3)BG"/>
      <sheetName val="I-BLDGS. (2)BG"/>
      <sheetName val="I-BLDGS. (1)BG"/>
      <sheetName val="II,IV,V,VI,VII-BOQ"/>
      <sheetName val="III-ELECT."/>
      <sheetName val="VIII-LIFTS"/>
      <sheetName val="IX-SWH"/>
      <sheetName val="X-FFS"/>
      <sheetName val="XI-SL"/>
      <sheetName val="Elect.Analysis"/>
      <sheetName val="LE"/>
      <sheetName val="Gamzen"/>
      <sheetName val="Qty "/>
      <sheetName val="ANA-LS"/>
      <sheetName val="ANAL-IR"/>
      <sheetName val="TEAM-TEN 01 F 02"/>
      <sheetName val="SFCRR-TEN 01 F 03-SPB"/>
      <sheetName val="Scope"/>
      <sheetName val="T-4"/>
      <sheetName val="T-1A"/>
      <sheetName val="T-1B"/>
      <sheetName val="T-3 "/>
      <sheetName val="T6A"/>
      <sheetName val="T-6"/>
      <sheetName val="T-7"/>
      <sheetName val="T-8A"/>
      <sheetName val="T-9A"/>
      <sheetName val="MSPS_Abstract"/>
      <sheetName val="MSPS_Detailed"/>
      <sheetName val="drwng_study"/>
      <sheetName val="M-BOQ"/>
      <sheetName val="sliding "/>
      <sheetName val="casement"/>
      <sheetName val="RA "/>
      <sheetName val="I-MAINFACT"/>
      <sheetName val="II-RAduct"/>
      <sheetName val="III-RawMatGodwn"/>
      <sheetName val="IV-Utility"/>
      <sheetName val="V-UGtank"/>
      <sheetName val="VI-Road"/>
      <sheetName val="VII-ETP"/>
      <sheetName val="Flooring-MRS"/>
      <sheetName val="BO"/>
      <sheetName val="ANALSIS "/>
      <sheetName val="BOQ  "/>
      <sheetName val="G.SUMMARY"/>
      <sheetName val="Summary -OH "/>
      <sheetName val="BOQ "/>
      <sheetName val="Alanysis for Stations &amp; Roads"/>
      <sheetName val="Points"/>
      <sheetName val="Table9"/>
      <sheetName val="Table10"/>
      <sheetName val="Table12"/>
      <sheetName val="TemplateInformation"/>
      <sheetName val="floor slab-RS2"/>
      <sheetName val="Design Pad"/>
      <sheetName val="Oneway Slab"/>
      <sheetName val="Two slab"/>
      <sheetName val="Monorail"/>
      <sheetName val="Flight-1"/>
      <sheetName val="BS8007 (21)"/>
      <sheetName val="BS8007 (3)"/>
      <sheetName val="IS456"/>
      <sheetName val="cover-sheet"/>
      <sheetName val="sep"/>
      <sheetName val="scop"/>
      <sheetName val="sep (2)"/>
      <sheetName val="design criterion "/>
      <sheetName val="sep (5)"/>
      <sheetName val="buildings "/>
      <sheetName val="sep (3)"/>
      <sheetName val="WT1"/>
      <sheetName val="w.t"/>
      <sheetName val="TRACK-HOPPER"/>
      <sheetName val="m'bays"/>
      <sheetName val="UGTP"/>
      <sheetName val="tunnel-D"/>
      <sheetName val="stacker reclaimer"/>
      <sheetName val="trestls"/>
      <sheetName val="TPS"/>
      <sheetName val="PH's"/>
      <sheetName val="Tel  "/>
      <sheetName val="Ext.light"/>
      <sheetName val="Staff Acco_"/>
      <sheetName val="1.1(a)_Pipes (For External)"/>
      <sheetName val="1.1(b)_Pipes (For External)"/>
      <sheetName val="1.2a_M.S. Pipe (Above ground)"/>
      <sheetName val="1.2b_M.S. Pipes (Above ground)"/>
      <sheetName val="1.3_Sluice valves"/>
      <sheetName val="1.4_Butterfly valves"/>
      <sheetName val="1.5_Non-return valve"/>
      <sheetName val="2.1_External Fire Hydrant"/>
      <sheetName val="2.3(a)_Landing Valve"/>
      <sheetName val="2.4_Branch pipe"/>
      <sheetName val="2.5_Hose reel"/>
      <sheetName val="2.6_RRL Hose Pipe"/>
      <sheetName val="2.7_Fullway valve"/>
      <sheetName val="3.1_2 way fire brigade"/>
      <sheetName val="3.2_4 way fire brigade"/>
      <sheetName val="3.3_Fire Brigade suction hose"/>
      <sheetName val="3.4_Gun metal Air release valve"/>
      <sheetName val="5.1_ABC Type Fire Extinguisher"/>
      <sheetName val="5.2_CO2 Type Fire Extinguisher"/>
      <sheetName val="5.3_CO2 Trolley Mounted"/>
      <sheetName val="5.4_Water extinguisher (9 Ltrs)"/>
      <sheetName val="5.5_Mechanical Foam (9 Ltrs)"/>
      <sheetName val="5.6_Mechanical Foam (50 Ltrs)"/>
      <sheetName val="6.1_M.S. Black pipes"/>
      <sheetName val="6.2_Sprinklers"/>
      <sheetName val="6.9_Ball valve"/>
      <sheetName val="6.6_Butterfly valves"/>
      <sheetName val="6.7_Alarm check valve"/>
      <sheetName val="6.8_Gunmetal Isolation valve"/>
      <sheetName val="6.9_Forged brass ball valve"/>
      <sheetName val="6.10_Flow indicating Switch"/>
      <sheetName val="6.11_C.I. Air release valve"/>
      <sheetName val="7.1a_Main Fire Pump"/>
      <sheetName val="7.1b_Jockey pump"/>
      <sheetName val="7.1c_Sprinkler pump"/>
      <sheetName val="7.2_Diesel Driven pump"/>
      <sheetName val="7.3_Fire Pump (Panels)"/>
      <sheetName val="7.5_Perforated type Cable Tray"/>
      <sheetName val="7.6_C.I. Y Type Strainer"/>
      <sheetName val="7.8_Pressure Gauge"/>
      <sheetName val="7.10_Copper armoured cables"/>
      <sheetName val="7.11_Aluminium armoured cables"/>
      <sheetName val="7.12_Earthing Station"/>
      <sheetName val="7.13_G.I. Strip"/>
      <sheetName val="7.14_G.I. Strip "/>
      <sheetName val="G.Abst"/>
      <sheetName val="civ.abst"/>
      <sheetName val="Anchor"/>
      <sheetName val="pipe abst "/>
      <sheetName val="pumpset abst"/>
      <sheetName val="Pumpset Designs"/>
      <sheetName val="hyd_design_sumps"/>
      <sheetName val="Protec work"/>
      <sheetName val="F.bridge"/>
      <sheetName val="Approach Rd"/>
      <sheetName val="Soil test &amp; Jun cl"/>
      <sheetName val="KON - DATA GLBR, Wat"/>
      <sheetName val="GLBR1000EST"/>
      <sheetName val="GLBR1000KLDESG"/>
      <sheetName val="piles"/>
      <sheetName val="Data IBM Jn"/>
      <sheetName val="OHSR per Lt _2.5"/>
      <sheetName val="DesignsmymKON"/>
      <sheetName val="9x4 P.H GK"/>
      <sheetName val="9x4 P.H"/>
      <sheetName val="Watch  Qtr @ KDP GLBR"/>
      <sheetName val="Data IBM Jn GLSR"/>
      <sheetName val="Watch @ IBM GLSR"/>
      <sheetName val="Watch @ H.W"/>
      <sheetName val="Prote at GLSR"/>
      <sheetName val="6 X 4 P.H"/>
      <sheetName val="DataIBMJN"/>
      <sheetName val="DataGKJN"/>
      <sheetName val="GKRSump(506kl)"/>
      <sheetName val="IBM SUMP904KLDESG"/>
      <sheetName val="DES-1000KL-GLBRKON"/>
      <sheetName val="Sump 904 KL est"/>
      <sheetName val="W.h.Coeff"/>
      <sheetName val="Pipe rate"/>
      <sheetName val="1.50lakhltrt"/>
      <sheetName val="40000ltsOHSR Ch.M"/>
      <sheetName val="40000ltsOHSR Pi"/>
      <sheetName val="Top Sheet  "/>
      <sheetName val="Top Sheet -1"/>
      <sheetName val="ABS-SOH"/>
      <sheetName val="Salaries"/>
      <sheetName val="Off-Veh Exp"/>
      <sheetName val="BP-Other strs"/>
      <sheetName val="BP- FOs-Itchgs"/>
      <sheetName val="Hire chares of Machinery"/>
      <sheetName val="Land Lease-NH "/>
      <sheetName val="BOQ  (2)"/>
      <sheetName val="ESC"/>
      <sheetName val="TARGET VS ACHIVED"/>
      <sheetName val="Sheet1(NOV)"/>
      <sheetName val="Reasons SHORT&amp;CRITICA&amp;EXE.TIME "/>
      <sheetName val="BCTC_SUPPLY (CERTIFIED BILLS)"/>
      <sheetName val="BCTC_ERECTION"/>
      <sheetName val="Action Plan-RE work"/>
      <sheetName val="Action plan Turn Over reports"/>
      <sheetName val="RA BILL DEATAILS"/>
      <sheetName val="pending micc &amp; cip"/>
      <sheetName val="Supply Pkg B"/>
      <sheetName val="Er. PkgB"/>
      <sheetName val="Tower Calculations"/>
      <sheetName val="Hardware &amp; Acces."/>
      <sheetName val="MIS_MRN-6"/>
      <sheetName val="MRN-NEW"/>
      <sheetName val="In Ward 2007-2009"/>
      <sheetName val="MRN"/>
      <sheetName val="MS+CS"/>
      <sheetName val="MRNvsPJV FOR 10"/>
      <sheetName val="MS+CS FOR 10"/>
      <sheetName val="MS FOR 10"/>
      <sheetName val="701"/>
      <sheetName val="736"/>
      <sheetName val="98"/>
      <sheetName val="620"/>
      <sheetName val="597"/>
      <sheetName val="668"/>
      <sheetName val="570"/>
      <sheetName val="524"/>
      <sheetName val="675"/>
      <sheetName val="121"/>
      <sheetName val="577"/>
      <sheetName val="681"/>
      <sheetName val="20176"/>
      <sheetName val="20131"/>
      <sheetName val="20165"/>
      <sheetName val="ORG CHART 040206"/>
      <sheetName val="DPR"/>
      <sheetName val="11 KV MAIN LINE 05.02.06"/>
      <sheetName val="s6 05.02.06"/>
      <sheetName val="Trans main"/>
      <sheetName val="Piling-Quot"/>
      <sheetName val="Piling-Kilpak"/>
      <sheetName val="Piling-KKNgr"/>
      <sheetName val="Piling-AnaPonga"/>
      <sheetName val="ABSTRACT-28-07-10"/>
      <sheetName val="DEBTORS AGING - Q1-FINAL"/>
      <sheetName val="NET DEB. W.INGS.26-7"/>
      <sheetName val="DEB. PROV.AS ON 30-06-2010"/>
      <sheetName val="DEB.ACT.PROV.AVAILABLE31-03-10"/>
      <sheetName val="G.D.(ACTUAL)"/>
      <sheetName val="LESSTHAN 6 M"/>
      <sheetName val="MORETHAN 6 MONTHS"/>
      <sheetName val="ONE TO TWO YRS."/>
      <sheetName val="TO TWO 2 3 YRS."/>
      <sheetName val="MOB.ADV."/>
      <sheetName val="MAT.ADV."/>
      <sheetName val="MAC.ADV."/>
      <sheetName val="01-04-08-30-06-08"/>
      <sheetName val="1-7-07-31-03-09"/>
      <sheetName val="01-04-09 30-06-09"/>
      <sheetName val="01-07-08 TO 31-03-09"/>
      <sheetName val="Complaince Status Report"/>
      <sheetName val="STOCK STATEMENT-BSP"/>
      <sheetName val="Stock Statement"/>
      <sheetName val="Major Materials"/>
      <sheetName val="Free Issue Mat. to PRW_Sub Con."/>
      <sheetName val="P.V.CL.Stock-BSP"/>
      <sheetName val="Physical Verification Cl. Stock"/>
      <sheetName val="Physical verification of FA"/>
      <sheetName val="Physical verification-BSP"/>
      <sheetName val="CFL-BEED"/>
      <sheetName val="CFL-KIM"/>
      <sheetName val="CFL-ORISSA"/>
      <sheetName val="SMR-SUPPLY"/>
      <sheetName val="SMR-EXP."/>
      <sheetName val="CFL-S'PUR"/>
      <sheetName val="CFL-S'PUR(AD)"/>
      <sheetName val="CFL-MBB"/>
      <sheetName val="CFL-MOBHA"/>
      <sheetName val="CFL-KOLAR"/>
      <sheetName val="CFL-WALUJ"/>
      <sheetName val="CFL-WALUJ(ad)"/>
      <sheetName val="CFL-JEJURI (ad)"/>
      <sheetName val="CFL-JEJURI"/>
      <sheetName val="CFL-DVC "/>
      <sheetName val="M-CR"/>
      <sheetName val="SUMMARY (AD)"/>
      <sheetName val="SUM-MW"/>
      <sheetName val="Monthly Billing"/>
      <sheetName val="MPS R-1 (2)"/>
      <sheetName val="MPS R-1"/>
      <sheetName val="Level-3 MPS"/>
      <sheetName val="Old working"/>
      <sheetName val="SIL File"/>
      <sheetName val="DT"/>
      <sheetName val="DPR -Permanent Works"/>
      <sheetName val="CP FEB 03"/>
      <sheetName val="CWCO FEB 03"/>
      <sheetName val="OH FEB 03"/>
      <sheetName val="MAT FEB 03"/>
      <sheetName val="P&amp;M AFA"/>
      <sheetName val="P&amp;M DEPN"/>
      <sheetName val="LAB FEB'03"/>
      <sheetName val="SC Cost FEB 03"/>
      <sheetName val="FEB03 LEDGER"/>
      <sheetName val="FEB03 LEDGER (2)"/>
      <sheetName val="JAN 03 LEDGER (2)"/>
      <sheetName val="CP distribution for CEMA"/>
      <sheetName val="CP MAR 03"/>
      <sheetName val="CWCO MAR 03"/>
      <sheetName val="MAR03 LEDGER"/>
      <sheetName val="MAR03 LEDGER (2)"/>
      <sheetName val="Main Block"/>
      <sheetName val="Glacis Concrete"/>
      <sheetName val="TW-DW-90.85-105.85"/>
      <sheetName val="TW-DW-75.85-90.85 "/>
      <sheetName val="TW-DW-42-75.85"/>
      <sheetName val="Pier-26.17-42"/>
      <sheetName val="Workplan"/>
      <sheetName val="Conc&amp; Aggr"/>
      <sheetName val="Work Plan-Dam-0304-R1"/>
      <sheetName val="Z- GENERAL PRICE SUMMARY"/>
      <sheetName val=" Estimate  "/>
      <sheetName val="갑지1"/>
      <sheetName val="경영혁신본뷀"/>
      <sheetName val="고압수량(철거)"/>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기계내역서"/>
      <sheetName val="2.2 STAFF Scedule"/>
      <sheetName val="당초내역서"/>
      <sheetName val="갑지(추정)"/>
      <sheetName val="ELEC_DCI"/>
      <sheetName val="INST_DCI"/>
      <sheetName val="Engg-Exec-2"/>
      <sheetName val="Site-Precom-2"/>
      <sheetName val="Collab"/>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EQUIPOS"/>
      <sheetName val="AREA"/>
      <sheetName val="바닥판"/>
      <sheetName val="TYPE1"/>
      <sheetName val="철근량"/>
      <sheetName val="토목주소"/>
      <sheetName val="프랜트면허"/>
      <sheetName val="역T형"/>
      <sheetName val="Man Hole"/>
      <sheetName val="대로근거"/>
      <sheetName val="중로근거"/>
      <sheetName val="PRO_DCI"/>
      <sheetName val="HVAC_DCI"/>
      <sheetName val="PIPE_DCI"/>
      <sheetName val="일위대가표"/>
      <sheetName val="조건표"/>
      <sheetName val="내역표지"/>
      <sheetName val="산출2-기기동력"/>
      <sheetName val="40총괄"/>
      <sheetName val="40집계"/>
      <sheetName val="30신설일위대가"/>
      <sheetName val="30집계표"/>
      <sheetName val="NSCP견적물량"/>
      <sheetName val="공사비예산서(토목분)"/>
      <sheetName val="float&amp;bear"/>
      <sheetName val="Kfracture"/>
      <sheetName val="직재"/>
      <sheetName val="I一般比"/>
      <sheetName val="입력시트"/>
      <sheetName val="PROSUM"/>
      <sheetName val="Resumen"/>
      <sheetName val="Precios Unitarios"/>
      <sheetName val="내역서 耰&quot;_x005f_x005f_x005f_x005f_x005f_x005f_x005f_x0000_"/>
      <sheetName val="_x005f_x005f_x005f_x005f_x005f_x005f_x005f_x0008_"/>
      <sheetName val="9906"/>
      <sheetName val="계측 내역서"/>
      <sheetName val="Lstsub"/>
      <sheetName val="[SANDAN.XLS??"/>
      <sheetName val="Hot"/>
      <sheetName val="Piping BQ for one turbine"/>
      <sheetName val="AILC004"/>
      <sheetName val="Calc"/>
      <sheetName val="WBS 44"/>
      <sheetName val="WBS 41"/>
      <sheetName val="Precios por Administración"/>
      <sheetName val="Subcon A"/>
      <sheetName val="수로보호공"/>
      <sheetName val="데이타"/>
      <sheetName val="식재인부"/>
      <sheetName val="견적"/>
      <sheetName val="7. 월별투입내역서"/>
      <sheetName val="인부신상자료"/>
      <sheetName val="cable-data"/>
      <sheetName val="T 3"/>
      <sheetName val="HORI. VESSEL"/>
      <sheetName val="BCPAB"/>
      <sheetName val="내역서"/>
      <sheetName val="MP MOB"/>
      <sheetName val="SummaryC"/>
      <sheetName val="배관내역"/>
      <sheetName val="Form B"/>
      <sheetName val="FORM-12"/>
      <sheetName val="Insts"/>
      <sheetName val="LV induction motors"/>
      <sheetName val="인원계획"/>
      <sheetName val="BSD (2)"/>
      <sheetName val="BM DATA SHEET"/>
      <sheetName val="입찰품의서"/>
      <sheetName val="내역ࠜĀ_x005f_x005f_x005f_x005f_x005f_x005f_x005f_x005f_x0"/>
      <sheetName val="내역서 耰&quot;_x005f_x005f_x005f_x005f_x005f_x005f_x005f_x005f_"/>
      <sheetName val="_x005f_x005f_x005f_x005f_x005f_x005f_x005f_x005f_x005f_x005f_"/>
      <sheetName val="Q-7100-001"/>
      <sheetName val="수주추정"/>
      <sheetName val="_x0002__x0000_뻘N_x0000__x0000__x0001_ࠀ역서"/>
      <sheetName val="BATCH"/>
      <sheetName val="trf(36%)"/>
      <sheetName val="All_2"/>
      <sheetName val="Monthly Load"/>
      <sheetName val="Weekly Load"/>
      <sheetName val="Utility and Fire flange"/>
      <sheetName val="Material Selections"/>
      <sheetName val="97 사업추정(WEKI)"/>
      <sheetName val="금융"/>
      <sheetName val="변경집계표"/>
      <sheetName val="DB@Acess"/>
      <sheetName val="집계표"/>
      <sheetName val="M_DB"/>
      <sheetName val="Piping_물량_정리_"/>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실행집계"/>
      <sheetName val="breakdown of wage rate"/>
      <sheetName val="Unit"/>
      <sheetName val="INPUT_DATA2"/>
      <sheetName val="집계표_(25,26ဩ2"/>
      <sheetName val="Form_02"/>
      <sheetName val="입출재고현황_(2)1"/>
      <sheetName val="General_Data2"/>
      <sheetName val="LABOR_&amp;_자재1"/>
      <sheetName val="간접비_총괄1"/>
      <sheetName val="Price_Schedule1"/>
      <sheetName val="3_공통공사대비1"/>
      <sheetName val="내역서_耰&quot;??1"/>
      <sheetName val="CAL_1"/>
      <sheetName val="EQUIPMENT_-21"/>
      <sheetName val="내역서_耰&quot;__1"/>
      <sheetName val="Civil_1"/>
      <sheetName val="Civil_2"/>
      <sheetName val="Civil_3"/>
      <sheetName val="Site_1"/>
      <sheetName val="Site_2"/>
      <sheetName val="Site_3"/>
      <sheetName val="Site_Faci"/>
      <sheetName val="DCS"/>
      <sheetName val="FWBS7000,8000"/>
      <sheetName val="ANALYSER"/>
      <sheetName val="Eq. Mobilization"/>
      <sheetName val="출금실적"/>
      <sheetName val="경영현황"/>
      <sheetName val="_x0002_?뻘N??_x0001_ࠀ역서"/>
      <sheetName val="_SANDAN.XLS__"/>
      <sheetName val="_x0002_"/>
      <sheetName val="내역서 (∮ἀ嘆ɶ_x0000_᠀㬁_x0000_"/>
      <sheetName val="당초_xd8b4_∸ἀ"/>
      <sheetName val="Resource table"/>
      <sheetName val="총괄표"/>
      <sheetName val="7422CW00"/>
      <sheetName val="수량집계"/>
      <sheetName val="총괄집계표"/>
      <sheetName val="일일총괄"/>
      <sheetName val="criteria"/>
      <sheetName val="RFP002"/>
      <sheetName val="Menus"/>
      <sheetName val="TDTKP"/>
      <sheetName val="DK-KH"/>
      <sheetName val="_x0004__x0000__x000d__x0000__x0003__x0000__x0004__x0000__x0016__x0000__x000d__x0000__x0004_"/>
      <sheetName val="_x000a__x0000__x001b__x0000__x0006__x0000__x0006__x0000__x0008__x0000__x000a__x0000__x0000_"/>
      <sheetName val="BREAKDOWN(철거설치)"/>
      <sheetName val="BREAKDOWN(신규설치)"/>
      <sheetName val="자바라1"/>
      <sheetName val="Code_Magics"/>
      <sheetName val="Code"/>
      <sheetName val="Curves"/>
      <sheetName val="Note"/>
      <sheetName val="data_dci"/>
      <sheetName val="Heads"/>
      <sheetName val="data_mci"/>
      <sheetName val="BLDG_DCI"/>
      <sheetName val="BLDG_MCI"/>
      <sheetName val="PRO_A"/>
      <sheetName val="Page_2"/>
      <sheetName val="behind"/>
      <sheetName val="costing_CV"/>
      <sheetName val="ITB_COST"/>
      <sheetName val="costing_ESDV"/>
      <sheetName val="costing_FE"/>
      <sheetName val="PROJECT"/>
      <sheetName val="정부노임단가"/>
      <sheetName val="Jobcost"/>
      <sheetName val="Default_Magics"/>
      <sheetName val="BM_DATA_SHEET"/>
      <sheetName val="Graph_(LGEN)"/>
      <sheetName val="PumpSpec"/>
      <sheetName val="costing_MOV"/>
      <sheetName val="PRO"/>
      <sheetName val="out_prog"/>
      <sheetName val="costing_Press"/>
      <sheetName val="96_121"/>
      <sheetName val="선적schedule_(2)"/>
      <sheetName val="System구분"/>
      <sheetName val="견적기준"/>
      <sheetName val="b_balju-단가단가단가"/>
      <sheetName val="10현장조직"/>
      <sheetName val="할증표"/>
      <sheetName val="choose"/>
      <sheetName val="Name of Bidder"/>
      <sheetName val="Attach 3(JV)"/>
      <sheetName val="Attach-3 (QR)"/>
      <sheetName val="Attach 4"/>
      <sheetName val="Attach 4 (A)"/>
      <sheetName val="Attach 5"/>
      <sheetName val="Attach 6"/>
      <sheetName val="Attach 9"/>
      <sheetName val="Attach 10"/>
      <sheetName val="Attach 11"/>
      <sheetName val="Attach 12"/>
      <sheetName val="Attach 13"/>
      <sheetName val="Attach 14"/>
      <sheetName val="Attach 14 IP"/>
      <sheetName val="Attach 15"/>
      <sheetName val="Attach 16"/>
      <sheetName val="Attach 17"/>
      <sheetName val="Attach 18"/>
      <sheetName val="Attach 19"/>
      <sheetName val="Bid Form 1st Env."/>
      <sheetName val="N-W (Cr.)"/>
      <sheetName val="Names of Bidder"/>
      <sheetName val="Sch-1"/>
      <sheetName val="Sch-1 dis"/>
      <sheetName val="Sch-2"/>
      <sheetName val="Sch-2 Dis"/>
      <sheetName val="Sch-3 "/>
      <sheetName val="Sch-3 Dis"/>
      <sheetName val="Sch-4"/>
      <sheetName val="Sch-5"/>
      <sheetName val="Sch-5 Dis"/>
      <sheetName val="Sch-6"/>
      <sheetName val="Sch-6 After Discount"/>
      <sheetName val="Sch-7"/>
      <sheetName val="Sch-7 Dis"/>
      <sheetName val="Discount"/>
      <sheetName val="Octroi"/>
      <sheetName val="Entry Tax"/>
      <sheetName val="Other Taxes &amp; Duties"/>
      <sheetName val="Bid Form 2nd Envelope"/>
      <sheetName val="Q &amp; C (2)"/>
      <sheetName val="Q &amp; C"/>
      <sheetName val="N to W"/>
      <sheetName val="Title-Sh."/>
      <sheetName val="400 kV Eq Stru"/>
      <sheetName val="400kV eq. str foundation"/>
      <sheetName val="4&quot;"/>
      <sheetName val="Title "/>
      <sheetName val="Circuit"/>
      <sheetName val="Cond. data"/>
      <sheetName val="Tubular data"/>
      <sheetName val="4.5&quot;"/>
      <sheetName val="Zebra"/>
      <sheetName val="Annexure-1, Conductor data"/>
      <sheetName val="Annexure-2, Tubular data"/>
      <sheetName val="Annexure-3, IEC 1597"/>
      <sheetName val="Annexure-4, PEHB"/>
      <sheetName val="CALCULATION"/>
      <sheetName val="LINE SIDE"/>
      <sheetName val="GIRDER WIND -GA"/>
      <sheetName val="TOWER WIND - -LONG -L-DIR"/>
      <sheetName val="TOWER WIND - -trans -T-DIR"/>
      <sheetName val="TA TOWER"/>
      <sheetName val="GIRDER-GA"/>
      <sheetName val="Sample Calculations"/>
      <sheetName val="BASE PLATE- TA"/>
      <sheetName val="REACTION TA"/>
      <sheetName val="ND"/>
      <sheetName val="MB"/>
      <sheetName val="LC1"/>
      <sheetName val="LC2"/>
      <sheetName val="LC3"/>
      <sheetName val="LC4"/>
      <sheetName val="DEF peak"/>
      <sheetName val="DEF  girder fixing"/>
      <sheetName val="GIRDER DEFF"/>
      <sheetName val="INPUT FILE"/>
      <sheetName val="STAADOUTPUT"/>
      <sheetName val="lee wind long"/>
      <sheetName val="lee wind tra"/>
      <sheetName val="IS 808 ANGLE"/>
      <sheetName val="SPLICE"/>
      <sheetName val="Annexures (2)"/>
      <sheetName val="SUM FSBLT"/>
      <sheetName val="VOLSUM"/>
      <sheetName val="WPSUM"/>
      <sheetName val="PCWBS_MAP"/>
      <sheetName val="WKFRM1"/>
      <sheetName val="WKFRM2"/>
      <sheetName val="SQNC-1"/>
      <sheetName val="SQNC-2"/>
      <sheetName val="SQNC-3"/>
      <sheetName val="MILSTN"/>
      <sheetName val="MASTSCH"/>
      <sheetName val="MOBALL"/>
      <sheetName val="CRDIDX"/>
      <sheetName val="PROGALL"/>
      <sheetName val="2538M"/>
      <sheetName val="ORGZN"/>
      <sheetName val="STAFSCH"/>
      <sheetName val="SUB_Map"/>
      <sheetName val="PERFEVA"/>
      <sheetName val="PIPE50%A"/>
      <sheetName val="PIPE50%B"/>
      <sheetName val="STFMHANZ"/>
      <sheetName val="CMHANZ"/>
      <sheetName val="MPDATA1000"/>
      <sheetName val="MPDATA2000"/>
      <sheetName val="MPDATA3000"/>
      <sheetName val="MPDATA4000"/>
      <sheetName val="MPDATA5000"/>
      <sheetName val="MPDATA6000"/>
      <sheetName val="MPDATA7000"/>
      <sheetName val="MPDATA8000"/>
      <sheetName val="MPDATA9_A_B"/>
      <sheetName val="BQCONV"/>
      <sheetName val="SCINF1"/>
      <sheetName val="SCINF2"/>
      <sheetName val="KNOWHOW_MEMO"/>
      <sheetName val="EQUIPMOB"/>
      <sheetName val="TEMP_FAC"/>
      <sheetName val="7000(rev)"/>
      <sheetName val="3000-A"/>
      <sheetName val="5000-A"/>
      <sheetName val="6000-A"/>
      <sheetName val="9000-A"/>
      <sheetName val="管道资料"/>
      <sheetName val="9DATA"/>
      <sheetName val="A000-A"/>
      <sheetName val="0DATA"/>
      <sheetName val="9管道资料"/>
      <sheetName val="FWBS 9000"/>
      <sheetName val="Overall Project"/>
      <sheetName val="Overall Process"/>
      <sheetName val="Overall Utility"/>
      <sheetName val="FWBS 1000"/>
      <sheetName val="2000"/>
      <sheetName val="FWBS 2000"/>
      <sheetName val="3000"/>
      <sheetName val="FWBS 3000"/>
      <sheetName val="5000"/>
      <sheetName val="FWBS 5000"/>
      <sheetName val="6000"/>
      <sheetName val="FWBS 6000"/>
      <sheetName val="7000"/>
      <sheetName val="FWBS 7000"/>
      <sheetName val="8000"/>
      <sheetName val="FWBS 8000"/>
      <sheetName val="9000"/>
      <sheetName val="A000"/>
      <sheetName val="FWBS A000"/>
      <sheetName val="B000"/>
      <sheetName val="FWBS B000"/>
      <sheetName val="Z000"/>
      <sheetName val="FWBS Z000"/>
      <sheetName val="TYPE-A"/>
      <sheetName val="95신규호표"/>
      <sheetName val="Proj_Details1"/>
      <sheetName val="_1"/>
      <sheetName val="Final_Tender1"/>
      <sheetName val="Sch_A-Viaduct1"/>
      <sheetName val="Sch_A_-_Typ_Station_1"/>
      <sheetName val="Sch_B1"/>
      <sheetName val="Strip_Plan1"/>
      <sheetName val="Major_Items1"/>
      <sheetName val="Cost_of_equip,fabrication1"/>
      <sheetName val="Late_start1"/>
      <sheetName val="early_start1"/>
      <sheetName val="Q_Baricade1"/>
      <sheetName val="Q_HR1"/>
      <sheetName val="Equip_Depl1"/>
      <sheetName val="R-Void_Slab1"/>
      <sheetName val="R_-_portal1"/>
      <sheetName val="R_CLC1"/>
      <sheetName val="P-Ins_&amp;_Bonds1"/>
      <sheetName val="P_Staff_fac1"/>
      <sheetName val="P-Site_fac1"/>
      <sheetName val="P-Clients_fac1"/>
      <sheetName val="P_Cash_Flow1"/>
      <sheetName val="Input_footings"/>
      <sheetName val="SinglePeir_Input"/>
      <sheetName val="Conc rate analysis"/>
      <sheetName val="Bill No.5C"/>
      <sheetName val="Bill No. 5D"/>
      <sheetName val="Bill No. 5E"/>
      <sheetName val="Bill No.5F"/>
      <sheetName val="Bill No.10"/>
      <sheetName val="Bill No.13"/>
      <sheetName val="Payment Summary"/>
      <sheetName val="Abstract-BOQ"/>
      <sheetName val="Pg No"/>
      <sheetName val="Consumption"/>
      <sheetName val="Consump %"/>
      <sheetName val="B&amp;U Abs"/>
      <sheetName val="Royalty"/>
      <sheetName val="B&amp;U"/>
      <sheetName val="B&amp;U-Rebar"/>
      <sheetName val="RE Wall"/>
      <sheetName val="RE Emb-10+"/>
      <sheetName val="RE Block Ere-10+"/>
      <sheetName val="RE FM -10+"/>
      <sheetName val="RE Fill-10+"/>
      <sheetName val="RE Ere-11"/>
      <sheetName val="RE Fill-11"/>
      <sheetName val="RE FM-11"/>
      <sheetName val="RE Emb 11+"/>
      <sheetName val="RE Block Ere-16+"/>
      <sheetName val="RE FM-16"/>
      <sheetName val="RE Fill-16+"/>
      <sheetName val="RE EMB-16"/>
      <sheetName val="RE EMB-31+"/>
      <sheetName val="RE Block Ere-31+"/>
      <sheetName val="RE FM-31+"/>
      <sheetName val="RE Fill-31+"/>
      <sheetName val="RE Block-cas"/>
      <sheetName val="RE Pannel-cas"/>
      <sheetName val="Abstract of Escalation"/>
      <sheetName val="Escalation-Cement"/>
      <sheetName val="Escalation-Steel"/>
      <sheetName val="Escalation-Diesel"/>
      <sheetName val="Invoice Details-1"/>
      <sheetName val="Invoice Details-2"/>
      <sheetName val="Invoice Details-3"/>
      <sheetName val="Invoice Details-5"/>
      <sheetName val="Secured Mat. Advance"/>
      <sheetName val="Invoice Details-9"/>
      <sheetName val="AS 7"/>
      <sheetName val="AS 7 (REV)"/>
      <sheetName val="BOQ (REV)"/>
      <sheetName val="Conc rate analysisa"/>
      <sheetName val="Conc rate analysis (Dust)"/>
      <sheetName val="Shear at Sections"/>
      <sheetName val="FENCING"/>
      <sheetName val="GIFT"/>
      <sheetName val="chart as per norms"/>
      <sheetName val="Officer"/>
      <sheetName val="staff &amp; DP"/>
      <sheetName val="Working 1"/>
      <sheetName val="Prelim-wrk-detail"/>
      <sheetName val="S44 Depriciation"/>
      <sheetName val="S45 Refurbishment Charges"/>
      <sheetName val="Compatibility Report"/>
      <sheetName val="AS-9 Schedule"/>
      <sheetName val="Schedule Qty"/>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 val="DPR Apr'09"/>
      <sheetName val="tracking"/>
      <sheetName val="tracking (2)"/>
      <sheetName val="Alphabetical List (HO)"/>
      <sheetName val="Floorwise List "/>
      <sheetName val="Mobile &amp; Residence No."/>
      <sheetName val="Fax Nos (HO)"/>
      <sheetName val="Office Details"/>
      <sheetName val="Site-PM-contact no's"/>
      <sheetName val="HREL"/>
      <sheetName val="LAVASA-MUMBAI"/>
      <sheetName val="HCC Information System"/>
      <sheetName val="Tivoli"/>
      <sheetName val="IIIA WATER SUPPLY PROJECT"/>
      <sheetName val="Allahbad Bypass "/>
      <sheetName val="AP-8"/>
      <sheetName val="Assam Road Project"/>
      <sheetName val="Badarpur"/>
      <sheetName val="Bandra-Worli"/>
      <sheetName val="Chamera"/>
      <sheetName val="Chennai By Pass Mobile"/>
      <sheetName val="Chennai Bypass "/>
      <sheetName val="Chutak"/>
      <sheetName val="DELHI METRO"/>
      <sheetName val="DHAULIGANGA"/>
      <sheetName val="GOSHIKHURD"/>
      <sheetName val="GSHP-2"/>
      <sheetName val="KISHANGANGA"/>
      <sheetName val="KOODANKULAM"/>
      <sheetName val="KHARAGPUR "/>
      <sheetName val="KAANB - JUBAIL(SAUDI)"/>
      <sheetName val="Lavasa Site Mobiles"/>
      <sheetName val="LAVASA IPPBX"/>
      <sheetName val="LMNHP- 1 &amp; 2"/>
      <sheetName val="LMNHP- 3 &amp; 4"/>
      <sheetName val="Loharinag Pala"/>
      <sheetName val="Mughal Road "/>
      <sheetName val="Middle Vaitarna-Mobile"/>
      <sheetName val="Teesta"/>
      <sheetName val="TALA C1"/>
      <sheetName val="NAINI"/>
      <sheetName val="Paradip"/>
      <sheetName val="Punatsangchhu"/>
      <sheetName val="PURULIA JV"/>
      <sheetName val="Polavaram"/>
      <sheetName val="RJ-7"/>
      <sheetName val="RAPP 5 &amp; 6"/>
      <sheetName val="SBC "/>
      <sheetName val="Tara "/>
      <sheetName val=" URI - WLL &amp; EPBX"/>
      <sheetName val="URI-OFFICERS MOBILE "/>
      <sheetName val="Visakhapatnam"/>
      <sheetName val="Box-qtys "/>
      <sheetName val="TimeCycle"/>
      <sheetName val="BOX-NCW"/>
      <sheetName val="BOX-ECW"/>
      <sheetName val="BOX-PANSKURA"/>
      <sheetName val="UNP-QTY-CYCLE"/>
      <sheetName val="UNP-NCW "/>
      <sheetName val="UNP-ECW"/>
      <sheetName val="UNPSHUT"/>
      <sheetName val="SLABMNBDATA"/>
      <sheetName val="SLABMNB-ECW"/>
      <sheetName val="PSCMNBDATA"/>
      <sheetName val="PSCMNB-NCW"/>
      <sheetName val="PSC-MNB-ECW"/>
      <sheetName val="4-BOX-MNBDATA"/>
      <sheetName val="4-BOX-MNB"/>
      <sheetName val="3-BOXMNBDATA"/>
      <sheetName val="3-BOXMNB102-NCW"/>
      <sheetName val="BOXMNBDATA102-ECW"/>
      <sheetName val="BOXMNB102-ECW"/>
      <sheetName val="3-BOXMNB75"/>
      <sheetName val="MNBSHUT"/>
      <sheetName val="PIPE"/>
      <sheetName val="TIMECYCLE-PIPE"/>
      <sheetName val="PIPE-DETAIL"/>
      <sheetName val="Bridge-Data"/>
      <sheetName val="strplnf"/>
      <sheetName val="MSE ITEMS"/>
      <sheetName val="HP-QTY"/>
      <sheetName val="Cul_detail"/>
      <sheetName val="HP"/>
      <sheetName val="HP Sts"/>
      <sheetName val="Slab"/>
      <sheetName val="Sl Sts"/>
      <sheetName val="M-F-03"/>
      <sheetName val="M-C"/>
      <sheetName val="M-J-03"/>
      <sheetName val="Proj ManStr"/>
      <sheetName val="Proj Mancost"/>
      <sheetName val="Abs Proj ManSt"/>
      <sheetName val="norms"/>
      <sheetName val="MJB-1"/>
      <sheetName val="MJB-2"/>
      <sheetName val="MJB-3"/>
      <sheetName val="UNP-2"/>
      <sheetName val="UNP-4"/>
      <sheetName val="OVP"/>
      <sheetName val="VDT-1"/>
      <sheetName val="VDT-2"/>
      <sheetName val="VDT-3"/>
      <sheetName val="sheath"/>
      <sheetName val="cables"/>
      <sheetName val="fpcc set 1"/>
      <sheetName val="fpcc set 2"/>
      <sheetName val="danamic set 1 "/>
      <sheetName val="danamic set 2"/>
      <sheetName val="sheathing"/>
      <sheetName val="BOQ Supporting sheet -for SAP"/>
      <sheetName val="Pare_Documents"/>
      <sheetName val="Structures"/>
      <sheetName val="Detail CD"/>
      <sheetName val="Cofferdams"/>
      <sheetName val="Pare_TC"/>
      <sheetName val="Equip areawise_Client"/>
      <sheetName val="Equip mthwise_Client"/>
      <sheetName val="Equip areawise_Int"/>
      <sheetName val="Equip mthwise_Int"/>
      <sheetName val="HCC F 01 09 56 Cap"/>
      <sheetName val="Dumpers + T mixers"/>
      <sheetName val="SuperSwinger"/>
      <sheetName val="Gantry"/>
      <sheetName val="Mix"/>
      <sheetName val="BOQ (Filled)"/>
      <sheetName val="Month crushing"/>
      <sheetName val="BOQ Supporting Sheet"/>
      <sheetName val="Pare_Dam Excn"/>
      <sheetName val="WC_Dam lift"/>
      <sheetName val="Pare_Con Area"/>
      <sheetName val="Pare_Con Lift Qty_R1"/>
      <sheetName val="Pare_Cons Grt"/>
      <sheetName val="Pare_TC (2)"/>
      <sheetName val="S0 Key dates"/>
      <sheetName val="S11AEQPnorm"/>
      <sheetName val="S11BEQPnorm"/>
      <sheetName val="Form1 "/>
      <sheetName val="Form 4-rev-1"/>
      <sheetName val="Form 5-rev-1"/>
      <sheetName val="S3workplan"/>
      <sheetName val="S4cycle"/>
      <sheetName val="S5 escl-1"/>
      <sheetName val="S5 escl-2"/>
      <sheetName val="EQUIP NORMS Standard"/>
      <sheetName val="NORMs-1"/>
      <sheetName val="Equipments-details"/>
      <sheetName val="S16Elec."/>
      <sheetName val="S23Mancost"/>
      <sheetName val="S25EQPoutrep"/>
      <sheetName val="S27EQP-lease"/>
      <sheetName val="S31 PRE-EXP"/>
      <sheetName val="S41-MatProcurement"/>
      <sheetName val="S42HSE "/>
      <sheetName val="Season1 program"/>
      <sheetName val="MaterialPrice"/>
      <sheetName val="S5Esc"/>
      <sheetName val="S7Matqty-group"/>
      <sheetName val="S12-Subtotals"/>
      <sheetName val="load&amp;DG"/>
      <sheetName val="S18Eqplan"/>
      <sheetName val="DEPRI"/>
      <sheetName val="S20MSEitems"/>
      <sheetName val="S23Mannos."/>
      <sheetName val="Officer Budget Form"/>
      <sheetName val="S29PrelimItem"/>
      <sheetName val="S31Preitem"/>
      <sheetName val="S33prelexdet"/>
      <sheetName val="S39Liability"/>
      <sheetName val="prel. working"/>
      <sheetName val="dept recov."/>
      <sheetName val="HO EXPS"/>
      <sheetName val="Work Plan C-4"/>
      <sheetName val="S4cycle IV"/>
      <sheetName val="S4cycle V"/>
      <sheetName val="S4cycle VI"/>
      <sheetName val="S4cycle Lin"/>
      <sheetName val=" linked data"/>
      <sheetName val="S5escl"/>
      <sheetName val="Mat Norms"/>
      <sheetName val="CPPL"/>
      <sheetName val="matreqp5"/>
      <sheetName val="Eqp Mnth(main)"/>
      <sheetName val="Equp.wo"/>
      <sheetName val="Crushing Plant"/>
      <sheetName val="cal con pu"/>
      <sheetName val="MSE-DATA"/>
      <sheetName val="S2groupc"/>
      <sheetName val="Esc 12"/>
      <sheetName val="MEMORANDUM"/>
      <sheetName val="Esc 11"/>
      <sheetName val="Esc 10"/>
      <sheetName val="esc 9"/>
      <sheetName val="esc 8"/>
      <sheetName val="esc 7"/>
      <sheetName val="ESC 6"/>
      <sheetName val="ESC 5"/>
      <sheetName val="ESC.4"/>
      <sheetName val="ESC.3"/>
      <sheetName val="Sheet4 "/>
      <sheetName val="XXXX0"/>
      <sheetName val="EQPTS LIST"/>
      <sheetName val="RESOURCE"/>
      <sheetName val="DESIGN MIX"/>
      <sheetName val="LEAD&amp;EFF."/>
      <sheetName val="JAN25"/>
      <sheetName val="Pare-Progress"/>
      <sheetName val="Work Plan Backup"/>
      <sheetName val="Fincl. Graph"/>
      <sheetName val="Crushing Plant Backup"/>
      <sheetName val="Eqplan"/>
      <sheetName val="Profitability"/>
      <sheetName val="D2&amp;3-PRELIMINARY-ITEMWISE"/>
      <sheetName val="D4&amp;5-PRILIMINARY-EXP"/>
      <sheetName val="REVENUE"/>
      <sheetName val="Exp-details"/>
      <sheetName val="BOQ lot IV A"/>
      <sheetName val="BOQ  lot IV B"/>
      <sheetName val="AD"/>
      <sheetName val=" (Annexure 1)All Faces "/>
      <sheetName val="All RA's LOT A"/>
      <sheetName val="Escalation Indices RA 6"/>
      <sheetName val="(Annexure 2)"/>
      <sheetName val=" (Annexure 1)"/>
      <sheetName val="Dewatering 1.1"/>
      <sheetName val="UG Exv 3.1"/>
      <sheetName val="Line Drilling 3.2"/>
      <sheetName val="Extra for Haul. Excav. Mat. 3.4"/>
      <sheetName val="Rock bolts 25mm Upto 5m 4.1.1"/>
      <sheetName val="Rock bolts 25mm more 5m 4.1.2"/>
      <sheetName val="Rock bolt 32 more than 5m 4.2.2"/>
      <sheetName val="Wiremesh 4.7.2"/>
      <sheetName val="Drilling for Pregrouting 4.12"/>
      <sheetName val="Grout Operation 4.12.1"/>
      <sheetName val="Cement for Pregrouting 4.12.2"/>
      <sheetName val="Drilling for forepoling 4. 13"/>
      <sheetName val="Grout Operation 4.13.1"/>
      <sheetName val="Cement for forepoling 4.13.2"/>
      <sheetName val="40-50 mm SFRS 5.1"/>
      <sheetName val="75mm Shotcrete 5.2"/>
      <sheetName val="Admixture"/>
      <sheetName val="Drilling of PreDrain holes 7.1"/>
      <sheetName val="Drilling of instrumentation"/>
      <sheetName val="Instrumentation Load cell"/>
      <sheetName val="Instrumentation MPBX"/>
      <sheetName val="Instrumentation Convergence bol"/>
      <sheetName val="DEFORMED REINFORCEMENT 11.1"/>
      <sheetName val="Pir Panjal VB CTC"/>
      <sheetName val="S0 Keydates"/>
      <sheetName val="S4 CycleTime"/>
      <sheetName val="Depri &amp; Refu"/>
      <sheetName val="Depri &amp; Refu link"/>
      <sheetName val="Working-sheet"/>
      <sheetName val="VB Combined"/>
      <sheetName val="Work Programm"/>
      <sheetName val="Cut nd Cover Qty"/>
      <sheetName val="MIS (VI)"/>
      <sheetName val="MIS (I) Liab"/>
      <sheetName val="Pir Panjal VA CTC"/>
      <sheetName val="Approach"/>
      <sheetName val="S0-KEYDATES"/>
      <sheetName val="S4CycleTime"/>
      <sheetName val="Pir VA (2)"/>
      <sheetName val="VA Combined (R1 17-02)"/>
      <sheetName val="VA"/>
      <sheetName val="Mining BOQ Amount"/>
      <sheetName val="Linning BOQ AMOUNT "/>
      <sheetName val="trial balance(SAP)"/>
      <sheetName val="MIS MODULE 1"/>
      <sheetName val="MOD-II"/>
      <sheetName val="MIS MODULE III"/>
      <sheetName val="MIS MODULE IV"/>
      <sheetName val="CUML_PROFITABILITY"/>
      <sheetName val="MIS MODULE V"/>
      <sheetName val="MIS MODULE VI"/>
      <sheetName val="MIS MODULE VII"/>
      <sheetName val="MIS MODULE VIII"/>
      <sheetName val="MIS MODULE IX"/>
      <sheetName val="MIS MODULE X"/>
      <sheetName val="MISMODULE11"/>
      <sheetName val="preliminary charging"/>
      <sheetName val="Anal.Profit"/>
      <sheetName val="Group"/>
      <sheetName val="Catalog Summ"/>
      <sheetName val="Equipment - Details"/>
      <sheetName val="As Per Acc"/>
      <sheetName val="Form 7-new"/>
      <sheetName val="LIABILITY"/>
      <sheetName val="INDENT-COLLECTION"/>
      <sheetName val="FUND INDENT"/>
      <sheetName val="Form 5-New"/>
      <sheetName val="Pir Panjal Combined CTC"/>
      <sheetName val="Quantity Calculation - BOQ"/>
      <sheetName val="upto-mar-11"/>
      <sheetName val="MIS MOD-II"/>
      <sheetName val="PPVA"/>
      <sheetName val="PPVB"/>
      <sheetName val="Budget Note"/>
      <sheetName val="S16Elec (KWh)"/>
      <sheetName val="CSR expenses"/>
      <sheetName val="Agg. cal"/>
      <sheetName val="S4timecycle "/>
      <sheetName val="S5escalation "/>
      <sheetName val="S18EQPplan "/>
      <sheetName val="USB CTC"/>
      <sheetName val="Pare CTC"/>
      <sheetName val="All Transfer Records"/>
      <sheetName val="Transfer Recs Covered"/>
      <sheetName val="CTC"/>
      <sheetName val="S25Eqptoutside"/>
      <sheetName val="Refurbishment"/>
      <sheetName val="Sheet1 (4)"/>
      <sheetName val="Sheet1 (3)"/>
      <sheetName val="Sitewise GR(APR-MAY07)"/>
      <sheetName val="Sitewise GR(June07)"/>
      <sheetName val="HO &amp; Works"/>
      <sheetName val="Quarterwise 6+3"/>
      <sheetName val="Quarterwise"/>
      <sheetName val="Share Div 6 +3"/>
      <sheetName val="Share Div"/>
      <sheetName val="S Receipts 6+3"/>
      <sheetName val="S Receipts"/>
      <sheetName val="S Receipt HO"/>
      <sheetName val="570001"/>
      <sheetName val="570021"/>
      <sheetName val="Exch diff 6+3"/>
      <sheetName val="Exch-diff New"/>
      <sheetName val="Birthday (2)"/>
      <sheetName val="Marriage (2)"/>
      <sheetName val="GRI Background"/>
      <sheetName val="Financial Implications- CC"/>
      <sheetName val="Financial Assistance from Govt."/>
      <sheetName val="Human Rights Screening"/>
      <sheetName val="Incidents of Discrimination"/>
      <sheetName val="Risks to Collective Bargaining"/>
      <sheetName val="Public Policy and Lobbying"/>
      <sheetName val="Duty Drawback Material"/>
      <sheetName val="equipment norms Backup"/>
      <sheetName val="dUTY dRAWBACK pol"/>
      <sheetName val="19-PERF"/>
      <sheetName val=" _x0000__x001b__x0000__x0006__x0000__x0006__x0000__x0008__x0000_ _x0000__x0000_"/>
      <sheetName val="ESIC_DEDN_"/>
      <sheetName val="Kalk_50"/>
      <sheetName val="E6"/>
      <sheetName val="E8"/>
      <sheetName val="E11"/>
      <sheetName val="ESI Mandi"/>
      <sheetName val="Analysis Mandi"/>
      <sheetName val="Patna"/>
      <sheetName val="Patna Analysis"/>
      <sheetName val="backfilling"/>
      <sheetName val="Abstarct"/>
      <sheetName val="Disposal"/>
      <sheetName val="ATT"/>
      <sheetName val="Sand filling"/>
      <sheetName val="ABSTARCT (2)"/>
      <sheetName val="Carriage"/>
      <sheetName val="Deduct"/>
      <sheetName val="C_P_ BOQ"/>
      <sheetName val="WG-Assumptions"/>
      <sheetName val="Breakeven Analysis Data-MOD1"/>
      <sheetName val="Spiral StairCase"/>
      <sheetName val="GLBR-Flat"/>
      <sheetName val="GLBR-Doome"/>
      <sheetName val="Sump-Flat"/>
      <sheetName val="LAZ"/>
      <sheetName val="Collection Well-girder"/>
      <sheetName val="OHSR-Lt"/>
      <sheetName val="EW Pipeline"/>
      <sheetName val="General Items."/>
      <sheetName val="Cement Steel Sump GLSR "/>
      <sheetName val="MS2375 -14.2 mm"/>
      <sheetName val="MS2375-18mm"/>
      <sheetName val="MS 2375-20mm"/>
      <sheetName val="MS 300"/>
      <sheetName val="MS-700"/>
      <sheetName val="ladder"/>
      <sheetName val="Flgs"/>
      <sheetName val="Dummmplates"/>
      <sheetName val="CCvr Dsh"/>
      <sheetName val="RG EJ"/>
      <sheetName val="DI Valves"/>
      <sheetName val="MS2000"/>
      <sheetName val="Gudipally OHBR"/>
      <sheetName val="Gudipalli covered habs"/>
      <sheetName val="Manthati OHBR"/>
      <sheetName val="Manthati covered habs"/>
      <sheetName val="Kummera OHBR"/>
      <sheetName val="Kummera covered habs "/>
      <sheetName val="Bjnply OHBR"/>
      <sheetName val="Bijinepally covered habs"/>
      <sheetName val="Manganur OHBR"/>
      <sheetName val="Manganur covered habs"/>
      <sheetName val="Vattem Covered Habitations"/>
      <sheetName val="Vattem OHBR"/>
      <sheetName val="Ippalapally Covered Habitations"/>
      <sheetName val="Ippalapally OHBR"/>
      <sheetName val="Pullagiri OHBR"/>
      <sheetName val="Pullagiri covered habs"/>
      <sheetName val="abst seg w"/>
      <sheetName val="abst dia w"/>
      <sheetName val="for abstract"/>
      <sheetName val="Pumping Main"/>
      <sheetName val="designs 1"/>
      <sheetName val="sump@Lattupally"/>
      <sheetName val="sump@gangaram"/>
      <sheetName val="Pedestals &amp; Thrust blocks"/>
      <sheetName val="1644 Habs"/>
      <sheetName val="1646 Habs "/>
      <sheetName val="ABSTRACT2"/>
      <sheetName val="MS 1600-12 "/>
      <sheetName val="MS 1400-12"/>
      <sheetName val="MS 1850"/>
      <sheetName val="MS 1800.."/>
      <sheetName val="MS 1900.."/>
      <sheetName val="MS 2100-.."/>
      <sheetName val="MS 2300-.."/>
      <sheetName val="MS 2375-24"/>
      <sheetName val="Cment Steel Bldg Cwall sew gen"/>
      <sheetName val="E W GLSR"/>
      <sheetName val="EW Sew Ws r2"/>
      <sheetName val="Grill &amp; Saddle"/>
      <sheetName val="MS 1100-10"/>
      <sheetName val="MS 1500 Epoxy"/>
      <sheetName val="MS 1400"/>
      <sheetName val="MS 1100 epoxy"/>
      <sheetName val="MS 1200 epoxy"/>
      <sheetName val="MS 1400 epoxy"/>
      <sheetName val="MS 2200"/>
      <sheetName val="MS 800"/>
      <sheetName val="MS 600"/>
      <sheetName val="MS 1200-14"/>
      <sheetName val="AV Valves"/>
      <sheetName val="DI P.N 1.6"/>
      <sheetName val="MS-EWE"/>
      <sheetName val="Ms specials"/>
      <sheetName val="Data for BWSC pipes"/>
      <sheetName val="low&amp;joint"/>
      <sheetName val="CPO"/>
      <sheetName val="Detailed cum Abstract Estimate"/>
      <sheetName val="segments-details"/>
      <sheetName val="com_st_PM"/>
      <sheetName val="comst_GM"/>
      <sheetName val="G_R_P"/>
      <sheetName val="Road Detail Est."/>
      <sheetName val="com_st_PM1"/>
      <sheetName val="comst_GM1"/>
      <sheetName val="G_R_P1"/>
      <sheetName val="com_st_PM5"/>
      <sheetName val="comst_GM5"/>
      <sheetName val="G_R_P5"/>
      <sheetName val="Road_Detail_Est_2"/>
      <sheetName val="Road_data2"/>
      <sheetName val="com_st_PM3"/>
      <sheetName val="comst_GM3"/>
      <sheetName val="G_R_P3"/>
      <sheetName val="com_st_PM2"/>
      <sheetName val="comst_GM2"/>
      <sheetName val="G_R_P2"/>
      <sheetName val="Road_Detail_Est_"/>
      <sheetName val="com_st_PM4"/>
      <sheetName val="comst_GM4"/>
      <sheetName val="G_R_P4"/>
      <sheetName val="Road_Detail_Est_1"/>
      <sheetName val="Road_data1"/>
      <sheetName val="EDWise"/>
      <sheetName val="Zi-co"/>
      <sheetName val="SSR 2010-11 Rates"/>
      <sheetName val="_x0000_V_x0000_O_x0000_I_x0000_L_x0000_S_x0000_I_x0000_N_x0000_G_x0000_R_x0000_A_x0000_M_x0000_._x0000_X_x0000_L_x0000_S_x0000_"/>
      <sheetName val="Data_2"/>
      <sheetName val="Data_1"/>
      <sheetName val="Bridge Data 2005-06"/>
      <sheetName val="UnitRates"/>
      <sheetName val="1V-1M"/>
      <sheetName val="2V-1M"/>
      <sheetName val="5V-1M"/>
      <sheetName val="Det-ROAD"/>
      <sheetName val="G.Abs"/>
      <sheetName val="abs-cd"/>
      <sheetName val="C page"/>
      <sheetName val="Sp ReportF (2)"/>
      <sheetName val="Sp ReportF"/>
      <sheetName val="G F "/>
      <sheetName val="F F "/>
      <sheetName val="S Tank"/>
      <sheetName val="Sani &amp; W S "/>
      <sheetName val="ESTT Ele "/>
      <sheetName val="D&amp;W DATA (1)"/>
      <sheetName val="WS-DATA (Old)"/>
      <sheetName val="D&amp; W DATA (new)"/>
      <sheetName val="El Data (old)"/>
      <sheetName val="BidRequirement"/>
      <sheetName val="Note gh"/>
      <sheetName val="Bid doc"/>
      <sheetName val="load1"/>
      <sheetName val="details1"/>
      <sheetName val="Electrical1"/>
      <sheetName val="load"/>
      <sheetName val="obd data"/>
      <sheetName val="Joinary"/>
      <sheetName val="GF (6)"/>
      <sheetName val="Est."/>
      <sheetName val="TEChInsBC"/>
      <sheetName val="tECH agent"/>
      <sheetName val="Cov Let"/>
      <sheetName val="Cov Comp"/>
      <sheetName val="Cov WD"/>
      <sheetName val="Certificate SE"/>
      <sheetName val="F1 Exp statement"/>
      <sheetName val="Annex I"/>
      <sheetName val="ew cal"/>
      <sheetName val="Anx2 Tech Det"/>
      <sheetName val="PCR"/>
      <sheetName val="PCR Comp Rep"/>
      <sheetName val="Det Est Compl"/>
      <sheetName val="CDs Comple"/>
      <sheetName val="G Abs Cople"/>
      <sheetName val="Wkg rate anls"/>
      <sheetName val="wd spec"/>
      <sheetName val="KM HM data"/>
      <sheetName val="CS G.Abs"/>
      <sheetName val="Wkg GAbs"/>
      <sheetName val="CS CD Works"/>
      <sheetName val="Wkg CDs"/>
      <sheetName val="CS Det Est"/>
      <sheetName val="Wd Det Est"/>
      <sheetName val="CS 600 2V "/>
      <sheetName val="Wd 600 mm 2v"/>
      <sheetName val="CS 600 2V  (2)"/>
      <sheetName val="Wd 600 mm 2v (2)"/>
      <sheetName val="CS 1000 2V"/>
      <sheetName val="Wd 1000 mm 2v"/>
      <sheetName val="CS 1000 2V (2)"/>
      <sheetName val="Wd 1000 mm 2v (2)"/>
      <sheetName val="CS Rdam 5610"/>
      <sheetName val="Wd rdam 5610"/>
      <sheetName val="CS Rdam 3375"/>
      <sheetName val="Wd rdam 3375"/>
      <sheetName val="30"/>
      <sheetName val="29"/>
      <sheetName val="28"/>
      <sheetName val="27"/>
      <sheetName val="26"/>
      <sheetName val="25"/>
      <sheetName val="24"/>
      <sheetName val="23"/>
      <sheetName val="22"/>
      <sheetName val="21"/>
      <sheetName val="20"/>
      <sheetName val="19"/>
      <sheetName val="18"/>
      <sheetName val="17"/>
      <sheetName val=" "/>
      <sheetName val="WS-Tresury"/>
      <sheetName val="Dt-Tresury"/>
      <sheetName val="Sports com-Internal -Det  (2)"/>
      <sheetName val="VC Chamber -Internal -Det "/>
      <sheetName val="COmm -Internal -Det"/>
      <sheetName val="Detailed-External (2)"/>
      <sheetName val="GA "/>
      <sheetName val="Data -Hostel Building  (2)"/>
      <sheetName val="Est. Expansion joint "/>
      <sheetName val="Sub-estimate electrical"/>
      <sheetName val="LEAD- "/>
      <sheetName val="Rates SSR 2008-09"/>
      <sheetName val="Toilet block "/>
      <sheetName val="Bore well &amp; Motor"/>
      <sheetName val="Sub-estimate for Sanitary &amp; Int"/>
      <sheetName val="Compound wall "/>
      <sheetName val="Doors &amp; Windows "/>
      <sheetName val="MS Windows"/>
      <sheetName val="PH-6x4"/>
      <sheetName val="PH-4X3"/>
      <sheetName val="Watchman Qrters."/>
      <sheetName val="M F ROOM"/>
      <sheetName val="Non-DI "/>
      <sheetName val="temp-SDData (2)"/>
      <sheetName val="E- DATA "/>
      <sheetName val="W.E"/>
      <sheetName val="DW-Data"/>
      <sheetName val="Gf-toilet-electr"/>
      <sheetName val="G.Floor-tb"/>
      <sheetName val="GF rear"/>
      <sheetName val="FF rear"/>
      <sheetName val="S-Tank-100"/>
      <sheetName val="EWSA"/>
      <sheetName val="S&amp;WS (2)"/>
      <sheetName val="Top Cover"/>
      <sheetName val="comp abst (3)"/>
      <sheetName val="comp abst (2)"/>
      <sheetName val="ext-drainag (2)"/>
      <sheetName val="K &amp; D (D)"/>
      <sheetName val="School Builidng"/>
      <sheetName val="STAFF QTRS"/>
      <sheetName val="Internal Electrical"/>
      <sheetName val="SCH-ELE"/>
      <sheetName val="Dormitory-ele"/>
      <sheetName val="Staff-Ele"/>
      <sheetName val="PrlQ-Ele"/>
      <sheetName val="K&amp;D-Ele"/>
      <sheetName val="Ele-Dor"/>
      <sheetName val="Est-Ele(School)"/>
      <sheetName val="WS (Sch)"/>
      <sheetName val="WS Dor"/>
      <sheetName val="WS - Kit "/>
      <sheetName val="Ele K&amp; D"/>
      <sheetName val="Principal Quarters"/>
      <sheetName val="WS - Prll"/>
      <sheetName val="Ele Prl Q"/>
      <sheetName val="Teaching Staff (d) (2)"/>
      <sheetName val="WS - TStaff"/>
      <sheetName val="EleTStaf"/>
      <sheetName val="Road "/>
      <sheetName val="Sump (2)"/>
      <sheetName val="Deviationstate"/>
      <sheetName val="comp furni"/>
      <sheetName val="Comparative_ Compundwall"/>
      <sheetName val="Borewall"/>
      <sheetName val="comp abst"/>
      <sheetName val="New Comp School "/>
      <sheetName val="Comparative_ SCHOOL"/>
      <sheetName val="Comparative_ k&amp;D"/>
      <sheetName val="Comparative_ Doritary"/>
      <sheetName val="Comparative_ SUMP"/>
      <sheetName val="Steel details"/>
      <sheetName val="Clinic (D)"/>
      <sheetName val="Teaching Staff (d)"/>
      <sheetName val="STank200"/>
      <sheetName val="STank100"/>
      <sheetName val="OHSR"/>
      <sheetName val="Inter School "/>
      <sheetName val="Inter Dormatroy"/>
      <sheetName val="Inter Principal Qtr"/>
      <sheetName val="Inter Kit&amp; Din"/>
      <sheetName val="Inter Ecl staff Qtrs  "/>
      <sheetName val="Dormitary (GF FF SF )"/>
      <sheetName val="Inter Dormatory"/>
      <sheetName val="ins"/>
      <sheetName val="f1dup"/>
      <sheetName val="f2adupli"/>
      <sheetName val="f4dup"/>
      <sheetName val="detailddup"/>
      <sheetName val="data1"/>
      <sheetName val="datadupli"/>
      <sheetName val="RData"/>
      <sheetName val="inspection"/>
      <sheetName val="lead1"/>
      <sheetName val="leadsdup"/>
      <sheetName val="slip"/>
      <sheetName val="tech"/>
      <sheetName val="culvert (2)"/>
      <sheetName val="culvert (3)"/>
      <sheetName val="trialpit"/>
      <sheetName val="Electrification"/>
      <sheetName val="Supplemantal - Data"/>
      <sheetName val="Lead Statement 2005-06 1st  Qtr"/>
      <sheetName val="Rates 2005-06 ...."/>
      <sheetName val="Lead Statement 2005-06 2nd Qtr."/>
      <sheetName val="Lead Statement 2005-06 3rd Qtr."/>
      <sheetName val="Lead Statement 2005-06 4th Qtr."/>
      <sheetName val="Rates 2005-06 "/>
      <sheetName val="Lead Statement 2006-07 1, 2, 3"/>
      <sheetName val="Rates 2006-07 1, 2, 3"/>
      <sheetName val="Rates 2006-07 4th"/>
      <sheetName val="Lead Statement 2006-07 4"/>
      <sheetName val="Lead Statement 2007-08 1st Qtr."/>
      <sheetName val="Rates 2007-08 1st"/>
      <sheetName val="Lead Statement 2007-08 2nd "/>
      <sheetName val="Rates 2007-08 2nd"/>
      <sheetName val="Lead Statement 2007-08 3rd"/>
      <sheetName val="Rates 2007-08 3rd "/>
      <sheetName val="Lead Statement 2007-08 4th "/>
      <sheetName val="Rates 2007-08 4th"/>
      <sheetName val="Bridge Data 2006-07"/>
      <sheetName val="Bridge Data 2007-08"/>
      <sheetName val="Lead  07-08 3rd Q Appr. "/>
      <sheetName val="BTR  2007-08 3rd Qtr. "/>
      <sheetName val="Appr. Data 2007-08 3rd Qtr"/>
      <sheetName val="Approaches Origl Align 1 (4)"/>
      <sheetName val="Bridge over all Qtys. "/>
      <sheetName val="Bri. Abs.Est.Agt.Prd SSR 05-06"/>
      <sheetName val="Bri. Abs.Est.Agt.Prd SSR 06-07"/>
      <sheetName val="Bri. Abs.Est. SSR 2007-08"/>
      <sheetName val="Appr. Abs.Est. SSR 2007-08 "/>
      <sheetName val="Comp. Abst. "/>
      <sheetName val="Qty. as per WE II &amp; Prev. SSR "/>
      <sheetName val="repairs"/>
      <sheetName val="CAMPARATIVE STATEMENT          "/>
      <sheetName val="Electrification "/>
      <sheetName val="Ground Floor "/>
      <sheetName val="First Floor "/>
      <sheetName val="Second Floor"/>
      <sheetName val="Third Floor "/>
      <sheetName val="E- DATA"/>
      <sheetName val="Ele-data1"/>
      <sheetName val="ws data "/>
      <sheetName val="Building Datas"/>
      <sheetName val="Main. Est."/>
      <sheetName val="INFO"/>
      <sheetName val="Cov"/>
      <sheetName val="Rep"/>
      <sheetName val="Road Abst."/>
      <sheetName val="CD works Abst."/>
      <sheetName val="CC drains Abst."/>
      <sheetName val="CD works detail Est."/>
      <sheetName val="CC drains detail Est."/>
      <sheetName val="Earth work Cal"/>
      <sheetName val="Earth Volume"/>
      <sheetName val="General Abst."/>
      <sheetName val="CD works data"/>
      <sheetName val="GEN. ABS."/>
      <sheetName val="Road Est."/>
      <sheetName val="Median"/>
      <sheetName val="Slab Culvert 51.10"/>
      <sheetName val="Slab Wid.52.4"/>
      <sheetName val="Wid.Pipe cul 52.10"/>
      <sheetName val="P.C.Drawing"/>
      <sheetName val="C.S.OF DIVIDER"/>
      <sheetName val="SP Report"/>
      <sheetName val="SB GF &amp; FF"/>
      <sheetName val="SB SF"/>
      <sheetName val="WS SB"/>
      <sheetName val="ELE SB"/>
      <sheetName val="DB GF &amp; FF"/>
      <sheetName val="DB SF"/>
      <sheetName val="WS DB"/>
      <sheetName val="ELE DB"/>
      <sheetName val="DINING &amp; KITCHEN"/>
      <sheetName val="WS D&amp;K"/>
      <sheetName val="ELE DNG &amp; KTC"/>
      <sheetName val="PRNCPL QRTR"/>
      <sheetName val="WS PQ"/>
      <sheetName val="ELE PQ"/>
      <sheetName val="STAFF QRTRS"/>
      <sheetName val="WS SQ"/>
      <sheetName val="ELE SQ"/>
      <sheetName val="ST200"/>
      <sheetName val="ST100"/>
      <sheetName val="EXTRNL ELCTFCTN"/>
      <sheetName val="EXT DRAIN"/>
      <sheetName val="CC road (2)"/>
      <sheetName val="Bore Well "/>
      <sheetName val="seignerage"/>
      <sheetName val="C C Road "/>
      <sheetName val="El Data (2)"/>
      <sheetName val="iosum"/>
      <sheetName val="172"/>
      <sheetName val="bom US"/>
      <sheetName val="pwrsum"/>
      <sheetName val="pwr "/>
      <sheetName val="24VBPS"/>
      <sheetName val="HPMPS"/>
      <sheetName val="LUs"/>
      <sheetName val="Estimate-Civil"/>
      <sheetName val="det-qty"/>
      <sheetName val="for C1 India"/>
      <sheetName val="SANI DET"/>
      <sheetName val="Final AB"/>
      <sheetName val="Labul1"/>
      <sheetName val="G - AB WE (3)"/>
      <sheetName val="G - B GF"/>
      <sheetName val="ABS GF"/>
      <sheetName val="GF Detailed"/>
      <sheetName val="CS GF "/>
      <sheetName val="ABS FF"/>
      <sheetName val="FF Detailed"/>
      <sheetName val="CS FF"/>
      <sheetName val="S. Tank"/>
      <sheetName val="CS S Tank"/>
      <sheetName val="WS Detailed"/>
      <sheetName val="supl.data-2"/>
      <sheetName val="Est- orgnl"/>
      <sheetName val="Ele-est"/>
      <sheetName val="SD"/>
      <sheetName val="RE- 9lakhs"/>
      <sheetName val="CS GF"/>
      <sheetName val="WE-1"/>
      <sheetName val="SD Door"/>
      <sheetName val="SD3"/>
      <sheetName val="comp.st."/>
      <sheetName val="label"/>
      <sheetName val="Augu"/>
      <sheetName val="Furniture"/>
      <sheetName val="El Data old"/>
      <sheetName val="MS Doors"/>
      <sheetName val="MS Ventilators"/>
      <sheetName val="Sant"/>
      <sheetName val="Labour_Charges(detl)"/>
      <sheetName val="Core_SSR"/>
      <sheetName val="Abst (2)"/>
      <sheetName val="SF"/>
      <sheetName val="WS&amp;S"/>
      <sheetName val="Bore"/>
      <sheetName val="DB(CIV)"/>
      <sheetName val="Dor Civ"/>
      <sheetName val="DB(WS)"/>
      <sheetName val="DB(IE)"/>
      <sheetName val="Class - IV"/>
      <sheetName val="Class IV"/>
      <sheetName val="CLASS IV(WS)"/>
      <sheetName val="CLASS IV(IE)"/>
      <sheetName val="Security room"/>
      <sheetName val="Generator room"/>
      <sheetName val="First FL (2)"/>
      <sheetName val="Details (2)"/>
      <sheetName val="GROUND FL"/>
      <sheetName val="First FL"/>
      <sheetName val="Detail cum Abstract"/>
      <sheetName val="Details."/>
      <sheetName val="model door 4X2.7"/>
      <sheetName val="Country Wood Doors (2)"/>
      <sheetName val="Country Wood Doors"/>
      <sheetName val="MS D&amp;W"/>
      <sheetName val="El Data1"/>
      <sheetName val="El Data - Final"/>
      <sheetName val="D&amp;W - EE"/>
      <sheetName val="Sal DW"/>
      <sheetName val="Specification Report (2)"/>
      <sheetName val="FINAL ABSTRACT (2)"/>
      <sheetName val="Addl.Dormitory-GF"/>
      <sheetName val="SW Hostel"/>
      <sheetName val="Addl.Dormitory-FF"/>
      <sheetName val="Addl.Dormitory-SF"/>
      <sheetName val="Ele Est"/>
      <sheetName val="WS &amp; S Est"/>
      <sheetName val="D&amp;W DATA sdsd"/>
      <sheetName val="Total Abst"/>
      <sheetName val="18 rooms estimate 1 "/>
      <sheetName val="6 rooms estimate 2"/>
      <sheetName val="GGGGG"/>
      <sheetName val="TENDER"/>
      <sheetName val="ABST "/>
      <sheetName val="ACR"/>
      <sheetName val="ACR 6 ROOMS"/>
      <sheetName val="ACR 12 ROOMS"/>
      <sheetName val="RUNNING WATER"/>
      <sheetName val="eletrical"/>
      <sheetName val="sump &amp; drinking water"/>
      <sheetName val="toilets girls"/>
      <sheetName val="Dilapilated Building"/>
      <sheetName val="ro plant est"/>
      <sheetName val="spec (2)"/>
      <sheetName val="Cover  (2)"/>
      <sheetName val="3 rooms estimate 3"/>
      <sheetName val="2 rooms 1st Floor 4"/>
      <sheetName val="2 rooms 1st Floor  16.00 Lks 5 "/>
      <sheetName val="Sheet5 (2)"/>
      <sheetName val="GS"/>
      <sheetName val="CD-Abs"/>
      <sheetName val="1v-1000"/>
      <sheetName val="1v-600"/>
      <sheetName val="Part-A"/>
      <sheetName val="upload sheet"/>
      <sheetName val="2V"/>
      <sheetName val="1V"/>
      <sheetName val="1V-1.0 dia"/>
      <sheetName val="2V-1.0 dia"/>
      <sheetName val="CC Pavement"/>
      <sheetName val="TD"/>
      <sheetName val="G F"/>
      <sheetName val="G F tOT"/>
      <sheetName val="F F TOT)"/>
      <sheetName val="Elei"/>
      <sheetName val="Sani &amp; W S phase "/>
      <sheetName val="G FTotal"/>
      <sheetName val="F F total"/>
      <sheetName val="Electrical Total"/>
      <sheetName val="Sani &amp; W Supply Total"/>
      <sheetName val="BOQ for package"/>
      <sheetName val="BOQ (SP)"/>
      <sheetName val="BOQ (SP for package)"/>
      <sheetName val="BR (SP)"/>
      <sheetName val="Sani &amp; W S phase 1"/>
      <sheetName val="steel calculation"/>
      <sheetName val="M.Books "/>
      <sheetName val="CM Consumption "/>
      <sheetName val="M.Dates"/>
      <sheetName val="1st bill before 94 GO "/>
      <sheetName val="1st bill Club "/>
      <sheetName val="1st bill 94 GO"/>
      <sheetName val="Rates 2006-07"/>
      <sheetName val="2nd bill "/>
      <sheetName val="LEAD 06-07"/>
      <sheetName val="3rd bill"/>
      <sheetName val="Rates 2007-08"/>
      <sheetName val="4th bill "/>
      <sheetName val="LEAD 07-08"/>
      <sheetName val="Data 07-08 "/>
      <sheetName val="LEAD 08-09"/>
      <sheetName val="Data 08-09"/>
      <sheetName val="Strip Chart"/>
      <sheetName val="Plant &amp; Equip."/>
      <sheetName val="Monthly Quantities"/>
      <sheetName val="Job Mix Formulae"/>
      <sheetName val="Profitability "/>
      <sheetName val="PricedBOQ"/>
      <sheetName val="Camp"/>
      <sheetName val="Running Expenses"/>
      <sheetName val="Major Material"/>
      <sheetName val="Other Material"/>
      <sheetName val="Subcontracts"/>
      <sheetName val="Priced BoQ"/>
      <sheetName val="TC-Bar"/>
      <sheetName val="TC-Detail"/>
      <sheetName val="Material Rate"/>
      <sheetName val="Tippers Cal"/>
      <sheetName val="Bar Chart R0"/>
      <sheetName val="Bar Chart R1"/>
      <sheetName val="Bar Chart R2"/>
      <sheetName val="Cash Flow R0"/>
      <sheetName val="Cash Flow R1"/>
      <sheetName val="Summ Cash Flow R1"/>
      <sheetName val="Cash Flow R2"/>
      <sheetName val="Cash Flow R3"/>
      <sheetName val="Budget Summary R1"/>
      <sheetName val="Cash Flow R3-33%"/>
      <sheetName val="Camp layout (R2)"/>
      <sheetName val="Elect-BlankBOQ"/>
      <sheetName val="P&amp;E Maint."/>
      <sheetName val="List of Lab Equip"/>
      <sheetName val="Org Chart-Names"/>
      <sheetName val="Camp layout"/>
      <sheetName val="Camp layout (R1)"/>
      <sheetName val="Org Chart-Blank"/>
      <sheetName val="X-sections"/>
      <sheetName val="Detailed Strip Chart"/>
      <sheetName val="Strip-Structures"/>
      <sheetName val="NCL GH"/>
      <sheetName val="Lab Equip"/>
      <sheetName val="PricedBOQ-Ssangyong"/>
      <sheetName val="PricedBOQ-NCL"/>
      <sheetName val="Price Adjustment"/>
      <sheetName val="Budget Summary"/>
      <sheetName val="Main Cw"/>
      <sheetName val="Qty MCW"/>
      <sheetName val="SR CW"/>
      <sheetName val="EW SR"/>
      <sheetName val="Qty SR"/>
      <sheetName val="Qty Final"/>
      <sheetName val="Total Hts"/>
      <sheetName val="Diversion"/>
      <sheetName val="Junctions"/>
      <sheetName val="Detailed Qty"/>
      <sheetName val="Basicrates"/>
      <sheetName val="Project review U1 1of 2"/>
      <sheetName val="Project review U1 2 of 2"/>
      <sheetName val="concrete "/>
      <sheetName val="transportation cost"/>
      <sheetName val="Earthworks"/>
      <sheetName val="Bitumen Works"/>
      <sheetName val="Road Works (2)"/>
      <sheetName val="Rate Breakup"/>
      <sheetName val="n rays "/>
      <sheetName val="anishk rates"/>
      <sheetName val="comp statement"/>
      <sheetName val="BOQ (3)"/>
      <sheetName val="BOQ FINAL"/>
      <sheetName val="BOQ _2_"/>
      <sheetName val="1CBR3"/>
      <sheetName val="Str. Steel"/>
      <sheetName val="Steel Column"/>
      <sheetName val="Inserts"/>
      <sheetName val="Sheet Pile Fab"/>
      <sheetName val="Sheet Pile Erec"/>
      <sheetName val="Steel Consp. Dtl"/>
      <sheetName val="Steel Reconcile"/>
      <sheetName val="Mat Consp."/>
      <sheetName val="Summary Extra"/>
      <sheetName val="Measurment Extra"/>
      <sheetName val="NEW "/>
      <sheetName val="NEW"/>
      <sheetName val="MPR_SC_1"/>
      <sheetName val="MPR_SP_1"/>
      <sheetName val="MPR_MJBR_1"/>
      <sheetName val="MPR_MJBR_2"/>
      <sheetName val="MPR_MAN_1"/>
      <sheetName val="MPR_P&amp;E_1"/>
      <sheetName val="MPR_P&amp;E_2"/>
      <sheetName val="MPR_P&amp;E_3"/>
      <sheetName val="MPR_P&amp;E_4"/>
      <sheetName val="MPR_MS_1"/>
      <sheetName val="MPR_RA_1"/>
      <sheetName val="MPR_FR_1"/>
      <sheetName val="MPR_MFE_1"/>
      <sheetName val="MPR_PR_1"/>
      <sheetName val="MPR_RB_1"/>
      <sheetName val="RESOURES"/>
      <sheetName val="DEPT RATES"/>
      <sheetName val="DWR(Priced)"/>
      <sheetName val=" AnalysisPCC"/>
      <sheetName val="Comp.Statement"/>
      <sheetName val="DWR"/>
      <sheetName val="laroux"/>
      <sheetName val="ult"/>
      <sheetName val="BOX"/>
      <sheetName val="BOX (2)"/>
      <sheetName val="실행철강하도"/>
      <sheetName val="TP15A"/>
      <sheetName val="TP10A"/>
      <sheetName val="TP17"/>
      <sheetName val="TAIL HOUSE (ON B2)"/>
      <sheetName val="DRIVE HOUSE"/>
      <sheetName val="TP15"/>
      <sheetName val="TP14"/>
      <sheetName val="TP-9 EXISTING"/>
      <sheetName val="TP-10 EXISTING"/>
      <sheetName val="Rates Required"/>
      <sheetName val="Periodic Renewal"/>
      <sheetName val="Summary of ESTIMATE"/>
      <sheetName val="HP(9.200)"/>
      <sheetName val="RCSlab(9.350)"/>
      <sheetName val="HP(9.435)"/>
      <sheetName val="HP(10.650)"/>
      <sheetName val="HP(11.135)"/>
      <sheetName val="HP(12.050)"/>
      <sheetName val="HP(12.500)"/>
      <sheetName val="HP(13.000)"/>
      <sheetName val="IPC"/>
      <sheetName val="Summary-Boq"/>
      <sheetName val="Extra"/>
      <sheetName val="Esc-A"/>
      <sheetName val="Esc-B"/>
      <sheetName val="Esc-C"/>
      <sheetName val="Advance for Material-PP"/>
      <sheetName val="Mobilisation-aji"/>
      <sheetName val="Sheet22"/>
      <sheetName val=" BS"/>
      <sheetName val="Accounts"/>
      <sheetName val="TB"/>
      <sheetName val="P &amp; L"/>
      <sheetName val="CF Workings"/>
      <sheetName val="CashFlow "/>
      <sheetName val="schedules"/>
      <sheetName val="schedules (2)"/>
      <sheetName val="FA Schedule (2)"/>
      <sheetName val="FA Schedule (3)"/>
      <sheetName val="Investment schedule"/>
      <sheetName val="schedules (3)"/>
      <sheetName val="schedules (4)"/>
      <sheetName val="schedules (5)"/>
      <sheetName val="Excise"/>
      <sheetName val="Share capital Analysis"/>
      <sheetName val="loans &amp;advances"/>
      <sheetName val="Payroll wkgs"/>
      <sheetName val="Factory and marketing"/>
      <sheetName val="Freight"/>
      <sheetName val="Projects"/>
      <sheetName val="Guardpostand drain"/>
      <sheetName val="0-25 - Widening"/>
      <sheetName val="25-56 - Raising"/>
      <sheetName val="56-70 - Oneside Widening"/>
      <sheetName val="70-82 Oneside on CanalBank"/>
      <sheetName val="Flexible"/>
      <sheetName val="Chap 5"/>
      <sheetName val="MachWise"/>
      <sheetName val="DailyAvgeRprt"/>
      <sheetName val="PtyWise"/>
      <sheetName val="Stock"/>
      <sheetName val="Diesel Tanker"/>
      <sheetName val="summery"/>
      <sheetName val=" WORKING "/>
      <sheetName val="pay.sheet.CERTI"/>
      <sheetName val="Material issue statement"/>
      <sheetName val="Discarded links"/>
      <sheetName val="Form D1"/>
      <sheetName val="Form D12"/>
      <sheetName val="Form D13"/>
      <sheetName val="MATERIAL TOTAL"/>
      <sheetName val="bg-charges"/>
      <sheetName val="cl14"/>
      <sheetName val="FORM-W3"/>
      <sheetName val="(31)"/>
      <sheetName val="Measurement Major Maintance (2)"/>
      <sheetName val="CostSheet"/>
      <sheetName val="PlazaConstr"/>
      <sheetName val="PlazaElec"/>
      <sheetName val="ElecPoints"/>
      <sheetName val="Bitumen Rate 010213"/>
      <sheetName val="RA_DbmBC"/>
      <sheetName val="Machinory output"/>
      <sheetName val="Plantation"/>
      <sheetName val="AmbPtrlCrn"/>
      <sheetName val="MaintOH"/>
      <sheetName val="TollOH"/>
      <sheetName val="Measurement"/>
      <sheetName val="Measurement Major Maintance"/>
      <sheetName val="Register"/>
      <sheetName val="RecvrWs"/>
      <sheetName val="TranWs"/>
      <sheetName val="StckSmry"/>
      <sheetName val="MatWs"/>
      <sheetName val="cement Register"/>
      <sheetName val="As per PCA"/>
      <sheetName val="1 Site Dis"/>
      <sheetName val="2 E work"/>
      <sheetName val="3 SB &amp; Base"/>
      <sheetName val="4 BT"/>
      <sheetName val="6B MJ BRD "/>
      <sheetName val="6E FOB"/>
      <sheetName val="6F Repair Bridge"/>
      <sheetName val="10 toll plaza"/>
      <sheetName val="12 _RE_wall"/>
      <sheetName val="EW-Sum"/>
      <sheetName val="Extra_Paved"/>
      <sheetName val="List-SR"/>
      <sheetName val="cross section schedule"/>
      <sheetName val="Toll_Sign"/>
      <sheetName val="Toll_Plaza"/>
      <sheetName val="Cal_MCW"/>
      <sheetName val="Cal_SR"/>
      <sheetName val="TCS_1"/>
      <sheetName val="TCS_4D"/>
      <sheetName val="TCS_3C"/>
      <sheetName val="TCS_2A"/>
      <sheetName val="TCS_2B"/>
      <sheetName val="TCS_2C"/>
      <sheetName val="TCS_2B1"/>
      <sheetName val="TCS_3AL"/>
      <sheetName val="TCS_3AR"/>
      <sheetName val="TCS_3BL"/>
      <sheetName val="TCS_3BR "/>
      <sheetName val="TCS_4"/>
      <sheetName val="TCS_5A"/>
      <sheetName val="TCS_5"/>
      <sheetName val="TCS_5B"/>
      <sheetName val="Trucklaybye"/>
      <sheetName val="RE_Wall-cal"/>
      <sheetName val="Bus-Bay"/>
      <sheetName val="Major T-Junction"/>
      <sheetName val="Major X-Junction"/>
      <sheetName val="list of Structure"/>
      <sheetName val="Earthwork LHS"/>
      <sheetName val="Earthwork RHS"/>
      <sheetName val="TCS TYPE"/>
      <sheetName val="Road inv"/>
      <sheetName val="6A MN BRD"/>
      <sheetName val="91+950 A2 RHS"/>
      <sheetName val="91+950 A2 LHS "/>
      <sheetName val="91+950 A1 RHS"/>
      <sheetName val="91+950 A1 LHS"/>
      <sheetName val="103+836"/>
      <sheetName val="106+100"/>
      <sheetName val="109+800 A2 RHS"/>
      <sheetName val="109+800 A1 RHS  "/>
      <sheetName val="109+800 A2 LHS "/>
      <sheetName val="109+800 A1 LHS"/>
      <sheetName val="q1"/>
      <sheetName val="F6-Conc"/>
      <sheetName val="F6-Up"/>
      <sheetName val="F6-New"/>
      <sheetName val="Bqty"/>
      <sheetName val="HPCul"/>
      <sheetName val="HP2"/>
      <sheetName val="Gul"/>
      <sheetName val="F8"/>
      <sheetName val="PMC"/>
      <sheetName val="RtAnalysis"/>
      <sheetName val="RCC3MF7"/>
      <sheetName val="RaftF7"/>
      <sheetName val="Bk-Anal"/>
      <sheetName val="Raftdesign"/>
      <sheetName val="Wingtrench"/>
      <sheetName val="Drg"/>
      <sheetName val="SoilTest"/>
      <sheetName val="Pavement"/>
      <sheetName val="Format B"/>
      <sheetName val="F3"/>
      <sheetName val="F5"/>
      <sheetName val="BkAnal"/>
      <sheetName val="NP3-Bitu"/>
      <sheetName val="hpipedraw"/>
      <sheetName val="Slab-Design"/>
      <sheetName val="Sheet 2"/>
      <sheetName val="QUESTION"/>
      <sheetName val="Detmes"/>
      <sheetName val="Reassessment Fin"/>
      <sheetName val="Assessment Fin"/>
      <sheetName val="Annex 1.01"/>
      <sheetName val="crusher recon(Annex2.02)"/>
      <sheetName val="Annex 1.02"/>
      <sheetName val="Reassessment SCM"/>
      <sheetName val="Assess SCM"/>
      <sheetName val="Annex.3.01 "/>
      <sheetName val="Annex 3.02"/>
      <sheetName val="Reassessment HR"/>
      <sheetName val="Assessment HR"/>
      <sheetName val="Annex 4.02"/>
      <sheetName val="Annex 4.03"/>
      <sheetName val="FOR O&amp;M"/>
      <sheetName val="PEP SUMMARY"/>
      <sheetName val="ETC summary-rev"/>
      <sheetName val="P&amp;L "/>
      <sheetName val="Client Bill"/>
      <sheetName val="Direct Cost Plan"/>
      <sheetName val="Indirect Cost Plan Final"/>
      <sheetName val=" DIRECT COST"/>
      <sheetName val="ETC INDIRECT COST"/>
      <sheetName val="ETC BOM"/>
      <sheetName val="Indirect Cost Plan"/>
      <sheetName val="Revenue Plan"/>
      <sheetName val="Final Revenue Plan-STP &amp; PS "/>
      <sheetName val="Final Scope Plan-STP &amp; PS"/>
      <sheetName val="Final Scope Plan-UGD"/>
      <sheetName val="Orgonogram"/>
      <sheetName val="Staff Plan"/>
      <sheetName val="Manpower Plan"/>
      <sheetName val="Equipment Plan"/>
      <sheetName val="DI Pipe Laying BOQ"/>
      <sheetName val="Adminasration Building-BOQ"/>
      <sheetName val="Sludge slum -BOQ"/>
      <sheetName val="Centrifuge house-BOQ"/>
      <sheetName val="TQS(HO)"/>
      <sheetName val="WORKING"/>
      <sheetName val="TQS(EZ)"/>
      <sheetName val="WO"/>
      <sheetName val="Top Sheet1"/>
      <sheetName val="TS Civil"/>
      <sheetName val="BUD"/>
      <sheetName val="BUD (Civ Supply)"/>
      <sheetName val="CP-Steel"/>
      <sheetName val="CP-Cement"/>
      <sheetName val="BUD (Chimney)"/>
      <sheetName val="Korba"/>
      <sheetName val="CP"/>
      <sheetName val="T&amp;P"/>
      <sheetName val="CC"/>
      <sheetName val="Agg."/>
      <sheetName val="Mat."/>
      <sheetName val="Labr."/>
      <sheetName val="Subcon(SPL)"/>
      <sheetName val="Stg &amp; Shut."/>
      <sheetName val="S.SAL"/>
      <sheetName val="S.Sal-Com"/>
      <sheetName val="Site Infra."/>
      <sheetName val="S.Wel."/>
      <sheetName val="Tel"/>
      <sheetName val="Tel-Com."/>
      <sheetName val="Travel &amp; Convy"/>
      <sheetName val="Con&amp;Prof"/>
      <sheetName val="Estb.-Exp."/>
      <sheetName val="RCC-CON-SCH-Civil"/>
      <sheetName val="Recruit &amp; Train"/>
      <sheetName val="E&amp;W"/>
      <sheetName val="Vehicle Hire"/>
      <sheetName val="off Maint"/>
      <sheetName val="Rent"/>
      <sheetName val="Security"/>
      <sheetName val="Rates &amp; Taxes"/>
      <sheetName val="Estab"/>
      <sheetName val="Depreciation"/>
      <sheetName val="BOQ With Material"/>
      <sheetName val="structural"/>
      <sheetName val="Lab P&amp;M Op."/>
      <sheetName val="Staff Salaries"/>
      <sheetName val="fuel"/>
      <sheetName val="EQUIMENT"/>
      <sheetName val="R&amp;M"/>
      <sheetName val="Stag"/>
      <sheetName val="Tel-Project (2)"/>
      <sheetName val="packages"/>
      <sheetName val="cfl"/>
      <sheetName val="expn de"/>
      <sheetName val="bgequip"/>
      <sheetName val="Op Salary(2)"/>
      <sheetName val="interest charges"/>
      <sheetName val="LAPPL-QR"/>
      <sheetName val="LAPPL-Dry Rate"/>
      <sheetName val="Summary Format"/>
      <sheetName val="BOQ-Dir-Fin-Monthly"/>
      <sheetName val="WO-Monthly"/>
      <sheetName val="RA-Monthly"/>
      <sheetName val="Summary -New"/>
      <sheetName val="QA - QC"/>
      <sheetName val="POL Charges"/>
      <sheetName val="PEA new"/>
      <sheetName val="Budget-Summary"/>
      <sheetName val="Budget Summary- New "/>
      <sheetName val="Direct cost-RA (2)"/>
      <sheetName val="Indirect Cost "/>
      <sheetName val="HO TQS"/>
      <sheetName val="diesel"/>
      <sheetName val="TRIANGLE"/>
      <sheetName val="OCATAGON"/>
      <sheetName val="RECTANGLE"/>
      <sheetName val="Adv Rt Dirc"/>
      <sheetName val="CIRCULAR"/>
      <sheetName val="NH Rt.M"/>
      <sheetName val="Ex junct."/>
      <sheetName val="OVERHEAD"/>
      <sheetName val="Guard Rail"/>
      <sheetName val="Studs"/>
      <sheetName val="Chevron Sign"/>
      <sheetName val="chervon sign information.1"/>
      <sheetName val="Delineators"/>
      <sheetName val="Road Markings "/>
      <sheetName val="TR-I"/>
      <sheetName val="1    "/>
      <sheetName val="1C"/>
      <sheetName val="2    "/>
      <sheetName val="4    "/>
      <sheetName val="Cut Quantity 1;1 slope"/>
      <sheetName val="Cut Quantity 1;2 slope"/>
      <sheetName val="Fill Quantity 1;2"/>
      <sheetName val="Fill Quantity"/>
      <sheetName val="3C"/>
      <sheetName val="Subgrade"/>
      <sheetName val="5    "/>
      <sheetName val="4C"/>
      <sheetName val="C7"/>
      <sheetName val="7    (2)"/>
      <sheetName val="6    "/>
      <sheetName val="6C"/>
      <sheetName val="7   "/>
      <sheetName val="7C"/>
      <sheetName val="8C"/>
      <sheetName val="12   "/>
      <sheetName val="11C"/>
      <sheetName val="Bus Bay &amp; Truck"/>
      <sheetName val="144"/>
      <sheetName val="Maintanance"/>
      <sheetName val="Jun"/>
      <sheetName val="12C"/>
      <sheetName val="13 D"/>
      <sheetName val="13-D"/>
      <sheetName val="Cs Details"/>
      <sheetName val="Section 1-SH-59"/>
      <sheetName val="Section 2- Sh-9"/>
      <sheetName val="Filling Qty"/>
      <sheetName val="Site Report"/>
      <sheetName val="P&amp;E"/>
      <sheetName val="Financial"/>
      <sheetName val="summary ( OP-2)"/>
      <sheetName val="BU"/>
      <sheetName val="D.E-1"/>
      <sheetName val="B.Pass"/>
      <sheetName val="Widening PRP"/>
      <sheetName val="T.Diver"/>
      <sheetName val="T.Div cost"/>
      <sheetName val="EW-EXist"/>
      <sheetName val="EW-Bpass"/>
      <sheetName val="Bus Bay &amp; Truck-Ex"/>
      <sheetName val="On Existing Proj Road"/>
      <sheetName val="Jun Ex Road"/>
      <sheetName val="EX -MISS"/>
      <sheetName val="Jun Bypass"/>
      <sheetName val="Bus Bay &amp; Truck-Ex (2)"/>
      <sheetName val="BYPAS-MISS "/>
      <sheetName val="Drain - steel"/>
      <sheetName val="Drain - steel-Bypass"/>
      <sheetName val="Wayside Amenities"/>
      <sheetName val="Bypass Cost"/>
      <sheetName val="Delineators (2)"/>
      <sheetName val="Miscellaneous"/>
      <sheetName val="BASIC-Roads"/>
      <sheetName val="Total summary"/>
      <sheetName val="Summary of 13th RA"/>
      <sheetName val="progress"/>
      <sheetName val="견적대비표"/>
      <sheetName val="Stock in Trade"/>
      <sheetName val="wip - erection items"/>
      <sheetName val="Discarded_links"/>
      <sheetName val="Form_D1"/>
      <sheetName val="Form_D12"/>
      <sheetName val="Form_D13"/>
      <sheetName val="MATERIAL_TOTAL"/>
      <sheetName val="Summary_of_13th_RA"/>
      <sheetName val="BOQ_Distribution"/>
      <sheetName val="Officer_Budget_Form"/>
      <sheetName val="Proj Data"/>
      <sheetName val="유동표"/>
      <sheetName val="Spacing of Delineators"/>
      <sheetName val="부대내역"/>
      <sheetName val="purpose&amp;input"/>
      <sheetName val="number"/>
      <sheetName val="section wise"/>
      <sheetName val="askng rate"/>
      <sheetName val="section wise (2)"/>
      <sheetName val="RateList"/>
      <sheetName val="PO Status"/>
      <sheetName val="Selection"/>
      <sheetName val="Detail P&amp;L"/>
      <sheetName val="Assumption Sheet"/>
      <sheetName val="Steel-Circular"/>
      <sheetName val="Steel_Circular"/>
      <sheetName val="Flyover"/>
      <sheetName val="VUP"/>
      <sheetName val="MNB"/>
      <sheetName val="Box Culvert"/>
      <sheetName val="Casting Yard"/>
      <sheetName val="Cast in Situ "/>
      <sheetName val="DLC PQC"/>
      <sheetName val="Plant Quantity"/>
      <sheetName val="Consumption Report-1"/>
      <sheetName val="Conc Qty "/>
      <sheetName val="Status Abstract"/>
      <sheetName val="Status (2)"/>
      <sheetName val="Work delay"/>
      <sheetName val="Spares &amp; Service- 3 yrs"/>
      <sheetName val="Spares - 1 yr"/>
      <sheetName val="UPS cal"/>
      <sheetName val="Plaza connectivity"/>
      <sheetName val="CABLES(1 lane)"/>
      <sheetName val="CABLES (2 Lanes)"/>
      <sheetName val="CABLES (6 lanes)"/>
      <sheetName val="cables 12 lanes"/>
      <sheetName val="AVC"/>
      <sheetName val="LC"/>
      <sheetName val="Master data"/>
      <sheetName val="Total TOLL+HTMS COGS analysis"/>
      <sheetName val="Pending items Hari"/>
      <sheetName val="Total TOLL analysis"/>
      <sheetName val="Final BOQ"/>
      <sheetName val="Toll-Itemwise costing"/>
      <sheetName val="Toll-Loop Sealant calculation"/>
      <sheetName val="Major Materials-1"/>
      <sheetName val="Major Materials-2"/>
      <sheetName val="INPUTS - 1"/>
      <sheetName val="INPUTS - 2"/>
      <sheetName val="Eqp Rates"/>
      <sheetName val="Vehicle Rates"/>
      <sheetName val="BM Plant"/>
      <sheetName val="Reach 3 PRW"/>
      <sheetName val="30 Month CP qTY"/>
      <sheetName val="30 Month CP Rev"/>
      <sheetName val="Programme - HHPL "/>
      <sheetName val="Monthwise Projection"/>
      <sheetName val="Percentage Work done for NH1"/>
      <sheetName val="Exp DivIsion"/>
      <sheetName val="Inflation"/>
      <sheetName val="Material Req"/>
      <sheetName val="Maj Mat Procurement"/>
      <sheetName val="Aggregate Procurement"/>
      <sheetName val="Servicetax"/>
      <sheetName val="HSD"/>
      <sheetName val="Qty Sheet"/>
      <sheetName val="Bkup1"/>
      <sheetName val="LC Site"/>
      <sheetName val="Pivot report"/>
      <sheetName val="dep"/>
      <sheetName val="Aggregate"/>
      <sheetName val="Basic Material"/>
      <sheetName val="Diesel Req"/>
      <sheetName val="Material Requirement"/>
      <sheetName val="Price Mc"/>
      <sheetName val="mc Req"/>
      <sheetName val="HM Plant"/>
      <sheetName val="Tippers"/>
      <sheetName val="SiteClear"/>
      <sheetName val="SBase"/>
      <sheetName val="Bit-Base"/>
      <sheetName val="REW"/>
      <sheetName val="TSigns"/>
      <sheetName val="PC"/>
      <sheetName val="Maint."/>
      <sheetName val="horti"/>
      <sheetName val="Found"/>
      <sheetName val="SubS"/>
      <sheetName val="SupS"/>
      <sheetName val="PW"/>
      <sheetName val="Case-3"/>
      <sheetName val="Schedule workdone"/>
      <sheetName val="PHOTOGRAPHS"/>
      <sheetName val="DATA MAJOR ACTIVITIES"/>
      <sheetName val="BLOCK A"/>
      <sheetName val="B BLOCK"/>
      <sheetName val="BLOCK C"/>
      <sheetName val="BLOCK R"/>
      <sheetName val="BLOCK S"/>
      <sheetName val="P&amp;L"/>
      <sheetName val="PrdQty"/>
      <sheetName val="PrdVal"/>
      <sheetName val="Rate Analy."/>
      <sheetName val="Agg"/>
      <sheetName val="Agg (2)"/>
      <sheetName val="PMRL ind"/>
      <sheetName val="Abs PMRL"/>
      <sheetName val="Mach."/>
      <sheetName val="Eqpdata"/>
      <sheetName val="fol"/>
      <sheetName val="BATA"/>
      <sheetName val="NHC"/>
      <sheetName val="IPA 4 main sheet"/>
      <sheetName val="Certificate -07"/>
      <sheetName val="Material Adv"/>
      <sheetName val="Escalation (2)"/>
      <sheetName val="RECONCILATION 0F  pass "/>
      <sheetName val="RECONCILATION OF P.C. VS CLIENT"/>
      <sheetName val="eXTRA ITEM DETAIL"/>
      <sheetName val="UNPROD. EXP."/>
      <sheetName val="Labour&amp; machinery"/>
      <sheetName val="A_O_R _2_"/>
      <sheetName val="A_O_R r1"/>
      <sheetName val="A_O_R r1Str"/>
      <sheetName val="A.O.R (2)"/>
      <sheetName val="Rates (2)"/>
      <sheetName val="OH (2)"/>
      <sheetName val="RatesR1"/>
      <sheetName val="A.O.R r1"/>
      <sheetName val="OH R1"/>
      <sheetName val="formwork R1"/>
      <sheetName val="A.O.R r1Str"/>
      <sheetName val="OH R1str"/>
      <sheetName val="AoR Finishing"/>
      <sheetName val="cul_invSUBMITTED"/>
      <sheetName val="Revised BoQ Str"/>
      <sheetName val="oH(Str+finishing)"/>
      <sheetName val="oHS+F Ex Alu.+actual staff"/>
      <sheetName val="oHS+F Ex Alu. (trial)"/>
      <sheetName val="Ex aluminium"/>
      <sheetName val="oH(mc purchase)"/>
      <sheetName val="Plang.1pour"/>
      <sheetName val="Plang.3pour"/>
      <sheetName val="Machine Schedule "/>
      <sheetName val="Staff Schedule"/>
      <sheetName val="Reference"/>
      <sheetName val="Report 2"/>
      <sheetName val="Report_2"/>
      <sheetName val="4.4"/>
      <sheetName val="summery-I"/>
      <sheetName val="2.07 EMB"/>
      <sheetName val="BOQ-"/>
      <sheetName val="3.01"/>
      <sheetName val="8.ii.8.(b)"/>
      <sheetName val="4.1"/>
      <sheetName val="8.1.2.(a)"/>
      <sheetName val="2.07 S.G"/>
      <sheetName val="4.2(ii)"/>
      <sheetName val="3.02"/>
      <sheetName val="Data_Renuals"/>
      <sheetName val="Addagutta OHBR"/>
      <sheetName val="Addagutta GLBR"/>
      <sheetName val="Addagutta OHBR Data"/>
      <sheetName val="Kakkireni"/>
      <sheetName val="Addagutta GLBR Data"/>
      <sheetName val="Kakkireni GLBR Data"/>
      <sheetName val=" 09.07.10 M顅ᎆ뤀ᨇ԰"/>
      <sheetName val="08.07.10헾】_x0005_"/>
      <sheetName val=" _x000a_¢_x0002_&amp;"/>
      <sheetName val="Blasting data"/>
      <sheetName val="sluice-BWSCP-MS above 1000 pipe"/>
      <sheetName val="ESSR"/>
      <sheetName val="LeadE"/>
      <sheetName val="Data- FinalE "/>
      <sheetName val="Sp. Report"/>
      <sheetName val="TSmemo"/>
      <sheetName val="Rd.Data"/>
      <sheetName val="C.D.Data (Morth)"/>
      <sheetName val="Rd.Det.Est"/>
      <sheetName val="Gen.Abs."/>
      <sheetName val="Rd.abs.Est"/>
      <sheetName val="Abs.CDpipe"/>
      <sheetName val="Abs_vent&amp;pipe"/>
      <sheetName val="Abs_slab"/>
      <sheetName val="Abs.cc"/>
      <sheetName val="Abs_box"/>
      <sheetName val="Det. 1Rx800"/>
      <sheetName val="Det. 2Rx800"/>
      <sheetName val="CD_DET_PIPE_1R"/>
      <sheetName val="Slab det est"/>
      <sheetName val="CD_DET_1CELL_BOX"/>
      <sheetName val="CD_DET_4CELL_BOX"/>
      <sheetName val="150KL GLBR singotam"/>
      <sheetName val="150KL Comp."/>
      <sheetName val="30 KL at Amaragi"/>
      <sheetName val="30 KL Amaragiri Comp."/>
      <sheetName val="3500KL Sump Yellore"/>
      <sheetName val="3500KL Comp."/>
      <sheetName val="220KL GLBR Pasupula"/>
      <sheetName val="220 KL GLBR Comp."/>
      <sheetName val="120 KL Sump somasila.."/>
      <sheetName val="120 KL Comp."/>
      <sheetName val="30 KL atTP.Tha"/>
      <sheetName val="30KL TP tandha Comp."/>
      <sheetName val="S. Data"/>
      <sheetName val="Blasting Rate"/>
      <sheetName val="Burugupally"/>
      <sheetName val="Specification_2"/>
      <sheetName val="Abs N"/>
      <sheetName val="Abs N Comp"/>
      <sheetName val="Gen Abstract"/>
      <sheetName val="Abs COMP"/>
      <sheetName val="Abstract Snctnd"/>
      <sheetName val="Abs Wrkng Part A"/>
      <sheetName val="Abs Wrkng Part A COMP"/>
      <sheetName val="Abs Wrkng Part B"/>
      <sheetName val="OHSR-1 DI"/>
      <sheetName val="Rate Calc-1"/>
      <sheetName val="10.OHSR-2"/>
      <sheetName val="11.Rate Cal-2"/>
      <sheetName val="OHSR-3 CI"/>
      <sheetName val="Rate Cal-3"/>
      <sheetName val="Dist Network_HDPE"/>
      <sheetName val="OFC"/>
      <sheetName val="House Hold"/>
      <sheetName val="VC-80"/>
      <sheetName val="VC-200"/>
      <sheetName val="LEAD 2016-17"/>
      <sheetName val="SSR 16-17"/>
      <sheetName val="CC Road &amp; manhole Data"/>
      <sheetName val="water soft data"/>
      <sheetName val="PVC DATA General"/>
      <sheetName val="ew CC Portion"/>
      <sheetName val="PVC DATA CC"/>
      <sheetName val="HDPE DATA  General"/>
      <sheetName val="HDPE DATA CC"/>
      <sheetName val="OHSR "/>
      <sheetName val="CI Verticals"/>
      <sheetName val="OHSR (3)"/>
      <sheetName val="CI (3)"/>
      <sheetName val="PVC Specials"/>
      <sheetName val="CC Data"/>
      <sheetName val="Pipe line   (2)"/>
      <sheetName val="Peerya thanda"/>
      <sheetName val="JALUBAITHANDA"/>
      <sheetName val="OHSR-1 DI Wrkng"/>
      <sheetName val="OHSR-1 DI Comp"/>
      <sheetName val="Dist Network PVC"/>
      <sheetName val="Dist Network PVC W"/>
      <sheetName val="Dist Network PVC Comp"/>
      <sheetName val="DN ADD"/>
      <sheetName val="DN ADD Comp"/>
      <sheetName val="85 COLUMNS"/>
      <sheetName val="VC-450"/>
      <sheetName val="OFC data"/>
      <sheetName val="18.Repaires"/>
      <sheetName val="Hydruli stmnt"/>
      <sheetName val="cc Refilling"/>
      <sheetName val="epa copy"/>
      <sheetName val="for est"/>
      <sheetName val="4.Schools Data"/>
      <sheetName val="Requisition-Prof"/>
      <sheetName val="maheswari"/>
      <sheetName val="01.06.17 Final"/>
      <sheetName val="Doma-HDPE"/>
      <sheetName val="Lepakshi"/>
      <sheetName val="Ann to SO"/>
      <sheetName val="SO"/>
      <sheetName val="Abs_Sanctioned"/>
      <sheetName val="Abs_Working"/>
      <sheetName val="Comparative_Working"/>
      <sheetName val="Gadwal Estimate"/>
      <sheetName val="Comparitive statement Gadwa (2"/>
      <sheetName val="Comparitive statement Ieeza (2"/>
      <sheetName val="Comparitive statement Gattu (2"/>
      <sheetName val="New Lengths"/>
      <sheetName val="Comparitive statement Gadwal"/>
      <sheetName val="Abs_Sanctioned IEEZA"/>
      <sheetName val="Abs_Working IEEZA"/>
      <sheetName val="Comparative_Working IEEZA"/>
      <sheetName val="Ieeza Estimate "/>
      <sheetName val="Comparitive statement Ieeza"/>
      <sheetName val="Ieeza Estimate  (2)"/>
      <sheetName val="Comparitive"/>
      <sheetName val="Comparitive Gadwal WD"/>
      <sheetName val="CED CALCU"/>
      <sheetName val="Duct Pipe"/>
      <sheetName val="Anathapur Canal Steel Bridge"/>
      <sheetName val="10 Th Betallian DI Spl"/>
      <sheetName val="PEDASTAL   EST (2)"/>
      <sheetName val="THRUST BLOCK (2)"/>
      <sheetName val="MS pipe,flange,Dummy (2)"/>
      <sheetName val="CC RESTORE"/>
      <sheetName val="GI pipe Bedding"/>
      <sheetName val="PV Cement"/>
      <sheetName val="PV Steel"/>
      <sheetName val="GI Taxes"/>
      <sheetName val="stone dust"/>
      <sheetName val="Air valve stem"/>
      <sheetName val="PEDASTAL   EST (MB)"/>
      <sheetName val="PEDASTAL   EST"/>
      <sheetName val="THRUST BLOCK (MB)"/>
      <sheetName val="THRUST BLOCK"/>
      <sheetName val="GI Pipe (2)"/>
      <sheetName val="PV Rates"/>
      <sheetName val="Ieeza Estimate  (3)"/>
      <sheetName val="PEDASTAL   EST WEII"/>
      <sheetName val="THRUST BLOCK WEII"/>
      <sheetName val="valves hdpe"/>
      <sheetName val="Inter connections OHSR"/>
      <sheetName val="60 KL GLBR Final"/>
      <sheetName val="60 KL GLBR Comarative"/>
      <sheetName val="90 KL GLBR Final "/>
      <sheetName val="90 KL GLBR Comarative "/>
      <sheetName val="800 KL GLBR"/>
      <sheetName val="800 KL GLBR Comarative "/>
      <sheetName val="DI Specials Amt"/>
      <sheetName val="1100 KL GLBR"/>
      <sheetName val="1100 KL GLBR Comparative"/>
      <sheetName val="280 KL GLBR "/>
      <sheetName val="280 KL GLBR Comparative "/>
      <sheetName val="120 KL OHBR Thupatrala"/>
      <sheetName val="120 KL OHBR Comparative"/>
      <sheetName val="120 KL OHBR Balgera"/>
      <sheetName val="120 KL OHBR Comparative Balgera"/>
      <sheetName val="90 KL OHBR Mallamdoddi"/>
      <sheetName val="90 KL OHBR Comparative "/>
      <sheetName val="90 KL OHBR Comparative  (2)"/>
      <sheetName val="60 KL OHBR Bhimpuram"/>
      <sheetName val="60 KL OHBR at Bhimpuram compara"/>
      <sheetName val="60 KL OHBR D.Bhridipadu"/>
      <sheetName val="60 KL OHBR at D.Bhuridipadu com"/>
      <sheetName val="60 KL OHBR  CS Nagar"/>
      <sheetName val="60 KL OHBR at CS Nagar"/>
      <sheetName val="60 KL OHBR Penchikalpadu"/>
      <sheetName val="60 KL OHBR at Penchikalpadu"/>
      <sheetName val="60 KL OHBR Mellacheruvu"/>
      <sheetName val="60 KL OHBR at Mellacheruvu"/>
      <sheetName val="40 KL OHBR Garlapadu"/>
      <sheetName val="40 KL OHBR  Comparative"/>
      <sheetName val="40 KL OHBR Sivanampally"/>
      <sheetName val="40 KL OHBR  Comparative sivanam"/>
      <sheetName val="Dharagattu - 2200KL"/>
      <sheetName val="Comparative Dharagattu 2200 KL"/>
      <sheetName val="Head works - 9000KL "/>
      <sheetName val="Comparative Hw 9000 KL Sump"/>
      <sheetName val="Staircase Maldakal"/>
      <sheetName val="RSF Plant"/>
      <sheetName val="Comparative For RSF"/>
      <sheetName val="DATA For Litre RATE"/>
      <sheetName val="90 KL OHSR Maldakal"/>
      <sheetName val="90 KL OHSR Venkatapur stage"/>
      <sheetName val="DATA For 120 KLOHSR Litre RATE "/>
      <sheetName val="DATA For 150 KL OHSRLitre RATE "/>
      <sheetName val="Pump House Head works"/>
      <sheetName val="Pump House Head works (2)"/>
      <sheetName val="Surge pit"/>
      <sheetName val="620 KL GLBR Comarative "/>
      <sheetName val="475 KL GLBR Comarative"/>
      <sheetName val="280 KL GLBR Comarative "/>
      <sheetName val="RSF Plant (2)"/>
      <sheetName val="Comparative For RSF (2)"/>
      <sheetName val="HYD SD"/>
      <sheetName val="WQ Naganpally"/>
      <sheetName val="Electrical Data "/>
      <sheetName val="Electrical Estimate"/>
      <sheetName val="Grills"/>
      <sheetName val="WQ Gungal"/>
      <sheetName val="Data new"/>
      <sheetName val="sanitary data"/>
      <sheetName val="sanitary estimate"/>
      <sheetName val="RR TGA"/>
      <sheetName val="P -ABS"/>
      <sheetName val="S-ABS"/>
      <sheetName val="Habs List"/>
      <sheetName val="P - Designs"/>
      <sheetName val="S - Designs"/>
      <sheetName val="P - HY ST PM"/>
      <sheetName val="P - HY ST GM"/>
      <sheetName val="S - HY ST PM"/>
      <sheetName val="S - HY ST GM"/>
      <sheetName val="P - EST PM"/>
      <sheetName val="P - EST GM"/>
      <sheetName val="S - EST - GM"/>
      <sheetName val="S - EST - PM"/>
      <sheetName val="Statement"/>
      <sheetName val="PV_S_GM"/>
      <sheetName val="BOQ PM"/>
      <sheetName val="PM-BOQ"/>
      <sheetName val="GM-BOQ"/>
      <sheetName val="BOQ GM"/>
      <sheetName val="Existing"/>
      <sheetName val="VALVE"/>
      <sheetName val="Pipelines"/>
      <sheetName val="Contents (2)"/>
      <sheetName val="Mandals List"/>
      <sheetName val="PH 16x6"/>
      <sheetName val="PH 12x6"/>
      <sheetName val="  ¢_x0002_&amp;_x0000__x0000__x0000_ú5#_x0000__x0000__x0000__x0000__x0000__x0000__x0000_"/>
      <sheetName val="100 KL SUMP (MAIN SHEET)"/>
      <sheetName val="Comp "/>
      <sheetName val="100 KL SUMP GST"/>
      <sheetName val="DI Vert-Tax"/>
      <sheetName val="100 KL SUMP POL"/>
      <sheetName val="2O KL SUMP COMP"/>
      <sheetName val="Steel Variation"/>
      <sheetName val="Steel POL"/>
      <sheetName val="cement variation"/>
      <sheetName val="Seginorge"/>
      <sheetName val="POL Data"/>
      <sheetName val="Cement Steel rates"/>
      <sheetName val="DI gate-DI"/>
      <sheetName val="DIgate_PVC "/>
      <sheetName val="Line_Est"/>
      <sheetName val="Abs CD"/>
      <sheetName val="2R 800"/>
      <sheetName val="YELLAREDDY HS"/>
      <sheetName val="Comparative statement (2)"/>
      <sheetName val="BNS PUMP SET"/>
      <sheetName val="Ylrdy PUMP SET "/>
      <sheetName val="Pumpsets"/>
      <sheetName val="Yellareddy HS final"/>
      <sheetName val="BPT 1"/>
      <sheetName val="BPT 2"/>
      <sheetName val="main trunk"/>
      <sheetName val="seconadry trunk"/>
      <sheetName val="NRGPT Abstract"/>
      <sheetName val="YLRD"/>
      <sheetName val="LNGPT"/>
      <sheetName val="Ylrdy Abstract"/>
      <sheetName val="GO 24"/>
      <sheetName val="YLR OHSR"/>
      <sheetName val="YLR PIPE"/>
      <sheetName val="TADWAI OHSR"/>
      <sheetName val="TADWAI PIPE"/>
      <sheetName val="YLR"/>
      <sheetName val="NRPT"/>
      <sheetName val="GDRI&amp;SSN"/>
      <sheetName val="LPT"/>
      <sheetName val="TDW"/>
      <sheetName val="Ngpet Agmt PL Details"/>
      <sheetName val="heading"/>
      <sheetName val="O&amp;M-Abstrat-2018-19"/>
      <sheetName val="Agmt-model-staff-2018-19"/>
      <sheetName val="Est-JLPR-(Apr  to june -19) "/>
      <sheetName val="O&amp;M-Abstrat-(Apr-june_19)"/>
      <sheetName val="Data-O&amp;M Staff-2019-20"/>
      <sheetName val="Est-JLPR-(April to june- 2109)"/>
      <sheetName val="Est-30-Argul(April to June-19)"/>
      <sheetName val="Est-30-Mallanna-(Apr to jun-19)"/>
      <sheetName val="Est-60-Argul-(Apr-jun-19)"/>
      <sheetName val="Est-40-Indalwa-(apr- june -19)"/>
      <sheetName val="Est-40-MallannaGu(Apr-jun-19)"/>
      <sheetName val="staff-pattern-SRSP-Balkonda"/>
      <sheetName val="Staff Pattern E &amp; M IHP"/>
      <sheetName val="Staff Pattern E &amp; M Raghava"/>
      <sheetName val="Chemicals calculation"/>
      <sheetName val="Electricity Bills"/>
      <sheetName val="old-Electricity "/>
      <sheetName val="Exist pipe line-JLPR"/>
      <sheetName val="Exist pipe line-60Argul"/>
      <sheetName val="Existing pipe line-30-Argul"/>
      <sheetName val="Existing pipe line"/>
      <sheetName val="technical-30MLD Mallanna"/>
      <sheetName val="Pop-Mallanan gutta"/>
      <sheetName val="specification-sdpt"/>
      <sheetName val="Absract"/>
      <sheetName val="KUWSDB SR 2018-2019M.H"/>
      <sheetName val="Rectification-Balance Pipe line"/>
      <sheetName val="Rectification of manhol covers"/>
      <sheetName val="Rectification-Balance Pipe  (2)"/>
      <sheetName val="KUWSDB SR 2018-2019HSCpipe line"/>
      <sheetName val="KUWSDB SR 2018-2019 pipe line"/>
      <sheetName val="Abstract-Balnce work pipeline1"/>
      <sheetName val="Balance of New Pipe "/>
      <sheetName val="Baln New manholes estimate "/>
      <sheetName val="Septic Tank construction "/>
      <sheetName val="Flushing tank construction"/>
      <sheetName val="Abstract - SWG &amp; RCC  balance 2"/>
      <sheetName val="New balance pipe line"/>
      <sheetName val="New balance pipe lin"/>
      <sheetName val="New balance pipeline"/>
      <sheetName val=" Abstract-Balance New manholes"/>
      <sheetName val="Balance New manholes 1"/>
      <sheetName val="Balance new pipe line 2 "/>
      <sheetName val="Abstract-CC Road balance pipeli"/>
      <sheetName val="Abstract-WBM Road New pipe line"/>
      <sheetName val="Abstract-New Reconstruction 4"/>
      <sheetName val="New Reconstruction of M.H 1"/>
      <sheetName val="Abstract- New Reconstruction of"/>
      <sheetName val="NewReconstruction ofpipeline 2"/>
      <sheetName val="The Completing Work"/>
      <sheetName val=" Abstract-Asphalt Road"/>
      <sheetName val="Abstract-Raising of manhole 4"/>
      <sheetName val="Asphalt Road "/>
      <sheetName val="Concrete Road 7"/>
      <sheetName val="Abstract-WBM Road"/>
      <sheetName val="WBM Road 8"/>
      <sheetName val="Abstract-HSC pipeline 5"/>
      <sheetName val="HSC Pipe line 9 "/>
      <sheetName val="Abstract-Inspection Chamber"/>
      <sheetName val="Inspection Chamber Construct 10"/>
      <sheetName val="Manholes Rectificationes 9"/>
      <sheetName val="Road Restoration"/>
      <sheetName val="Abstract-Soak pit 7.00 mtr dia6"/>
      <sheetName val="Soak pit 7.00 mtr Dia "/>
      <sheetName val="Abstract-Soak pit 7.50 mtr dia7"/>
      <sheetName val="Soak Pit 7.50 mtr Dia"/>
      <sheetName val="Abstract-Newmanhole Rectifica8"/>
      <sheetName val="New Manholes Rectification "/>
      <sheetName val="Abstract-Old manholes CC recti9"/>
      <sheetName val="Old manholesCC roadrectificat"/>
      <sheetName val="Abstract-DI PipeRectificatio10"/>
      <sheetName val="DI pipe replacement "/>
      <sheetName val="Maintenance 11"/>
      <sheetName val="Manholes recti Labour cost deta"/>
      <sheetName val="Additional work new balnc MH "/>
      <sheetName val="Additinal work New balnce Pipel"/>
      <sheetName val="IN PUT SHEET"/>
      <sheetName val="NET WORK ABSTRACT"/>
      <sheetName val="APPROVED HS"/>
      <sheetName val="DPR PROGRESS"/>
      <sheetName val="AGENCY BILLING"/>
      <sheetName val="CLIENT BILLING"/>
      <sheetName val="cHI"/>
      <sheetName val="FAT"/>
      <sheetName val="RAJ"/>
      <sheetName val="GAR"/>
      <sheetName val="GAD"/>
      <sheetName val="PON"/>
      <sheetName val="QUT"/>
      <sheetName val="KAP"/>
      <sheetName val="RAY"/>
      <sheetName val="MAC"/>
      <sheetName val="GOP"/>
      <sheetName val="RAMS"/>
      <sheetName val="GG P"/>
      <sheetName val="PAL"/>
      <sheetName val="DIR"/>
      <sheetName val="BT"/>
      <sheetName val="ESTT1"/>
      <sheetName val="ESTT_3LAYERS"/>
      <sheetName val="BT_RENUAL_COAT"/>
      <sheetName val="ESTT2"/>
      <sheetName val="SHEDULE_3LAYER"/>
      <sheetName val="SHEDULE_1KM"/>
      <sheetName val="SHEDULE_2KM"/>
      <sheetName val="ESTT3"/>
      <sheetName val="old mandal wise (2)"/>
      <sheetName val="Habs2706_F"/>
      <sheetName val="old mandals"/>
      <sheetName val="checked"/>
      <sheetName val="HAb_Compare"/>
      <sheetName val="Mandal_compare"/>
      <sheetName val="old mandal wise"/>
      <sheetName val="new mandal wise"/>
      <sheetName val="FUEL RATES"/>
      <sheetName val="BOCE RATE"/>
      <sheetName val="Cement,STEEL ETC Rates"/>
      <sheetName val="WE"/>
      <sheetName val="300 mm di Makloor"/>
      <sheetName val="GST &amp; POL estimate"/>
      <sheetName val="CEMENT - PV"/>
      <sheetName val="CRates"/>
      <sheetName val="Steel &amp; PV"/>
      <sheetName val="SEIGNORAGE"/>
      <sheetName val="AS PER MB STEEL"/>
      <sheetName val="MS Door"/>
      <sheetName val="rivettment "/>
      <sheetName val="ET Tax Rates"/>
      <sheetName val="Chequred Plate"/>
      <sheetName val="DI pecials"/>
      <sheetName val="PE- DI V"/>
      <sheetName val="Structural Steel PV"/>
      <sheetName val="Structural Steel Paint"/>
      <sheetName val="Thrust blocks A,N,M,J"/>
      <sheetName val="SIGNORAGE"/>
      <sheetName val="1.cement variation (20)"/>
      <sheetName val="GST POL ESTIMATE"/>
      <sheetName val="50KL-GST"/>
      <sheetName val="3.Steel POL (31)"/>
      <sheetName val="4.GST &amp; POL ESTI (35)"/>
      <sheetName val="5.Seign (18)"/>
      <sheetName val="Comparision "/>
      <sheetName val="Suppli Agt "/>
      <sheetName val="Rev floor  "/>
      <sheetName val="MS rates"/>
      <sheetName val="Node to Node"/>
      <sheetName val="PL info"/>
      <sheetName val="Trench Size"/>
      <sheetName val="Supply GST"/>
      <sheetName val="L&amp;J  GST"/>
      <sheetName val="HT GST"/>
      <sheetName val="COMM. GST"/>
      <sheetName val="내역서 (∮ἀ嘆ɶ"/>
      <sheetName val="_x0004_"/>
      <sheetName val="_x000a_"/>
      <sheetName val="Sp 90 (3)"/>
      <sheetName val="Est 90"/>
      <sheetName val="Data 2013-14GHMC"/>
      <sheetName val="Key plan (2)"/>
      <sheetName val="VALVES PN1.6"/>
      <sheetName val="LEAD STATEMENT-2010-11"/>
      <sheetName val="Data-2010-11"/>
      <sheetName val="CI Specials (2010-11) "/>
      <sheetName val="elsr"/>
      <sheetName val="Mech Datas 16-17 on 7-2-17"/>
      <sheetName val="Instrumentation (2)"/>
      <sheetName val="Mech Datas 16-17final on 8-2-17"/>
      <sheetName val="Butterfly Valves PN1.0"/>
      <sheetName val="Butterfly Valves PN2.5 (2)"/>
      <sheetName val="MS pipes &amp; MS Manifold 6mm"/>
      <sheetName val="Pump data"/>
      <sheetName val="MS pipes &amp; MS Manifold 8mm"/>
      <sheetName val="MS pipes &amp; MS Manifold 10mm"/>
      <sheetName val="MS pipes &amp; MS Manifold 12mm"/>
      <sheetName val="CRANES"/>
      <sheetName val="11 KV Electrical datas  Correct"/>
      <sheetName val="DE watering"/>
      <sheetName val="BWSCPlt"/>
      <sheetName val="PSC REVISED"/>
      <sheetName val="Gen Comp St"/>
      <sheetName val="OHSR-1 EST"/>
      <sheetName val="OHSR-2"/>
      <sheetName val="Comp OHSR EST-1"/>
      <sheetName val="Comp PIPE"/>
      <sheetName val="HHC"/>
      <sheetName val="Comp HH"/>
      <sheetName val="Comp OFC"/>
      <sheetName val="DI WE"/>
      <sheetName val="Abst WE"/>
      <sheetName val="OHSR WE"/>
      <sheetName val="WE Pipe "/>
      <sheetName val="Comp HDPE"/>
      <sheetName val="SSR 15-16"/>
      <sheetName val="OFC RC"/>
      <sheetName val="Pipe line Length Details"/>
      <sheetName val="Abst Orig"/>
      <sheetName val="OHSR Orig"/>
      <sheetName val="DI Orig"/>
      <sheetName val="ORIG Est Pipe"/>
      <sheetName val="EPANET Lengths"/>
      <sheetName val="T1"/>
      <sheetName val="T2"/>
      <sheetName val="T3"/>
      <sheetName val=" EST-IV"/>
      <sheetName val="Chakriyal"/>
      <sheetName val="Sorted"/>
      <sheetName val="Abstrctof culverts"/>
      <sheetName val="ga-4-6-6-7"/>
      <sheetName val="ga-2-5-4-6"/>
      <sheetName val="Ge Abs"/>
      <sheetName val="NOTE ON WORK"/>
      <sheetName val="wORKING ESTIMATE 4-6-6-7"/>
      <sheetName val="working estimate 2-5-4-6"/>
      <sheetName val="ls-3-4-6"/>
      <sheetName val="ABST-EST"/>
      <sheetName val="DETD-EST-1VT"/>
      <sheetName val="DETD-EST-ROAD DAM-1"/>
      <sheetName val="DETD-EST-ROAD DAM"/>
      <sheetName val="DETD-EST-2VT"/>
      <sheetName val="DETD-EST-3VT"/>
      <sheetName val="data-f"/>
      <sheetName val="LeadChart"/>
      <sheetName val="LEads-2.5-4-6"/>
      <sheetName val="Drg-3v"/>
      <sheetName val="Drg-2v"/>
      <sheetName val="Drg-1v"/>
      <sheetName val="Drg-raod dam"/>
      <sheetName val="DESGN"/>
      <sheetName val="Spiral BPT"/>
      <sheetName val="BPT"/>
      <sheetName val="AbtractA"/>
      <sheetName val="PH Pothyreddipally Jn"/>
      <sheetName val="PH Antharam Jn"/>
      <sheetName val="PH-HW"/>
      <sheetName val="PH Kistapur thanda"/>
      <sheetName val="Abstract B"/>
      <sheetName val="sump Pallevampu Jn"/>
      <sheetName val="sump rect"/>
      <sheetName val="Rect sump at HW"/>
      <sheetName val="Wman Qrts"/>
      <sheetName val="30 KL GLBR"/>
      <sheetName val="20 kl GLBR Rahat Nagar"/>
      <sheetName val="20 KL GLBR Mendora"/>
      <sheetName val="GLBR- 60KL"/>
      <sheetName val="Sump -100 Kl"/>
      <sheetName val="80 KL GLSR Pallikonda"/>
      <sheetName val="GLSR-40KL"/>
      <sheetName val="10 KL Odder colony "/>
      <sheetName val="10 KL Choudu thanda"/>
      <sheetName val="10 KL Siddapally"/>
      <sheetName val="10 KL Baba Nagar colony"/>
      <sheetName val="10 KL Kotha thanda"/>
      <sheetName val="10 KL Patha thanda"/>
      <sheetName val="10 KL Gangarai"/>
      <sheetName val="10 KL Salimpur"/>
      <sheetName val="Sump -200KL"/>
      <sheetName val="Sump-150KL"/>
      <sheetName val="Sump-50Kl"/>
      <sheetName val="Sump-30 KL"/>
      <sheetName val="PH - Purnnanipet"/>
      <sheetName val="Sump-Nagampally thanda Jn"/>
      <sheetName val="spiral Kistapur"/>
      <sheetName val="OHBR Kistapur"/>
      <sheetName val="spiral Pallevampu Jn"/>
      <sheetName val="shaft-Pallevamou Jn"/>
      <sheetName val="GLBR"/>
      <sheetName val="spiral HW"/>
      <sheetName val="OHBR HW"/>
      <sheetName val="OHBR Pitlam"/>
      <sheetName val="Spiral Pitlam"/>
      <sheetName val="OHBR @ Mahabatpur"/>
      <sheetName val="BPT OHBR Siddapur"/>
      <sheetName val="BPTVelpur"/>
      <sheetName val="SAN"/>
      <sheetName val="OHSR Gokaram"/>
      <sheetName val="OHSR Puligilla"/>
      <sheetName val="OHBR Tummanapally"/>
      <sheetName val="500 MS DATA (2)"/>
      <sheetName val="600 MS DATA"/>
      <sheetName val="JOINTING FLANGED ENDS"/>
      <sheetName val="Jointing SS ENDS"/>
      <sheetName val="Valve pits data"/>
      <sheetName val="500 MS DATA"/>
      <sheetName val="Data-FINAL"/>
      <sheetName val="EW HR"/>
      <sheetName val=" rates_dec_2013"/>
      <sheetName val="zero velocity"/>
      <sheetName val="_5wgdhabfinal00_01"/>
      <sheetName val="11.Habitations"/>
      <sheetName val="GM&amp;PM WE1 EST"/>
      <sheetName val="AV_GRP ms bwsc"/>
      <sheetName val="Bitumen trunk"/>
      <sheetName val="Feeder"/>
      <sheetName val="R99 etc"/>
      <sheetName val="Trunk unpaved"/>
      <sheetName val="20kl-final-est"/>
      <sheetName val="20kL-design-final"/>
      <sheetName val="schedule nos"/>
      <sheetName val="LABOUR RATE"/>
      <sheetName val="boredetails"/>
      <sheetName val="pumping mains (4)"/>
      <sheetName val="Raw Water PM"/>
      <sheetName val="B-SUNKINI (2)"/>
      <sheetName val="DetAbsAbs (2)"/>
      <sheetName val="ext"/>
      <sheetName val="AS Memo"/>
      <sheetName val="Abstract Estimate"/>
      <sheetName val="Verticals 10-40KL"/>
      <sheetName val="Verticals 60KL"/>
      <sheetName val="Verticals 90-120KL "/>
      <sheetName val="Verticals 150-200KL"/>
      <sheetName val=" ohsr data"/>
      <sheetName val="Revised rates(SSR 2016-17)"/>
      <sheetName val="Tap data "/>
      <sheetName val="Tap data-old"/>
      <sheetName val="sluice-PVC (2)"/>
      <sheetName val="Pipe line  "/>
      <sheetName val="Length"/>
      <sheetName val="pipe infor"/>
      <sheetName val="  ¢_x0002_&amp;"/>
      <sheetName val="Kondapak, Komatibanda CW"/>
      <sheetName val="Burgupallu Thimmapur, Dubbak CW"/>
      <sheetName val="300 GLBR"/>
      <sheetName val="Suppl-data"/>
      <sheetName val="Attributes"/>
      <sheetName val="DI Man"/>
      <sheetName val="BALKONDA"/>
      <sheetName val="ARMOOR"/>
      <sheetName val="KAMAREDDY"/>
      <sheetName val="COMPARATIVE ABSTRACT"/>
      <sheetName val="HDPE Man"/>
      <sheetName val="DI Man (2)"/>
      <sheetName val="RCC NP3"/>
      <sheetName val="Data side walls"/>
      <sheetName val="C.I.Specials"/>
      <sheetName val="dam and allied works"/>
      <sheetName val="tunnel and allied works"/>
      <sheetName val="canal and allied works"/>
      <sheetName val="canal cross drainage works"/>
      <sheetName val="gate hoist and allied works"/>
      <sheetName val="preliminary and maintanance"/>
      <sheetName val="abs_leadcharges"/>
      <sheetName val="leadcharges"/>
      <sheetName val="abstact_of_items"/>
      <sheetName val="sluice-DI (2)"/>
      <sheetName val="DI (2)"/>
      <sheetName val="Zero velocity valves DI "/>
      <sheetName val="Zero velocity valves MS"/>
      <sheetName val="Swing check -BWSCP-MS "/>
      <sheetName val="Surge Alleviation valves"/>
      <sheetName val="vc400"/>
      <sheetName val="vc1200"/>
      <sheetName val="airvalve-AC PN 1.60"/>
      <sheetName val="Soft-sluice-AC,GRP PN 1.6"/>
      <sheetName val="soft-sluice-BWSC-MS"/>
      <sheetName val="DI-kintc air valve-DI"/>
      <sheetName val="DI sluice valve"/>
      <sheetName val="SEGMENTS-nodes"/>
      <sheetName val="ohbr-hyd-initial"/>
      <sheetName val="ww-march-02"/>
      <sheetName val="Hydraulic -Upto BPT"/>
      <sheetName val="Bandampalli OHBR  revised"/>
      <sheetName val="Bandampalli OHBR"/>
      <sheetName val=" Hyd design "/>
      <sheetName val="Trunk Mains"/>
      <sheetName val="Clear water PM  to Rural  (2)"/>
      <sheetName val="Clear water PM  to Rural "/>
      <sheetName val="Clear water PM  to corporation"/>
      <sheetName val="Raw water pumping main"/>
      <sheetName val="for Khammam corporation"/>
      <sheetName val="Habs"/>
      <sheetName val="Model-152"/>
      <sheetName val="Model-531"/>
      <sheetName val="Model-333"/>
      <sheetName val="Model-2"/>
      <sheetName val="line est"/>
      <sheetName val="kusohbrprint (2)"/>
      <sheetName val="kusohbrprint"/>
      <sheetName val="kusohbrprint (3)"/>
      <sheetName val="MDNBPTPRINT"/>
      <sheetName val="Hydraulic -DS to bpt 9.75m"/>
      <sheetName val="Hydraulic -Over all"/>
      <sheetName val="PALDAMGDM"/>
      <sheetName val="PALDMREV"/>
      <sheetName val="DAMPRNT"/>
      <sheetName val="Hy Cal -17.7"/>
      <sheetName val="Hy Cal - OK"/>
      <sheetName val="Kus-MAST"/>
      <sheetName val="Rock comp"/>
      <sheetName val="ROCK"/>
      <sheetName val="compera"/>
      <sheetName val="sv600  for OHBR"/>
      <sheetName val="scv 300  on 400 DI "/>
      <sheetName val="scv 300  on 600 DI"/>
      <sheetName val="sv600 "/>
      <sheetName val="scv500  on 700 DI"/>
      <sheetName val="Sv700"/>
      <sheetName val="scv500 on 1200MS"/>
      <sheetName val="Pump House 8x36"/>
      <sheetName val="Cross sections OK "/>
      <sheetName val="Qty Calculations"/>
      <sheetName val="head loss calc"/>
      <sheetName val="Purchase Status- "/>
      <sheetName val="Purchase Status-Misc"/>
      <sheetName val="other activities"/>
      <sheetName val="Civil-works"/>
      <sheetName val="MHexcavation"/>
      <sheetName val="To ma.l requirement for mh"/>
      <sheetName val="material requirement for mh"/>
      <sheetName val="Estimation MH"/>
      <sheetName val="Households"/>
      <sheetName val="DI Verticals &amp; Valves"/>
      <sheetName val="CI Verticals &amp; Valves"/>
      <sheetName val="HDPE Utilised Quantity"/>
      <sheetName val="PVC Utilised Quantity"/>
      <sheetName val="Gravity Mains"/>
      <sheetName val="GM Part Kondapak"/>
      <sheetName val="Dubbak 27.06.2015"/>
      <sheetName val="Gajwel Constituency"/>
      <sheetName val="armoor sd final"/>
      <sheetName val="DfGgHhdEeaBb"/>
      <sheetName val="UZzv1wXxY6Z"/>
      <sheetName val="R C C"/>
      <sheetName val="cc cutting"/>
      <sheetName val="gravel"/>
      <sheetName val="HILL area"/>
      <sheetName val="WS-Pop"/>
      <sheetName val="Proforma VI"/>
      <sheetName val="Proforma-I"/>
      <sheetName val="Proforma _II"/>
      <sheetName val="Seg-KL"/>
      <sheetName val="Const-KL"/>
      <sheetName val="Distri"/>
      <sheetName val="Distri Comp"/>
      <sheetName val="ofc "/>
      <sheetName val="Ofc Comp"/>
      <sheetName val="HHC COMP"/>
      <sheetName val="Ohsr Comp"/>
      <sheetName val="HDPE DATA General"/>
      <sheetName val="pipe_data"/>
      <sheetName val="OHSR (2)"/>
      <sheetName val="OHSR 16-17"/>
      <sheetName val="PH Data EW"/>
      <sheetName val="OHBR 70-12"/>
      <sheetName val="OHBR 15-12"/>
      <sheetName val="OHBR 90-12"/>
      <sheetName val="OHBR 10-12"/>
      <sheetName val="OHBR 120-12"/>
      <sheetName val="OHBR 100-12"/>
      <sheetName val="OHBR 60-12"/>
      <sheetName val="OHBR 50-12 "/>
      <sheetName val="OHBR 40-12 "/>
      <sheetName val="OHBR 30-12"/>
      <sheetName val="40.30 "/>
      <sheetName val="60.30"/>
      <sheetName val="Kondapak  220-20"/>
      <sheetName val="Kvelly Kaman 90-30"/>
      <sheetName val="We 550KL OHBR"/>
      <sheetName val="KBanda Hillock 550-25"/>
      <sheetName val="150-12 Koma"/>
      <sheetName val="Thimmapur 90-30 (2)"/>
      <sheetName val="OHBR 150-16"/>
      <sheetName val="100KL Compl"/>
      <sheetName val="Kodakandla_Vert"/>
      <sheetName val="40 KL @ kodakandla(new)"/>
      <sheetName val="SS Railing"/>
      <sheetName val="1500KL Thuki-GST"/>
      <sheetName val="120-30"/>
      <sheetName val="Staircase 30 mts"/>
      <sheetName val="Staircase 21 mts "/>
      <sheetName val="Staircase 25 mts"/>
      <sheetName val="HS Final - Workdone Entry File"/>
      <sheetName val="Don't Touch"/>
      <sheetName val="ms 1600 10 mm supply"/>
      <sheetName val="ms 1600 10mm guniting"/>
      <sheetName val="tsbabu"/>
      <sheetName val="Liter Rate"/>
      <sheetName val="PH Rates"/>
      <sheetName val="Staircase-12"/>
      <sheetName val="10KL-12m"/>
      <sheetName val="40_30m"/>
      <sheetName val="10KL-Steel"/>
      <sheetName val="15KL-12m"/>
      <sheetName val="15KL-Steel"/>
      <sheetName val="20KL-12m"/>
      <sheetName val="20KL-Steel"/>
      <sheetName val="90-25m"/>
      <sheetName val="90-30m"/>
      <sheetName val="20KL-12m Balramthanda"/>
      <sheetName val="30KL-12M"/>
      <sheetName val="30KL-Steel"/>
      <sheetName val="40KL-12M"/>
      <sheetName val="40KL-Steel"/>
      <sheetName val="40KL-12M Pembarthy"/>
      <sheetName val="60KL-12M"/>
      <sheetName val="60KL-Steel"/>
      <sheetName val="90-12m"/>
      <sheetName val="90KL-Steel "/>
      <sheetName val="30KL-12M Rajeswarpally"/>
      <sheetName val="90-12m Nagaram"/>
      <sheetName val="90-12m Madipally"/>
      <sheetName val="100-12m "/>
      <sheetName val="100KL-Steel "/>
      <sheetName val="100-12m Seethampet"/>
      <sheetName val="120-12m"/>
      <sheetName val="120KL-Steel "/>
      <sheetName val="150-12m"/>
      <sheetName val="150KL-Steel "/>
      <sheetName val="200-12m"/>
      <sheetName val="200KL-Steel "/>
      <sheetName val="90KL-12M"/>
      <sheetName val="De-Est"/>
      <sheetName val="lead bldg"/>
      <sheetName val="wor esti"/>
      <sheetName val="wor - toil"/>
      <sheetName val="Cover_Sheet (2)"/>
      <sheetName val="25.04.2020 to 31.05.2020 "/>
      <sheetName val="01.06.2020 to 10.06.2020"/>
      <sheetName val="11.06.2020 to 11.07.2020"/>
      <sheetName val="12.07.2020 to"/>
      <sheetName val="cash inflow details"/>
      <sheetName val="Spc"/>
      <sheetName val="Estimate only CC"/>
      <sheetName val="road cuttings"/>
      <sheetName val="WH coef"/>
      <sheetName val="ID (2)"/>
      <sheetName val="Kodakondla ORIGINAL Sanctioned"/>
      <sheetName val="4 Mandals"/>
      <sheetName val="8 mandals"/>
      <sheetName val="22-6-2015"/>
      <sheetName val="Pipe-Abs"/>
      <sheetName val="Pipe-Det"/>
      <sheetName val="800 sump"/>
      <sheetName val="SSR - 3"/>
      <sheetName val="RAM1"/>
      <sheetName val="SSR - 4"/>
      <sheetName val="SSR - 1"/>
      <sheetName val="SSR - 2 "/>
      <sheetName val="Data (Master &amp; E.T)"/>
      <sheetName val="Lead (Master)"/>
      <sheetName val="Lead (E.T)"/>
      <sheetName val="Stair case"/>
      <sheetName val="OHBR Datas (MASTER &amp; E.T)"/>
      <sheetName val="DATA FOR ADDL ITEMS"/>
      <sheetName val="ramnagar"/>
      <sheetName val="Nizam-cheruvu"/>
      <sheetName val="30000KL Sump "/>
      <sheetName val="20kl-sump-final-est"/>
      <sheetName val="11000KL Sump"/>
      <sheetName val="1300kl-final-est"/>
      <sheetName val="4500 KL Sump"/>
      <sheetName val="3100kl-final-est"/>
      <sheetName val="3500kl-final-est"/>
      <sheetName val="1200kl-final-est"/>
      <sheetName val="1000kl-final-est"/>
      <sheetName val="800kl-final-girnibhavi-est"/>
      <sheetName val="300kl-rampuru-est"/>
      <sheetName val="300kl-sump-marrigm-est"/>
      <sheetName val="50kl-sump final-est"/>
      <sheetName val="Sumps Abstract"/>
      <sheetName val="200kl-sump final-est"/>
      <sheetName val="20 KL OHBR"/>
      <sheetName val="Lead-Roads"/>
      <sheetName val="RCC-9-10"/>
      <sheetName val="Bends"/>
      <sheetName val="DI Spe."/>
      <sheetName val="HDPE-1"/>
      <sheetName val="RCC-thr"/>
      <sheetName val="data-chamber"/>
      <sheetName val="chamb-up to 200"/>
      <sheetName val="chamber-200 to 400"/>
      <sheetName val="chamber-2"/>
      <sheetName val="chamber-3"/>
      <sheetName val="CI-Spe"/>
      <sheetName val="chamber"/>
      <sheetName val="Data-2009-10"/>
      <sheetName val="PVC-UGD"/>
      <sheetName val="HSC-S"/>
      <sheetName val="c.wall,EWE"/>
      <sheetName val="MH-1.5"/>
      <sheetName val="MH-2.3"/>
      <sheetName val="MH-8.00Mts"/>
      <sheetName val="Window-2"/>
      <sheetName val="Bld"/>
      <sheetName val="Bld-after scrutiny"/>
      <sheetName val="UGD"/>
      <sheetName val="Bld-2"/>
      <sheetName val="census91"/>
      <sheetName val="RAM NAGAR"/>
      <sheetName val="ABSTRACT CONCRETE"/>
      <sheetName val="Side wall data"/>
      <sheetName val="OHBR DATA"/>
      <sheetName val="Steel Qty"/>
      <sheetName val="PROFORMAS"/>
      <sheetName val="CHECK-SLIP"/>
      <sheetName val="DESIGN NORMS"/>
      <sheetName val="DESIGN CALUCULATIONS"/>
      <sheetName val="ABSTRACT-DESIGN CALUCULATIONS"/>
      <sheetName val="GRAVITY MAIN"/>
      <sheetName val="PUMP SETS DESIGN"/>
      <sheetName val="GENERAL-ABSTRACT"/>
      <sheetName val="COMPONENTS"/>
      <sheetName val="SSR(Buildings)"/>
      <sheetName val="SSR(PH)"/>
      <sheetName val="SSR(I&amp;CAD)"/>
      <sheetName val="Labour charges"/>
      <sheetName val="Labour charges(detl)"/>
      <sheetName val="OHSR(Detail)"/>
      <sheetName val="DUMMY_EST"/>
      <sheetName val="DATA-LIST"/>
      <sheetName val="DATA OHSR"/>
      <sheetName val="DATA AC PIPES"/>
      <sheetName val="DATA PVC PIPES"/>
      <sheetName val="BORE WELL"/>
      <sheetName val="SS TANK(HOMO)"/>
      <sheetName val="SS FILTERS"/>
      <sheetName val="SS TANK(HET)"/>
      <sheetName val="SS FILTERS(SQM)"/>
      <sheetName val="TRANSMISSION MAINS"/>
      <sheetName val="WEIR CHAMBER"/>
      <sheetName val="PUMP HOUSE(SQM)"/>
      <sheetName val="CW SUMP"/>
      <sheetName val="RWW_PH"/>
      <sheetName val="RAW WATER WELL"/>
      <sheetName val="VALVE PIT"/>
      <sheetName val="FLOW-DIAGRAM"/>
      <sheetName val="TRANS.MAINS.LEVELS"/>
      <sheetName val="SSF(INT.CONS)"/>
      <sheetName val="DATA_ABSTRACT"/>
      <sheetName val="DESIGN_NORMS"/>
      <sheetName val="DESIGN_CALUCULATIONS"/>
      <sheetName val="ABSTRACT-DESIGN_CALUCULATIONS"/>
      <sheetName val="GRAVITY_MAIN"/>
      <sheetName val="PUMPING_MAIN"/>
      <sheetName val="PUMP_SETS_DESIGN"/>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DESIGN_NORMS2"/>
      <sheetName val="DESIGN_CALUCULATIONS2"/>
      <sheetName val="ABSTRACT-DESIGN_CALUCULATIONS2"/>
      <sheetName val="GRAVITY_MAIN2"/>
      <sheetName val="PUMPING_MAIN2"/>
      <sheetName val="PUMP_SETS_DESIGN2"/>
      <sheetName val="Labour_charges2"/>
      <sheetName val="Labour_charges(detl)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UMP_DATA"/>
      <sheetName val="Plant_&amp;__Machi.ery"/>
      <sheetName val="Class IV Qtr. Ele"/>
      <sheetName val="VALVE_PITU"/>
      <sheetName val="Delivery mains"/>
      <sheetName val="GF SB Ok "/>
      <sheetName val="sup dat"/>
      <sheetName val="Hyd_Stmt"/>
      <sheetName val="sg-clay(d)"/>
      <sheetName val=" data sheet "/>
      <sheetName val="SSR(I㫨CAD)"/>
      <sheetName val="Plant 㫨  Machinery"/>
      <sheetName val="Plant_㫨__Machinery"/>
      <sheetName val="Plant_㫨__Machi.ery"/>
      <sheetName val="scour depth"/>
      <sheetName val="SSR 2015-16"/>
      <sheetName val="Convey -16-17"/>
      <sheetName val="Z1_DATA"/>
      <sheetName val="SR"/>
      <sheetName val="150KL"/>
      <sheetName val="550 KL"/>
      <sheetName val="GLBR Rec "/>
      <sheetName val="550Kl OHBR"/>
      <sheetName val="Glbr Rec f"/>
      <sheetName val="GLBR Comp"/>
      <sheetName val="Pump house levels"/>
      <sheetName val="Sub Station Ele"/>
      <sheetName val="Sub Station civil"/>
      <sheetName val="Soil filling "/>
      <sheetName val="Glbr Rec f (2)"/>
      <sheetName val="Steel "/>
      <sheetName val="STEEL AS PER MB"/>
      <sheetName val="Tax Sheet"/>
      <sheetName val="POL Estimate"/>
      <sheetName val="SS ladder"/>
      <sheetName val="MS Man Hole Cover"/>
      <sheetName val="Door Datas 09-10"/>
      <sheetName val="Electrical Data"/>
      <sheetName val="Design Epanet"/>
      <sheetName val="OHSR-Part B"/>
      <sheetName val="OHSR Part A-CI"/>
      <sheetName val="OHSR Part A"/>
      <sheetName val="PipeLine Part A"/>
      <sheetName val="PipeLine Part B"/>
      <sheetName val="PipeLine Part B (2)"/>
      <sheetName val="OFC Part A&amp;B"/>
      <sheetName val="OSB Duct"/>
      <sheetName val="sluice HDPE"/>
      <sheetName val="ew-OG"/>
      <sheetName val="OHSR Data"/>
      <sheetName val="CC filling"/>
      <sheetName val="HS final-2 (2)"/>
      <sheetName val="HS final-2"/>
      <sheetName val="above 70-ok"/>
      <sheetName val="Below 70"/>
      <sheetName val="above 70-ok (Check)"/>
      <sheetName val="Consolidation"/>
      <sheetName val="CI Estimate"/>
      <sheetName val="CI Spl-Data"/>
      <sheetName val="Abstract (Addl)"/>
      <sheetName val="Compartive (Abs)"/>
      <sheetName val="OHSR_ABS1"/>
      <sheetName val="di vert"/>
      <sheetName val="Compartive (OHSR)"/>
      <sheetName val="Compartive (OFC)"/>
      <sheetName val="Compartive (HH)"/>
      <sheetName val="Pipe line  (addl)"/>
      <sheetName val="Compartive (PL)"/>
      <sheetName val="Compartive PL (addl)"/>
      <sheetName val="Length (addl)"/>
      <sheetName val="CI_Special"/>
      <sheetName val="DI_Verticals_1"/>
      <sheetName val="10 kl"/>
      <sheetName val="CI (4)"/>
      <sheetName val="CI 80"/>
      <sheetName val="DIData"/>
      <sheetName val="N Data"/>
      <sheetName val="Est (5)"/>
      <sheetName val="Est (4)"/>
      <sheetName val="Est (3)"/>
      <sheetName val="CCB"/>
      <sheetName val="Q"/>
      <sheetName val="Deviation"/>
      <sheetName val="O Data"/>
      <sheetName val="Check Slip"/>
      <sheetName val="Exp"/>
      <sheetName val="Cemet"/>
      <sheetName val="Data (Bui)"/>
      <sheetName val="Old"/>
      <sheetName val="CIVIL_WORK_PLAN-13-14"/>
      <sheetName val="WORK_SUMMERY_"/>
      <sheetName val="MEP_DETAIL"/>
      <sheetName val="Approved MTD Proj #'s"/>
      <sheetName val="Resource Usage"/>
      <sheetName val="cash budget"/>
      <sheetName val="CIVIL_WORK_PLAN-13-141"/>
      <sheetName val="WORK_SUMMERY_1"/>
      <sheetName val="MEP_DETAIL1"/>
      <sheetName val="HPL"/>
      <sheetName val="Internal Plaster Gr Data"/>
      <sheetName val="Fire Dr Fr &amp; Shtt Gr Data"/>
      <sheetName val="1.GA-2V.2x2.5m-Gandhi Nagar"/>
      <sheetName val="1.Est.2v-2x2.5m-Gandhi Nagar"/>
      <sheetName val="1.GA-2V.2x2.5m"/>
      <sheetName val="1.Est.2v-2x2.5m"/>
      <sheetName val="2.GA-2V.2x2.5m-Srinagar Colony"/>
      <sheetName val="2.Est.2v-2x2.5m-Srinagar Colony"/>
      <sheetName val="3.GA-2V.2.25x2.5m-Shivasai colo"/>
      <sheetName val="3.Est.2v-2.25x2.5m-Shivasai col"/>
      <sheetName val="Mat. rates"/>
      <sheetName val="Cm"/>
      <sheetName val="Data- SWD"/>
      <sheetName val="GA-2V.3.5x3m"/>
      <sheetName val="Est 2v-3.5x3m"/>
      <sheetName val="CC Road - Data"/>
      <sheetName val="GA-Total"/>
      <sheetName val="1.GA-2V.3x2.5m"/>
      <sheetName val="1.Est.2v-3x2.5m"/>
      <sheetName val="2.GA-2V.3.25x2.5m "/>
      <sheetName val="2.Est.2v-3.25x2.5m"/>
      <sheetName val="3.GA-2V.3.5x3m"/>
      <sheetName val="3.Est 2v-3.5x3m "/>
      <sheetName val="4.GA-2V-2.5x2.5m."/>
      <sheetName val="4.Est 2v-3.5x3m."/>
      <sheetName val="5.GA-2V-3.25x2.5m."/>
      <sheetName val="5.Est 2v-3.25x2.5m."/>
      <sheetName val="labour &amp; Hire-20-21"/>
      <sheetName val="Lead-20-21"/>
      <sheetName val="Convey -20-21"/>
      <sheetName val="Cent''g-20-21"/>
      <sheetName val="SSR-Irri, R&amp;B, PH-20-21"/>
      <sheetName val="Bld.SoR-20-21"/>
      <sheetName val=" DATE WISE PROGRAMME"/>
      <sheetName val="VALUE UPTO MARCH"/>
      <sheetName val=" DATE WISE PROGRAMME (SITE)"/>
      <sheetName val="VALUE UPTO MARCH (site)"/>
      <sheetName val="VALUE UPTO MARCH3"/>
      <sheetName val="VALUE UPTO MARCH (site) (2)"/>
      <sheetName val="2F8"/>
      <sheetName val="2F4A"/>
      <sheetName val="List of roads"/>
      <sheetName val="Name"/>
      <sheetName val="I.P"/>
      <sheetName val="InputData"/>
      <sheetName val="Traffic-C"/>
      <sheetName val="Traffic - Design"/>
      <sheetName val="road abstract "/>
      <sheetName val="F 6"/>
      <sheetName val="Road Lead"/>
      <sheetName val="F8 - Road"/>
      <sheetName val="2F6-1"/>
      <sheetName val="lead Plains"/>
      <sheetName val="lead Hills"/>
      <sheetName val="Hire labor"/>
      <sheetName val="CD Lead"/>
      <sheetName val="F8 - CD "/>
      <sheetName val="Abs 1.5"/>
      <sheetName val="slab 0-1"/>
      <sheetName val="Drg 1.5"/>
      <sheetName val="CD 1.5"/>
      <sheetName val="Abs 2.0"/>
      <sheetName val="CD 2.0"/>
      <sheetName val="Drg2.0"/>
      <sheetName val="CD 2 (2)"/>
      <sheetName val="Abs Causeway"/>
      <sheetName val="CD Causeway"/>
      <sheetName val="Drg 3.0"/>
      <sheetName val="Abs 5.0"/>
      <sheetName val="CD 5.0"/>
      <sheetName val="Drg 5.0"/>
      <sheetName val="causeway"/>
      <sheetName val="Hway material"/>
      <sheetName val="Hire n Labour"/>
      <sheetName val="Abs Pipeculvert"/>
      <sheetName val="Pipe Culvert"/>
      <sheetName val="Abs Prot work"/>
      <sheetName val="Prot works"/>
      <sheetName val="SoR9-10"/>
      <sheetName val="99(53)"/>
      <sheetName val="f six"/>
      <sheetName val="Pro C"/>
      <sheetName val="F 7(Pipecul)"/>
      <sheetName val="2F1"/>
      <sheetName val="2F2A"/>
      <sheetName val="2F2B"/>
      <sheetName val="2F4"/>
      <sheetName val="F 7(1.5)"/>
      <sheetName val="F 7(2.0)"/>
      <sheetName val="F 7(3.0)"/>
      <sheetName val="F 7(5.0)"/>
      <sheetName val="F 8 road"/>
      <sheetName val="F8 CD"/>
      <sheetName val="PIPE 0-1"/>
      <sheetName val="PIPE SINGLE ROW ABSTRACT"/>
      <sheetName val="Main Data"/>
      <sheetName val="CD detail"/>
      <sheetName val="Pavement (2)"/>
      <sheetName val="Vertical grade"/>
      <sheetName val="V.Curve"/>
      <sheetName val="Rwall design"/>
      <sheetName val="F - 1"/>
      <sheetName val="F - 2A"/>
      <sheetName val="F - 2B"/>
      <sheetName val="F - 4"/>
      <sheetName val="HPCL_Vizag"/>
      <sheetName val="HPCL_Mumbai"/>
      <sheetName val="BharatPaterolium_RaipurDepot"/>
      <sheetName val="BharatPaterolium_Mumbai"/>
      <sheetName val="Bill1 Measurement"/>
      <sheetName val="1-2 Miscil"/>
      <sheetName val="2a Main Road"/>
      <sheetName val="VOLUME"/>
      <sheetName val="2aa excavation"/>
      <sheetName val="GSB"/>
      <sheetName val="BM (O)"/>
      <sheetName val="BC (O)"/>
      <sheetName val="BBM (O)"/>
      <sheetName val="SCARIFYING"/>
      <sheetName val="2C structure length"/>
      <sheetName val="3a Pipe CULVERT"/>
      <sheetName val="3c box culvert"/>
      <sheetName val="8 Misc"/>
      <sheetName val="9-10 Junctions &amp; Retain"/>
      <sheetName val="Light"/>
      <sheetName val="Drainage"/>
      <sheetName val="17to21 Road Furniture"/>
      <sheetName val="Utility shifting"/>
      <sheetName val="maint-cost."/>
      <sheetName val="main-ann"/>
      <sheetName val="main-spl"/>
      <sheetName val="F-4"/>
      <sheetName val="F-4 (A)"/>
      <sheetName val="F-6"/>
      <sheetName val="F-7"/>
      <sheetName val="F-8"/>
      <sheetName val="F-9"/>
      <sheetName val="Lead stat"/>
      <sheetName val="SoR7-8"/>
      <sheetName val="Specifications"/>
      <sheetName val="ODR-24-PBK"/>
      <sheetName val="ODR-23-DPV"/>
      <sheetName val="ODR-22-KAS"/>
      <sheetName val="ODR-21-ACG"/>
      <sheetName val="ODR-20-PCFR"/>
      <sheetName val="ODR-19-KSD"/>
      <sheetName val="ODR-18-PV"/>
      <sheetName val="ODR-17-SA"/>
      <sheetName val="ODR-16-KSS"/>
      <sheetName val="ODR-15-CV"/>
      <sheetName val="ODR-14-KAK"/>
      <sheetName val="ODR-13-VA"/>
      <sheetName val="ODR-12-KKV"/>
      <sheetName val="ODR-11-SKA"/>
      <sheetName val="ODR-10-MA"/>
      <sheetName val="ODR-9-KR"/>
      <sheetName val="ODR-8-SK"/>
      <sheetName val="ODR-7-PPE"/>
      <sheetName val="ODR-6-TP"/>
      <sheetName val="ODR-5-RGG"/>
      <sheetName val="ODR-4-VKARADI"/>
      <sheetName val="ODR-3-KV"/>
      <sheetName val="ODR-2-PDK"/>
      <sheetName val="ODR-1-VK"/>
      <sheetName val="MDR-4-PPP"/>
      <sheetName val="MDR-3-KSG"/>
      <sheetName val="MDR-2-PP"/>
      <sheetName val="List of Road"/>
      <sheetName val="MDR-1-KK"/>
      <sheetName val="SH-6-PAP"/>
      <sheetName val="SH-5-PCF"/>
      <sheetName val="SH-4-UP"/>
      <sheetName val="SH-3-PD"/>
      <sheetName val="SH-2-KA"/>
      <sheetName val="SH-1-ATPC"/>
      <sheetName val="New RMR 2014-15"/>
      <sheetName val="ST-O"/>
      <sheetName val="ST-I"/>
      <sheetName val="CG -St"/>
      <sheetName val="INN-CB"/>
      <sheetName val="slab-st"/>
      <sheetName val="mesh"/>
      <sheetName val="BOQ-Highways"/>
      <sheetName val="BOQ-Structures"/>
      <sheetName val="BOQ-Balance"/>
      <sheetName val="Quotation"/>
      <sheetName val="CPWD"/>
      <sheetName val="Partly-Quotation"/>
      <sheetName val="formula"/>
      <sheetName val="Electrical (2)"/>
      <sheetName val="Sqn_Abs"/>
      <sheetName val="Sqn-Abs"/>
      <sheetName val="Data-I"/>
      <sheetName val="Data-II"/>
      <sheetName val="mem_property"/>
      <sheetName val="basic_data"/>
      <sheetName val="2.civil-RA"/>
      <sheetName val="2_civil_RA"/>
      <sheetName val="1.Civil-RA"/>
      <sheetName val="INPUT_copy"/>
      <sheetName val="Forms"/>
      <sheetName val="Base_data_Print"/>
      <sheetName val="ABSTRACT_L&amp;H"/>
      <sheetName val="RMR1"/>
      <sheetName val="CC RMR."/>
      <sheetName val="RMR_cmp"/>
      <sheetName val="BIT"/>
      <sheetName val="Mixinplace"/>
      <sheetName val="hrs_BT_metal"/>
      <sheetName val="BC50"/>
      <sheetName val="16.09.2012"/>
      <sheetName val="Plantmix"/>
      <sheetName val="EW Labour Rate"/>
      <sheetName val="Quarry Map PCF 1-4 - 10-0"/>
      <sheetName val="Lead 4-0 - 5-5"/>
      <sheetName val="Average Rate Analysis 4-0 - 6-0"/>
      <sheetName val="Detail 4-0 - 6-0"/>
      <sheetName val="Main Abstract 4-0 - 6-0"/>
      <sheetName val="CRIDP 14-15"/>
      <sheetName val="Detail 4-10"/>
      <sheetName val="1 Line 4-10-0"/>
      <sheetName val="Lead 5-5 - 7-0"/>
      <sheetName val="Average Rate Analysis 6-8"/>
      <sheetName val="Detail 6-8"/>
      <sheetName val="Main Abstract 6-8"/>
      <sheetName val="1 Line 5-5 - 7-0"/>
      <sheetName val="Led 7-0 - 8-5"/>
      <sheetName val="Average Rate Analysis 8-8-10-0+"/>
      <sheetName val="Detail 8-8-10-0"/>
      <sheetName val="Main Abstract8-8-10-0"/>
      <sheetName val="1 Line 7-0 - 8-5"/>
      <sheetName val="Lead 8-5 - 10-0"/>
      <sheetName val="Average Rate Analysis 8-5 - 10-"/>
      <sheetName val="Detail 8-5-10-0"/>
      <sheetName val="Main Abstract 8-5 - 10-0"/>
      <sheetName val="1 Line 8-5 - 10-0"/>
      <sheetName val="Quarry Map 10-15-6"/>
      <sheetName val="Lead 10-15-6"/>
      <sheetName val="Average Rate Analysis 10-15-6"/>
      <sheetName val="Detail 10-15-6"/>
      <sheetName val="Main Abstract 10-15-6"/>
      <sheetName val="Detail 10-0 - 10-2"/>
      <sheetName val="1 Line 10-15-6"/>
      <sheetName val="Quarry Map 10-8-12-4"/>
      <sheetName val="Lead 10-8-12-4"/>
      <sheetName val="Average Rate Analysis 10-8-12-4"/>
      <sheetName val="Detail 10-8-12-4"/>
      <sheetName val="Main Abstract 10-8-12-4"/>
      <sheetName val="One Line Estimate 10-8-12-4"/>
      <sheetName val="Quarry Map 0-0 -0-6"/>
      <sheetName val="Lead 0-0 - 0-6"/>
      <sheetName val="Average Rate Analysis 0-0- -0-6"/>
      <sheetName val="Detail 0-0-0-6"/>
      <sheetName val="Main Abstract 0-0-0-6"/>
      <sheetName val="One Line Estimate 0-06"/>
      <sheetName val="Lead 1-4-2-7"/>
      <sheetName val="Average Rate Analysis 1-4-2-7"/>
      <sheetName val="Detail 1-4-2-7"/>
      <sheetName val="Main Abstract 1-4-2-7"/>
      <sheetName val="One Line Estimate1-4-2-7"/>
      <sheetName val="Lead 2-7-4-0"/>
      <sheetName val="Average Rate Analysis 2-7-4-0"/>
      <sheetName val="Detail 2-7-4-0"/>
      <sheetName val="Main Abstract 2-7-4-0"/>
      <sheetName val="One Line Estimate 2-7-4-0"/>
      <sheetName val="Quarry Map 29-6-32-0"/>
      <sheetName val="Lead 29-6-32-0"/>
      <sheetName val="Average Rate Analysis 29-6-32-0"/>
      <sheetName val="Detail 29-6-32-0"/>
      <sheetName val="Main Abstract 29-6-32-0"/>
      <sheetName val="Detail 29-6 32-0"/>
      <sheetName val="1 Line 29-6-32-0"/>
      <sheetName val="Quarry Map 18-20"/>
      <sheetName val="Lead 18-19"/>
      <sheetName val="Average Rate Analysis 18-19"/>
      <sheetName val="Detail 18-19"/>
      <sheetName val="Main Abstract 18-19"/>
      <sheetName val="1 line 18-19"/>
      <sheetName val="Lead 19-20"/>
      <sheetName val="Average Rate Analysis 19-20"/>
      <sheetName val="Detail 19-20"/>
      <sheetName val="Main Abstract 19-20"/>
      <sheetName val="1 Line 19-20"/>
      <sheetName val="Quarry Map 7-10"/>
      <sheetName val="Lead 7-10"/>
      <sheetName val="Average Rate Analysis 7-10"/>
      <sheetName val="Detail 7-10"/>
      <sheetName val="Main Abstract 7-10"/>
      <sheetName val="Sqn_Abs_G_6_ "/>
      <sheetName val="WO_Abs _G_2_ 6 DUs"/>
      <sheetName val="Air_Abs_G_6_ 23 DUs"/>
      <sheetName val="Case-I"/>
      <sheetName val="5 Drainage And Protctn flexible"/>
      <sheetName val="1-4 Road -Flexible"/>
      <sheetName val="TCS R1 (flexible)"/>
      <sheetName val="TCS R1"/>
      <sheetName val="1-4 Road -Rigid"/>
      <sheetName val="Case-II"/>
      <sheetName val="6. Road Furniture &amp; Misc."/>
      <sheetName val="5 Drainage &amp; Protection (rigid)"/>
      <sheetName val="Cal - 15-16"/>
      <sheetName val="Lead statement - 2015-16"/>
      <sheetName val="Lead statement - Con Pav"/>
      <sheetName val="Bitumen-2015-16"/>
      <sheetName val="Det. Est."/>
      <sheetName val="Annexure-II"/>
      <sheetName val="summa"/>
      <sheetName val="Annexure-I"/>
      <sheetName val="Quotation (2)"/>
      <sheetName val="sqn_ldr_3 Unit_2_"/>
      <sheetName val="Site clearance"/>
      <sheetName val="Earthwork"/>
      <sheetName val="Subbase"/>
      <sheetName val="Bituminous"/>
      <sheetName val="Traffic sign"/>
      <sheetName val="Abut-9+741"/>
      <sheetName val="Cal (2)"/>
      <sheetName val="BILL NO- 1"/>
      <sheetName val="SCHEDULE NEW-1"/>
      <sheetName val="Road furnitures"/>
      <sheetName val="LENGTH (2)"/>
      <sheetName val="SCHEDULE-H"/>
      <sheetName val="Rigid"/>
      <sheetName val="LENGTH "/>
      <sheetName val="Bill No-1&amp;2 Recons "/>
      <sheetName val="BILL NO -2 &amp;3 New construct (2)"/>
      <sheetName val="BILL NO -2 &amp;3 Geometric Improve"/>
      <sheetName val="Bill No-1&amp;2 Recons With toe "/>
      <sheetName val="Bill No-1&amp;2 Builtup withdrain d"/>
      <sheetName val="Bill No-2lane builtup drain"/>
      <sheetName val="BILL NO -2 &amp;3 cURVE PORTION"/>
      <sheetName val="existingoverlay 37-81.473"/>
      <sheetName val="Extra Widening"/>
      <sheetName val="Bill No 5 Road furnitures "/>
      <sheetName val="5)1 m height drain"/>
      <sheetName val="5.a.Foot Path"/>
      <sheetName val="0-37 CROSS DRAINAGE"/>
      <sheetName val="37-81.473 CROSS DRAINAGE"/>
      <sheetName val="5.b.Drain-jn"/>
      <sheetName val="JUNCTION&amp;Bus shel  Abs"/>
      <sheetName val="T jun-0-37"/>
      <sheetName val="Y jun- 0-37"/>
      <sheetName val="T jun-37-81.445"/>
      <sheetName val="Inter section jun-37-81.445"/>
      <sheetName val="Y jun 37-81"/>
      <sheetName val="Major-y-37-81 (2)"/>
      <sheetName val="Major T JUNCTION-37-81 "/>
      <sheetName val="Major Inters JUNCTION-37-81.445"/>
      <sheetName val="7.a)Bus Shel Det0-37"/>
      <sheetName val="1m ht Toe wall 0-37"/>
      <sheetName val="37-81.47bus shelter"/>
      <sheetName val="2m ht PCC Toe wall 0-37"/>
      <sheetName val="1m ht Toe wall 37-81473"/>
      <sheetName val="Bill No - (9 )"/>
      <sheetName val="8.c.RCC Retaining-3m ht0-37"/>
      <sheetName val="Major Right Turn"/>
      <sheetName val="8.c.RCC Retaining Wall-4m ht"/>
      <sheetName val="8.a.PCC Toe wall (2)"/>
      <sheetName val="2m ht PCC Toe wall 37-81.473"/>
      <sheetName val="8.c.RCC Retaining Wall-37-81.47"/>
      <sheetName val="Temporary "/>
      <sheetName val="RAIN WATER harvesting Pit"/>
      <sheetName val="TOLL-0-37"/>
      <sheetName val="TOLL-37-81.473"/>
      <sheetName val="TRUCKLAY 0-37"/>
      <sheetName val="TRUCKLAY37-81.473"/>
      <sheetName val="2 LANE PAVED SHOULDER"/>
      <sheetName val="******"/>
      <sheetName val="dL"/>
      <sheetName val="LLana-1"/>
      <sheetName val="LLana2"/>
      <sheetName val="wing wall"/>
      <sheetName val="Abt Foundation "/>
      <sheetName val="peir1"/>
      <sheetName val="pier Foundation"/>
      <sheetName val="pierFound1"/>
      <sheetName val="Sheet1a"/>
      <sheetName val="Sheet 1b"/>
      <sheetName val="Sheet1c"/>
      <sheetName val="Sheet1ca"/>
      <sheetName val="BILL NO -2 &amp;3 New construction"/>
      <sheetName val="Bill No-1&amp;2 Reconstruction"/>
      <sheetName val="existingoverlay"/>
      <sheetName val="7.bus lay -mc way"/>
      <sheetName val="7.a)Bus Shel Det"/>
      <sheetName val="T jun"/>
      <sheetName val="Y jun (2)"/>
      <sheetName val="Inter section jun (2)"/>
      <sheetName val="Major T JUNCTION"/>
      <sheetName val="8.a.PCC Toe wall"/>
      <sheetName val="8.b.PCC Toe wall =type-2"/>
      <sheetName val="8.c.RCC Retaining Wall-3m ht"/>
      <sheetName val="LA"/>
      <sheetName val="Bill No-1&amp;2 Builtup withdra (2)"/>
      <sheetName val="Bill No-1&amp;2 4-lane divided carr"/>
      <sheetName val="T jun (2)"/>
      <sheetName val="Major T JUNCTION (2)"/>
      <sheetName val="8.c.PCC Retaining Wall-3m"/>
      <sheetName val="Abutment "/>
      <sheetName val="ABS (Flex)  "/>
      <sheetName val="ABS (Rigid) "/>
      <sheetName val="A.Length"/>
      <sheetName val="BILL NO(1) - f"/>
      <sheetName val=" Fig-2.2  New construction"/>
      <sheetName val=" Fig-2.2A Reconstruction"/>
      <sheetName val="Bill No-1&amp;2 -Flexible -Rd -"/>
      <sheetName val=" Fig-2.2B Recon BOTH TOE"/>
      <sheetName val=" Fig-2.2C Recon LHS TOE"/>
      <sheetName val=" Fig-2.2D Recon RHS TOE "/>
      <sheetName val="  Fig-2.5A BUILTUP PORTION"/>
      <sheetName val="  Fig-2.5B 4 LANE DCW WITH TOE"/>
      <sheetName val=" Fig-2.5C-Overlay"/>
      <sheetName val="Extra widening width"/>
      <sheetName val="extra widening at curve"/>
      <sheetName val="  Fig-2.4A BUILTUP PORTION (2)"/>
      <sheetName val=" Fig-2.4 B Reconst wit Toe"/>
      <sheetName val="4. Road furnitures "/>
      <sheetName val="Foot Path"/>
      <sheetName val="CROSS Road CULVERT "/>
      <sheetName val="7.c Major Jn- round about"/>
      <sheetName val="Major - T junctn"/>
      <sheetName val="Major - Y junctn"/>
      <sheetName val="Major Inters JUNCTION"/>
      <sheetName val="Minor - T junctn"/>
      <sheetName val="Staggered jun "/>
      <sheetName val="Minor - Y junctn"/>
      <sheetName val="Minor - + junctn"/>
      <sheetName val="ROW &amp;LA"/>
      <sheetName val="Minor T"/>
      <sheetName val="RE WALL "/>
      <sheetName val="Minor T (2)"/>
      <sheetName val="Temporary diversion"/>
      <sheetName val="Truck Laybye"/>
      <sheetName val="Sheet3 (2)"/>
      <sheetName val=" Fig-2.4 Reconstruction"/>
      <sheetName val=" Fig-2.2B-Overlay "/>
      <sheetName val="  Fig-2.4 A BUILTUP PORTION"/>
      <sheetName val="  Fig-2.5 B BUILTUP PORTION (2)"/>
      <sheetName val="ABS Junctions"/>
      <sheetName val="PCC Toe wall (1M)"/>
      <sheetName val="ERATH-ABS"/>
      <sheetName val="chat"/>
      <sheetName val="DWG"/>
      <sheetName val="SUB DATA"/>
      <sheetName val="CD Work"/>
      <sheetName val="PMGSY"/>
      <sheetName val="CD (NRRDA)"/>
      <sheetName val="SOR07-08"/>
      <sheetName val="HWay-Material"/>
      <sheetName val="detailed est"/>
      <sheetName val="Lead."/>
      <sheetName val="Cement &amp; Steel"/>
      <sheetName val="Steel centering"/>
      <sheetName val="Rates of work"/>
      <sheetName val="form"/>
      <sheetName val="form (2)"/>
      <sheetName val="C1(Ram)"/>
      <sheetName val="C2(Ram)"/>
      <sheetName val="C3(Ram)"/>
      <sheetName val="C1(Kalli)"/>
      <sheetName val="C2(Kalli)"/>
      <sheetName val="C3(Kalli)"/>
      <sheetName val="Proforma B"/>
      <sheetName val="F-6(Vilambar)"/>
      <sheetName val="F6 (manimuthudam)"/>
      <sheetName val="F-6(SU-V.Palayam)"/>
      <sheetName val="F-6(Alathur.Colony)"/>
      <sheetName val="F-6,7(Pichanatham Road)"/>
      <sheetName val="F-7(Vilambar)"/>
      <sheetName val="F7( Manimuthudam)"/>
      <sheetName val="F-7(SU-V.P)1"/>
      <sheetName val="F-7(SU-V.P)2"/>
      <sheetName val="F-7(SU-V.P)3"/>
      <sheetName val="F-7(Alathur.Colony)"/>
      <sheetName val="F-9 &amp; 9A"/>
      <sheetName val="2B Service Road"/>
      <sheetName val="DBM (O)"/>
      <sheetName val="PCC (O)"/>
      <sheetName val="DLC"/>
      <sheetName val="PQC"/>
      <sheetName val="3b Slab culvert"/>
      <sheetName val="8 Median Verge"/>
      <sheetName val="11-12 TruckBus bays"/>
      <sheetName val="13-14 S.L.+Utility"/>
      <sheetName val="15-16 Toll Plazza + Drainage"/>
      <sheetName val="measur-priliminary"/>
      <sheetName val="doq-I"/>
      <sheetName val="doq-1 bus bay"/>
      <sheetName val="doq-1 Aoq Culvert"/>
      <sheetName val="doq-1 DOQ Culvert"/>
      <sheetName val="doq 2"/>
      <sheetName val="doq-1 Dismantling"/>
      <sheetName val="doq 3"/>
      <sheetName val="doq 4"/>
      <sheetName val="doq-7"/>
      <sheetName val="doq-8"/>
      <sheetName val="doq-9"/>
      <sheetName val="doq-9 CUR &amp; EMBK"/>
      <sheetName val="doq-10"/>
      <sheetName val="doq-11"/>
      <sheetName val="Labour _ Plant"/>
      <sheetName val="Sqn-Abs(G+6) "/>
      <sheetName val="I-CO"/>
      <sheetName val="OHT_Abs"/>
      <sheetName val="Balustrade"/>
      <sheetName val="Gwa(fin)"/>
      <sheetName val="TRA(Gwa)(f)"/>
      <sheetName val="DU(Gwa)"/>
      <sheetName val="DG(gwa)(f)"/>
      <sheetName val="Volt"/>
      <sheetName val="lt"/>
      <sheetName val="Sqn"/>
      <sheetName val="Air"/>
      <sheetName val="Int(f)"/>
      <sheetName val="7 Other Costs"/>
      <sheetName val="MAchinery(R1)"/>
      <sheetName val="Materials "/>
      <sheetName val="1.site clearence "/>
      <sheetName val="2.earth work"/>
      <sheetName val="3.granular subbase-base"/>
      <sheetName val="4.Pavement"/>
      <sheetName val="5.culverts &amp;bridges"/>
      <sheetName val="6.drainage"/>
      <sheetName val="7.traffic markng"/>
      <sheetName val="8.maintenance"/>
      <sheetName val="cement_steel"/>
      <sheetName val="Labour rates"/>
      <sheetName val="Fly ash"/>
      <sheetName val="Borrow area"/>
      <sheetName val="Stone, Metal"/>
      <sheetName val="Hume Pipe"/>
      <sheetName val="Subase"/>
      <sheetName val="Cement concrete courses"/>
      <sheetName val="Junction"/>
      <sheetName val="D&amp;LLoad"/>
      <sheetName val="WSa1"/>
      <sheetName val="WSa2"/>
      <sheetName val="WSa3"/>
      <sheetName val="pier1"/>
      <sheetName val="WSp1"/>
      <sheetName val="WSp2"/>
      <sheetName val="WSp3"/>
      <sheetName val="PierFoundn"/>
      <sheetName val="CMRA"/>
      <sheetName val="ERA"/>
      <sheetName val="CMRA (2)"/>
      <sheetName val="ANX1"/>
      <sheetName val="ANX2"/>
      <sheetName val="ANX3"/>
      <sheetName val="DMS"/>
      <sheetName val="L1"/>
      <sheetName val="E.Electrical (2)"/>
      <sheetName val="Lift (2)"/>
      <sheetName val="Aluminum"/>
      <sheetName val="Struc glazing &amp; Alco"/>
      <sheetName val="Civil (RA) _Resi_"/>
      <sheetName val="RW-ch112-142"/>
      <sheetName val="CENTERING DATA"/>
      <sheetName val="DET-Cen-Area"/>
      <sheetName val="BED_BLK_STEEL"/>
      <sheetName val="Lead particulars and cost of ma"/>
      <sheetName val="data-bridge"/>
      <sheetName val="T&amp;P BOW"/>
      <sheetName val="CDam"/>
      <sheetName val="SRate"/>
      <sheetName val="Forming"/>
      <sheetName val="Bill-cost"/>
      <sheetName val="Bill-old2"/>
      <sheetName val="Bill-old2-cost"/>
      <sheetName val="Bill old"/>
      <sheetName val="Bill old cost"/>
      <sheetName val="TOSriver"/>
      <sheetName val="Superstruc"/>
      <sheetName val="Abutment"/>
      <sheetName val="bb-Pilecap"/>
      <sheetName val="bb-Piercap"/>
      <sheetName val="bb-Pier"/>
      <sheetName val="bb-Diap A "/>
      <sheetName val="bb-Diap  P"/>
      <sheetName val="bb-Deckslab"/>
      <sheetName val="bb-Parapet"/>
      <sheetName val="bb-Borepile AbutA"/>
      <sheetName val="bb-Borepile AbutB"/>
      <sheetName val="bb-Borepile Pier"/>
      <sheetName val="bb-Abut"/>
      <sheetName val="RW-seis112-142"/>
      <sheetName val="MM2"/>
      <sheetName val="Loding"/>
      <sheetName val="F 7"/>
      <sheetName val="CD detail (F)"/>
      <sheetName val="CD Abstract (2)"/>
      <sheetName val="Traffic Colc"/>
      <sheetName val="Traffic (2)"/>
      <sheetName val="Pavement "/>
      <sheetName val="FS"/>
      <sheetName val="C1"/>
      <sheetName val="C2"/>
      <sheetName val="C3"/>
      <sheetName val="IND"/>
      <sheetName val="FHS"/>
      <sheetName val="GD"/>
      <sheetName val="REC"/>
      <sheetName val="Fc2"/>
      <sheetName val="AB1"/>
      <sheetName val="MM1"/>
      <sheetName val="AB2"/>
      <sheetName val="EW1"/>
      <sheetName val="EW2"/>
      <sheetName val="RD01"/>
      <sheetName val="AB3"/>
      <sheetName val="MM3"/>
      <sheetName val="AB4"/>
      <sheetName val="MM4"/>
      <sheetName val="ABS5"/>
      <sheetName val="MM5"/>
      <sheetName val="Boards"/>
      <sheetName val="Jns."/>
      <sheetName val="CDworks"/>
      <sheetName val="BBD"/>
      <sheetName val="IRC37"/>
      <sheetName val="Samp"/>
      <sheetName val="RAL"/>
      <sheetName val="QC"/>
      <sheetName val="rd_01"/>
      <sheetName val="RD99"/>
      <sheetName val="Annexure-A"/>
      <sheetName val="Take of sheet"/>
      <sheetName val="strand"/>
      <sheetName val="Civil "/>
      <sheetName val="LEAD DETAILED1"/>
      <sheetName val="Sch. of rate"/>
      <sheetName val="Bit. rate @ site"/>
      <sheetName val="Emulsion rate"/>
      <sheetName val="Patch"/>
      <sheetName val="Patch main"/>
      <sheetName val="TC"/>
      <sheetName val="WBM MAIN"/>
      <sheetName val="WBM"/>
      <sheetName val="TC2.5kg"/>
      <sheetName val="PC main"/>
      <sheetName val="PC+SC"/>
      <sheetName val="Common rate"/>
      <sheetName val="culvert lead "/>
      <sheetName val="Cul.Det"/>
      <sheetName val="Cul.Data"/>
      <sheetName val="cer2"/>
      <sheetName val="cer"/>
      <sheetName val="GD1"/>
      <sheetName val="Rec2"/>
      <sheetName val="Rec1"/>
      <sheetName val="CSR"/>
      <sheetName val="AB21"/>
      <sheetName val="mm21"/>
      <sheetName val="MM 4 i"/>
      <sheetName val="MM 5 i"/>
      <sheetName val="AB6"/>
      <sheetName val="MM6"/>
      <sheetName val="AB7"/>
      <sheetName val="MM7"/>
      <sheetName val="Road i"/>
      <sheetName val="Jn i"/>
      <sheetName val="Jn"/>
      <sheetName val="cdworks i"/>
      <sheetName val="Trees"/>
      <sheetName val="FC3"/>
      <sheetName val="Toll Statioms"/>
      <sheetName val="Samjuticha"/>
      <sheetName val="Samjuticha_English"/>
      <sheetName val="FC"/>
      <sheetName val="RA2"/>
      <sheetName val="DWR(Bid Document)"/>
      <sheetName val="Ave.Wtd.rates-PCC &amp; NH"/>
      <sheetName val="Lead Statement (PCC)"/>
      <sheetName val="Lead Statement (NH)"/>
      <sheetName val="Analysis-NH-Roads"/>
      <sheetName val="Analysis-NH-Culverts"/>
      <sheetName val="Analysis-NH-Bridges"/>
      <sheetName val="Analysis-Drains &amp; Misc"/>
      <sheetName val="Analysis-NH-Traf &amp; Trans"/>
      <sheetName val="Estimates"/>
      <sheetName val="BOQ (Bid Document)"/>
      <sheetName val="AOC - abs (3)"/>
      <sheetName val="AOC - abs (6)"/>
      <sheetName val="Sqn-Abs (G+1) "/>
      <sheetName val="Flt.Lt-Abs 4 DUs"/>
      <sheetName val="WO-Abs (G+2) 6 DUs"/>
      <sheetName val="WO-Abs (G) 1DU"/>
      <sheetName val="WO-Abs(G+6) 23DUs"/>
      <sheetName val="Air-Abs (G+1)"/>
      <sheetName val="Air-Abs (G+2)"/>
      <sheetName val="Air-Abs(G+6) 23 DUs"/>
      <sheetName val="Air-Abs(G+6) 24 DUs"/>
      <sheetName val="AC point"/>
      <sheetName val="RC Beam &amp; Slab Super-9+741"/>
      <sheetName val="Pier-9+741"/>
      <sheetName val="Abstract Qty-9+741"/>
      <sheetName val="PSC Beam &amp; RC Slab-18+201"/>
      <sheetName val="Abut Well-18+201"/>
      <sheetName val="Pier Well-18+201"/>
      <sheetName val="Abstract Qty-18+201"/>
      <sheetName val="PROP PSC Box-26+871"/>
      <sheetName val="PSC Box Super-26+871"/>
      <sheetName val="Abut Well-26+871"/>
      <sheetName val="Pier Well-26+871"/>
      <sheetName val="Abstract Qty-26+871"/>
      <sheetName val="RC Beam &amp; Slab Super-43+483"/>
      <sheetName val="Abut Well-43+483"/>
      <sheetName val="Pier Well-43+483"/>
      <sheetName val="Abstract Qty-43+483"/>
      <sheetName val="PROP PSC Box-93+118"/>
      <sheetName val="PSC Box Super-93+118"/>
      <sheetName val="Abut-93+118"/>
      <sheetName val="Pier-93+118"/>
      <sheetName val="Abstract Qty-93+118"/>
      <sheetName val="PROP PSC Box-96+522"/>
      <sheetName val="PSC Box Super-96+522"/>
      <sheetName val="Abut-96+522"/>
      <sheetName val="Pier-96+522"/>
      <sheetName val="Abstract Qty-96+522"/>
      <sheetName val="RC Beam &amp; Slab Super-99+575"/>
      <sheetName val="Abut-99+575"/>
      <sheetName val="Pier-99+575"/>
      <sheetName val="Abstract Qty-99+575"/>
      <sheetName val="PROP PSC Box-119+805"/>
      <sheetName val="PSC Box Super-119+805"/>
      <sheetName val="Abut-119+805"/>
      <sheetName val="Pier-119+805"/>
      <sheetName val="Abstract Qty-119+805"/>
      <sheetName val="Median Wall"/>
      <sheetName val="Protection Works"/>
      <sheetName val="Abstract Qty"/>
      <sheetName val="Phasing"/>
      <sheetName val="Morshi"/>
      <sheetName val="Flt(G to 3)"/>
      <sheetName val="Flt-4 to 5th "/>
      <sheetName val="Air(4 to 6th)"/>
      <sheetName val="Air(ground to3)"/>
      <sheetName val="Sqn(Ground to3)"/>
      <sheetName val="Sqn (4 to 6)"/>
      <sheetName val="Flt.Lt-Abs"/>
      <sheetName val="Air-Abs"/>
      <sheetName val="WO-Abs"/>
      <sheetName val="wo(ground - 3)"/>
      <sheetName val="wo-4th &amp; Terrace "/>
      <sheetName val="CPWD_Civil"/>
      <sheetName val="centering area"/>
      <sheetName val="RUB_DET"/>
      <sheetName val="SERVICE ROAD_DET"/>
      <sheetName val="APPROACH ROAD_DET"/>
      <sheetName val="FOOTPATH CUM DRAIN_DET"/>
      <sheetName val="RETAINING WALL_DET"/>
      <sheetName val="DEWATERING_DET"/>
      <sheetName val="ABS ESTIMATE"/>
      <sheetName val="cost estimate"/>
      <sheetName val="CAl SHT ATT"/>
      <sheetName val="Spread Sheets bridge"/>
      <sheetName val="2+383"/>
      <sheetName val="11+010"/>
      <sheetName val="Spread Sheet ROB"/>
      <sheetName val="5+008-ROB"/>
      <sheetName val="5+008 ROB"/>
      <sheetName val="Spread Sheets LVUP "/>
      <sheetName val="0+254 "/>
      <sheetName val="0+517 "/>
      <sheetName val="1+180 "/>
      <sheetName val="3+292"/>
      <sheetName val="4+735 "/>
      <sheetName val="5+620 "/>
      <sheetName val="6+625 "/>
      <sheetName val="6+716"/>
      <sheetName val="7+029 "/>
      <sheetName val="7+426 "/>
      <sheetName val="7+862 "/>
      <sheetName val="10+237 "/>
      <sheetName val="11+747"/>
      <sheetName val="12+478"/>
      <sheetName val="13+447"/>
      <sheetName val="13+818"/>
      <sheetName val="LHS"/>
      <sheetName val="RHS"/>
      <sheetName val="Sqn _Main_ Abs"/>
      <sheetName val="Int (RA) "/>
      <sheetName val="Sqn (Main) Abs"/>
      <sheetName val="Air-Abs-25"/>
      <sheetName val="Air-Abs -26"/>
      <sheetName val="Sqn.ldr-AC"/>
      <sheetName val="FLT-AC"/>
      <sheetName val="Det.span-4.00m(f)"/>
      <sheetName val="Det.span-3.00m(f)"/>
      <sheetName val="Det.span-4.00m(f) (2)"/>
      <sheetName val="Det.span-5.00m(f) (2)"/>
      <sheetName val="7 Summary CD works"/>
      <sheetName val="Sum CD-A"/>
      <sheetName val="1-R 1.2 mtr-New"/>
      <sheetName val="2-R 1.2 mtr New"/>
      <sheetName val="3-R 1.2 mtr New "/>
      <sheetName val="4-R 1.2 mtr New"/>
      <sheetName val="1-R 0.9 wid"/>
      <sheetName val="1-R 1.2 wid"/>
      <sheetName val="2-R 0.9 wid"/>
      <sheetName val="2-R 1.2 wid"/>
      <sheetName val="3-R 1.2 wid"/>
      <sheetName val="3-R 1.5 wid"/>
      <sheetName val="4-R 1.2 wid"/>
      <sheetName val="7 SLab-wid"/>
      <sheetName val="7 MS Re-const. of Slab Culverts"/>
      <sheetName val="Lead charges 2016-17"/>
      <sheetName val="Cal - 16-17"/>
      <sheetName val="Lead statement - 2016-17"/>
      <sheetName val="Lead statement - Con.Pav"/>
      <sheetName val="Bitumen-2016-17"/>
      <sheetName val="form-found-Annex1"/>
      <sheetName val="form-slab-Annex12"/>
      <sheetName val="form-beam-Annex 2"/>
      <sheetName val="form-column-Annex 3"/>
      <sheetName val="mar. rat.ana"/>
      <sheetName val="ntc"/>
      <sheetName val="8 Summary Major Bridges"/>
      <sheetName val="8A Measurement "/>
      <sheetName val="8C Summary Minor Bridges"/>
      <sheetName val="8C  Summary Sheet Minor Bridges"/>
      <sheetName val="8C Msmnt Sheet Minor Bridges"/>
      <sheetName val="Cost MNB"/>
      <sheetName val="Cost MJB"/>
      <sheetName val="Underpasses"/>
      <sheetName val="Length(Rigid)"/>
      <sheetName val="Length (flexible)"/>
      <sheetName val="10 Miscelaaneous"/>
      <sheetName val="Cost Est "/>
      <sheetName val="SCHEDULE-H (3)"/>
      <sheetName val="SFC TABULATION"/>
      <sheetName val="SFC Cost Analysis"/>
      <sheetName val="JUSTIFICATION-1summary"/>
      <sheetName val="SFC TABULATION (2)"/>
      <sheetName val="SFC MEMO"/>
      <sheetName val="flex"/>
      <sheetName val="SCHEDULE-H (2)"/>
      <sheetName val="Fly over- det"/>
      <sheetName val="Abs Est"/>
      <sheetName val="Rates 07-08"/>
      <sheetName val="ABS (Flex) "/>
      <sheetName val="Bill No-1&amp;2 -Streng. Ex-Rd "/>
      <sheetName val="BILL NO -2 &amp;3 BUILTUP PORTION"/>
      <sheetName val="CROSS ROAD"/>
      <sheetName val="7.c.Junction Improvements"/>
      <sheetName val="3.75"/>
      <sheetName val="Bill No. 11 - "/>
      <sheetName val="lt (2)"/>
      <sheetName val="Rest"/>
      <sheetName val="MES"/>
      <sheetName val="void"/>
      <sheetName val="Gwa(fin) (2)"/>
      <sheetName val="Materials Cost_PCC_"/>
      <sheetName val="Cal - 09-10"/>
      <sheetName val="Lead statement - 2009-10"/>
      <sheetName val="Bitumen-2009-10"/>
      <sheetName val="Curve Details to Shruthi"/>
      <sheetName val="Method"/>
      <sheetName val="Speed"/>
      <sheetName val="Cur_Details"/>
      <sheetName val="Cur_Details-AutoCAD"/>
      <sheetName val="RotationAngle"/>
      <sheetName val="51+683"/>
      <sheetName val="52+834"/>
      <sheetName val="62+782-MAJOR"/>
      <sheetName val="64+552"/>
      <sheetName val="68+579"/>
      <sheetName val="72+798"/>
      <sheetName val="79+954"/>
      <sheetName val="80+026"/>
      <sheetName val="85+856"/>
      <sheetName val="86+075"/>
      <sheetName val="87+425"/>
      <sheetName val="87+677-MAJOR"/>
      <sheetName val="89+414"/>
      <sheetName val="91+155"/>
      <sheetName val="91+556"/>
      <sheetName val="94+659"/>
      <sheetName val="100+147"/>
      <sheetName val="Abstract for Schedule"/>
      <sheetName val="Abstract for Schedule- 21.1.16"/>
      <sheetName val="Spread Sheet"/>
      <sheetName val="Old cost "/>
      <sheetName val="VOID-100+147 (4 Lane)"/>
      <sheetName val="Abstract1"/>
      <sheetName val="Abstract-13.05.17"/>
      <sheetName val="8+510"/>
      <sheetName val="11+471 - Sk 25"/>
      <sheetName val="16+060"/>
      <sheetName val="17+074 - Sk 43"/>
      <sheetName val="23+454"/>
      <sheetName val="23+560"/>
      <sheetName val="37+270"/>
      <sheetName val="39+877"/>
      <sheetName val="42+919"/>
      <sheetName val="43+275"/>
      <sheetName val="45+329"/>
      <sheetName val="48+488"/>
      <sheetName val="2x2x2.0 (WO)-18.0m"/>
      <sheetName val="2x2x2.0 (WO)-20.0m"/>
      <sheetName val="2x2x2.5 (WO) - 18.0m"/>
      <sheetName val="Spread sheet-Box culvert"/>
      <sheetName val="A.Q."/>
      <sheetName val="C.S.A."/>
      <sheetName val="SS - BOX"/>
      <sheetName val="1 x 2.0 x 3.5 - Box"/>
      <sheetName val="1 x 7.5 x 5.50m"/>
      <sheetName val="SS - PIPE"/>
      <sheetName val="1 row-1.2m-18.0m"/>
      <sheetName val="1 row-1.2m-28.0m"/>
      <sheetName val="2row-1.2m-21.0m"/>
      <sheetName val="1 x 7.5 x 5.5 - Box"/>
      <sheetName val=" Analysis"/>
      <sheetName val="Priced_DWR "/>
      <sheetName val="Rates2001"/>
      <sheetName val=" AnalysisNH"/>
      <sheetName val="Abstract-8.1.17"/>
      <sheetName val="2+092-OPEN-NO BED"/>
      <sheetName val="VOID-5+359"/>
      <sheetName val="VOID-7+777"/>
      <sheetName val="5+359-OPEN-NO BED-4LANE"/>
      <sheetName val="7+777 -  BED"/>
      <sheetName val="13+725-OPEN-WITH BED"/>
      <sheetName val="14+717-OPEN-NO BED"/>
      <sheetName val="15+161 -  WITH BED"/>
      <sheetName val="19+302-OPEN-NO BED"/>
      <sheetName val="Void-43+301"/>
      <sheetName val="41+644-OPEN-NO BED-4LANE"/>
      <sheetName val="7+777 - NO BED (2)"/>
      <sheetName val="Void-Abstract"/>
      <sheetName val="Drain Length"/>
      <sheetName val="Box Culvert1"/>
      <sheetName val="box ms 161-165"/>
      <sheetName val="det.est"/>
      <sheetName val="COST ESTIMATE "/>
      <sheetName val="TOTal Abs Quan"/>
      <sheetName val="CAl SHT ATT "/>
      <sheetName val="11+411"/>
      <sheetName val="5+009 ROB"/>
      <sheetName val="ROB - Span"/>
      <sheetName val="1+180"/>
      <sheetName val="Spread Sheet RE wall"/>
      <sheetName val="280-700"/>
      <sheetName val="960 - 1620"/>
      <sheetName val="2600 - 2680"/>
      <sheetName val="2760 - 3540"/>
      <sheetName val="4450 - 4920"/>
      <sheetName val="4920 - 6980"/>
      <sheetName val="7100 - 7370"/>
      <sheetName val="7710 - 7780"/>
      <sheetName val="10300 - 10520"/>
      <sheetName val="11140 - 11950"/>
      <sheetName val="12160-13030"/>
      <sheetName val="13190 - 13430"/>
      <sheetName val="13600-13810"/>
      <sheetName val="14070-14200"/>
      <sheetName val="Cost Est"/>
      <sheetName val="SCHEDULE-H (NEW) (3)"/>
      <sheetName val="SCHEDULE-H (04.04.17)"/>
      <sheetName val="SFC TABULATION  (2)"/>
      <sheetName val="SFC Cost Analysis  (2)"/>
      <sheetName val="Summary Estimate"/>
      <sheetName val="Justication for addition cost"/>
      <sheetName val="SFC TABULATION "/>
      <sheetName val="SFC Cost Analysis "/>
      <sheetName val="NORMATIVECOST"/>
      <sheetName val="Cost Est TO JE SEL(Shdl) (2)"/>
      <sheetName val="CH - 3+684"/>
      <sheetName val="CH - 26+694"/>
      <sheetName val="35+249"/>
      <sheetName val="GSB1"/>
      <sheetName val="GSB II"/>
      <sheetName val="DBM(O)"/>
      <sheetName val="DBM(PCC)"/>
      <sheetName val="BC(O)"/>
      <sheetName val="Primer"/>
      <sheetName val="Tack"/>
      <sheetName val="embank"/>
      <sheetName val="shoulder filling"/>
      <sheetName val="road filling"/>
      <sheetName val="RE Drain"/>
      <sheetName val="L DRAIN"/>
      <sheetName val="traffic safty"/>
      <sheetName val="maintainance"/>
      <sheetName val="1x2x3X2.0 WEC"/>
      <sheetName val="1X2X3.0 WOE-26.0"/>
      <sheetName val="1X2X2 WOE "/>
      <sheetName val="1X2X2 x 2 WOE  "/>
      <sheetName val="1x2x3X2.5WEC"/>
      <sheetName val="1x2x3X2.0 WEC )"/>
      <sheetName val="1x2x3X1.0WEC"/>
      <sheetName val="1X3X3 WOE (15.0 m) "/>
      <sheetName val="1 x 4x 3x 2 WOE"/>
      <sheetName val="LC 304 Estimation"/>
      <sheetName val="Height of Stem"/>
      <sheetName val="det.est (2)"/>
      <sheetName val="det.est (3)"/>
      <sheetName val="Stair case forming"/>
      <sheetName val="GAOC"/>
      <sheetName val="BH -10"/>
      <sheetName val="corbl"/>
      <sheetName val="T"/>
      <sheetName val="pile group"/>
      <sheetName val="loads"/>
      <sheetName val="summry"/>
      <sheetName val="checkpier"/>
      <sheetName val="checkpile"/>
      <sheetName val="scatch"/>
      <sheetName val="piercap"/>
      <sheetName val="pilecap"/>
      <sheetName val="Reaction"/>
      <sheetName val="reactoin"/>
      <sheetName val="Capac"/>
      <sheetName val="BH III"/>
      <sheetName val="Piercap1"/>
      <sheetName val="Piercap2"/>
      <sheetName val="LoaPedestal col"/>
      <sheetName val="Ped colm"/>
      <sheetName val="Horiz."/>
      <sheetName val="Reactpedcol"/>
      <sheetName val="49+930"/>
      <sheetName val="SpreadSheet Box"/>
      <sheetName val="B&amp;Q"/>
      <sheetName val="WZ1-Subcontract"/>
      <sheetName val="OH-Filled Amount-WZ1 (25.33%)"/>
      <sheetName val="OH-Filled Amount-WZ1(30%)"/>
      <sheetName val="BOQ-01"/>
      <sheetName val="OH-01"/>
      <sheetName val="site"/>
      <sheetName val="Building"/>
      <sheetName val="Int-water"/>
      <sheetName val="Int-ele"/>
      <sheetName val="Sewage"/>
      <sheetName val="Area "/>
      <sheetName val="Exwater"/>
      <sheetName val="EXt ele"/>
      <sheetName val="Dev _ele"/>
      <sheetName val="Rain water"/>
      <sheetName val="Compoundwall"/>
      <sheetName val="Arbori"/>
      <sheetName val="Fire fig"/>
      <sheetName val="Terrace"/>
      <sheetName val="UG - static"/>
      <sheetName val="domestic"/>
      <sheetName val="UG_sump_abs"/>
      <sheetName val="Pump (abs)"/>
      <sheetName val="MES-central"/>
      <sheetName val="Centrifu-central"/>
      <sheetName val="Retainingwall_f"/>
      <sheetName val="Index "/>
      <sheetName val="Gn Ab"/>
      <sheetName val="SiteAb"/>
      <sheetName val="SiteMs"/>
      <sheetName val="EWAb"/>
      <sheetName val="EW Ms"/>
      <sheetName val="WMAb"/>
      <sheetName val="WMMs"/>
      <sheetName val="bt abs"/>
      <sheetName val="BTMs"/>
      <sheetName val="Median AB"/>
      <sheetName val="Median MS"/>
      <sheetName val="FURAb"/>
      <sheetName val="FURMs"/>
      <sheetName val="TRUCK Ab "/>
      <sheetName val="TRUCK Ms "/>
      <sheetName val="BUS Ab "/>
      <sheetName val="BUS Ms  "/>
      <sheetName val="JUN Ab "/>
      <sheetName val="JUN Ms "/>
      <sheetName val="Drain Abs"/>
      <sheetName val="Drain Ms"/>
      <sheetName val="UtAb"/>
      <sheetName val="UtMs"/>
      <sheetName val="MISC Ab "/>
      <sheetName val="MISC Ms "/>
      <sheetName val="CITY P Ab "/>
      <sheetName val="CITY P Ms "/>
      <sheetName val="8-lane toll plaza-A "/>
      <sheetName val="Toll Plaza RD"/>
      <sheetName val="8-lane toll plaza-M"/>
      <sheetName val="5+359 (4 lane)"/>
      <sheetName val="7+777 - NO BED"/>
      <sheetName val="8+550-MAJOR (2)"/>
      <sheetName val="43+301-Major-Open"/>
      <sheetName val="2 Working"/>
      <sheetName val="A.Q. - BOX &amp; PIPE"/>
      <sheetName val="C.S.A. - BOX &amp; PIPE"/>
      <sheetName val="SpreadSheet - Pipe"/>
      <sheetName val="2row-1.2m-18.0 m"/>
      <sheetName val="2row-1.2m-29.0 m"/>
      <sheetName val="1 row-1.2m-27.0 m"/>
      <sheetName val="1 X 6 X 4.5 - 14.0m"/>
      <sheetName val="1X5X3 WOE-14.0m"/>
      <sheetName val="1X2X2 WOE-14.0"/>
      <sheetName val="1+256"/>
      <sheetName val="4+365"/>
      <sheetName val="4+997 "/>
      <sheetName val="5+268"/>
      <sheetName val="5+370"/>
      <sheetName val="5+640"/>
      <sheetName val="6+518- MS"/>
      <sheetName val="7+510 "/>
      <sheetName val="10+510 "/>
      <sheetName val="11+065"/>
      <sheetName val="13+315"/>
      <sheetName val="18+200"/>
      <sheetName val="11+260"/>
      <sheetName val="18+420"/>
      <sheetName val="18+672"/>
      <sheetName val="21+375"/>
      <sheetName val="21+803"/>
      <sheetName val="22+408"/>
      <sheetName val="23+256"/>
      <sheetName val="23+680"/>
      <sheetName val="25+487"/>
      <sheetName val="25+780"/>
      <sheetName val="27+720"/>
      <sheetName val="27+870"/>
      <sheetName val="29+085"/>
      <sheetName val="32+365 - MS"/>
      <sheetName val="33+436"/>
      <sheetName val="37+185"/>
      <sheetName val="37+350"/>
      <sheetName val="41+150"/>
      <sheetName val="41+980 "/>
      <sheetName val="45+950 - 1x25.0m"/>
      <sheetName val="45+950 - 2x12.0m"/>
      <sheetName val="46+478"/>
      <sheetName val="49+390"/>
      <sheetName val="52+125"/>
      <sheetName val="As per Site(Rs.145)"/>
      <sheetName val="Mat.backup"/>
      <sheetName val="ABST."/>
      <sheetName val="ABST for PL&amp; BW"/>
      <sheetName val="Brick work &amp; Plasetring"/>
      <sheetName val="brick work ,plastering"/>
      <sheetName val="as on date plastering,brick wor"/>
      <sheetName val="Agency Billing Abstaract"/>
      <sheetName val="Agency Bill Jan'12"/>
      <sheetName val="Agency Billing Feb-2012"/>
      <sheetName val="agency  billing mar-2012"/>
      <sheetName val="Agency billing April-2012"/>
      <sheetName val="actual stock Physical 8.05.2012"/>
      <sheetName val="Elect.Bill (2)"/>
      <sheetName val="Civil-Bill"/>
      <sheetName val="Escacallatio up to May-2012"/>
      <sheetName val="Center Rear Wing"/>
      <sheetName val="South Wing"/>
      <sheetName val="Center wing"/>
      <sheetName val="North Wing"/>
      <sheetName val="Absract (2)"/>
      <sheetName val="bID rESULT"/>
      <sheetName val="SUM-BOQ"/>
      <sheetName val="BOQ_CHK_DA"/>
      <sheetName val="REV-EST"/>
      <sheetName val="EST-SER"/>
      <sheetName val="RA-MKT-REV"/>
      <sheetName val="RA-CPWD"/>
      <sheetName val="RA-CPWD-REV"/>
      <sheetName val="Meas.-FIN"/>
      <sheetName val="Meas.-STRUCT"/>
      <sheetName val="PILING-11.12.07"/>
      <sheetName val="SUB-STRUCT-11.12.07"/>
      <sheetName val="SUPER-STRUCT-11.12.07"/>
      <sheetName val="Builtup Area"/>
      <sheetName val="BP-PRINT"/>
      <sheetName val="OV BACK UP"/>
      <sheetName val="SUB CON"/>
      <sheetName val="Coarse Agg."/>
      <sheetName val="SUMMAY PRINT"/>
      <sheetName val="comparision statement "/>
      <sheetName val="QUOTE PRINT"/>
      <sheetName val="cal add common cost"/>
      <sheetName val="add com"/>
      <sheetName val="oh cal print"/>
      <sheetName val="over head print"/>
      <sheetName val="gun print"/>
      <sheetName val="PCA FORMAT"/>
      <sheetName val="Quote Summary "/>
      <sheetName val="Calculation Addtional comm. cos"/>
      <sheetName val="Guarantee Sheet"/>
      <sheetName val="PT Work"/>
      <sheetName val="water proofing"/>
      <sheetName val="shutteirng"/>
      <sheetName val="brick work"/>
      <sheetName val="plastering work"/>
      <sheetName val="Piling work"/>
      <sheetName val="Concrete work"/>
      <sheetName val="Flooring work"/>
      <sheetName val="GRC "/>
      <sheetName val="ambaji marble"/>
      <sheetName val="sloped roof"/>
      <sheetName val="Skylight"/>
      <sheetName val="carriaga of materials"/>
      <sheetName val="comparative "/>
      <sheetName val="Materials Part"/>
      <sheetName val="final at BRO"/>
      <sheetName val="BOQ (Rev.)"/>
      <sheetName val="Excavation of vid"/>
      <sheetName val="Close timbering"/>
      <sheetName val="Available earth"/>
      <sheetName val="Fine sand"/>
      <sheetName val="1.2 Exv up to 10 Sqm"/>
      <sheetName val="2.1.1PCC"/>
      <sheetName val="1.10.1 Disposal"/>
      <sheetName val="2.1.2"/>
      <sheetName val="2.2"/>
      <sheetName val="2.3"/>
      <sheetName val="2.4"/>
      <sheetName val="2.5.1"/>
      <sheetName val="2.5.2"/>
      <sheetName val="2.6(plum)"/>
      <sheetName val="4.5"/>
      <sheetName val="Steel Analysis"/>
      <sheetName val="CIVIL BOQ KGA"/>
      <sheetName val="Civil Abstract"/>
      <sheetName val="CIVIL BOQ  IVR"/>
      <sheetName val="carriage of material"/>
      <sheetName val="for TO"/>
      <sheetName val="Abstract -1"/>
      <sheetName val="Labour Expendutere"/>
      <sheetName val="PCA"/>
      <sheetName val="Main summery"/>
      <sheetName val="materiala"/>
      <sheetName val="aug"/>
      <sheetName val="LATEST Final BOQ"/>
      <sheetName val="CABLE SCHEDULE"/>
      <sheetName val="5.2"/>
      <sheetName val="Design of two-way slab"/>
      <sheetName val="A.B.SITE LEVELING"/>
      <sheetName val="D.E.SITE LEVELING"/>
      <sheetName val="Road ABS"/>
      <sheetName val="Road DE"/>
      <sheetName val="A.B. DRAINS"/>
      <sheetName val="D.E.DRAINS"/>
      <sheetName val="A.B.CULVERTS"/>
      <sheetName val="D.E.CUL"/>
      <sheetName val="A.B.EFF"/>
      <sheetName val="D.E.EFF"/>
      <sheetName val="ELSR-ABST"/>
      <sheetName val="A.B GLSR"/>
      <sheetName val="D.E. GLSR"/>
      <sheetName val="A.B. W.S"/>
      <sheetName val="D.E.W.S"/>
      <sheetName val="STP"/>
      <sheetName val="A.B.STP"/>
      <sheetName val="D.E.STP "/>
      <sheetName val="Electrification Line Estimate"/>
      <sheetName val="A.B.ELE"/>
      <sheetName val="A.B.-Pump"/>
      <sheetName val="D.E.-Pump"/>
      <sheetName val="D.E. ELE"/>
      <sheetName val="AB-KERB"/>
      <sheetName val="DE-KERB"/>
      <sheetName val="_LEAD CIVIL"/>
      <sheetName val="DATA-SITE LEVEL"/>
      <sheetName val="DATA-Road"/>
      <sheetName val="DATA-Culvet"/>
      <sheetName val="DATA-SWG"/>
      <sheetName val="DATA-GLSR"/>
      <sheetName val="DATA-W.S"/>
      <sheetName val="DI K7 Data"/>
      <sheetName val="DATA-Pump"/>
      <sheetName val="DATA-KERB"/>
      <sheetName val="Cost_any"/>
      <sheetName val="PART-I (2)"/>
      <sheetName val="ANALY-BOQ"/>
      <sheetName val="ANALYS-LS"/>
      <sheetName val="PART-I"/>
      <sheetName val="I-11"/>
      <sheetName val="I-15"/>
      <sheetName val="sumps"/>
      <sheetName val="GATES(21,22)"/>
      <sheetName val="DetAbsAbs"/>
      <sheetName val="ABSTRACT PROTECTION "/>
      <sheetName val="Abstract culvert"/>
      <sheetName val="Seigniorage road "/>
      <sheetName val="Gen Ab"/>
      <sheetName val="cover 1"/>
      <sheetName val="Seigniorage Culverts"/>
      <sheetName val="Culvert ABST"/>
      <sheetName val="Culvert ABS 3v "/>
      <sheetName val="1vent "/>
      <sheetName val="1 v Draw"/>
      <sheetName val="2 v Det"/>
      <sheetName val="2 v Draw"/>
      <sheetName val="Protection wall 1"/>
      <sheetName val="Protection wall 2"/>
      <sheetName val="3V Det"/>
      <sheetName val="3v Draw"/>
      <sheetName val="cross section "/>
      <sheetName val="est-18-19"/>
      <sheetName val="break up-18-19"/>
      <sheetName val="report-18-19"/>
      <sheetName val="DATA-18-19"/>
      <sheetName val="abst6FF"/>
      <sheetName val="4,5"/>
      <sheetName val="6.1"/>
      <sheetName val="rate anal"/>
      <sheetName val="K &amp; L"/>
      <sheetName val="Comp. sheeting"/>
      <sheetName val="Analysis for sheeting"/>
      <sheetName val="CCCl Offer (Annexure)"/>
      <sheetName val="Bulk Materials"/>
      <sheetName val="Boq (Main Building)"/>
      <sheetName val="Qty VA"/>
      <sheetName val="Standard"/>
      <sheetName val="2V800"/>
      <sheetName val="Det Slab1v-2M"/>
      <sheetName val="Slab det1v-3m"/>
      <sheetName val="det_drains"/>
      <sheetName val="Spn-2"/>
      <sheetName val="G Abs"/>
      <sheetName val="MRoad data (2)"/>
      <sheetName val="D.E"/>
      <sheetName val="A.E"/>
      <sheetName val=" Est   (2)"/>
      <sheetName val="RE wall Aest"/>
      <sheetName val="RE wall Dest"/>
      <sheetName val="1v2m span Dest"/>
      <sheetName val="1v2mspan Aest"/>
      <sheetName val="PC D &amp; Ast"/>
      <sheetName val="ABST.EST."/>
      <sheetName val="DET EST."/>
      <sheetName val="RSI"/>
      <sheetName val="Statement of lead"/>
      <sheetName val="1Row 1000 mm dia pipe-12 Nos"/>
      <sheetName val="1 R 800 mm dia pipe-2 N0s"/>
      <sheetName val="Seign qty"/>
      <sheetName val="Drain est."/>
      <sheetName val="strip plan.road renual chart"/>
      <sheetName val="KR road Crust"/>
      <sheetName val="RT wall Abst.est."/>
      <sheetName val="RT.Wall Det. est."/>
      <sheetName val="RT wall Drg"/>
      <sheetName val="Box culvt2x3"/>
      <sheetName val="Box culvt.2x2-4  Nos"/>
      <sheetName val="1 R of 800 mm dia pipe Drg."/>
      <sheetName val="1 R of 1000 mm dia Pipe Drg."/>
      <sheetName val="LS-1"/>
      <sheetName val="NT road Crust Design-REV"/>
      <sheetName val="Slab culvert 6.00M det"/>
      <sheetName val="Slab culvert 5.00M span  det "/>
      <sheetName val="Slab culvert Abs 6 .00"/>
      <sheetName val="Slab culvert 5.00M span abs "/>
      <sheetName val="Road AE"/>
      <sheetName val="Filling ABSTRACT"/>
      <sheetName val="NT road Crust Design (2)"/>
      <sheetName val="NT road Crust Design"/>
      <sheetName val="Drains detail"/>
      <sheetName val="draind abs"/>
      <sheetName val="Datas for KM &amp; HM etc."/>
      <sheetName val="Pipe culverts 600dia"/>
      <sheetName val="pipe culverts 1000 dia"/>
      <sheetName val="Leads NT"/>
      <sheetName val="Slab culvert abstract(3.00M) "/>
      <sheetName val="slab culvrt detail estimate(3.0"/>
      <sheetName val="Slab culvert 2.00M span absl"/>
      <sheetName val="Slab culvert 2.00M span  det"/>
      <sheetName val="BT rate"/>
      <sheetName val="T.memo"/>
      <sheetName val="CD Data (Morth)"/>
      <sheetName val="Rd Det Est"/>
      <sheetName val="Rd abs Est"/>
      <sheetName val="HP Det est"/>
      <sheetName val="HP Abs Est"/>
      <sheetName val="Index (2)"/>
      <sheetName val="Annex-B"/>
      <sheetName val="SPE-REP"/>
      <sheetName val="Ann_IIA_m"/>
      <sheetName val="EXE-SUMRY"/>
      <sheetName val="com_sta"/>
      <sheetName val="lab_mac"/>
      <sheetName val="FA_CD_LINE"/>
      <sheetName val="A_R_lINE"/>
      <sheetName val="AN_B_SUP"/>
      <sheetName val="Pr_1"/>
      <sheetName val="A1"/>
      <sheetName val="A2"/>
      <sheetName val="A4"/>
      <sheetName val="A5"/>
      <sheetName val="A6"/>
      <sheetName val="A7"/>
      <sheetName val="CBR (2)"/>
      <sheetName val="Exe sum"/>
      <sheetName val="3R800"/>
      <sheetName val="4R 800"/>
      <sheetName val="1R 800"/>
      <sheetName val="m lead"/>
      <sheetName val="xls"/>
      <sheetName val="leads s "/>
      <sheetName val="Report  (2)"/>
      <sheetName val="Divider Drawing"/>
      <sheetName val="Spe. report"/>
      <sheetName val="Abs est-Road"/>
      <sheetName val="FINAL DATA"/>
      <sheetName val="Det est Road"/>
      <sheetName val="CD Estimate  new"/>
      <sheetName val="Culvert Drawing"/>
      <sheetName val="Road-Saftey- Abs"/>
      <sheetName val="Strip "/>
      <sheetName val="Seigniorage"/>
      <sheetName val="drw"/>
      <sheetName val="cul.drw"/>
      <sheetName val="cul.drw2"/>
      <sheetName val="CD-ABS 23.8(6V of 6M)"/>
      <sheetName val="DetAbsAbs-CD"/>
      <sheetName val="1000-1R-Dra"/>
      <sheetName val="1000-2R-Dra "/>
      <sheetName val="1000-4R-Dra"/>
      <sheetName val="1V of 5.0M span"/>
      <sheetName val="6V of 6m span Sectiom"/>
      <sheetName val="Ty.sec(1)"/>
      <sheetName val="Ty.sec (2)"/>
      <sheetName val="Ty.sec (3)"/>
      <sheetName val="m'lead"/>
      <sheetName val="Covering letter"/>
      <sheetName val="W.slip"/>
      <sheetName val="Query"/>
      <sheetName val="QryMap"/>
      <sheetName val="bridge_GENERAL ABTRACT (2)"/>
      <sheetName val="Det&amp;Abs_latest"/>
      <sheetName val="Cov (2)"/>
      <sheetName val="TS memo (2)"/>
      <sheetName val="report (3)"/>
      <sheetName val="report (2)"/>
      <sheetName val="road_Gen Abs (2)"/>
      <sheetName val="bridge_GENERAL ABTRACT"/>
      <sheetName val="Det&amp;Abs (2)"/>
      <sheetName val="Det&amp;Abs"/>
      <sheetName val="patchwork_data_H_T_ROAD (2)"/>
      <sheetName val="Cdworks_DATAS_madhu"/>
      <sheetName val="patchwork_data_H_T_ROAD"/>
      <sheetName val="road_Gen Abs"/>
      <sheetName val="bridge_MEST "/>
      <sheetName val="MWALads"/>
      <sheetName val="leads (3)"/>
      <sheetName val="leads (4)"/>
      <sheetName val="leads (5)"/>
      <sheetName val="TS 8"/>
      <sheetName val="TS UY 1st reach"/>
      <sheetName val="TS UY 1st reach (2)"/>
      <sheetName val="TS 9"/>
      <sheetName val="TS 10"/>
      <sheetName val="TS 11"/>
      <sheetName val="TS 12"/>
      <sheetName val="TS 13"/>
      <sheetName val="TS 14"/>
      <sheetName val="TS 15"/>
      <sheetName val="TS 16"/>
      <sheetName val="TS 17"/>
      <sheetName val="Line_Abstract"/>
      <sheetName val="mmlead"/>
      <sheetName val="Gen . Ab"/>
      <sheetName val="Det-Est"/>
      <sheetName val="Bridge 1V8.0"/>
      <sheetName val="plan 1 V 8.0"/>
      <sheetName val="Quary -2 (2)"/>
      <sheetName val="Cert."/>
      <sheetName val="Quary -2"/>
      <sheetName val="plan "/>
      <sheetName val="1V 5.0 m"/>
      <sheetName val="nabad data"/>
      <sheetName val="DAE pipe"/>
      <sheetName val="Det-cum-Abstract"/>
      <sheetName val="C.C Data"/>
      <sheetName val="Det msmts"/>
      <sheetName val="GA (2)"/>
      <sheetName val="PRE POLISHED DOOR DATAS"/>
      <sheetName val="AAC Adhesive Rate"/>
      <sheetName val="Design mix "/>
      <sheetName val="bricks"/>
      <sheetName val="Reserve"/>
      <sheetName val="Auto_Crt"/>
      <sheetName val="Btext"/>
      <sheetName val="items (2)"/>
      <sheetName val="brick"/>
      <sheetName val="earth"/>
      <sheetName val="160KL24M Stg WDRV GST"/>
      <sheetName val="16KL Comp"/>
      <sheetName val="cag-meil"/>
      <sheetName val="nh-cage"/>
      <sheetName val="POL Steel"/>
      <sheetName val="Gen Abs New"/>
      <sheetName val="DI Wall Thickness"/>
      <sheetName val="Gravity Main-BODHAN"/>
      <sheetName val="mas_hab"/>
      <sheetName val="CPHEEO_Change"/>
      <sheetName val="Eco_dia_bhopal"/>
      <sheetName val="IWWA"/>
      <sheetName val="economical_auto"/>
      <sheetName val="economical_OFF_manual"/>
      <sheetName val="Design_sump"/>
      <sheetName val="Part-II_Buildings"/>
      <sheetName val="CI_Sluice-HDPE"/>
      <sheetName val="800kl-final-est"/>
      <sheetName val="Sump data"/>
      <sheetName val="SSR12-13"/>
      <sheetName val="Lead Statement "/>
      <sheetName val="soil characteristics"/>
      <sheetName val="650kl-final-est"/>
      <sheetName val="660kl-final-est"/>
      <sheetName val="650kL-design-final"/>
      <sheetName val="Comparative stmt"/>
      <sheetName val="Specification "/>
      <sheetName val="E-Table"/>
      <sheetName val="hdpe-int-Dia"/>
      <sheetName val="pvc-int-Dia"/>
      <sheetName val="final-kannaraopet-bore"/>
      <sheetName val="pump-selection"/>
      <sheetName val="PVC P MAIN"/>
      <sheetName val="PUMPING DESIGN"/>
      <sheetName val="HDPE P MAIN"/>
      <sheetName val="60-KL-ohsr-9.75M "/>
      <sheetName val="20-KL-ohsr-6.0M "/>
      <sheetName val="40-KL-ohsr-9.55M  "/>
      <sheetName val="20-KL-ohsr-9.0M "/>
      <sheetName val="MAP 2"/>
      <sheetName val="SEGMENTS"/>
      <sheetName val="habs-list-POP"/>
      <sheetName val="BR PALEM-hyd-original"/>
      <sheetName val="duty"/>
      <sheetName val="LWL"/>
      <sheetName val="MWL"/>
      <sheetName val="PIPES"/>
      <sheetName val="print-hyd B.R.Palem"/>
      <sheetName val="PIPES-COV"/>
      <sheetName val="print-hyd B.R.Palem-COV"/>
      <sheetName val="Annex-7"/>
      <sheetName val="executive-summary"/>
      <sheetName val="HP det (3)"/>
      <sheetName val="HP det (2)"/>
      <sheetName val="HP det 1"/>
      <sheetName val=" data"/>
      <sheetName val="SSR-06-07"/>
      <sheetName val="Line"/>
      <sheetName val="Material_Rates"/>
      <sheetName val="Gen abs est"/>
      <sheetName val="civ data-SSR"/>
      <sheetName val="civ Lead chart"/>
      <sheetName val="civ data"/>
      <sheetName val="abstract-tictac"/>
      <sheetName val="Detailed est-TAC&amp;TIC"/>
      <sheetName val="Det est -Toilet"/>
      <sheetName val="Detailed signage"/>
      <sheetName val="sig-abs"/>
      <sheetName val="civ RH"/>
      <sheetName val="Civ-RH-abs "/>
      <sheetName val="CIV DWB"/>
      <sheetName val="Civ-Dwb-abs "/>
      <sheetName val="ext-civ-koneru"/>
      <sheetName val="ext-civ-temple"/>
      <sheetName val="ext-civ-tactic"/>
      <sheetName val="ext-civ-mh"/>
      <sheetName val="ext-abs"/>
      <sheetName val="ele abs"/>
      <sheetName val="PHE data SSR"/>
      <sheetName val="PHE data"/>
      <sheetName val="PHE abs"/>
      <sheetName val="Dt-Est-SF"/>
      <sheetName val="Dt-Est-FF"/>
      <sheetName val="G.Ab"/>
      <sheetName val="Ab-Est-GF"/>
      <sheetName val="Dt-Est-GF"/>
      <sheetName val="Centering-1"/>
      <sheetName val="Centering-2"/>
      <sheetName val="hire - R&amp;B"/>
      <sheetName val="UPVc"/>
      <sheetName val="Hydruli stmnt "/>
      <sheetName val="ms 10 mm"/>
      <sheetName val="ms 8 mm"/>
      <sheetName val="ms 6 mm"/>
      <sheetName val="epm-tsb"/>
      <sheetName val="id_whmr"/>
      <sheetName val="airvalve-AC-BWSC-GRP-MS-PSC"/>
      <sheetName val="Sluice AC GRP BWSP MS"/>
      <sheetName val="NRV-DI "/>
      <sheetName val="sluice-PVC (25%)"/>
      <sheetName val="sluice-HDPE (25%)"/>
      <sheetName val="RdKJIHGFEDCBA86420Z"/>
      <sheetName val="yAgfedcba"/>
      <sheetName val="Ct0ZYXWVUT"/>
      <sheetName val="B0ba97531z"/>
      <sheetName val="PH Sor"/>
      <sheetName val="Spn"/>
      <sheetName val="SPECIFIC. GP (2)"/>
      <sheetName val="yadadrimodel"/>
      <sheetName val="Ykunta"/>
      <sheetName val="Anobose "/>
      <sheetName val="Harith.filter"/>
      <sheetName val="Plants "/>
      <sheetName val="AVENUE."/>
      <sheetName val="Tall Plants "/>
      <sheetName val="Harith. Labour "/>
      <sheetName val="Haritha Haram . Palnts "/>
      <sheetName val="haritha.me.pln"/>
      <sheetName val="Plast.Tree.7"/>
      <sheetName val="quatation "/>
      <sheetName val="Compa.tank"/>
      <sheetName val="cmpara"/>
      <sheetName val="spc_Line"/>
      <sheetName val="st_est"/>
      <sheetName val="ygt 16"/>
      <sheetName val="CC16 hudco aler"/>
      <sheetName val="bram 17 hudco"/>
      <sheetName val="CC16 HUDCO atm sat"/>
      <sheetName val="thukrapaly cc17 hud"/>
      <sheetName val="ygt hudco 17"/>
      <sheetName val="15 GUND 23012020"/>
      <sheetName val="CC atm15"/>
      <sheetName val="CC alair15"/>
      <sheetName val="cc 12 brm"/>
      <sheetName val="tply cc 13"/>
      <sheetName val="pply 16"/>
      <sheetName val="vlg 17"/>
      <sheetName val="BNGR CC 17"/>
      <sheetName val="rajapet cc 17"/>
      <sheetName val="CC17 RAJA"/>
      <sheetName val="restortion"/>
      <sheetName val="valves (2f)"/>
      <sheetName val="laying (p)"/>
      <sheetName val="hsc details"/>
      <sheetName val="pipeline"/>
      <sheetName val="SC ST pROF -p (2)40km"/>
      <sheetName val="Proforma -I"/>
      <sheetName val="Proforma -II "/>
      <sheetName val="Abs Cr"/>
      <sheetName val="Abs Comb"/>
      <sheetName val="Mahesh"/>
      <sheetName val="Rajitha _proI"/>
      <sheetName val="R-Abs"/>
      <sheetName val="SC ST pROF -p"/>
      <sheetName val="SC ST pROF -p 35km"/>
      <sheetName val="Rough proforma"/>
      <sheetName val="R D1"/>
      <sheetName val="R D2"/>
      <sheetName val="R D3"/>
      <sheetName val="R D4"/>
      <sheetName val="R D5"/>
      <sheetName val="R D6"/>
      <sheetName val="R D7"/>
      <sheetName val="R D8"/>
      <sheetName val="R D9"/>
      <sheetName val="LEAD CH "/>
      <sheetName val="CD1"/>
      <sheetName val="CD2"/>
      <sheetName val="CD3"/>
      <sheetName val="CD4"/>
      <sheetName val="CD5"/>
      <sheetName val="CD6"/>
      <sheetName val="CD8"/>
      <sheetName val="CD7"/>
      <sheetName val="pc1 (2 vents)"/>
      <sheetName val="2V-6M (4)"/>
      <sheetName val="2V-6M"/>
      <sheetName val="pc1 "/>
      <sheetName val="3V-5M  (3)"/>
      <sheetName val="3V-5M "/>
      <sheetName val="pc2  "/>
      <sheetName val="pc2 (2 vents)"/>
      <sheetName val="pc4"/>
      <sheetName val="pc7"/>
      <sheetName val="Acheivements"/>
      <sheetName val="Cover page of Nabard "/>
      <sheetName val="Capital Head "/>
      <sheetName val="ABST XX+XXI"/>
      <sheetName val="NABARD WORKS status (2)"/>
      <sheetName val="ABST XX dist (2)"/>
      <sheetName val="progress XXI (3)"/>
      <sheetName val="Mahboobnagar ABST"/>
      <sheetName val="Mahboobnagar XX ABST"/>
      <sheetName val="Mahboobnagar XXI ABST"/>
      <sheetName val="Mahbubnagar XXI Total Works"/>
      <sheetName val="Mahbubnagar XX Total Works"/>
      <sheetName val="Mahbubnagar review"/>
      <sheetName val="ABST XX +XXI  (2)"/>
      <sheetName val="Cover page of Nabard  (2)"/>
      <sheetName val="ns abS"/>
      <sheetName val="PAO Token numbers"/>
      <sheetName val="PAO Token numbers proforma"/>
      <sheetName val="ABST XX +XXI "/>
      <sheetName val="ABST XX+XXI Dist WISE "/>
      <sheetName val="ABST XXI Dist "/>
      <sheetName val="ABST XX dist"/>
      <sheetName val="progress for FY XX"/>
      <sheetName val="progress for FY XXI"/>
      <sheetName val="Total Works"/>
      <sheetName val="progress and Comp XXI"/>
      <sheetName val="progress and Comp XX"/>
      <sheetName val="NS WORKS (12)"/>
      <sheetName val="Physical &amp; Fina- 05.12.21"/>
      <sheetName val="NS works(other than RAS)"/>
      <sheetName val="Status of Works NABARD Jan22"/>
      <sheetName val="PCR NABARD Jan22"/>
      <sheetName val="PCRs sent of Progress Works"/>
      <sheetName val="PCRs Pending NB 29.12.21"/>
      <sheetName val="PCRs Pending XX"/>
      <sheetName val="PCRs Pending XXI"/>
      <sheetName val="NS-RAS works"/>
      <sheetName val="NABARD All Projects30.07.21"/>
      <sheetName val="to be deleted works "/>
      <sheetName val="deleted works"/>
      <sheetName val="Checkdam Details"/>
      <sheetName val="135BCCD"/>
      <sheetName val="progress works XX"/>
      <sheetName val="progress works (2)"/>
      <sheetName val="progress works XXI"/>
      <sheetName val="Old Works"/>
      <sheetName val="NS"/>
      <sheetName val="XXI "/>
      <sheetName val="Progress works -83"/>
      <sheetName val="Progress List"/>
      <sheetName val="Zero Exp"/>
      <sheetName val="KNR pr"/>
      <sheetName val="ADB Prog"/>
      <sheetName val="OLD NB 4 works"/>
      <sheetName val="10-Not started works"/>
      <sheetName val="11-Dropped works"/>
      <sheetName val="402 bridge works"/>
      <sheetName val="General NB Abst"/>
      <sheetName val="XXI-Checkdam"/>
      <sheetName val="XX-Checkdam"/>
      <sheetName val="total checkdams"/>
      <sheetName val="NABARD WORKS status"/>
      <sheetName val="Value of further payments"/>
      <sheetName val="year"/>
      <sheetName val="Checkdam Abs"/>
      <sheetName val="progress XXI (2)"/>
      <sheetName val="D.System"/>
      <sheetName val="P.Main"/>
      <sheetName val="BW "/>
      <sheetName val="Pset (2)"/>
      <sheetName val="Pset "/>
      <sheetName val="1HP(nw) (2)"/>
      <sheetName val="HDPEData"/>
      <sheetName val="Psets"/>
      <sheetName val="GI spl (2)"/>
      <sheetName val="CI Spl for 60Kl"/>
      <sheetName val="Bfly-HDPE"/>
      <sheetName val="GI spl"/>
      <sheetName val="PS_data with Vat"/>
      <sheetName val="Abstrac"/>
      <sheetName val="LeadSt"/>
      <sheetName val="pvcRates"/>
      <sheetName val="estimat"/>
      <sheetName val="Cover page "/>
      <sheetName val="speci-Rep"/>
      <sheetName val="seig charges"/>
      <sheetName val="Running Ac Bill"/>
      <sheetName val="CC form"/>
      <sheetName val="Hand Recipt"/>
      <sheetName val="wEstimate"/>
      <sheetName val="Compari St"/>
      <sheetName val="Comple Re"/>
      <sheetName val="ValveChamber -OHSR-legal"/>
      <sheetName val="PumpHouse1.50X1.20"/>
      <sheetName val="PumpHouse1.05X0.75"/>
      <sheetName val="PumpHouse 0.90X0.90"/>
      <sheetName val="PumpHouse1.20X0.90"/>
      <sheetName val="ValveChamber_16-09"/>
      <sheetName val="RCC-Pipes-4600-34500"/>
      <sheetName val="Gen.Abstr"/>
      <sheetName val="Abstract _CD"/>
      <sheetName val="Detailed (3)"/>
      <sheetName val="600mm dia Pipe (3)"/>
      <sheetName val="Road Infrastructure"/>
      <sheetName val="RMR CHART"/>
      <sheetName val="DATA-CD  (2)"/>
      <sheetName val="3 Day Traffic Summary"/>
      <sheetName val="CC Drain (4)"/>
      <sheetName val="900mm dia Pipe"/>
      <sheetName val="2Mtr_1vSpan (5)"/>
      <sheetName val="6Mtr_1vSpan (6)"/>
      <sheetName val="Road dam-1"/>
      <sheetName val="Retaing Wall"/>
      <sheetName val="Safety wall"/>
      <sheetName val="1Mtr_1vSpan (4)"/>
      <sheetName val="900mm dia Pipe (5)"/>
      <sheetName val="900mm dia Pipe (4)"/>
      <sheetName val="3Mtr_2vSpan (3)"/>
      <sheetName val="900mm dia Pipe (2)"/>
      <sheetName val="3Mtr_2vSpan (2)"/>
      <sheetName val="2Mtr_1vSpan"/>
      <sheetName val="3Mtr_2vSpan"/>
      <sheetName val="3Mtr_1vSpan (2)"/>
      <sheetName val="1Mtr_1vSpan"/>
      <sheetName val="3Mtr_1vSpan "/>
      <sheetName val="prection wall"/>
      <sheetName val="RETAINING"/>
      <sheetName val="Taps"/>
      <sheetName val="COVER PAGE (2)"/>
      <sheetName val="Total  Estimate"/>
      <sheetName val="Estimate for RH"/>
      <sheetName val="Estimate for Arch"/>
      <sheetName val="Estimate for Signage"/>
      <sheetName val="Estimate for TAC"/>
      <sheetName val="Estimate for TIC"/>
      <sheetName val="Estimate for Auditorium"/>
      <sheetName val="Estimate for Toilet Block 9x5"/>
      <sheetName val="temple &amp; NTR garden"/>
      <sheetName val="Rates (Revised)"/>
      <sheetName val="Rate analysis (Revised)"/>
      <sheetName val="Estimate for Toilet Block 7x4"/>
      <sheetName val="Table's"/>
      <sheetName val="Traffic chapters 1"/>
      <sheetName val="Trafic chapters 2"/>
      <sheetName val="Pavenment Design"/>
      <sheetName val="Design CC Road 150mm"/>
      <sheetName val="Design CC Road 200mm"/>
      <sheetName val="Curve 1"/>
      <sheetName val="Curve 2"/>
      <sheetName val="Curve 3"/>
      <sheetName val="Curve 4"/>
      <sheetName val="Curve 5"/>
      <sheetName val="Curve 6"/>
      <sheetName val="Curve 7"/>
      <sheetName val="Curve8"/>
      <sheetName val="Curve 9"/>
      <sheetName val="Curve 10"/>
      <sheetName val="Curve 11"/>
      <sheetName val="RMR  CHART"/>
      <sheetName val="RW design"/>
      <sheetName val="RW design (2)"/>
      <sheetName val="RW-est"/>
      <sheetName val="Format 5"/>
      <sheetName val="Itemized "/>
      <sheetName val="fur "/>
      <sheetName val="2.0m SC design"/>
      <sheetName val="2.00 SC"/>
      <sheetName val="1000mm design"/>
      <sheetName val="1000 dia-est"/>
      <sheetName val="DWG-Laying of pipe"/>
      <sheetName val="600mm design "/>
      <sheetName val="600 dia"/>
      <sheetName val="Seignorage "/>
      <sheetName val="Transit walk"/>
      <sheetName val="RMR  MAP"/>
      <sheetName val="formatf1"/>
      <sheetName val="f4 (1)"/>
      <sheetName val="f4 (2)"/>
      <sheetName val="Format 4a"/>
      <sheetName val="Annex 7.30"/>
      <sheetName val="Format9B"/>
      <sheetName val="format 9A"/>
      <sheetName val="format7"/>
      <sheetName val="format6"/>
      <sheetName val="LS "/>
      <sheetName val="EEIR"/>
      <sheetName val="SE IR"/>
      <sheetName val="5.00m"/>
      <sheetName val="4.00m"/>
      <sheetName val="3.0m design"/>
      <sheetName val="CC Drains"/>
      <sheetName val="3.00m"/>
      <sheetName val="pipe line rates"/>
      <sheetName val="platform estimate"/>
      <sheetName val="bore well ori estimate"/>
      <sheetName val="pumpset estimate"/>
      <sheetName val="TAP (2)"/>
      <sheetName val="RAFI"/>
      <sheetName val="name "/>
      <sheetName val="KUR"/>
      <sheetName val="Hydralic"/>
      <sheetName val="kumkum"/>
      <sheetName val="edaga"/>
      <sheetName val="gvr-cr"/>
      <sheetName val="gvr-cs"/>
      <sheetName val="iskapalem"/>
      <sheetName val="KAKU"/>
      <sheetName val="KAKUR"/>
      <sheetName val="kak-cr (2)"/>
      <sheetName val="KAKU (2)"/>
      <sheetName val="kak-val"/>
      <sheetName val="kak-cr-2"/>
      <sheetName val="MOLKAL"/>
      <sheetName val="ramanada"/>
      <sheetName val="Panguluri  Spec"/>
      <sheetName val="Panguluri  Spec (2)"/>
      <sheetName val="2rows of 1000mm P"/>
      <sheetName val="1000p"/>
      <sheetName val="Pipe 600"/>
      <sheetName val="casway"/>
      <sheetName val="DATA2"/>
      <sheetName val="P4 total"/>
      <sheetName val="sp report ZPHS"/>
      <sheetName val="mas-lead-0910"/>
      <sheetName val="zphs 7.50"/>
      <sheetName val="DETCUM ABS JNN"/>
      <sheetName val="H-M stone"/>
      <sheetName val="K-M Stone"/>
      <sheetName val="Seigniorage charges"/>
      <sheetName val="ssr common"/>
      <sheetName val="PL"/>
      <sheetName val="master lead"/>
      <sheetName val="conveyance common"/>
      <sheetName val="handling common"/>
      <sheetName val="labour charges 2005-06"/>
      <sheetName val="background data"/>
      <sheetName val="Rotary bore well source"/>
      <sheetName val="ohsr verticals 20 9.55 "/>
      <sheetName val="verticals jointing 20kl 9.55"/>
      <sheetName val="lead 20kl ohsr"/>
      <sheetName val="data 20kl ohsr"/>
      <sheetName val="vc 150mm 20kl ohsr"/>
      <sheetName val="20kl ohsr item wise"/>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vc pipe line data"/>
      <sheetName val="std flange dimensions"/>
      <sheetName val="lead_pipe lines"/>
      <sheetName val="pvc pipes rates dgs d formula"/>
      <sheetName val="pvc pipe details"/>
      <sheetName val="hydraulic designs"/>
      <sheetName val="Filter point"/>
      <sheetName val="pedestal "/>
      <sheetName val="pumpset submersible"/>
      <sheetName val="co"/>
      <sheetName val="common conveyance"/>
      <sheetName val="Hleads"/>
      <sheetName val="Haleads"/>
      <sheetName val="Hableads"/>
      <sheetName val="Hab leads"/>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ata1"/>
      <sheetName val="dat"/>
      <sheetName val="da"/>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 lead"/>
      <sheetName val="cover pag"/>
      <sheetName val="cover pa"/>
      <sheetName val="cover p"/>
      <sheetName val="cove"/>
      <sheetName val="master leadO"/>
      <sheetName val="master lead-O"/>
      <sheetName val="maste Lead-O"/>
      <sheetName val="mast Lead-O"/>
      <sheetName val="mas Lead-O"/>
      <sheetName val="ma Lead-O"/>
      <sheetName val="m Lead-O"/>
      <sheetName val=" Lead-O"/>
      <sheetName val="chall"/>
      <sheetName val="thirm"/>
      <sheetName val="kam"/>
      <sheetName val="IB"/>
      <sheetName val="yell"/>
      <sheetName val="gadkole"/>
      <sheetName val="nallavelly"/>
      <sheetName val="sirnapally"/>
      <sheetName val="donklal"/>
      <sheetName val="C R"/>
      <sheetName val="C C bill"/>
      <sheetName val="C S"/>
      <sheetName val="sein"/>
      <sheetName val="wor est"/>
      <sheetName val="spe foots"/>
      <sheetName val="Lead  Build"/>
      <sheetName val="bldg data"/>
      <sheetName val="mtc est (5)"/>
      <sheetName val="mtc est (4)"/>
      <sheetName val="mtc est (3)"/>
      <sheetName val="mtc est (2)"/>
      <sheetName val="mtc est (1)"/>
      <sheetName val="mtc abst"/>
      <sheetName val="mtc data"/>
      <sheetName val="Retain wall"/>
      <sheetName val="600 dia 2 rows"/>
      <sheetName val="900 mm dia PC 1 Rows"/>
      <sheetName val="SPECIFIATION"/>
      <sheetName val="COM ABS "/>
      <sheetName val="RSI-Estt"/>
      <sheetName val="Rumble strip data"/>
      <sheetName val="Maitainenance data (2)"/>
      <sheetName val="08.07.10헾】_x0005_ꎋ"/>
      <sheetName val="_x0004__x000d__x0003__x0004__x0016__x000d__x0004_"/>
      <sheetName val="_x000a__x001b__x0006__x0006__x0008__x000a_"/>
      <sheetName val=" _x001b__x0006__x0006__x0008_ "/>
      <sheetName val="VOILSINGRAM.XLS"/>
      <sheetName val="  General Abstract  "/>
      <sheetName val="ROAD SAFETY  ESTIMATE"/>
      <sheetName val="Schedule-A MAZIDPUR"/>
      <sheetName val="1m dia Pipe Culverts"/>
      <sheetName val="2V 1000mm dia PC"/>
      <sheetName val="pile data"/>
      <sheetName val="EXTRA DATA"/>
      <sheetName val="DATA-PILES"/>
      <sheetName val="EXT.SEW"/>
      <sheetName val="Pipes data"/>
      <sheetName val="1500 mm 600 pipe (2-3)"/>
      <sheetName val="1500 MH 450 pipe (2-3)"/>
      <sheetName val="1500 MH  300 pipe (2-3)"/>
      <sheetName val="1200 MH 300 pipe (0-2)"/>
      <sheetName val="FIRE FIGHTING"/>
      <sheetName val="Road D.Est."/>
      <sheetName val="Road A.Est."/>
      <sheetName val="0.6 P.C.D.Est."/>
      <sheetName val="1.0 P.C.D.Est."/>
      <sheetName val="P.Cul.Abs."/>
      <sheetName val="Det.6 mt.Slab"/>
      <sheetName val="Abs Slab"/>
      <sheetName val="CC Pave Det."/>
      <sheetName val="CC Pave abs."/>
      <sheetName val="Drain Abs."/>
      <sheetName val="Drain Det."/>
      <sheetName val="Det.5mt Slab"/>
      <sheetName val="String Emb."/>
      <sheetName val="String Cart."/>
      <sheetName val="p.c.1.0M Draw."/>
      <sheetName val="P.C.0.6m Draw"/>
      <sheetName val="DrainSection"/>
      <sheetName val="Prof 1"/>
      <sheetName val="Annex 1"/>
      <sheetName val="Annex 4"/>
      <sheetName val="Annex 5"/>
      <sheetName val="Annex 6"/>
      <sheetName val="Annex.2"/>
      <sheetName val="AS_SR"/>
      <sheetName val="TS_MDR"/>
      <sheetName val="Plan SH TS"/>
      <sheetName val="Plan MDR TS"/>
      <sheetName val="Abs raod work"/>
      <sheetName val="Abs-CC"/>
      <sheetName val="Abs CD works"/>
      <sheetName val="Del Road work"/>
      <sheetName val="Det CC"/>
      <sheetName val="1000( 1R)"/>
      <sheetName val="800(2R)"/>
      <sheetName val="800(1R)"/>
      <sheetName val="600( 1R)"/>
      <sheetName val="Quarry map (2)"/>
      <sheetName val="Cerificates"/>
      <sheetName val="AS-12F"/>
      <sheetName val="AS_FDR"/>
      <sheetName val="TS_SH"/>
      <sheetName val="RTS_SH"/>
      <sheetName val="TS_12F"/>
      <sheetName val="TS_FDR"/>
      <sheetName val="TS. HUDCO"/>
      <sheetName val="TS_CRF"/>
      <sheetName val="HP DET 600"/>
      <sheetName val="HP det"/>
      <sheetName val="cc drain det "/>
      <sheetName val="cc drain abstract"/>
      <sheetName val="CC Pavement  det"/>
      <sheetName val="RT wall"/>
      <sheetName val="Det _Ret"/>
      <sheetName val="Photos (2)"/>
      <sheetName val="Certi"/>
      <sheetName val="Mactan"/>
      <sheetName val="Mandaue"/>
      <sheetName val="C&amp;S monthwise"/>
      <sheetName val="Civil-SOR"/>
      <sheetName val="BOS"/>
      <sheetName val="Sent NHO"/>
      <sheetName val="PBFF"/>
      <sheetName val="sanctions"/>
      <sheetName val="Plan 2006-07"/>
      <sheetName val="Crust 1-12"/>
      <sheetName val="Sign"/>
      <sheetName val="Sign Abs"/>
      <sheetName val="Steel Rate"/>
      <sheetName val="SUMMARY-1"/>
      <sheetName val="Bldg-Wise"/>
      <sheetName val="01-BOQ"/>
      <sheetName val="02-RA- Civil"/>
      <sheetName val="03-Subdetail"/>
      <sheetName val="04-Basic Rate - Civil"/>
      <sheetName val="05- MAIN BUILDING (M.S)"/>
      <sheetName val="06- AC PLANT ROOM (M.S)"/>
      <sheetName val="07- EXTERNAL DRAIN (M.S)"/>
      <sheetName val="08-SEPTIC TANNK (M.S) "/>
      <sheetName val="09-MICELLANEOUS"/>
      <sheetName val="substitute"/>
      <sheetName val="CMB NEW "/>
      <sheetName val="DETAILS MEASURE "/>
      <sheetName val="RECORD MEASUREMENT AEE"/>
      <sheetName val="MEASUREMENT AE"/>
      <sheetName val="BILL SCH"/>
      <sheetName val="BILL SCHD"/>
      <sheetName val="QD-VIII"/>
      <sheetName val="EE-VII"/>
      <sheetName val="PR-STATE (2)"/>
      <sheetName val="TEST CHECK (2)"/>
      <sheetName val="PASS ORDER"/>
      <sheetName val="First page"/>
      <sheetName val="Last page"/>
      <sheetName val="First Floor"/>
      <sheetName val="Detail Estimate GF"/>
      <sheetName val="Detail Estimate FF"/>
      <sheetName val="Detail Estimate Terrace F"/>
      <sheetName val="LEAD 2020-21"/>
      <sheetName val="Civil Data"/>
      <sheetName val="Concrete - SteelS - 3.66"/>
      <sheetName val="Conveyance charges"/>
      <sheetName val="Multi-Hall"/>
      <sheetName val="Din-Hall"/>
      <sheetName val="Guest house"/>
      <sheetName val="Amphy Theater"/>
      <sheetName val="Stalls "/>
      <sheetName val="Food court"/>
      <sheetName val="Museum"/>
      <sheetName val="Pathways "/>
      <sheetName val="Boundry wall"/>
      <sheetName val="Toilets"/>
      <sheetName val="Acs &amp; Gyser"/>
      <sheetName val="RESTARUNT Fur"/>
      <sheetName val="Gen Abstract (2)"/>
      <sheetName val="Civil detail est (2)"/>
      <sheetName val="WSS SSR "/>
      <sheetName val="WSS DATA"/>
      <sheetName val="Civil detail est"/>
      <sheetName val="spec-report"/>
      <sheetName val="abs Bond wall"/>
      <sheetName val="Bond wall Estimate"/>
      <sheetName val="Rep (2)"/>
      <sheetName val="C.S.(2)"/>
      <sheetName val="C.S.(W&amp;St) (3)"/>
      <sheetName val="certificate (5)"/>
      <sheetName val="certificate (4)"/>
      <sheetName val="Existing Crust"/>
      <sheetName val="Seigniorage  (2)"/>
      <sheetName val="A.E (2)"/>
      <sheetName val="D.E (2)"/>
      <sheetName val="A.E (Rtg) (2)"/>
      <sheetName val="D.E (Rtg) (2)"/>
      <sheetName val="A.E(Pipe)"/>
      <sheetName val="D.E(Pipe)"/>
      <sheetName val="C.S.(W&amp;St) (2)"/>
      <sheetName val="C.S.(W&amp;St)"/>
      <sheetName val="C.S.(B+S)"/>
      <sheetName val="C.S.(W+B+S)"/>
      <sheetName val="C.S.CC"/>
      <sheetName val="C.S.CC(W)"/>
      <sheetName val="C.S.CC (GSB)"/>
      <sheetName val="Drain_Sect."/>
      <sheetName val="certificate (2)"/>
      <sheetName val="certificate (3)"/>
      <sheetName val="CBR (3)"/>
      <sheetName val="certificate (6)"/>
      <sheetName val="Spec A"/>
      <sheetName val="C.S.CC(W) (2)"/>
      <sheetName val="NK_3.4-10"/>
      <sheetName val="ROAD WORK ESTI (2)"/>
      <sheetName val="GEN ABST"/>
      <sheetName val="CD WORK ESTI"/>
      <sheetName val="ROAD WORK ESTI"/>
      <sheetName val="Abs_p_04"/>
      <sheetName val="Abs.p_01"/>
      <sheetName val="Abs_ret"/>
      <sheetName val="Line Road"/>
      <sheetName val="Road data-TDR"/>
      <sheetName val="GENERAL ABTRACT"/>
      <sheetName val="Det.Est."/>
      <sheetName val="Abs.Est."/>
      <sheetName val="D.E (CD) (2)"/>
      <sheetName val="De Est (2)"/>
      <sheetName val="BT P.W."/>
      <sheetName val="BT P.W. (2)"/>
      <sheetName val="Mix Dsn"/>
      <sheetName val="Specn "/>
      <sheetName val="Road data "/>
      <sheetName val="RMR "/>
      <sheetName val="Patch Work"/>
      <sheetName val="Renew"/>
      <sheetName val="BTR   "/>
      <sheetName val="pHOTO "/>
      <sheetName val="PC 800mm"/>
      <sheetName val="P C 600 mm"/>
      <sheetName val="3.00m dest"/>
      <sheetName val="Road DE."/>
      <sheetName val="Abst. Box"/>
      <sheetName val="Det Box 3x2"/>
      <sheetName val="3.00 m Aest"/>
      <sheetName val="2.00 Dest"/>
      <sheetName val="2.00  Aest"/>
      <sheetName val="PC 1000mm"/>
      <sheetName val="leads."/>
      <sheetName val="Drains AE"/>
      <sheetName val="Drains DE"/>
      <sheetName val="TK Road Crust"/>
      <sheetName val="KM &amp; HM stones"/>
      <sheetName val="1Vx 5.00M"/>
      <sheetName val="Bdg abst2 vx5.37"/>
      <sheetName val="Bdg det2 v x 5.37 (2)"/>
      <sheetName val="2vx 5.37Drg."/>
      <sheetName val="Drawing 2 vents of 5.00M"/>
      <sheetName val="Road data 16-17"/>
      <sheetName val="RMR2"/>
      <sheetName val="2vx6.37 Drg."/>
      <sheetName val="Drawing 4.200"/>
      <sheetName val="Bdg abst2 vx6.37"/>
      <sheetName val="Bdg det2 v x 6.37"/>
      <sheetName val="Box 4x3 (2)"/>
      <sheetName val="General Abst"/>
      <sheetName val="Slab culvert km 35.6"/>
      <sheetName val="Crust design"/>
      <sheetName val="Box 2x2"/>
      <sheetName val="Box 3x3"/>
      <sheetName val="Box 3x2"/>
      <sheetName val="Box 2x3"/>
      <sheetName val="Box D 3x2"/>
      <sheetName val="Box 8x5"/>
      <sheetName val="Box 4x4 - 3M EC"/>
      <sheetName val="Box 6x4"/>
      <sheetName val="Box 4x3"/>
      <sheetName val="G.A"/>
      <sheetName val="Abst. est."/>
      <sheetName val="PC 1000 mm dia-12 Nos"/>
      <sheetName val="B.C. 1 V of 2x2-4 Nos"/>
      <sheetName val="B.C.1 Vof 2x3-1 No"/>
      <sheetName val="CC Drain"/>
      <sheetName val="Renual chart"/>
      <sheetName val="KR road Crust Design"/>
      <sheetName val="RT wall Abst. est."/>
      <sheetName val="RT wall D,est."/>
      <sheetName val="RT wall Drg."/>
      <sheetName val="1000n mm dia PC Drg."/>
      <sheetName val="LS CC ROAD"/>
      <sheetName val="LS of road "/>
      <sheetName val="CS BT ROAD"/>
      <sheetName val="CS of Road"/>
      <sheetName val="CS FOR CC ROAD"/>
      <sheetName val="RWS pipe line est."/>
      <sheetName val="K.R road culverts"/>
      <sheetName val="Retaining wall abst"/>
      <sheetName val="rwall.detailed"/>
      <sheetName val="r.wall drawing"/>
      <sheetName val="ABST Est Electrical"/>
      <sheetName val="Elect Detail"/>
      <sheetName val="Cul. Abs"/>
      <sheetName val="Three Rows"/>
      <sheetName val="Two rows"/>
      <sheetName val="One row"/>
      <sheetName val="Technical note"/>
      <sheetName val="Box culvert Abstract"/>
      <sheetName val="Slab culverts"/>
      <sheetName val="Minor Bridge"/>
      <sheetName val="Drain Abstract"/>
      <sheetName val="Retaining wall Abstract"/>
      <sheetName val="Road dataRR"/>
      <sheetName val="1 V 6.00"/>
      <sheetName val="specn"/>
      <sheetName val="Absroad"/>
      <sheetName val="DET 1 ROW"/>
      <sheetName val="Det drain"/>
      <sheetName val="Det Ret"/>
      <sheetName val="det slab"/>
      <sheetName val="ABS.ESTI"/>
      <sheetName val="1 Row 800"/>
      <sheetName val="Compare "/>
      <sheetName val="Abs cul"/>
      <sheetName val="2R 1000"/>
      <sheetName val="dATA -2008"/>
      <sheetName val="Est 2008-09"/>
      <sheetName val="comp st"/>
      <sheetName val="Est 2"/>
      <sheetName val="Amortization Table"/>
      <sheetName val="Bill - 2"/>
      <sheetName val="214 est"/>
      <sheetName val="214 Data"/>
      <sheetName val="Det Abs"/>
      <sheetName val="TCSBC10m"/>
      <sheetName val="TCSBC7m"/>
      <sheetName val="TCSNBC7m"/>
      <sheetName val="BarChart"/>
      <sheetName val="Det.Culverts"/>
      <sheetName val="QuaryMap"/>
      <sheetName val="t-beam"/>
      <sheetName val="doq"/>
      <sheetName val="DET.CC"/>
      <sheetName val="ABS.ROAD"/>
      <sheetName val="DET.ROAD"/>
      <sheetName val="CC road Abst"/>
      <sheetName val="Ann_IIA"/>
      <sheetName val="GENRAL-ABS"/>
      <sheetName val="abs-ROAD"/>
      <sheetName val="R_Det esst"/>
      <sheetName val="CD_Det esst "/>
      <sheetName val="infow (2)"/>
      <sheetName val="Plan 6.00m"/>
      <sheetName val="Gast"/>
      <sheetName val="Aest"/>
      <sheetName val="Dest"/>
      <sheetName val="LEADS (2)"/>
      <sheetName val="RMR (3)"/>
      <sheetName val="Retwall data"/>
      <sheetName val="Seign 1"/>
      <sheetName val="Drain DRG"/>
      <sheetName val="Wrok memo-1"/>
      <sheetName val="  Drain  Est"/>
      <sheetName val=" WSpecn"/>
      <sheetName val="W.Road  Est"/>
      <sheetName val="R. Wall"/>
      <sheetName val="Comp St "/>
      <sheetName val="CC DIp"/>
      <sheetName val="Crust Disn"/>
      <sheetName val="DRG_1"/>
      <sheetName val="DRG-2"/>
      <sheetName val="Bill-1"/>
      <sheetName val="Bill "/>
      <sheetName val="Seign"/>
      <sheetName val="dlrs"/>
      <sheetName val="1 R 1000"/>
      <sheetName val="(1R with casing)"/>
      <sheetName val="Abstract for CD works"/>
      <sheetName val="4 R 1000"/>
      <sheetName val="4R with Casing"/>
      <sheetName val="Road &amp; CD  data"/>
      <sheetName val="Line_ABS"/>
      <sheetName val="A.E (WE)"/>
      <sheetName val="D.E (WE)"/>
      <sheetName val="C.D N.A 2.76 "/>
      <sheetName val="RMR 2009-10"/>
      <sheetName val="R&amp;L"/>
      <sheetName val="ABT May 2010"/>
      <sheetName val="Data May 2010"/>
      <sheetName val="C.S.2"/>
      <sheetName val="G.A 1"/>
      <sheetName val="Data April 2010"/>
      <sheetName val="ABT April 2010"/>
      <sheetName val="Divider"/>
      <sheetName val="May 2010 Divider 2"/>
      <sheetName val="BTR 2009-10"/>
      <sheetName val="ABT Mar 2010"/>
      <sheetName val="Data Mar 2010"/>
      <sheetName val="Data Feb 2010"/>
      <sheetName val="ABT Feb 2010"/>
      <sheetName val="ABT Jan 2010"/>
      <sheetName val="Data Jan 2010"/>
      <sheetName val="Data Dec 2009"/>
      <sheetName val="ABT Dec 2009"/>
      <sheetName val="Data Nov 2009"/>
      <sheetName val="ABT Nov 2009"/>
      <sheetName val="Data Oct 2009"/>
      <sheetName val="ABT Oct 2009"/>
      <sheetName val="Data Sep 2009"/>
      <sheetName val="ABT Sep 2009"/>
      <sheetName val="Data August 2009"/>
      <sheetName val="ABT August 2009 "/>
      <sheetName val="Data July 2009"/>
      <sheetName val="ABT July 2009"/>
      <sheetName val="Data June 2009"/>
      <sheetName val="ABT June 2009 "/>
      <sheetName val="Det 1"/>
      <sheetName val="Develop.Activities"/>
      <sheetName val="Road_plan"/>
      <sheetName val="PLAN-A1"/>
      <sheetName val="Building works"/>
      <sheetName val="Sp.Report"/>
      <sheetName val="Annex-VII"/>
      <sheetName val="list_CD"/>
      <sheetName val="Exe.Summary"/>
      <sheetName val="Ann-IIA(Road)"/>
      <sheetName val="E-in-C's office copy"/>
      <sheetName val="abst_rd"/>
      <sheetName val="abst_cd"/>
      <sheetName val="det_cd"/>
      <sheetName val="Annex-IV"/>
      <sheetName val="Annex-V"/>
      <sheetName val="Annex-VI"/>
      <sheetName val="e-cal"/>
      <sheetName val="tYPICAL C.S CC"/>
      <sheetName val="abs-CD pipe WORKS"/>
      <sheetName val="Abs-Box Culvert"/>
      <sheetName val="abstract Road work"/>
      <sheetName val="Traffic census "/>
      <sheetName val="2Rx1000"/>
      <sheetName val="3Rx1200"/>
      <sheetName val="2x2 Box"/>
      <sheetName val="3x2 Box"/>
      <sheetName val="4x3 Box"/>
      <sheetName val="Bit.RMR"/>
      <sheetName val="data.rd"/>
      <sheetName val="data-cul"/>
      <sheetName val="tYPICAL C.S"/>
      <sheetName val="CULVERT DRAWINGS"/>
      <sheetName val="Cetificate"/>
      <sheetName val="C.C Design"/>
      <sheetName val="C.C Design-2"/>
      <sheetName val="PT(1-10)"/>
      <sheetName val="PT(10-150)"/>
      <sheetName val="1   (50)"/>
      <sheetName val="1   (49)"/>
      <sheetName val="1   (48)"/>
      <sheetName val="1   (47)"/>
      <sheetName val="1   (46)"/>
      <sheetName val="1   (45)"/>
      <sheetName val="1   (44)"/>
      <sheetName val="1   (43)"/>
      <sheetName val="1   (42)"/>
      <sheetName val="1   (41)"/>
      <sheetName val="1   (40)"/>
      <sheetName val="1   (39)"/>
      <sheetName val="1   (38)"/>
      <sheetName val="1   (37)"/>
      <sheetName val="1   (36)"/>
      <sheetName val="1   (35)"/>
      <sheetName val="1   (34)"/>
      <sheetName val="1   (33)"/>
      <sheetName val="1   (32)"/>
      <sheetName val="1   (31)"/>
      <sheetName val="1   (30)"/>
      <sheetName val="1   (29)"/>
      <sheetName val="1   (28)"/>
      <sheetName val="1   (27)"/>
      <sheetName val="1   (26)"/>
      <sheetName val="1   (25)"/>
      <sheetName val="1   (24)"/>
      <sheetName val="1   (23)"/>
      <sheetName val="1   (22)"/>
      <sheetName val="1   (21)"/>
      <sheetName val="1   (20)"/>
      <sheetName val="1   (19)"/>
      <sheetName val="1   (18)"/>
      <sheetName val="1   (17)"/>
      <sheetName val="1   (16)"/>
      <sheetName val="1   (15)"/>
      <sheetName val="1   (14)"/>
      <sheetName val="1   (13)"/>
      <sheetName val="1   (12)"/>
      <sheetName val="1   (11)"/>
      <sheetName val="1   (10)"/>
      <sheetName val="1   (9)"/>
      <sheetName val="1   (8)"/>
      <sheetName val="1   (7)"/>
      <sheetName val="1   (6)"/>
      <sheetName val="1   (5)"/>
      <sheetName val="1   (4)"/>
      <sheetName val="1   (3)"/>
      <sheetName val="1   (2)"/>
      <sheetName val="1   (1)"/>
      <sheetName val="1   (0)"/>
      <sheetName val="cutt"/>
      <sheetName val="totl cutt"/>
      <sheetName val="Totl form"/>
      <sheetName val="spc rprt"/>
      <sheetName val="certificataes"/>
      <sheetName val="General Abs"/>
      <sheetName val="Iocount"/>
      <sheetName val="nh to pr.padu final"/>
      <sheetName val="drawing "/>
      <sheetName val="Culvert drawing (2)"/>
      <sheetName val="DR SEC"/>
      <sheetName val="cul est"/>
      <sheetName val="LeadsNH-PR padu"/>
      <sheetName val="nh to pr.padu"/>
      <sheetName val="leadv-k"/>
      <sheetName val="AS"/>
      <sheetName val="Road Safety items"/>
      <sheetName val="Summary- Flyovers"/>
      <sheetName val="Spcn.Rept."/>
      <sheetName val="G.Abstract"/>
      <sheetName val="508"/>
      <sheetName val="504"/>
      <sheetName val="List off"/>
      <sheetName val="503"/>
      <sheetName val="401"/>
      <sheetName val="Lead.1"/>
      <sheetName val="Lead.2"/>
      <sheetName val="509"/>
      <sheetName val="Renewal Chart"/>
      <sheetName val="Certi. W.E"/>
      <sheetName val="IRC 13"/>
      <sheetName val="Det cum Abst"/>
      <sheetName val="Det. 1Rx900"/>
      <sheetName val="Gen.Abst."/>
      <sheetName val="Det.Ests."/>
      <sheetName val="Avg.lead"/>
      <sheetName val="mlead "/>
      <sheetName val="Sheet9 (3)"/>
      <sheetName val="W&amp;S(D)T.V. (1)"/>
      <sheetName val="W&amp;S(A)T.V. (1)"/>
      <sheetName val="Data ( 4)"/>
      <sheetName val="Bitu"/>
      <sheetName val="Lead (3)"/>
      <sheetName val="Lead (4)"/>
      <sheetName val="RMR (S) (2)"/>
      <sheetName val="RMR  (4)"/>
      <sheetName val=" Avg Lead"/>
      <sheetName val="Abs.900 pipe"/>
      <sheetName val=" Abs.800 pipe"/>
      <sheetName val="Det. 1Rowx800"/>
      <sheetName val="DET_PIPE_1Rx600"/>
      <sheetName val="Rd Data"/>
      <sheetName val=" Specification"/>
      <sheetName val="Abs.Cw pipe"/>
      <sheetName val="Abs.Cw pipe (Sanctioned)"/>
      <sheetName val=" Det.CW Pipe"/>
      <sheetName val="  Deviation.statement-1"/>
      <sheetName val="  Deviation.statement- (2)"/>
      <sheetName val="  Deviation.statement- (3)"/>
      <sheetName val="input 2017-18"/>
      <sheetName val="summary-final rev "/>
      <sheetName val="summary of BT items"/>
      <sheetName val="GSB with crushed metal"/>
      <sheetName val="5 "/>
      <sheetName val="8 with edited items"/>
      <sheetName val="crack seal"/>
      <sheetName val="summary-CCPavmnt"/>
      <sheetName val="ccpavement"/>
      <sheetName val="88"/>
      <sheetName val="Bridge 1Abstract"/>
      <sheetName val="Bridge Detailed"/>
      <sheetName val="bridge data mod "/>
      <sheetName val="Approaches Detailed Estimate"/>
      <sheetName val="Approaches abstract"/>
      <sheetName val="COMPARE Approach"/>
      <sheetName val="dETAILED approach data"/>
      <sheetName val="Sheet1 _2_"/>
      <sheetName val="Slab-2m"/>
      <sheetName val="HP-800"/>
      <sheetName val="HP-600 "/>
      <sheetName val="Del est"/>
      <sheetName val="She_A"/>
      <sheetName val="QDTS"/>
      <sheetName val=" Gen Abstract"/>
      <sheetName val=" RMR"/>
      <sheetName val="Datas(OLD)"/>
      <sheetName val="CVRoad (2)"/>
      <sheetName val="CVRoad"/>
      <sheetName val=" KR Road"/>
      <sheetName val="Abst.New"/>
      <sheetName val=" V-N Road"/>
      <sheetName val="Link Roads"/>
      <sheetName val="Kanimella"/>
      <sheetName val="Gen.Abst.KR"/>
      <sheetName val="KR.OGPC"/>
      <sheetName val="OGPC-DATA"/>
      <sheetName val="OGPC"/>
      <sheetName val="RMR OGPC"/>
      <sheetName val="Lead-KR"/>
      <sheetName val=" Abstract (KR)"/>
      <sheetName val="RC Est"/>
      <sheetName val="Splitting"/>
      <sheetName val="gen. abstr"/>
      <sheetName val="typical"/>
      <sheetName val="2M. SLAB KM 2.8"/>
      <sheetName val="2M.RCC Slab KM 4.2"/>
      <sheetName val="Culvert  -data-6x3"/>
      <sheetName val="BRDG DATA 1 (2)"/>
      <sheetName val="RMR o"/>
      <sheetName val="Wells Data"/>
      <sheetName val="det. culvert o"/>
      <sheetName val="abs.culvert o"/>
      <sheetName val="CD DATA 1"/>
      <sheetName val="HYD.PARTICULARS "/>
      <sheetName val="abs.appr.(dont use)"/>
      <sheetName val="HYD.PARTICULARS -o"/>
      <sheetName val="det. appr.(dont use)"/>
      <sheetName val="Retain- wall small-O"/>
      <sheetName val="Retain- wall overall-O"/>
      <sheetName val="Slab- Drg "/>
      <sheetName val="Slab- Drg  (2)"/>
      <sheetName val="Slab- Drg  final"/>
      <sheetName val="Retain- wall"/>
      <sheetName val="DESIGN 5M  SLAB -1"/>
      <sheetName val="DESIGN 5M  SLAB -O"/>
      <sheetName val="BRDG DATA 1"/>
      <sheetName val="rwall 5"/>
      <sheetName val="KM 6-6 Culvert"/>
      <sheetName val="2.9. Payment Balance"/>
      <sheetName val="wage- non wage"/>
      <sheetName val="new data"/>
      <sheetName val="work  sheet"/>
      <sheetName val="inputssr"/>
      <sheetName val="schedule A"/>
      <sheetName val="Eligibility"/>
      <sheetName val="D-A-Est."/>
      <sheetName val="Checkslip"/>
      <sheetName val="RMR(Metals)"/>
      <sheetName val="Average RMR"/>
      <sheetName val="Data(Mtc.) (F)"/>
      <sheetName val="Data( KM Stone)"/>
      <sheetName val="Data( HM Stone)"/>
      <sheetName val="Data( Guard Stone)"/>
      <sheetName val="2-6 CD work"/>
      <sheetName val="CD2-2"/>
      <sheetName val="cd 2Rows 3-6"/>
      <sheetName val="Slab Culvert "/>
      <sheetName val="Lead Y-G Road"/>
      <sheetName val="Recording"/>
      <sheetName val="comp stmt"/>
      <sheetName val="L.S LEVLS"/>
      <sheetName val=" LS"/>
      <sheetName val="tbmLEVLS (2)"/>
      <sheetName val="Spec "/>
      <sheetName val="Sketch (2)"/>
      <sheetName val="1-800"/>
      <sheetName val="Sketch"/>
      <sheetName val="Qmap"/>
      <sheetName val="GSB2"/>
      <sheetName val="WMM2"/>
      <sheetName val="II nd &amp;  PART Bill"/>
      <sheetName val="I st &amp;  PART Bill"/>
      <sheetName val="measures"/>
      <sheetName val="wmm11a"/>
      <sheetName val="Seign (2)"/>
      <sheetName val="Abs est (2)"/>
      <sheetName val="Det est (2)"/>
      <sheetName val="C.D C.S"/>
      <sheetName val="Typical C.S (2)"/>
      <sheetName val="Road data (2)"/>
      <sheetName val="2-800"/>
      <sheetName val="Proposed sketch"/>
      <sheetName val="Cert-1"/>
      <sheetName val="Cert-1 (2)"/>
      <sheetName val="Q.Map"/>
      <sheetName val="Strip 10 to 20"/>
      <sheetName val="Strip 20to 30"/>
      <sheetName val="C.S"/>
      <sheetName val="BTLeads (2)"/>
      <sheetName val="LEAD FOR BT"/>
      <sheetName val="report (dummy)"/>
      <sheetName val="wing"/>
      <sheetName val="WorkSlipBriges"/>
      <sheetName val="AbsEstBridge"/>
      <sheetName val="AbsApp"/>
      <sheetName val="DetEstBridge"/>
      <sheetName val="Qua Map "/>
      <sheetName val="Det Apprches"/>
      <sheetName val="Lead-3"/>
      <sheetName val="spec rept "/>
      <sheetName val="Det Est -1"/>
      <sheetName val="spec rept"/>
      <sheetName val="Det - CDW"/>
      <sheetName val="AG lead "/>
      <sheetName val="Certificates (2)"/>
      <sheetName val="guide post data"/>
      <sheetName val="guide post data-link"/>
      <sheetName val="T NOTE"/>
      <sheetName val="CrstDsn"/>
      <sheetName val="Rates 2014-15"/>
      <sheetName val="R wall D"/>
      <sheetName val="Spe Report"/>
      <sheetName val="Spe Report 1"/>
      <sheetName val="DETEST (Road)"/>
      <sheetName val="Culvert Details"/>
      <sheetName val="C.C ramps"/>
      <sheetName val="Box Culvert 3x3x3"/>
      <sheetName val="R.S.I"/>
      <sheetName val="C.C p&amp; Drain"/>
      <sheetName val="Quantities1"/>
      <sheetName val="GBS"/>
      <sheetName val="Sp.Rt."/>
      <sheetName val="Road est.CSP"/>
      <sheetName val="lead chart.. "/>
      <sheetName val="QUARY.MAP (2)"/>
      <sheetName val="Ren Chart"/>
      <sheetName val="certificate.1"/>
      <sheetName val="certificate.2"/>
      <sheetName val="certificate .3.."/>
      <sheetName val="certificate .4."/>
      <sheetName val="end..."/>
      <sheetName val="Road widths"/>
      <sheetName val="deleted"/>
      <sheetName val="deleted.."/>
      <sheetName val="r data"/>
      <sheetName val="Spe rep"/>
      <sheetName val="Com"/>
      <sheetName val="Price"/>
      <sheetName val="R. Value."/>
      <sheetName val="GAB "/>
      <sheetName val="broad"/>
      <sheetName val="Sheet1 "/>
      <sheetName val="EST.2 RowS"/>
      <sheetName val="SLAB CULVERT 1.0 M"/>
      <sheetName val="SLAB CULVERT 2.0 M"/>
      <sheetName val="EW. 2."/>
      <sheetName val="RET WALL.DRG.3"/>
      <sheetName val="RET WALL.DRG.2"/>
      <sheetName val="RET WALL.DRG.1"/>
      <sheetName val="RET.WALL.EST."/>
      <sheetName val="2 R NO CASNG"/>
      <sheetName val="EST.PIPE CULVERTS"/>
      <sheetName val="1 R. CASING "/>
      <sheetName val="1 R. NO CASING"/>
      <sheetName val="2 R CASNG "/>
      <sheetName val="Road est.CP"/>
      <sheetName val="TYPICAL CS.1.."/>
      <sheetName val="certificate.5"/>
      <sheetName val="TYPICAL CS.1."/>
      <sheetName val="TYPICAL CS.2."/>
      <sheetName val="TYPICAL CS. (1)"/>
      <sheetName val="TYPICAL CS. (2)"/>
      <sheetName val="Crust Design.1"/>
      <sheetName val="SLAB CULVERTS.EST"/>
      <sheetName val="CC Drain Est"/>
      <sheetName val="certificate.5.."/>
      <sheetName val="Slab- Drg. "/>
      <sheetName val="det. culvert"/>
      <sheetName val="back "/>
      <sheetName val="COVER-WOR"/>
      <sheetName val="Generic - Abs"/>
      <sheetName val="Generic - Sheet"/>
      <sheetName val="GST - Abs "/>
      <sheetName val="HR"/>
      <sheetName val="Sei"/>
      <sheetName val="RE CIVIL &amp; WS"/>
      <sheetName val="WS &amp; SA"/>
      <sheetName val="Ele Est."/>
      <sheetName val="conveyance "/>
      <sheetName val="Civil SoR"/>
      <sheetName val="WS SoR "/>
      <sheetName val="abst(cd-works)"/>
      <sheetName val="2vent culvert (2)"/>
      <sheetName val="2vent culvert"/>
      <sheetName val="1vent culvert (2)"/>
      <sheetName val="1vent culvert"/>
      <sheetName val="road dam (2)"/>
      <sheetName val="berole est"/>
      <sheetName val="RIDF_VI"/>
      <sheetName val="Phy.progress"/>
      <sheetName val="(ridf-II)"/>
      <sheetName val="(bridge-pro)"/>
      <sheetName val="(Road-Project)"/>
      <sheetName val="(IV)"/>
      <sheetName val="V&amp; VI"/>
      <sheetName val="ridf-i-v"/>
      <sheetName val="(III)"/>
      <sheetName val="Nab-Rworks"/>
      <sheetName val="(PR.REPORT)"/>
      <sheetName val="mont-nab (2)"/>
      <sheetName val="Nab"/>
      <sheetName val="REP  "/>
      <sheetName val="B A"/>
      <sheetName val="B D"/>
      <sheetName val="AE Water Supply"/>
      <sheetName val="DE Water Supply"/>
      <sheetName val="C W A  "/>
      <sheetName val="C W D "/>
      <sheetName val="DAE W S &amp; S "/>
      <sheetName val="DISM A  "/>
      <sheetName val="DISM D "/>
      <sheetName val="ELECTRICAL "/>
      <sheetName val="Seigniorage Statement "/>
      <sheetName val="LEADS DATA"/>
      <sheetName val="M.R"/>
      <sheetName val="Sanatory Data"/>
      <sheetName val="CIVIL WORK DATA"/>
      <sheetName val="SA &amp; WA  DATA"/>
      <sheetName val="Scafolding &amp; Centering"/>
      <sheetName val="Conv Del"/>
      <sheetName val="Conv. 13-14"/>
      <sheetName val="Cover page Del"/>
      <sheetName val="SPECI (2)"/>
      <sheetName val="GEN-ABS Del"/>
      <sheetName val="SF Del"/>
      <sheetName val="W&amp;S Del"/>
      <sheetName val="Septic tank Del"/>
      <sheetName val="Price index"/>
      <sheetName val="2nd &amp; Pt. "/>
      <sheetName val="SSR 2009-10 "/>
      <sheetName val="LEAD 09-10"/>
      <sheetName val="C-data 09-10"/>
      <sheetName val="Basic Data 09-10"/>
      <sheetName val="Conv 09-10"/>
      <sheetName val="Material rates 09-10 for model "/>
      <sheetName val="Data 09-10"/>
      <sheetName val="LEAD 10-11"/>
      <sheetName val="SSR 2009-10 &amp; 2010-11 club "/>
      <sheetName val="SSR 2010-11"/>
      <sheetName val="Data 10-11"/>
      <sheetName val="C-data 10-11"/>
      <sheetName val="Conv 10-11"/>
      <sheetName val="Basic Data 10-11"/>
      <sheetName val="AX-B"/>
      <sheetName val="ProjectINfo"/>
      <sheetName val="AnexIIA"/>
      <sheetName val="Exe. Summary"/>
      <sheetName val="AX-7"/>
      <sheetName val="AbstractRoad"/>
      <sheetName val="ABTcd"/>
      <sheetName val="ABTcc"/>
      <sheetName val="DetRoad"/>
      <sheetName val="detCD2Rx800 "/>
      <sheetName val="Det1Rx800"/>
      <sheetName val="Det1Rx600"/>
      <sheetName val="detCC"/>
      <sheetName val="StripPlan"/>
      <sheetName val="TypeCS"/>
      <sheetName val="Prof1"/>
      <sheetName val="Anex1"/>
      <sheetName val="Anex2"/>
      <sheetName val="Anex3"/>
      <sheetName val="Anex5"/>
      <sheetName val="Anex6"/>
      <sheetName val="side"/>
      <sheetName val="CART (2)"/>
      <sheetName val="WAL  Vasudeva puram "/>
      <sheetName val="Rates 2008-09"/>
      <sheetName val="Legal Risk Analysis"/>
      <sheetName val="Dormitory-G+2"/>
      <sheetName val="Dormitory-G+2 ed"/>
      <sheetName val="D.B.Elec"/>
      <sheetName val="Septictank 200 users"/>
      <sheetName val="Staff Quarter-0 G+1"/>
      <sheetName val="S.Q.Elec-G+2"/>
      <sheetName val="CLASS IV QTY"/>
      <sheetName val="Class IV WS "/>
      <sheetName val="Class IV Ele CS"/>
      <sheetName val="Lab..Elec"/>
      <sheetName val="Dinning Actual"/>
      <sheetName val="W&amp;S Kit"/>
      <sheetName val="Elec Kit"/>
      <sheetName val="60 kl OHSR"/>
      <sheetName val="Bore well-Motor"/>
      <sheetName val="Estimate 60 OHSR Del"/>
      <sheetName val="2nd Floor School 1"/>
      <sheetName val="sb(ele)"/>
      <sheetName val="SB(W&amp;S)"/>
      <sheetName val="SB"/>
      <sheetName val="Staff Quarter-0"/>
      <sheetName val="S.Q.Elec-0"/>
      <sheetName val="P.Qurter"/>
      <sheetName val="P.Q.Elec"/>
      <sheetName val="Staff qurts G+1"/>
      <sheetName val="Staff Qutrs Elec"/>
      <sheetName val="E.DATA - 1"/>
      <sheetName val="E- DATA Del"/>
      <sheetName val="Ele-data1 Del"/>
      <sheetName val="P_REPORT"/>
      <sheetName val="ESTT_MOST"/>
      <sheetName val="M3"/>
      <sheetName val="GEn Abst "/>
      <sheetName val="AW 7.00 pile (2)"/>
      <sheetName val="Seigniorage (2)"/>
      <sheetName val="Data without water  (2)"/>
      <sheetName val="Elec.rates"/>
      <sheetName val="Data-San&amp;wat"/>
      <sheetName val="Sanitation"/>
      <sheetName val="F.F"/>
      <sheetName val="G.F"/>
      <sheetName val="Data without water "/>
      <sheetName val="Bldg.rates"/>
      <sheetName val="Centring charges"/>
      <sheetName val="conveyance 2"/>
      <sheetName val="Detail-estF6 (3)"/>
      <sheetName val="Abstract(F6) (3)"/>
      <sheetName val="SE"/>
      <sheetName val="Detail-estF6 (2)"/>
      <sheetName val="Item break"/>
      <sheetName val="Abstract(F6) (2)"/>
      <sheetName val="Detail-estF6"/>
      <sheetName val="cd work abs"/>
      <sheetName val="3V SC"/>
      <sheetName val="slab culvert (2)"/>
      <sheetName val="B BRIDGE"/>
      <sheetName val="1v 1000"/>
      <sheetName val="Ret wall (2)"/>
      <sheetName val="adl data"/>
      <sheetName val="Conv ch 11-12"/>
      <sheetName val="transport 10-11"/>
      <sheetName val="Road est ABS"/>
      <sheetName val=" CD WORKS DATA"/>
      <sheetName val="Conve 10-11 OK"/>
      <sheetName val="pipes rates"/>
      <sheetName val="1.5m SC 692,960,1750,2309,4140"/>
      <sheetName val="road dam 4700-4800"/>
      <sheetName val="1.0m SC 60,1220,5200-5400,5600-"/>
      <sheetName val="3.0 SC 3210,3840"/>
      <sheetName val="General Abstract "/>
      <sheetName val="Water supply &amp; Sanitory-ABS"/>
      <sheetName val="Sanitary -Final"/>
      <sheetName val="PHC-WS-EST"/>
      <sheetName val="PHC-WS"/>
      <sheetName val="Overall Comp stat (2)"/>
      <sheetName val="Gen Abst."/>
      <sheetName val="Est. TF"/>
      <sheetName val="Abst. all floors"/>
      <sheetName val="Gen abt compa"/>
      <sheetName val="Overall Comp stat"/>
      <sheetName val="det. GF"/>
      <sheetName val="Abst Stilt"/>
      <sheetName val="det. FF"/>
      <sheetName val="Abst. FF"/>
      <sheetName val="det. SF"/>
      <sheetName val="Abst. SF"/>
      <sheetName val="det. HR (TF)"/>
      <sheetName val="Abst.HR (TF)"/>
      <sheetName val="Abst. WS&amp;San"/>
      <sheetName val="Abst. Elec."/>
      <sheetName val="det. WHP"/>
      <sheetName val="Abst. WHP"/>
      <sheetName val="det. Comp."/>
      <sheetName val="Abst. Comp.wall"/>
      <sheetName val="estt.road"/>
      <sheetName val="Abst. Road"/>
      <sheetName val="C-data (01-03-2012)"/>
      <sheetName val="Joinery "/>
      <sheetName val="WS &amp; San data"/>
      <sheetName val="Civil-Abs"/>
      <sheetName val="Bid requirement"/>
      <sheetName val="Supplymental data"/>
      <sheetName val="WS&amp;S Data"/>
      <sheetName val="flexible pavement design OK"/>
      <sheetName val=" CD WORKS DATA Final"/>
      <sheetName val="CC4th (2)"/>
      <sheetName val="CC4th"/>
      <sheetName val="Seig4th"/>
      <sheetName val="Estt for road (2)"/>
      <sheetName val="Sei (2)"/>
      <sheetName val="Estt for road"/>
      <sheetName val="Data for Road "/>
      <sheetName val="LEAD CHARGES"/>
      <sheetName val="LOAD &amp; UNLOAD"/>
      <sheetName val="CIVIL - DATA"/>
      <sheetName val="mtw"/>
      <sheetName val="ACR(4)"/>
      <sheetName val="ACR Elec"/>
      <sheetName val="C.S (N)"/>
      <sheetName val="SKETCH Vipparlal"/>
      <sheetName val="RATES 2015 - 16"/>
      <sheetName val="MAP - LEGAL"/>
      <sheetName val="BillNo.5"/>
      <sheetName val="Bill No.6"/>
      <sheetName val="Bill No.7"/>
      <sheetName val="Misc."/>
      <sheetName val="Horizontal Curve"/>
      <sheetName val="Tru. &amp; bus laybye"/>
      <sheetName val="Timesheet"/>
      <sheetName val="STATIC"/>
      <sheetName val="scig"/>
      <sheetName val="Line Abs RSI"/>
      <sheetName val="1 R 800 "/>
      <sheetName val="2 R 800"/>
      <sheetName val="2 R 1000"/>
      <sheetName val="3 R 1000"/>
      <sheetName val="6 R 1000"/>
      <sheetName val="Line Abs CD"/>
      <sheetName val="Line CD "/>
      <sheetName val="Det RSI"/>
      <sheetName val="Line RSI"/>
      <sheetName val="CD Road data "/>
      <sheetName val="Keyplan"/>
      <sheetName val="StripLS"/>
      <sheetName val="Deg-cru"/>
      <sheetName val="ABS R"/>
      <sheetName val="DET R"/>
      <sheetName val="DET 1R"/>
      <sheetName val="PC-1R"/>
      <sheetName val="EW S"/>
      <sheetName val="EW C"/>
      <sheetName val="EW cross section"/>
      <sheetName val="1R 800 (2)"/>
      <sheetName val="1R 800 (1)"/>
      <sheetName val="BTR (2)"/>
      <sheetName val="BTR(1)"/>
      <sheetName val="Road data (1)"/>
      <sheetName val="RMR (2)"/>
      <sheetName val="RMR(1)"/>
      <sheetName val="Leads(1)"/>
      <sheetName val="map"/>
      <sheetName val="Anexure 7"/>
      <sheetName val="main abs"/>
      <sheetName val="spec(all) new-3"/>
      <sheetName val="road per abs"/>
      <sheetName val="Thallamadugu"/>
      <sheetName val="patrapalli"/>
      <sheetName val="Uyyalachintha"/>
      <sheetName val="Pullaiahgaripalli"/>
      <sheetName val="KG sathram"/>
      <sheetName val="Mathyam"/>
      <sheetName val="spec(all) new-1"/>
      <sheetName val="spec(all) new-2"/>
      <sheetName val="spec(all)"/>
      <sheetName val="Spec(PG)"/>
      <sheetName val="Spec(MP)"/>
      <sheetName val="spec (CH)"/>
      <sheetName val="com DATA"/>
      <sheetName val="BULIDING ITEM"/>
      <sheetName val="common material"/>
      <sheetName val="spec rep"/>
      <sheetName val="Working "/>
      <sheetName val="Spec working"/>
      <sheetName val="WMM patch"/>
      <sheetName val=" A&amp;O"/>
      <sheetName val=" Seigniorage charges"/>
      <sheetName val="Average lead"/>
      <sheetName val="Thallamadugu lead"/>
      <sheetName val="Patrapalli  lead"/>
      <sheetName val="Uyyalachinta lead"/>
      <sheetName val="Pullaiahgaripalli lead"/>
      <sheetName val="K.G satram lead"/>
      <sheetName val="PQ_173171_All"/>
      <sheetName val="PQ_249173_All"/>
      <sheetName val="PQ_084249_All"/>
      <sheetName val="PQ_080084_All"/>
      <sheetName val="PQ_079080_All"/>
      <sheetName val="ALL_EQ_079080"/>
      <sheetName val="ALL_EQ_249173"/>
      <sheetName val="ALL_EQ_084249"/>
      <sheetName val="ALL_EQ_080084"/>
      <sheetName val="ALL_EQ_173171"/>
      <sheetName val="All_earth_deduct"/>
      <sheetName val="Bridge_Earth_Deduct_079080"/>
      <sheetName val="Bridge_Earth_Deduct_249173"/>
      <sheetName val="Bridge_Earth_Deduct_173171"/>
      <sheetName val="Bridge_input"/>
      <sheetName val="PQ_249173_Aìl"/>
      <sheetName val="ROAD-EST (3)"/>
      <sheetName val="Drain Cs"/>
      <sheetName val="re"/>
      <sheetName val="lead123"/>
      <sheetName val="S-I &amp; S-II"/>
      <sheetName val="spe.report"/>
      <sheetName val="Estimate  (2)"/>
      <sheetName val="Seignarages (2)"/>
      <sheetName val="section (2)"/>
      <sheetName val="drawing (2)"/>
      <sheetName val="Abstract  for Drains"/>
      <sheetName val="Abstract  for Roads "/>
      <sheetName val="Dubbaka Drains"/>
      <sheetName val="Dubbaka Roads "/>
      <sheetName val="Detail RD"/>
      <sheetName val="1). BT RD "/>
      <sheetName val="1. BT"/>
      <sheetName val="1b). Bx Clvt"/>
      <sheetName val="1c). drain and foot path"/>
      <sheetName val="1. FOOTPATH"/>
      <sheetName val="2). BT RD ABST"/>
      <sheetName val="2. BT"/>
      <sheetName val="3. Single Arm Lights"/>
      <sheetName val="4) Jn Imp"/>
      <sheetName val="5.  CC roads"/>
      <sheetName val="5a) 0.3 DR"/>
      <sheetName val="5b) 0.45 DR"/>
      <sheetName val="5c) 0.60 DR"/>
      <sheetName val="5d) 0.90 X 0.75 DR"/>
      <sheetName val="5e)1.0 x 1.0 DR "/>
      <sheetName val="5f)1.2 x 1.0"/>
      <sheetName val="6) 1.5 x 1.5 DR "/>
      <sheetName val="6b) 1.8 x 1.5 dr"/>
      <sheetName val="6c) 2 x 1.80 dr"/>
      <sheetName val="6d)2.25 x 1.8 dr"/>
      <sheetName val="6e) 2.5 x 2.25 dr"/>
      <sheetName val="data ct, ms grl"/>
      <sheetName val="Data Parks"/>
      <sheetName val="2. BT DT"/>
      <sheetName val="2b). DR 1.0"/>
      <sheetName val="2d). BX CLVT"/>
      <sheetName val="data-Bld-19-20"/>
      <sheetName val="Cent'g--19-20"/>
      <sheetName val="3. BXCLVT"/>
      <sheetName val="2. Det - Estimate - CC Drain"/>
      <sheetName val="data-SWD"/>
      <sheetName val="Road data- MoRTH-5th Revision"/>
      <sheetName val="labour &amp; Hire-19-20"/>
      <sheetName val="Convey -19-20"/>
      <sheetName val="HDPE data"/>
      <sheetName val="SSR-Irri, R&amp;B, PH-19-20"/>
      <sheetName val="HM LGT "/>
      <sheetName val="highmast light data (2)"/>
      <sheetName val="central lighting data"/>
      <sheetName val="data-Bld-18-19"/>
      <sheetName val="1.CC RD"/>
      <sheetName val="2. CC RD"/>
      <sheetName val="2. 0.45 DR"/>
      <sheetName val="3. CC RD"/>
      <sheetName val="4. CC RD"/>
      <sheetName val="4. 0.45 DR"/>
      <sheetName val="5. CC RD"/>
      <sheetName val="6. CC RD"/>
      <sheetName val="6. 0.6 DR"/>
      <sheetName val="7. CC RD"/>
      <sheetName val="7. 0.6 DR"/>
      <sheetName val="8. CC RD"/>
      <sheetName val="9. CC RD"/>
      <sheetName val="10. CC RD"/>
      <sheetName val="11. CC RD"/>
      <sheetName val="Lead-19-20"/>
      <sheetName val="WE (3)"/>
      <sheetName val="abstract Bridge"/>
      <sheetName val="WE (2)"/>
      <sheetName val="SS Tanks &amp; WTPs"/>
      <sheetName val="Check Dam"/>
      <sheetName val="Intake well- Est"/>
      <sheetName val="Office - Source"/>
      <sheetName val="W.man.Qrt-Ambedkar Park"/>
      <sheetName val="Intake well"/>
      <sheetName val="ELSR-Below-500KL"/>
      <sheetName val="AE-CC"/>
      <sheetName val="DE_CC"/>
      <sheetName val="Master sheet-CC"/>
      <sheetName val="Ab-Drains"/>
      <sheetName val="AE-Drain"/>
      <sheetName val="DE-Drain"/>
      <sheetName val="AE-450 Culvert"/>
      <sheetName val="DE-450 Culvert"/>
      <sheetName val="AE-SS"/>
      <sheetName val="DE-SS"/>
      <sheetName val="Sheet2 (2)"/>
      <sheetName val="as per Vinay "/>
      <sheetName val="Stock "/>
      <sheetName val="As per Department "/>
      <sheetName val="Statement "/>
      <sheetName val="Pipe Line "/>
      <sheetName val="Specials "/>
      <sheetName val="NEW Design"/>
      <sheetName val="BW"/>
      <sheetName val="Pset"/>
      <sheetName val="3HP"/>
      <sheetName val="5HP"/>
      <sheetName val="Pumpingmain"/>
      <sheetName val="RO"/>
      <sheetName val="NEW OHSR DATA"/>
      <sheetName val="CI pipes data"/>
      <sheetName val="CI pipes"/>
      <sheetName val="10KL GLSR"/>
      <sheetName val="20KL GLSR"/>
      <sheetName val="Distr"/>
      <sheetName val="VC"/>
      <sheetName val="Air valve"/>
      <sheetName val="Sluice valve"/>
      <sheetName val="Data-Road_"/>
      <sheetName val="NEW_Design"/>
      <sheetName val="NEW_OHSR_DATA"/>
      <sheetName val="CI_pipes_data"/>
      <sheetName val="CI_pipes"/>
      <sheetName val="10KL_GLSR"/>
      <sheetName val="20KL_GLSR"/>
      <sheetName val="Air_valve"/>
      <sheetName val="Sluice_valve"/>
      <sheetName val="pipe_rate"/>
      <sheetName val="OHSR-COMP"/>
      <sheetName val="OHSR-DI"/>
      <sheetName val="C-Mat-Gen  leads datas"/>
      <sheetName val="18 BAVLA- DHOLKA "/>
      <sheetName val="19 SANAND tw"/>
      <sheetName val="20 Baldana ESR"/>
      <sheetName val="21 Bavla Gr"/>
      <sheetName val="22 Bavla TW"/>
      <sheetName val="23 Dholka gr"/>
      <sheetName val="24 Dholak Tw"/>
      <sheetName val="07 Madrisana gr"/>
      <sheetName val="08 Dangarva gr"/>
      <sheetName val="09 Nayakpur gr"/>
      <sheetName val="10 Ashok gr"/>
      <sheetName val="13 Trent gr"/>
      <sheetName val="14 Telav off"/>
      <sheetName val="PHMECH@"/>
      <sheetName val="STD_EST"/>
      <sheetName val="16 NIDRAD ESR"/>
      <sheetName val="17 KUVAR ESR"/>
      <sheetName val="15 Telav main "/>
      <sheetName val="06 DABHASAR H W"/>
      <sheetName val="04 Shiyal gr"/>
      <sheetName val="03 Viramgam"/>
      <sheetName val="02 Shahpur gr"/>
      <sheetName val="01 Hansalpur"/>
      <sheetName val="TEBDER AMOUNT"/>
      <sheetName val="SURENDRANAGAR-1"/>
      <sheetName val="SURENDRANAGAR-2"/>
      <sheetName val="18_BAVLA-_DHOLKA_"/>
      <sheetName val="19_SANAND_tw"/>
      <sheetName val="20_Baldana_ESR"/>
      <sheetName val="21_Bavla_Gr"/>
      <sheetName val="22_Bavla_TW"/>
      <sheetName val="23_Dholka_gr"/>
      <sheetName val="24_Dholak_Tw"/>
      <sheetName val="07_Madrisana_gr"/>
      <sheetName val="08_Dangarva_gr"/>
      <sheetName val="09_Nayakpur_gr"/>
      <sheetName val="10_Ashok_gr"/>
      <sheetName val="13_Trent_gr"/>
      <sheetName val="14_Telav_off"/>
      <sheetName val="16_NIDRAD_ESR"/>
      <sheetName val="17_KUVAR_ESR"/>
      <sheetName val="15_Telav_main_"/>
      <sheetName val="06_DABHASAR_H_W"/>
      <sheetName val="04_Shiyal_gr"/>
      <sheetName val="03_Viramgam"/>
      <sheetName val="02_Shahpur_gr"/>
      <sheetName val="01_Hansalpur"/>
      <sheetName val="TEBDER_AMOUNT"/>
      <sheetName val="procurement"/>
      <sheetName val="Gujrat"/>
      <sheetName val="LEad Basic"/>
      <sheetName val="Transfer"/>
      <sheetName val="Chennai"/>
      <sheetName val="Computation of WCT-04-05-old"/>
      <sheetName val="Bongaon"/>
      <sheetName val="Jeerat"/>
      <sheetName val="NJP"/>
      <sheetName val="BTB"/>
      <sheetName val="orders"/>
      <sheetName val="Gen Info"/>
      <sheetName val="Material_"/>
      <sheetName val="_AnalysisPCC"/>
      <sheetName val="Stability"/>
      <sheetName val="RAB 12"/>
      <sheetName val="3500 sump (2)"/>
      <sheetName val="3500kl SUMP WE"/>
      <sheetName val="valve chamber"/>
      <sheetName val="3500KL SUMP OE"/>
      <sheetName val="3100 sump"/>
      <sheetName val="Supplementary Data"/>
      <sheetName val="EST -1"/>
      <sheetName val="Data-Road 2015-16"/>
      <sheetName val="Lead 2015-16"/>
      <sheetName val="TRANSPORT-1"/>
      <sheetName val="sample PH (16X10Ñ"/>
      <sheetName val="137-140"/>
      <sheetName val="141-142"/>
      <sheetName val="ElectricalSSR"/>
      <sheetName val="NonSSR"/>
      <sheetName val="GA-Siddipet"/>
      <sheetName val="Zone&quot;C&quot;-Esti-21-4-17"/>
      <sheetName val="GA-Siddipet-100 C"/>
      <sheetName val="CC-Drains-Z-III"/>
      <sheetName val="GA-Siddipet-RCC Drain"/>
      <sheetName val="RCC Box Drain -1.50 x 2.00m"/>
      <sheetName val="data- SW Drains"/>
      <sheetName val="GA-Siddipet-100 C-Final-135.13."/>
      <sheetName val="GA-Siddipet-100 C-Final-135.15"/>
      <sheetName val="Zone&quot;M&amp;N&quot; Est."/>
      <sheetName val="250mm-P.Main"/>
      <sheetName val="Zone&quot;M&amp;N&quot; Est.Op-2"/>
      <sheetName val="Est.RCC-IC-0.6x0.9m"/>
      <sheetName val="Est.RCC-IC-0.6x0.8m"/>
      <sheetName val="Est.RCC-IC-0.6x0.7m"/>
      <sheetName val="Est.RCC-IC-0.6x0.6m"/>
      <sheetName val="DWC pipe from IC to MH"/>
      <sheetName val="Machinery-"/>
      <sheetName val="Zone&quot;C&quot;-Esti-25-4-17"/>
      <sheetName val="Zone&quot;C&quot;-Manholes"/>
      <sheetName val="Inspection chambers"/>
      <sheetName val="Sewer-HSC"/>
      <sheetName val="Inspection chamber-1"/>
      <sheetName val="U PVC pipe from IC to MH"/>
      <sheetName val="Gen sets-320 KVA "/>
      <sheetName val="Gen sets-250 KVA "/>
      <sheetName val="Approach Roads- CC"/>
      <sheetName val="HDPE pipe from IC to MH "/>
      <sheetName val="MH-Z-&quot;M &amp;N&quot;"/>
      <sheetName val="C-Mat-Gen-17-18"/>
      <sheetName val="data- Sewer -Final"/>
      <sheetName val="Est-CC Roads-"/>
      <sheetName val="DI &amp; MS pipes"/>
      <sheetName val="data-HDPE &amp; PVC pipes (2)"/>
      <sheetName val="Data- BT roads"/>
      <sheetName val="data-RCC-PE &amp; SS-SRC cement."/>
      <sheetName val="MH -0.90m dia-"/>
      <sheetName val="MH -1.20m dia"/>
      <sheetName val="MH -1.5m dia- 2.30 to 3m"/>
      <sheetName val="MH-est -1.5m-3 to 5m"/>
      <sheetName val="MH-est -1.5m-5 to 9m."/>
      <sheetName val="MH-est -1.8m-3 to 5m"/>
      <sheetName val="data-HDPE &amp; PVC pipes"/>
      <sheetName val="SSR-Irri, R&amp;B, PH-17-18"/>
      <sheetName val="Pipes &amp; Valves-17-18"/>
      <sheetName val="Bld.SoR-17-18"/>
      <sheetName val="Sanitary SSR-17-18"/>
      <sheetName val="Elec SSR 2016-17 New"/>
      <sheetName val="labour &amp; Hire-17-18"/>
      <sheetName val="Convey -17-18"/>
      <sheetName val="Lead-17-18"/>
      <sheetName val="Cent'g--17-18"/>
      <sheetName val="PH data-17-18"/>
      <sheetName val="data-Bld-17-18"/>
      <sheetName val="data-WS &amp; Sanitary-17-18"/>
      <sheetName val="MH-0.90m.dia-1.00m. depth "/>
      <sheetName val="MH-0.90m dia-1.10m to 1.60m"/>
      <sheetName val="MH-1.20m dia-1.65 to 2.30m"/>
      <sheetName val="MH.1.5m dia-2.40 to 3m"/>
      <sheetName val="MH.1.5m dia-3.10m to 5m"/>
      <sheetName val="MH.1.5m dia-5.1m to 8m"/>
      <sheetName val="MH.1.5m dia-8.1m to 10m"/>
      <sheetName val="Elc.Stnd.Data -New"/>
      <sheetName val="Data-Gen sets "/>
      <sheetName val="Elec SSR 2016-17 New (2)"/>
      <sheetName val="data-RWHS"/>
      <sheetName val="Elc.Stnd.Data -New (2)"/>
      <sheetName val="PH data-17-18 (2)"/>
      <sheetName val="Data for UGD"/>
      <sheetName val="sewer data modi"/>
      <sheetName val="sewer data"/>
      <sheetName val="Data for UGD (2)"/>
      <sheetName val="Data_for_UGD"/>
      <sheetName val="sewer_data_modi"/>
      <sheetName val="sewer_data"/>
      <sheetName val="Data_for_UGD_(2)"/>
      <sheetName val="ZoneIII(Pra)"/>
      <sheetName val="ZoneIII(APHB)"/>
      <sheetName val="(NSP)Table111"/>
      <sheetName val="(NSP)Table11"/>
      <sheetName val="ZoneIII(Bang)"/>
      <sheetName val="zonal wise"/>
      <sheetName val="APPENDIX-I"/>
      <sheetName val="Corr-spt"/>
      <sheetName val="Obs-spt"/>
      <sheetName val="Indices"/>
      <sheetName val="reinft"/>
      <sheetName val="glass project concrete"/>
      <sheetName val="glass project reift"/>
      <sheetName val="glass project indices"/>
      <sheetName val="Material&amp;equipment"/>
      <sheetName val="sept-plan"/>
      <sheetName val="Spt-BH"/>
      <sheetName val="Summary 0506"/>
      <sheetName val="Summary 0607- 31.MAR"/>
      <sheetName val="Other"/>
      <sheetName val="glass_project_concrete"/>
      <sheetName val="glass_project_reift"/>
      <sheetName val="glass_project_indices"/>
      <sheetName val="BH 12-11-10-13"/>
      <sheetName val="BH 12-11-10-9"/>
      <sheetName val="BH 36-15-37"/>
      <sheetName val="BH 16-35-25-17"/>
      <sheetName val="BH 35-25-17"/>
      <sheetName val="glass_project_concrete1"/>
      <sheetName val="glass_project_reift1"/>
      <sheetName val="glass_project_indices1"/>
      <sheetName val="SBC-BH_19"/>
      <sheetName val="BH_12-11-10-13"/>
      <sheetName val="BH_12-11-10-9"/>
      <sheetName val="BH_36-15-37"/>
      <sheetName val="BH_16-35-25-17"/>
      <sheetName val="BH_35-25-17"/>
      <sheetName val="REVISED4A PROG PERF-SITE 1"/>
      <sheetName val="Abstract Sheet"/>
      <sheetName val="V.O.4 - PCC Qty"/>
      <sheetName val="Crew"/>
      <sheetName val="Pipe Supports"/>
      <sheetName val="WWR"/>
      <sheetName val="Load Details-220kV"/>
      <sheetName val="SANJAY PAL"/>
      <sheetName val="P A SELVAM"/>
      <sheetName val="ANSARI "/>
      <sheetName val="abdesh pal"/>
      <sheetName val="sujay bagchi"/>
      <sheetName val="S.K.SINHA BASU"/>
      <sheetName val="NEDUNCHEZHIYAN"/>
      <sheetName val="RAJARAM"/>
      <sheetName val="KRISHNA PRASAD"/>
      <sheetName val="BARATH &amp; CO"/>
      <sheetName val="L B YADAV"/>
      <sheetName val="DEEPAK KUMAR"/>
      <sheetName val="MUKLAL YADAV"/>
      <sheetName val="MADHU SUDHAN"/>
      <sheetName val="SAUD ALAM "/>
      <sheetName val="RAMESH BABU"/>
      <sheetName val="SUKHENDUPAL"/>
      <sheetName val="SAILEN SARKAR"/>
      <sheetName val="elongovan"/>
      <sheetName val="SANJAY JENA1"/>
      <sheetName val="upendra saw "/>
      <sheetName val="ALLOK KUMAR "/>
      <sheetName val="CABLE DATA"/>
      <sheetName val="Stock-II"/>
      <sheetName val="FT-05-02IsoBOM"/>
      <sheetName val="[RecoveredExternalLink3]B_____2"/>
      <sheetName val="Rev S1 Abstract"/>
      <sheetName val="Quantity Abstract"/>
      <sheetName val="BS1"/>
      <sheetName val="11-hsd"/>
      <sheetName val="13-septic"/>
      <sheetName val="7-ug"/>
      <sheetName val="2-utility"/>
      <sheetName val="18-misc"/>
      <sheetName val="5-pipe"/>
      <sheetName val="Parapet"/>
      <sheetName val="[RecoveredExternalLink3]B_____3"/>
      <sheetName val="B@__x005f_x0000__x005f_x0004_@_x005f_x0000__x0000"/>
      <sheetName val="Summary_0506"/>
      <sheetName val="Summary_0607-_31_MAR"/>
      <sheetName val="B@_"/>
      <sheetName val="BOQ -II ph 2"/>
      <sheetName val="A-General"/>
      <sheetName val="B@___x0004_@_____$__"/>
      <sheetName val="SUMM"/>
      <sheetName val="DADAN-1"/>
      <sheetName val="d-safe specs"/>
      <sheetName val="class &amp; category"/>
      <sheetName val="Rein-Final (Ph 1+Ph2)"/>
      <sheetName val="pt_cw"/>
      <sheetName val="Metso - Forth &amp; Slurry 11.02.10"/>
      <sheetName val="Hystmnt (2)"/>
      <sheetName val="need"/>
      <sheetName val="estPM"/>
      <sheetName val="distrib"/>
      <sheetName val="VC99"/>
      <sheetName val="VC96"/>
      <sheetName val="Pumproom"/>
      <sheetName val="ltrt"/>
      <sheetName val="SPData"/>
      <sheetName val="pps"/>
      <sheetName val="m_est"/>
      <sheetName val="feature"/>
      <sheetName val="GAJWEL SEC EST"/>
      <sheetName val="Det.Cum Abst. (3)"/>
      <sheetName val="Det.Cum Abst. (2)"/>
      <sheetName val="Det.Cum Abst. (4)"/>
      <sheetName val="Det.Cum Abst."/>
      <sheetName val="Sheet2 (3)"/>
      <sheetName val="Ty.Cross Section"/>
      <sheetName val="unitratedata"/>
      <sheetName val="ssrdata"/>
      <sheetName val="Model-ssrData2008"/>
      <sheetName val="Raghuveer"/>
      <sheetName val="GA-Medak -1"/>
      <sheetName val="Medak-Mpl.office-2nd"/>
      <sheetName val="Medak-Mpl.office-1st"/>
      <sheetName val="Spec.Report.Medak"/>
      <sheetName val="C-Mat-Gen-"/>
      <sheetName val="data-Bld-15-16"/>
      <sheetName val="Total SSR-15-16"/>
      <sheetName val="labour&amp; Hire-15-16"/>
      <sheetName val="Convey -15-16"/>
      <sheetName val="Lead-15-16"/>
      <sheetName val="300mm HDPE to 300mm DI"/>
      <sheetName val="coffer dam"/>
      <sheetName val="Data-PL"/>
      <sheetName val="GRP Replace ment"/>
      <sheetName val="GA-Mancheriyal (2)"/>
      <sheetName val="Pipes &amp; Valves-SSR-16-17"/>
      <sheetName val="500 &amp; 600 mm P.Mains"/>
      <sheetName val="data-DI &amp; MS pipes"/>
      <sheetName val="Work slip "/>
      <sheetName val="worklsip-Abs"/>
      <sheetName val="GLBR data"/>
      <sheetName val="GLBR Lifting Data"/>
      <sheetName val="data-WS-16-17 "/>
      <sheetName val="New Elect Datas"/>
      <sheetName val="HOT Crane Comp"/>
      <sheetName val="300mm Pumping Main Hitech colon"/>
      <sheetName val="300mm Pumping Main IB TO ZONE 2"/>
      <sheetName val="300mm Pumping Main Hitech City"/>
      <sheetName val="100 -110 IC "/>
      <sheetName val="110 HDPE-110 HDPE"/>
      <sheetName val="Pipeline "/>
      <sheetName val="Pumping mains revised"/>
      <sheetName val="RCC Retaining wall .revised"/>
      <sheetName val="gravity mains.revised"/>
      <sheetName val="Modified data "/>
      <sheetName val="Oboslete pipes data"/>
      <sheetName val="Dist-revised"/>
      <sheetName val="HSCs  "/>
      <sheetName val="Rate ELSR's-20"/>
      <sheetName val="PLB Duct"/>
      <sheetName val="RR&amp; Testing Data"/>
      <sheetName val="RCC Retaining wall"/>
      <sheetName val="Rate ELSR's-15 mts"/>
      <sheetName val="new pumsets"/>
      <sheetName val="General abs reivsed"/>
      <sheetName val="Mancheriyal BOQ"/>
      <sheetName val="GA-Mancheriyal"/>
      <sheetName val="Dist-All Zones"/>
      <sheetName val="Gen sets-500 KVA"/>
      <sheetName val="Transf-400 KVA"/>
      <sheetName val="500 KL GLBR-"/>
      <sheetName val="1500 KL Sump-Col-2 Rows"/>
      <sheetName val="flowmeters"/>
      <sheetName val="500 KL ELSR-15m-St."/>
      <sheetName val="600 KL ELSR-13m-St."/>
      <sheetName val="800 KL ELSR-15m-St."/>
      <sheetName val="App,Road to Hillock"/>
      <sheetName val="COMPOUND WALL DETAIL"/>
      <sheetName val="Compound Walls"/>
      <sheetName val="Staff.Qrt-"/>
      <sheetName val="Elec &amp; Sani-Staff.Qrt"/>
      <sheetName val="Pump room-15x6m"/>
      <sheetName val="Elec-Pump room-"/>
      <sheetName val="Generator Room 8x5."/>
      <sheetName val="Elec-Generator Room-"/>
      <sheetName val="Gen sets-500 KVA "/>
      <sheetName val="Transf-400 KVA-final  "/>
      <sheetName val="HSCs"/>
      <sheetName val="discard"/>
      <sheetName val="SSR-Irri, R&amp;B, PH"/>
      <sheetName val="Bld.SoR-16-17 "/>
      <sheetName val="Sanitary SSR-16-17"/>
      <sheetName val="Elec SSR 2016-17"/>
      <sheetName val="C-Mat-16-17-"/>
      <sheetName val="Lead-16-17"/>
      <sheetName val="labour&amp; Hire-16-17"/>
      <sheetName val="Cent'g--16-17"/>
      <sheetName val="PH data-16-17"/>
      <sheetName val="DI &amp; CI-Spe-1"/>
      <sheetName val="drains-data-new"/>
      <sheetName val="data-WS &amp; Sanitary-16-17"/>
      <sheetName val="data-Soak pit "/>
      <sheetName val="Elc.Stnd.Data-16-17 "/>
      <sheetName val="Data-Transformers 16-17"/>
      <sheetName val="Data-Gen sets (2)"/>
      <sheetName val="Elc-data-new"/>
      <sheetName val="31-35"/>
      <sheetName val="Abstract  "/>
      <sheetName val="20kl data"/>
      <sheetName val="1100-27"/>
      <sheetName val="Absrct original "/>
      <sheetName val="10&amp;20 KLOHSR &amp; DI Spl (2)"/>
      <sheetName val="Com Stt Tank"/>
      <sheetName val="ABOVE 20KL OHSR &amp; DI Spl"/>
      <sheetName val="Com Stt DI Specials"/>
      <sheetName val="DI specials Esti"/>
      <sheetName val="Com Stt OFC"/>
      <sheetName val="Com Stt House Hold"/>
      <sheetName val="Com Stt Pipeline "/>
      <sheetName val="Absrct"/>
      <sheetName val="Com Stt Pipeline"/>
      <sheetName val="MB_Habwise_OHSR_Log_Book_KL_rep"/>
      <sheetName val="Compartiv"/>
      <sheetName val="gst 1"/>
      <sheetName val="GST"/>
      <sheetName val="POL"/>
      <sheetName val="Steel -PV"/>
      <sheetName val="Steel -POL"/>
      <sheetName val="BOCE"/>
      <sheetName val="SSR (2)"/>
      <sheetName val="90 KL OHBR (2)"/>
      <sheetName val="Pump House (3)"/>
      <sheetName val="GLBR at Tadvai"/>
      <sheetName val="est-800kl Rect (2)"/>
      <sheetName val="InF well Data"/>
      <sheetName val="InF Well Est (2)"/>
      <sheetName val="20Civ (2)"/>
      <sheetName val="6.20kl ohbr"/>
      <sheetName val="Pump House (2)"/>
      <sheetName val="RSF- 12.0 MLD "/>
      <sheetName val="Sump 30Kl "/>
      <sheetName val="Sump 60KL"/>
      <sheetName val="90KL OHBR"/>
      <sheetName val="Pump sets estimate-final"/>
      <sheetName val="General ABSTRCT- Mangapet "/>
      <sheetName val="100 KL OHBR"/>
      <sheetName val="Lead1415"/>
      <sheetName val="Data1415"/>
      <sheetName val="infl. data"/>
      <sheetName val="infiltrationwell"/>
      <sheetName val="1700kL-design-final"/>
      <sheetName val="1700kl-final-est"/>
      <sheetName val="150 KL OHBR"/>
      <sheetName val="RSF (2)"/>
      <sheetName val="90 KL OHBR Brahmanpally"/>
      <sheetName val="500 GLBR"/>
      <sheetName val="600 KL GLBR"/>
      <sheetName val="Pump room 23x12"/>
      <sheetName val="PUmp room 36x12"/>
      <sheetName val="9x6 pump room"/>
      <sheetName val="6x4 m pump room"/>
      <sheetName val="WM Qtr"/>
      <sheetName val="Comp wall"/>
      <sheetName val="90 KL BP Verticals"/>
      <sheetName val="3500 KL Sump"/>
      <sheetName val="2700 KL Sump"/>
      <sheetName val="3400 kl sump"/>
      <sheetName val="20 KL 10st OHBR"/>
      <sheetName val="400 KL Sump"/>
      <sheetName val="250 KL Sump"/>
      <sheetName val="150 KL Sump"/>
      <sheetName val="100 KL Sump"/>
      <sheetName val="60 KL Sump"/>
      <sheetName val="40 KL Sump"/>
      <sheetName val="20 KL Sump"/>
      <sheetName val="10 KL Sump"/>
      <sheetName val="60KL OHBR 22 m"/>
      <sheetName val="VC 100-200"/>
      <sheetName val="VC 250-400"/>
      <sheetName val="vc450-500"/>
      <sheetName val="VC600-700"/>
      <sheetName val="VC 750-1000"/>
      <sheetName val="Ghat road data"/>
      <sheetName val="Ghat road est"/>
      <sheetName val="40 KL OHBR"/>
      <sheetName val="100Kl"/>
      <sheetName val="segmentwise sub totals"/>
      <sheetName val="seg to dist"/>
      <sheetName val="dist to seg"/>
      <sheetName val="sheet main"/>
      <sheetName val="dist to segment"/>
      <sheetName val="Isolated Habitations"/>
      <sheetName val="Intra Village Works Mandal Wise"/>
      <sheetName val="krmn adb ridf"/>
      <sheetName val="Abstract - SE"/>
      <sheetName val="Abstract - Enc final"/>
      <sheetName val="Yellammagattu mula"/>
      <sheetName val="BOQ Mallepally"/>
      <sheetName val="BOQ  CHoutuppal"/>
      <sheetName val="Padmatigudem"/>
      <sheetName val="Sanabanda"/>
      <sheetName val="Rachakonda"/>
      <sheetName val="Iddonlathanda"/>
      <sheetName val="Gagillapur"/>
      <sheetName val="Kompally"/>
      <sheetName val="Devarakonda"/>
      <sheetName val="Kambalapally centre&amp;Kambalapall"/>
      <sheetName val="mukundapur"/>
      <sheetName val="Yellapur"/>
      <sheetName val="Puttagandi"/>
      <sheetName val="Khanapuram"/>
      <sheetName val="Gattumedi T"/>
      <sheetName val="Bogguladona"/>
      <sheetName val="Gonaboinapally"/>
      <sheetName val="chenchoni colony"/>
      <sheetName val="Elct.Data"/>
      <sheetName val="Mechanical Datas 2016-17"/>
      <sheetName val="MS pipes &amp; MS Manifold"/>
      <sheetName val="BOQ Format"/>
      <sheetName val="WD Elec"/>
      <sheetName val="Ele Comp"/>
      <sheetName val="WD Mech"/>
      <sheetName val="Mech Comp"/>
      <sheetName val="Pump set's data"/>
      <sheetName val="LT Panel"/>
      <sheetName val="Vacuum pump"/>
      <sheetName val="Peddapet(5 Hp)"/>
      <sheetName val="Peddapet(5 Hp) "/>
      <sheetName val="Barnuguda( 3 Hp) "/>
      <sheetName val="Karnapet  (10 Hp)"/>
      <sheetName val="Mamidipally (7.5 Hp) "/>
      <sheetName val="Lingapur(5 Hp)"/>
      <sheetName val="Lingapur (3 hp)"/>
      <sheetName val="Tallapet1 (10 Hp)"/>
      <sheetName val="Tallapet(7.5 Hp)"/>
      <sheetName val="Pangidisomaram(3 hp)"/>
      <sheetName val="Kothapally(5 Hp) "/>
      <sheetName val="Annaram (10 Hp) "/>
      <sheetName val="Naikapuguda( 3 Hp) "/>
      <sheetName val="Kancherbhai (3 hp) "/>
      <sheetName val="Mamidighat (7.5 Hp) "/>
      <sheetName val="Nethakanigudem( 3 Hp) "/>
      <sheetName val="Gudipally(5 Hp) "/>
      <sheetName val="Velala (10Hp)"/>
      <sheetName val="Velala( 5 Hp)"/>
      <sheetName val="Pownoor(3 Hp) "/>
      <sheetName val="Pownoor  (10 Hp) "/>
      <sheetName val="Dampur(5 Hp)"/>
      <sheetName val="Reddipally( 3 Hp) "/>
      <sheetName val="Reddipally( 10 Hp) "/>
      <sheetName val="Venkampet(3 Hp)"/>
      <sheetName val="Angrazpally (7.5 Hp) "/>
      <sheetName val="Mallampet (35 hp)"/>
      <sheetName val="Boppudi data sheet "/>
      <sheetName val="KITMC"/>
      <sheetName val="KI&amp;S"/>
      <sheetName val="Summary BS"/>
      <sheetName val="Summary Income Statement"/>
      <sheetName val="ProformaBS"/>
      <sheetName val="Names&amp;Cases"/>
      <sheetName val="DDM Valuation Summary"/>
      <sheetName val="Summary of Valuation"/>
      <sheetName val="Valuation Matrix"/>
      <sheetName val="KI&amp;S DisplayDCF"/>
      <sheetName val="KITMC DisplayDCF"/>
      <sheetName val="Reconciliation Summary IS"/>
      <sheetName val="TWO-WAY"/>
      <sheetName val="P.O VS Actual"/>
      <sheetName val="Copy of KITC_June28_reverted to"/>
      <sheetName val="1ST FLOOR BEAMS (B WING)"/>
      <sheetName val="Summary_BS"/>
      <sheetName val="Summary_Income_Statement"/>
      <sheetName val="DDM_Valuation_Summary"/>
      <sheetName val="Summary_of_Valuation"/>
      <sheetName val="Valuation_Matrix"/>
      <sheetName val="KI&amp;S_DisplayDCF"/>
      <sheetName val="KITMC_DisplayDCF"/>
      <sheetName val="Reconciliation_Summary_IS"/>
      <sheetName val="starter"/>
      <sheetName val="CC_Pave"/>
      <sheetName val="Maint_"/>
      <sheetName val="CC_Pave1"/>
      <sheetName val="Maint_1"/>
      <sheetName val="Machinary_Road Work"/>
      <sheetName val="Batching&amp;Pil POL"/>
      <sheetName val="Pil"/>
      <sheetName val="Steel Piling_POL"/>
      <sheetName val="CC_Pave2"/>
      <sheetName val="Maint_2"/>
      <sheetName val="srgr"/>
      <sheetName val=" Submitd"/>
      <sheetName val=" P.M BR"/>
      <sheetName val="Datasheet"/>
      <sheetName val="CONNECT"/>
      <sheetName val="D1_CO"/>
      <sheetName val="D2_CO"/>
      <sheetName val="JACKWELL"/>
      <sheetName val="wet mix"/>
      <sheetName val="MIyawaki"/>
      <sheetName val="Burning unit"/>
      <sheetName val="graveyard"/>
      <sheetName val="nakkalagutta"/>
      <sheetName val="Ekalavyanagar"/>
      <sheetName val="mominpura"/>
      <sheetName val="YEkeenpur"/>
      <sheetName val="MOchiwada"/>
      <sheetName val="katikasangam"/>
      <sheetName val="jama masjid"/>
      <sheetName val="sangam road muslim"/>
      <sheetName val="arfathpura"/>
      <sheetName val="muslim wd 23"/>
      <sheetName val="Thallacheuvu muslim"/>
      <sheetName val="hajipura muslim"/>
      <sheetName val="hindu yeskonigutta"/>
      <sheetName val="Christian yeskonigutta"/>
      <sheetName val="budiga jangam"/>
      <sheetName val="SC Allamayyagutta"/>
      <sheetName val="Erakalawada wd 8"/>
      <sheetName val="Gothrala sangam"/>
      <sheetName val="garveyards"/>
      <sheetName val="septic tanks-3 lakhs"/>
      <sheetName val="septic tank-5lakhs"/>
      <sheetName val="bore Est"/>
      <sheetName val="1 t0 11"/>
      <sheetName val="12 to 24"/>
      <sheetName val="25 to 33"/>
      <sheetName val="Mee seva compd wall"/>
      <sheetName val="toilets repair"/>
      <sheetName val="vehicle maintainance shed "/>
      <sheetName val="culvert data"/>
      <sheetName val=" wd 31 TUFIDC"/>
      <sheetName val="TUFIDC DATA"/>
      <sheetName val="WS "/>
      <sheetName val="Entry"/>
      <sheetName val="2.Input"/>
      <sheetName val="OHSR &gt;20kl"/>
      <sheetName val="8.OHSR-1 DI-40KL"/>
      <sheetName val="14.Dist Network_PVC"/>
      <sheetName val="15.Dist Network_HDPE"/>
      <sheetName val="16.OFC"/>
      <sheetName val="17.House Hold"/>
      <sheetName val="6.Specification_2"/>
      <sheetName val="5.Design"/>
      <sheetName val="OHSR -1"/>
      <sheetName val="Hab - Abs working"/>
      <sheetName val="Hab - Comp working"/>
      <sheetName val="OHSR-10 KL"/>
      <sheetName val="Distribution PVC"/>
      <sheetName val="Distribution PVC Comp"/>
      <sheetName val="Distribution HDPE Comp"/>
      <sheetName val="Dist Network_HDPE (2)"/>
      <sheetName val="House Hold working"/>
      <sheetName val="House Hold comp"/>
      <sheetName val="COVER PG"/>
      <sheetName val="SPEC RC"/>
      <sheetName val="DESIGN "/>
      <sheetName val="OHSR CI Part A"/>
      <sheetName val="OHSR CI Part B"/>
      <sheetName val="HDPE RC"/>
      <sheetName val="HDPE COMP"/>
      <sheetName val="PVC (W) (2)"/>
      <sheetName val="PVC (W)"/>
      <sheetName val="PVC COMP"/>
      <sheetName val="HDPE RC add"/>
      <sheetName val="HDPE add COMP "/>
      <sheetName val="OFC w2"/>
      <sheetName val="HHC w2"/>
      <sheetName val="HHC RC"/>
      <sheetName val="85 COL"/>
      <sheetName val="90kl"/>
      <sheetName val="thakallapally ohsr 60,40 (2)"/>
      <sheetName val="kothapally 40kl ohsr "/>
      <sheetName val="nanaknagar ohsr 60,40"/>
      <sheetName val="mall ohsr 90kl,60kl"/>
      <sheetName val="60KL OHSR "/>
      <sheetName val="120kl"/>
      <sheetName val="20kl"/>
      <sheetName val="40 kl"/>
      <sheetName val="60kl"/>
      <sheetName val="Chinta"/>
      <sheetName val="Est All (2)"/>
      <sheetName val="Machrla (3)"/>
      <sheetName val="05082017"/>
      <sheetName val="Pamreddypally"/>
      <sheetName val="spec1"/>
      <sheetName val="subestimate"/>
      <sheetName val="IR"/>
      <sheetName val="Photos - 2"/>
      <sheetName val="Photos -1"/>
      <sheetName val="lable I"/>
      <sheetName val="abs-1"/>
      <sheetName val="Road Est "/>
      <sheetName val="Road furniture"/>
      <sheetName val="Seignorage for this work"/>
      <sheetName val="key-Map "/>
      <sheetName val="1v_600_PC"/>
      <sheetName val="2v_600_PC"/>
      <sheetName val="2v_900_PC"/>
      <sheetName val="2v_1000_PC"/>
      <sheetName val="IR ok"/>
      <sheetName val="Road chart "/>
      <sheetName val="WE R wall"/>
      <sheetName val="WE "/>
      <sheetName val="WE Road-furniture"/>
      <sheetName val="WE Seig_Cal"/>
      <sheetName val="Det esti (2)"/>
      <sheetName val="Retaining-wall 400"/>
      <sheetName val="Lead for all materials"/>
      <sheetName val="Datas of GSB GII"/>
      <sheetName val="CD ABS 1"/>
      <sheetName val="1v_600_PC (2)"/>
      <sheetName val="1v 1000 PC"/>
      <sheetName val="2v_1000_PC "/>
      <sheetName val="sc_1v_3m 7250m,10680m"/>
      <sheetName val="sc_1v_5m at 890m"/>
      <sheetName val="Quarry mapp"/>
      <sheetName val="Key mapp"/>
      <sheetName val="Labour and Other Rates"/>
      <sheetName val="NP-3 Pipes"/>
      <sheetName val="NP-3 Collars"/>
      <sheetName val="Bridge est OK"/>
      <sheetName val="Bridge est ABS"/>
      <sheetName val="CC Road _Data"/>
      <sheetName val="CC PVMT"/>
      <sheetName val=" BT Estimate"/>
      <sheetName val="Lead charges 07-08"/>
      <sheetName val="Data_patch work"/>
      <sheetName val="CC 1st &amp; Final"/>
      <sheetName val="Template"/>
      <sheetName val="Conveyance 2017-18"/>
      <sheetName val="Dont corect the Right sd sheets"/>
      <sheetName val="Road Est (2)"/>
      <sheetName val="lable"/>
      <sheetName val="Road Est (4)"/>
      <sheetName val=" CD WORKS DATA "/>
      <sheetName val="key (5)"/>
      <sheetName val="key (4)"/>
      <sheetName val="Estt 2.98 L"/>
      <sheetName val="Building Lead "/>
      <sheetName val="Building Data"/>
      <sheetName val="Building Data All Floors"/>
      <sheetName val="Electrical Data 213-14"/>
      <sheetName val="Windows&amp; Doors Data (2)"/>
      <sheetName val="Windows&amp; Doors Data"/>
      <sheetName val="Building Data2013-14"/>
      <sheetName val="Tender Schedule"/>
      <sheetName val="Tender Schedule (2)"/>
      <sheetName val="Road Est (3)"/>
      <sheetName val="Agree Schedule"/>
      <sheetName val="Proceedings"/>
      <sheetName val="Agmnt"/>
      <sheetName val="tender comparitive"/>
      <sheetName val="Conveyance 2013-14"/>
      <sheetName val="Dismantling DATA MORD"/>
      <sheetName val="Dismantling Data "/>
      <sheetName val="1 R 800"/>
      <sheetName val="3R 1000"/>
      <sheetName val="Detailed Estimate 1 layer"/>
      <sheetName val="sub structure data"/>
      <sheetName val="BT FINAL"/>
      <sheetName val="R&amp;B DATAS"/>
      <sheetName val="Akkaram civil"/>
      <sheetName val="Mangole civil"/>
      <sheetName val="Thipparam Civil "/>
      <sheetName val="33 kV SS Estimate-Thipparam"/>
      <sheetName val="33 kV SS Estimate-Thipparam Com"/>
      <sheetName val="33 kV SS Estimate-Mangole"/>
      <sheetName val="33 kV SS Estimate-Akkaram"/>
      <sheetName val="32 KV SS Datas-2020-21"/>
      <sheetName val="32 KV SS Datas-2021-22"/>
      <sheetName val="elec data"/>
      <sheetName val="yard lighting Datas"/>
      <sheetName val="Sup Data "/>
      <sheetName val="WE Gen Comp St HDPE"/>
      <sheetName val="90 KL OHSR-1"/>
      <sheetName val="Comp SUB2"/>
      <sheetName val="90 KL PV 60"/>
      <sheetName val="OHSR-S"/>
      <sheetName val="OHSR-C"/>
      <sheetName val="90 KL OHSR-2"/>
      <sheetName val="Comp SUB2 1"/>
      <sheetName val="OHSR 2"/>
      <sheetName val="90 KL PV 60 - 2"/>
      <sheetName val="OHSR - S"/>
      <sheetName val="OHSR - C"/>
      <sheetName val="Comp SUB1"/>
      <sheetName val="CS RATE DATE"/>
      <sheetName val="SEIG "/>
      <sheetName val="Comp SUB1 (2)"/>
      <sheetName val="OHSR-1 (2)"/>
      <sheetName val="OHSR-1 (3)"/>
      <sheetName val="60 KL OHSR-1"/>
      <sheetName val="Comp SUB2 (2)"/>
      <sheetName val="OHSR 1"/>
      <sheetName val="60 KL PV 60"/>
      <sheetName val="OHSR-S (2)"/>
      <sheetName val="OHSR-C (2)"/>
      <sheetName val="HH"/>
      <sheetName val="HH Comp"/>
      <sheetName val="Blocks "/>
      <sheetName val="7F"/>
      <sheetName val="SSR 17-18"/>
      <sheetName val="OHSR-1"/>
      <sheetName val="Habcodes"/>
      <sheetName val=" 09.07.10 M顅ᎆ뤀ᨇ԰_缀_"/>
      <sheetName val=" _¢_x0002_&amp;"/>
      <sheetName val="_x0002__뻘N___x0001_ࠀ역서"/>
      <sheetName val="Mandal WD Gen Abst(NRDWP+Nab)"/>
      <sheetName val="Mandal WD Abst(NRDWP)"/>
      <sheetName val="Mandal WD Abst (Nabard)"/>
      <sheetName val="Mandal Abst Compr(NRDWP)"/>
      <sheetName val="Mandal Abst Compr (Nabard)"/>
      <sheetName val="Specifi"/>
      <sheetName val="Abstract (625)"/>
      <sheetName val="Abstractcomp"/>
      <sheetName val="AbstractC"/>
      <sheetName val="AbstractC-COMP"/>
      <sheetName val="Abstract Embedded taxes"/>
      <sheetName val="AbstractC embedded"/>
      <sheetName val="NRDWP+NABARD-COMP"/>
      <sheetName val="NRDWP-Specifi."/>
      <sheetName val="Abstract and Comp of 625 &amp; 688"/>
      <sheetName val="Specifi.(NRDWP+NABARD)"/>
      <sheetName val="Name Board"/>
      <sheetName val="RCC Ladder 4 mtrs"/>
      <sheetName val="RCC railing"/>
      <sheetName val="60KLOHSR "/>
      <sheetName val="20kl Com"/>
      <sheetName val="GST EST OHSR"/>
      <sheetName val="Lead OHSR  2017-18"/>
      <sheetName val="ABSTRACT(NRDWP+NABARD)"/>
      <sheetName val="Rates as per PH"/>
      <sheetName val="Lead- cHAMBERS"/>
      <sheetName val="LEAD LOOKUP"/>
      <sheetName val="Lead VC I"/>
      <sheetName val="Lead concrete blocks"/>
      <sheetName val="Concrete blocks - PV"/>
      <sheetName val="GM&amp;PM EST- final "/>
      <sheetName val="DI-AV-HDPE- Final "/>
      <sheetName val="DI_scour-DI-final"/>
      <sheetName val="DI_scour-pvc-hdpe-psc-bwsc"/>
      <sheetName val="DI SV on DI-final "/>
      <sheetName val="DI Sluice_HDPE"/>
      <sheetName val="60-70"/>
      <sheetName val="80-100"/>
      <sheetName val="Emulsion MS"/>
      <sheetName val=" HSD"/>
      <sheetName val="WS-SOR"/>
      <sheetName val="WS SoR"/>
      <sheetName val="E-Data 20-21 Approved"/>
      <sheetName val="Civil Est"/>
      <sheetName val="WS Est"/>
      <sheetName val="Ele Estimate"/>
      <sheetName val="Paint"/>
      <sheetName val="GA(upload)"/>
      <sheetName val="Civil Engg College"/>
      <sheetName val="Shed - Abstract"/>
      <sheetName val="WS - Abstract"/>
      <sheetName val="Engg College - Details"/>
      <sheetName val="Shed- Details"/>
      <sheetName val="RE Cov Sheet"/>
      <sheetName val="RE GA MGU"/>
      <sheetName val="WE Gen Abs"/>
      <sheetName val="Revised Estimate"/>
      <sheetName val="RE Electrical"/>
      <sheetName val="Suppl.C-data"/>
      <sheetName val="Suppl.Joinery"/>
      <sheetName val="Suppl.WS Data"/>
      <sheetName val="Shed "/>
      <sheetName val="Suppl. Ele Data"/>
      <sheetName val="data-WS "/>
      <sheetName val="Trust blocks-350mm"/>
      <sheetName val="Qualification"/>
      <sheetName val="CIVIL-DIV"/>
      <sheetName val="WS-DIV"/>
      <sheetName val="Ele Datas"/>
      <sheetName val="GA2"/>
      <sheetName val="Septic Tank Civil Estimate"/>
      <sheetName val="Lift Civil Works"/>
      <sheetName val="WS Estimate"/>
      <sheetName val="OXY-ICU"/>
      <sheetName val="Ele-ICU"/>
      <sheetName val="Civil-Est"/>
      <sheetName val="A.Shed Details"/>
      <sheetName val="WS-Est"/>
      <sheetName val="GA Final"/>
      <sheetName val="CIV-DIV"/>
      <sheetName val="CVL-ABS"/>
      <sheetName val="All E-Data 21-22 Final"/>
      <sheetName val="WS det"/>
      <sheetName val="E WS"/>
      <sheetName val="E Civil"/>
      <sheetName val="ele boq"/>
      <sheetName val="DAE7V6 "/>
      <sheetName val="GO35 Cover Page"/>
      <sheetName val="ET Cover Page"/>
      <sheetName val="Msrmnts Cover Page"/>
      <sheetName val="Spec. Report"/>
      <sheetName val="Spec. Report (2)"/>
      <sheetName val="Sanitary Works"/>
      <sheetName val="IDOC Wgl"/>
      <sheetName val="Short &amp; Long form"/>
      <sheetName val="D. Abstract - Civil"/>
      <sheetName val="D. Abstract Sanitary"/>
      <sheetName val="D. Abstract Roads"/>
      <sheetName val="Short form CS CIVIL"/>
      <sheetName val="Short form CS SANITARY"/>
      <sheetName val="Short form CS ROAD"/>
      <sheetName val="Long form CS CIVIL"/>
      <sheetName val="Long form CS SANITARY"/>
      <sheetName val="Long form CS ROAD"/>
      <sheetName val="EnC C.Statement CIVIL"/>
      <sheetName val="Comp.Statement CIVIL"/>
      <sheetName val="EnC C.Statement SANITARY"/>
      <sheetName val="CONC BP M25"/>
      <sheetName val="CIVIL E.Tax"/>
      <sheetName val="Seignorage Charges"/>
      <sheetName val="CIVIL Seig. Charges"/>
      <sheetName val="Min.chamber"/>
      <sheetName val="FIRST FLOOR (2)"/>
      <sheetName val="ELE (2)"/>
      <sheetName val="Measurements (2)"/>
      <sheetName val="Title Sheet"/>
      <sheetName val="S.Report"/>
      <sheetName val="S.Report (2)"/>
      <sheetName val="RE Corrected"/>
      <sheetName val="SE CM"/>
      <sheetName val="EE CM-2"/>
      <sheetName val="SE CM-1"/>
      <sheetName val="C. Bill"/>
      <sheetName val="Seigniorage  (1)"/>
      <sheetName val="cement calculation sheet (2)"/>
      <sheetName val="Cement 94"/>
      <sheetName val="FE 500 calculation "/>
      <sheetName val="Steel 94 Fe 500"/>
      <sheetName val="FE 250 calculation "/>
      <sheetName val="Steel 94 Fe 250"/>
      <sheetName val="Elec-Datas"/>
      <sheetName val="C.Rates Leakage (2)"/>
      <sheetName val="C.Rates Leakage"/>
      <sheetName val="Steel detailed Cum"/>
      <sheetName val="Steel detailed 10th RA"/>
      <sheetName val="Mild Steel detailed 10th RA"/>
      <sheetName val="Steel ABSTRACT"/>
      <sheetName val="Cement Detailed"/>
      <sheetName val="Cement Detailed 10th RA"/>
      <sheetName val="Cement abstarct"/>
      <sheetName val="NP-3 PIPE"/>
      <sheetName val="Oxygen Pipe"/>
      <sheetName val="Elec Est"/>
      <sheetName val="All E-Data 21-22"/>
      <sheetName val="DIV-CIVIL"/>
      <sheetName val="Div-WS"/>
      <sheetName val="RE Gen Abs"/>
      <sheetName val="Suppl. WS Data"/>
      <sheetName val="e-civil"/>
      <sheetName val="e-ele"/>
      <sheetName val="Nurse Station"/>
      <sheetName val="W.S. Items"/>
      <sheetName val="Ele Con"/>
      <sheetName val="Revise Estimate"/>
      <sheetName val="G A"/>
      <sheetName val="WS Data (2)"/>
      <sheetName val="Load sheet"/>
      <sheetName val="Internal Wiring in Fixtures"/>
      <sheetName val="WATER HEATERS"/>
      <sheetName val="WATER COOLERS"/>
      <sheetName val="LT panels, cables , Cable trays"/>
      <sheetName val="LIGHTNING PROTECTION SYSTEM"/>
      <sheetName val="UPS SYSTEM"/>
      <sheetName val="LIFTS (2)"/>
      <sheetName val="EXTERNAL DG SETS"/>
      <sheetName val="External Electrification"/>
      <sheetName val="Street Lights"/>
      <sheetName val="Submersible Motor Pumpset, "/>
      <sheetName val="EPABX "/>
      <sheetName val="LAN wiring &amp; Race way"/>
      <sheetName val=" TV  &amp; CC SURVEILLANCE SYSTEMS"/>
      <sheetName val="PUBLIC ADDRESS SYSTEM"/>
      <sheetName val="NURSE CALL SYSTEM"/>
      <sheetName val="ACCESS CONTROL SYSTEM"/>
      <sheetName val="BUILDING MANAGEMENT SYSTEM"/>
      <sheetName val="AUDIO AND VIDEO SYSTEM"/>
      <sheetName val="Modulat OT'S"/>
      <sheetName val="Panels"/>
      <sheetName val="Data's sheet"/>
      <sheetName val="BOQ PANEL DATAS"/>
      <sheetName val="Total Data"/>
      <sheetName val="WATER LEAK DETECTION SYSTEM"/>
      <sheetName val="RODENT REPELLENT SYSTEM "/>
      <sheetName val="Talk back system"/>
      <sheetName val="Block - Abstract "/>
      <sheetName val="Elect Est TOTAL"/>
      <sheetName val="Schedule H"/>
      <sheetName val="A.Q. Bridge"/>
      <sheetName val="C.S.A.Bridge"/>
      <sheetName val="SS -Bridge"/>
      <sheetName val="2 x 4 x 3.5"/>
      <sheetName val="2 x 4 x 4.5"/>
      <sheetName val="2 x 5 x 4.5"/>
      <sheetName val="Cal - 18-19"/>
      <sheetName val="Lead statement - 2018-19"/>
      <sheetName val="Bitumen-2017-18"/>
      <sheetName val="2 x 4 x 3"/>
      <sheetName val="2 x 5 x 3"/>
      <sheetName val="1 x 12 x 4.5"/>
      <sheetName val="1 x 12 x 4"/>
      <sheetName val="23+300"/>
      <sheetName val="30+100"/>
      <sheetName val="39+100"/>
      <sheetName val="55+260"/>
      <sheetName val="61+250"/>
      <sheetName val="82+255"/>
      <sheetName val="Drain (2)"/>
      <sheetName val="ABS (Flex)"/>
      <sheetName val="BILL-NO-2"/>
      <sheetName val="BILL NO -3"/>
      <sheetName val="BILL NO -4"/>
      <sheetName val="BILL NO 5"/>
      <sheetName val="BILL NO-6"/>
      <sheetName val="BILL NO-9."/>
      <sheetName val="BILL NO-10"/>
      <sheetName val="l.a.RCC Retaining Wall-4m ht"/>
      <sheetName val="l.b) RCC Retaining wall -5m ht"/>
      <sheetName val="l.c RCC Retaining wall -6m"/>
      <sheetName val="Cal - 17-18"/>
      <sheetName val="Lead statement - 2017-18"/>
      <sheetName val="BILL NO-1"/>
      <sheetName val="BILL NO -4 (2)"/>
      <sheetName val="BILL NO 7"/>
      <sheetName val="BILL NO-8"/>
      <sheetName val="BILL NO-9"/>
      <sheetName val="BILLNO-10"/>
      <sheetName val="Junction Abstract"/>
      <sheetName val="MAJOR + JUNCTION"/>
      <sheetName val="Major-Y"/>
      <sheetName val="Minor-T"/>
      <sheetName val="Minor +"/>
      <sheetName val="Minor-Y"/>
      <sheetName val="BILLNO-11"/>
      <sheetName val="Evaluate"/>
      <sheetName val="Cal Sheet Att"/>
      <sheetName val="Spread Sheet for Grade separato"/>
      <sheetName val="GS -21+700"/>
      <sheetName val=" Grade Separator 25+636"/>
      <sheetName val="Spread Sheet for bridge"/>
      <sheetName val="LVUP-1 x 12.0 x 4.0"/>
      <sheetName val="MNB-2X25.0"/>
      <sheetName val="21.440-22.350"/>
      <sheetName val="23.600-24.500"/>
      <sheetName val=" trumphet Portion"/>
      <sheetName val="Avg ht .3.0m - 245.0 "/>
      <sheetName val="Avg ht 10.0m - 78.0"/>
      <sheetName val=" Avg ht 10.0m - 55.0m "/>
      <sheetName val=" Avg ht 8.0 m - 118.0"/>
      <sheetName val="Backup PRW - VIIA"/>
      <sheetName val="Ave_wtd_rates"/>
      <sheetName val="final3"/>
      <sheetName val="1St certified RA bill"/>
      <sheetName val="Abstract )"/>
      <sheetName val="2+817 - Major"/>
      <sheetName val="5+686 - Widening"/>
      <sheetName val="12+773-Box minor"/>
      <sheetName val="13+890-Box minor"/>
      <sheetName val="14+342-Box minor"/>
      <sheetName val="19+994 - Widening (2)"/>
      <sheetName val="32+962-Box minor"/>
      <sheetName val="34+846-Box minor"/>
      <sheetName val="35+657-Box minor"/>
      <sheetName val="37+109-Box minor"/>
      <sheetName val="38+024-Box minor"/>
      <sheetName val="39+680 - Major"/>
      <sheetName val="39+898-Box minor"/>
      <sheetName val="Repairs &amp; Rehabilitation"/>
      <sheetName val="2 or 4 Lane"/>
      <sheetName val="1X2X1.5 - 2.6"/>
      <sheetName val="1X2X2 - 26"/>
      <sheetName val="1X2X2X2 .5- 36"/>
      <sheetName val="1 X 2 X 2.5 (26.0)"/>
      <sheetName val="1X2X3.0 -26"/>
      <sheetName val="1X2X3.0 WOE-56.0"/>
      <sheetName val="1X2X3.0X4 -36"/>
      <sheetName val="1X2X3.0X4 -43"/>
      <sheetName val="1 x 2 x 3.5-26"/>
      <sheetName val="1 X 3 X 2 - 16.0 "/>
      <sheetName val="1X3X3-56"/>
      <sheetName val="1X3X3-26"/>
      <sheetName val="1X3X3X2 - 36"/>
      <sheetName val="1X3X3X2 - 26"/>
      <sheetName val="1X3X3.5-26 "/>
      <sheetName val="1X3X3.5-11.0"/>
      <sheetName val="1X3X4.0-13."/>
      <sheetName val="1X3X4.0-26"/>
      <sheetName val="1X3X4.0-56"/>
      <sheetName val="1 x 4 x 3-26"/>
      <sheetName val="1 x 4 x 3-56"/>
      <sheetName val="1 x 4 x 3.5-26"/>
      <sheetName val="1 x 4 x 4.5-26"/>
      <sheetName val="1X5X3-26"/>
      <sheetName val="1 x 5x 5 - 26.0"/>
      <sheetName val="1X3X4.0 x 2.5 - 36.0"/>
      <sheetName val="1 x 4.5 x 5 - 14.0"/>
      <sheetName val="1 x 4 x 3"/>
      <sheetName val="Junction Detail"/>
      <sheetName val="Calculation  Sheet "/>
      <sheetName val="Spread Sheets"/>
      <sheetName val="2+340"/>
      <sheetName val="14+630"/>
      <sheetName val="Abstract Quantity "/>
      <sheetName val="spread sheet box culvert (2)"/>
      <sheetName val="spread sheet box culvert"/>
      <sheetName val="Spread sheet-Pipe culvert"/>
      <sheetName val="TOTAL ABSTRACT QTY"/>
      <sheetName val="BILL NO.5"/>
      <sheetName val="spread sheet - slab"/>
      <sheetName val="1 row-1.2m-19.0m"/>
      <sheetName val="1 row-1.2m-20.0m"/>
      <sheetName val="1 row-1.2m-21.0m"/>
      <sheetName val="1 row-1.2m-22.0m"/>
      <sheetName val="1 row-1.2m-23.0m"/>
      <sheetName val="1 row-1.2m-24.0m"/>
      <sheetName val="2row-1.2m-19.0 m"/>
      <sheetName val="2row-1.2m-20.0 m"/>
      <sheetName val="2row-1.2m-25.0 m"/>
      <sheetName val="1X2X2.5 WOE"/>
      <sheetName val="1x2x2.5X2.0M WEC"/>
      <sheetName val="1X2X3.0 WOE-14.0"/>
      <sheetName val="1X3X3 WOE-14.0m "/>
      <sheetName val="1X3X2 WOE-14.0m"/>
      <sheetName val="1x3x2.50WOE"/>
      <sheetName val="2 Cell x 2x3 WOE-14.0m"/>
      <sheetName val="2x3x2 (WO) -14.0m"/>
      <sheetName val="1x3x3.50WOE "/>
      <sheetName val="Slab - 1x5m"/>
      <sheetName val="Slab 1x4.5"/>
      <sheetName val="1 row-1.2m-28.5m 4LANE"/>
      <sheetName val="2row-1.2m- 28.5m 4LANE"/>
      <sheetName val="1X2X2 WOE-28.5m 4LANE"/>
      <sheetName val="1X2X2.5 WOE- 28.5m 4LANE"/>
      <sheetName val="2CELLx3x3 WOE (28.5m) 4LANE"/>
      <sheetName val="1 row-1.2m-28.5m NOT IN ABSTRCT"/>
      <sheetName val="2row-1.2m- 28.5m NOT IN ABSTRCT"/>
      <sheetName val="1X2X2.5 WOE- 28.5m"/>
      <sheetName val="1X2X2 WOE-28.5m"/>
      <sheetName val="Slab 1x6.0m"/>
      <sheetName val="Mangrulpir to Akola"/>
      <sheetName val="Mangrulpir to Mahan"/>
      <sheetName val="Mahan to Akola"/>
      <sheetName val="fmc"/>
      <sheetName val="87"/>
      <sheetName val="89"/>
      <sheetName val="90"/>
      <sheetName val="91"/>
      <sheetName val="92"/>
      <sheetName val="93"/>
      <sheetName val="94"/>
      <sheetName val="95"/>
      <sheetName val="96"/>
      <sheetName val="97"/>
      <sheetName val="99"/>
      <sheetName val="101"/>
      <sheetName val="102"/>
      <sheetName val="IRC37_BC"/>
      <sheetName val="IRC37_Murumi"/>
      <sheetName val="FORMULAE"/>
      <sheetName val="ABS (Flex) (5)"/>
      <sheetName val="WIDENING FINAL (2)"/>
      <sheetName val="Bill No-2"/>
      <sheetName val="Bill No-3"/>
      <sheetName val="Bill No-4"/>
      <sheetName val="Streng. Ex-Rd "/>
      <sheetName val="Bill No-7"/>
      <sheetName val="Bill No  (11)"/>
      <sheetName val="Bill No-12"/>
      <sheetName val="Major - T"/>
      <sheetName val=" Major-+ Junction "/>
      <sheetName val="T junctn"/>
      <sheetName val="Inter Section Junction"/>
      <sheetName val="Y junctn"/>
      <sheetName val=" 8.e RCC Retaining wall -5m ht"/>
      <sheetName val=" 8.e RCC Retaining wall -6m"/>
      <sheetName val="ABS (Flex) (2)"/>
      <sheetName val="ABS (Flex) (3)"/>
      <sheetName val="Cost details"/>
      <sheetName val="FORM6"/>
      <sheetName val="1x1.5x1.5"/>
      <sheetName val="1X1.5X2 WOE"/>
      <sheetName val="1X2X1.5 WOE"/>
      <sheetName val="1X2X2 WOE"/>
      <sheetName val="1X2X3 WOE"/>
      <sheetName val="1X3X1.5 WOE"/>
      <sheetName val="1X3X2 WOE"/>
      <sheetName val="1 x3x2.5 WOE"/>
      <sheetName val="1x2x2X2.5M WEC"/>
      <sheetName val="1X1.5X2x1.0 WOE"/>
      <sheetName val="1X3X4x1.0 WOE "/>
      <sheetName val="1x4x2 WOE"/>
      <sheetName val="BILL NO-5"/>
      <sheetName val="Abstract  Option 1"/>
      <sheetName val="1X3X3 WOE (15.0 m)"/>
      <sheetName val="2row-1.2m"/>
      <sheetName val="OLD.1"/>
      <sheetName val="ABS QTY"/>
      <sheetName val=" Schedule H"/>
      <sheetName val="exc-rd"/>
      <sheetName val="exc-side"/>
      <sheetName val="road fill"/>
      <sheetName val="BBM"/>
      <sheetName val="exc-sh"/>
      <sheetName val="sho fill"/>
      <sheetName val="Prim"/>
      <sheetName val="LBM(PCC)"/>
      <sheetName val="MISC "/>
      <sheetName val="recap"/>
      <sheetName val="E"/>
      <sheetName val="F"/>
      <sheetName val="Truck lay Ab"/>
      <sheetName val="Median Ab."/>
      <sheetName val="Plant AB"/>
      <sheetName val="Trauma care"/>
      <sheetName val="Am"/>
      <sheetName val="Dm"/>
      <sheetName val="Em"/>
      <sheetName val="Fm"/>
      <sheetName val="Truck lay Ms"/>
      <sheetName val="Median Ms."/>
      <sheetName val="Plant ms"/>
      <sheetName val="levels r"/>
      <sheetName val="fINAL EARTH"/>
      <sheetName val="earthwork OLD"/>
      <sheetName val="Trauma Care-Ab"/>
      <sheetName val="Trauma Care-Ms"/>
      <sheetName val="gantry Ab"/>
      <sheetName val="gantry Ms"/>
      <sheetName val="X JUN Ab "/>
      <sheetName val="X JUN Ms "/>
      <sheetName val="Y JUN Ab "/>
      <sheetName val="Y JUN Ms"/>
      <sheetName val="Junction List"/>
      <sheetName val="Gutter Ab"/>
      <sheetName val="Gutter MS"/>
      <sheetName val="16-lane toll plaza-Ab"/>
      <sheetName val="16-lane toll plaza-Ms"/>
      <sheetName val="Toilet Ab"/>
      <sheetName val="Toilet MS"/>
      <sheetName val="Toll Plaza RD Ab"/>
      <sheetName val="Toll Plaza RD MS"/>
      <sheetName val="COST OF SEPARATOR"/>
      <sheetName val="EFC Summary"/>
      <sheetName val="BoQ for Print "/>
      <sheetName val="Package-02"/>
      <sheetName val="tcs."/>
      <sheetName val="Summary TCS"/>
      <sheetName val="TCS-I "/>
      <sheetName val="TCS-II"/>
      <sheetName val="TCS-III"/>
      <sheetName val="TCS-IV"/>
      <sheetName val="TCS-5"/>
      <sheetName val="TCS-6"/>
      <sheetName val="TCS-7 "/>
      <sheetName val="TCS-8"/>
      <sheetName val="TCS-Diversion"/>
      <sheetName val="Delinator"/>
      <sheetName val="E. Widening"/>
      <sheetName val="E. Wide Detail"/>
      <sheetName val="TOLL"/>
      <sheetName val="Busbay rigid"/>
      <sheetName val="Truck Lay bye _rigid (2)"/>
      <sheetName val="MISCELLENEAUS"/>
      <sheetName val="Junction Detail "/>
      <sheetName val="Mn Junction "/>
      <sheetName val="Truck Lay bye _rigid"/>
      <sheetName val="Mj Junction "/>
      <sheetName val="ROB"/>
      <sheetName val="9-C"/>
      <sheetName val="Retaining wall details"/>
      <sheetName val="DRAINAGE AND PROTECTION"/>
      <sheetName val="Retaining 1.5m"/>
      <sheetName val="Paver Block"/>
      <sheetName val="from q2"/>
      <sheetName val="Improvements"/>
      <sheetName val="COST ESTIMATE - Final"/>
      <sheetName val="1+482"/>
      <sheetName val="2+408"/>
      <sheetName val="5+638"/>
      <sheetName val="12+532"/>
      <sheetName val="spread sheet  LVUP"/>
      <sheetName val="0+484"/>
      <sheetName val="1+712"/>
      <sheetName val="3+202"/>
      <sheetName val="4+230"/>
      <sheetName val="5+286"/>
      <sheetName val="5+688"/>
      <sheetName val="5+924"/>
      <sheetName val="6+565"/>
      <sheetName val="9+814"/>
      <sheetName val="11+422"/>
      <sheetName val="13+250"/>
      <sheetName val="15+558"/>
      <sheetName val="RE -Spread Sheet"/>
      <sheetName val="210 - 660"/>
      <sheetName val="1580 - 1660"/>
      <sheetName val="2280 - 2440"/>
      <sheetName val="9830 - 10100"/>
      <sheetName val="11170 - 11420"/>
      <sheetName val="12500 - 12580"/>
      <sheetName val="12890 - 13340"/>
      <sheetName val="14100 - 14250"/>
      <sheetName val="15260 - 15520"/>
      <sheetName val="VARIABLE"/>
      <sheetName val="Shifting"/>
      <sheetName val="Non-Scheduled items"/>
      <sheetName val="Cost Estimate - Roadwise"/>
      <sheetName val="abstr"/>
      <sheetName val="Road List"/>
      <sheetName val="HVAC-BOQ"/>
      <sheetName val="ABS (Flex-Common)"/>
      <sheetName val="ABS (Rigid-Common)"/>
      <sheetName val="Earth work abs"/>
      <sheetName val=" a.Recon BOTH Retaining "/>
      <sheetName val="b. Road furnitures "/>
      <sheetName val="8.c.RCC Retaining Wall-3.50m h"/>
      <sheetName val="8.c.RCC Retaining Wall-5m h"/>
      <sheetName val="8.c.RCC Retaining Wall-5.50m h"/>
      <sheetName val="8.c.RCC Retaining Wall-6m ht"/>
      <sheetName val="8.c.RCC Retaining Wall-7mht"/>
      <sheetName val="8.c.RCC Retaining Wall-6m h"/>
      <sheetName val="8.c.RCC Retaining Wall-7m h"/>
      <sheetName val="8.c.RCC Retaining Wall-8mht"/>
      <sheetName val="8.c.RCC Retaining Wall-8.50mht"/>
      <sheetName val="8.c.RCC Retaining Wall-9mht"/>
      <sheetName val="8.c.RCC Retaining Wall-9.50mht "/>
      <sheetName val="8.c.RCC Retaining Wall-10mht"/>
      <sheetName val="8.c.RCC Retaining Wall-11mh"/>
      <sheetName val="Culvert Abstract "/>
      <sheetName val="1x4x4"/>
      <sheetName val="5+295-Major-Mun river"/>
      <sheetName val="Abstract 22.08.17"/>
      <sheetName val="159+729"/>
      <sheetName val="161+628"/>
      <sheetName val="162+201"/>
      <sheetName val="164+046"/>
      <sheetName val="165+320"/>
      <sheetName val="165+840"/>
      <sheetName val="170+393"/>
      <sheetName val="173+360 - Pile"/>
      <sheetName val="Widening 180+957"/>
      <sheetName val="184+257"/>
      <sheetName val="184+945"/>
      <sheetName val="Widening 189+304"/>
      <sheetName val="Widening 189+856"/>
      <sheetName val="194+918"/>
      <sheetName val="198+424"/>
      <sheetName val="199+743 - pile"/>
      <sheetName val="Abstract Per RM"/>
      <sheetName val="203+445"/>
      <sheetName val="208+425"/>
      <sheetName val="210+425"/>
      <sheetName val="Spread Sheet-MINOR"/>
      <sheetName val="Abstract Quantity"/>
      <sheetName val="Spread Sheet-MAJOR"/>
      <sheetName val="174+540 - MAJOR"/>
      <sheetName val="1 X 5 X 3 "/>
      <sheetName val="1 X 5 X 3.5"/>
      <sheetName val="1 X 5 X 4"/>
      <sheetName val="1+341"/>
      <sheetName val="1+437"/>
      <sheetName val="3+275"/>
      <sheetName val="6+076"/>
      <sheetName val="7+675 - Widening"/>
      <sheetName val="8+431 - Widening"/>
      <sheetName val="11+032 - Widening"/>
      <sheetName val="11+810 - Widening"/>
      <sheetName val="17+320 - Widening"/>
      <sheetName val="17+550 - Widening"/>
      <sheetName val="1 x 12.0 x 5.5 VUP"/>
      <sheetName val="1 x 12.0 x 4.0 LVUP"/>
      <sheetName val="ABS (Flexible)"/>
      <sheetName val="2.2 - Reconstruction"/>
      <sheetName val="2.2(ii)-New&amp;Recon with toe"/>
      <sheetName val="2.2(i)-BUILTUP PORTION-2 LANE"/>
      <sheetName val="2.5- BUILTUP PORTION-4-LANE"/>
      <sheetName val="2.3-Streng. Ex-Rd "/>
      <sheetName val="f-Extra widening width"/>
      <sheetName val="g-extra widening at curve"/>
      <sheetName val="h. Road furnitures "/>
      <sheetName val="i  --1 m height drain"/>
      <sheetName val="i-a)a.Foot Path"/>
      <sheetName val="i-b)CROSS Road CULVERT "/>
      <sheetName val="k-.Abs bus shelters,junctions"/>
      <sheetName val="k.a)Bus Shel Det"/>
      <sheetName val="k-b).Major Jn - T"/>
      <sheetName val="k-c) Major-+ Junction "/>
      <sheetName val="k-d)T jun (2)"/>
      <sheetName val="k-e) Y jun-"/>
      <sheetName val="j-a-miscellaneous"/>
      <sheetName val="ABS Repairs"/>
      <sheetName val="j-b-Temporary diversion"/>
      <sheetName val="m-TOLL-"/>
      <sheetName val="m-a)TRUCKLAY "/>
      <sheetName val="1,4,13-.scope"/>
      <sheetName val="scurve"/>
      <sheetName val="1,4,13-_scope"/>
      <sheetName val="BOQ -Temporary Diversion works"/>
      <sheetName val="BOQ -Road Works"/>
      <sheetName val="conc-foot-gradeslab"/>
      <sheetName val="basic from sep-12"/>
      <sheetName val="Individual Cost"/>
      <sheetName val="Abstrct For H"/>
      <sheetName val="SS - Siphon"/>
      <sheetName val="1 x 0.7 - 30 m"/>
      <sheetName val="1 x 0.7 - 40m"/>
      <sheetName val="Culvert Details - Void "/>
      <sheetName val="1 X 2 X 1.5 - 26.0m"/>
      <sheetName val="1 x 2 x 2 - 40.0m"/>
      <sheetName val="1 x 2 x 2 - 26.0m"/>
      <sheetName val="1 x 3 x 3 - 26.0m"/>
      <sheetName val="1 x 3 x 2 - 26 m"/>
      <sheetName val="1 X 2 X 2.5 - 26.0m"/>
      <sheetName val="1 X 2 X 3.0 - 13.0m"/>
      <sheetName val="1 x 2 x 3.5 - 26.0m"/>
      <sheetName val="1 X 2 X 2 x 2 - 26.0m "/>
      <sheetName val="1 X 3 X 3 X 2 - 26.0m"/>
      <sheetName val="1 X 3 X 3 X 3 - 26.0m"/>
      <sheetName val="1 x 3 x 3.5 - 26.0m"/>
      <sheetName val="1 x 4 x 4 - 26m"/>
      <sheetName val="1 X 2 X 3 x 1.5 - 26.0m"/>
      <sheetName val="SS - Slab"/>
      <sheetName val="1 x 2 x 3- Slab"/>
      <sheetName val="1 x 2 x 2 - 13.0m"/>
      <sheetName val="1 x 2 x 2 - 15.0m"/>
      <sheetName val="1 x 2 x 2 - 18.5m"/>
      <sheetName val="1 X 2 X 1.5 - 15.0m "/>
      <sheetName val="1 X 2 X 1.5 - 18.5m "/>
      <sheetName val="1 x 2 x 2 x 1.5 WEC - 13.0 m"/>
      <sheetName val="1 X 2 X 2 x 2 WEC - 26.0m"/>
      <sheetName val="1 X 2 X 2.5 - 13.0m"/>
      <sheetName val="1 X 2 X 2.5 - 15.0m "/>
      <sheetName val="1 X 2 X 2.5 - 18.5m"/>
      <sheetName val="1 X 2 X 3.0 - 15.0m"/>
      <sheetName val="1 X 2 X 3.0 - 18.5m "/>
      <sheetName val="1 X 2 X 3.0 x 1.5 WEC - 18.5m"/>
      <sheetName val="1 x 2 x 3 X 1.0 WEC - 26.0m"/>
      <sheetName val="1 x 3 x 3 - 15.0m"/>
      <sheetName val="1 x 12 x 4.5 old"/>
      <sheetName val="Total abt Qty"/>
      <sheetName val="Spread sheet Bridges"/>
      <sheetName val="1+347"/>
      <sheetName val="1+440"/>
      <sheetName val="3+279"/>
      <sheetName val="6+079"/>
      <sheetName val="7+679 - Widening"/>
      <sheetName val="8+434"/>
      <sheetName val="11+056 - Widening"/>
      <sheetName val="11+828"/>
      <sheetName val="17+332 - Widening"/>
      <sheetName val="17+562 - Widening"/>
      <sheetName val="1x12.0x5.5"/>
      <sheetName val="1x12.0x4.0"/>
      <sheetName val="9.200-9960"/>
      <sheetName val="16.450-16.960"/>
      <sheetName val="19.840-20.300"/>
      <sheetName val="Const."/>
      <sheetName val="CH. 33+200"/>
      <sheetName val="BOQ Bhupia Mau"/>
      <sheetName val="Abstract RE wall"/>
      <sheetName val="A Q"/>
      <sheetName val="C S A"/>
      <sheetName val="280-1660"/>
      <sheetName val="2530-3950"/>
      <sheetName val="3950-4110"/>
      <sheetName val="4450-4850"/>
      <sheetName val="4850-5050"/>
      <sheetName val="5050-6600"/>
      <sheetName val="6600-8020"/>
      <sheetName val="11000-13860"/>
      <sheetName val="13970-14200"/>
      <sheetName val="ApSlab"/>
      <sheetName val="Bearing"/>
      <sheetName val="Msnry"/>
      <sheetName val="Well"/>
      <sheetName val="Anal-old"/>
      <sheetName val="01_introduction"/>
      <sheetName val="02_loading"/>
      <sheetName val="SUMM (2)"/>
      <sheetName val="SUMM (3)"/>
      <sheetName val="CH - 3+715"/>
      <sheetName val="CH - 26+765"/>
      <sheetName val="35+745"/>
      <sheetName val="Abstract  (2)"/>
      <sheetName val="master_sheet"/>
      <sheetName val="Exp M.A.C."/>
      <sheetName val="Meeting"/>
      <sheetName val="abs_crit"/>
      <sheetName val="abs_tor"/>
      <sheetName val="one page"/>
      <sheetName val="abs_UC"/>
      <sheetName val="19 col"/>
      <sheetName val="1 cr+wip"/>
      <sheetName val="1 cr+wip corr"/>
      <sheetName val="1 cr + AG (B)"/>
      <sheetName val="1 cr + AG (B) (2)"/>
      <sheetName val="DLP(1) "/>
      <sheetName val="DLP(2)"/>
      <sheetName val="(a) TOR "/>
      <sheetName val="(b) WIP"/>
      <sheetName val="crt master"/>
      <sheetName val="crt April 10"/>
      <sheetName val="crt mar 10"/>
      <sheetName val="Dausa"/>
      <sheetName val="LS6140 (2)"/>
      <sheetName val="LS6140"/>
      <sheetName val="LS 6140 (3)"/>
      <sheetName val="Abs-Zone"/>
      <sheetName val="ABS_00-01"/>
      <sheetName val="ABS_01-02"/>
      <sheetName val="ABS_02-03"/>
      <sheetName val="ABS_03-04"/>
      <sheetName val="ABS_04-05"/>
      <sheetName val="ABS_05-06"/>
      <sheetName val="ABS_06-07"/>
      <sheetName val="ABS_07-08"/>
      <sheetName val="ABS_08-09"/>
      <sheetName val="ABS_09-10"/>
      <sheetName val="GOVT"/>
      <sheetName val="GOVT NEW"/>
      <sheetName val="abs Circle"/>
      <sheetName val="Form-II"/>
      <sheetName val="Form-III"/>
      <sheetName val="one page(New) (2)"/>
      <sheetName val="desanctioned works"/>
      <sheetName val="ABS Tour distt"/>
      <sheetName val="ABS Tour zone"/>
      <sheetName val="1+344"/>
      <sheetName val="67+875 - Bridge Portion"/>
      <sheetName val="1 x 6 x 2.5 - 15.0m"/>
      <sheetName val="3 x 8 x 4 - 15.0m"/>
      <sheetName val="4 x 2 x 2  - 13.0m"/>
      <sheetName val="4 x 2 x 2  - 15.0m"/>
      <sheetName val="4 X 2 X 2.5 - 13.0m "/>
      <sheetName val="12+739"/>
      <sheetName val="21+550"/>
      <sheetName val="26+810"/>
      <sheetName val="36+046"/>
      <sheetName val="1 X 3 X 2 - 14m "/>
      <sheetName val="1 X 3 X 3 - 14m"/>
      <sheetName val="1 X 2 X 2 - 14m "/>
      <sheetName val="2 x 3 x 3"/>
      <sheetName val="Abtract"/>
      <sheetName val="1 X 2 X 1.5"/>
      <sheetName val="1 X 2 X 2 "/>
      <sheetName val="1 X 2 X 2 x 2 (WEC)"/>
      <sheetName val="1 X 3 X 2"/>
      <sheetName val="1 X 3 X 3"/>
      <sheetName val="1 x 3 x 4"/>
      <sheetName val="1 x 4 x 4"/>
      <sheetName val="2 x 2 x 2"/>
      <sheetName val="2 x 3 x 2"/>
      <sheetName val="2 x 3 x 4"/>
      <sheetName val="3 x 2 x 2"/>
      <sheetName val="2 x 2 x 2 x 3.0 - WEC"/>
      <sheetName val="2x2x2.0 (WO)-23.0m"/>
      <sheetName val="Spread Sheet Pipe Culverts"/>
      <sheetName val="1 row-1.2m-25.0m"/>
      <sheetName val="1 row-1.2m-26.0m"/>
      <sheetName val="1 row-1.2m-27.0m"/>
      <sheetName val="1 row-1.2m-27.5m"/>
      <sheetName val="2row-1.2m-21.0 m"/>
      <sheetName val="2row-1.2m-23.0 m"/>
      <sheetName val="2row-1.2m-24.0 m"/>
      <sheetName val="2row-1.2m-30.0 m"/>
      <sheetName val="3row-1.2m-18 m"/>
      <sheetName val="3row-1.2m-21 m"/>
      <sheetName val="3row-1.2m-22 m"/>
      <sheetName val="3row-1.2m-23 m"/>
      <sheetName val="3row-1.2m-27 m"/>
      <sheetName val="VOID-2x2x2.0 (WO)-14.0m"/>
      <sheetName val="Steel- Beam"/>
      <sheetName val="Cost Est TO JE SEL(Shdl)"/>
      <sheetName val="SCHEDULE-H (NEW) (2)"/>
      <sheetName val="BRIDGE Area"/>
      <sheetName val="Summary Estimate."/>
      <sheetName val="Summrry Cost"/>
      <sheetName val="justification for addi cost"/>
      <sheetName val="0+60.703"/>
      <sheetName val="justification for addi cost (2"/>
      <sheetName val="Cost Est TO JE SEL(Shdl) (2 (3"/>
      <sheetName val="Cost Est TO JE SEL(Shdl) (3)"/>
      <sheetName val="2 . 4lane Rd &amp; Str Cost "/>
      <sheetName val="2lane structure"/>
      <sheetName val="4lane structure (2)"/>
      <sheetName val="2 . 4lane Rd &amp; Str Cost  (2)"/>
      <sheetName val="Cost Est TO JE SEL(Shdl) (4)"/>
      <sheetName val="Cost Est TO JE SEL(Shdl) (2 (2)"/>
      <sheetName val="Cost Est TO JE SEL(Shdl) (5)"/>
      <sheetName val="2lane structure (2)"/>
      <sheetName val="4lane structure (3)"/>
      <sheetName val="2 . 4lane Rd &amp; Str Cost  (3)"/>
      <sheetName val="Realign cost"/>
      <sheetName val="Sch H"/>
      <sheetName val="AB-1"/>
      <sheetName val="MS-1"/>
      <sheetName val="Annexure A"/>
      <sheetName val="Forest Cost"/>
      <sheetName val="Sections Details Plan "/>
      <sheetName val="Soil Classi"/>
      <sheetName val="AB-STRUCT"/>
      <sheetName val="Ele. work Ab."/>
      <sheetName val="Electrical work - Singal Line"/>
      <sheetName val="Electrical work- Double Line"/>
      <sheetName val="Sheet1-Updated"/>
      <sheetName val="3+091"/>
      <sheetName val="Roadlength"/>
      <sheetName val="Interchange"/>
      <sheetName val="bhubaneshwar-Puri"/>
      <sheetName val="(a)(F)Wide 2L to 4L(c)"/>
      <sheetName val="(a)(R)Wide 2L to 4L(c)"/>
      <sheetName val="(b)(f)Wide 2L to 4L(E)"/>
      <sheetName val="(b)(R)Wide 2L to 4L(E)"/>
      <sheetName val="Bhub Bypass(F)"/>
      <sheetName val="Bhub Bypass(R)"/>
      <sheetName val="(e)F)New"/>
      <sheetName val="(E)(r)NEW"/>
      <sheetName val="TOTAL ABSTRACT QTY (2)"/>
      <sheetName val="2row-1.2m-20.0m"/>
      <sheetName val="2row-1.2m-21.0 m "/>
      <sheetName val="2row-1.2m-22.0 m  "/>
      <sheetName val="2row-1.2m-23.0 m "/>
      <sheetName val="1x4x4 (20m)WOE  "/>
      <sheetName val="2x2x2.0 (WO)-14.0m"/>
      <sheetName val="2x3x3.0 (14m) (WO) "/>
      <sheetName val="2CELLx3x3 WOE"/>
      <sheetName val="spread sheet slab culvert "/>
      <sheetName val="Widen-2.8 m Right"/>
      <sheetName val="Widen-,3.0 m Right"/>
      <sheetName val="Widen-4..0m"/>
      <sheetName val="Widen-2.5 m"/>
      <sheetName val="Slab 1 x6.m"/>
      <sheetName val="Calc Original link"/>
      <sheetName val="Cover Photo"/>
      <sheetName val="Cost Abstract"/>
      <sheetName val="Annex to Abstract"/>
      <sheetName val="Brief Des&amp;Area Cal"/>
      <sheetName val="Pie Chart"/>
      <sheetName val="Tentative Struc"/>
      <sheetName val="Breakup OH"/>
      <sheetName val="civil boq-summary"/>
      <sheetName val="Serv-Summary"/>
      <sheetName val="Elevator"/>
      <sheetName val="Pump &amp; Allied"/>
      <sheetName val="Ventilation"/>
      <sheetName val="HVAC&amp;BMS"/>
      <sheetName val="Electri no cctv"/>
      <sheetName val="Project cost Abstract"/>
      <sheetName val="Annex to Cost Abstract"/>
      <sheetName val="Constrution Schedule"/>
      <sheetName val="Abstract-Major quan"/>
      <sheetName val="Operation Cost Summary"/>
      <sheetName val="RMC Calculations"/>
      <sheetName val="P&amp;M Calculations"/>
      <sheetName val="Shutering"/>
      <sheetName val="Org Chart"/>
      <sheetName val="Cash flow Notes"/>
      <sheetName val="Cashflow Graph"/>
      <sheetName val="Schedule 1"/>
      <sheetName val=" Schedule 2"/>
      <sheetName val="Schedule 3"/>
      <sheetName val="Schedule 4"/>
      <sheetName val="Schedule 5"/>
      <sheetName val="Schedule 6"/>
      <sheetName val="Schedule 7"/>
      <sheetName val="Schedule 8"/>
      <sheetName val="Consultant Fee"/>
      <sheetName val="work plan graph"/>
      <sheetName val="Mobilisation Advance Interest"/>
      <sheetName val="doq 1"/>
      <sheetName val="doq3 "/>
      <sheetName val="doq4 "/>
      <sheetName val="doq7"/>
      <sheetName val="doq 8"/>
      <sheetName val="doq9"/>
      <sheetName val="Retaining 2.0M"/>
      <sheetName val="TCS wise str"/>
      <sheetName val="PC - Cross Road"/>
      <sheetName val="Minor Br"/>
      <sheetName val="Major Br"/>
      <sheetName val="Pohara Str"/>
      <sheetName val="MBCB"/>
      <sheetName val="Ava ROW"/>
      <sheetName val="Req ROW"/>
      <sheetName val="Total Abstract Cost"/>
      <sheetName val="COST ESTIMATE (2)"/>
      <sheetName val="1 row-1.2m-26.0 m"/>
      <sheetName val="1x2x3X1.0 WEC ) "/>
      <sheetName val="1x2x2X2M WEC "/>
      <sheetName val="2 Cell x 2x3 x 2.5"/>
      <sheetName val="2 Cell x 2x3 x 3.0)"/>
      <sheetName val="1 x3 x 3x 1.0"/>
      <sheetName val="2 x 2 x 3"/>
      <sheetName val="Spread Sheet for Slab Culvert"/>
      <sheetName val="Slab-6.00m"/>
      <sheetName val="BILL NO 5(2)-1"/>
      <sheetName val="BILL NO 5(2)-2"/>
      <sheetName val="BILL NO 5(2)-3"/>
      <sheetName val="BILL NO 5(2)-4"/>
      <sheetName val="Abstract  seperate"/>
      <sheetName val="Induvidual Cost"/>
      <sheetName val="1 X 2 X 2.5 - 14m"/>
      <sheetName val="1 X 2 X 2.5 - 23.5m"/>
      <sheetName val="1 X 3 X 2 - 24m"/>
      <sheetName val="1 X 3 X 2 - 23.5m"/>
      <sheetName val="1 x 3 x 2.5 - 14m"/>
      <sheetName val="1 x 3 x 2.5 - 23.5m"/>
      <sheetName val="1 X 3 X 3.5 - 14m"/>
      <sheetName val="1 x 4 x 2 - 24m"/>
      <sheetName val="1 x 4 x 2.5 - 24m"/>
      <sheetName val="1 x 4 x 3 - 24m"/>
      <sheetName val="1 x 4 x 3 x 2  - 24m"/>
      <sheetName val="1 x 4 x 3 x 1.5 - 24m"/>
      <sheetName val="1 x 4 x 4 - 24 m"/>
      <sheetName val="1 X 2 X 2 - Wide 9 m"/>
      <sheetName val="1 X 2 X 2 - Wide 9.5 m"/>
      <sheetName val="1 X 2 X 2 - Wide 4.3 m"/>
      <sheetName val="2x2x2.0 - wid (8.5)"/>
      <sheetName val="2 x 2 x 2 - wid (9m)"/>
      <sheetName val="2 x 2 x 2 - wid (8.2m)"/>
      <sheetName val="1 X 2 X 2 - Wide 11.5 m"/>
      <sheetName val="1 X 2 X 2 - Wide 3 m"/>
      <sheetName val="1 X 3 X 2 - 6.0 Wide"/>
      <sheetName val="2 x 2 x 2 - wide 12 m"/>
      <sheetName val="2 x 3 x 2 (2.0)"/>
      <sheetName val="2 x 3 x 2 (6.6 m)"/>
      <sheetName val="2 x 3 x 2 (7 m)"/>
      <sheetName val="2 x 3 x 2 (7.2 m)"/>
      <sheetName val="1 X 2 X 1.5 - Wide 2.0 "/>
      <sheetName val="1 X 2 X 2 - Wide ( 1.0)"/>
      <sheetName val="1 X 2 X 2 - Wide ( 2.5)"/>
      <sheetName val="2x2.6x2.0 - wid 1.0"/>
      <sheetName val="FORM6&amp;7"/>
      <sheetName val="월선수금"/>
      <sheetName val="MiscRA"/>
      <sheetName val="zonewise"/>
      <sheetName val="ROB 1"/>
      <sheetName val="ROB 2"/>
      <sheetName val="SUMMARY -SUB- HEAD"/>
      <sheetName val="LAUNCH-TRANS OF GIRDER"/>
      <sheetName val="TECH-SPEC"/>
      <sheetName val="Rares to HO"/>
      <sheetName val="Erection grider"/>
      <sheetName val="5 - CITICORP"/>
      <sheetName val="TOC"/>
      <sheetName val="Earth Work Quantity"/>
      <sheetName val="Culvert Cost (2)"/>
      <sheetName val="Culvert Cost"/>
      <sheetName val="TCS-I(A) ok "/>
      <sheetName val="TCS-I(B) OK"/>
      <sheetName val="TCS-II OK Link"/>
      <sheetName val="TCS-III LINK"/>
      <sheetName val="TCS-IV "/>
      <sheetName val="TCS"/>
      <sheetName val="TCS DETAILS"/>
      <sheetName val="doq(H.P)"/>
      <sheetName val="Mj. Bridge"/>
      <sheetName val="Mn.Bridge"/>
      <sheetName val="RE Wall(VUP)"/>
      <sheetName val="Slip Road"/>
      <sheetName val="Busbay"/>
      <sheetName val="Truck Lay bye"/>
      <sheetName val="Repair &amp; Rehabilitation"/>
      <sheetName val="tcs detail"/>
      <sheetName val="RE WALL VUP"/>
      <sheetName val="C.S.A. - MINOR BRIDGE"/>
      <sheetName val="A.Q. - MINOR BRIDGE"/>
      <sheetName val="SS - BOX For VUP)"/>
      <sheetName val="1 x 12 x 4.5 CUP"/>
      <sheetName val="1 x 12 x 4 PUP &amp; LVUP"/>
      <sheetName val="Det of Lawn Develp (Det)"/>
      <sheetName val="Det of side drain (Det)"/>
      <sheetName val="Details of site Develp (Dets)"/>
      <sheetName val="Lawn Devlp (Abstr)"/>
      <sheetName val="Side drain (Abstr)"/>
      <sheetName val="Site Develp (Abstr)"/>
      <sheetName val="Lead (SSR06-07)"/>
      <sheetName val="Datas(SSR06-07)"/>
      <sheetName val="Electrical BOQ (Exter)"/>
      <sheetName val="Electrical BOQ (Inter)"/>
      <sheetName val="Roads (ABST)"/>
      <sheetName val="Roads(Dets)"/>
      <sheetName val="Compound wall (2nd final)"/>
      <sheetName val="Compound wall (Abstract)"/>
      <sheetName val="Det Est tank sump"/>
      <sheetName val="Tanks Abst Est"/>
      <sheetName val="Datas WS &amp; S"/>
      <sheetName val="Plumbing (External)"/>
      <sheetName val="Plumbing (Internal)"/>
      <sheetName val="leads Roads"/>
      <sheetName val="Date for roads"/>
      <sheetName val="Tennis courtDetailed Est"/>
      <sheetName val="Tennis court Abstract"/>
      <sheetName val="Detl Courts"/>
      <sheetName val="Abstract Courts"/>
      <sheetName val="Abstarct In door"/>
      <sheetName val="Analysis-NH-Drains &amp; Misc"/>
      <sheetName val="SS - VUP &amp; LVUP"/>
      <sheetName val="SpreadSheet - MJB FInal"/>
      <sheetName val="SpreadSheet - ROB"/>
      <sheetName val="Rajura Structure Detail"/>
      <sheetName val="Total ABS Quantity"/>
      <sheetName val="CSA ATT"/>
      <sheetName val="tOATAL aBS "/>
      <sheetName val="39+000 - 40260"/>
      <sheetName val="47+000 - 48+250"/>
      <sheetName val="54+300 to 55+100"/>
      <sheetName val=" 66+500 to 68+700"/>
      <sheetName val="72+260 to 72+960"/>
      <sheetName val="84+640 to 85+140"/>
      <sheetName val="86+100 to Km. 87+100"/>
      <sheetName val="88+500 to Km. 89+491"/>
      <sheetName val="SpreadSheet - MNB"/>
      <sheetName val="SpreadSheet - MNB - VOid"/>
      <sheetName val="MNB - 23+810 - 2 x 6.0m"/>
      <sheetName val="32+692 - Skew 16"/>
      <sheetName val="34+870"/>
      <sheetName val="35+755 - Skew 30"/>
      <sheetName val="37+360"/>
      <sheetName val="38+634"/>
      <sheetName val="40+791"/>
      <sheetName val="42+917"/>
      <sheetName val="43+968"/>
      <sheetName val="46+667"/>
      <sheetName val="46+714"/>
      <sheetName val="48+312"/>
      <sheetName val="50+174"/>
      <sheetName val="51+071"/>
      <sheetName val="52+296"/>
      <sheetName val="54+430"/>
      <sheetName val="54+890"/>
      <sheetName val="58+140"/>
      <sheetName val="59+263"/>
      <sheetName val="60+944 - Skew 12"/>
      <sheetName val="78+296"/>
      <sheetName val="81+130"/>
      <sheetName val="2 x 4"/>
      <sheetName val="87+809"/>
      <sheetName val="SpreadSheet - MJB"/>
      <sheetName val="63+599- MJB"/>
      <sheetName val="67+875 - MJB"/>
      <sheetName val="88+520"/>
      <sheetName val="Flyover- 1 x25"/>
      <sheetName val="Flyover- 2 x15"/>
      <sheetName val="FLy over - 89+114"/>
      <sheetName val="68+130 -Railway Span"/>
      <sheetName val="68+130 - Bridge Portion"/>
      <sheetName val="72+631 -Railway Span"/>
      <sheetName val="72+631 - Bridge Portion"/>
      <sheetName val="VUP 1 x25  - 54+720"/>
      <sheetName val="1 x 12 x4.5 - LVUP - 39+700"/>
      <sheetName val="VUP  cum Flyove r86+700"/>
      <sheetName val="1 x 15 x 5.5 - 30.0m - VUP - Re"/>
      <sheetName val="SS - MINOR BRIDGE"/>
      <sheetName val="New &amp; Re "/>
      <sheetName val="Schedule  H"/>
      <sheetName val="INDIVUAL COST (H)"/>
      <sheetName val="SS - Bridges"/>
      <sheetName val="9+783 - RE"/>
      <sheetName val="12+372 - New"/>
      <sheetName val="14+860 - L(RE)"/>
      <sheetName val=" 22+831  - (RE)"/>
      <sheetName val="26+131 - (RE)"/>
      <sheetName val="29+385 - (RE)"/>
      <sheetName val="31+575 - (RE)"/>
      <sheetName val="35+766 - (RE)"/>
      <sheetName val="SS - Grade seperator"/>
      <sheetName val="17+560 - Bridge Portion"/>
      <sheetName val="17+560 - GRADE SEPERATOR"/>
      <sheetName val="RE Wall Spread Sheet"/>
      <sheetName val="SS - MJB"/>
      <sheetName val="Vadipatti Flyover"/>
      <sheetName val="clover leaf"/>
      <sheetName val="21+485"/>
      <sheetName val="All Flyover Cost"/>
      <sheetName val="4 Annex 1 Basic rate"/>
      <sheetName val="strain"/>
      <sheetName val="refer"/>
      <sheetName val="ANNEXURE - IV "/>
      <sheetName val="Km132-2"/>
      <sheetName val="Analy_132-2"/>
      <sheetName val="km106-6"/>
      <sheetName val="Analy_106_6"/>
      <sheetName val="km3-6"/>
      <sheetName val="Analy_3-6"/>
      <sheetName val="km93-8"/>
      <sheetName val="Analy_93-8"/>
      <sheetName val="km99-6"/>
      <sheetName val="Analy_99-6"/>
      <sheetName val="km1-4"/>
      <sheetName val="Analy_1-4"/>
      <sheetName val="km0-8"/>
      <sheetName val="Analy_0-8"/>
      <sheetName val="km7-10"/>
      <sheetName val="P&amp;M_7-10"/>
      <sheetName val="Cem &amp; Steel"/>
      <sheetName val="Analy_7_10"/>
      <sheetName val="PKG - II"/>
      <sheetName val="Synopsys"/>
      <sheetName val="Mat Req Cal"/>
      <sheetName val="Density master"/>
      <sheetName val="TRANSPORT ANLYSIS"/>
      <sheetName val="환율"/>
      <sheetName val="Config"/>
      <sheetName val="Break Dw"/>
      <sheetName val="Cash Flow Input Data_ISC"/>
      <sheetName val="Interface_SC"/>
      <sheetName val="Calc_ISC"/>
      <sheetName val="Calc_SC"/>
      <sheetName val="Interface_ISC"/>
      <sheetName val="Calc1"/>
      <sheetName val="Calc2"/>
      <sheetName val="PSC_length"/>
      <sheetName val="spare2"/>
      <sheetName val="Buldhana+khamgaon"/>
      <sheetName val="4 lane Cost"/>
      <sheetName val="CSA"/>
      <sheetName val="1 row-1.2m-18.0 m"/>
      <sheetName val="1 row-1.2m-24 m"/>
      <sheetName val="2row-1.2m-18.0 m "/>
      <sheetName val="2row-1.2m-24 m"/>
      <sheetName val="Spread sheet-Box culvert "/>
      <sheetName val="1X2X2 WOE 14.0m"/>
      <sheetName val="1X3X3 WOE (14.0 m)"/>
      <sheetName val="1X3X3 WOE (24m) "/>
      <sheetName val="1X4X3 WOE (14. m)"/>
      <sheetName val="1x4x4 (14 m)WOE  "/>
      <sheetName val="1 x 6 x 5( 14.0 m)"/>
      <sheetName val="Spread Sheet Slab Culvert"/>
      <sheetName val="Abstract  - opt 1"/>
      <sheetName val="2+307 - Bridge Portion"/>
      <sheetName val="2+307 - Railway Span"/>
      <sheetName val="1 x 12.0 x 4.0"/>
      <sheetName val="1 x 12.0 x 5.5"/>
      <sheetName val="9.200-9960 copy"/>
      <sheetName val="16.450-16.960 copy"/>
      <sheetName val="16.840-20.300 copy"/>
      <sheetName val="T-junction"/>
      <sheetName val="X-junction"/>
      <sheetName val="Y-junction"/>
      <sheetName val="Perf Distribution"/>
      <sheetName val="Cost Estimate Minor Bridge"/>
      <sheetName val="2 x 8 - 2 Nos"/>
      <sheetName val="2 x 10 - 3 Nos"/>
      <sheetName val="3 x 19"/>
      <sheetName val="27+730"/>
      <sheetName val="0+748"/>
      <sheetName val="3+200"/>
      <sheetName val="4+260"/>
      <sheetName val="4+800 -"/>
      <sheetName val="5+675"/>
      <sheetName val="5+828 "/>
      <sheetName val="6+485"/>
      <sheetName val="6+700"/>
      <sheetName val="8+350"/>
      <sheetName val="8+985"/>
      <sheetName val="10+520"/>
      <sheetName val="10+990"/>
      <sheetName val="13+375"/>
      <sheetName val="16+190"/>
      <sheetName val="17+045"/>
      <sheetName val="17+148"/>
      <sheetName val="18+320"/>
      <sheetName val="18+594"/>
      <sheetName val="19+639"/>
      <sheetName val="20+885"/>
      <sheetName val="22+110"/>
      <sheetName val="24+161"/>
      <sheetName val="25+305"/>
      <sheetName val="25+495"/>
      <sheetName val="26+843"/>
      <sheetName val="28+000"/>
      <sheetName val="29+840"/>
      <sheetName val="Total Abs Quant"/>
      <sheetName val="8+124"/>
      <sheetName val="8+803"/>
      <sheetName val="11+750"/>
      <sheetName val="11+830"/>
      <sheetName val="13+567"/>
      <sheetName val="13+661"/>
      <sheetName val="13+540"/>
      <sheetName val="20+142"/>
      <sheetName val="21+403"/>
      <sheetName val="23+227"/>
      <sheetName val="31+800"/>
      <sheetName val="34+160"/>
      <sheetName val="35+440"/>
      <sheetName val="35+700"/>
      <sheetName val="SS - VUP "/>
      <sheetName val="Grade Separator 2 x15"/>
      <sheetName val="Grade Separator - VUP - 35+820"/>
      <sheetName val="1 x 20 x 5.5"/>
      <sheetName val="1 x 12 x 4 - LVUP"/>
      <sheetName val="Spread Sheet - RE Wall"/>
      <sheetName val="RE Wall For VUP "/>
      <sheetName val="RE Wall For G S"/>
      <sheetName val="SQM COST"/>
      <sheetName val="Spread Sheet- MJB"/>
      <sheetName val="VOP - RAMP "/>
      <sheetName val="SQM COST (2)"/>
      <sheetName val="Lead (Final)"/>
      <sheetName val="BOQ_M7"/>
      <sheetName val="Box Details"/>
      <sheetName val="Scurve-details"/>
      <sheetName val="basdat-f"/>
      <sheetName val="Abstract Cost Estimate"/>
      <sheetName val="BILL.NO-3"/>
      <sheetName val="BILL.NO-4"/>
      <sheetName val="1.New Construction"/>
      <sheetName val="2.Widening"/>
      <sheetName val="2.a.Widening curves"/>
      <sheetName val="3.Over Lay"/>
      <sheetName val="BILL-7"/>
      <sheetName val="8.c.RCC Retaining Wall-3m h"/>
      <sheetName val="8.c.RCC Retaining Wall-4m h (2)"/>
      <sheetName val="8.c.RCC Retaining Wall-5m h (2)"/>
      <sheetName val="Bus Lay Bye"/>
      <sheetName val="Retaining wall 1m ht"/>
      <sheetName val="Retaining wall 2m ht"/>
      <sheetName val="Retaining wall 3m ht"/>
      <sheetName val="8.c.RCC Retaining Wall"/>
      <sheetName val="BILL NO-11"/>
      <sheetName val="SCHEDULE-H (24.07.17)"/>
      <sheetName val="GSB,WMM"/>
      <sheetName val="RCC COVERED"/>
      <sheetName val="Summary of Contract"/>
      <sheetName val="Appendix-A"/>
      <sheetName val="Appendix-B"/>
      <sheetName val="Appendix-C1"/>
      <sheetName val="Appendix-C2"/>
      <sheetName val="Appendix-C3"/>
      <sheetName val="Recpt"/>
      <sheetName val="R.A"/>
      <sheetName val="Abst1 a"/>
      <sheetName val="L. A. Cost"/>
      <sheetName val="L. A. Area"/>
      <sheetName val="L.A.Cost rev"/>
      <sheetName val="LA Area"/>
      <sheetName val="L. A. Rates"/>
      <sheetName val="LA Av. Rates."/>
      <sheetName val="Rates - updated"/>
      <sheetName val="Abst1 b"/>
      <sheetName val="ms 1 b "/>
      <sheetName val="Mmts2"/>
      <sheetName val="Abst2"/>
      <sheetName val="R.A.2"/>
      <sheetName val="Abs (Utility)3"/>
      <sheetName val="R&amp;R Cost"/>
      <sheetName val="RA for R&amp;R"/>
      <sheetName val="Utility Shifting Cost"/>
      <sheetName val="coln.sys"/>
      <sheetName val="flnge"/>
      <sheetName val="L&amp;J"/>
      <sheetName val="MH-abs"/>
      <sheetName val="gas"/>
      <sheetName val="pip"/>
      <sheetName val="Bill-2&amp;4"/>
      <sheetName val="tan-abs"/>
      <sheetName val="tanjore"/>
      <sheetName val="Backup PRW - VIIB (2)"/>
      <sheetName val="Backup PRW - VIIA 2"/>
      <sheetName val="Backup PRW - VIIA (2)"/>
      <sheetName val="Balance Qty final"/>
      <sheetName val="WP7B-F"/>
      <sheetName val="WP - Viib"/>
      <sheetName val="WP - Viia"/>
      <sheetName val="Well filling A&amp;B"/>
      <sheetName val="RE WPR VIIB Main"/>
      <sheetName val="RE WPR VIIB"/>
      <sheetName val="WPR &amp; MPR A&amp;B"/>
      <sheetName val="Abstract VIIB"/>
      <sheetName val="Abstract A"/>
      <sheetName val="Backup B"/>
      <sheetName val="Backup A"/>
      <sheetName val="Backup PRW - VIIB"/>
      <sheetName val="Well filling"/>
      <sheetName val="Machinary Mobilisation VIIA"/>
      <sheetName val="Machinary Mobilisation VIIB"/>
      <sheetName val="MS Wise Status"/>
      <sheetName val="RE WPR VIIA Main"/>
      <sheetName val="RE WPR VIIA"/>
      <sheetName val="WPR VIIA."/>
      <sheetName val="WPR VIIB."/>
      <sheetName val="Abstract A (2)"/>
      <sheetName val="Work Plan A"/>
      <sheetName val="WP7A-F"/>
      <sheetName val="BoQ B"/>
      <sheetName val="BoQ A"/>
      <sheetName val="7A Front "/>
      <sheetName val="7B Front"/>
      <sheetName val="WPR VIIA"/>
      <sheetName val="WPR VIIB"/>
      <sheetName val="Abstract A &amp; B"/>
      <sheetName val="Work Plan B"/>
      <sheetName val="Av.G Level"/>
      <sheetName val="1 x 12 x 5.5"/>
      <sheetName val="770"/>
      <sheetName val="630"/>
      <sheetName val="190"/>
      <sheetName val="1X2X3.0 - 56.0"/>
      <sheetName val="ABS - flex"/>
      <sheetName val="ABS (Rigid-Common) (2)"/>
      <sheetName val="BILL NO. 1"/>
      <sheetName val="BILL NO - 4"/>
      <sheetName val="BILL NO -6"/>
      <sheetName val="BILL NO- 8"/>
      <sheetName val="BILL NO. 1 (2)"/>
      <sheetName val="BILL NO-2 (3)"/>
      <sheetName val="BILL NO-3 (2)"/>
      <sheetName val="BILL NO-4(2)"/>
      <sheetName val="BILL NO -5(2)"/>
      <sheetName val="BILL NO 6(2)"/>
      <sheetName val="BILL NO --8(2)"/>
      <sheetName val="BILL NO -10(2)"/>
      <sheetName val="ABS (Rigid-Common) (3)"/>
      <sheetName val="ABS (Rigid-Common) (4)"/>
      <sheetName val="ABS NO SENSITIVE"/>
      <sheetName val="1X2X2 - 15"/>
      <sheetName val="2 x 18.0"/>
      <sheetName val="PLant&amp;MachinaryArch"/>
      <sheetName val="LabourRates"/>
      <sheetName val="Escalation Factor"/>
      <sheetName val="Machinary usage rates (R)"/>
      <sheetName val="ABS (FLEX"/>
      <sheetName val="TAQ"/>
      <sheetName val="0+735"/>
      <sheetName val="1 x 20 - 3"/>
      <sheetName val="1 x 16 - 3"/>
      <sheetName val="4+800"/>
      <sheetName val="5+680"/>
      <sheetName val="5+825"/>
      <sheetName val="6+698"/>
      <sheetName val="10+508"/>
      <sheetName val="10+982"/>
      <sheetName val="16+183"/>
      <sheetName val="17+043"/>
      <sheetName val="18+592"/>
      <sheetName val="19+637"/>
      <sheetName val="20+855"/>
      <sheetName val="22+091"/>
      <sheetName val="24+136"/>
      <sheetName val="25+286"/>
      <sheetName val="25+482"/>
      <sheetName val="26+851"/>
      <sheetName val="27+725"/>
      <sheetName val="29+866"/>
      <sheetName val="1 x 15 x 5.5 (5 nos)"/>
      <sheetName val="1 x 12 x 4.5 - 2 Nos"/>
      <sheetName val="1 x 25 x5.5"/>
      <sheetName val="SS - GS"/>
      <sheetName val="24+985 - GS (2 x 15 + 1 x 25)"/>
      <sheetName val="0+000- 1+000"/>
      <sheetName val="2+630 - 3+300"/>
      <sheetName val="7+350 - 8+000"/>
      <sheetName val="9+200 - 10+720"/>
      <sheetName val="13+000 - 13+840"/>
      <sheetName val="16+500 - 17+500"/>
      <sheetName val="18+150 - 18+920"/>
      <sheetName val="21+050 -  21+850"/>
      <sheetName val="24+520 - 25+420"/>
      <sheetName val="G .leaf ramp"/>
      <sheetName val="29+750 - 31+100 (2)"/>
      <sheetName val="at 0.000"/>
      <sheetName val="COST EST- 6D"/>
      <sheetName val="7+135 (2x15+1x35)"/>
      <sheetName val="Spread Sheet -Trumphet and ROB"/>
      <sheetName val="Main Way - Left Arm"/>
      <sheetName val="Main Way - Right"/>
      <sheetName val="LHS Side Slip Roads"/>
      <sheetName val="RHS Side Slip Roads"/>
      <sheetName val="Starting Trumphet - Both Arm"/>
      <sheetName val="Vadipatti Left Side Re Wall"/>
      <sheetName val="Vadipatti Jn Flyover RE Wall"/>
      <sheetName val="116+625 - ROB -2 - "/>
      <sheetName val="116+625 - Railway Span"/>
      <sheetName val="RHS - via duct slip road "/>
      <sheetName val="RHS - Railway Span"/>
      <sheetName val="LHS - vis duct slip road"/>
      <sheetName val="LHS - Railway Span"/>
      <sheetName val="24+981 - Bridge Portion"/>
      <sheetName val="24+981 - Railway Span"/>
      <sheetName val="OLD 1"/>
      <sheetName val="22+991 - GS"/>
      <sheetName val="Spread Sheet - Minor Bridges"/>
      <sheetName val="26+340 - 2 x 20.0m"/>
      <sheetName val="1 x 10.0m"/>
      <sheetName val="0+680 - 0+860"/>
      <sheetName val="1+070 - 1+550"/>
      <sheetName val="LHS Slip Ramp"/>
      <sheetName val="RHS Slip Ramp"/>
      <sheetName val="Main Trumphet REwall"/>
      <sheetName val="Main Trumphet (2) - RE wall"/>
      <sheetName val="22+430 to 23+34(GS)"/>
      <sheetName val="24+540 to25+290(ROB)"/>
      <sheetName val="Starting Trumphet - Both Ar (2)"/>
      <sheetName val="18+177-With Return (VOID)"/>
      <sheetName val="Abbrevations"/>
      <sheetName val="Market"/>
      <sheetName val="Comp-Mat"/>
      <sheetName val="OC"/>
      <sheetName val="Section-100"/>
      <sheetName val="Section-200"/>
      <sheetName val="Section-300"/>
      <sheetName val="Section-400"/>
      <sheetName val="Section-500"/>
      <sheetName val="Section-600"/>
      <sheetName val="Section-700"/>
      <sheetName val="Section-800"/>
      <sheetName val="Section-1100"/>
      <sheetName val="Section-1200&amp;1900"/>
      <sheetName val="Section-1300&amp;2200"/>
      <sheetName val="Section-1400"/>
      <sheetName val="Section-1500&amp;1700"/>
      <sheetName val="Unit Rate"/>
      <sheetName val="Section-1600"/>
      <sheetName val="Section-2200"/>
      <sheetName val="Section-2500"/>
      <sheetName val="Section-2600"/>
      <sheetName val="Section-2700"/>
      <sheetName val="Section-2800"/>
      <sheetName val="Section-2900"/>
      <sheetName val="Section-3000"/>
      <sheetName val="Section-3100"/>
      <sheetName val="Aggregates"/>
      <sheetName val="Bridge&amp;Culvert"/>
      <sheetName val="RC_inMay04"/>
      <sheetName val="RCAug01toApr04"/>
      <sheetName val="RCAug01toMay04andFC"/>
      <sheetName val="Fuelconsumption"/>
      <sheetName val="TOTALcostMay04"/>
      <sheetName val="Pucrcase_date"/>
      <sheetName val="workedtimeuptoMay04"/>
      <sheetName val="WorkedtimeinMay04"/>
      <sheetName val="UtilityMAy04"/>
      <sheetName val="ActivityviseEqpCost"/>
      <sheetName val="EQPDetails"/>
      <sheetName val="UtélityMAy04"/>
      <sheetName val="Wearing Course"/>
      <sheetName val="Plant _  Machinery"/>
      <sheetName val="RE Wall (2)"/>
      <sheetName val="RE Wall (4)"/>
      <sheetName val="RE Wall (3)"/>
      <sheetName val="23+810 - 2 x 6.0m"/>
      <sheetName val="27+397 - 2 x 6.0m"/>
      <sheetName val="ROB - 1 - 36"/>
      <sheetName val="VUP - 1x25.0m"/>
      <sheetName val="VUP - 1 x 30.0m"/>
      <sheetName val="2 Spans of  15 m- Fly over"/>
      <sheetName val="1 x 15 x 5.5 - 30.0m"/>
      <sheetName val="Vashi Plaza"/>
      <sheetName val="Mulund Plaza"/>
      <sheetName val="LBS - Mulund"/>
      <sheetName val="8-lane toll plaza-A"/>
      <sheetName val="total abs qty"/>
      <sheetName val="SS - VUP"/>
      <sheetName val="23+751"/>
      <sheetName val="24+334"/>
      <sheetName val="27+360"/>
      <sheetName val="29+029"/>
      <sheetName val="32+097"/>
      <sheetName val="36+436"/>
      <sheetName val="37+020"/>
      <sheetName val="39+441"/>
      <sheetName val="40+454"/>
      <sheetName val="47+263"/>
      <sheetName val="48+464"/>
      <sheetName val="48+714"/>
      <sheetName val="SS - MAJOR BRIDGE"/>
      <sheetName val="19+000 "/>
      <sheetName val="21+673 - MJB"/>
      <sheetName val="SS - ROB"/>
      <sheetName val="41+700 - VUP "/>
      <sheetName val="35+800 &amp; 48+350"/>
      <sheetName val="Avg Ht 4.5m - 500m"/>
      <sheetName val="Avg Ht 4.5m - 1240m"/>
      <sheetName val="Avg Ht 4.5m - 1600m"/>
      <sheetName val="Avg Ht 4.5m - 900m"/>
      <sheetName val="proj.sum"/>
      <sheetName val="flash-report"/>
      <sheetName val="targets"/>
      <sheetName val="br-items"/>
      <sheetName val="rev-s"/>
      <sheetName val="rev-data"/>
      <sheetName val="ra bill"/>
      <sheetName val="staffing"/>
      <sheetName val="headwise-amt"/>
      <sheetName val="MIS-status"/>
      <sheetName val="Erection"/>
      <sheetName val="PD - MNB"/>
      <sheetName val="Phase 1A"/>
      <sheetName val="TCS 1"/>
      <sheetName val="TCS 1A"/>
      <sheetName val="TCS 2"/>
      <sheetName val="TCS 3"/>
      <sheetName val="TCS 3A"/>
      <sheetName val="TCS 4"/>
      <sheetName val="Phase 1B"/>
      <sheetName val="2 lane"/>
      <sheetName val="4 lane"/>
      <sheetName val="4-lane overlay"/>
      <sheetName val="structure-2Lane"/>
      <sheetName val="4-lane Structure"/>
      <sheetName val="2&amp;4 lane cost"/>
      <sheetName val="Cost Summary final  050111"/>
      <sheetName val="per km final 050111"/>
      <sheetName val="Quantities 1 x 32m"/>
      <sheetName val="Quantities 1 x 21m"/>
      <sheetName val="Quantities 1 x 12"/>
      <sheetName val="REVENUES &amp; BS"/>
      <sheetName val="Results"/>
      <sheetName val="PLGroupings"/>
      <sheetName val="CrRajWMM"/>
      <sheetName val="1. Acquisition"/>
      <sheetName val="Final Basic rate"/>
      <sheetName val="PCC_Estimate"/>
      <sheetName val="NH_Estimate"/>
      <sheetName val="paste"/>
      <sheetName val="U6 Cost"/>
      <sheetName val="52+596"/>
      <sheetName val="87+800"/>
      <sheetName val="63+600- MJB"/>
      <sheetName val="88+517"/>
      <sheetName val="1 x 15 x 5.5 - 30.0m - VUP"/>
      <sheetName val="1 x 12 x5.5 - LVUP"/>
      <sheetName val="Staff_Acco_"/>
      <sheetName val="Tel__"/>
      <sheetName val="Ext_light"/>
      <sheetName val="Staff_Acco_1"/>
      <sheetName val="4_Annex_1_Basic_rate"/>
      <sheetName val="CFLOW"/>
      <sheetName val="APPENDIX B-1"/>
      <sheetName val="Bill 3.1"/>
      <sheetName val="SCHEDULE OF RATES"/>
      <sheetName val="DETAILED__BOQ"/>
      <sheetName val="Cable_data"/>
      <sheetName val="Bill 3 - Site Works"/>
      <sheetName val="schedule1"/>
      <sheetName val="Precalculation"/>
      <sheetName val="Xenon(R2)"/>
      <sheetName val="SCHEDULE (3)"/>
      <sheetName val="INPUT-DATA"/>
      <sheetName val="4-Int- ele(RA)"/>
      <sheetName val="3MLKQ"/>
      <sheetName val="M+MC"/>
      <sheetName val="2004"/>
      <sheetName val="Detail 1A"/>
      <sheetName val="1_Project_Profile"/>
      <sheetName val="banilad"/>
      <sheetName val="Asia Revised 10-1-07"/>
      <sheetName val="All Capital Plan P+L 10-1-07"/>
      <sheetName val="CP08 (2)"/>
      <sheetName val="Planning File 10-1-07"/>
      <sheetName val="Box- Girder"/>
      <sheetName val="Lease rents"/>
      <sheetName val="DLC lookups"/>
      <sheetName val="CCTV_EST1"/>
      <sheetName val="Cost_Any."/>
      <sheetName val="Detail_In_Door_Stad"/>
      <sheetName val="Project_Details__"/>
      <sheetName val="RCC,Ret__Wall"/>
      <sheetName val="Legal_Risk_Analysis"/>
      <sheetName val="Load_Details(B2)"/>
      <sheetName val="Detail_P&amp;L"/>
      <sheetName val="Assumption_Sheet"/>
      <sheetName val="scurve_calc_(2)"/>
      <sheetName val="APPENDIX_B-1"/>
      <sheetName val="Bill_3_1"/>
      <sheetName val="SCHEDULE_OF_RATES"/>
      <sheetName val="Bed Class"/>
      <sheetName val="ABB"/>
      <sheetName val="GE"/>
      <sheetName val="Mat.Cost"/>
      <sheetName val="DTF Summary"/>
      <sheetName val="macros"/>
      <sheetName val="사진"/>
      <sheetName val="ACS(1)"/>
      <sheetName val="FAS-C(4)"/>
      <sheetName val="LENGTH TCS 1 TO 8"/>
      <sheetName val="BILL NO -2"/>
      <sheetName val="BILL NO 8"/>
      <sheetName val="MAJOR JUNCTION"/>
      <sheetName val="T jun-minor"/>
      <sheetName val="Inter section jun minor"/>
      <sheetName val="Y jun- minor"/>
      <sheetName val="Bus lay -mc way"/>
      <sheetName val="Bus Shel Det"/>
      <sheetName val="RCC Retaining Wall-1m ht"/>
      <sheetName val="lighting"/>
      <sheetName val="Abstract  - opt 1 old  (2)"/>
      <sheetName val="Cal Sheet Att (2)"/>
      <sheetName val="Abstract  - opt 1 "/>
      <sheetName val="A.Q. - MINOR BRIDGE-void"/>
      <sheetName val="2+307 - VOID"/>
      <sheetName val="Minor Bridge - 26.9.17"/>
      <sheetName val=" Grade Separator (ROB - 2 )"/>
      <sheetName val="2+307 - SLIP RAMP -LHS"/>
      <sheetName val="2+307 - SLIP RAMP -RHS"/>
      <sheetName val="2+307 - Railway Span (2)"/>
      <sheetName val="Dim"/>
      <sheetName val="Cost Estimate - VUP"/>
      <sheetName val="1 x 15 x 5.5 (4 nos)"/>
      <sheetName val="1 x 25 x 15"/>
      <sheetName val="cost estimate - RE wall"/>
      <sheetName val="Cost estimate - GS"/>
      <sheetName val="30+485 clover leaf"/>
      <sheetName val="1X2X2 WOE - 30 m"/>
      <sheetName val="1X3X2 WOE -30 m"/>
      <sheetName val="1 x3x3 WOE -30 m"/>
      <sheetName val="1x4x3(26m)WOE  -26 m"/>
      <sheetName val="2x3x2 (26m) (WO) "/>
      <sheetName val="2row-1.2m-30.0 m "/>
      <sheetName val="property"/>
      <sheetName val="maing2"/>
      <sheetName val="Shear f"/>
      <sheetName val="Cant "/>
      <sheetName val="cross gr"/>
      <sheetName val="ABS (Rigid)  (2)"/>
      <sheetName val="LENGTH TCS 1 TO 9"/>
      <sheetName val="WIDENING OPTION "/>
      <sheetName val="BILL NO -4 (1)"/>
      <sheetName val="BILL NO -4(2)"/>
      <sheetName val="BILL NO-9-Rough"/>
      <sheetName val="BILL NO(1) - 0-35"/>
      <sheetName val="13+300 (VUP)"/>
      <sheetName val="1 x 15 x 5.5m"/>
      <sheetName val="Cost Estimate GS"/>
      <sheetName val="16+800"/>
      <sheetName val="Cost Estimate 1 "/>
      <sheetName val="26+615 - ROB -2 - VIA DUCT SPAN"/>
      <sheetName val="26+615 - Railway Span"/>
      <sheetName val="Clover Leaf RE Wall Portion"/>
      <sheetName val="Abstract Widening"/>
      <sheetName val="Abstract Newconstruction"/>
      <sheetName val="Abstract Reconstruction"/>
      <sheetName val="Abstract - Bypass"/>
      <sheetName val="1X2X2 WOE - 26"/>
      <sheetName val="1X2X2 WOE - 42.5"/>
      <sheetName val="1X2X2 WOE - 48"/>
      <sheetName val="1X2X3.0 WOE-26"/>
      <sheetName val="1X2X3.0 WOE-42.5"/>
      <sheetName val="1X2X3.0 WOE-48"/>
      <sheetName val="1 X 3 X 2 - 26 "/>
      <sheetName val="1 X 3 X 2 - 27.5"/>
      <sheetName val="1 X 3 X 2 - 42.5"/>
      <sheetName val="1 X 3 X 2 - 48"/>
      <sheetName val="1X3X3 WOE - 26"/>
      <sheetName val="1X3X3 WOE - 27.5"/>
      <sheetName val="1X3X3 WOE - 48"/>
      <sheetName val="1 x 4 x 3-18 Wid"/>
      <sheetName val="1 x 4 x 4 - 26.0"/>
      <sheetName val="1 x 4 x 4 -27.5"/>
      <sheetName val="1X5X3-18"/>
      <sheetName val="1X5X3-42.5"/>
      <sheetName val="1 x 5x4 - 26.0"/>
      <sheetName val="1 x 5x4 - 42.5"/>
      <sheetName val="1 x 5x4 - 48"/>
      <sheetName val="2x3x2 (WO) -26"/>
      <sheetName val="1 x 4.6 x 3 - 18"/>
      <sheetName val="1 x 4.8 x 3- 18"/>
      <sheetName val="2 x 1.2 - 23"/>
      <sheetName val="2 x 1.2- 26)"/>
      <sheetName val="2 x 1.2- 48"/>
      <sheetName val="Bamini Structure Detail"/>
      <sheetName val="A.Q.S"/>
      <sheetName val="C.S.A"/>
      <sheetName val="23+765"/>
      <sheetName val="30+352"/>
      <sheetName val="33+420"/>
      <sheetName val="37+759"/>
      <sheetName val="38+343"/>
      <sheetName val="40+763"/>
      <sheetName val="41+777"/>
      <sheetName val="48+586"/>
      <sheetName val="49+812"/>
      <sheetName val="50+037"/>
      <sheetName val="ROB - 22+946"/>
      <sheetName val="SS - ROB - Void"/>
      <sheetName val="VUP - 25+200"/>
      <sheetName val="VUP - 23+910"/>
      <sheetName val="VUP - 27+154"/>
      <sheetName val="19+000 - 19+500"/>
      <sheetName val="35+160 - 36+400"/>
      <sheetName val="41+000 - 42+600"/>
      <sheetName val="48+000 - 48+900"/>
      <sheetName val="23+720 - 24+250"/>
      <sheetName val="24+800 - 25+550"/>
      <sheetName val="26+400 to 27+580"/>
      <sheetName val="23.900"/>
      <sheetName val="ANNEXURE-C"/>
      <sheetName val="ANNEXURE-D"/>
      <sheetName val="ANNEXURE-E"/>
      <sheetName val="ANNEXURE-F"/>
      <sheetName val="ANNEXURE-G"/>
      <sheetName val="ANNEXURE-H"/>
      <sheetName val="ANNEXURE-J"/>
      <sheetName val="p&amp;m analysis"/>
      <sheetName val="p&amp;m_analysis"/>
      <sheetName val="ETC Plant Cost"/>
      <sheetName val="1 X 2 X 2 - 88+040 - 26m"/>
      <sheetName val="1 X 2 X 2 - 26 m"/>
      <sheetName val="1 X 2 X 2 - 53 m "/>
      <sheetName val="1 x 3 x 3 - 26 m"/>
      <sheetName val="1 X 3 X 2 -26 m"/>
      <sheetName val="1 x 3 x 3 -32 m"/>
      <sheetName val="1 x 3 x 3 -44 m"/>
      <sheetName val="1 x 3 x 3 -53m"/>
      <sheetName val="1 X 3 X 4- 87+360 - 26 m"/>
      <sheetName val="1 x 4 x 3 - 26 m"/>
      <sheetName val="2 x 3 x 2 - 26 m"/>
      <sheetName val="2 x 3 x 2 - 44 m "/>
      <sheetName val="2 x 3 x 2 - 53 m "/>
      <sheetName val="2row-1.2m-26.0 m "/>
      <sheetName val="2row-1.2m-44.0 m "/>
      <sheetName val="2row-1.2m-53.0 m"/>
      <sheetName val="SS - MJB "/>
      <sheetName val="15+435 MJB"/>
      <sheetName val="2 x 30 - GS"/>
      <sheetName val="SS -ROB"/>
      <sheetName val="ROB  - Final "/>
      <sheetName val="general information"/>
      <sheetName val="col-sp16"/>
      <sheetName val="beam"/>
      <sheetName val="footing"/>
      <sheetName val="beam-chk"/>
      <sheetName val="loadsfromstaad"/>
      <sheetName val="Xcal"/>
      <sheetName val="Ycal"/>
      <sheetName val="Cases"/>
      <sheetName val="CRACKWpier"/>
      <sheetName val="6pileULS"/>
      <sheetName val="6pileSLS1"/>
      <sheetName val="pilestress"/>
      <sheetName val="CRACKWpilecap"/>
      <sheetName val="CRACKWPILE"/>
      <sheetName val="BRIDGE - 400"/>
      <sheetName val="LENGTH SHEET"/>
      <sheetName val="Type-1"/>
      <sheetName val=" Type-2 -BUILTUP PORTION-2 LANE"/>
      <sheetName val="Type-3- BUILTUP PORTION-4-LANE"/>
      <sheetName val="e-Streng. Ex-Rd "/>
      <sheetName val="Type-4-existingoverlay "/>
      <sheetName val=" Type-4 -BUILTUP PORTION-2 L"/>
      <sheetName val="Type-5 Toe wall"/>
      <sheetName val="Type-6- BUILTUP PORTION-4-LA"/>
      <sheetName val="9. Miscellenous"/>
      <sheetName val="44+987"/>
      <sheetName val="44+992"/>
      <sheetName val="46+200"/>
      <sheetName val="49+013"/>
      <sheetName val="56+844"/>
      <sheetName val="56+904"/>
      <sheetName val="RR-Bridge"/>
      <sheetName val="44987"/>
      <sheetName val="44992"/>
      <sheetName val="46200"/>
      <sheetName val="49013"/>
      <sheetName val="56844"/>
      <sheetName val="56904"/>
      <sheetName val="RR-Culverts"/>
      <sheetName val="9.bus shelter"/>
      <sheetName val="Major-Y Junction"/>
      <sheetName val="Minor-T Junction"/>
      <sheetName val="Minor-Y Junction"/>
      <sheetName val="Minor-+ Junction"/>
      <sheetName val="SS -Minor bridge"/>
      <sheetName val="7+465"/>
      <sheetName val="7+465 void"/>
      <sheetName val="10+248"/>
      <sheetName val="10+248 - Void"/>
      <sheetName val="12+015"/>
      <sheetName val="14+083"/>
      <sheetName val="21+050"/>
      <sheetName val="21+920"/>
      <sheetName val="22+115"/>
      <sheetName val="22+575"/>
      <sheetName val="22+865"/>
      <sheetName val="25+200"/>
      <sheetName val="26+320 - void"/>
      <sheetName val="30+635"/>
      <sheetName val="31+482 VOID"/>
      <sheetName val="31+482"/>
      <sheetName val="32+832"/>
      <sheetName val="33+685"/>
      <sheetName val="34+735"/>
      <sheetName val="37+075"/>
      <sheetName val="2+310"/>
      <sheetName val="0+410"/>
      <sheetName val="26+200"/>
      <sheetName val="SS Flyover "/>
      <sheetName val="GS - 2 x 30"/>
      <sheetName val="ROB - 2 x 20"/>
      <sheetName val="ROB - 1 x 37.25"/>
      <sheetName val="GS (2 x 15 + 1 x 30)"/>
      <sheetName val="SS - Undepasses"/>
      <sheetName val="1 x 25 - VUP"/>
      <sheetName val="1 x 15.5 x 5.5"/>
      <sheetName val="SS - RE wall"/>
      <sheetName val="0+540 - 1+360"/>
      <sheetName val="1+720 - 2+280"/>
      <sheetName val="4+100 - 4+700"/>
      <sheetName val="6+950 - 7+600"/>
      <sheetName val="10+000 - 10+400"/>
      <sheetName val="11+220 - 11+900"/>
      <sheetName val="13+750 - 14+275"/>
      <sheetName val="16+480 - 17+160"/>
      <sheetName val="19+600 - 20+200"/>
      <sheetName val="23+250 - 23+950"/>
      <sheetName val="25+350 - 26+150"/>
      <sheetName val="30+800 - 31+600"/>
      <sheetName val="32+950 - 34+050"/>
      <sheetName val="37+620 - 38+250"/>
      <sheetName val="39+500 - 40+000"/>
      <sheetName val="41+650 - 42+100"/>
      <sheetName val="1+220 - 2+440"/>
      <sheetName val="2+660 - 3+350"/>
      <sheetName val="5+660 - 6+200"/>
      <sheetName val="1 x 24"/>
      <sheetName val="1 x 25"/>
      <sheetName val="2 x 6"/>
      <sheetName val="3 x 20"/>
      <sheetName val="PKG-1"/>
      <sheetName val="PKG-2"/>
      <sheetName val="water line"/>
      <sheetName val="PKG-1 (2)"/>
      <sheetName val="PKG-2 (2)"/>
      <sheetName val="FINAL -SALOD"/>
      <sheetName val="Abstract Seperate"/>
      <sheetName val="indivual Cost"/>
      <sheetName val="1 x 2 x 3.5 - 14"/>
      <sheetName val="1 X 3 X 2 - 20m"/>
      <sheetName val="1 x 3 x 4 - 14"/>
      <sheetName val="1 x 3 x 4.5 - 14m"/>
      <sheetName val="1 x 4 x 2 - 14m"/>
      <sheetName val="1 x 4 x 3.5 - 14 m"/>
      <sheetName val="1 x 5 x 2.5 - 14m"/>
      <sheetName val="2 x 3 x 5 x 1.5"/>
      <sheetName val="2 x 3 x 5 x 2.5"/>
      <sheetName val="1 x 2 x 3 - 14 m"/>
      <sheetName val="1 x 5 x 4 - 14 m"/>
      <sheetName val="1 x 4 x 5 x 1.5"/>
      <sheetName val="1 x 4 x 5 x 2.5"/>
      <sheetName val="1 x 5 x 3.5- 14 m"/>
      <sheetName val="PHASE-1A-ABS Flexible"/>
      <sheetName val="PHASE-1B-ABS Flexible"/>
      <sheetName val="Abs length"/>
      <sheetName val="Bus bay &amp; Bus shelter"/>
      <sheetName val="MAJOR T JUNCTION -"/>
      <sheetName val="T.Bay(Flex)"/>
      <sheetName val="Bound Wall"/>
      <sheetName val="Bound pill vs wall"/>
      <sheetName val="new structure list Update"/>
      <sheetName val="Culvert List"/>
      <sheetName val="Bridge Lists"/>
      <sheetName val="new structure list"/>
      <sheetName val="Bridge list"/>
      <sheetName val="new structure list Update (2)"/>
      <sheetName val="H Schedule for Re"/>
      <sheetName val="H Schedlue For New"/>
      <sheetName val="A.Q. - BOX "/>
      <sheetName val="C.S.A. - BOX "/>
      <sheetName val="1 X 3 X 2 - 22m"/>
      <sheetName val="1 x 3 x 2.5"/>
      <sheetName val="1 x 4 x 2"/>
      <sheetName val="1 x 4 x 2.5"/>
      <sheetName val="1 x 4 x 3 x 2 "/>
      <sheetName val="2 x 3 x 3.5 - 14m"/>
      <sheetName val="24+988 - VUP"/>
      <sheetName val="3p-motor"/>
      <sheetName val="FT-06-02"/>
      <sheetName val="FT-06-04"/>
      <sheetName val="FT-001 R0"/>
      <sheetName val="E-EI-FT-003R"/>
      <sheetName val="EDRC-HQ"/>
      <sheetName val="E-EI-FT-005"/>
      <sheetName val="FT-05-02 R0"/>
      <sheetName val="Busm"/>
      <sheetName val="e220-66kV "/>
      <sheetName val="ligh"/>
      <sheetName val="Ccab"/>
      <sheetName val="Sizing-Calculation"/>
      <sheetName val="110Vdc"/>
      <sheetName val="48Vdc"/>
      <sheetName val="SIZING"/>
      <sheetName val="CU R and X  "/>
      <sheetName val="PROG_DATA"/>
      <sheetName val="MOT_DATA"/>
      <sheetName val="MANDAY RATE"/>
      <sheetName val="Ins. of Panels"/>
      <sheetName val="Ins. of MCB DB"/>
      <sheetName val="Pt Wiring, Ckt main, Sub Main"/>
      <sheetName val="Cable, Cable Termination"/>
      <sheetName val="Earth Exc, Earthing, Earth Con "/>
      <sheetName val="Ins of Light Fixtures"/>
      <sheetName val="Cable Tray, Steel, LA, Misc"/>
      <sheetName val="COLUMN-CR"/>
      <sheetName val="FT-001_R0"/>
      <sheetName val="FT-05-02_R0"/>
      <sheetName val="e220-66kV_"/>
      <sheetName val="CU_R_and_X__"/>
      <sheetName val="Design Sheet"/>
      <sheetName val="meas-wp"/>
      <sheetName val="47+620 &amp; 67+885"/>
      <sheetName val="72+630"/>
      <sheetName val="67+885"/>
      <sheetName val="54+720 &amp; 66+200"/>
      <sheetName val="39+700, 59+050 &amp; 84+900"/>
      <sheetName val="MANDAY_RATE"/>
      <sheetName val="Ins__of_Panels"/>
      <sheetName val="Ins__of_MCB_DB"/>
      <sheetName val="Pt_Wiring,_Ckt_main,_Sub_Main"/>
      <sheetName val="Cable,_Cable_Termination"/>
      <sheetName val="Earth_Exc,_Earthing,_Earth_Con_"/>
      <sheetName val="Ins_of_Light_Fixtures"/>
      <sheetName val="Cable_Tray,_Steel,_LA,_Misc"/>
      <sheetName val="Purlin(7m)"/>
      <sheetName val="Key Assumptions"/>
      <sheetName val="S4"/>
      <sheetName val="Form-C4"/>
      <sheetName val="Title_Str"/>
      <sheetName val="Str Dsgn"/>
      <sheetName val="Ten Cap"/>
      <sheetName val="Wind_15m"/>
      <sheetName val="Wind_17.5m"/>
      <sheetName val="Wind_20m"/>
      <sheetName val="Title_Fdn"/>
      <sheetName val="Fdn Loads"/>
      <sheetName val="Fdn_Dsgn_Y(2m)"/>
      <sheetName val="1_Y(2m)"/>
      <sheetName val="Fdn_Dsgn_X(2m)"/>
      <sheetName val="1_X(2m)"/>
      <sheetName val="Fdn_Dsgn_Y (3.3m)"/>
      <sheetName val="1_Y (3.3m)"/>
      <sheetName val="Fdn_Dsgn_X (3.3m)"/>
      <sheetName val="1_X (3.3m)"/>
      <sheetName val="Major Br. Statement"/>
      <sheetName val="ASSAm Gua PBC"/>
      <sheetName val="4+565"/>
      <sheetName val="9+238"/>
      <sheetName val="2 x 8 - 1 Nos"/>
      <sheetName val="4x 12 - 10+678"/>
      <sheetName val="10+678"/>
      <sheetName val="10+778"/>
      <sheetName val="15+830"/>
      <sheetName val="6+420 - 7+140 - PUP"/>
      <sheetName val="10+550 - 11+280 - VUP"/>
      <sheetName val="10+550 - 11+280 - VUP Missing R"/>
      <sheetName val="0+000 - 0+660 - St Clover "/>
      <sheetName val="RE Wall Clover Leaf  Portion"/>
      <sheetName val="400 -Befor ROBPortion"/>
      <sheetName val="215- After ROB Portion"/>
      <sheetName val="400 After FLy  Portion"/>
      <sheetName val="RE Wall Clover Leaf  Portion(2)"/>
      <sheetName val="16700- 17+130 -  Trumphet"/>
      <sheetName val="200 - Trumphet "/>
      <sheetName val="100 - Trumphet b- For 2 Sides"/>
      <sheetName val="2 x 30"/>
      <sheetName val="8+130"/>
      <sheetName val="8+805"/>
      <sheetName val="11+800"/>
      <sheetName val="13+540 "/>
      <sheetName val="13+635"/>
      <sheetName val="20+135"/>
      <sheetName val="21+412"/>
      <sheetName val="23+225"/>
      <sheetName val="34+400"/>
      <sheetName val="Grade Separator - VUP"/>
      <sheetName val="1 x 12 x4.0 - LVUP -"/>
      <sheetName val="RE Wall For Grade Separator"/>
      <sheetName val="RE Wall For LVUP 11+195"/>
      <sheetName val="RE Wall For VUP 12+700"/>
      <sheetName val="RE Wall For VUP 14+765"/>
      <sheetName val="RE Wall For LVUP 18+800"/>
      <sheetName val="RE Wall For VUP 26+535"/>
      <sheetName val="RE Wall For VUP 33+170"/>
      <sheetName val="RE Wall For VUP 34+160"/>
      <sheetName val="Supplysubco"/>
      <sheetName val="Customs"/>
      <sheetName val="Bill of Quantities-option1"/>
      <sheetName val="Bill of Quantities-option2 pric"/>
      <sheetName val="As Submitted"/>
      <sheetName val="Manholes"/>
      <sheetName val="line marking"/>
      <sheetName val="fuel-fox"/>
      <sheetName val="RMCG Beam"/>
      <sheetName val="Pavement type 5 &amp; 7"/>
      <sheetName val="Inter block with colourfull top"/>
      <sheetName val="Inter block with colourfull"/>
      <sheetName val="interl blocks (2)"/>
      <sheetName val="11.annex 7 concrete analysi"/>
      <sheetName val="Summary - Opt 2"/>
      <sheetName val="Summary - Opt 1"/>
      <sheetName val="Bill of Quantities -option2"/>
      <sheetName val="Storm water drainage"/>
      <sheetName val="Base &amp; Subbase"/>
      <sheetName val="Bedding sand drainage"/>
      <sheetName val="missed qty (2)"/>
      <sheetName val="missed qty"/>
      <sheetName val="Bill_of_Quantities-option1"/>
      <sheetName val="Bill_of_Quantities-option2_pric"/>
      <sheetName val="As_Submitted"/>
      <sheetName val="Final_BOQ"/>
      <sheetName val="line_marking"/>
      <sheetName val="RMCG_Beam"/>
      <sheetName val="Pavement_type_5_&amp;_7"/>
      <sheetName val="Inter_block_with_colourfull_top"/>
      <sheetName val="Inter_block_with_colourfull"/>
      <sheetName val="interl_blocks_(2)"/>
      <sheetName val="11_annex_7_concrete_analysi"/>
      <sheetName val="Summary_-_Opt_2"/>
      <sheetName val="Summary_-_Opt_1"/>
      <sheetName val="Bill_of_Quantities_-option2"/>
      <sheetName val="Top_Sheet_(2)"/>
      <sheetName val="Storm_water_drainage"/>
      <sheetName val="Base_&amp;_Subbase"/>
      <sheetName val="Bedding_sand_drainage"/>
      <sheetName val="missed_qty_(2)"/>
      <sheetName val="missed_qty"/>
      <sheetName val="Bechtel Norms"/>
      <sheetName val="CS PIPING"/>
      <sheetName val="BC &amp; MNB "/>
      <sheetName val="NC-CM"/>
      <sheetName val="2row-1.2m-28.0m"/>
      <sheetName val="2row-1.2m-29.0m "/>
      <sheetName val="2row-1.2m-30.0m  "/>
      <sheetName val="2row-1.2m-31.0m "/>
      <sheetName val="2row-1.2m-32.0m "/>
      <sheetName val="2row-1.2m-34.0m "/>
      <sheetName val="2row-1.2m-33.0m "/>
      <sheetName val="2row-1.2m-35.0m "/>
      <sheetName val="2row-1.2m-36.0m  "/>
      <sheetName val="2row-1.2m-38.0m   "/>
      <sheetName val="2row-1.2m-39.0m"/>
      <sheetName val="2row-1.2m-44.0m"/>
      <sheetName val="2row-1.2m-44.0 m"/>
      <sheetName val="2row-1.2m-51.0 m "/>
      <sheetName val="2row-1.2m-55.0 m  "/>
      <sheetName val="1 x 2 x 1.5 - 26m"/>
      <sheetName val="1 x 2 x 2 - 26m"/>
      <sheetName val="1 x 2 x 2 - 28.5m"/>
      <sheetName val="1 x 2 x 2 x 2 - 34m"/>
      <sheetName val="1 x 2 x 3 -27.5m"/>
      <sheetName val="1 x 2 x 3  x 2.5 -36m"/>
      <sheetName val="1 x 3 x 3 x 2 - 35.5m"/>
      <sheetName val="1 x 2 x  4 x 2.5 -36m"/>
      <sheetName val="1 x 3 x 1.5-26m"/>
      <sheetName val="1 x 3 x 2 - 27.5m"/>
      <sheetName val="1 x 3 x 2 - 28.5m"/>
      <sheetName val="1 x 3 x 2 x 1.5 - 33.5m"/>
      <sheetName val="1 x 3 x 2 x 3 - 39.5m"/>
      <sheetName val="1 x 3 x 3 - 27.5m"/>
      <sheetName val="1 x 3 x 3 - 55m"/>
      <sheetName val="1 x 3 x 3 x 1.5 - 33.5"/>
      <sheetName val="1 x 4 x 2 - 27.5m"/>
      <sheetName val="1 x 4 x 3-27.5m"/>
      <sheetName val="1 x 4 x 4 - 27.5m"/>
      <sheetName val="1 x 4 x 4 x 1.5 - 33.5m"/>
      <sheetName val="2 x 3 x 3 - 26m"/>
      <sheetName val="1 x 5.4 x 3 - 17.7m"/>
      <sheetName val="1 x 3 x 3 - 26 - Bypass"/>
      <sheetName val="1 x 2 x 2 - 26m - Bypass"/>
      <sheetName val="Abstarct for 6.1 to 41.1 km Ske"/>
      <sheetName val="Abstarct for 6.1 to 41.1 km"/>
      <sheetName val="SS-BOX Final "/>
      <sheetName val="SS-BOX - 1"/>
      <sheetName val="1X2X3.5 WOE-26"/>
      <sheetName val="1X2X4.0 WOE-26 "/>
      <sheetName val="1X2X1.5 WOE - 26 "/>
      <sheetName val="1X2X2.5 WOE-26"/>
      <sheetName val="1X3X4 WOE - 26"/>
      <sheetName val="1 x 4 x 3 - 26.0"/>
      <sheetName val="1 x 5x3.5- 26.0"/>
      <sheetName val="1X2X3X1.5 WEC-32 "/>
      <sheetName val="1x2x2X2.0-34.0 WEC "/>
      <sheetName val="1X2X3.5X2 WEC-34"/>
      <sheetName val="1X2X3X2 WEC 34  "/>
      <sheetName val="SS-BOX - 2"/>
      <sheetName val="1X3X3X2WEC -34  "/>
      <sheetName val="1X2X3X2.5 WEC 36 "/>
      <sheetName val="1X3X4X3WEC- 38."/>
      <sheetName val="1X2X3X 4 WEC-38"/>
      <sheetName val="1X2X3X 4 WEC-42 "/>
      <sheetName val="1X2X2 WOE - 56 "/>
      <sheetName val="1X2X3X2 WEC 56"/>
      <sheetName val="1X2X4.0 WOE-56"/>
      <sheetName val="1X3X4 WOE - 56"/>
      <sheetName val="1X2X3X1.5 WEC-56"/>
      <sheetName val="1X2X3X2 WEC 56.0m"/>
      <sheetName val="1X2X3X2.5 WEC 56"/>
      <sheetName val="1X2X3X2 WEC 56.0m "/>
      <sheetName val="1X2X3.5 WOE-56"/>
      <sheetName val="1 x 4 x 3 x 2.5- 56"/>
      <sheetName val="SS-BOX -3"/>
      <sheetName val="1x5x5x6.0 - 56"/>
      <sheetName val="1X2X2 WOE - 29.72"/>
      <sheetName val="1X2X3.0 WOE-27.18"/>
      <sheetName val="1X2X3.0 WOE-35.55"/>
      <sheetName val="1X3X4 WOE - 30.65"/>
      <sheetName val="1X2X3X2 WEC 35.55"/>
      <sheetName val="1X2X3X2.5 WEC 61.78"/>
      <sheetName val="1X2X3.5 WOE-33.940"/>
      <sheetName val="1X2X2 WOE - 33.94"/>
      <sheetName val="1X2X3.0 WOE-26.0m"/>
      <sheetName val="1X3X4 WOE - 27.047"/>
      <sheetName val="1X3X3X2WEC -29.44"/>
      <sheetName val="1 x 4 x 2.5 - 27.66"/>
      <sheetName val="1 x 4 x 4 -26.68"/>
      <sheetName val="1X5X3 - 26.0"/>
      <sheetName val="1X2X3X2 WEC 56.0"/>
      <sheetName val="1 x 4 x 4 x 4  57.251 "/>
      <sheetName val="1X2X3X 4 WEC-58.881"/>
      <sheetName val="1X3X3.5WOE - 56"/>
      <sheetName val="1X3X3X3WEC -57.97 "/>
      <sheetName val="1X3X4X4WEC -58.881 "/>
      <sheetName val="1 x 4 x 5 x 6  - 57.97 "/>
      <sheetName val="1X3X3 WOE - 29.18"/>
      <sheetName val="1 X 3 X 2 - 31.00"/>
      <sheetName val="1X3X3.5 WOE - 44.23"/>
      <sheetName val="1 x 5x5 - 27.84"/>
      <sheetName val="RCC Retaining Wall-1.25m ht"/>
      <sheetName val="LENGTH TCS 1 TO 8 (2)"/>
      <sheetName val="1470 to 2900"/>
      <sheetName val="1 X 2 X 1.5 - 14m"/>
      <sheetName val="1 X 2 X 1.5 - 24m "/>
      <sheetName val="1 X 3 X 1.5 - 14m"/>
      <sheetName val="1 X 3 X 1.5 - 24m"/>
      <sheetName val="1 X 3 X 2 - 24m "/>
      <sheetName val="1 x 3 x 2.5 - 24m"/>
      <sheetName val="1 x 4 x 3 - 14m"/>
      <sheetName val="2 x 2 x 2 - 14 m"/>
      <sheetName val="2 x 3 x 1.5"/>
      <sheetName val="2 x 3 x 2 - 14m"/>
      <sheetName val="2 x 3 x 2.5 - 14m"/>
      <sheetName val="2 x 3 x 2.5 - 24m"/>
      <sheetName val="1 x 2 x 1.5 -2m"/>
      <sheetName val="1 x 2 x 2 - 12m"/>
      <sheetName val="1 x 2 x 2 - 2m"/>
      <sheetName val="1 x 2 x 3 -2m"/>
      <sheetName val="1 x 2 x 3 - 12m "/>
      <sheetName val="1 x 2.1 x 2.5 - 4.5m"/>
      <sheetName val="1 x 3.75 x 3.5 - 10m"/>
      <sheetName val="1 x 4.6 x 4.5 - 6.5m"/>
      <sheetName val="2 x 2 x 2.5 - 3.5"/>
      <sheetName val="2 x 2 x 2.5 - 2m"/>
      <sheetName val="2 x 3 x 3.5 - 2m"/>
      <sheetName val="2 x 3 x 3.5 - 12m"/>
      <sheetName val="2 x 3 x 4 - 2.5m"/>
      <sheetName val="2 x 2 x 3.5 - 1m"/>
      <sheetName val="Qty Wise Prgrs of Box Str"/>
      <sheetName val="22-06-2017"/>
      <sheetName val="11 August 2017"/>
      <sheetName val="04 Oct 2017"/>
      <sheetName val="3 May 2018"/>
      <sheetName val="06.06.18"/>
      <sheetName val="VUP &amp; LVUP"/>
      <sheetName val="09.06.18"/>
      <sheetName val="21.08.2018"/>
      <sheetName val="VUP &amp; LVUP- 23.08.18"/>
      <sheetName val="27.08.2018"/>
      <sheetName val="Bill.No 5"/>
      <sheetName val="1 x 2 x 2 - 33"/>
      <sheetName val="1 x 2 x 2 - 50"/>
      <sheetName val="1 x 2 x 2.5 -33"/>
      <sheetName val="1 x 2 x 3 -33"/>
      <sheetName val="1 x 2 x 3 - 50"/>
      <sheetName val="1 x 2 x 3 -60"/>
      <sheetName val="1 x 2 x 4 - 50"/>
      <sheetName val="1 X 3 X 2 - 33"/>
      <sheetName val="1 x 3 x 3 - 50"/>
      <sheetName val="1 x 3 x 3 x 1.5 - 39"/>
      <sheetName val="1 x 4 x 2 - 33"/>
      <sheetName val="1 x 4 x 3 - 50"/>
      <sheetName val="1 x 4 x 3 x 3 - 50"/>
      <sheetName val="1 x 5 x 2 - 33"/>
      <sheetName val="1 x 5 x 2 - 60"/>
      <sheetName val="1 x 5 x 3 - 33"/>
      <sheetName val="1 x 5 x 4 - 33"/>
      <sheetName val="1 x 5 x 3 - 50"/>
      <sheetName val="2 x 3 x 2 - 33"/>
      <sheetName val="mar_ rat_ana"/>
      <sheetName val="total abs"/>
      <sheetName val="ATM"/>
      <sheetName val="dinning hall"/>
      <sheetName val="POWER HOUSE"/>
      <sheetName val="plant area"/>
      <sheetName val="_lbd "/>
      <sheetName val="0+465 - 9D"/>
      <sheetName val="9+700 - 0D"/>
      <sheetName val="13+458 - 31D"/>
      <sheetName val="16+935 - 0D"/>
      <sheetName val="18+545 - 0D"/>
      <sheetName val="26+209 - 0D"/>
      <sheetName val="shn"/>
      <sheetName val="Definitions"/>
      <sheetName val="Sqn_Abs _G_1"/>
      <sheetName val="Air-Abs (G+6)"/>
      <sheetName val="Air-Abs (G+1) "/>
      <sheetName val="Air(G+1)"/>
      <sheetName val="WO-Abs (G+5)"/>
      <sheetName val="wo-4th to 5th "/>
      <sheetName val="Flt.Lt(G+1)"/>
      <sheetName val="WO-Abs(G+1)"/>
      <sheetName val="wo(G+1)"/>
      <sheetName val="Sqn-Abs _G+1"/>
      <sheetName val="Sqn(G+1)"/>
      <sheetName val="Sqn-Abs_G+8"/>
      <sheetName val="Sqn (4 to 7)"/>
      <sheetName val="Sqn ( 8&amp;Terrace)"/>
      <sheetName val="BLOCK-E"/>
      <sheetName val="RA_MKT_QUOTE"/>
      <sheetName val="JCR Oct 06 TOP SHEET"/>
      <sheetName val="JCR Oct 06 CIVIL"/>
      <sheetName val="JCR Oct 06 MECH"/>
      <sheetName val="Oct 06 DESI &amp;SP.CONT"/>
      <sheetName val="JCR Oct 06 IDC"/>
      <sheetName val="Cum Measure"/>
      <sheetName val="PS Rate Working"/>
      <sheetName val="CIVIL Str vise"/>
      <sheetName val="JCR sEP 06 IDC WORKINGS"/>
      <sheetName val="Job valuation sheet"/>
      <sheetName val="Breakup"/>
      <sheetName val="Introduction"/>
      <sheetName val="Salient Levels(Input)"/>
      <sheetName val="calculation &amp; Formulas"/>
      <sheetName val="Dead Load Calculation Draw"/>
      <sheetName val="Super str self wt"/>
      <sheetName val="Load staad output"/>
      <sheetName val="Seismic COEFFICIENT"/>
      <sheetName val="Permanent Load-LWL"/>
      <sheetName val="Permanent Load-HFL"/>
      <sheetName val="MT- LWL"/>
      <sheetName val="MT- HFL"/>
      <sheetName val="LL(10 TO 25 M SPAN)"/>
      <sheetName val="Braking force"/>
      <sheetName val="Earth pr. coefficient"/>
      <sheetName val="Earth pr -foundation"/>
      <sheetName val="Wind force"/>
      <sheetName val="summary - NEW"/>
      <sheetName val="SBC"/>
      <sheetName val="Base raft- design"/>
      <sheetName val="DL + SDL- LWL - ABUT"/>
      <sheetName val="DL + SDL - HFL - ABUT"/>
      <sheetName val="live load  - ABUT"/>
      <sheetName val="Braking force - ABUT"/>
      <sheetName val="Earth pr - Abutment"/>
      <sheetName val="Wind force - ABUT"/>
      <sheetName val="summary - ABUT"/>
      <sheetName val="Design of abutment stem"/>
      <sheetName val="STRESS CHECK"/>
      <sheetName val="stress L1"/>
      <sheetName val="l2"/>
      <sheetName val="Abutment cap"/>
      <sheetName val="dirt wall &amp; flywing "/>
      <sheetName val="Design of return wall"/>
      <sheetName val="Des. counterfort Ret. Wall"/>
      <sheetName val="Stress ck L5"/>
      <sheetName val="seismic DL- LWL"/>
      <sheetName val="seismic DL- HFL"/>
      <sheetName val="Seismic coefficient-EARTH"/>
      <sheetName val="Earth pr -foundation-SEIS"/>
      <sheetName val="summary - NEW - seis"/>
      <sheetName val="SBC - seis"/>
      <sheetName val="Base raft- design-seis"/>
      <sheetName val="seismic DL- LWL-abu"/>
      <sheetName val="seismic DL- HFL-abu"/>
      <sheetName val="Earth pr - Abutm seis"/>
      <sheetName val="summary - ABUT-seis"/>
      <sheetName val="abutment wall - seis"/>
      <sheetName val="STRESS CHECK-seis"/>
      <sheetName val="seismic 1"/>
      <sheetName val="L2-SEIS  "/>
      <sheetName val="L3-SEIS   "/>
      <sheetName val="seismic"/>
      <sheetName val=" L5-seis "/>
      <sheetName val="L6-SEIS"/>
      <sheetName val="L7-SEIS  "/>
      <sheetName val="L8-SEIS "/>
      <sheetName val="L9-SEIS  "/>
      <sheetName val=" L10-SEIS  "/>
      <sheetName val=" L11-seis"/>
      <sheetName val="L12-SEIS"/>
      <sheetName val="dirt wall &amp; flywing-seis"/>
      <sheetName val="return wall -seis"/>
      <sheetName val=" counterfort for Ret. Wall-seis"/>
      <sheetName val="Stress ck L5-seis"/>
      <sheetName val="Summary of rein"/>
      <sheetName val="Summary of rein -seis"/>
      <sheetName val="Summary of connection"/>
      <sheetName val="Summary of Forces"/>
      <sheetName val="summary of stress"/>
      <sheetName val="connections"/>
      <sheetName val="Stresses for diff girders"/>
      <sheetName val="shrinkage"/>
      <sheetName val="temp-check"/>
      <sheetName val="indian"/>
      <sheetName val="Lenzen"/>
      <sheetName val="diaph"/>
      <sheetName val="vibrn"/>
      <sheetName val="Design Of Cantilever (2)"/>
      <sheetName val="crash barrier"/>
      <sheetName val="end diaph"/>
      <sheetName val="Live load"/>
      <sheetName val="SIDl"/>
      <sheetName val="self weight due to girder"/>
      <sheetName val="Wind design"/>
      <sheetName val="1 x 15 x 5.5"/>
      <sheetName val="Spreadsheet MNB - Final  (2)"/>
      <sheetName val="Spread Sheet - LVUP "/>
      <sheetName val="SS - GS - "/>
      <sheetName val="SS - GS - MJB"/>
      <sheetName val="10+620 - 11+320"/>
      <sheetName val="11+960 - 12+790"/>
      <sheetName val="14+000 - 14+840"/>
      <sheetName val="18+240 - 18+840"/>
      <sheetName val="21+800 - 22+580"/>
      <sheetName val="25+840 - 26+680"/>
      <sheetName val="32+540 - 34+280"/>
      <sheetName val="35+470 - 36+170"/>
      <sheetName val="Super str diagram"/>
      <sheetName val="load calculation "/>
      <sheetName val="Calculation of Live Loads"/>
      <sheetName val="LL - Two span (2)"/>
      <sheetName val="Capping beam Design"/>
      <sheetName val="Forces on pier"/>
      <sheetName val="shear deformation"/>
      <sheetName val="load combination"/>
      <sheetName val="Design of pier"/>
      <sheetName val="Design of footing"/>
      <sheetName val="summary of footing"/>
      <sheetName val="design of reinforcement"/>
      <sheetName val="books"/>
      <sheetName val="Pier-rcc-design"/>
      <sheetName val="futurepsc"/>
      <sheetName val="sp-16"/>
      <sheetName val="17+340"/>
      <sheetName val="Bidform"/>
      <sheetName val="Circular Column"/>
      <sheetName val="properties-superstructure"/>
      <sheetName val="staad_results"/>
      <sheetName val="differential shrinkage"/>
      <sheetName val="risetemp_outer beams"/>
      <sheetName val="risetemp_inner beams"/>
      <sheetName val="falltemp_outer beam"/>
      <sheetName val="falltemp_inner beams"/>
      <sheetName val="design of prestressing"/>
      <sheetName val="Kerb side outer beam"/>
      <sheetName val="kerb side inner beam"/>
      <sheetName val="verge side inner beam"/>
      <sheetName val="verge side outer beam"/>
      <sheetName val="shear connector &amp; end block"/>
      <sheetName val="Ultimate moment"/>
      <sheetName val="Ultimate shear "/>
      <sheetName val="Tensile reinforcement"/>
      <sheetName val="minimum reinforcement"/>
      <sheetName val="movement"/>
      <sheetName val="Transverse_design"/>
      <sheetName val="design of diaphragm"/>
      <sheetName val="Futureprestressing blocks"/>
      <sheetName val="pile-capacity"/>
      <sheetName val="pile-fixity"/>
      <sheetName val="approach-slab"/>
      <sheetName val="bearing-load"/>
      <sheetName val="neoprenebearing"/>
      <sheetName val="abutment_cap"/>
      <sheetName val="pier-analysis"/>
      <sheetName val="pier_cap"/>
      <sheetName val="analysis_superstructure"/>
      <sheetName val="SSR _ NSSR Market final"/>
      <sheetName val="SSR &amp; NSSR Market final"/>
      <sheetName val="21+050 - 21+850"/>
      <sheetName val="issue_summary"/>
      <sheetName val="iso-forms"/>
      <sheetName val="CALC. PER IEEE-1115 "/>
      <sheetName val="Load duty cycle"/>
      <sheetName val="110kV"/>
      <sheetName val="CPP"/>
      <sheetName val="Annexure-11"/>
      <sheetName val="Calc-Float 1"/>
      <sheetName val="Calc-boost 1"/>
      <sheetName val="Annexure-3 1"/>
      <sheetName val="total -BOQ"/>
      <sheetName val="CALC__PER_IEEE-1115_"/>
      <sheetName val="Load_duty_cycle"/>
      <sheetName val="Calc-Float_1"/>
      <sheetName val="Calc-boost_1"/>
      <sheetName val="Annexure-3_1"/>
      <sheetName val="total_-BOQ"/>
      <sheetName val="pile Fabrication"/>
      <sheetName val="Anl"/>
      <sheetName val="Typical Design"/>
      <sheetName val="beam_reinft"/>
      <sheetName val="電気設備表"/>
      <sheetName val="Est To comp-KTRP"/>
      <sheetName val="JCR TOP(ITEM)-KTRP"/>
      <sheetName val="General input"/>
      <sheetName val="AST QTY"/>
      <sheetName val="0+281-4lane"/>
      <sheetName val="1+032 - 4 LANE - SK 22"/>
      <sheetName val="Abstract for H"/>
      <sheetName val="SS - LVUP"/>
      <sheetName val="255+450 - 256+130"/>
      <sheetName val="296+810 - 297+190"/>
      <sheetName val="309+400 - 310+100"/>
      <sheetName val="17-600 MJB"/>
      <sheetName val="AnalysisNH-U3 "/>
      <sheetName val="bridges (2)"/>
      <sheetName val="Distribution of Moments"/>
      <sheetName val="Creep Coeffient"/>
      <sheetName val="design data"/>
      <sheetName val="Sum prestress"/>
      <sheetName val="stage1"/>
      <sheetName val="stage2"/>
      <sheetName val="stage3"/>
      <sheetName val="stage4"/>
      <sheetName val="Graphs-stress"/>
      <sheetName val="Cable Details"/>
      <sheetName val="distribution of hyperstatic"/>
      <sheetName val="hyperstatic-3"/>
      <sheetName val="hyperstatic-1"/>
      <sheetName val="hyperstatic-2 "/>
      <sheetName val="Graphs-Hyperstatic"/>
      <sheetName val="temp-rise"/>
      <sheetName val="temp-fall"/>
      <sheetName val="slab-Ixx"/>
      <sheetName val="atD"/>
      <sheetName val="grillage prop"/>
      <sheetName val="load calculation"/>
      <sheetName val="max-moment"/>
      <sheetName val="min-moment"/>
      <sheetName val="EB1"/>
      <sheetName val="diaphragm"/>
      <sheetName val="1 x 3 x 2 x 1.5 - 39.5m"/>
      <sheetName val="comb-footing"/>
      <sheetName val="DL+LL(SPAN - 8.7  M) "/>
      <sheetName val="70R - ( 8.7 m)  "/>
      <sheetName val="ULS"/>
      <sheetName val="IRC112 TABLE 6.5"/>
      <sheetName val="ABSTRACT  FOR VUP"/>
      <sheetName val="ABSTRACT - For MNB"/>
      <sheetName val="Abs Quantity"/>
      <sheetName val="COST ESTIMATE - 14.3.18"/>
      <sheetName val="Spreadsheet MNB"/>
      <sheetName val="13+710"/>
      <sheetName val="14+470"/>
      <sheetName val="16+365"/>
      <sheetName val="18+150"/>
      <sheetName val="18+485"/>
      <sheetName val="Cost Estimate - VUP "/>
      <sheetName val="ABSTRACT  FOR RE Wall"/>
      <sheetName val="Cost estimate - MJB"/>
      <sheetName val="1 x 2 x 3 - 20 m"/>
      <sheetName val="1 x 5.8 x 3.3 - 4.1 m"/>
      <sheetName val="Bus Lay bye &amp; Bus shelter"/>
      <sheetName val="H"/>
      <sheetName val="H 100 %"/>
      <sheetName val="H (2)"/>
      <sheetName val="SCHEDULE-H (23.01.18)"/>
      <sheetName val="Bill No - 12"/>
      <sheetName val="Bound pillar abs"/>
      <sheetName val="Sum TLB"/>
      <sheetName val="entitlements"/>
      <sheetName val="Labour___Plant"/>
      <sheetName val="_Analysis"/>
      <sheetName val="BOQ_"/>
      <sheetName val="Priced_DWR_"/>
      <sheetName val="_AnalysisNH"/>
      <sheetName val="Basement_Budget"/>
      <sheetName val="Break_up_Sheet"/>
      <sheetName val="sq ftg detail"/>
      <sheetName val="lookup"/>
      <sheetName val="Hotel Info Input"/>
      <sheetName val="Abstract23.11.17"/>
      <sheetName val="Abstract 2.11.2017"/>
      <sheetName val="1 X 2 X 1.5 -26m"/>
      <sheetName val="1 X 2 X 2 - 26m "/>
      <sheetName val="1X2X3.0 -52"/>
      <sheetName val="1 X 3 X 1.5 - 26m"/>
      <sheetName val="1 X 3 X 1.5 - 52m "/>
      <sheetName val="1 X 3 X 2 - 26m "/>
      <sheetName val="1 x 3 x 2.5 - 26m"/>
      <sheetName val="2 x 3 x 3- 26"/>
      <sheetName val="2 x 2 x 2 -26 m"/>
      <sheetName val="2 x 3 x 1.5 - 26m"/>
      <sheetName val="2 x 3 x 2 - 26m"/>
      <sheetName val="1 x 2 x 2 -14m"/>
      <sheetName val="1 x 2 x 1.5 -14m"/>
      <sheetName val="2 x 2 x 3.5 - 13m"/>
      <sheetName val="1 x 2.1 x 2.5 -16.5m"/>
      <sheetName val="2 x 3 x 4 - 14.5 m"/>
      <sheetName val="issue_summary "/>
      <sheetName val="iso-forms "/>
      <sheetName val="CAL_SUMMARY"/>
      <sheetName val="PIPESIZING_C120"/>
      <sheetName val="Thickness-C120"/>
      <sheetName val="Prdro_C120"/>
      <sheetName val="resis. coeffC120"/>
      <sheetName val="SCHEMATIC SKETCH"/>
      <sheetName val="RECAPITULATION"/>
      <sheetName val="issue_summary_"/>
      <sheetName val="iso-forms_"/>
      <sheetName val="resis__coeffC120"/>
      <sheetName val="SCHEMATIC_SKETCH"/>
      <sheetName val="cul-invSUBMITTED"/>
      <sheetName val="Ref Tables"/>
      <sheetName val="purpose_input"/>
      <sheetName val="M.R.List (2)"/>
      <sheetName val="maingirder"/>
      <sheetName val="Shear force"/>
      <sheetName val="Cantilever "/>
      <sheetName val="crossgirder"/>
      <sheetName val="sum-moment (FINAL)"/>
      <sheetName val="deckl"/>
      <sheetName val="INPUT-DATA1"/>
      <sheetName val="stress"/>
      <sheetName val="Pier seis"/>
      <sheetName val="cost estimate MNB"/>
      <sheetName val="SS -MNB"/>
      <sheetName val="125+444"/>
      <sheetName val="134+515"/>
      <sheetName val="139+746"/>
      <sheetName val="139+746 2x8.0"/>
      <sheetName val="141+412"/>
      <sheetName val="144+398"/>
      <sheetName val="145+901"/>
      <sheetName val="150+204"/>
      <sheetName val="183+590 - Widening"/>
      <sheetName val="139+455"/>
      <sheetName val="147+935"/>
      <sheetName val="134+352 - RE"/>
      <sheetName val="Normative cost"/>
      <sheetName val="SSR 2019-20"/>
      <sheetName val="Ext Ele-Data"/>
      <sheetName val="Panel Data"/>
      <sheetName val="CIVIL-ABCD"/>
      <sheetName val="WS-ABCD"/>
      <sheetName val="STP MECHANICAL"/>
      <sheetName val="SUM-HOSP"/>
      <sheetName val="CIVL-Hospital"/>
      <sheetName val="ELE-ABCD"/>
      <sheetName val="Det-Hosp-GF"/>
      <sheetName val="Det-Hosp-SF"/>
      <sheetName val="SUM-PAT"/>
      <sheetName val="WS-Det.P.Shed"/>
      <sheetName val="SUM-CAN"/>
      <sheetName val="CIVL-ABS(Canteen) "/>
      <sheetName val="Canteen-ABS-WS "/>
      <sheetName val="Canteen GF"/>
      <sheetName val="Canteen-WS-Detail"/>
      <sheetName val="SUM-ABG"/>
      <sheetName val="SUM-SEC"/>
      <sheetName val="Sec-Civil-ABS"/>
      <sheetName val="Sec-WS-Abs"/>
      <sheetName val="Sec-(D)"/>
      <sheetName val="Security-WS Det"/>
      <sheetName val="SUM-DG Room"/>
      <sheetName val="CIVL-DG Room"/>
      <sheetName val="DG Room-GF "/>
      <sheetName val="SUM-MOR"/>
      <sheetName val="Abs-Mortuary"/>
      <sheetName val="Mortuary- WS Abs"/>
      <sheetName val="Mortuary-Det GF"/>
      <sheetName val="Mortuary-WS-Detail"/>
      <sheetName val="SUM-bio"/>
      <sheetName val="CIVL-Bio Medical"/>
      <sheetName val="WS-Abs Bio-medical"/>
      <sheetName val="Bio Medical-GF (FF) "/>
      <sheetName val="Bio-Medical-WS-Det "/>
      <sheetName val="Compound wall-ABS "/>
      <sheetName val="Det-Compound"/>
      <sheetName val="Storm water drain -ABS "/>
      <sheetName val="Storm water drain "/>
      <sheetName val="STP ABSTRACT "/>
      <sheetName val="STP-MECH"/>
      <sheetName val="STP DET "/>
      <sheetName val="EXT SEW&amp;WS- ABS "/>
      <sheetName val="EXT SEW&amp;WS- DET"/>
      <sheetName val="Rates-May-14"/>
      <sheetName val="Data_F8_BTR3"/>
      <sheetName val="Plant_&amp;__Machinery3"/>
      <sheetName val="Data_F8_BTR1"/>
      <sheetName val="Plant_&amp;__Machinery1"/>
      <sheetName val="Data_F8_BTR2"/>
      <sheetName val="Plant_&amp;__Machinery2"/>
      <sheetName val="seismic rest"/>
      <sheetName val="cap "/>
      <sheetName val="WATERF"/>
      <sheetName val="LLOAD"/>
      <sheetName val="Inner Girder"/>
      <sheetName val="Outer Girder"/>
      <sheetName val="Dead Load"/>
      <sheetName val="Staad Results"/>
      <sheetName val="Cab 1"/>
      <sheetName val="Prestress load"/>
      <sheetName val="ZS1"/>
      <sheetName val="Cab 2"/>
      <sheetName val="ZS2"/>
      <sheetName val="Cab 3"/>
      <sheetName val="ZS3"/>
      <sheetName val="Cab 4"/>
      <sheetName val="ZS4"/>
      <sheetName val="Cab 5"/>
      <sheetName val="ZS5"/>
      <sheetName val="Cab Profile"/>
      <sheetName val="jack.force"/>
      <sheetName val="LOSSES"/>
      <sheetName val="diff-shrinkage"/>
      <sheetName val="Hyperstatic"/>
      <sheetName val="Shear Connectors"/>
      <sheetName val="sagging at bot of girder"/>
      <sheetName val="Deflection"/>
      <sheetName val="MID SPAN"/>
      <sheetName val="SUPPORT SECTION"/>
      <sheetName val="Prop_Diaphragm"/>
      <sheetName val="ULS Combinations"/>
      <sheetName val="SLS Combinations"/>
      <sheetName val="LC-Final"/>
      <sheetName val="Erection-c"/>
      <sheetName val="Superstructure - WT"/>
      <sheetName val="SNG- PROP-RAIL"/>
      <sheetName val="SNG- PROP-CONC1"/>
      <sheetName val="SNG- PROP-CONC2"/>
      <sheetName val="cross section  (2)"/>
      <sheetName val="MEMBERS"/>
      <sheetName val="sec prop-EJ"/>
      <sheetName val="Well Foundation Design"/>
      <sheetName val="DES DATA"/>
      <sheetName val="SECCON"/>
      <sheetName val="SEC PROP"/>
      <sheetName val="BM.SF"/>
      <sheetName val="STR-CHE"/>
      <sheetName val="MID"/>
      <sheetName val="3_8th"/>
      <sheetName val="1_4th"/>
      <sheetName val="0.25L"/>
      <sheetName val="1_8th"/>
      <sheetName val="IRC"/>
      <sheetName val="DIFF-SHRI"/>
      <sheetName val="SHEAR-CON"/>
      <sheetName val="+veMom"/>
      <sheetName val="DIAPH1"/>
      <sheetName val="3_8th (2)"/>
      <sheetName val="1_4th (2)"/>
      <sheetName val="1_8th (2)"/>
      <sheetName val="d (2)"/>
      <sheetName val="LIM ST COL FLE"/>
      <sheetName val="ULT SHEAR"/>
      <sheetName val="Abut Cap"/>
      <sheetName val="hfl case "/>
      <sheetName val="Summary5"/>
      <sheetName val="fig "/>
      <sheetName val="STAAD"/>
      <sheetName val="hori"/>
      <sheetName val="hori-1"/>
      <sheetName val="dry case"/>
      <sheetName val="dirt 1"/>
      <sheetName val="Dirt"/>
      <sheetName val="DirtWall"/>
      <sheetName val="abcap"/>
      <sheetName val="SUM-Hostel"/>
      <sheetName val="CIVL-QTRS"/>
      <sheetName val="Det-QTRS-GF"/>
      <sheetName val="Det-Qtrs -typ (1 "/>
      <sheetName val="Det-Qtrs -typ (2,3) "/>
      <sheetName val="Det-IPD-4"/>
      <sheetName val="Det-Hostel -Terrace"/>
      <sheetName val="Det-Hosp-SF  "/>
      <sheetName val="CIVL-Hostel"/>
      <sheetName val="Det-Hostel-GF"/>
      <sheetName val="Det-Hostel-GF (2)"/>
      <sheetName val="Cheklist"/>
      <sheetName val="GA (3)"/>
      <sheetName val="ABS-CIVL"/>
      <sheetName val="Super Speciality Hospital "/>
      <sheetName val="Gas pipe line"/>
      <sheetName val="ABS-Fire"/>
      <sheetName val="3 F"/>
      <sheetName val="4 F"/>
      <sheetName val="5 F"/>
      <sheetName val="6 F"/>
      <sheetName val="DET-SUMP"/>
      <sheetName val="ABS-STRMW"/>
      <sheetName val="DET-STRMW"/>
      <sheetName val="Road Final"/>
      <sheetName val="SUM-ETP"/>
      <sheetName val="ETP-Abs"/>
      <sheetName val="ETP-MECH"/>
      <sheetName val="ETP_Det"/>
      <sheetName val="Rev-1"/>
      <sheetName val="ABS-EXTW"/>
      <sheetName val="DET-EXTW"/>
      <sheetName val="GA-Future"/>
      <sheetName val="ABS-SF-FU"/>
      <sheetName val="ABS-WS-FU"/>
      <sheetName val="SF(Futre)"/>
      <sheetName val="WS-SF-FU"/>
      <sheetName val="Spreadsheet MNB - Final "/>
      <sheetName val="0+738"/>
      <sheetName val="1+243"/>
      <sheetName val="1+626"/>
      <sheetName val="3+203"/>
      <sheetName val="4+277"/>
      <sheetName val="4+380"/>
      <sheetName val="4+797"/>
      <sheetName val="5+252"/>
      <sheetName val="5+440"/>
      <sheetName val="5+678"/>
      <sheetName val="5+831"/>
      <sheetName val="6+706"/>
      <sheetName val="8+352"/>
      <sheetName val="10+514"/>
      <sheetName val="10+993"/>
      <sheetName val="13+752"/>
      <sheetName val="13+275"/>
      <sheetName val="16+354"/>
      <sheetName val="16+796"/>
      <sheetName val="18+572"/>
      <sheetName val="20+351"/>
      <sheetName val="22+124"/>
      <sheetName val="24+210 - Box"/>
      <sheetName val="24+410"/>
      <sheetName val="25+790 - Box"/>
      <sheetName val="26+815"/>
      <sheetName val="27+775-box"/>
      <sheetName val="28+749"/>
      <sheetName val="5+245"/>
      <sheetName val="issue summary"/>
      <sheetName val="CW SIZING (IDCT-2)"/>
      <sheetName val="IDCT-2 (C=120)"/>
      <sheetName val="Pipesizing - 2"/>
      <sheetName val="pipe thk. - 2"/>
      <sheetName val="resis. coeff"/>
      <sheetName val="System Resistance (for spec)"/>
      <sheetName val="SR (IDCT-2)"/>
      <sheetName val="SR (IDCT-1)"/>
      <sheetName val="CW SIZING (IDCT-1)"/>
      <sheetName val="IDCT-1(C=120)"/>
      <sheetName val="Pipesizing - 1"/>
      <sheetName val="pipe thk. - 1"/>
      <sheetName val="item"/>
      <sheetName val="CW_SIZING_(IDCT-2)"/>
      <sheetName val="IDCT-2_(C=120)"/>
      <sheetName val="Pipesizing_-_2"/>
      <sheetName val="pipe_thk__-_2"/>
      <sheetName val="resis__coeff"/>
      <sheetName val="water_prop_"/>
      <sheetName val="System_Resistance_(for_spec)"/>
      <sheetName val="SR_(IDCT-2)"/>
      <sheetName val="SR_(IDCT-1)"/>
      <sheetName val="CW_SIZING_(IDCT-1)"/>
      <sheetName val="Pipesizing_-_1"/>
      <sheetName val="pipe_thk__-_1"/>
      <sheetName val="Dropdown Menus"/>
      <sheetName val="water prop_"/>
      <sheetName val="siesmic"/>
      <sheetName val="cwll "/>
      <sheetName val="stresscheck"/>
      <sheetName val="torsion"/>
      <sheetName val="bar curtailment"/>
      <sheetName val="trancantideck"/>
      <sheetName val="bearing load"/>
      <sheetName val="neoprene"/>
      <sheetName val="Designdiaphragm"/>
      <sheetName val="miscell"/>
      <sheetName val="Clover leaf 0+000"/>
      <sheetName val="13+180"/>
      <sheetName val="rect"/>
      <sheetName val="Earth pr -foundation Hor"/>
      <sheetName val="Earth pr -foundation Ver"/>
      <sheetName val="Loads on found"/>
      <sheetName val="sls fdn"/>
      <sheetName val="eqvlbm case"/>
      <sheetName val="Ulsfdn"/>
      <sheetName val="fdnuls"/>
      <sheetName val="Design of Foundation"/>
      <sheetName val="Wind load (new)"/>
      <sheetName val="Base raft- design (check for m)"/>
      <sheetName val="Earth pr - Abutment-Hor"/>
      <sheetName val="Earth pr - Abutment-Ver"/>
      <sheetName val="Loads on abut"/>
      <sheetName val="ulsabut"/>
      <sheetName val="abuuls"/>
      <sheetName val="Stress ck L1 (2)"/>
      <sheetName val="Stress ck L1"/>
      <sheetName val="dirt wall"/>
      <sheetName val="end counterfort Ret. Wall"/>
      <sheetName val="Dimension"/>
      <sheetName val="Earth pr - Abutment - seis"/>
      <sheetName val="0.5D -seis"/>
      <sheetName val="L1-seis"/>
      <sheetName val=" L2-seis"/>
      <sheetName val=" L3-seis "/>
      <sheetName val=" L4-seis "/>
      <sheetName val=" L7-seis "/>
      <sheetName val=" L8-seis"/>
      <sheetName val=" L9-seis"/>
      <sheetName val=" L10-seis"/>
      <sheetName val="hyperstatic 300"/>
      <sheetName val="hyperstatic 500"/>
      <sheetName val="hyperstatic700"/>
      <sheetName val="secp"/>
      <sheetName val="Reinf."/>
      <sheetName val="Shear"/>
      <sheetName val="deck"/>
      <sheetName val="ECG"/>
      <sheetName val="ICG"/>
      <sheetName val="Elastomeric Brg"/>
      <sheetName val="Qty-design data"/>
      <sheetName val="4_Int_ ele_RA_"/>
      <sheetName val="coeff"/>
      <sheetName val="slsfdn"/>
      <sheetName val="eqvlbm case "/>
      <sheetName val="FDNdesign"/>
      <sheetName val="Abutment Stem"/>
      <sheetName val="abutdesign"/>
      <sheetName val="countrfort"/>
      <sheetName val="countrfrtdesign"/>
      <sheetName val="dirtwall "/>
      <sheetName val="LOADCOMBSLSpile"/>
      <sheetName val="abutCAPdesign"/>
      <sheetName val="wind"/>
      <sheetName val="scourdepth"/>
      <sheetName val="SEIS"/>
      <sheetName val="CW112-Abut"/>
      <sheetName val="CW112-Pile cap"/>
      <sheetName val="LL"/>
      <sheetName val="CW"/>
      <sheetName val="pilecapacity (3)"/>
      <sheetName val="650mm treturn"/>
      <sheetName val="750 return final"/>
      <sheetName val="pilecapacity (4)"/>
      <sheetName val="scourdepth -nw"/>
      <sheetName val="pilecapacity (nw)"/>
      <sheetName val="pierlevels"/>
      <sheetName val="Abut-analysis"/>
      <sheetName val="Abut-analysis (HFL)"/>
      <sheetName val="Abut-des1"/>
      <sheetName val="stress-check"/>
      <sheetName val="SUB-STN Bld Elec"/>
      <sheetName val="Secty Bld Elec"/>
      <sheetName val="G.Hostel-A elec"/>
      <sheetName val="G.Hostel-B elec"/>
      <sheetName val="K &amp; Dinning elec"/>
      <sheetName val="F. Housing-III &amp; IV elec)"/>
      <sheetName val="F. Housing-elec"/>
      <sheetName val="Principal qtrs- elec"/>
      <sheetName val="College - elec  "/>
      <sheetName val="LEAD (old)"/>
      <sheetName val="labour-16-17"/>
      <sheetName val="Occ, Other Rev, Exp, Dispo"/>
      <sheetName val="目录"/>
      <sheetName val="Main-Material"/>
      <sheetName val="Aseet1998"/>
      <sheetName val="Lead splm"/>
      <sheetName val="SLP Data"/>
      <sheetName val="Lead SLPM."/>
      <sheetName val="SLPM Data"/>
      <sheetName val="KF Summary "/>
      <sheetName val="JMC summary"/>
      <sheetName val="STRUCTURE ABSTRACT"/>
      <sheetName val="BOQ Summary"/>
      <sheetName val="DC Summary"/>
      <sheetName val="DC Sheet"/>
      <sheetName val="Escallation RMC"/>
      <sheetName val="RMC Escalation"/>
      <sheetName val="Cement Escalation-other items"/>
      <sheetName val="Steel &amp; PT escalation"/>
      <sheetName val="BBS Summary "/>
      <sheetName val="Structural steel"/>
      <sheetName val="Backfilling-1.07a B1"/>
      <sheetName val="Backfilling-1.07a Podium area"/>
      <sheetName val="Backfilling-1.07a Tower"/>
      <sheetName val="Podium PCC"/>
      <sheetName val="Tower PCC-2.03"/>
      <sheetName val="IPS 1.2.4"/>
      <sheetName val="R.Wall-M30-NT"/>
      <sheetName val="B4 columns-M30-2.051a"/>
      <sheetName val="B3 columns-M30-2.051a"/>
      <sheetName val="B2 columns-M30-2.051c"/>
      <sheetName val="basement-01 columns con M40"/>
      <sheetName val="4th floor columns-M40-2.051d"/>
      <sheetName val="5th floor columns-M40-2.051e"/>
      <sheetName val="6th floor columns-M40-2.051f"/>
      <sheetName val="7th floor columns-M40-2.051"/>
      <sheetName val="8th floor columns-M35-2.051"/>
      <sheetName val="B3 f capitals-2.053g M30"/>
      <sheetName val="9th floor columns-M35"/>
      <sheetName val="10th floor columns-M35"/>
      <sheetName val="B2 f capitals M30"/>
      <sheetName val="B1 f capitals M30"/>
      <sheetName val="5th f capitals-2.053eM40"/>
      <sheetName val="6th f capitals-2.053fM40"/>
      <sheetName val="7th f capitals-2.053gM40"/>
      <sheetName val="8th floor capitals-m35"/>
      <sheetName val="9th floor capitals-m35"/>
      <sheetName val="10th floor capitals-m35"/>
      <sheetName val="Basement-03 slab con-M25 2.054a"/>
      <sheetName val="Basement-02 slab con-M25 2.054a"/>
      <sheetName val="Basement-01 slab con-M25"/>
      <sheetName val="Cellar-02 block-01 M25"/>
      <sheetName val="GF floor slab con-M25"/>
      <sheetName val="1st floor slab con-M25"/>
      <sheetName val="2nd floor slab con M25"/>
      <sheetName val="3rd floor slab con-M25"/>
      <sheetName val="4th floor slab con-M25"/>
      <sheetName val="5th floor PT slab-2.054d"/>
      <sheetName val="6th floor PT slab-2.054e"/>
      <sheetName val="7th floor PT slab-2.054e"/>
      <sheetName val="8th floor PT slab-2.054F"/>
      <sheetName val="9th floor PT slab-2.054F"/>
      <sheetName val="10th floor PT slab"/>
      <sheetName val="Basement-03 Beams con-M25"/>
      <sheetName val="Basement-02 Beams Con M25"/>
      <sheetName val="Basement-01 Beams Conc"/>
      <sheetName val="Cellar-02 bems con block-01 M25"/>
      <sheetName val="GF beams con M25"/>
      <sheetName val="1st floor Beams Con-M25"/>
      <sheetName val="2nd floor Beams con M25"/>
      <sheetName val="3rd floor Beams con M25"/>
      <sheetName val="4th floor Beams conM25"/>
      <sheetName val="Podium Footings con-2.06,m25"/>
      <sheetName val="Tower Footings con-2.06,m25-"/>
      <sheetName val="Grade slab Con-2.07"/>
      <sheetName val="R.wall Con-2.08-M25"/>
      <sheetName val="Ramp Beam con M25-2.09"/>
      <sheetName val="Ramp slab con-01 M25-2.10"/>
      <sheetName val="Parapet wall-Con"/>
      <sheetName val="Staircase con-2.15-m25"/>
      <sheetName val="Lintel con M25"/>
      <sheetName val="Podium B4 col-shutt-3.01"/>
      <sheetName val="Tower B4columns-shutt-3.01a"/>
      <sheetName val="Podium B3 col-shutt-3.01"/>
      <sheetName val="Tower B3columns-shutt-3.01a"/>
      <sheetName val="Podium B2 col-shutt-3.02"/>
      <sheetName val="Tower B2columns-shutt-3.01a"/>
      <sheetName val="Blk-01 Retifitt colshutt-NT-B2F"/>
      <sheetName val="Blk-01 Retifitt colshutt-NT-B1F"/>
      <sheetName val="Blk-01 Retifitt colshutt-NT-GF"/>
      <sheetName val="Blk-01 Retifitt colshutt-NT-1ST"/>
      <sheetName val="Blk-01 Retifitt colshutt-NT-2ND"/>
      <sheetName val="Blk-01 Retifitt colshutt-NT-3rd"/>
      <sheetName val="4th floor columns-Shutt-3.01i"/>
      <sheetName val="5th floor column shutt-3.01ii"/>
      <sheetName val="6th floor column shutt-3.01iii"/>
      <sheetName val="7th floor column shutt-3.01 iv"/>
      <sheetName val="8th floor column shutt-3.01 iv"/>
      <sheetName val="9th floor column shutt-3.01"/>
      <sheetName val="10th floor column shutt"/>
      <sheetName val="Basement-03 slab Shutt"/>
      <sheetName val="Basement-02 slab Shutt"/>
      <sheetName val="Basement-01 slab shutt"/>
      <sheetName val="Cellar-02 slab shuut Block-01"/>
      <sheetName val="GF Cutout Slab shutt-3.04d"/>
      <sheetName val="FF Cutout Slab shutt-3.04e "/>
      <sheetName val="SF Cutout Slab shutt-3.04f"/>
      <sheetName val="3rdF Cutout Slab shutt-3.04g"/>
      <sheetName val="4thF Cutout Slab shutt-3.04h"/>
      <sheetName val="5th f slab shutt-3.04i"/>
      <sheetName val="6th floor shutt-3.04ii"/>
      <sheetName val="7th floor shutt-3.04iii"/>
      <sheetName val="8th floor shutt-3.04Vi"/>
      <sheetName val="9th floor shutt-3.04Vi"/>
      <sheetName val="10th floor shutt-3.04"/>
      <sheetName val="Basement-03 Beams Shutt"/>
      <sheetName val="Cellar-02 beams shutt block-01"/>
      <sheetName val="Basement-02 Beams Shutt"/>
      <sheetName val="Basement-01 Beams Shutt"/>
      <sheetName val="GF beam shutt"/>
      <sheetName val="1st floor Beams Shutt"/>
      <sheetName val="2nd floor Beams shutt"/>
      <sheetName val="3rd beams shutt-3.05"/>
      <sheetName val="4th beams shutt-3.05"/>
      <sheetName val="5th f Beams shutt-3.05i"/>
      <sheetName val="6th f Beams shutt-3.05ii"/>
      <sheetName val="7th f Beams shutt-3.05iii"/>
      <sheetName val="8th f Beams shutt-3.05Vi"/>
      <sheetName val="9th f Beams shutt-3.05Vi"/>
      <sheetName val="10th f Beams shutt-3.05"/>
      <sheetName val="Podium footings shutt-3.06 "/>
      <sheetName val="tower footings shutt-3.06"/>
      <sheetName val="R.wall Shutt-3.08"/>
      <sheetName val="Ramp Beam Shutt-3.09"/>
      <sheetName val="Ramp slab shutt-3.10"/>
      <sheetName val="Parapet wall-Shutt"/>
      <sheetName val="UG sump raft shutt"/>
      <sheetName val="UG sump walls Shutt-3.16ii"/>
      <sheetName val="STP raft shutt"/>
      <sheetName val="STP walls shutt"/>
      <sheetName val="Staircase Shutt-3.17"/>
      <sheetName val="Lintel con shutt"/>
      <sheetName val="Anchor fastners-M12"/>
      <sheetName val="Anchor fastners-M20"/>
      <sheetName val="VDF-6.01"/>
      <sheetName val="VDFOpe-6.02"/>
      <sheetName val="Groove-6.04"/>
      <sheetName val="IPS flooring-6.05a"/>
      <sheetName val="Grde slab oper-6.03"/>
      <sheetName val="Expansion joint-7.07"/>
      <sheetName val="Structural steel-4.03"/>
      <sheetName val="R.wall WP"/>
      <sheetName val="Solid block work-No item"/>
      <sheetName val="AAC block work-1.05-200mm"/>
      <sheetName val="AAC block work-1.06-150mm"/>
      <sheetName val="AAC block work-1.06-100mm"/>
      <sheetName val="Ceiling plaster"/>
      <sheetName val="Internal plastering-Fin 2.04"/>
      <sheetName val="Plastering extra thk"/>
      <sheetName val="OBD-Ceiling"/>
      <sheetName val="OBD-Walls"/>
      <sheetName val="PT Strands Qty-4.09a"/>
      <sheetName val="Column chipping-7.12.5i"/>
      <sheetName val="Diamond cutting-7.12.5ii"/>
      <sheetName val="StagingADNM-7.12.5iii"/>
      <sheetName val="Cutouts con-M35-2.053a-01"/>
      <sheetName val="5th floor PT Beams-5"/>
      <sheetName val="6th floor PT Beams-6"/>
      <sheetName val="7th floor PT Beams-7"/>
      <sheetName val="8th floor PT Beams"/>
      <sheetName val="9th floor PT Beams"/>
      <sheetName val="10th floor PT Beams"/>
      <sheetName val="B2 columns-M50-2"/>
      <sheetName val="Basement-02 columns-M40-3"/>
      <sheetName val="Footings concrete-,M45-4"/>
      <sheetName val="GF columns-M40-3"/>
      <sheetName val="Basement columns-M25-8"/>
      <sheetName val="UG sump raft-m30"/>
      <sheetName val="STP RAFT-M30"/>
      <sheetName val="UG sump&amp; STP walls con-M30 SCC"/>
      <sheetName val="UG sump walls con-M30 normal"/>
      <sheetName val="Nito bond-NT-01"/>
      <sheetName val="PCC dismantling-NT-03"/>
      <sheetName val="NT-09 HIT 24 Bolts"/>
      <sheetName val="Manual excavation-NT-10&amp;11"/>
      <sheetName val="Chipping-NT-14"/>
      <sheetName val="drilling of holes"/>
      <sheetName val="Tractor compressor"/>
      <sheetName val="Hilti-500-32mm dia500mm-NT-18"/>
      <sheetName val="Hilti-500-25mm dia500mm-NT-19"/>
      <sheetName val="Hilti-500-20mm dia500mm-NT-20"/>
      <sheetName val="Hilti-500-16mm dia400mm-NT-21"/>
      <sheetName val="Hilti-500-12mm dia400mm-NT-22"/>
      <sheetName val="Hilti-500-10mm dia100mm-NT-23"/>
      <sheetName val="Hilti-500-8mm dia"/>
      <sheetName val="Lockset No item"/>
      <sheetName val="Rod welding 12-16mm-NT-25"/>
      <sheetName val="Rod welding below 12mm"/>
      <sheetName val="Rod welding Above16mm"/>
      <sheetName val="Hacking NT item"/>
      <sheetName val="Racking out-NT-27"/>
      <sheetName val="Gloprotek-NT-02"/>
      <sheetName val="Gloprotek all Floor"/>
      <sheetName val="Blockwork-NT-4"/>
      <sheetName val="Dewatering-NT-05"/>
      <sheetName val="Dismantling of Steel@4th F-06"/>
      <sheetName val="Rod cutting-NT07"/>
      <sheetName val="Manual bending-No item"/>
      <sheetName val="Core cutting NT-12-VDF"/>
      <sheetName val="Core cutting NT"/>
      <sheetName val="Core cutting NT-13"/>
      <sheetName val="Core Cut-200mm"/>
      <sheetName val="Core Cut-100mm"/>
      <sheetName val="White wash-NT-15"/>
      <sheetName val="B2 footings dressing NT-16"/>
      <sheetName val="Bore packing NT-17"/>
      <sheetName val="B4 columns-M70-NT-24"/>
      <sheetName val="B3 columns-M70-NT-24a"/>
      <sheetName val="Basement-02 capitals M70"/>
      <sheetName val="B2 columns-M70-NT-24a"/>
      <sheetName val="GP2 -26"/>
      <sheetName val="Basement-03 capitals M70"/>
      <sheetName val="Basement-01 capitals M70"/>
      <sheetName val="KF Summary"/>
      <sheetName val="Cement Escalation for Concrete"/>
      <sheetName val="Backfilling-1.07a"/>
      <sheetName val="PCC-2.03"/>
      <sheetName val="Beam for ST-01-M25-2.055-B2"/>
      <sheetName val="Beam for ST-01-B2Shutt-3.05"/>
      <sheetName val="Footings concrete-2.06,m25"/>
      <sheetName val="Basement columns-shutt-3.01a"/>
      <sheetName val="footings shutt-3.06"/>
      <sheetName val="OBD-5.02b"/>
      <sheetName val="B4 columns-M50-2"/>
      <sheetName val="Basement columns-M40-3"/>
      <sheetName val="Noti bond-NT-01"/>
      <sheetName val="Manual excavation-NT-11"/>
      <sheetName val="Rod welding-NT-25"/>
      <sheetName val="CTC face sheet"/>
      <sheetName val="PSE IDC"/>
      <sheetName val="PNM Ho"/>
      <sheetName val="BOQ (CL bill &amp; FW cost)"/>
      <sheetName val="Ash Silo"/>
      <sheetName val="Boiler-6"/>
      <sheetName val="DM Plant"/>
      <sheetName val="ESP"/>
      <sheetName val="TG5 (2)"/>
      <sheetName val="RCWPH"/>
      <sheetName val="Chimney"/>
      <sheetName val="SY"/>
      <sheetName val="CTC_face_sheet"/>
      <sheetName val="PSE_IDC"/>
      <sheetName val="PNM_Ho"/>
      <sheetName val="BOQ_(CL_bill_&amp;_FW_cost)"/>
      <sheetName val="STOCKWTG"/>
      <sheetName val="s_curve"/>
      <sheetName val="PNL"/>
      <sheetName val="P&amp;L-BDMC"/>
      <sheetName val="CTC_face_sheet1"/>
      <sheetName val="PSE_IDC1"/>
      <sheetName val="PNM_Ho1"/>
      <sheetName val="BOQ_(CL_bill_&amp;_FW_cost)1"/>
      <sheetName val="Break_up_Sheet1"/>
      <sheetName val="Ash_Silo"/>
      <sheetName val="DM_Plant"/>
      <sheetName val="TG5_(2)"/>
      <sheetName val="HDPE_Pipe"/>
      <sheetName val="BOQ_Direct_selling_cost"/>
      <sheetName val="Stress_Calculation"/>
      <sheetName val="Dropdown"/>
      <sheetName val="CTC_face_sheet2"/>
      <sheetName val="PSE_IDC2"/>
      <sheetName val="PNM_Ho2"/>
      <sheetName val="BOQ_(CL_bill_&amp;_FW_cost)2"/>
      <sheetName val="RCC,Ret__Wall1"/>
      <sheetName val="Break_up_Sheet2"/>
      <sheetName val="BOQ_Direct_selling_cost1"/>
      <sheetName val="Ash_Silo1"/>
      <sheetName val="DM_Plant1"/>
      <sheetName val="TG5_(2)1"/>
      <sheetName val="HDPE_Pipe1"/>
      <sheetName val="Stress_Calculation1"/>
      <sheetName val="Material_1"/>
      <sheetName val="CTC_face_sheet3"/>
      <sheetName val="PSE_IDC3"/>
      <sheetName val="PNM_Ho3"/>
      <sheetName val="BOQ_(CL_bill_&amp;_FW_cost)3"/>
      <sheetName val="_2"/>
      <sheetName val="RCC,Ret__Wall2"/>
      <sheetName val="Break_up_Sheet3"/>
      <sheetName val="BOQ_Direct_selling_cost2"/>
      <sheetName val="Ash_Silo2"/>
      <sheetName val="DM_Plant2"/>
      <sheetName val="TG5_(2)2"/>
      <sheetName val="HDPE_Pipe2"/>
      <sheetName val="Stress_Calculation2"/>
      <sheetName val="Material_2"/>
      <sheetName val="Machinery_II"/>
      <sheetName val="BOQ_II"/>
      <sheetName val="CTC_face_sheet4"/>
      <sheetName val="PSE_IDC4"/>
      <sheetName val="PNM_Ho4"/>
      <sheetName val="BOQ_(CL_bill_&amp;_FW_cost)4"/>
      <sheetName val="_3"/>
      <sheetName val="BOQ_Direct_selling_cost3"/>
      <sheetName val="RCC,Ret__Wall3"/>
      <sheetName val="Break_up_Sheet4"/>
      <sheetName val="Ash_Silo3"/>
      <sheetName val="DM_Plant3"/>
      <sheetName val="TG5_(2)3"/>
      <sheetName val="HDPE_Pipe3"/>
      <sheetName val="Material_3"/>
      <sheetName val="Stress_Calculation3"/>
      <sheetName val="TBAL9697_-group_wise__sdpl3"/>
      <sheetName val="CTC_face_sheet5"/>
      <sheetName val="PSE_IDC5"/>
      <sheetName val="PNM_Ho5"/>
      <sheetName val="BOQ_(CL_bill_&amp;_FW_cost)5"/>
      <sheetName val="_4"/>
      <sheetName val="BOQ_Direct_selling_cost4"/>
      <sheetName val="RCC,Ret__Wall4"/>
      <sheetName val="Break_up_Sheet5"/>
      <sheetName val="Ash_Silo4"/>
      <sheetName val="DM_Plant4"/>
      <sheetName val="TG5_(2)4"/>
      <sheetName val="HDPE_Pipe4"/>
      <sheetName val="Material_4"/>
      <sheetName val="Stress_Calculation4"/>
      <sheetName val="TBAL9697_-group_wise__sdpl4"/>
      <sheetName val="LP"/>
      <sheetName val="B3-B4-B5-B6"/>
      <sheetName val="Ducting"/>
      <sheetName val="BOD"/>
      <sheetName val="BOD-2"/>
      <sheetName val="GF-1"/>
      <sheetName val="GF-2"/>
      <sheetName val="GF-3"/>
      <sheetName val="FF-1"/>
      <sheetName val="FF-2"/>
      <sheetName val="FF-3"/>
      <sheetName val="FF-4"/>
      <sheetName val="FF-5"/>
      <sheetName val="FF-6"/>
      <sheetName val="SF-1"/>
      <sheetName val="SF-2"/>
      <sheetName val="SF-3"/>
      <sheetName val="SF-4"/>
      <sheetName val="SF-5"/>
      <sheetName val="SF-6"/>
      <sheetName val="5F1"/>
      <sheetName val="5F2"/>
      <sheetName val="5F3"/>
      <sheetName val="5F4"/>
      <sheetName val="5F5"/>
      <sheetName val="S ramakrishna payemtn due"/>
      <sheetName val="LC opening and Advance Payment"/>
      <sheetName val="BSME $ Account"/>
      <sheetName val="BSME EURO Account "/>
      <sheetName val="BSME AED Account "/>
      <sheetName val="CashflowSRamakrishna "/>
      <sheetName val="CashflowSRamakrishna(2)"/>
      <sheetName val="Status of Pending Shipment"/>
      <sheetName val="Texas"/>
      <sheetName val="Honey well"/>
      <sheetName val="Mico"/>
      <sheetName val="WesterRegion complete"/>
      <sheetName val="Convergys"/>
      <sheetName val="Advance Payment"/>
      <sheetName val="Billing as on March"/>
      <sheetName val="Shipping documents"/>
      <sheetName val=" Pending Shipment "/>
      <sheetName val=" Pending Shipment  (2)"/>
      <sheetName val="Core Data"/>
      <sheetName val="Serv Cat List"/>
      <sheetName val="p-table"/>
      <sheetName val="MTD_Rpt_June"/>
      <sheetName val="YTD_Rpt_June"/>
      <sheetName val="rev_02"/>
      <sheetName val="I-KAMAR"/>
      <sheetName val="Equip Item Dets"/>
      <sheetName val="Pipe Item Dets"/>
      <sheetName val="Civil Item Dets"/>
      <sheetName val="Inst Item Dets"/>
      <sheetName val="Elec Item Dets"/>
      <sheetName val="Paint Item Dets"/>
      <sheetName val="AC HALL &amp; SERVICE ANNEXE"/>
      <sheetName val="NON AC HALL-type-A"/>
      <sheetName val="NON AC HALL-type-B"/>
      <sheetName val="Admin. block"/>
      <sheetName val="boq workings"/>
      <sheetName val="site fab&amp;ernstr"/>
      <sheetName val="AC_HALL_&amp;_SERVICE_ANNEXE"/>
      <sheetName val="NON_AC_HALL-type-A"/>
      <sheetName val="NON_AC_HALL-type-B"/>
      <sheetName val="Admin__block"/>
      <sheetName val="Food_Court"/>
      <sheetName val="boq_workings"/>
      <sheetName val="Highway"/>
      <sheetName val="precast RC element"/>
      <sheetName val="GWC"/>
      <sheetName val="NWC"/>
      <sheetName val="AC_HALL_&amp;_SERVICE_ANNEXE2"/>
      <sheetName val="NON_AC_HALL-type-A2"/>
      <sheetName val="NON_AC_HALL-type-B2"/>
      <sheetName val="Admin__block2"/>
      <sheetName val="Food_Court2"/>
      <sheetName val="boq_workings2"/>
      <sheetName val="AC_HALL_&amp;_SERVICE_ANNEXE1"/>
      <sheetName val="NON_AC_HALL-type-A1"/>
      <sheetName val="NON_AC_HALL-type-B1"/>
      <sheetName val="Admin__block1"/>
      <sheetName val="Food_Court1"/>
      <sheetName val="boq_workings1"/>
      <sheetName val="AC_HALL_&amp;_SERVICE_ANNEXE3"/>
      <sheetName val="NON_AC_HALL-type-A3"/>
      <sheetName val="NON_AC_HALL-type-B3"/>
      <sheetName val="Admin__block3"/>
      <sheetName val="Food_Court3"/>
      <sheetName val="boq_workings3"/>
      <sheetName val="AC_HALL_&amp;_SERVICE_ANNEXE4"/>
      <sheetName val="NON_AC_HALL-type-A4"/>
      <sheetName val="NON_AC_HALL-type-B4"/>
      <sheetName val="Admin__block4"/>
      <sheetName val="Food_Court4"/>
      <sheetName val="boq_workings4"/>
      <sheetName val="AC_HALL_&amp;_SERVICE_ANNEXE5"/>
      <sheetName val="NON_AC_HALL-type-A5"/>
      <sheetName val="NON_AC_HALL-type-B5"/>
      <sheetName val="Admin__block5"/>
      <sheetName val="Food_Court5"/>
      <sheetName val="boq_workings5"/>
      <sheetName val="AC_HALL_&amp;_SERVICE_ANNEXE6"/>
      <sheetName val="NON_AC_HALL-type-A6"/>
      <sheetName val="NON_AC_HALL-type-B6"/>
      <sheetName val="Admin__block6"/>
      <sheetName val="Food_Court6"/>
      <sheetName val="boq_workings6"/>
      <sheetName val="AC_HALL_&amp;_SERVICE_ANNEXE7"/>
      <sheetName val="NON_AC_HALL-type-A7"/>
      <sheetName val="NON_AC_HALL-type-B7"/>
      <sheetName val="Admin__block7"/>
      <sheetName val="Food_Court7"/>
      <sheetName val="boq_workings7"/>
      <sheetName val="AC_HALL_&amp;_SERVICE_ANNEXE8"/>
      <sheetName val="NON_AC_HALL-type-A8"/>
      <sheetName val="NON_AC_HALL-type-B8"/>
      <sheetName val="Admin__block8"/>
      <sheetName val="Food_Court8"/>
      <sheetName val="boq_workings8"/>
      <sheetName val="AC_HALL_&amp;_SERVICE_ANNEXE14"/>
      <sheetName val="NON_AC_HALL-type-A14"/>
      <sheetName val="NON_AC_HALL-type-B14"/>
      <sheetName val="Admin__block14"/>
      <sheetName val="Food_Court14"/>
      <sheetName val="boq_workings14"/>
      <sheetName val="AC_HALL_&amp;_SERVICE_ANNEXE10"/>
      <sheetName val="NON_AC_HALL-type-A10"/>
      <sheetName val="NON_AC_HALL-type-B10"/>
      <sheetName val="Admin__block10"/>
      <sheetName val="Food_Court10"/>
      <sheetName val="boq_workings10"/>
      <sheetName val="AC_HALL_&amp;_SERVICE_ANNEXE9"/>
      <sheetName val="NON_AC_HALL-type-A9"/>
      <sheetName val="NON_AC_HALL-type-B9"/>
      <sheetName val="Admin__block9"/>
      <sheetName val="Food_Court9"/>
      <sheetName val="boq_workings9"/>
      <sheetName val="AC_HALL_&amp;_SERVICE_ANNEXE11"/>
      <sheetName val="NON_AC_HALL-type-A11"/>
      <sheetName val="NON_AC_HALL-type-B11"/>
      <sheetName val="Admin__block11"/>
      <sheetName val="Food_Court11"/>
      <sheetName val="boq_workings11"/>
      <sheetName val="AC_HALL_&amp;_SERVICE_ANNEXE12"/>
      <sheetName val="NON_AC_HALL-type-A12"/>
      <sheetName val="NON_AC_HALL-type-B12"/>
      <sheetName val="Admin__block12"/>
      <sheetName val="Food_Court12"/>
      <sheetName val="boq_workings12"/>
      <sheetName val="AC_HALL_&amp;_SERVICE_ANNEXE13"/>
      <sheetName val="NON_AC_HALL-type-A13"/>
      <sheetName val="NON_AC_HALL-type-B13"/>
      <sheetName val="Admin__block13"/>
      <sheetName val="Food_Court13"/>
      <sheetName val="boq_workings13"/>
      <sheetName val="AC_HALL_&amp;_SERVICE_ANNEXE20"/>
      <sheetName val="NON_AC_HALL-type-A20"/>
      <sheetName val="NON_AC_HALL-type-B20"/>
      <sheetName val="Admin__block20"/>
      <sheetName val="Food_Court20"/>
      <sheetName val="boq_workings20"/>
      <sheetName val="AC_HALL_&amp;_SERVICE_ANNEXE15"/>
      <sheetName val="NON_AC_HALL-type-A15"/>
      <sheetName val="NON_AC_HALL-type-B15"/>
      <sheetName val="Admin__block15"/>
      <sheetName val="Food_Court15"/>
      <sheetName val="boq_workings15"/>
      <sheetName val="AC_HALL_&amp;_SERVICE_ANNEXE16"/>
      <sheetName val="NON_AC_HALL-type-A16"/>
      <sheetName val="NON_AC_HALL-type-B16"/>
      <sheetName val="Admin__block16"/>
      <sheetName val="Food_Court16"/>
      <sheetName val="boq_workings16"/>
      <sheetName val="AC_HALL_&amp;_SERVICE_ANNEXE17"/>
      <sheetName val="NON_AC_HALL-type-A17"/>
      <sheetName val="NON_AC_HALL-type-B17"/>
      <sheetName val="Admin__block17"/>
      <sheetName val="Food_Court17"/>
      <sheetName val="boq_workings17"/>
      <sheetName val="AC_HALL_&amp;_SERVICE_ANNEXE18"/>
      <sheetName val="NON_AC_HALL-type-A18"/>
      <sheetName val="NON_AC_HALL-type-B18"/>
      <sheetName val="Admin__block18"/>
      <sheetName val="Food_Court18"/>
      <sheetName val="boq_workings18"/>
      <sheetName val="AC_HALL_&amp;_SERVICE_ANNEXE19"/>
      <sheetName val="NON_AC_HALL-type-A19"/>
      <sheetName val="NON_AC_HALL-type-B19"/>
      <sheetName val="Admin__block19"/>
      <sheetName val="Food_Court19"/>
      <sheetName val="boq_workings19"/>
      <sheetName val="AC_HALL_&amp;_SERVICE_ANNEXE21"/>
      <sheetName val="NON_AC_HALL-type-A21"/>
      <sheetName val="NON_AC_HALL-type-B21"/>
      <sheetName val="Admin__block21"/>
      <sheetName val="Food_Court21"/>
      <sheetName val="boq_workings21"/>
      <sheetName val="AC_HALL_&amp;_SERVICE_ANNEXE22"/>
      <sheetName val="NON_AC_HALL-type-A22"/>
      <sheetName val="NON_AC_HALL-type-B22"/>
      <sheetName val="Admin__block22"/>
      <sheetName val="Food_Court22"/>
      <sheetName val="boq_workings22"/>
      <sheetName val="AC_HALL_&amp;_SERVICE_ANNEXE23"/>
      <sheetName val="NON_AC_HALL-type-A23"/>
      <sheetName val="NON_AC_HALL-type-B23"/>
      <sheetName val="Admin__block23"/>
      <sheetName val="Food_Court23"/>
      <sheetName val="boq_workings23"/>
      <sheetName val="AC_HALL_&amp;_SERVICE_ANNEXE24"/>
      <sheetName val="NON_AC_HALL-type-A24"/>
      <sheetName val="NON_AC_HALL-type-B24"/>
      <sheetName val="Admin__block24"/>
      <sheetName val="Food_Court24"/>
      <sheetName val="boq_workings24"/>
      <sheetName val="[RecoveredExternalLink1]B_____6"/>
      <sheetName val="[RecoveredExternalLink1]B_____7"/>
      <sheetName val="113103"/>
      <sheetName val="113104"/>
      <sheetName val="113105"/>
      <sheetName val="113106"/>
      <sheetName val="113107"/>
      <sheetName val="113303"/>
      <sheetName val="21210301"/>
      <sheetName val="21210302"/>
      <sheetName val="21210304"/>
      <sheetName val="21210308"/>
      <sheetName val="218107"/>
      <sheetName val="Exchange rate"/>
      <sheetName val="Profit Bridge"/>
      <sheetName val="Consolidated P &amp; L"/>
      <sheetName val="Oleo Savery UK BS"/>
      <sheetName val="Balance Sheet Detail"/>
      <sheetName val="Oleo Savery UK cashflow"/>
      <sheetName val="Oleo Coventry-SJA"/>
      <sheetName val="employee "/>
      <sheetName val="Savery Components-IW"/>
      <sheetName val="Savery Components-SJA)"/>
      <sheetName val="Savery Systems-SJA"/>
      <sheetName val="Savery Systems-IW"/>
      <sheetName val="Oleo Coventry-IW"/>
      <sheetName val="Savery electronic-SJA"/>
      <sheetName val="Ohds by C_C_"/>
      <sheetName val="Working Cap days and Sales Anal"/>
      <sheetName val="Savery electronic-IW"/>
      <sheetName val="Summary of Savery Recharges"/>
      <sheetName val="Sales Phasing"/>
      <sheetName val="Industrial"/>
      <sheetName val="Distn"/>
      <sheetName val="Insurances Recharge"/>
      <sheetName val="Rent.Rates Recharge"/>
      <sheetName val="Euler Return"/>
      <sheetName val="RBS Facflow"/>
      <sheetName val="Sales-Original"/>
      <sheetName val="F ASSETS SUMMARY"/>
      <sheetName val="Detail Top Sheet"/>
      <sheetName val="Instructions  for Rate Entry"/>
      <sheetName val="ancillary"/>
      <sheetName val="REINF-WTM"/>
      <sheetName val="Front cover"/>
      <sheetName val="Bill No 2"/>
      <sheetName val="Bill No 8 - A"/>
      <sheetName val="Bill No 8 - B"/>
      <sheetName val="Bill No 8 - C"/>
      <sheetName val="Bill No 8 - D"/>
      <sheetName val="Bill No 8 - E"/>
      <sheetName val="Bill No 8 - F"/>
      <sheetName val="Bill No 8 - G"/>
      <sheetName val="Bill No 8 - H"/>
      <sheetName val="Bill No 8 - J"/>
      <sheetName val="Bill No 8 - K"/>
      <sheetName val="Bill No 8 - L"/>
      <sheetName val="Bill No 8 - M"/>
      <sheetName val="BILL 8 - Summary"/>
      <sheetName val="Bill No 9 - A"/>
      <sheetName val="Bill No 9 - B"/>
      <sheetName val="Bill No 9 - C"/>
      <sheetName val="BILL 9 - Summary "/>
      <sheetName val="Bill 10"/>
      <sheetName val="Bill No 10 - A"/>
      <sheetName val="Bill No 10 - B"/>
      <sheetName val="Bill No 10 - C"/>
      <sheetName val="Bill No 10 - D"/>
      <sheetName val="Bill No 10 - E"/>
      <sheetName val="Bill No 10 - F"/>
      <sheetName val="Bill No 10 - G"/>
      <sheetName val="Bill No 10 - H"/>
      <sheetName val="Bill No 10 - J"/>
      <sheetName val="BILL 10 - Summary"/>
      <sheetName val="Bill 11"/>
      <sheetName val="BILL 11 - A"/>
      <sheetName val="BILL 11 - B"/>
      <sheetName val="BILL 11 - C"/>
      <sheetName val="BILL 11 - D"/>
      <sheetName val="BILL 11 - E"/>
      <sheetName val="BILL - 11 F"/>
      <sheetName val="BILL - 11 G"/>
      <sheetName val="BILL - 11 H"/>
      <sheetName val="BILL 11 - Summary"/>
      <sheetName val="PJ Carey Final Account"/>
      <sheetName val="P2200 Budget"/>
      <sheetName val="areas "/>
      <sheetName val="Macro custom function"/>
      <sheetName val="Revisions List"/>
      <sheetName val="A1 Passenger Terminal Founds"/>
      <sheetName val="Estimate Summaries"/>
      <sheetName val="Airport Cost Comparisons Rev05"/>
      <sheetName val="Risk"/>
      <sheetName val="Bech_Lab"/>
      <sheetName val="Direct_Lbr"/>
      <sheetName val="WAGERATE BY CRAFT"/>
      <sheetName val="Salary Ranges"/>
      <sheetName val="As sold PFS"/>
      <sheetName val="Period -Worksheet"/>
      <sheetName val="@RISK Correlations"/>
      <sheetName val="Project Info"/>
      <sheetName val="Link In"/>
      <sheetName val="CRF-BE Rates"/>
      <sheetName val="Project Work Off Contribution"/>
      <sheetName val="H.O. RATES"/>
      <sheetName val="FIELD RATES"/>
      <sheetName val="TOTAL SCHEDULE"/>
      <sheetName val="Man-Plan Forecast"/>
      <sheetName val="Main Summary"/>
      <sheetName val="Division Summary"/>
      <sheetName val="Bill 1 - General Requirements"/>
      <sheetName val="Bill 12"/>
      <sheetName val="Bill 13"/>
      <sheetName val="Labour Day Rate "/>
      <sheetName val="Resident Engineer "/>
      <sheetName val="Equip Day Rate "/>
      <sheetName val="Labour Day Rate"/>
      <sheetName val="Equip Day Rate"/>
      <sheetName val="Resident Engineer"/>
      <sheetName val="Doha WBS Clean"/>
      <sheetName val="Direct Costs - flat file (2)"/>
      <sheetName val="Direct Costs - flat file"/>
      <sheetName val="x"/>
      <sheetName val="WBS"/>
      <sheetName val="WBS (2)"/>
      <sheetName val="WBS (3)"/>
      <sheetName val="Impact"/>
      <sheetName val="Trend Sum"/>
      <sheetName val="Q&amp;AE"/>
      <sheetName val="Commitment DC"/>
      <sheetName val="SUS Rev 5"/>
      <sheetName val="MCC Rev 5"/>
      <sheetName val="COC"/>
      <sheetName val="Option"/>
      <sheetName val="FF&amp;E_SUMM"/>
      <sheetName val="FF&amp;E_TO"/>
      <sheetName val="BSMT CARPARK_SUMM"/>
      <sheetName val="BSMT CARPARK-TO"/>
      <sheetName val="Ext Works_HQ_SUMM"/>
      <sheetName val="Ext Works-TO-HQ"/>
      <sheetName val="FLYSHEETS"/>
      <sheetName val="BQ External"/>
      <sheetName val="CP18_Template"/>
      <sheetName val="IBF Exca and Demo"/>
      <sheetName val="Concourse A"/>
      <sheetName val="Concourse B"/>
      <sheetName val="S Node Piling"/>
      <sheetName val="Term Reno Demo"/>
      <sheetName val="Term Reno Found"/>
      <sheetName val="3F BRIDGE"/>
      <sheetName val="1F Mezz Conc-Steel"/>
      <sheetName val="Resuming"/>
      <sheetName val="metal p."/>
      <sheetName val="manufactured panel"/>
      <sheetName val="perf. metal p."/>
      <sheetName val="louvre"/>
      <sheetName val="control tower"/>
      <sheetName val="glass cost"/>
      <sheetName val="finishes"/>
      <sheetName val="Day work"/>
      <sheetName val="Benchmark Copy 2"/>
      <sheetName val="Front Cover Sheet"/>
      <sheetName val="SUMMARY_Overall (2)"/>
      <sheetName val="SUMMARY_Overall"/>
      <sheetName val="DETAILED SUMMARY_Tower"/>
      <sheetName val="DETAILED SUMMARY_Car Park"/>
      <sheetName val="SECTION BREAK"/>
      <sheetName val="1 SUBSTRUCTURE"/>
      <sheetName val="2 SUPERSTRUCTURE"/>
      <sheetName val="3 INTERNAL FINISHES"/>
      <sheetName val="4 F,F&amp;E"/>
      <sheetName val="5 SERVICES"/>
      <sheetName val="7 EXTERNAL WORKS"/>
      <sheetName val="Facade"/>
      <sheetName val="Internal Partitions"/>
      <sheetName val="Summary_Finishes &amp; Intern Divis"/>
      <sheetName val="Floor finishes"/>
      <sheetName val="Ceiling Finishes"/>
      <sheetName val="Elec Bill 3 &amp; 4"/>
      <sheetName val="plumb-Boq"/>
      <sheetName val="Summary_carpark"/>
      <sheetName val="G Floor"/>
      <sheetName val="F Floor"/>
      <sheetName val="2nd Floor"/>
      <sheetName val="Levels 3-11"/>
      <sheetName val="Level 12"/>
      <sheetName val="Roof"/>
      <sheetName val="Substructures"/>
      <sheetName val="Summary of Hills comments"/>
      <sheetName val="Summary of Hills comments (2)"/>
      <sheetName val="PC Rates"/>
      <sheetName val="ZONE A"/>
      <sheetName val="ZONE B"/>
      <sheetName val="ZONE C"/>
      <sheetName val="ZONE D"/>
      <sheetName val="7 EXTERNAL WORKS (2)"/>
      <sheetName val="Lifecycle"/>
      <sheetName val="Cost Movement"/>
      <sheetName val="SUMMARY_Overall (3)"/>
      <sheetName val="2 SUPERSTRUCTURE (2)"/>
      <sheetName val="Benchmark Copy 2 (2)"/>
      <sheetName val="summary_1"/>
      <sheetName val="basis_1"/>
      <sheetName val="issue"/>
      <sheetName val="1.0"/>
      <sheetName val="1.0 Exec Sum"/>
      <sheetName val="2.0"/>
      <sheetName val="2.0 Sum of Costs"/>
      <sheetName val="3.0"/>
      <sheetName val="3.0 Basis &amp; Areas"/>
      <sheetName val="4.0"/>
      <sheetName val="4.0 Assump-Excl"/>
      <sheetName val="5.0"/>
      <sheetName val="5.1 Infra Sum"/>
      <sheetName val="5.2 Development"/>
      <sheetName val="6.0"/>
      <sheetName val="6.0 Inflation"/>
      <sheetName val="7.0"/>
      <sheetName val="assumptions_1"/>
      <sheetName val="7.0 Sustainability"/>
      <sheetName val="Estidama"/>
      <sheetName val="8.0"/>
      <sheetName val="8.0 Appendices"/>
      <sheetName val="Back cover"/>
      <sheetName val="8.0 Appendices-Do not Print"/>
      <sheetName val="Villa"/>
      <sheetName val="Townhouse"/>
      <sheetName val="Apartments (mid)"/>
      <sheetName val="Apartments (high)"/>
      <sheetName val="Offices (high)"/>
      <sheetName val="Offices (low)"/>
      <sheetName val="Retail Units"/>
      <sheetName val="Retail Mall"/>
      <sheetName val="Business Hotel"/>
      <sheetName val="National School"/>
      <sheetName val="International School"/>
      <sheetName val="Local Mosque"/>
      <sheetName val="Friday Mosque"/>
      <sheetName val="Healthcare - Clinic"/>
      <sheetName val="Healthcare - Hospital"/>
      <sheetName val="Cultural Centre"/>
      <sheetName val="Community Facilities"/>
      <sheetName val="Civil Defense"/>
      <sheetName val="Basement Carparking A"/>
      <sheetName val="Basement Carparking B"/>
      <sheetName val="Podium Carparking"/>
      <sheetName val="Appendix A-Utilities"/>
      <sheetName val="Appendix B Devp. Plan"/>
      <sheetName val="App E 5 Star Hotel-Do not Print"/>
      <sheetName val="App C Offices-Do not Print"/>
      <sheetName val="App D Retail Units-Do not Print"/>
      <sheetName val="App Q Utilities Cost Model"/>
      <sheetName val="Summary Review (DO NOT PRINT)"/>
      <sheetName val="S Hub Building (DO NOT PRINT)"/>
      <sheetName val="Graph Data (DO NOT PRINT)"/>
      <sheetName val="6.0(a)"/>
      <sheetName val="6.0 Benchmarking"/>
      <sheetName val="9.0(a)"/>
      <sheetName val="9.0 Constraints"/>
      <sheetName val="10.0(a)"/>
      <sheetName val="10.0 Options"/>
      <sheetName val="Reverse Cost Model"/>
      <sheetName val="Roads Calcs by HOK"/>
      <sheetName val="Parking Nr Calcs"/>
      <sheetName val="7.1"/>
      <sheetName val="Car Parking"/>
      <sheetName val="Retail"/>
      <sheetName val="Waterfront"/>
      <sheetName val="Skyvilla"/>
      <sheetName val="Issue Sheet"/>
      <sheetName val="1.0 Exec Summary"/>
      <sheetName val="2.0 Cost Summary"/>
      <sheetName val="3.0 Basis &amp; Assump"/>
      <sheetName val="4.0 Exclusions"/>
      <sheetName val="5.0 Info Used"/>
      <sheetName val="Appendix A"/>
      <sheetName val="Basement Cost Model"/>
      <sheetName val="Tower Cost Model"/>
      <sheetName val="Appendix B"/>
      <sheetName val="GIFA Schedule"/>
      <sheetName val="new area schedule"/>
      <sheetName val="Basement Cost Details"/>
      <sheetName val="Basement MEP Cost"/>
      <sheetName val="Tower MEP Cost"/>
      <sheetName val="Tower Cost Details"/>
      <sheetName val="External Works"/>
      <sheetName val="Appendix C"/>
      <sheetName val="Cost Reconciliation"/>
      <sheetName val="Appendix D"/>
      <sheetName val="Highrise"/>
      <sheetName val="Ascott"/>
      <sheetName val="Leisure"/>
      <sheetName val="Budget Estimate"/>
      <sheetName val="systems"/>
      <sheetName val="SG"/>
      <sheetName val="Forge"/>
      <sheetName val="VO's"/>
      <sheetName val="underslab drainage"/>
      <sheetName val="Battersea"/>
      <sheetName val="VARIANCE "/>
      <sheetName val="Sewage tank"/>
      <sheetName val="BCIS comp"/>
      <sheetName val="AN"/>
      <sheetName val="CIF COST ITEM"/>
      <sheetName val="Link from DS"/>
      <sheetName val="Content"/>
      <sheetName val="Executive Summary"/>
      <sheetName val="Basis of the Cost Plan"/>
      <sheetName val="Inclusions Exclusions"/>
      <sheetName val="Staff Distrubution"/>
      <sheetName val="Org Cost Summary"/>
      <sheetName val="Organisation Costs"/>
      <sheetName val="Time Line"/>
      <sheetName val="Int Walls"/>
      <sheetName val="Buildups"/>
      <sheetName val="Euros"/>
      <sheetName val="GBP"/>
      <sheetName val="Sign Off"/>
      <sheetName val="Cost Cutting Opportunities"/>
      <sheetName val="Conditions"/>
      <sheetName val="Major Qty-stp"/>
      <sheetName val="permission to proceed (2)"/>
      <sheetName val="permission to proceed"/>
      <sheetName val="0 Index"/>
      <sheetName val="1F"/>
      <sheetName val="3F"/>
      <sheetName val="4F"/>
      <sheetName val="5F"/>
      <sheetName val="5.0 Contents"/>
      <sheetName val="5.1D"/>
      <sheetName val="5.2D"/>
      <sheetName val="5.2 Cert"/>
      <sheetName val="5.4D"/>
      <sheetName val="5.4 Summary"/>
      <sheetName val="5.5D"/>
      <sheetName val="5.5 Summary %"/>
      <sheetName val="5.6D"/>
      <sheetName val="5.7D"/>
      <sheetName val="5.8D"/>
      <sheetName val="5.8 Penalties"/>
      <sheetName val="5.9D"/>
      <sheetName val="5.9 Contents"/>
      <sheetName val="5.9.1 CLCP - Old"/>
      <sheetName val="5.9.1 CLCP"/>
      <sheetName val="5.9.4 MPAC"/>
      <sheetName val="5.10D"/>
      <sheetName val="5.10 Defects"/>
      <sheetName val="5.11D"/>
      <sheetName val="5.12D"/>
      <sheetName val="5.13D"/>
      <sheetName val="5.13 Support Docs"/>
      <sheetName val="6F"/>
      <sheetName val="6D"/>
      <sheetName val="6.0 Contents"/>
      <sheetName val="6.1.A D"/>
      <sheetName val="6.1.B D"/>
      <sheetName val="6.1.1 Prelims"/>
      <sheetName val="6.1.2"/>
      <sheetName val="6.1.3"/>
      <sheetName val="6.1.4"/>
      <sheetName val="6.1.5"/>
      <sheetName val="6.1.6"/>
      <sheetName val="6.1.7 Grand Summary"/>
      <sheetName val="6.2D"/>
      <sheetName val="6.2"/>
      <sheetName val="6.3D"/>
      <sheetName val="6.3.1 Claims"/>
      <sheetName val="6.4D"/>
      <sheetName val="6.4 Retention"/>
      <sheetName val="6.5D"/>
      <sheetName val="6.5.1 Comments"/>
      <sheetName val="7D"/>
      <sheetName val="7.2 MOS"/>
      <sheetName val="8F"/>
      <sheetName val="8D"/>
      <sheetName val="10F"/>
      <sheetName val="10D"/>
      <sheetName val="Flow Graph"/>
      <sheetName val="Alkaline_Comparator"/>
      <sheetName val="Arsenic_Adsorber"/>
      <sheetName val="balancing_tank_sizer"/>
      <sheetName val="CAPEX_Comparator"/>
      <sheetName val="Centrifuge"/>
      <sheetName val="CRYPTO_REMOVAL_DEMO"/>
      <sheetName val="Clarifiers"/>
      <sheetName val="FILTER_RUN_TIME_CALCULATOR"/>
      <sheetName val="Disinfection_contact_tank_desig"/>
      <sheetName val="Filter_Press"/>
      <sheetName val="Microflocculator"/>
      <sheetName val="GAC_adsorbers"/>
      <sheetName val="Gravity_belt_thickners"/>
      <sheetName val="Picket_Fence_Thickener"/>
      <sheetName val="NPV_Calculator"/>
      <sheetName val="Pipe_floculator_design_tool"/>
      <sheetName val="Power_calculator"/>
      <sheetName val="Rapid_gravity_filter"/>
      <sheetName val="Sludge_OPEX_calculator"/>
      <sheetName val="Standard_mass_bal_template"/>
      <sheetName val="Mass_Bal_for_direct_filtration"/>
      <sheetName val="Montecarlo_blending"/>
      <sheetName val="Washwater_lamella"/>
      <sheetName val="Water_Chemistry_Stimulator"/>
      <sheetName val="Estimating_Datasheet"/>
      <sheetName val="Balancing_tank_sizer (2)"/>
      <sheetName val="Flash_mixing_design_tool"/>
      <sheetName val="Alkaline comparator"/>
      <sheetName val="ARSENIC ADSORBER"/>
      <sheetName val="Blending of Waters"/>
      <sheetName val="Balancing Tank Sizer"/>
      <sheetName val="CAPEX comparator"/>
      <sheetName val="Chemical Storage and Dosing"/>
      <sheetName val="Disinfection contact tank desig"/>
      <sheetName val="Filter press"/>
      <sheetName val="Flash mixing design tool"/>
      <sheetName val="GAC adsorbers"/>
      <sheetName val="Gravity belt thickners"/>
      <sheetName val="NPV Calculator"/>
      <sheetName val="Picket Fence Thickener"/>
      <sheetName val="Pipe floculator design tool"/>
      <sheetName val="Power calculator"/>
      <sheetName val="Rapid gravity filter"/>
      <sheetName val="Sludge OPEX calculator"/>
      <sheetName val="Standard mass bal template"/>
      <sheetName val="Mass Bal (Sludge Opt 1)"/>
      <sheetName val="Mass bal for direct filtration"/>
      <sheetName val="Washwater lamella"/>
      <sheetName val="Water chemistry stimulator"/>
      <sheetName val="ESTIMATING DATASHEET"/>
      <sheetName val="STANDARD PROCESS DESIGN TOOLS"/>
      <sheetName val="Updates"/>
      <sheetName val="PFD STANDARD LAYOUT"/>
      <sheetName val="PFD SYMBOLS"/>
      <sheetName val="Mass Balance Event"/>
      <sheetName val="Prelim Channel"/>
      <sheetName val="DAF AL Rapid Mix"/>
      <sheetName val="DAF AL Contact"/>
      <sheetName val="DAF Poly Rapid Mix"/>
      <sheetName val="DF AL Rapid Mix"/>
      <sheetName val="DF Poly Rapid Mix"/>
      <sheetName val="DF Filter Aid  Rapid Mix"/>
      <sheetName val="DF Microfloc Channel"/>
      <sheetName val="Filter Block"/>
      <sheetName val="Balance Tank Sizer"/>
      <sheetName val="RTW4"/>
      <sheetName val="RTW4 (2)"/>
      <sheetName val="Metals Graph"/>
      <sheetName val="Al, Lime, CO2 Storage"/>
      <sheetName val="Polymer Storage"/>
      <sheetName val="Polymer Storage (2)"/>
      <sheetName val="Sludge Storage Tanks"/>
      <sheetName val="Clean Backwash Storage Tanks"/>
      <sheetName val="Dirty Backwash Storage Tank"/>
      <sheetName val="Centrifuges"/>
      <sheetName val="Filter Aid Batching"/>
      <sheetName val="Densadeg Polymer Batching"/>
      <sheetName val="Lime Saturator Polymer"/>
      <sheetName val="Centrifuge Polymer Batching"/>
      <sheetName val="KMnO4 Batching"/>
      <sheetName val="Lime Slurry Batch Tanks"/>
      <sheetName val="PAC Batching Tank"/>
      <sheetName val="Process Summary Sheet"/>
      <sheetName val="Chemical Systems"/>
      <sheetName val="Chemical Systems (2)"/>
      <sheetName val="Standard_mass_bal_template (2)"/>
      <sheetName val="Filter Aid Batching (2)"/>
      <sheetName val="Inlet Works"/>
      <sheetName val="IDAL TANK"/>
      <sheetName val="IDAL ADWF Curve"/>
      <sheetName val="IDAL PWWF Curve"/>
      <sheetName val="Settling Curves"/>
      <sheetName val="EB @ NORMAL"/>
      <sheetName val="EB @ STORM"/>
      <sheetName val="FBDA (2)"/>
      <sheetName val="Chemical P Dosing"/>
      <sheetName val="Tertiary Filters"/>
      <sheetName val="Chlorine Contact"/>
      <sheetName val="Alkalinty Dosing"/>
      <sheetName val="Alkalinity"/>
      <sheetName val="Sludge Lagoons Calcs"/>
      <sheetName val="Preliminary Motor List"/>
      <sheetName val="NPV Analysis"/>
      <sheetName val="DATA ENTRY"/>
      <sheetName val="Inlet Works "/>
      <sheetName val="Surface Aeration"/>
      <sheetName val="FBDA"/>
      <sheetName val="New Total P Sheet"/>
      <sheetName val="NEW 1ST STAGE FILTERS"/>
      <sheetName val="Standard_mass_bal_template 900 "/>
      <sheetName val="Fine Bubble "/>
      <sheetName val="ASP FST Design"/>
      <sheetName val="ASP FST @900 l"/>
      <sheetName val="Tertiary plastic media filter "/>
      <sheetName val="Tertiary PS alternative"/>
      <sheetName val="ASP DESIGN"/>
      <sheetName val="Aeration Sizing"/>
      <sheetName val="Existing Rock Media Filters"/>
      <sheetName val="Metals Summary"/>
      <sheetName val="Ferric"/>
      <sheetName val="Iron"/>
      <sheetName val="Fresh al"/>
      <sheetName val="Gibbsite"/>
      <sheetName val="Tenorite"/>
      <sheetName val="Cu(OH)2(s)"/>
      <sheetName val="Malachite"/>
      <sheetName val="REVISION"/>
      <sheetName val="Influent Specification"/>
      <sheetName val="Insert into P101"/>
      <sheetName val="Grit Removal System"/>
      <sheetName val="Pre Aeration Tank"/>
      <sheetName val="Domestic PST"/>
      <sheetName val="Light Ind PST"/>
      <sheetName val="PST Design"/>
      <sheetName val="ASP MLE Tank - Orginal"/>
      <sheetName val="ASP MLE Tank - Dubai"/>
      <sheetName val="FBDA (20) "/>
      <sheetName val="FBDA  36)"/>
      <sheetName val="FST Design"/>
      <sheetName val="Filter Design"/>
      <sheetName val="Clean Storage Tank"/>
      <sheetName val="Chlorine Contact Design"/>
      <sheetName val="Polymer Batching"/>
      <sheetName val="PFD STANDARD LAYOUT (2)"/>
      <sheetName val="SBR Layout"/>
      <sheetName val="XA &amp; BAFF GENERIC PFD"/>
      <sheetName val="EXISTING SITE LAYOUT"/>
      <sheetName val="SUMMARISED FLOWS &amp; LOADS"/>
      <sheetName val="SCOPE SUMMARY - WW 1A"/>
      <sheetName val="SCOPE SUMMARY - WW 1B"/>
      <sheetName val="SCOPE SUMMARY - WWL 2A"/>
      <sheetName val="SCOPE SUMMARY - WWL 2B"/>
      <sheetName val="SCOPE SUMMARY - WL 3A"/>
      <sheetName val="SCOPE SUMMARY - WL 3B"/>
      <sheetName val="OPTION 1 - Generic Mass Balance"/>
      <sheetName val="Lulworth - NEW TF PLANT - MB"/>
      <sheetName val="Lulworth PST CALCS"/>
      <sheetName val="Lulworth NEW TF CALCS"/>
      <sheetName val="Lulworth HUMUS CALCS"/>
      <sheetName val="Rapid Calculation Sheet-1a"/>
      <sheetName val="Rapid Calculation Sheet 1b"/>
      <sheetName val="Rapid Calculation WWL 2a"/>
      <sheetName val="Rapid Calculation WWL 2b"/>
      <sheetName val="Rapid Calculation WL 3a"/>
      <sheetName val="Rapid Calculation WL 3b"/>
      <sheetName val="Lulworth SLUDGE Holding Tanks"/>
      <sheetName val="WITH LULWORTH FLOWS AT 2022"/>
      <sheetName val="Control sheet"/>
      <sheetName val="C-7.1"/>
      <sheetName val="7.2"/>
      <sheetName val="C-7.2"/>
      <sheetName val="7.3"/>
      <sheetName val="C-7.3"/>
      <sheetName val="C-7"/>
      <sheetName val="C-8"/>
      <sheetName val="C-11"/>
      <sheetName val="C-14"/>
      <sheetName val="C2 (2)"/>
      <sheetName val="Part 1"/>
      <sheetName val="Part 2"/>
      <sheetName val="Part 3"/>
      <sheetName val="Part 4"/>
      <sheetName val="Part 5"/>
      <sheetName val="Part 6"/>
      <sheetName val="Part 7"/>
      <sheetName val="Part 8"/>
      <sheetName val="Part 9"/>
      <sheetName val="Part 10"/>
      <sheetName val="Part 11"/>
      <sheetName val="Currency"/>
      <sheetName val="Subcon 비교"/>
      <sheetName val="하청 견적 대비표 (Actual)"/>
      <sheetName val="금액 집계 (Actual)"/>
      <sheetName val="일괄하도 (Powerline)"/>
      <sheetName val="현대공급 (Powerline)"/>
      <sheetName val="일괄하도 (국내업체)"/>
      <sheetName val="하도사 대비"/>
      <sheetName val="하도사 대비 (2)"/>
      <sheetName val="Mech (2)"/>
      <sheetName val="PCPS"/>
      <sheetName val="JO1154 Invoice"/>
      <sheetName val="summary Building wise"/>
      <sheetName val="summary Disciplinewise"/>
      <sheetName val="Electrical summary"/>
      <sheetName val="Mechanical Summary"/>
      <sheetName val="Tender adjustment summary"/>
      <sheetName val="Prelims Bill-1"/>
      <sheetName val="Material -Summary"/>
      <sheetName val="MOS Electircal"/>
      <sheetName val="Treatment"/>
      <sheetName val="Estimate Summary"/>
      <sheetName val="HQ-1_summ"/>
      <sheetName val="HQ-1_BACK-UP 1"/>
      <sheetName val="HQ-1_BACK-UP 2"/>
      <sheetName val="Ext Works HQ-1_BACK-UP"/>
      <sheetName val="HQ-2_summ"/>
      <sheetName val="HQ-2_BACK-UP 1"/>
      <sheetName val="HQ-2_BACK-UP 2"/>
      <sheetName val="Ext Works HQ-2_BACK-UP"/>
      <sheetName val="HQ-3_summ"/>
      <sheetName val="HQ-3_BACK-UP 1"/>
      <sheetName val="HQ-3_BACK-UP 2"/>
      <sheetName val="Ext Works HQ-3_BACK-UP"/>
      <sheetName val="HQ-GFA"/>
      <sheetName val=" HQ Suppl."/>
      <sheetName val="Roof Cost back-up"/>
      <sheetName val="LIB-1_summ"/>
      <sheetName val="LIB-1_BACK-UP 1"/>
      <sheetName val="LIB-1_BACK-UP 2"/>
      <sheetName val="LIB-2_summ"/>
      <sheetName val="LIB-2_BACK-UP 1"/>
      <sheetName val="LIB-2_BACK-UP 2"/>
      <sheetName val="LIB-3_summ"/>
      <sheetName val="LIB-3_BACK-UP 1"/>
      <sheetName val="LIB-3_BACK-UP 2"/>
      <sheetName val="LIB-GFA"/>
      <sheetName val="Lib Suppl."/>
      <sheetName val="Lib Benchmark"/>
      <sheetName val="RAND-1_summ"/>
      <sheetName val="RAND-1_BACK-UP 1"/>
      <sheetName val="RAND-1_BACK-UP 2"/>
      <sheetName val="Ext Works RAND-1_BACK-UP"/>
      <sheetName val="RAND-2_summ"/>
      <sheetName val="RAND-2_BACK-UP 1"/>
      <sheetName val="RAND-2_BACK-UP 2"/>
      <sheetName val="Ext Works RAND-2_BACK-UP"/>
      <sheetName val="RAND-3_summ"/>
      <sheetName val="RAND-3_BACK-UP 1"/>
      <sheetName val="RAND-3_BACK-UP 2"/>
      <sheetName val="Ext Works RAND-3_BACK-UP"/>
      <sheetName val="RAND-GFA"/>
      <sheetName val="Rand Suppl."/>
      <sheetName val="Car Park"/>
      <sheetName val="rev1-2"/>
      <sheetName val="#3E1_GCR"/>
      <sheetName val="C-GFL"/>
      <sheetName val="Testing"/>
      <sheetName val="HQBuilding"/>
      <sheetName val="FitOutHQBldg"/>
      <sheetName val="AutoMessengerSystem"/>
      <sheetName val="PASystem"/>
      <sheetName val="TelephoneSystem"/>
      <sheetName val="HQSpecialSystems"/>
      <sheetName val="WaterFeatures"/>
      <sheetName val="DealerRoom"/>
      <sheetName val="Services"/>
      <sheetName val="ACtoStairs"/>
      <sheetName val="GoodsDelivery"/>
      <sheetName val="ToiletPods"/>
      <sheetName val="HQBldgExtCladding"/>
      <sheetName val="GlazedSouthWall"/>
      <sheetName val="HQFFandE"/>
      <sheetName val="ConferenceCentre"/>
      <sheetName val="ConfCentreSpecialSystems"/>
      <sheetName val="ConfCentreExtCladding"/>
      <sheetName val="ConfFFandE"/>
      <sheetName val="CarPark"/>
      <sheetName val="StatutoryCharges"/>
      <sheetName val="Drawingscover"/>
      <sheetName val="Drawings"/>
      <sheetName val="GFA HQ Building"/>
      <sheetName val="GFA Conference"/>
      <sheetName val="GeneralSummary"/>
      <sheetName val="ElementalSummary"/>
      <sheetName val="SHOPLIST"/>
      <sheetName val="TAS"/>
      <sheetName val="icmal"/>
      <sheetName val="SubmitCal"/>
      <sheetName val="EX.SUMMARY"/>
      <sheetName val="Contents "/>
      <sheetName val="PROJECT DETAILS -1"/>
      <sheetName val="PROJECT STATUS - Planning -2a"/>
      <sheetName val="AREAS OF CONCERN -3"/>
      <sheetName val="KPI -4"/>
      <sheetName val="MATERIAL PROJECTION REPORT -5"/>
      <sheetName val="MANPOWER STATUS -6"/>
      <sheetName val="QAQC-7"/>
      <sheetName val="HSE Report- 8"/>
      <sheetName val="Schedule of Payment Dates - 9.a"/>
      <sheetName val="App &amp; Cert Detail -9.b"/>
      <sheetName val="IPS - 9.c"/>
      <sheetName val="Delays &amp; EOT - 9.e"/>
      <sheetName val="PROJECT STATUS - Financial -10"/>
      <sheetName val="DASHBOARD "/>
      <sheetName val="Time_Progress_Bill_WBS1"/>
      <sheetName val="Time Vs Progress"/>
      <sheetName val="Progress Vs Billing"/>
      <sheetName val="Time Vs Billing"/>
      <sheetName val="FT Clearances"/>
      <sheetName val="Manpower Report"/>
      <sheetName val="Backup for Revised Plan"/>
      <sheetName val="Excavation-Concrete"/>
      <sheetName val="W011 Report"/>
      <sheetName val="WR Data"/>
      <sheetName val="Cost Report (Rev. 02A)"/>
      <sheetName val="Summary of Report"/>
      <sheetName val="Actual Const. Progress"/>
      <sheetName val="% Computation"/>
      <sheetName val="Shop Drawings"/>
      <sheetName val="Engg WS"/>
      <sheetName val="LIST OF DRAWINGS (New)"/>
      <sheetName val="LIST OF DRAWINGS (Wsheet)"/>
      <sheetName val="(Mech Drwgs)"/>
      <sheetName val="(Elec Drwgs)"/>
      <sheetName val="Proc - Civil"/>
      <sheetName val="Proc - Civil (2)"/>
      <sheetName val="Proc - Civil (XXX)"/>
      <sheetName val="Engg"/>
      <sheetName val="S-CURVE MAIN CON"/>
      <sheetName val="MEP Mech Mat"/>
      <sheetName val="MEP Elec Mat"/>
      <sheetName val="Proc - Civil Overall"/>
      <sheetName val="MEP Overall Mat"/>
      <sheetName val="Master Data Sheet"/>
      <sheetName val="@risk rents and incentives"/>
      <sheetName val="Car park lease"/>
      <sheetName val="Net rent analysis"/>
      <sheetName val="Quantity Take Off Sheet (E1 (2)"/>
      <sheetName val="Fire Enq."/>
      <sheetName val="Wiring Accessories "/>
      <sheetName val="Light Fittings "/>
      <sheetName val="EL"/>
      <sheetName val="Cable Schedule (2)"/>
      <sheetName val="Cable Summary"/>
      <sheetName val="Cables Normal (2)"/>
      <sheetName val="IPA Summary"/>
      <sheetName val="AETA 32 VE APP N"/>
      <sheetName val="Bill of Quantities"/>
      <sheetName val="Bill No 1 Prelim APP A"/>
      <sheetName val="HVAC APP B "/>
      <sheetName val="Wet Riser &amp;Fire Sprink APP C"/>
      <sheetName val="BMS  APPD"/>
      <sheetName val="Elec Power APP E1"/>
      <sheetName val="Emm Light APP E2"/>
      <sheetName val="Lights APP E3 "/>
      <sheetName val="SecurityCCTV ACMS APP F "/>
      <sheetName val="Intercom &amp; Fire Alarm APP G "/>
      <sheetName val="Plumbing APP H"/>
      <sheetName val="FIDS CUTE DATA etc APP J"/>
      <sheetName val="MOS INDEX"/>
      <sheetName val="Materials on Site APP M"/>
      <sheetName val="Contra Charges APP P"/>
      <sheetName val="w't table"/>
      <sheetName val="Loan account - LCC rate"/>
      <sheetName val="Consolidated summary"/>
      <sheetName val="Sensitivities"/>
      <sheetName val="Value &amp;  distribution summary"/>
      <sheetName val="Monthly report"/>
      <sheetName val="Monthly invoice "/>
      <sheetName val="Partnership summary"/>
      <sheetName val="Fund  summary ex developer"/>
      <sheetName val="Project cashflow totals"/>
      <sheetName val="Hotel resi and sites 21 22 cost"/>
      <sheetName val="Fund cashflow"/>
      <sheetName val="Fund cashflow cumulative"/>
      <sheetName val="LCC profit share calculation"/>
      <sheetName val="Main construction"/>
      <sheetName val="Total equity"/>
      <sheetName val="Grosvenor equity"/>
      <sheetName val="Investor equity"/>
      <sheetName val="Equity and debt split"/>
      <sheetName val="Loan account and shortfalls"/>
      <sheetName val="Letting covenants"/>
      <sheetName val="Residential"/>
      <sheetName val="Offices"/>
      <sheetName val="Unit rents and incentives"/>
      <sheetName val="Funding check"/>
      <sheetName val="Cash"/>
      <sheetName val="Cash and return"/>
      <sheetName val="Drawdown request to bank"/>
      <sheetName val="Shape Codes"/>
      <sheetName val="Help"/>
      <sheetName val="Setup"/>
      <sheetName val="About"/>
      <sheetName val="More"/>
      <sheetName val="page"/>
      <sheetName val="QTO"/>
      <sheetName val="AFC-BBS-001 Rev. 2"/>
      <sheetName val="AFC-BBS-002 Rev. 2"/>
      <sheetName val="Rebar QTO Rev. 00"/>
      <sheetName val="Rebar QTO Rev. 00 (Redundant)"/>
      <sheetName val="QTO (Superseded)"/>
      <sheetName val="Rebar QTO Rev. 01"/>
      <sheetName val="C1ㅇ"/>
      <sheetName val="S-C+Market"/>
      <sheetName val="Ramp data"/>
      <sheetName val="Lower Ground"/>
      <sheetName val="Letting"/>
      <sheetName val="UBR"/>
      <sheetName val="PPlay_Data"/>
      <sheetName val="Cap Cost"/>
      <sheetName val="RLV Calc"/>
      <sheetName val="Costs (dev)"/>
      <sheetName val="Bluewater NPV - sell January"/>
      <sheetName val="Calcs"/>
      <sheetName val="Upper Ground"/>
      <sheetName val="Financial Summary"/>
      <sheetName val="D&amp;C Calcs"/>
      <sheetName val="CA Upside_Downside Old"/>
      <sheetName val="EASEL CA Example"/>
      <sheetName val="2-Conc"/>
      <sheetName val="Cost Analys (1)"/>
      <sheetName val="Summary of Back up (2)"/>
      <sheetName val="site-backup"/>
      <sheetName val="ckt meas"/>
      <sheetName val="Summary of Back up (3)"/>
      <sheetName val="back up (2)"/>
      <sheetName val="Rate Analysis (2)"/>
      <sheetName val="Guide 2.3"/>
      <sheetName val="Preambles"/>
      <sheetName val="Timeline"/>
      <sheetName val="Prelim Summary"/>
      <sheetName val="Pre-Construction"/>
      <sheetName val="Management"/>
      <sheetName val="Preliminaries"/>
      <sheetName val="Non Recoverables"/>
      <sheetName val="Design Fees"/>
      <sheetName val="Adjustments"/>
      <sheetName val="%Details"/>
      <sheetName val="SEW PIPE"/>
      <sheetName val="SEWMH"/>
      <sheetName val="DRAIN PIPE"/>
      <sheetName val="DRAIN MH"/>
      <sheetName val="QUOTE_E"/>
      <sheetName val="Top"/>
      <sheetName val="YTD Summary"/>
      <sheetName val="Monthly Analysis"/>
      <sheetName val="YTD Analysis"/>
      <sheetName val="Variance Analysis"/>
      <sheetName val="Citex &amp; RCD Contracts "/>
      <sheetName val="OOPs"/>
      <sheetName val="Rec to Corporate Budget"/>
      <sheetName val="Overhead OOP"/>
      <sheetName val="Overhead Analysis"/>
      <sheetName val="NOA Report"/>
      <sheetName val="Bal Sheet - Previous Month"/>
      <sheetName val="Bal Sheet - Current Month"/>
      <sheetName val="NOA Report ( Excl. Fleet )"/>
      <sheetName val="BSheet Profit Reconciliation"/>
      <sheetName val="PRM"/>
      <sheetName val="PRM (BU)"/>
      <sheetName val="AR Days"/>
      <sheetName val="Min Int"/>
      <sheetName val="CashW"/>
      <sheetName val="CashM"/>
      <sheetName val="Turnover Actual History"/>
      <sheetName val="PBT Actual History"/>
      <sheetName val="Overhead Actual History "/>
      <sheetName val="Forecast NOA"/>
      <sheetName val="2004 Bud Citex RCD Contract"/>
      <sheetName val="2004 Budget"/>
      <sheetName val="Budgeted Overheads"/>
      <sheetName val="YTD Summary  Rec"/>
      <sheetName val="Menu sheet"/>
      <sheetName val="TB Extract 01"/>
      <sheetName val="TB Mapping 01"/>
      <sheetName val="Hyperion Input 01"/>
      <sheetName val="TB Extract 02"/>
      <sheetName val="TB Mapping 02"/>
      <sheetName val="Hyperion Input 02"/>
      <sheetName val="TB Extract 03"/>
      <sheetName val="TB Mapping 03"/>
      <sheetName val="Hyperion Input 03"/>
      <sheetName val="TB Extract 04"/>
      <sheetName val="TB Mapping 04"/>
      <sheetName val="Hyperion Input 04"/>
      <sheetName val="TB Extract 05"/>
      <sheetName val="TB Mapping 05"/>
      <sheetName val="Hyperion Input 05"/>
      <sheetName val="TB Extract 06"/>
      <sheetName val="TB Mapping 06"/>
      <sheetName val="Hyperion Input 06"/>
      <sheetName val="TB Extract 07"/>
      <sheetName val="TB Mapping 07"/>
      <sheetName val="Hyperion Input 07"/>
      <sheetName val="TB Extract08"/>
      <sheetName val="TB Mapping 08"/>
      <sheetName val="Hyperion Input 08"/>
      <sheetName val="TB Extract 09"/>
      <sheetName val="TB Mapping 09"/>
      <sheetName val="Hyperion Input 09"/>
      <sheetName val="TB Extract 10"/>
      <sheetName val="TB Mapping 10"/>
      <sheetName val="Hyperion Input 10"/>
      <sheetName val="Forex InputPack"/>
      <sheetName val="Forex Rates"/>
      <sheetName val="InputPack"/>
      <sheetName val="TAXPACK SHEETS"/>
      <sheetName val="Sign-off sheet"/>
      <sheetName val="BS"/>
      <sheetName val="POOA"/>
      <sheetName val="TFA"/>
      <sheetName val="TFAi"/>
      <sheetName val="Inv Props"/>
      <sheetName val="Intangibles"/>
      <sheetName val="Invs"/>
      <sheetName val="Inventories"/>
      <sheetName val="Construction"/>
      <sheetName val="Debtors"/>
      <sheetName val="Creditors"/>
      <sheetName val="Prov'ns &amp; Tax Crs"/>
      <sheetName val="SC+RES"/>
      <sheetName val="Leases"/>
      <sheetName val="G'tees &amp; Comms"/>
      <sheetName val="Sch Ai"/>
      <sheetName val="Sch Aii"/>
      <sheetName val="Sch C"/>
      <sheetName val="Sch D1"/>
      <sheetName val="Sch D2"/>
      <sheetName val="Sch Ei"/>
      <sheetName val="Sch Eii"/>
      <sheetName val="Sch F"/>
      <sheetName val="Sch G1"/>
      <sheetName val="Sch G2"/>
      <sheetName val="Sch I"/>
      <sheetName val="Sch J"/>
      <sheetName val="Sch K"/>
      <sheetName val="Sch Li"/>
      <sheetName val="Sch Lii"/>
      <sheetName val="Sch M"/>
      <sheetName val="Sch N"/>
      <sheetName val="Sch O"/>
      <sheetName val="Sch P"/>
      <sheetName val="Sch R"/>
      <sheetName val="Sch T"/>
      <sheetName val="Sch U"/>
      <sheetName val="Sch X"/>
      <sheetName val="Validations"/>
      <sheetName val="UK - Hyperion"/>
      <sheetName val="SC Payment Certificate"/>
      <sheetName val="SC Valuation (Int)"/>
      <sheetName val="MEASURED"/>
      <sheetName val="Contra Charge"/>
      <sheetName val="L3"/>
      <sheetName val="L3 form"/>
      <sheetName val="SI-1 Abstract"/>
      <sheetName val="SI-2 Abstract"/>
      <sheetName val="SI-3"/>
      <sheetName val="Variation Miss"/>
      <sheetName val="I01 Block Colum"/>
      <sheetName val="Core Wall "/>
      <sheetName val="Coupler"/>
      <sheetName val="Rebar rece"/>
      <sheetName val="beam-reinf "/>
      <sheetName val="Penthouse Apartment"/>
      <sheetName val="LABOUR HISTOGRAM"/>
      <sheetName val="StattCo yCharges"/>
      <sheetName val="GFA_HQ_Building"/>
      <sheetName val="GFA_Conference"/>
      <sheetName val="Su}}ary"/>
      <sheetName val="D-623D"/>
      <sheetName val="Chiet tinh dz22"/>
      <sheetName val="Chiet tinh dz35"/>
      <sheetName val="_______"/>
      <sheetName val="核算项目余额表"/>
      <sheetName val="Poz-1 "/>
      <sheetName val="차액보증"/>
      <sheetName val="Lab Cum Hist"/>
      <sheetName val="CT Thang Mo"/>
      <sheetName val="Body Sheet"/>
      <sheetName val="1.0 Executive Summary"/>
      <sheetName val="Base02"/>
      <sheetName val="Base01"/>
      <sheetName val="GFL- A0"/>
      <sheetName val="GFL - B0"/>
      <sheetName val="GFL- C0"/>
      <sheetName val="GFL - D0 (1)"/>
      <sheetName val="GFL - D0 (2)"/>
      <sheetName val="GFL - E0"/>
      <sheetName val="GFL - F0"/>
      <sheetName val="Ground Mezz"/>
      <sheetName val="1st-A1"/>
      <sheetName val="1st-B1"/>
      <sheetName val="1st-C1"/>
      <sheetName val="1st-D1"/>
      <sheetName val="2nd-A2"/>
      <sheetName val="2nd-C2"/>
      <sheetName val="3rd-A3"/>
      <sheetName val="3rd-B3"/>
      <sheetName val="3rd-C3"/>
      <sheetName val="3rd Mezz &amp; 4th"/>
      <sheetName val="HB CEC J.V. schd 2"/>
      <sheetName val="HB CEC schd 3.2"/>
      <sheetName val="HB CEC schd 4.2"/>
      <sheetName val="HB CEC schd 4.3"/>
      <sheetName val="HB CEC schd 5.2"/>
      <sheetName val="HB CEC schd 6.2"/>
      <sheetName val="HB CEC schd 7.2"/>
      <sheetName val="HB CEC schd 9.2"/>
      <sheetName val="Ver_Data"/>
      <sheetName val="Cstng-Sht"/>
      <sheetName val="Summary sheet"/>
      <sheetName val="Bill No.2-Mech"/>
      <sheetName val="Bill 2-Elect'l"/>
      <sheetName val="GEN. SUMMARY"/>
      <sheetName val="PL,FF,HV Compliance sheet"/>
      <sheetName val="Exclusions-Mech"/>
      <sheetName val="Proposed List of Makes-Mech"/>
      <sheetName val="Exclusions-Elec"/>
      <sheetName val="Material Price -Elec"/>
      <sheetName val="SUMINIST"/>
      <sheetName val="other sums (4)"/>
      <sheetName val="other sums (3)"/>
      <sheetName val="other sums"/>
      <sheetName val="Explanary"/>
      <sheetName val="BILL 14"/>
      <sheetName val="Mos"/>
      <sheetName val="Site invest "/>
      <sheetName val="Site invest  (2)"/>
      <sheetName val="other sums (2)"/>
      <sheetName val="ECI Summary"/>
      <sheetName val="NPV new"/>
      <sheetName val="EA Sum"/>
      <sheetName val="CLAUSE_60"/>
      <sheetName val="SAL"/>
      <sheetName val="V.O."/>
      <sheetName val="SUMM_PC_MR"/>
      <sheetName val="SUMM_CGPC_MR"/>
      <sheetName val="SUMM_BC_MR"/>
      <sheetName val="SUMM_PC_DT"/>
      <sheetName val="SUMM_BC_DT"/>
      <sheetName val="PIPE 300"/>
      <sheetName val="PIPE750"/>
      <sheetName val="PIPE900"/>
      <sheetName val="STEEL_PIPE"/>
      <sheetName val="CAMPO &amp; PC_BC"/>
      <sheetName val="CPR"/>
      <sheetName val="BKWPSUM"/>
      <sheetName val="MARCH PROG with asp 15.3.6"/>
      <sheetName val="ADVANCED PROJECT PLANNING FEB"/>
      <sheetName val="FEB PROG"/>
      <sheetName val="FEB PROG ACHIEVD"/>
      <sheetName val=" DETAILED PROG FEB"/>
      <sheetName val="Summary feb"/>
      <sheetName val="MARCH PROGRAMME"/>
      <sheetName val="MARCH PROGRAMME (%)"/>
      <sheetName val=" PROGRAMME WITH QTY (%) (ALL)"/>
      <sheetName val=" PROG 4 MAR 06  QTY (%) "/>
      <sheetName val=" PROG4MAR 06 (qty%)  "/>
      <sheetName val=" PRG4MAR06 (qty%)amount correct"/>
      <sheetName val="March prog with resourses"/>
      <sheetName val="JUST 4 % CAL"/>
      <sheetName val="resources (full work)"/>
      <sheetName val="Revised Programme"/>
      <sheetName val="resources (revise prog)"/>
      <sheetName val="Prog with Asphalt 15th March"/>
      <sheetName val=" Prog with % wise"/>
      <sheetName val="BILL 15"/>
      <sheetName val="BILL 16"/>
      <sheetName val="BILL 17"/>
      <sheetName val="BILL 18"/>
      <sheetName val="BILL 19"/>
      <sheetName val="VO register"/>
      <sheetName val="Claim"/>
      <sheetName val="Commercial"/>
      <sheetName val="Change in forecast"/>
      <sheetName val="Remaining Cost"/>
      <sheetName val="Terminologies"/>
      <sheetName val="Exec.Report"/>
      <sheetName val="Critical Item"/>
      <sheetName val="Progress_Explanation"/>
      <sheetName val="Screed Breakdown"/>
      <sheetName val="Adhoc"/>
      <sheetName val="Hospital_31-12-13"/>
      <sheetName val="Diesel, generator,bus"/>
      <sheetName val="Summary_Cost Ledger"/>
      <sheetName val="Reallocation Details"/>
      <sheetName val="prema"/>
      <sheetName val="200205C"/>
      <sheetName val="200205 CHECK"/>
      <sheetName val="200204C"/>
      <sheetName val="Orig BOQ"/>
      <sheetName val="star rates ref"/>
      <sheetName val="Star rates sum"/>
      <sheetName val="star rates calc"/>
      <sheetName val="100mmØ"/>
      <sheetName val="75mmØ"/>
      <sheetName val="50mmØ"/>
      <sheetName val="32mmØ"/>
      <sheetName val="25mmØ"/>
      <sheetName val="200mmØ"/>
      <sheetName val="22mmØ"/>
      <sheetName val="15mmØ"/>
      <sheetName val="25mmØ HDPE"/>
      <sheetName val="22mmØ Cu"/>
      <sheetName val="15mmØ Cu"/>
      <sheetName val="100mmØ GV"/>
      <sheetName val="75mmØ GV"/>
      <sheetName val="50mmØ GV"/>
      <sheetName val="32mmØ GV"/>
      <sheetName val="25mmØ GV"/>
      <sheetName val="200mmØ Fitting"/>
      <sheetName val="100mmØ fittings"/>
      <sheetName val="75mmØ fittings"/>
      <sheetName val="50mmØ fittings)"/>
      <sheetName val="32mmØ fittings"/>
      <sheetName val="25mmØ fittings"/>
      <sheetName val="25mmØ HDPE Fitting"/>
      <sheetName val="changing room"/>
      <sheetName val="CR Contraco"/>
      <sheetName val="Main Villa"/>
      <sheetName val="Main Villa Contraco"/>
      <sheetName val="Variation Order Request"/>
      <sheetName val="NR 2.01.1"/>
      <sheetName val="NR-2.02.1"/>
      <sheetName val="NR 2.08"/>
      <sheetName val="2.08.1"/>
      <sheetName val="2.08.2"/>
      <sheetName val="2.08.3"/>
      <sheetName val="2.08.4"/>
      <sheetName val="2.08.5"/>
      <sheetName val="2.08.6"/>
      <sheetName val="2.08.7"/>
      <sheetName val="2.08.8"/>
      <sheetName val="2.08.9"/>
      <sheetName val="2.08.10"/>
      <sheetName val="2.08.11"/>
      <sheetName val="2.08.12"/>
      <sheetName val="2.08.13"/>
      <sheetName val="NR 2.09"/>
      <sheetName val="2.09.1"/>
      <sheetName val="2.09.2"/>
      <sheetName val="2.09.3"/>
      <sheetName val="2.09.5"/>
      <sheetName val="NR 2.10"/>
      <sheetName val="2.10.A"/>
      <sheetName val="2.10.B"/>
      <sheetName val="NR 2.10.1"/>
      <sheetName val="NR 2.10.2"/>
      <sheetName val="NR 2.10.3"/>
      <sheetName val="NR-1"/>
      <sheetName val="Contraco"/>
      <sheetName val="BREAK DOWN (2)"/>
      <sheetName val="V0"/>
      <sheetName val="P"/>
      <sheetName val="Bill 1 "/>
      <sheetName val="Bill 12 Tender"/>
      <sheetName val="Bill 13 Prov Sums"/>
      <sheetName val="Bill 14 Dayworks"/>
      <sheetName val="G Summary"/>
      <sheetName val="App1"/>
      <sheetName val="Appendix 1"/>
      <sheetName val="App2"/>
      <sheetName val="Appendix 2"/>
      <sheetName val="FLYSHEET"/>
      <sheetName val="Activity Schedule"/>
      <sheetName val="E50"/>
      <sheetName val="Direct Works Totals"/>
      <sheetName val="RUNNING"/>
      <sheetName val="GEN PLANT"/>
      <sheetName val="TEMPS"/>
      <sheetName val="RECOSTS"/>
      <sheetName val="P.C.SUMS"/>
      <sheetName val="Section 02 ALTERATIONS"/>
      <sheetName val="S-5 Concrete "/>
      <sheetName val="S-12 Excavation"/>
      <sheetName val="S-13 Masonry"/>
      <sheetName val="S-14 Roofing"/>
      <sheetName val="S-18 C&amp;J"/>
      <sheetName val="S-19&amp;20 Plumbing"/>
      <sheetName val="S-21 Electrical."/>
      <sheetName val="S-22 HVAC "/>
      <sheetName val="S-24 Finishes "/>
      <sheetName val="S-26 Painting"/>
      <sheetName val="Bill 01 - Preliminaries"/>
      <sheetName val="Sub Sum 1 "/>
      <sheetName val="Bill 03 - Civil Works"/>
      <sheetName val="Sub Sum 3"/>
      <sheetName val="Bill 04 - water supply tb "/>
      <sheetName val="Sub Sum 4"/>
      <sheetName val="Bill 05 - Electrical tb"/>
      <sheetName val="Sub Sum 5"/>
      <sheetName val="Bill 06 - Miscellaneous"/>
      <sheetName val="Sub Sum 6"/>
      <sheetName val="Fixed Bridge Sum"/>
      <sheetName val="Fixed Bridge_mech-Gate1"/>
      <sheetName val="Fixed Bridge_plum-T2.G13"/>
      <sheetName val="Fixed Bridge_plum-T2.G13.2"/>
      <sheetName val="Fixed Bridge_fire-T1.G12"/>
      <sheetName val="Fixed Bridge_fire-T1.G12.2"/>
      <sheetName val="Fixed Bridge_fire-T1.G12.3"/>
      <sheetName val="Fixed Bridge_fire-T2.G13"/>
      <sheetName val="Fixed Bridge_fire-T2.G13.2"/>
      <sheetName val=" GULF"/>
      <sheetName val="Provisional Sums"/>
      <sheetName val="Provisonal"/>
      <sheetName val="bill01"/>
      <sheetName val="bill02"/>
      <sheetName val="bill03"/>
      <sheetName val="bill04"/>
      <sheetName val="T.Off"/>
      <sheetName val="[RecoveredExternalLink1]B_____2"/>
      <sheetName val="[RecoveredExternalLink1]B_____3"/>
      <sheetName val="Ch. List (2)"/>
      <sheetName val="Ch. List"/>
      <sheetName val="QTY-RATE"/>
      <sheetName val="PRE. ESTIMATE"/>
      <sheetName val="QTY-RATE (Site 09 12 04)"/>
      <sheetName val="QTY-RATE (2)"/>
      <sheetName val="BRAKE UP SHEET"/>
      <sheetName val="common area"/>
      <sheetName val="Block Work, Plastering"/>
      <sheetName val="lintle,chejjas"/>
      <sheetName val="EXTENDED BASEMENT"/>
      <sheetName val="Basement"/>
      <sheetName val="MASS EXCAVATION"/>
      <sheetName val="FOOT-QTY"/>
      <sheetName val="FOOTING AND EXCAVATION"/>
      <sheetName val="Columns Reinforcement"/>
      <sheetName val="COLU MN"/>
      <sheetName val="Beams Reinforcement"/>
      <sheetName val="GYM EQUIP"/>
      <sheetName val="M &amp; E"/>
      <sheetName val="P &amp; M"/>
      <sheetName val="MOBI"/>
      <sheetName val="HYDERABAD SWIMMING POOL"/>
      <sheetName val="Preliminaries -Cleaning Labour"/>
      <sheetName val="bASIC rATES OTHERS"/>
      <sheetName val="Establishment ch  "/>
      <sheetName val="19.08.11"/>
      <sheetName val="Petty cash-Abstract_x0000_뗨_x0004_xls]ASSUM"/>
      <sheetName val="BOQ-ALL"/>
      <sheetName val="Meas.-Mall Part"/>
      <sheetName val="Meas.-Office Part"/>
      <sheetName val="Meas.-Bazar Mall"/>
      <sheetName val="Assu. for Market City Pune"/>
      <sheetName val="meas-Masonry"/>
      <sheetName val="meas-plaster"/>
      <sheetName val="Estimate Abstract"/>
      <sheetName val="Marvella"/>
      <sheetName val="FIXED ASSETS"/>
      <sheetName val="Site Operating Exp"/>
      <sheetName val="A Class Abstract"/>
      <sheetName val="Stock @ Site"/>
      <sheetName val="EXTERNAL AGENCY BILLS"/>
      <sheetName val="stock-updated"/>
      <sheetName val="Extra &amp; Addtional Item"/>
      <sheetName val="CTC Variance Analysis 1 "/>
      <sheetName val="FTS"/>
      <sheetName val="CostFlow"/>
      <sheetName val="26.Cash flow "/>
      <sheetName val="Oncost"/>
      <sheetName val="Sch A1-A2"/>
      <sheetName val="Sch A3"/>
      <sheetName val="Sch A2-direct Rate"/>
      <sheetName val="PL-Dis"/>
      <sheetName val="Est-PL"/>
      <sheetName val="FTS-PNM"/>
      <sheetName val="BU III"/>
      <sheetName val="Cost-Sept 2015"/>
      <sheetName val="Cost April 2015"/>
      <sheetName val="Int"/>
      <sheetName val="BG Prepaid"/>
      <sheetName val="PILE COMP."/>
      <sheetName val=" ESC"/>
      <sheetName val="Tax-Mat"/>
      <sheetName val="Tax-Total"/>
      <sheetName val="FTS-HVT&amp;SS"/>
      <sheetName val="B-PL"/>
      <sheetName val="1.Pr Sch"/>
      <sheetName val="2.Work Program"/>
      <sheetName val="Client Quote BOQ"/>
      <sheetName val="Final Rate_WCT - less Cement"/>
      <sheetName val="6.B-LCSC"/>
      <sheetName val="Sheet piling"/>
      <sheetName val="sheet piling analysis"/>
      <sheetName val="Cl Fac"/>
      <sheetName val="IT"/>
      <sheetName val="Sch D,E,G"/>
      <sheetName val="Item E2"/>
      <sheetName val="4.B-Mat"/>
      <sheetName val="B Arch Mat"/>
      <sheetName val="5.B-Mix"/>
      <sheetName val="10.Est-SS"/>
      <sheetName val="16.Sal"/>
      <sheetName val="22.Enab"/>
      <sheetName val="23.Risk"/>
      <sheetName val="RBI Indices"/>
      <sheetName val="CY Detail"/>
      <sheetName val="Prestressing"/>
      <sheetName val="Thai Salary"/>
      <sheetName val="Sanitary_L&amp;T_Mandi"/>
      <sheetName val="H2-08 Thot"/>
      <sheetName val="H1-09 Thot"/>
      <sheetName val="H1,2009 Sripad"/>
      <sheetName val="H2-08 Sripad"/>
      <sheetName val="H1-2009 RJ"/>
      <sheetName val="H2-08 RJ4"/>
      <sheetName val="All Projects"/>
      <sheetName val="Q2-09 VA"/>
      <sheetName val="132 kV Roikbha"/>
      <sheetName val="OPGW Quantity summary"/>
      <sheetName val="recap generale"/>
      <sheetName val="bord prix fourniture"/>
      <sheetName val="Détail Rechanges Client"/>
      <sheetName val="outillage"/>
      <sheetName val="sous traitance"/>
      <sheetName val="liste ANDI"/>
      <sheetName val="PV devinet"/>
      <sheetName val="PDRA devinet"/>
      <sheetName val="synthesis"/>
      <sheetName val="export coeff"/>
      <sheetName val="p.sch.coeff"/>
      <sheetName val="RecettesUsinesClient"/>
      <sheetName val="RécapCoachingGre"/>
      <sheetName val="Estim"/>
      <sheetName val="Training"/>
      <sheetName val="aide"/>
      <sheetName val="400kV GIS"/>
      <sheetName val="400kV AIS"/>
      <sheetName val="EA Sheet"/>
      <sheetName val="Internal Summary"/>
      <sheetName val="Supply - ETC"/>
      <sheetName val="SUM CE"/>
      <sheetName val="GIS"/>
      <sheetName val="Revised ANNEX-1"/>
      <sheetName val="ANNEX2"/>
      <sheetName val="VAT on Civil"/>
      <sheetName val="Receipt - Payment"/>
      <sheetName val="CF Statement"/>
      <sheetName val="OWC"/>
      <sheetName val="Bank Charges"/>
      <sheetName val="ROR"/>
      <sheetName val="Scope &amp; Exclusion"/>
      <sheetName val="Tech. com"/>
      <sheetName val="EquipEarthing"/>
      <sheetName val="ESTDGRIDrev0"/>
      <sheetName val="DCPowerCables"/>
      <sheetName val="ACpowercables"/>
      <sheetName val="ControlCable"/>
      <sheetName val="Cantilever Strength"/>
      <sheetName val="TBB"/>
      <sheetName val="72.5EquipEarthing"/>
      <sheetName val="36EquipEarthing"/>
      <sheetName val="DPR-JBRP"/>
      <sheetName val="DATA-JMEC(0-13)"/>
      <sheetName val="DATA-DEP.(13-17)"/>
      <sheetName val="DATA-KBPL(17-25)"/>
      <sheetName val="DATA-GCC(25-34.7)"/>
      <sheetName val="St.-Con(0-17)"/>
      <sheetName val="St.-Con.(17-34)"/>
      <sheetName val="St.-Others"/>
      <sheetName val="DEPLOY"/>
      <sheetName val="XXXXXXXX"/>
      <sheetName val="bsvertical"/>
      <sheetName val="sch1"/>
      <sheetName val="sch2"/>
      <sheetName val="sch3"/>
      <sheetName val="sch4"/>
      <sheetName val="sch5"/>
      <sheetName val="sch6-btd"/>
      <sheetName val="sch8,9,10,11"/>
      <sheetName val="sch12,13,14"/>
      <sheetName val="B Sheet"/>
      <sheetName val="PreOp"/>
      <sheetName val="DET0900"/>
      <sheetName val="Loan"/>
      <sheetName val="ElectInst"/>
      <sheetName val="Plan&amp;Mach"/>
      <sheetName val="Railway"/>
      <sheetName val="Buildings"/>
      <sheetName val="Dep-Tally"/>
      <sheetName val="Final-Asset-Depre-SKG"/>
      <sheetName val="AssetMaster-Final"/>
      <sheetName val="Sch-3-fixedAssets"/>
      <sheetName val="Final-Allocation-SKG"/>
      <sheetName val="fluct-2yrs"/>
      <sheetName val="Frgn-Exch-Diff"/>
      <sheetName val="CWIP-Tally"/>
      <sheetName val="cwip-proj"/>
      <sheetName val="CWIP-remain"/>
      <sheetName val="CWIP-detl-AUC"/>
      <sheetName val="details for cwip remain"/>
      <sheetName val="Final data for DEP."/>
      <sheetName val="Main data for Dep"/>
      <sheetName val="Final Allocation Summary"/>
      <sheetName val="SINTER+CHFES+COAL INJ."/>
      <sheetName val="Tally with SAP"/>
      <sheetName val="ORIGINAL Sint+CHFES+Coal Inj"/>
      <sheetName val="414000 UPDATED INSURANCE"/>
      <sheetName val="fixed"/>
      <sheetName val="16862"/>
      <sheetName val="DIRECTORS DETAILS"/>
      <sheetName val="UPDATED ON 23 07 01"/>
      <sheetName val="Detail Sheet"/>
      <sheetName val="BAL S"/>
      <sheetName val="BAL SHEET 12 april 02"/>
      <sheetName val="TALLY "/>
      <sheetName val="429400"/>
      <sheetName val="429400 june"/>
      <sheetName val="PROF"/>
      <sheetName val="JUNE   "/>
      <sheetName val="425230 june"/>
      <sheetName val="G"/>
      <sheetName val="Bal Sheet Aug 01 (15.9.01)  (2)"/>
      <sheetName val="GIST"/>
      <sheetName val="A.1"/>
      <sheetName val="A.2"/>
      <sheetName val="D 1"/>
      <sheetName val="D 3"/>
      <sheetName val="D 4"/>
      <sheetName val="D 5"/>
      <sheetName val="D 6"/>
      <sheetName val="Balance Sheet upto Sept., 2001"/>
      <sheetName val="D 7"/>
      <sheetName val="D 7.1"/>
      <sheetName val="D 2"/>
      <sheetName val="D 8"/>
      <sheetName val="425230 apr may 01"/>
      <sheetName val="D 9"/>
      <sheetName val="D 10"/>
      <sheetName val="D 10.1"/>
      <sheetName val="D 10.2"/>
      <sheetName val="D 10.3"/>
      <sheetName val="D 11"/>
      <sheetName val="D 12"/>
      <sheetName val="D 13"/>
      <sheetName val="E.1"/>
      <sheetName val="E.2"/>
      <sheetName val="E.3"/>
      <sheetName val="E.3.1"/>
      <sheetName val="E.3.2"/>
      <sheetName val="E.3.3"/>
      <sheetName val="E.4"/>
      <sheetName val="E.5"/>
      <sheetName val="E.6"/>
      <sheetName val="E.7"/>
      <sheetName val="E.8"/>
      <sheetName val="F.1"/>
      <sheetName val="F.2"/>
      <sheetName val="425229 apr may 01"/>
      <sheetName val="415030(APR01)"/>
      <sheetName val="410010"/>
      <sheetName val="PROFIT &amp; LOSS ACC"/>
      <sheetName val="Details of Closing Stock"/>
      <sheetName val="Comput"/>
      <sheetName val="Deffered tax"/>
      <sheetName val="Companies Act"/>
      <sheetName val="I.T. Act"/>
      <sheetName val="Depn _ net off subsidy"/>
      <sheetName val="Sponge Iron"/>
      <sheetName val="Cost of FG"/>
      <sheetName val="Coal (Weighted Av)"/>
      <sheetName val="Iron Ore"/>
      <sheetName val="Iron Ore (Weighted Av)"/>
      <sheetName val="Dolomite"/>
      <sheetName val="Dolomite (Weighted Av)"/>
      <sheetName val="Rent - Guest House"/>
      <sheetName val="Unsecured Loan"/>
      <sheetName val="TDS (Dr.)"/>
      <sheetName val="Prepaid Expenses"/>
      <sheetName val="Sundry  Balance Written Off"/>
      <sheetName val="IRPY"/>
      <sheetName val="Outstanding Liabilities"/>
      <sheetName val="Retention Money"/>
      <sheetName val="Advances"/>
      <sheetName val="Sundry Debtors"/>
      <sheetName val="Advance from Customer"/>
      <sheetName val="Subsidies"/>
      <sheetName val="Detail of Cr"/>
      <sheetName val="Notes1"/>
      <sheetName val="Notes2"/>
      <sheetName val="Deferred Tax"/>
      <sheetName val="80IB (2)"/>
      <sheetName val="Computation"/>
      <sheetName val="Wealth Tax"/>
      <sheetName val="80IB"/>
      <sheetName val="Annexure 1"/>
      <sheetName val="Unsold Construction"/>
      <sheetName val="GP"/>
      <sheetName val="Ratio"/>
      <sheetName val="NOA 1"/>
      <sheetName val="NOA 2"/>
      <sheetName val="NOA 3"/>
      <sheetName val="NOA 4"/>
      <sheetName val="NOA 5"/>
      <sheetName val="NOA 6"/>
      <sheetName val="NOA 7"/>
      <sheetName val="NOA 8"/>
      <sheetName val="NOA 9"/>
      <sheetName val="Sec 212"/>
      <sheetName val="I.T. Act (2)"/>
      <sheetName val="Companies Act (2)"/>
      <sheetName val="Salary &amp; Wages"/>
      <sheetName val="Creditors (Cr.)"/>
      <sheetName val="Creditors (Dr.)"/>
      <sheetName val="Gratuity"/>
      <sheetName val="REPAYMENT"/>
      <sheetName val="DSCR"/>
      <sheetName val="PROJECT REPORT"/>
      <sheetName val="CMA DATA"/>
      <sheetName val="B&amp;S"/>
      <sheetName val="Schedule BS"/>
      <sheetName val="Note 8-Non Current Investments"/>
      <sheetName val="P &amp; L."/>
      <sheetName val="Schedule to P&amp;L"/>
      <sheetName val="capital account"/>
      <sheetName val="Computation-Old"/>
      <sheetName val="Soul - Trial Balances "/>
      <sheetName val="Banjara"/>
      <sheetName val="Jubilee"/>
      <sheetName val="Yoga"/>
      <sheetName val="Avasa"/>
      <sheetName val="Jubilee P &amp; L"/>
      <sheetName val="Banjara P &amp; L"/>
      <sheetName val="Avasa P &amp; L"/>
      <sheetName val="Yoga Studio P &amp; L"/>
      <sheetName val="BS - Yoga"/>
      <sheetName val="BS - Jubilee"/>
      <sheetName val="BS - Avasa"/>
      <sheetName val="BS - Banjara"/>
      <sheetName val="Income Statement"/>
      <sheetName val="Invest-EQ"/>
      <sheetName val="Invest-MF"/>
      <sheetName val="Mapping_31-03-05"/>
      <sheetName val="Notes to P&amp;L"/>
      <sheetName val="Abstrtact"/>
      <sheetName val="Notes to P&amp;L2"/>
      <sheetName val="Related parties"/>
      <sheetName val="Segment_Final"/>
      <sheetName val="Segment"/>
      <sheetName val="212 (3)"/>
      <sheetName val="Segment workings"/>
      <sheetName val="IEL trial-05"/>
      <sheetName val="IEL Mar 05"/>
      <sheetName val="IES Mar 05"/>
      <sheetName val="Prov for Tax"/>
      <sheetName val="Income Tax-Assmt position"/>
      <sheetName val="Interest on Bank Borrowings"/>
      <sheetName val="Hire Purchase &amp; Interest"/>
      <sheetName val="Orix 1.1"/>
      <sheetName val="Orix 1.2"/>
      <sheetName val="Orix2"/>
      <sheetName val="Orix3"/>
      <sheetName val="Orix 4"/>
      <sheetName val="Orix 5"/>
      <sheetName val="Orix 6"/>
      <sheetName val="Orix 7"/>
      <sheetName val="Orix 8"/>
      <sheetName val="Orix 9"/>
      <sheetName val="Orix 10"/>
      <sheetName val="Orix 11"/>
      <sheetName val="Orix 12"/>
      <sheetName val="ICICI(1)"/>
      <sheetName val="ICICI (3)"/>
      <sheetName val="ICICI (4)"/>
      <sheetName val="ICICI (5)"/>
      <sheetName val="ICICI (6)"/>
      <sheetName val="ICICI (7)"/>
      <sheetName val="ICICI (10)"/>
      <sheetName val="ICICI (11)"/>
      <sheetName val="ICICI(12)"/>
      <sheetName val="ICICI(13)"/>
      <sheetName val="ICICI(14)"/>
      <sheetName val="ICICI(15)"/>
      <sheetName val="HDFC 1"/>
      <sheetName val="HDFC (2)"/>
      <sheetName val="Kotak(1)"/>
      <sheetName val="Kotak(2)"/>
      <sheetName val="Kotak(3)"/>
      <sheetName val="Cash Flow "/>
      <sheetName val="NOTE 2.1 "/>
      <sheetName val="NOTE 2.2 TO 2.14"/>
      <sheetName val="note 2.15 - 2.20"/>
      <sheetName val="note 2.8 (1)"/>
      <sheetName val="Note 2.8"/>
      <sheetName val="Note 2.11"/>
      <sheetName val="working 2015 -16"/>
      <sheetName val="working 2015"/>
      <sheetName val="Lead Schedule"/>
      <sheetName val="N1.1"/>
      <sheetName val="N1.3"/>
      <sheetName val="N1.6"/>
      <sheetName val="N.2.13"/>
      <sheetName val="N1.8"/>
      <sheetName val="summarywith exindia comparison"/>
      <sheetName val="datalcmar"/>
      <sheetName val="ex-india"/>
      <sheetName val="ebtreco"/>
      <sheetName val="DATA_INR"/>
      <sheetName val="Corp_EBTytd"/>
      <sheetName val="Global ytd"/>
      <sheetName val="Corp_Salesytd"/>
      <sheetName val="interco"/>
      <sheetName val="Backup of global consolidation "/>
      <sheetName val="POCM Working"/>
      <sheetName val="Q-2 Revised Sale Report"/>
      <sheetName val="Q2 Sale Report"/>
      <sheetName val="Q1 Sale Report "/>
      <sheetName val="Q3 Sale report"/>
      <sheetName val="Development Right"/>
      <sheetName val="Personnel expenses"/>
      <sheetName val="Kakanad"/>
      <sheetName val="Sriperamathur"/>
      <sheetName val="OMR - II"/>
      <sheetName val="Constructions Expenses"/>
      <sheetName val="Management expenses"/>
      <sheetName val="Project Management Expenses"/>
      <sheetName val="Financial expenses"/>
      <sheetName val="Interest allocation June 10"/>
      <sheetName val="Interest allocation Mar 2010"/>
      <sheetName val="._ls___ls___ls_Site Detail"/>
      <sheetName val="._ls_._ls_._ls_Site Detail"/>
      <sheetName val="po"/>
      <sheetName val="landed cost tower cranes"/>
      <sheetName val="POCM"/>
      <sheetName val="POCM - Entries"/>
      <sheetName val="POCM - working"/>
      <sheetName val="Inventory Main sheet"/>
      <sheetName val="Approval Cost"/>
      <sheetName val="EDC IDC"/>
      <sheetName val="EDC &amp; IDC 118.562"/>
      <sheetName val="EDC &amp; IDC 34.01"/>
      <sheetName val="GL_SL-ACC CODE MATRIX"/>
      <sheetName val="GL-ACCOUNT CODE MAPPING"/>
      <sheetName val="coa_ramco_168"/>
      <sheetName val="Capital work in Progress"/>
      <sheetName val="CAPTLISATION OF INTEREST"/>
      <sheetName val="Consolidation Cash Flow"/>
      <sheetName val="Capital Commitment"/>
      <sheetName val="Prov Dec'09 (1)"/>
      <sheetName val="Prov Dec'09 (2)"/>
      <sheetName val="MLCP"/>
      <sheetName val="BALSHEET"/>
      <sheetName val="PROFIT&amp;LOSS"/>
      <sheetName val="Sech 01,02,03"/>
      <sheetName val="Sech 04"/>
      <sheetName val="Sch 05,06,07,08"/>
      <sheetName val="Sech 09,10"/>
      <sheetName val="Sech 11,12"/>
      <sheetName val="Sech 13,14,15,16"/>
      <sheetName val="6310"/>
      <sheetName val="6300"/>
      <sheetName val="7100"/>
      <sheetName val="5400"/>
      <sheetName val="5300"/>
      <sheetName val="5100"/>
      <sheetName val="5500"/>
      <sheetName val="8100"/>
      <sheetName val="8400"/>
      <sheetName val="Misc Expe"/>
      <sheetName val="S DR"/>
      <sheetName val="S CR"/>
      <sheetName val="8300 (3)"/>
      <sheetName val="Interest-8600"/>
      <sheetName val="6100"/>
      <sheetName val="8500"/>
      <sheetName val="Trial 31Dec07"/>
      <sheetName val="Area Build 8"/>
      <sheetName val="Budget Vs Actual- Bldg.8"/>
      <sheetName val="Interest 30.11.2006 for 337 and"/>
      <sheetName val="infinity "/>
      <sheetName val="Related party new-format"/>
      <sheetName val="working of related party"/>
      <sheetName val="dep 8.2006"/>
      <sheetName val="Building 8"/>
      <sheetName val="IBM"/>
      <sheetName val="dAKSH"/>
      <sheetName val="Budget Vs Actual- Infinity"/>
      <sheetName val="Interest 30.11.06 exp 337 &amp; 343"/>
      <sheetName val="PROVISIONS"/>
      <sheetName val="ACCENTURE"/>
      <sheetName val="cwip 11.2006"/>
      <sheetName val="Balance sheet DCCDL Nov 06"/>
      <sheetName val="Net assets"/>
      <sheetName val="BELDEN06"/>
      <sheetName val="DSP-06"/>
      <sheetName val="DOD-06"/>
      <sheetName val="EDWARD"/>
      <sheetName val="CONSOL 2006"/>
      <sheetName val="New Gen06"/>
      <sheetName val="DUL06"/>
      <sheetName val="Beverly06"/>
      <sheetName val="Akruti06"/>
      <sheetName val="DHDL06"/>
      <sheetName val="BHORUKA6"/>
      <sheetName val="DSL06"/>
      <sheetName val="DRDL06"/>
      <sheetName val="Kolkata"/>
      <sheetName val="DEDL"/>
      <sheetName val="FALGUNI"/>
      <sheetName val="AYUSHI"/>
      <sheetName val="SOLID"/>
      <sheetName val="SUMEDHA"/>
      <sheetName val="GULIKA"/>
      <sheetName val="GANIKA"/>
      <sheetName val="Ananti"/>
      <sheetName val="Monishka"/>
      <sheetName val="Dhyan"/>
      <sheetName val="Abhiraj"/>
      <sheetName val="Breeze"/>
      <sheetName val="ANJULI"/>
      <sheetName val="Natwar"/>
      <sheetName val="Gyan"/>
      <sheetName val="KAMINI"/>
      <sheetName val="DHOOMKETU"/>
      <sheetName val="CARLTON"/>
      <sheetName val="AMISHI"/>
      <sheetName val="ALOKI"/>
      <sheetName val="aadarshini"/>
      <sheetName val="KAIRAV"/>
      <sheetName val="PALIWAL"/>
      <sheetName val="JWALA"/>
      <sheetName val="Passion builders"/>
      <sheetName val="VSK"/>
      <sheetName val="UMED"/>
      <sheetName val="VALINI"/>
      <sheetName val="Talika"/>
      <sheetName val="Trisha"/>
      <sheetName val="Tuhina"/>
      <sheetName val="SIMBALA"/>
      <sheetName val="DIWAKAR"/>
      <sheetName val="Shrila"/>
      <sheetName val="Sanchalli"/>
      <sheetName val="EILA"/>
      <sheetName val="Rajika"/>
      <sheetName val="GOLF"/>
      <sheetName val="PHASE IV"/>
      <sheetName val="real est limited"/>
      <sheetName val="Bangalore"/>
      <sheetName val="Chandigarh"/>
      <sheetName val="DRP"/>
      <sheetName val="Avinashi"/>
      <sheetName val="DRB"/>
      <sheetName val="WELLINGTON"/>
      <sheetName val="DPD"/>
      <sheetName val="RBD"/>
      <sheetName val="Kavicon-06"/>
      <sheetName val="NILAYAM"/>
      <sheetName val="NOIDA"/>
      <sheetName val="NILIMA"/>
      <sheetName val="DHCL"/>
      <sheetName val="Nilgiri"/>
      <sheetName val="DALMIA"/>
      <sheetName val="DCDL"/>
      <sheetName val="rec foun"/>
      <sheetName val="DFSL"/>
      <sheetName val="CPC"/>
      <sheetName val="STANDALONE"/>
      <sheetName val="CF (08)"/>
      <sheetName val="addl info"/>
      <sheetName val="SH1-2"/>
      <sheetName val="SH3-4"/>
      <sheetName val="SH5-6"/>
      <sheetName val="SH7"/>
      <sheetName val="SH8-11"/>
      <sheetName val="SH12-14"/>
      <sheetName val="SH15"/>
      <sheetName val="SH16-17"/>
      <sheetName val="SH18-22"/>
      <sheetName val="SH-23"/>
      <sheetName val="cons"/>
      <sheetName val="adjustment"/>
      <sheetName val="Back up working"/>
      <sheetName val="SH18-21"/>
      <sheetName val="SH-22"/>
      <sheetName val="ENTERIES"/>
      <sheetName val="STANDALONE (2)"/>
      <sheetName val="review2audit"/>
      <sheetName val="SH-7"/>
      <sheetName val="SH-22-23"/>
      <sheetName val="STANDALONE (3)"/>
      <sheetName val="Standalone_BS"/>
      <sheetName val="STANDALONE (4)"/>
      <sheetName val="Lead_sheet"/>
      <sheetName val="PL_Group"/>
      <sheetName val="P&amp;L_31"/>
      <sheetName val="L&amp;A (2)"/>
      <sheetName val="BS_31"/>
      <sheetName val="Deffered_Tax"/>
      <sheetName val="Const-ggn"/>
      <sheetName val="Non-Const-GGN"/>
      <sheetName val="Saket"/>
      <sheetName val="Club-V"/>
      <sheetName val="Dwarka"/>
      <sheetName val="Mumbai_Branch"/>
      <sheetName val="Marine_drive"/>
      <sheetName val="Bangalore_Branch"/>
      <sheetName val="L&amp;a"/>
      <sheetName val="INTERUNIT"/>
      <sheetName val="Lucknow_Branch"/>
      <sheetName val="Interest_reco"/>
      <sheetName val="LY REGROUP"/>
      <sheetName val="bs_Group"/>
      <sheetName val="Conference"/>
      <sheetName val="guidance"/>
      <sheetName val="Detailed-DCF"/>
      <sheetName val="Daily"/>
      <sheetName val="Rupee-P&amp;L"/>
      <sheetName val="Bill-rates"/>
      <sheetName val="Billrt-margin"/>
      <sheetName val="DCF (2)"/>
      <sheetName val="Sales(%)"/>
      <sheetName val="Sales(Rsm)"/>
      <sheetName val="SalesIncr(%)"/>
      <sheetName val="EVA"/>
      <sheetName val="Qtrly"/>
      <sheetName val="HY-Analysis"/>
      <sheetName val="Questions"/>
      <sheetName val="TMT"/>
      <sheetName val="S-w exports"/>
      <sheetName val="Employees"/>
      <sheetName val="Customers"/>
      <sheetName val="Profits"/>
      <sheetName val="Comm Final"/>
      <sheetName val="Maint final"/>
      <sheetName val="Maint"/>
      <sheetName val="Trial_SEZ FB_31.03.10"/>
      <sheetName val="Cyber SEZ Profit (80IAB)"/>
      <sheetName val="A302101-000-017"/>
      <sheetName val="P&amp;L variance"/>
      <sheetName val="Galaxy"/>
      <sheetName val="rent prov"/>
      <sheetName val="comm prov"/>
      <sheetName val="TDS recoverable"/>
      <sheetName val="Current Liab"/>
      <sheetName val="Loan &amp; Advances"/>
      <sheetName val="stock reco"/>
      <sheetName val="Advance Tax"/>
      <sheetName val="Income Tax"/>
      <sheetName val="maintenance income"/>
      <sheetName val="misc income"/>
      <sheetName val="Advance Ageing"/>
      <sheetName val="adjust"/>
      <sheetName val="Creditor Ageing"/>
      <sheetName val="reqt"/>
      <sheetName val="unsec Loan"/>
      <sheetName val="FDR"/>
      <sheetName val="corp bank"/>
      <sheetName val="Bank book"/>
      <sheetName val="SDR"/>
      <sheetName val="Security Deposit"/>
      <sheetName val="maint deb"/>
      <sheetName val="rent deb"/>
      <sheetName val="Operating Statistics"/>
      <sheetName val="Financials"/>
      <sheetName val="Financials(O)"/>
      <sheetName val="70% stake"/>
      <sheetName val="Tax Calculation"/>
      <sheetName val="Labour_Cess_Bill"/>
      <sheetName val="Work done Value"/>
      <sheetName val="QUANTITY CALCULATION FULLY UNIT"/>
      <sheetName val="ACP CLADDING"/>
      <sheetName val="spider glazing"/>
      <sheetName val="challan summary"/>
      <sheetName val="Interest-others"/>
      <sheetName val="Covera 2011-12"/>
      <sheetName val="FIRE SI 2009-10"/>
      <sheetName val="DT CINEMAS &amp; FC"/>
      <sheetName val="DUL"/>
      <sheetName val="GOLF CLUB"/>
      <sheetName val="SHOPPING COMPLEX"/>
      <sheetName val="SHOPPING MALL"/>
      <sheetName val="HOME"/>
      <sheetName val="WATER TANKS"/>
      <sheetName val="FLOP+ Other Add On"/>
      <sheetName val="Missl"/>
      <sheetName val="Fire SI 2011-12"/>
      <sheetName val="DT Cinemas &amp; Food Court"/>
      <sheetName val="sold malls stock"/>
      <sheetName val="dsl emporio"/>
      <sheetName val="dsl courtyard"/>
      <sheetName val="dsl promenade"/>
      <sheetName val="dsl chandigarh mall"/>
      <sheetName val="leased mall asset(mall own co)"/>
      <sheetName val="FAR Malls DSL"/>
      <sheetName val="BKS"/>
      <sheetName val="SN"/>
      <sheetName val="city court sikander pur"/>
      <sheetName val="Gateway Tower"/>
      <sheetName val="Infinity"/>
      <sheetName val="B-8"/>
      <sheetName val="B-5"/>
      <sheetName val="B-10"/>
      <sheetName val="F-Block"/>
      <sheetName val="Saket Mall"/>
      <sheetName val="V.K.Mall"/>
      <sheetName val="Chennai-Final"/>
      <sheetName val="Sap Trl as at 300606 (2)"/>
      <sheetName val="C2 - CAJEs"/>
      <sheetName val=" WIP AS ON March '12"/>
      <sheetName val="Cost for Allocation of DO"/>
      <sheetName val="TB &amp; Detail of Provision"/>
      <sheetName val="Lead Sheet"/>
      <sheetName val="Gross Summary"/>
      <sheetName val="Rotation"/>
      <sheetName val="adeli"/>
      <sheetName val="DHRL_OLD"/>
      <sheetName val="DHRL"/>
      <sheetName val="DHHL"/>
      <sheetName val="anabel"/>
      <sheetName val="Group Com"/>
      <sheetName val="Other Com"/>
      <sheetName val="Paean"/>
      <sheetName val="Domus RE"/>
      <sheetName val="Good"/>
      <sheetName val="HAMILTON"/>
      <sheetName val="Seemless"/>
      <sheetName val="Y.G.Realty CCD II"/>
      <sheetName val="Akriti"/>
      <sheetName val="Laverene"/>
      <sheetName val="Flora"/>
      <sheetName val="Mufallah"/>
      <sheetName val="Sangam"/>
      <sheetName val="City Gold Investment"/>
      <sheetName val="Isabel"/>
      <sheetName val="Marala"/>
      <sheetName val="marala_OLD"/>
      <sheetName val="muafa"/>
      <sheetName val="Profit n loss varience"/>
      <sheetName val="Revenue "/>
      <sheetName val="Personnel cost"/>
      <sheetName val="Expenditure-1"/>
      <sheetName val="Income- (2)"/>
      <sheetName val="Pl items"/>
      <sheetName val="Group Summary"/>
      <sheetName val="Top-sheet "/>
      <sheetName val="con-99"/>
      <sheetName val="P&amp;L-6"/>
      <sheetName val="pldt"/>
      <sheetName val="consolidations AFTER FINAL TRIA"/>
      <sheetName val="CON2001"/>
      <sheetName val="BS ( Revised)"/>
      <sheetName val="PL ( revised)"/>
      <sheetName val="Note 2"/>
      <sheetName val="Note 3"/>
      <sheetName val="Note 4"/>
      <sheetName val="Note 8-11"/>
      <sheetName val="Note 5"/>
      <sheetName val="Note 12-13"/>
      <sheetName val="Note 14"/>
      <sheetName val="Note 17"/>
      <sheetName val="Note 18"/>
      <sheetName val="Note 19"/>
      <sheetName val="Note 20"/>
      <sheetName val="Note 21-22"/>
      <sheetName val="Note 15-16"/>
      <sheetName val="Note 23-24"/>
      <sheetName val="Note 25-26"/>
      <sheetName val="NOTE 27-29"/>
      <sheetName val="P&amp;L_29"/>
      <sheetName val="P&amp;L_17"/>
      <sheetName val="P&amp;L_30"/>
      <sheetName val="BS_29"/>
      <sheetName val="BS_17"/>
      <sheetName val="Sch_MiscIncome_MiscExpenses"/>
      <sheetName val="BS_30"/>
      <sheetName val="Tax_computation"/>
      <sheetName val="DLF Infra Hol"/>
      <sheetName val="delanco home &amp; resort"/>
      <sheetName val="DLF Southern"/>
      <sheetName val="bhamini"/>
      <sheetName val="BABETTE"/>
      <sheetName val="aINSTEY"/>
      <sheetName val="Cayenne"/>
      <sheetName val="Calista"/>
      <sheetName val="Cachet"/>
      <sheetName val="Dabria"/>
      <sheetName val="Delta"/>
      <sheetName val="Candace"/>
      <sheetName val="Calvine"/>
      <sheetName val="Galvin"/>
      <sheetName val="Melosa"/>
      <sheetName val="Mariposa"/>
      <sheetName val="Lenore"/>
      <sheetName val="Nerina"/>
      <sheetName val="First"/>
      <sheetName val="Shinanee"/>
      <sheetName val="Royalton"/>
      <sheetName val="Rochelle"/>
      <sheetName val="Vilina"/>
      <sheetName val="Vinanti"/>
      <sheetName val="padvamasa"/>
      <sheetName val="Naja"/>
      <sheetName val="Tusti"/>
      <sheetName val="Rosalind"/>
      <sheetName val="Ernesta"/>
      <sheetName val="Adeline"/>
      <sheetName val="Belden"/>
      <sheetName val="Domus"/>
      <sheetName val="Akiva"/>
      <sheetName val="Best"/>
      <sheetName val="Betha"/>
      <sheetName val="Beyonce"/>
      <sheetName val="Cadence"/>
      <sheetName val="Devdutta"/>
      <sheetName val="Devak"/>
      <sheetName val="Karida"/>
      <sheetName val="Lgnacio"/>
      <sheetName val="Subodhini"/>
      <sheetName val="Tamonash"/>
      <sheetName val="Tamish"/>
      <sheetName val="Vamil"/>
      <sheetName val="Zareb"/>
      <sheetName val="Eskana"/>
      <sheetName val="Elvira"/>
      <sheetName val="Delanco Real Estate"/>
      <sheetName val="Samali"/>
      <sheetName val="DLF Infra"/>
      <sheetName val="AKRUTI"/>
      <sheetName val="Bes Buildcon"/>
      <sheetName val="Catriona"/>
      <sheetName val="DLF Homes"/>
      <sheetName val="Durgapur"/>
      <sheetName val="Del Realtors"/>
      <sheetName val="Delta Buildcon"/>
      <sheetName val="Var Infratech"/>
      <sheetName val="DLF Homes Pune"/>
      <sheetName val="Rajapura"/>
      <sheetName val="DLF Southern Town-CCD"/>
      <sheetName val="Homes Rajapura -interest accrue"/>
      <sheetName val="Rajapur_CCD"/>
      <sheetName val="Rajapura ICD"/>
      <sheetName val="southern town"/>
      <sheetName val=" southern townCCD"/>
      <sheetName val="DLF Garden"/>
      <sheetName val="Indiabulls"/>
      <sheetName val="Kanan"/>
      <sheetName val="Mariana"/>
      <sheetName val="Saravati"/>
      <sheetName val="Nellis"/>
      <sheetName val="DLF Homes Panch"/>
      <sheetName val="DLF Homes Panch_CCD"/>
      <sheetName val="DLF Garden_CCD"/>
      <sheetName val="DLF Homes Ambala"/>
      <sheetName val="DLF Sez"/>
      <sheetName val="DLF Homes Services"/>
      <sheetName val="Mens"/>
      <sheetName val="Mhaya"/>
      <sheetName val="Nambi"/>
      <sheetName val="Rati"/>
      <sheetName val="Premium home"/>
      <sheetName val="Arash"/>
      <sheetName val="Janya"/>
      <sheetName val="G.K.Resi"/>
      <sheetName val="Chaitra"/>
      <sheetName val="Pune"/>
      <sheetName val="Zoria Infratech "/>
      <sheetName val="DLF Commercial Complexes"/>
      <sheetName val="Alvita"/>
      <sheetName val="Star alubuild"/>
      <sheetName val="DLF SEZ Holdings Ltd"/>
      <sheetName val="Urvashi Infratech Pvt Ltd"/>
      <sheetName val="DHRL_OLD Working"/>
      <sheetName val="Marala_OLD Working"/>
      <sheetName val="muafa (2)"/>
      <sheetName val="muafa (3)"/>
      <sheetName val="tb dec"/>
      <sheetName val="system Tb"/>
      <sheetName val="TRL"/>
      <sheetName val="CFS"/>
      <sheetName val="taxpaid"/>
      <sheetName val="int loan"/>
      <sheetName val="int fdd"/>
      <sheetName val="PART-IV"/>
      <sheetName val="ridgewood"/>
      <sheetName val="xxxx"/>
      <sheetName val="P&amp;L  sep 09"/>
      <sheetName val="BS schedules"/>
      <sheetName val="Sch 4 Fixed Assets"/>
      <sheetName val="PL schedules"/>
      <sheetName val="Trial"/>
      <sheetName val="Depriciation"/>
      <sheetName val="CCD Interest"/>
      <sheetName val="ICD Interest"/>
      <sheetName val="Lead Inventory"/>
      <sheetName val="Prov Apr-Jun"/>
      <sheetName val="TB 06-07"/>
      <sheetName val="TB05-06"/>
      <sheetName val="Star Tower-Silokhera"/>
      <sheetName val="Galleria-mayur vihar"/>
      <sheetName val="5(a)"/>
      <sheetName val="PARTY DETAILS"/>
      <sheetName val="corporate green"/>
      <sheetName val="Interest 30.11.06"/>
      <sheetName val="Cashflow for int"/>
      <sheetName val="CosntCostdata"/>
      <sheetName val="Const cost"/>
      <sheetName val="Rental PAT"/>
      <sheetName val="BU_Quarterly (3)"/>
      <sheetName val="Detailed-FY 08-09 (2)"/>
      <sheetName val="Qwisepatfinal"/>
      <sheetName val="Qwisepatfinal Scen2"/>
      <sheetName val="fitout margin"/>
      <sheetName val="FrontsheetNew"/>
      <sheetName val="Final Cashflow"/>
      <sheetName val="Qwisecashflow"/>
      <sheetName val="Inputsheet"/>
      <sheetName val="Inputsheet qwise"/>
      <sheetName val="7.5%"/>
      <sheetName val="Corporate Debts"/>
      <sheetName val="Land Repfund"/>
      <sheetName val="Clearing house"/>
      <sheetName val="Land Payables"/>
      <sheetName val="LRD"/>
      <sheetName val="LRD Computation"/>
      <sheetName val="Debtpaymentschedule"/>
      <sheetName val="Sale rate"/>
      <sheetName val="Sale data"/>
      <sheetName val="Construction data"/>
      <sheetName val="Con schedule"/>
      <sheetName val="Sales value"/>
      <sheetName val="Phasedates"/>
      <sheetName val="Existing buildings"/>
      <sheetName val="Other incomes"/>
      <sheetName val="Other incomes12onwards"/>
      <sheetName val="GL-ACCOUNT CODE MAPPING - 8FEB"/>
      <sheetName val="RAMCO COA 8-FEB-2008"/>
      <sheetName val="GL-SL-ACC CODE MAPPING 8FEB"/>
      <sheetName val="07-08"/>
      <sheetName val="Q1 08-09"/>
      <sheetName val="blank ..."/>
      <sheetName val="worksheet for reference"/>
      <sheetName val="Review Form A"/>
      <sheetName val="Labour Chart"/>
      <sheetName val="Subcon - JAN 05"/>
      <sheetName val="Notes - Plant"/>
      <sheetName val="RVs"/>
      <sheetName val="Notes - Accruals"/>
      <sheetName val="Notes - Formwork"/>
      <sheetName val="Notes - Concrete"/>
      <sheetName val="Notes - Reinforcement"/>
      <sheetName val="Notes - Building Fabric"/>
      <sheetName val="Notes - Sundries"/>
      <sheetName val="SCH 1-5"/>
      <sheetName val="SCH  6-7"/>
      <sheetName val="Trial 31.03.10"/>
      <sheetName val="Lease rent details "/>
      <sheetName val="Related Party New Format"/>
      <sheetName val="Bank Reco"/>
      <sheetName val="Investment"/>
      <sheetName val="I.TAX"/>
      <sheetName val="invest"/>
      <sheetName val="PARTIV"/>
      <sheetName val="PROJECT-EXP"/>
      <sheetName val="Intt &amp; TDS"/>
      <sheetName val="PIE-DETAILS"/>
      <sheetName val="CONTINGENT LIAB"/>
      <sheetName val="ANNEXURE TO NOTES TO ACCOUNTS"/>
      <sheetName val="CASH FLOW 2006"/>
      <sheetName val="delanco"/>
      <sheetName val="carmen"/>
      <sheetName val="Cachet "/>
      <sheetName val="DLF  Hotels and resorts"/>
      <sheetName val="Dabaria"/>
      <sheetName val="Deltaland real "/>
      <sheetName val="Marala "/>
      <sheetName val="Lenore "/>
      <sheetName val="First City"/>
      <sheetName val="Paen  Estate"/>
      <sheetName val="Delanco Home"/>
      <sheetName val="Vilina Estate Developers"/>
      <sheetName val="Tusti "/>
      <sheetName val="SKN "/>
      <sheetName val="Loans under the same management"/>
      <sheetName val="Loans to Subsidairy Companies "/>
      <sheetName val="Sale"/>
      <sheetName val="PACS"/>
      <sheetName val="Fur_Fixt"/>
      <sheetName val="Off_Eqp"/>
      <sheetName val="Vehicles"/>
      <sheetName val="Lease B9_dep"/>
      <sheetName val="&lt;5000"/>
      <sheetName val="TB-PL"/>
      <sheetName val="PL Gropuings"/>
      <sheetName val="P&amp;L &amp; Sch. 9-13"/>
      <sheetName val="TB-BS"/>
      <sheetName val="BS Groupings"/>
      <sheetName val="BS Schedule 1-4"/>
      <sheetName val="BS Sch. 5"/>
      <sheetName val="BS Schedule 6-8"/>
      <sheetName val="Gen. Business Profile"/>
      <sheetName val="AG00059"/>
      <sheetName val="AG00060"/>
      <sheetName val="AG00061"/>
      <sheetName val="AG00062"/>
      <sheetName val="AG00063"/>
      <sheetName val="AG00064"/>
      <sheetName val="AG00065"/>
      <sheetName val="Index (CFC)"/>
      <sheetName val="Index (NC)"/>
      <sheetName val="Index (USEC)"/>
      <sheetName val="Ownership Changes"/>
      <sheetName val="Disclosure Data"/>
      <sheetName val="Boycott Questionaire"/>
      <sheetName val="Sales &amp; Transfers"/>
      <sheetName val="Sales &amp; Transfers (USEC)"/>
      <sheetName val="Monthly Data (USEC)"/>
      <sheetName val="Equity Earnings &amp; Investments"/>
      <sheetName val="Other Income"/>
      <sheetName val="Dividends Received &amp; Paid"/>
      <sheetName val="Exchange Gain &amp; Loss"/>
      <sheetName val="Intercompany Transactions"/>
      <sheetName val="Intercompany Tran. (USEC)"/>
      <sheetName val="Interco (USEC) by Month"/>
      <sheetName val="Current Year Income Taxes"/>
      <sheetName val="Changes to Prior Year Taxes"/>
      <sheetName val="U.S. Source Income"/>
      <sheetName val="Other E&amp;P Adj. (USEC)"/>
      <sheetName val="JV"/>
      <sheetName val="Ramco Data TB dump"/>
      <sheetName val="Ramco TB dump"/>
      <sheetName val="Trial-Balance"/>
      <sheetName val="B S "/>
      <sheetName val="Sch 1-3"/>
      <sheetName val="Sch-4-15"/>
      <sheetName val="Commercial TB"/>
      <sheetName val="CWIP"/>
      <sheetName val="Schedule of Balance Sheet"/>
      <sheetName val="Annexure of balance sheet"/>
      <sheetName val="Working Cap Commit."/>
      <sheetName val="BS- TRIAL BALANCE"/>
      <sheetName val="Reconciliation_Consol"/>
      <sheetName val="Reco  Books vs ITR vs 26 as"/>
      <sheetName val="LEDGER"/>
      <sheetName val="CLIENT WISE AS PER BOOKS"/>
      <sheetName val="Download_TDS_Ledgers"/>
      <sheetName val="PIVOT 26AS "/>
      <sheetName val="PIVOT 26AS WORKING"/>
      <sheetName val="26AS"/>
      <sheetName val="MPHASIS"/>
      <sheetName val="31.03.08 (2)"/>
      <sheetName val="Provision Tab_2"/>
      <sheetName val="A105001"/>
      <sheetName val="A105602"/>
      <sheetName val="31.03.07"/>
      <sheetName val="31.03.08"/>
      <sheetName val="31.03.08 (4)"/>
      <sheetName val="31.03.08 (3)"/>
      <sheetName val="A904001"/>
      <sheetName val="A302404-31.3.8"/>
      <sheetName val="A302404-000-000"/>
      <sheetName val="A105101"/>
      <sheetName val="POCM 08-09-Q4 Actual"/>
      <sheetName val="Actual Spent"/>
      <sheetName val="POCM 08-09-Q4"/>
      <sheetName val="POCM 08-09-Q2"/>
      <sheetName val="TURN OVER"/>
      <sheetName val="POCM W Block"/>
      <sheetName val="POCM Chennai"/>
      <sheetName val="POCM Hyderabad"/>
      <sheetName val="status (3)"/>
      <sheetName val="appendix 2.2 variances"/>
      <sheetName val="appendix 2.8 provisions"/>
      <sheetName val="Plant maint"/>
      <sheetName val="Alimak"/>
      <sheetName val="S22 PRW"/>
      <sheetName val="Bac-Sum"/>
      <sheetName val="Summary of amend"/>
      <sheetName val="D.Wall Rate"/>
      <sheetName val="Sheetpile-HCC&amp; RH (Tender) "/>
      <sheetName val="Sheetpile-HCC&amp; RH (Market)"/>
      <sheetName val="Comparative Statement (Tender)"/>
      <sheetName val="Comparative Statement (market)"/>
      <sheetName val="Manpower detail"/>
      <sheetName val="DWall BOQ (Monthwise)"/>
      <sheetName val="SP BOQ (Market)"/>
      <sheetName val="ESCALATION for DW"/>
      <sheetName val="S3workplanqty R"/>
      <sheetName val="S3workplanamt R"/>
      <sheetName val="S3workplanqty E"/>
      <sheetName val="S3workplanamt E"/>
      <sheetName val="Refurbishment Outside"/>
      <sheetName val="S44 Depreciation"/>
      <sheetName val="S45 Refurbishment"/>
      <sheetName val=" BOQ - comparison"/>
      <sheetName val="RE䁖ENUE"/>
      <sheetName val="Ex⁰-detail졳"/>
      <sheetName val="BOቑ  lot Iᙖ B"/>
      <sheetName val="All RA's L䁏T A"/>
      <sheetName val=" (၁nnexure䈠1)"/>
      <sheetName val="UG䄠Exv 3.1"/>
      <sheetName val="Wiꡲemesh 4ꄮ7.2"/>
      <sheetName val="S0̠Keydateͳ"/>
      <sheetName val="S4 CycleTi葭e"/>
      <sheetName val="Wo恲king-shꡥet"/>
      <sheetName val="Wo恲k Programm"/>
      <sheetName val="MI腓 (VI)"/>
      <sheetName val="ApⱰroach"/>
      <sheetName val="S0-KEYDATE㕓"/>
      <sheetName val="Pi色 VA (2)"/>
      <sheetName val="MIこ MODULE III"/>
      <sheetName val="MI॓ MODULE†IV"/>
      <sheetName val="MI䙓 MODULE䌠VI"/>
      <sheetName val="MIS MODULE갠VII"/>
      <sheetName val="MI MODULEଠX"/>
      <sheetName val="An䁡l.Profit"/>
      <sheetName val="Caalog Suꡭm"/>
      <sheetName val="FU⑎D INDENє"/>
      <sheetName val="MI酓 MOD-II"/>
      <sheetName val="BA啓IC RATE酓"/>
      <sheetName val="Budget Notť"/>
      <sheetName val="CSꁒ expens腥s"/>
      <sheetName val="S4䁴imecycle "/>
      <sheetName val="S5쁥scalati⁯n "/>
      <sheetName val="??-BLDG"/>
      <sheetName val="[RecoveredExternalLink1]B_____4"/>
      <sheetName val="[RecoveredExternalLink1]B_____5"/>
      <sheetName val="PRW"/>
      <sheetName val="PC Master List"/>
      <sheetName val="Deduction Summary F"/>
      <sheetName val="Deduction Summary "/>
      <sheetName val="P.O.Annex Deduction"/>
      <sheetName val="Misc Cash Exp Deduction "/>
      <sheetName val="Salary Deduction "/>
      <sheetName val="W.O. Annex Deduction "/>
      <sheetName val="Plant Hire Deduction"/>
      <sheetName val="Welfare"/>
      <sheetName val="Index 1"/>
      <sheetName val="Trial May 2010"/>
      <sheetName val="Trial May 2010 1"/>
      <sheetName val="Recon for DLF"/>
      <sheetName val="Recon for DLF 1"/>
      <sheetName val="DLF Top Sheet"/>
      <sheetName val="DLF Top Sheet 1"/>
      <sheetName val="Abstract_IT  DLF"/>
      <sheetName val="Abstract_IT  DLF 1"/>
      <sheetName val="Revised service Tax-7"/>
      <sheetName val="Revised service Tax-7 1"/>
      <sheetName val="Purchase Order Annexure 1"/>
      <sheetName val="Purchase Order Annexure 2 1"/>
      <sheetName val="StockStatusAsOnDate.rpt 1"/>
      <sheetName val="Vat Output-10  (2)"/>
      <sheetName val="Vat Output-10  (2) 1"/>
      <sheetName val="Work Order Annexure 2"/>
      <sheetName val=" Staff Cost-3"/>
      <sheetName val="Misc Cash Exp. Ann-4"/>
      <sheetName val="Welfare Fac ANN-5"/>
      <sheetName val="Free Issue Mat Annexure-6"/>
      <sheetName val="Markup sheet Annexure(8)"/>
      <sheetName val="Plant Hire-Annex-11"/>
      <sheetName val="Shuttering-Annex-12(WDV)"/>
      <sheetName val="star"/>
      <sheetName val="Cost Head"/>
      <sheetName val="RMC Annexure 9"/>
      <sheetName val="SBM BOQ "/>
      <sheetName val="SBM BOQ  (2)"/>
      <sheetName val="CVF SHEET"/>
      <sheetName val="Permanent Materials"/>
      <sheetName val="Dom SCs"/>
      <sheetName val="Temporary Materials"/>
      <sheetName val="nv besix sa"/>
      <sheetName val="Prov Sums"/>
      <sheetName val="Revised Contract Sum"/>
      <sheetName val="Revised Contract Sum (2)"/>
      <sheetName val="Local Accruals"/>
      <sheetName val="JIL Accruals"/>
      <sheetName val="MOEF Deviation"/>
      <sheetName val="Top-sheet 09.09.09"/>
      <sheetName val="Service tax (red)"/>
      <sheetName val="Reasons wrt SECTOR 90 STR."/>
      <sheetName val="structure boq "/>
      <sheetName val="DSR Chennai Dec 08"/>
      <sheetName val="BASIS -DEC 08"/>
      <sheetName val="WORKDONE TILL 06-07-2009"/>
      <sheetName val="SHORT ANALYSIS"/>
      <sheetName val="PRW-DEC 08 "/>
      <sheetName val="Wastage"/>
      <sheetName val="Total Recd qty &amp; Value 31072009"/>
      <sheetName val="Meas Tower A"/>
      <sheetName val="Meas Tower&quot;B&quot;"/>
      <sheetName val="Meas Tower &quot;C&quot;"/>
      <sheetName val="Meas tower D"/>
      <sheetName val="finishing SUMMARY red"/>
      <sheetName val="FinDSR JAN'09"/>
      <sheetName val="FinRate Analysis"/>
      <sheetName val="FinMaterial analysis"/>
      <sheetName val="FinPRW analysis"/>
      <sheetName val="plumbing &amp; fire"/>
      <sheetName val="plumbing &amp; fire (red)"/>
      <sheetName val="SERVICES "/>
      <sheetName val="SERVICES  (RED)"/>
      <sheetName val="OMR consultanCy"/>
      <sheetName val="budget analysis_tender "/>
      <sheetName val="budget analysis"/>
      <sheetName val="Refs"/>
      <sheetName val="boq_b2b_tender"/>
      <sheetName val="boq_b2b"/>
      <sheetName val="labour camp"/>
      <sheetName val="structure_split"/>
      <sheetName val="REVIEW"/>
      <sheetName val="Staff Forecast spread"/>
      <sheetName val="Labour Rates Used"/>
      <sheetName val="Subcontractors"/>
      <sheetName val="Sub Contract Liab Form"/>
      <sheetName val="Risk Analysis ISC"/>
      <sheetName val="Cash Flow Chart_ISC"/>
      <sheetName val="Risk Analysis SC"/>
      <sheetName val="Cash Flow Input Data_SC"/>
      <sheetName val="Cash Flow Chart_SC"/>
      <sheetName val="OS_PG"/>
      <sheetName val="Top-sheet vytilla"/>
      <sheetName val="STR-TYPE-1-2"/>
      <sheetName val="M+L"/>
      <sheetName val="Structure BOQ VYTILLA 090709 r3"/>
      <sheetName val="PRW-JAN,09 "/>
      <sheetName val="BASIS -Jan, 09"/>
      <sheetName val="DSR 09 "/>
      <sheetName val="Structure BOQ VYTILLA (2)"/>
      <sheetName val="Structure BOQ VYTILLA"/>
      <sheetName val="SHUTTERING matt wthout taxes"/>
      <sheetName val="BOQ pro consul"/>
      <sheetName val="Material reconc"/>
      <sheetName val="Piling cumu bill"/>
      <sheetName val="PILING (rev) (2)"/>
      <sheetName val="PILING (rev)"/>
      <sheetName val="Finishing Dec'08"/>
      <sheetName val="FINISHING BOQ"/>
      <sheetName val="Block  &quot;A&quot;"/>
      <sheetName val="Block  &quot;B&quot;"/>
      <sheetName val="Block  &quot;C&quot;"/>
      <sheetName val="Block  &quot;D&quot;"/>
      <sheetName val="Block  &quot;E&quot;"/>
      <sheetName val="Vytilla FIN BOQ"/>
      <sheetName val="Vityla P&amp; ff "/>
      <sheetName val="BoQ_DLF (2)"/>
      <sheetName val="BoQ_DLF"/>
      <sheetName val="Cost-Sqft"/>
      <sheetName val="P&amp;E Dep"/>
      <sheetName val="HSE"/>
      <sheetName val="Lab Equp"/>
      <sheetName val="Travel"/>
      <sheetName val="Site office &amp; Infra"/>
      <sheetName val="Preisblatt Lot B"/>
      <sheetName val="Inner Parts stock"/>
      <sheetName val="Business plan "/>
      <sheetName val="Matsum"/>
      <sheetName val="Act.Exp"/>
      <sheetName val="OH WITH EVM"/>
      <sheetName val="CC with EVM"/>
      <sheetName val="Top &amp; remarks"/>
      <sheetName val="Matsum "/>
      <sheetName val="April'11 Target Vs actual"/>
      <sheetName val="EV perform"/>
      <sheetName val="EVM graph"/>
      <sheetName val="EVM Table"/>
      <sheetName val="Apportion amt"/>
      <sheetName val="cji3 upto Nov'10"/>
      <sheetName val="cji3 only Nov'10"/>
      <sheetName val="Cum. Measurement Sheet"/>
      <sheetName val="Summary P-I"/>
      <sheetName val="Bill Abstract "/>
      <sheetName val="Payment Certificate - Sattva"/>
      <sheetName val="TAX INVOICE-RA-20 (FOR SATTVA)"/>
      <sheetName val="Detail of Tax - RA-20"/>
      <sheetName val="S.TAX-STEEL"/>
      <sheetName val="S.TAX-4.12 -4.944"/>
      <sheetName val="BRPL-BILL PAYMENT"/>
      <sheetName val="20TH RA-ABSTRACT-AMOUNT"/>
      <sheetName val="20TH RA-ABSTRACT"/>
      <sheetName val="20TH RA-ABSTRACT- TOWER T2"/>
      <sheetName val="20TH RA-ABSTRACT- PODIUM "/>
      <sheetName val="20TH RA-ABSTRACT- TOWER T1"/>
      <sheetName val="ESCALATION-ABSTRACT"/>
      <sheetName val="ESCALATION-TOWER-T2"/>
      <sheetName val="ESCALATION-POD"/>
      <sheetName val="ESCALATION-TOWER-1"/>
      <sheetName val="ELECTRICAL- (T1 TO T3)"/>
      <sheetName val="ELECTRICAL- (T4 &amp; T4)"/>
      <sheetName val="PHE-(T1 TO T3)"/>
      <sheetName val="PHE-(T4 &amp; T5)"/>
      <sheetName val="FIRE- (T1 TO T3)"/>
      <sheetName val="FIRE- (T4 &amp; T5)"/>
      <sheetName val="Graph Cumulative"/>
      <sheetName val="MIS"/>
      <sheetName val="TBCRSsdpl"/>
      <sheetName val="TB9798OBPL03"/>
      <sheetName val="TBCRSobpl"/>
      <sheetName val="TB9798OBPL06 (2)"/>
      <sheetName val="TBL9798SDPL03"/>
      <sheetName val="CORPN OCT"/>
      <sheetName val="inout consol-nov"/>
      <sheetName val="inout consol (2)"/>
      <sheetName val="AS ON DT EXPS Mar"/>
      <sheetName val="fa-pl &amp; mach-site"/>
      <sheetName val="fa-veh"/>
      <sheetName val="fa_comp"/>
      <sheetName val="fa_off eqp"/>
      <sheetName val="fa_fur&amp; fix"/>
      <sheetName val="fa-pl &amp; mach-Off"/>
      <sheetName val="B_Equity-sdpl INC"/>
      <sheetName val="inout consol wkg"/>
      <sheetName val="inout consol WKNG"/>
      <sheetName val="B_Sheet 97"/>
      <sheetName val="P&amp;L 97 "/>
      <sheetName val="B_Sheet 97-BEXP"/>
      <sheetName val="P&amp;L 97 -BEXP"/>
      <sheetName val="consol flows"/>
      <sheetName val="A_EQUITY-OBPL"/>
      <sheetName val="G-1_sdpl_work"/>
      <sheetName val="G_1_obpl_Work"/>
      <sheetName val="sdpl_oth Liab"/>
      <sheetName val="obpl-oth liab"/>
      <sheetName val="G-1"/>
      <sheetName val="G_land advance"/>
      <sheetName val="I-Wip-ot (2)"/>
      <sheetName val="I-Wip-ot"/>
      <sheetName val="detail WIP (2)"/>
      <sheetName val="detail G-1"/>
      <sheetName val="TBCRS"/>
      <sheetName val="sobha menon ac"/>
      <sheetName val="pnc ac"/>
      <sheetName val="FIXREG-VEH"/>
      <sheetName val="FIXREG-P&amp;M-SITE"/>
      <sheetName val="fix -p &amp; M -SCC"/>
      <sheetName val="C_fix asst"/>
      <sheetName val="D fix asst scdl "/>
      <sheetName val="creditors tb obpl"/>
      <sheetName val="TBAL9697 -group wise "/>
      <sheetName val="salestax9697-AR"/>
      <sheetName val="crs -G-1"/>
      <sheetName val="TBAL9697 -group wise  onpl"/>
      <sheetName val="B_Sheet 97-OBPL"/>
      <sheetName val="B_Sheet 97 sdpl"/>
      <sheetName val="TBAL9697 -group wise  sdpl2"/>
      <sheetName val="inout consol jan"/>
      <sheetName val="consol flow"/>
      <sheetName val="D_Loan  Prom"/>
      <sheetName val="E_Bank Loan"/>
      <sheetName val="F_Adv-Client"/>
      <sheetName val="G_work Cap"/>
      <sheetName val="H_land adv-dec"/>
      <sheetName val="J_Con WIP"/>
      <sheetName val="detail J"/>
      <sheetName val="L_Oth Co"/>
      <sheetName val="K_fix asst  "/>
      <sheetName val="fixass-scc-obpl"/>
      <sheetName val="C_fix asst-SDPL "/>
      <sheetName val="inout consol okg"/>
      <sheetName val="detail OIP (2)"/>
      <sheetName val="FIXRE_-P&amp;M-SITE"/>
      <sheetName val="D fix ysst scdl "/>
      <sheetName val="G-±"/>
      <sheetName val="FIXREG-P&amp;M-QITE"/>
      <sheetName val="cre`itors tb obpl"/>
      <sheetName val="3AL9697 -group wise  onpl"/>
      <sheetName val="3‰AL9697 -group wise  onpl"/>
      <sheetName val="L_Oth Bo"/>
      <sheetName val="Project-Material "/>
      <sheetName val="TBL9798_x0010_DPL03"/>
      <sheetName val="CORPN O"/>
      <sheetName val="ino4t conso,-nov"/>
      <sheetName val="(nout co,sol (2)"/>
      <sheetName val="Blr hire"/>
      <sheetName val="Sun E Type"/>
      <sheetName val="G_1_obpl_x000b_Wori"/>
      <sheetName val="_x0003_dpl_oth Lia`"/>
      <sheetName val=".bpl,oth lia "/>
      <sheetName val="G_,and adv nce"/>
      <sheetName val="I,Wip-ot  2)"/>
      <sheetName val="I-Rip-Lt"/>
      <sheetName val="det!il WIP (2)"/>
      <sheetName val="de4ail G-1"/>
      <sheetName val="T@CRS"/>
      <sheetName val="sobha mennn ac"/>
      <sheetName val="FIPREG-P&amp;M-SITE"/>
      <sheetName val="C_&amp;ix asst"/>
      <sheetName val="TBAL9697 _x000d_grotp wise "/>
      <sheetName val="G-�"/>
      <sheetName val="3�AL9697 -group wise  onpl"/>
      <sheetName val="G_1_obpl_x005f_x000b_Wori"/>
      <sheetName val="_x005f_x0003_dpl_oth Lia`"/>
      <sheetName val="TBAL9697 _x005f_x000d_grotp wise "/>
      <sheetName val="TB9798OBPL06_(2)"/>
      <sheetName val="CORPN_OCT"/>
      <sheetName val="inout_consol-nov"/>
      <sheetName val="inout_consol_(2)"/>
      <sheetName val="AS_ON_DT_EXPS_Mar"/>
      <sheetName val="fa-pl_&amp;_mach-site"/>
      <sheetName val="fa_off_eqp"/>
      <sheetName val="fa_fur&amp;_fix"/>
      <sheetName val="fa-pl_&amp;_mach-Off"/>
      <sheetName val="B_Equity-sdpl_INC"/>
      <sheetName val="inout_consol_wkg"/>
      <sheetName val="inout_consol_WKNG"/>
      <sheetName val="B_Sheet_97"/>
      <sheetName val="P&amp;L_97_"/>
      <sheetName val="B_Sheet_97-BEXP"/>
      <sheetName val="P&amp;L_97_-BEXP"/>
      <sheetName val="consol_flows"/>
      <sheetName val="sdpl_oth_Liab"/>
      <sheetName val="obpl-oth_liab"/>
      <sheetName val="G_land_advance"/>
      <sheetName val="I-Wip-ot_(2)"/>
      <sheetName val="detail_WIP_(2)"/>
      <sheetName val="detail_G-1"/>
      <sheetName val="sobha_menon_ac"/>
      <sheetName val="pnc_ac"/>
      <sheetName val="fix_-p_&amp;_M_-SCC"/>
      <sheetName val="C_fix_asst"/>
      <sheetName val="D_fix_asst_scdl_"/>
      <sheetName val="creditors_tb_obpl"/>
      <sheetName val="TBAL9697_-group_wise_"/>
      <sheetName val="crs_-G-1"/>
      <sheetName val="TBAL9697_-group_wise__onpl"/>
      <sheetName val="B_Sheet_97-OBPL"/>
      <sheetName val="B_Sheet_97_sdpl"/>
      <sheetName val="inout_consol_jan"/>
      <sheetName val="consol_flow"/>
      <sheetName val="D_Loan__Prom"/>
      <sheetName val="E_Bank_Loan"/>
      <sheetName val="G_work_Cap"/>
      <sheetName val="H_land_adv-dec"/>
      <sheetName val="INTSHEET"/>
      <sheetName val="INTSHEET3"/>
      <sheetName val="Buying Schedule"/>
      <sheetName val="CRF Register"/>
      <sheetName val="SHEET 1"/>
      <sheetName val="Cat A Change Control"/>
      <sheetName val="Sebtion 1 SumMary"/>
      <sheetName val="DLA Standard Cost Report1"/>
      <sheetName val="Bill-AAC_old"/>
      <sheetName val="Deduction of assets"/>
      <sheetName val="sort2"/>
      <sheetName val="1st Slab"/>
      <sheetName val="Scope Reconciliation"/>
      <sheetName val="1st flr"/>
      <sheetName val="SUMRY"/>
      <sheetName val="PrintManager"/>
      <sheetName val="Project Plan - WWW"/>
      <sheetName val="Data-Month"/>
      <sheetName val="Order Info"/>
      <sheetName val="LMP"/>
      <sheetName val="Mar09"/>
      <sheetName val="FITZ MORT 94"/>
      <sheetName val="P&amp;L - AD"/>
      <sheetName val="Capex - Hry"/>
      <sheetName val="Lowside"/>
      <sheetName val="WORK"/>
      <sheetName val="Total Quote"/>
      <sheetName val="PARAMETRES"/>
      <sheetName val="Cement recon."/>
      <sheetName val="_TCS, NAGPUR-MANJIRI C_PROGRESS"/>
      <sheetName val="DLA%20Standard%20Cost%20Report1"/>
      <sheetName val="tower"/>
      <sheetName val="Budget in SAP"/>
      <sheetName val="Factors "/>
      <sheetName val="CLUB HOUSE, STILT FLOOR"/>
      <sheetName val="Club House Stilt Slab (Part 3)"/>
      <sheetName val="POUR-9 Stilt Slab"/>
      <sheetName val="POUR-10 Stilt Slab "/>
      <sheetName val="T-5 &amp; P3 Stilt Slab"/>
      <sheetName val="T5 &amp; P3 SLAB"/>
      <sheetName val="Qty-Opt1"/>
      <sheetName val="Assmpns"/>
      <sheetName val="220 11  BS "/>
      <sheetName val="glass_project_concrete2"/>
      <sheetName val="glass_project_reift2"/>
      <sheetName val="glass_project_indices2"/>
      <sheetName val="BH_12-11-10-131"/>
      <sheetName val="BH_12-11-10-91"/>
      <sheetName val="BH_36-15-371"/>
      <sheetName val="BH_16-35-25-171"/>
      <sheetName val="BH_35-25-171"/>
      <sheetName val="SBC-BH_191"/>
      <sheetName val="Pile_cap"/>
      <sheetName val="d-safe_DELUXE"/>
      <sheetName val="Abstract_Sheet"/>
      <sheetName val="V_O_4_-_PCC_Qty"/>
      <sheetName val="T&amp;M"/>
      <sheetName val="PriceSummary"/>
      <sheetName val="FUNDFLOW"/>
      <sheetName val="Site wise NADs"/>
      <sheetName val="Summary_05061"/>
      <sheetName val="Summary_0607-_31_MAR1"/>
      <sheetName val="REVISED4A_PROG_PERF-SITE_1"/>
      <sheetName val="Load_Details-220kV"/>
      <sheetName val="Rev_S1_Abstract"/>
      <sheetName val="Quantity_Abstract"/>
      <sheetName val="B@_@__$"/>
      <sheetName val="Pipe_Supports"/>
      <sheetName val="B@__@_____$__"/>
      <sheetName val="SANJAY_PAL"/>
      <sheetName val="P_A_SELVAM"/>
      <sheetName val="ANSARI_"/>
      <sheetName val="abdesh_pal"/>
      <sheetName val="sujay_bagchi"/>
      <sheetName val="S_K_SINHA_BASU"/>
      <sheetName val="KRISHNA_PRASAD"/>
      <sheetName val="BARATH_&amp;_CO"/>
      <sheetName val="L_B_YADAV"/>
      <sheetName val="DEEPAK_KUMAR"/>
      <sheetName val="MUKLAL_YADAV"/>
      <sheetName val="MADHU_SUDHAN"/>
      <sheetName val="SAUD_ALAM_"/>
      <sheetName val="RAMESH_BABU"/>
      <sheetName val="SAILEN_SARKAR"/>
      <sheetName val="SANJAY_JENA1"/>
      <sheetName val="upendra_saw_"/>
      <sheetName val="ALLOK_KUMAR_"/>
      <sheetName val="except_wiring"/>
      <sheetName val="Project_Budget_Worksheet"/>
      <sheetName val="BOQ_-II_ph_2"/>
      <sheetName val="RA RCC F"/>
      <sheetName val="B@___x005f_x0004_@_____$__"/>
      <sheetName val="B@__x005f_x005f_x005f_x0000__x005f_x005f_x005f_x0004_@_"/>
      <sheetName val="x-items"/>
      <sheetName val="NPV"/>
      <sheetName val="B@__x005f_x0000__x005f_x0004_@_x005f_x0000___$_x0"/>
      <sheetName val="B@___x005f_x005f_x005f_x0004_@_____$__"/>
      <sheetName val="B@__x005f_x005f_x005f_x005f_x005f_x005f_x005f_x0000__x0"/>
      <sheetName val="B@[_x005f_x0000__x005f_x0004_@_x005f_x0000__x0000"/>
      <sheetName val="[RecoveredExternalLink1]_Reco_4"/>
      <sheetName val="Coefficients"/>
      <sheetName val="IS3370"/>
      <sheetName val="MGS"/>
      <sheetName val="attach(2)"/>
      <sheetName val="1.01-flooring (Aug)"/>
      <sheetName val="1.04(SLT) (aug)"/>
      <sheetName val="1.09-(pop) (aug)"/>
      <sheetName val="  2.02-rise-(prima-aug)"/>
      <sheetName val="2.01-staircase (prima)-aug"/>
      <sheetName val="2.03-rawsilk(aug)"/>
      <sheetName val="2.04-Staircase(aug)rise"/>
      <sheetName val="3.01-Skirting (aug)"/>
      <sheetName val="4.05-dadoing (aug)"/>
      <sheetName val="5.01 Gypsum false ceiling (aug)"/>
      <sheetName val="7.03-Gypsum band (aug)"/>
      <sheetName val="7.07-threshold (aug)"/>
      <sheetName val="7.02-W.Coping(Aug)"/>
      <sheetName val="1.00"/>
      <sheetName val="1.01 soft soil"/>
      <sheetName val="1.01 soft soil (2)"/>
      <sheetName val="1.02 Soft Rock-SR"/>
      <sheetName val="A2-Filling"/>
      <sheetName val="Filling Above NGL"/>
      <sheetName val="1.04 GEC"/>
      <sheetName val="1.05"/>
      <sheetName val="Mass exca"/>
      <sheetName val="Project_review_U1_1of_2"/>
      <sheetName val="Project_review_U1_2_of_2"/>
      <sheetName val="concrete_"/>
      <sheetName val="transportation_cost"/>
      <sheetName val="Road_Works"/>
      <sheetName val="Bitumen_Works"/>
      <sheetName val="Road_Works_(2)"/>
      <sheetName val="Rate_Breakup"/>
      <sheetName val="n_rays_"/>
      <sheetName val="anishk_rates"/>
      <sheetName val="comp_statement"/>
      <sheetName val="BOQ_(3)"/>
      <sheetName val="BOQ_FINAL"/>
      <sheetName val="BOQ__2_"/>
      <sheetName val="WB0203-OLDLOAN"/>
      <sheetName val="Project_review_U1_1of_21"/>
      <sheetName val="Project_review_U1_2_of_21"/>
      <sheetName val="concrete_1"/>
      <sheetName val="transportation_cost1"/>
      <sheetName val="Road_Works1"/>
      <sheetName val="Bitumen_Works1"/>
      <sheetName val="Road_Works_(2)1"/>
      <sheetName val="Rate_Breakup1"/>
      <sheetName val="n_rays_1"/>
      <sheetName val="anishk_rates1"/>
      <sheetName val="comp_statement1"/>
      <sheetName val="BOQ_(3)1"/>
      <sheetName val="BOQ_FINAL1"/>
      <sheetName val="BOQ__2_1"/>
      <sheetName val="Transactions"/>
      <sheetName val="SCHEDULE (9)"/>
      <sheetName val="SCHEDULE (8)"/>
      <sheetName val="SCHEDULE (7)"/>
      <sheetName val="SCHEDULE (6)"/>
      <sheetName val="SCHEDULE (5)"/>
      <sheetName val="SCHEDULE (4)"/>
      <sheetName val="SCHEDULE (2)"/>
      <sheetName val="LT Motor catalog"/>
      <sheetName val="Cable cat"/>
      <sheetName val="PRRM Dashboard"/>
      <sheetName val="Mappings"/>
      <sheetName val="Back"/>
      <sheetName val="Mx1012a"/>
      <sheetName val="ComboSheet"/>
      <sheetName val="IDCCALHYD-GOO"/>
      <sheetName val="glass_project_concrete5"/>
      <sheetName val="glass_project_reift5"/>
      <sheetName val="glass_project_indices5"/>
      <sheetName val="SBC-BH_194"/>
      <sheetName val="Summary_05064"/>
      <sheetName val="Summary_0607-_31_MAR4"/>
      <sheetName val="Pile_cap3"/>
      <sheetName val="V_O_4_-_PCC_Qty3"/>
      <sheetName val="Abstract_Sheet3"/>
      <sheetName val="Legal_Risk_Analysis3"/>
      <sheetName val="BH_12-11-10-134"/>
      <sheetName val="BH_12-11-10-94"/>
      <sheetName val="BH_36-15-374"/>
      <sheetName val="BH_16-35-25-174"/>
      <sheetName val="BH_35-25-174"/>
      <sheetName val="Sheet1_(2)4"/>
      <sheetName val="d-safe_DELUXE3"/>
      <sheetName val="REVISED4A_PROG_PERF-SITE_13"/>
      <sheetName val="Staff_Acco_3"/>
      <sheetName val="Pipe_Supports3"/>
      <sheetName val="M-Book_for_Conc2"/>
      <sheetName val="M-Book_for_FW2"/>
      <sheetName val="CABLE_DATA3"/>
      <sheetName val="Load_Details-220kV2"/>
      <sheetName val="SANJAY_PAL2"/>
      <sheetName val="P_A_SELVAM2"/>
      <sheetName val="ANSARI_2"/>
      <sheetName val="abdesh_pal2"/>
      <sheetName val="sujay_bagchi2"/>
      <sheetName val="S_K_SINHA_BASU2"/>
      <sheetName val="KRISHNA_PRASAD2"/>
      <sheetName val="BARATH_&amp;_CO2"/>
      <sheetName val="L_B_YADAV2"/>
      <sheetName val="DEEPAK_KUMAR2"/>
      <sheetName val="MUKLAL_YADAV2"/>
      <sheetName val="MADHU_SUDHAN2"/>
      <sheetName val="SAUD_ALAM_2"/>
      <sheetName val="RAMESH_BABU2"/>
      <sheetName val="SAILEN_SARKAR2"/>
      <sheetName val="SANJAY_JENA12"/>
      <sheetName val="upendra_saw_2"/>
      <sheetName val="ALLOK_KUMAR_2"/>
      <sheetName val="except_wiring2"/>
      <sheetName val="Rev_S1_Abstract2"/>
      <sheetName val="Quantity_Abstract2"/>
      <sheetName val="Project_Budget_Worksheet2"/>
      <sheetName val="Metso_-_Forth_&amp;_Slurry_11_02_11"/>
      <sheetName val="BOQ_-II_ph_22"/>
      <sheetName val="STAFFSCHED_1"/>
      <sheetName val="d-safe_specs1"/>
      <sheetName val="class_&amp;_category1"/>
      <sheetName val="Rein-Final_(Ph_1+Ph2)1"/>
      <sheetName val="220_11__BS_1"/>
      <sheetName val="SSR_&amp;_NSSR_Market_final1"/>
      <sheetName val="Site_wise_NADs1"/>
      <sheetName val="Quote_Sheet1"/>
      <sheetName val="RA_RCC_F1"/>
      <sheetName val="glass_project_concrete3"/>
      <sheetName val="glass_project_reift3"/>
      <sheetName val="glass_project_indices3"/>
      <sheetName val="SBC-BH_192"/>
      <sheetName val="Summary_05062"/>
      <sheetName val="Summary_0607-_31_MAR2"/>
      <sheetName val="Pile_cap1"/>
      <sheetName val="V_O_4_-_PCC_Qty1"/>
      <sheetName val="Abstract_Sheet1"/>
      <sheetName val="Legal_Risk_Analysis1"/>
      <sheetName val="BH_12-11-10-132"/>
      <sheetName val="BH_12-11-10-92"/>
      <sheetName val="BH_36-15-372"/>
      <sheetName val="BH_16-35-25-172"/>
      <sheetName val="BH_35-25-172"/>
      <sheetName val="Sheet1_(2)2"/>
      <sheetName val="d-safe_DELUXE1"/>
      <sheetName val="REVISED4A_PROG_PERF-SITE_11"/>
      <sheetName val="Pipe_Supports1"/>
      <sheetName val="M-Book_for_Conc1"/>
      <sheetName val="M-Book_for_FW1"/>
      <sheetName val="CABLE_DATA1"/>
      <sheetName val="Load_Details-220kV1"/>
      <sheetName val="SANJAY_PAL1"/>
      <sheetName val="P_A_SELVAM1"/>
      <sheetName val="ANSARI_1"/>
      <sheetName val="abdesh_pal1"/>
      <sheetName val="sujay_bagchi1"/>
      <sheetName val="S_K_SINHA_BASU1"/>
      <sheetName val="KRISHNA_PRASAD1"/>
      <sheetName val="BARATH_&amp;_CO1"/>
      <sheetName val="L_B_YADAV1"/>
      <sheetName val="DEEPAK_KUMAR1"/>
      <sheetName val="MUKLAL_YADAV1"/>
      <sheetName val="MADHU_SUDHAN1"/>
      <sheetName val="SAUD_ALAM_1"/>
      <sheetName val="RAMESH_BABU1"/>
      <sheetName val="SAILEN_SARKAR1"/>
      <sheetName val="SANJAY_JENA11"/>
      <sheetName val="upendra_saw_1"/>
      <sheetName val="ALLOK_KUMAR_1"/>
      <sheetName val="except_wiring1"/>
      <sheetName val="Rev_S1_Abstract1"/>
      <sheetName val="Quantity_Abstract1"/>
      <sheetName val="Project_Budget_Worksheet1"/>
      <sheetName val="Metso_-_Forth_&amp;_Slurry_11_02_10"/>
      <sheetName val="BOQ_-II_ph_21"/>
      <sheetName val="STAFFSCHED_"/>
      <sheetName val="d-safe_specs"/>
      <sheetName val="class_&amp;_category"/>
      <sheetName val="Rein-Final_(Ph_1+Ph2)"/>
      <sheetName val="220_11__BS_"/>
      <sheetName val="SSR_&amp;_NSSR_Market_final"/>
      <sheetName val="Site_wise_NADs"/>
      <sheetName val="Quote_Sheet"/>
      <sheetName val="RA_RCC_F"/>
      <sheetName val="glass_project_concrete4"/>
      <sheetName val="glass_project_reift4"/>
      <sheetName val="glass_project_indices4"/>
      <sheetName val="SBC-BH_193"/>
      <sheetName val="Summary_05063"/>
      <sheetName val="Summary_0607-_31_MAR3"/>
      <sheetName val="Pile_cap2"/>
      <sheetName val="BH_12-11-10-133"/>
      <sheetName val="BH_12-11-10-93"/>
      <sheetName val="BH_36-15-373"/>
      <sheetName val="BH_16-35-25-173"/>
      <sheetName val="BH_35-25-173"/>
      <sheetName val="Sheet1_(2)3"/>
      <sheetName val="d-safe_DELUXE2"/>
      <sheetName val="Legal_Risk_Analysis2"/>
      <sheetName val="Abstract_Sheet2"/>
      <sheetName val="V_O_4_-_PCC_Qty2"/>
      <sheetName val="REVISED4A_PROG_PERF-SITE_12"/>
      <sheetName val="CABLE_DATA2"/>
      <sheetName val="Staff_Acco_2"/>
      <sheetName val="Pipe_Supports2"/>
      <sheetName val="ASS"/>
      <sheetName val="Summary_output"/>
      <sheetName val="Fin__Assumpt__-_Sensitivities"/>
      <sheetName val="GUT_(2)"/>
      <sheetName val="Data_Input"/>
      <sheetName val="ACE-OUT"/>
      <sheetName val="COLUMNS"/>
      <sheetName val="plinth Beam + Stirrups "/>
      <sheetName val="G.F ROOF BEAM "/>
      <sheetName val="GF SLAB STEEL"/>
      <sheetName val="GF Lintel"/>
      <sheetName val="GF Stair"/>
      <sheetName val="FF COLUMNS"/>
      <sheetName val="Flatwise Matrix-Beading"/>
      <sheetName val="MB-Beading "/>
      <sheetName val="Oak Tree-Tower 5-Beading-R0-28"/>
      <sheetName val="[RecoveredExternalLink1]_Reco_2"/>
      <sheetName val="Waterfall"/>
      <sheetName val="Sources&amp;Apps"/>
      <sheetName val="Holdco"/>
      <sheetName val="SPV"/>
      <sheetName val="EMIR"/>
      <sheetName val="Consol FY08"/>
      <sheetName val="Consol FY09"/>
      <sheetName val="Prop.Summ"/>
      <sheetName val="Val.Sum"/>
      <sheetName val="Prop.Schedule"/>
      <sheetName val="Depn"/>
      <sheetName val="(1) Pacific Dunes"/>
      <sheetName val="(2) Peach Tree"/>
      <sheetName val="(3) St.Andrews"/>
      <sheetName val="(4) Crystal Down"/>
      <sheetName val="(5) Augusta"/>
      <sheetName val="(6) Fairwinds"/>
      <sheetName val="(7-A) BlueBay"/>
      <sheetName val="(7-B) Fountain Head"/>
      <sheetName val="(8) Pine Valley"/>
      <sheetName val="(9) Eagle Ridge"/>
      <sheetName val="(10) Yahoo"/>
      <sheetName val="(11) Sunningdale"/>
      <sheetName val="(12) New Office"/>
      <sheetName val="(13) Cypress Point"/>
      <sheetName val="(14) Pine Hurst"/>
      <sheetName val="(15) Manyata Blk B"/>
      <sheetName val="(16) Manyata Blk D1"/>
      <sheetName val="(17) Manyata Blk D2"/>
      <sheetName val="(18) Manyata Blk D3"/>
      <sheetName val="Mkt.Rent"/>
      <sheetName val="Fitout.I"/>
      <sheetName val="Exist.RR"/>
      <sheetName val="New.RR"/>
      <sheetName val="Carpark.I"/>
      <sheetName val="Terrace.I"/>
      <sheetName val="Maint.I"/>
      <sheetName val="Misc.I"/>
      <sheetName val="Sensitivity"/>
      <sheetName val="Revenue by tenants"/>
      <sheetName val="DF"/>
      <sheetName val="AR"/>
      <sheetName val="AP"/>
      <sheetName val="Attachment"/>
      <sheetName val="Trial Bal 280203"/>
      <sheetName val="Balance Sheet "/>
      <sheetName val="Monthly exp"/>
      <sheetName val="Billing Data"/>
      <sheetName val="WIP 280203"/>
      <sheetName val="abst _2_"/>
      <sheetName val="IBM C BLOCK"/>
      <sheetName val="fidelity"/>
      <sheetName val="IBM D BLOCK"/>
      <sheetName val="cherryhill"/>
      <sheetName val="anz"/>
      <sheetName val="Campus"/>
      <sheetName val="Pine Valley"/>
      <sheetName val="24 bar 7"/>
      <sheetName val="COVANSYS"/>
      <sheetName val="Signature"/>
      <sheetName val="Netapps"/>
      <sheetName val="EGL-FOODCOURT"/>
      <sheetName val="IBM C Block Fitout"/>
      <sheetName val="IBM D Block Fitout"/>
      <sheetName val="24bar7 (ICON)"/>
      <sheetName val="24bar7 phase 2"/>
      <sheetName val="LG Soft Fitout"/>
      <sheetName val="kirby"/>
      <sheetName val="kirby Gs"/>
      <sheetName val="ibm1"/>
      <sheetName val="ibm2"/>
      <sheetName val="ibm3"/>
      <sheetName val="Depri Rates"/>
      <sheetName val="FA on 31.12.01"/>
      <sheetName val="FA on 31.3.02-Final"/>
      <sheetName val="FA on 31.12.02-Final"/>
      <sheetName val="FA Add 1.4.02 to 31.12.02"/>
      <sheetName val="FA on 31.12.02"/>
      <sheetName val="FA on 31.12.02 v 1.0"/>
      <sheetName val="Issues"/>
      <sheetName val="Controls"/>
      <sheetName val="Sal Break up"/>
      <sheetName val="sal cost"/>
      <sheetName val="Deferred Tax "/>
      <sheetName val="Int on TDS Disallowance"/>
      <sheetName val="IT 09-10"/>
      <sheetName val="Debtors Ageing"/>
      <sheetName val="Cash Flow working "/>
      <sheetName val="CFS Final"/>
      <sheetName val="CF workings - BSR"/>
      <sheetName val="ExistingRangeDetails"/>
      <sheetName val="IEDC"/>
      <sheetName val="FA- Sch"/>
      <sheetName val="Groupings BSR revised"/>
      <sheetName val="FA 2009 - 10"/>
      <sheetName val="IT_DEP "/>
      <sheetName val="Groupings IGAAP"/>
      <sheetName val="Depreciation  fINAL (2)"/>
      <sheetName val="Investments - 2009"/>
      <sheetName val="TB 2010"/>
      <sheetName val="Journals"/>
      <sheetName val="Investments details"/>
      <sheetName val="bs-abs"/>
      <sheetName val="fa 000"/>
      <sheetName val="FA_Sch 07-08 (2)"/>
      <sheetName val="C Flow Final"/>
      <sheetName val="212 (1) (e) (2)"/>
      <sheetName val="217(2A)"/>
      <sheetName val="CF Lead 2010"/>
      <sheetName val="CF Work 2010"/>
      <sheetName val="short term fund"/>
      <sheetName val="Linked TB-3Unit"/>
      <sheetName val="Linked TB-EoU"/>
      <sheetName val="fa rupee"/>
      <sheetName val="Warranty"/>
      <sheetName val="note def tax"/>
      <sheetName val="IT computation 05"/>
      <sheetName val="IT computation 04"/>
      <sheetName val="Dep-28.02.2010"/>
      <sheetName val="Depreciation  fINAL"/>
      <sheetName val="Veh sale"/>
      <sheetName val="Audit entries"/>
      <sheetName val="symphony-08-09"/>
      <sheetName val="IT computaion 03"/>
      <sheetName val="FBT"/>
      <sheetName val="AUDIT ISSUES"/>
      <sheetName val="IT 07-08 Final"/>
      <sheetName val="TB 2005"/>
      <sheetName val="CF Lead 2008"/>
      <sheetName val="CF Work 2008"/>
      <sheetName val="FA_Sch-link to iggap"/>
      <sheetName val="depn schedule"/>
      <sheetName val="sale deed value"/>
      <sheetName val="land cost17000"/>
      <sheetName val="sales details-13808"/>
      <sheetName val="MergerAnalysis"/>
      <sheetName val="Contribution"/>
      <sheetName val="AcqShares"/>
      <sheetName val="TgtShares"/>
      <sheetName val="Acq IS"/>
      <sheetName val="Tgt IS"/>
      <sheetName val="PFIS"/>
      <sheetName val="SumStat"/>
      <sheetName val="BlankPage"/>
      <sheetName val="Counters"/>
      <sheetName val="Reasons"/>
      <sheetName val="Flash "/>
      <sheetName val="high"/>
      <sheetName val="PL "/>
      <sheetName val="VAR"/>
      <sheetName val="VAR - ACT VS BUD"/>
      <sheetName val=" ACT VS BUD WORKINGS(YTD) "/>
      <sheetName val=" ACT VS PR.YEA WORKINGS(MONTH) "/>
      <sheetName val=" ACT VS BUD WORKINGS(MONTH) "/>
      <sheetName val="VAR - ACT VS BUD WORKINGS"/>
      <sheetName val="VAR - PREV YR VS ACT"/>
      <sheetName val="VAR - WORKINGS PREV YR VS ACT"/>
      <sheetName val="prod"/>
      <sheetName val="prodcost"/>
      <sheetName val="exp "/>
      <sheetName val="emp"/>
      <sheetName val="wc"/>
      <sheetName val="drs"/>
      <sheetName val="grist comp"/>
      <sheetName val="production"/>
      <sheetName val="RM CONS"/>
      <sheetName val="RM CONS YTD"/>
      <sheetName val="CHEM CONS"/>
      <sheetName val="CHEM CONS YTD"/>
      <sheetName val="PM CONS"/>
      <sheetName val="PM CONS YTD"/>
      <sheetName val="consumption 1 2003"/>
      <sheetName val="CONSUMPTIONYTD"/>
      <sheetName val="WIP workings"/>
      <sheetName val="WORKINGS"/>
      <sheetName val="Royalty-cal"/>
      <sheetName val="SALES -monthly"/>
      <sheetName val="Depreication"/>
      <sheetName val="Creditor s"/>
      <sheetName val="Creditorss"/>
      <sheetName val="Debtors (2)"/>
      <sheetName val=" Creditors"/>
      <sheetName val="cost sheet based on brew"/>
      <sheetName val="COST SHEET"/>
      <sheetName val="Cost sheet based on brews YTD"/>
      <sheetName val="CL.STOCK"/>
      <sheetName val="COST SHEET YTD"/>
      <sheetName val="wastages"/>
      <sheetName val="monthly exp "/>
      <sheetName val="monthly  pl 01-02"/>
      <sheetName val="Monthly pl"/>
      <sheetName val="DEC WAGES "/>
      <sheetName val="DEC  EXP "/>
      <sheetName val="Creditors "/>
      <sheetName val="ytd adj"/>
      <sheetName val="Reco YTD SEPT 02"/>
      <sheetName val="Exp-YTD SEPT  02"/>
      <sheetName val="Int,Salary YTD SEPT  02"/>
      <sheetName val="SHARE CAPITAL"/>
      <sheetName val="R &amp; s"/>
      <sheetName val="Res &amp; surplus"/>
      <sheetName val="SEC LOAN "/>
      <sheetName val="UN-SEC.LOAN"/>
      <sheetName val="CASHBANK"/>
      <sheetName val="LOANS-ADV"/>
      <sheetName val="LIABILITIES"/>
      <sheetName val="PROVISION"/>
      <sheetName val="OTHER INC."/>
      <sheetName val="FinishedTraded Goods"/>
      <sheetName val="Int &amp; Fin chgs"/>
      <sheetName val="Extord-schedule"/>
      <sheetName val="Purchases"/>
      <sheetName val="TB07"/>
      <sheetName val="TB06"/>
      <sheetName val="TB05"/>
      <sheetName val="TB04"/>
      <sheetName val="TB03"/>
      <sheetName val="EPS"/>
      <sheetName val="IT Depn "/>
      <sheetName val="depre logic"/>
      <sheetName val="far pivot"/>
      <sheetName val="Fareg"/>
      <sheetName val="cap commitment"/>
      <sheetName val="AppA1-1"/>
      <sheetName val="AppA1-2"/>
      <sheetName val="AppA2-1"/>
      <sheetName val="AppA2-2"/>
      <sheetName val="AppA3"/>
      <sheetName val="AppA4"/>
      <sheetName val="ES1"/>
      <sheetName val="ES2"/>
      <sheetName val="ES3"/>
      <sheetName val="ES4"/>
      <sheetName val="ES1 (2)"/>
      <sheetName val="ES3 (2)"/>
      <sheetName val="ES5"/>
      <sheetName val="ES6"/>
      <sheetName val="ES7"/>
      <sheetName val="PB"/>
      <sheetName val="P.CTN"/>
      <sheetName val="Total PL"/>
      <sheetName val="F-1(KL)"/>
      <sheetName val="F-2(KL)"/>
      <sheetName val="F-3(KL)"/>
      <sheetName val="F-4(KL)"/>
      <sheetName val="F-5(KL)"/>
      <sheetName val="F-22(KL)"/>
      <sheetName val="AP110"/>
      <sheetName val="A(KL)"/>
      <sheetName val="L(KL)"/>
      <sheetName val="M-MM(KL)"/>
      <sheetName val="N(KL)"/>
      <sheetName val="U(KL)"/>
      <sheetName val="U-1(KL)"/>
      <sheetName val="U-disclosure(KL)"/>
      <sheetName val="CC(KL)"/>
      <sheetName val="30(KL)"/>
      <sheetName val="Cost centre expenditure"/>
      <sheetName val="Interim --&gt; Top"/>
      <sheetName val="U-2_Sales Analysis"/>
      <sheetName val="U-1l2_Overall AR"/>
      <sheetName val="F-3"/>
      <sheetName val="F-5"/>
      <sheetName val="F-11"/>
      <sheetName val="F-11a"/>
      <sheetName val="F-22"/>
      <sheetName val="B-40"/>
      <sheetName val="B-50"/>
      <sheetName val="U "/>
      <sheetName val="U-10"/>
      <sheetName val="U-30"/>
      <sheetName val="BB-30"/>
      <sheetName val="CC-30"/>
      <sheetName val="FF-4a"/>
      <sheetName val="FF-7"/>
      <sheetName val="FF-8"/>
      <sheetName val="40"/>
      <sheetName val="DD-10"/>
      <sheetName val="FF-21(a)"/>
      <sheetName val="BPR"/>
      <sheetName val="Materiality"/>
      <sheetName val="F7wkg"/>
      <sheetName val="BPR balance sheet"/>
      <sheetName val="BPR profit &amp; loss"/>
      <sheetName val="BPR BS analysis"/>
      <sheetName val="BPR PL analysis"/>
      <sheetName val="A-22"/>
      <sheetName val="B-1"/>
      <sheetName val="C-1"/>
      <sheetName val="U"/>
      <sheetName val="U-100"/>
      <sheetName val="FF-10"/>
      <sheetName val="FF-20"/>
      <sheetName val="CA"/>
      <sheetName val="FF-22(hp)"/>
      <sheetName val="FF-23(d)"/>
      <sheetName val="FF-30"/>
      <sheetName val="FF-31"/>
      <sheetName val="FF-40"/>
      <sheetName val="PP"/>
      <sheetName val="PP(spare)"/>
      <sheetName val="PP-20"/>
      <sheetName val="31"/>
      <sheetName val="AA"/>
      <sheetName val="BB"/>
      <sheetName val="BB-1"/>
      <sheetName val="MM"/>
      <sheetName val="NN-12"/>
      <sheetName val="PP-30"/>
      <sheetName val="PP-31"/>
      <sheetName val="PP-40"/>
      <sheetName val="BPR-1"/>
      <sheetName val="B-30"/>
      <sheetName val="U-1 "/>
      <sheetName val="KK"/>
      <sheetName val="M&amp;MM"/>
      <sheetName val="NN"/>
      <sheetName val="sales cut off"/>
      <sheetName val="purchase cut off"/>
      <sheetName val="Hypothesis"/>
      <sheetName val="Profitability Analysis"/>
      <sheetName val="FSA"/>
      <sheetName val="F-1&amp;2"/>
      <sheetName val="CF1"/>
      <sheetName val="Purch cut off"/>
      <sheetName val="M&amp;MM-10"/>
      <sheetName val="pp-1"/>
      <sheetName val="40 (2)"/>
      <sheetName val="50 (2)"/>
      <sheetName val="60"/>
      <sheetName val="70"/>
      <sheetName val="BIF-collect"/>
      <sheetName val="BIF-OR"/>
      <sheetName val="Future"/>
      <sheetName val="30 "/>
      <sheetName val="Recovered_Sheet1"/>
      <sheetName val="Consol adjustments"/>
      <sheetName val="Goodwill"/>
      <sheetName val="Financial stats"/>
      <sheetName val="Segment - 2002 (new)"/>
      <sheetName val="Segment - 2002"/>
      <sheetName val="Changes in equity"/>
      <sheetName val="Inter-co"/>
      <sheetName val="Inter-co(subsidiary)"/>
      <sheetName val="MI"/>
      <sheetName val="FA-detailed"/>
      <sheetName val="P&amp;L-disclosure(2002)"/>
      <sheetName val="P&amp;L disclosure(2001)"/>
      <sheetName val="Cash flow -2001"/>
      <sheetName val="Consol cashflow"/>
      <sheetName val="URP"/>
      <sheetName val="Dev Expenditure"/>
      <sheetName val="CF-1 2-unused"/>
      <sheetName val="Associate"/>
      <sheetName val="FA movement "/>
      <sheetName val="FA-summary"/>
      <sheetName val="CF-13"/>
      <sheetName val="CF-10-unused"/>
      <sheetName val="CF-11- unused"/>
      <sheetName val="FACON- unused"/>
      <sheetName val="CF-3 1999 - unused"/>
      <sheetName val="CF-22- unused"/>
      <sheetName val="Sheet1- unused"/>
      <sheetName val="bhb0603"/>
      <sheetName val="OS"/>
      <sheetName val="BPR-PL "/>
      <sheetName val="BPR-BS"/>
      <sheetName val="F-1,2"/>
      <sheetName val="F-99"/>
      <sheetName val="A-1"/>
      <sheetName val="A-10"/>
      <sheetName val="B-2"/>
      <sheetName val="B-3"/>
      <sheetName val="L-2"/>
      <sheetName val="M MM "/>
      <sheetName val="U dis"/>
      <sheetName val="U-1"/>
      <sheetName val="U-3"/>
      <sheetName val="U-4"/>
      <sheetName val="BB-2"/>
      <sheetName val="BB-10"/>
      <sheetName val="BB-17"/>
      <sheetName val="FIN297"/>
      <sheetName val="DD"/>
      <sheetName val="DD-1"/>
      <sheetName val="FF-4(a)"/>
      <sheetName val="10,20"/>
      <sheetName val="10-1"/>
      <sheetName val="32"/>
      <sheetName val="Bank Rec review"/>
      <sheetName val="A-2"/>
      <sheetName val="C-10"/>
      <sheetName val="NRV-1"/>
      <sheetName val="NRV-2"/>
      <sheetName val="N-10"/>
      <sheetName val="N-11"/>
      <sheetName val="N-12"/>
      <sheetName val="N-20"/>
      <sheetName val="AA-3"/>
      <sheetName val="CC-24"/>
      <sheetName val="CC-50"/>
      <sheetName val="dr"/>
      <sheetName val="auditor"/>
      <sheetName val="acs"/>
      <sheetName val="xxx"/>
      <sheetName val="accumdeprn"/>
      <sheetName val="addl cost"/>
      <sheetName val="dev_exp (2)"/>
      <sheetName val="dev_exp"/>
      <sheetName val="Addl Dev Exp"/>
      <sheetName val="F-2 (2)"/>
      <sheetName val="CF-IS"/>
      <sheetName val="CF-SCE"/>
      <sheetName val="DIVIDENDS"/>
      <sheetName val="Profit anal"/>
      <sheetName val="F-1l F-2"/>
      <sheetName val="Statement of Equity"/>
      <sheetName val="5 Analysis"/>
      <sheetName val="   Contents"/>
      <sheetName val="1 LeadSchedule"/>
      <sheetName val="2 Sec108"/>
      <sheetName val="3 P&amp;L - 4 Op.Exp"/>
      <sheetName val="3A Turnover 3B COS"/>
      <sheetName val="   Directors"/>
      <sheetName val="Shareholders"/>
      <sheetName val="Dividend"/>
      <sheetName val="ITA-RA"/>
      <sheetName val="Int-rest"/>
      <sheetName val="OTHER (2)"/>
      <sheetName val="Company Info"/>
      <sheetName val="Summary of Fixed Assets"/>
      <sheetName val="Additions"/>
      <sheetName val="Disposals"/>
      <sheetName val="Hire Purchase"/>
      <sheetName val="Lease"/>
      <sheetName val="Controlled Transfer"/>
      <sheetName val="CA Comp"/>
      <sheetName val="IBA Comp "/>
      <sheetName val="FSL"/>
      <sheetName val="F-7B"/>
      <sheetName val="B-1."/>
      <sheetName val="U-2"/>
      <sheetName val="20-1"/>
      <sheetName val="20-2"/>
      <sheetName val="30-1"/>
      <sheetName val="30-2"/>
      <sheetName val="30(old)"/>
      <sheetName val="F-8-20-1"/>
      <sheetName val="TB-gl"/>
      <sheetName val="gl"/>
      <sheetName val="OSM"/>
      <sheetName val="AWPs Template"/>
      <sheetName val="A2-1 CLA"/>
      <sheetName val="A2-2 RJE"/>
      <sheetName val="A2-3 SAD"/>
      <sheetName val="A3"/>
      <sheetName val="A8"/>
      <sheetName val="Review Recon"/>
      <sheetName val="Review Cash book"/>
      <sheetName val="E1"/>
      <sheetName val="E3 Recoverability"/>
      <sheetName val="E-1_Recoverability"/>
      <sheetName val="E-2"/>
      <sheetName val="I"/>
      <sheetName val="J"/>
      <sheetName val="J-1 OSM"/>
      <sheetName val="J1 Devt costs breakdown"/>
      <sheetName val="J2 Budget &amp; Att profit"/>
      <sheetName val="J3 Actual 04"/>
      <sheetName val="J4  Lots sold report CHD"/>
      <sheetName val="J-1-1_Commission"/>
      <sheetName val="Recog Prof"/>
      <sheetName val="J-consol sv11"/>
      <sheetName val="J 1-1(2)"/>
      <sheetName val="Unrecorded"/>
      <sheetName val="O-1_Prov.Tax-2004"/>
      <sheetName val="Capital allowance"/>
      <sheetName val="P-1"/>
      <sheetName val="P1"/>
      <sheetName val="P2A"/>
      <sheetName val="P2B"/>
      <sheetName val="P3A"/>
      <sheetName val="P3B"/>
      <sheetName val="P3C"/>
      <sheetName val="U-5"/>
      <sheetName val="U-6"/>
      <sheetName val="U1 Salary resonableness"/>
      <sheetName val="U1_Rental"/>
      <sheetName val="U2_Total Salary"/>
      <sheetName val="CHSB Salary Allocation Summary"/>
      <sheetName val="MegaPalm salary Allocation"/>
      <sheetName val="U4_RCSLS Interest"/>
      <sheetName val="E-2_Recognition of sales 03 "/>
      <sheetName val="J-5_Pre-acq dev cost alloc 03"/>
      <sheetName val="J-3_Bgt 03"/>
      <sheetName val="J-2_% of compl_Final 03"/>
      <sheetName val="J-3_Puan Sri Comm 03"/>
      <sheetName val="J-4_Rebate reasona03"/>
      <sheetName val="Listing of CNs 03"/>
      <sheetName val="Fees 03"/>
      <sheetName val="F-1 F-2"/>
      <sheetName val="B "/>
      <sheetName val="B-4"/>
      <sheetName val="U-disc"/>
      <sheetName val="BB-5"/>
      <sheetName val="CC-3"/>
      <sheetName val="20 30"/>
      <sheetName val="70 "/>
      <sheetName val="MCMD95"/>
      <sheetName val="GL --&gt; Interim"/>
      <sheetName val="Top Summary"/>
      <sheetName val="GL Input Validations"/>
      <sheetName val="Scratchpad"/>
      <sheetName val="14 Column"/>
      <sheetName val="7 Column"/>
      <sheetName val="Direct Report"/>
      <sheetName val="Dtr Rpt - 1 - 3"/>
      <sheetName val="Dtrs stmt - 4"/>
      <sheetName val="Aud Rpt - 5"/>
      <sheetName val="P&amp;L - 6"/>
      <sheetName val="BS - 7"/>
      <sheetName val="Equity - 8"/>
      <sheetName val="CF - 9"/>
      <sheetName val="Notes - 10 - 12"/>
      <sheetName val="Sch A"/>
      <sheetName val="Notes 2"/>
      <sheetName val="cashflowcomp"/>
      <sheetName val="cashflowcomp (2)"/>
      <sheetName val="A2l2"/>
      <sheetName val="OS list"/>
      <sheetName val="A3l1"/>
      <sheetName val="A3l1-1"/>
      <sheetName val="A2l1-RJE"/>
      <sheetName val="A2l2-CLA"/>
      <sheetName val="A2l3-SAD"/>
      <sheetName val="C8"/>
      <sheetName val="EC"/>
      <sheetName val="E1l1"/>
      <sheetName val="E7"/>
      <sheetName val="F2"/>
      <sheetName val="F6"/>
      <sheetName val="G1"/>
      <sheetName val="G2"/>
      <sheetName val="G4"/>
      <sheetName val="H1"/>
      <sheetName val="IA"/>
      <sheetName val="K3"/>
      <sheetName val="K3l1"/>
      <sheetName val="K4"/>
      <sheetName val="K5"/>
      <sheetName val="K6"/>
      <sheetName val="K7"/>
      <sheetName val="N1"/>
      <sheetName val="N2"/>
      <sheetName val="N8"/>
      <sheetName val="N9"/>
      <sheetName val="OA"/>
      <sheetName val="O1"/>
      <sheetName val="O2-CA"/>
      <sheetName val="O3-Disposal"/>
      <sheetName val="O4"/>
      <sheetName val="Pl1"/>
      <sheetName val="P1l2"/>
      <sheetName val="R1-Sch I"/>
      <sheetName val="R2-Sch IIa"/>
      <sheetName val="R3-Sch IIb"/>
      <sheetName val="R4-Sch III"/>
      <sheetName val="R5-NQA04"/>
      <sheetName val="R6-NQA03"/>
      <sheetName val="R1l1"/>
      <sheetName val="R1l2"/>
      <sheetName val="SRM(final)"/>
      <sheetName val="SAD(not used)"/>
      <sheetName val="RJE(not used)"/>
      <sheetName val="A3-1l2"/>
      <sheetName val="A3|3"/>
      <sheetName val="E-2(not used)"/>
      <sheetName val="K(disclosure)"/>
      <sheetName val="K (2)"/>
      <sheetName val="K1-DepnReasonablenessTest"/>
      <sheetName val="N2 Prov for bonus(final)"/>
      <sheetName val="N3 Prov for audit fee(final)"/>
      <sheetName val="N4"/>
      <sheetName val="N5(final)"/>
      <sheetName val="Abstract for Variation"/>
      <sheetName val="LBD VARIATION"/>
      <sheetName val="F.F. Steel FINAL (2)"/>
      <sheetName val="FF Lintel"/>
      <sheetName val="FF Stair"/>
      <sheetName val="S.F. Steel FINAL "/>
      <sheetName val="SF Lintel"/>
      <sheetName val="재1"/>
      <sheetName val="pr.cal"/>
      <sheetName val="Inputs &amp; Summary Output"/>
      <sheetName val="Broad Refresher Model"/>
      <sheetName val="precast_RC_element"/>
      <sheetName val="plinth_Beam_+_Stirrups_"/>
      <sheetName val="GF_COLUMNS"/>
      <sheetName val="G_F_ROOF_BEAM_"/>
      <sheetName val="GF_SLAB_STEEL"/>
      <sheetName val="GF_Lintel"/>
      <sheetName val="GF_Stair"/>
      <sheetName val="FF_COLUMNS"/>
      <sheetName val="F_F__Steel_FINAL_(2)"/>
      <sheetName val="FF_Lintel"/>
      <sheetName val="FF_Stair"/>
      <sheetName val="S_F__Steel_FINAL_"/>
      <sheetName val="SF_Lintel"/>
      <sheetName val="Rev_S1_Abstract3"/>
      <sheetName val="Quantity_Abstract3"/>
      <sheetName val="M-Book_for_Conc3"/>
      <sheetName val="M-Book_for_FW3"/>
      <sheetName val="Load_Details-220kV3"/>
      <sheetName val="Project_Budget_Worksheet3"/>
      <sheetName val="SANJAY_PAL3"/>
      <sheetName val="P_A_SELVAM3"/>
      <sheetName val="ANSARI_3"/>
      <sheetName val="abdesh_pal3"/>
      <sheetName val="sujay_bagchi3"/>
      <sheetName val="S_K_SINHA_BASU3"/>
      <sheetName val="KRISHNA_PRASAD3"/>
      <sheetName val="BARATH_&amp;_CO3"/>
      <sheetName val="L_B_YADAV3"/>
      <sheetName val="DEEPAK_KUMAR3"/>
      <sheetName val="MUKLAL_YADAV3"/>
      <sheetName val="MADHU_SUDHAN3"/>
      <sheetName val="SAUD_ALAM_3"/>
      <sheetName val="RAMESH_BABU3"/>
      <sheetName val="SAILEN_SARKAR3"/>
      <sheetName val="SANJAY_JENA13"/>
      <sheetName val="upendra_saw_3"/>
      <sheetName val="ALLOK_KUMAR_3"/>
      <sheetName val="except_wiring3"/>
      <sheetName val="BOQ_-II_ph_23"/>
      <sheetName val="STAFFSCHED_2"/>
      <sheetName val="Metso_-_Forth_&amp;_Slurry_11_02_12"/>
      <sheetName val="d-safe_specs2"/>
      <sheetName val="Quote_Sheet2"/>
      <sheetName val="class_&amp;_category2"/>
      <sheetName val="Rein-Final_(Ph_1+Ph2)2"/>
      <sheetName val="220_11__BS_2"/>
      <sheetName val="SSR_&amp;_NSSR_Market_final2"/>
      <sheetName val="Site_wise_NADs2"/>
      <sheetName val="RA_RCC_F2"/>
      <sheetName val="precast_RC_element2"/>
      <sheetName val="plinth_Beam_+_Stirrups_2"/>
      <sheetName val="GF_COLUMNS2"/>
      <sheetName val="G_F_ROOF_BEAM_2"/>
      <sheetName val="GF_SLAB_STEEL2"/>
      <sheetName val="GF_Lintel2"/>
      <sheetName val="GF_Stair2"/>
      <sheetName val="FF_COLUMNS2"/>
      <sheetName val="F_F__Steel_FINAL_(2)2"/>
      <sheetName val="FF_Lintel2"/>
      <sheetName val="FF_Stair2"/>
      <sheetName val="S_F__Steel_FINAL_2"/>
      <sheetName val="SF_Lintel2"/>
      <sheetName val="precast_RC_element1"/>
      <sheetName val="plinth_Beam_+_Stirrups_1"/>
      <sheetName val="GF_COLUMNS1"/>
      <sheetName val="G_F_ROOF_BEAM_1"/>
      <sheetName val="GF_SLAB_STEEL1"/>
      <sheetName val="GF_Lintel1"/>
      <sheetName val="GF_Stair1"/>
      <sheetName val="FF_COLUMNS1"/>
      <sheetName val="F_F__Steel_FINAL_(2)1"/>
      <sheetName val="FF_Lintel1"/>
      <sheetName val="FF_Stair1"/>
      <sheetName val="S_F__Steel_FINAL_1"/>
      <sheetName val="SF_Lintel1"/>
      <sheetName val="glass_project_concrete6"/>
      <sheetName val="glass_project_reift6"/>
      <sheetName val="glass_project_indices6"/>
      <sheetName val="SBC-BH_195"/>
      <sheetName val="Summary_05065"/>
      <sheetName val="Summary_0607-_31_MAR5"/>
      <sheetName val="Pile_cap4"/>
      <sheetName val="BH_12-11-10-135"/>
      <sheetName val="BH_12-11-10-95"/>
      <sheetName val="BH_36-15-375"/>
      <sheetName val="BH_16-35-25-175"/>
      <sheetName val="BH_35-25-175"/>
      <sheetName val="Sheet1_(2)5"/>
      <sheetName val="d-safe_DELUXE4"/>
      <sheetName val="Legal_Risk_Analysis4"/>
      <sheetName val="Abstract_Sheet4"/>
      <sheetName val="V_O_4_-_PCC_Qty4"/>
      <sheetName val="REVISED4A_PROG_PERF-SITE_14"/>
      <sheetName val="CABLE_DATA4"/>
      <sheetName val="Staff_Acco_4"/>
      <sheetName val="Pipe_Supports4"/>
      <sheetName val="Rev_S1_Abstract4"/>
      <sheetName val="Quantity_Abstract4"/>
      <sheetName val="M-Book_for_Conc4"/>
      <sheetName val="M-Book_for_FW4"/>
      <sheetName val="Load_Details-220kV4"/>
      <sheetName val="Project_Budget_Worksheet4"/>
      <sheetName val="SANJAY_PAL4"/>
      <sheetName val="P_A_SELVAM4"/>
      <sheetName val="ANSARI_4"/>
      <sheetName val="abdesh_pal4"/>
      <sheetName val="sujay_bagchi4"/>
      <sheetName val="S_K_SINHA_BASU4"/>
      <sheetName val="KRISHNA_PRASAD4"/>
      <sheetName val="BARATH_&amp;_CO4"/>
      <sheetName val="L_B_YADAV4"/>
      <sheetName val="DEEPAK_KUMAR4"/>
      <sheetName val="MUKLAL_YADAV4"/>
      <sheetName val="MADHU_SUDHAN4"/>
      <sheetName val="SAUD_ALAM_4"/>
      <sheetName val="RAMESH_BABU4"/>
      <sheetName val="SAILEN_SARKAR4"/>
      <sheetName val="SANJAY_JENA14"/>
      <sheetName val="upendra_saw_4"/>
      <sheetName val="ALLOK_KUMAR_4"/>
      <sheetName val="except_wiring4"/>
      <sheetName val="BOQ_-II_ph_24"/>
      <sheetName val="STAFFSCHED_3"/>
      <sheetName val="Metso_-_Forth_&amp;_Slurry_11_02_13"/>
      <sheetName val="d-safe_specs3"/>
      <sheetName val="Quote_Sheet3"/>
      <sheetName val="class_&amp;_category3"/>
      <sheetName val="Rein-Final_(Ph_1+Ph2)3"/>
      <sheetName val="220_11__BS_3"/>
      <sheetName val="SSR_&amp;_NSSR_Market_final3"/>
      <sheetName val="Site_wise_NADs3"/>
      <sheetName val="RA_RCC_F3"/>
      <sheetName val="precast_RC_element3"/>
      <sheetName val="plinth_Beam_+_Stirrups_3"/>
      <sheetName val="GF_COLUMNS3"/>
      <sheetName val="G_F_ROOF_BEAM_3"/>
      <sheetName val="GF_SLAB_STEEL3"/>
      <sheetName val="GF_Lintel3"/>
      <sheetName val="GF_Stair3"/>
      <sheetName val="FF_COLUMNS3"/>
      <sheetName val="F_F__Steel_FINAL_(2)3"/>
      <sheetName val="FF_Lintel3"/>
      <sheetName val="FF_Stair3"/>
      <sheetName val="S_F__Steel_FINAL_3"/>
      <sheetName val="SF_Lintel3"/>
      <sheetName val="glass_project_concrete7"/>
      <sheetName val="glass_project_reift7"/>
      <sheetName val="glass_project_indices7"/>
      <sheetName val="SBC-BH_196"/>
      <sheetName val="Summary_05066"/>
      <sheetName val="Summary_0607-_31_MAR6"/>
      <sheetName val="Pile_cap5"/>
      <sheetName val="BH_12-11-10-136"/>
      <sheetName val="BH_12-11-10-96"/>
      <sheetName val="BH_36-15-376"/>
      <sheetName val="BH_16-35-25-176"/>
      <sheetName val="BH_35-25-176"/>
      <sheetName val="Sheet1_(2)6"/>
      <sheetName val="d-safe_DELUXE5"/>
      <sheetName val="Legal_Risk_Analysis5"/>
      <sheetName val="RCC,Ret__Wall5"/>
      <sheetName val="TBAL9697_-group_wise__sdpl5"/>
      <sheetName val="Abstract_Sheet5"/>
      <sheetName val="V_O_4_-_PCC_Qty5"/>
      <sheetName val="REVISED4A_PROG_PERF-SITE_15"/>
      <sheetName val="BOQ_Direct_selling_cost5"/>
      <sheetName val="CABLE_DATA5"/>
      <sheetName val="Staff_Acco_5"/>
      <sheetName val="Pipe_Supports5"/>
      <sheetName val="Rev_S1_Abstract5"/>
      <sheetName val="Quantity_Abstract5"/>
      <sheetName val="M-Book_for_Conc5"/>
      <sheetName val="M-Book_for_FW5"/>
      <sheetName val="Load_Details-220kV5"/>
      <sheetName val="Project_Budget_Worksheet5"/>
      <sheetName val="SANJAY_PAL5"/>
      <sheetName val="P_A_SELVAM5"/>
      <sheetName val="ANSARI_5"/>
      <sheetName val="abdesh_pal5"/>
      <sheetName val="sujay_bagchi5"/>
      <sheetName val="S_K_SINHA_BASU5"/>
      <sheetName val="KRISHNA_PRASAD5"/>
      <sheetName val="BARATH_&amp;_CO5"/>
      <sheetName val="L_B_YADAV5"/>
      <sheetName val="DEEPAK_KUMAR5"/>
      <sheetName val="MUKLAL_YADAV5"/>
      <sheetName val="MADHU_SUDHAN5"/>
      <sheetName val="SAUD_ALAM_5"/>
      <sheetName val="RAMESH_BABU5"/>
      <sheetName val="SAILEN_SARKAR5"/>
      <sheetName val="SANJAY_JENA15"/>
      <sheetName val="upendra_saw_5"/>
      <sheetName val="ALLOK_KUMAR_5"/>
      <sheetName val="except_wiring5"/>
      <sheetName val="BOQ_-II_ph_25"/>
      <sheetName val="STAFFSCHED_4"/>
      <sheetName val="Metso_-_Forth_&amp;_Slurry_11_02_14"/>
      <sheetName val="d-safe_specs4"/>
      <sheetName val="Quote_Sheet4"/>
      <sheetName val="class_&amp;_category4"/>
      <sheetName val="Rein-Final_(Ph_1+Ph2)4"/>
      <sheetName val="220_11__BS_4"/>
      <sheetName val="SSR_&amp;_NSSR_Market_final4"/>
      <sheetName val="Site_wise_NADs4"/>
      <sheetName val="RA_RCC_F4"/>
      <sheetName val="precast_RC_element4"/>
      <sheetName val="plinth_Beam_+_Stirrups_4"/>
      <sheetName val="GF_COLUMNS4"/>
      <sheetName val="G_F_ROOF_BEAM_4"/>
      <sheetName val="GF_SLAB_STEEL4"/>
      <sheetName val="GF_Lintel4"/>
      <sheetName val="GF_Stair4"/>
      <sheetName val="FF_COLUMNS4"/>
      <sheetName val="F_F__Steel_FINAL_(2)4"/>
      <sheetName val="FF_Lintel4"/>
      <sheetName val="FF_Stair4"/>
      <sheetName val="S_F__Steel_FINAL_4"/>
      <sheetName val="SF_Lintel4"/>
      <sheetName val="glass_project_concrete8"/>
      <sheetName val="glass_project_reift8"/>
      <sheetName val="glass_project_indices8"/>
      <sheetName val="SBC-BH_197"/>
      <sheetName val="Summary_05067"/>
      <sheetName val="Summary_0607-_31_MAR7"/>
      <sheetName val="Pile_cap6"/>
      <sheetName val="BH_12-11-10-137"/>
      <sheetName val="BH_12-11-10-97"/>
      <sheetName val="BH_36-15-377"/>
      <sheetName val="BH_16-35-25-177"/>
      <sheetName val="BH_35-25-177"/>
      <sheetName val="Sheet1_(2)7"/>
      <sheetName val="d-safe_DELUXE6"/>
      <sheetName val="Legal_Risk_Analysis6"/>
      <sheetName val="Form_67"/>
      <sheetName val="RCC,Ret__Wall6"/>
      <sheetName val="Break_up_Sheet6"/>
      <sheetName val="TBAL9697_-group_wise__sdpl6"/>
      <sheetName val="Abstract_Sheet6"/>
      <sheetName val="V_O_4_-_PCC_Qty6"/>
      <sheetName val="REVISED4A_PROG_PERF-SITE_16"/>
      <sheetName val="BOQ_Direct_selling_cost6"/>
      <sheetName val="CABLE_DATA6"/>
      <sheetName val="Staff_Acco_6"/>
      <sheetName val="Pipe_Supports6"/>
      <sheetName val="Rev_S1_Abstract6"/>
      <sheetName val="Quantity_Abstract6"/>
      <sheetName val="M-Book_for_Conc6"/>
      <sheetName val="M-Book_for_FW6"/>
      <sheetName val="Load_Details-220kV6"/>
      <sheetName val="Project_Budget_Worksheet6"/>
      <sheetName val="SANJAY_PAL6"/>
      <sheetName val="P_A_SELVAM6"/>
      <sheetName val="ANSARI_6"/>
      <sheetName val="abdesh_pal6"/>
      <sheetName val="sujay_bagchi6"/>
      <sheetName val="S_K_SINHA_BASU6"/>
      <sheetName val="KRISHNA_PRASAD6"/>
      <sheetName val="BARATH_&amp;_CO6"/>
      <sheetName val="L_B_YADAV6"/>
      <sheetName val="DEEPAK_KUMAR6"/>
      <sheetName val="MUKLAL_YADAV6"/>
      <sheetName val="MADHU_SUDHAN6"/>
      <sheetName val="SAUD_ALAM_6"/>
      <sheetName val="RAMESH_BABU6"/>
      <sheetName val="SAILEN_SARKAR6"/>
      <sheetName val="SANJAY_JENA16"/>
      <sheetName val="upendra_saw_6"/>
      <sheetName val="ALLOK_KUMAR_6"/>
      <sheetName val="except_wiring6"/>
      <sheetName val="BOQ_-II_ph_26"/>
      <sheetName val="STAFFSCHED_5"/>
      <sheetName val="Metso_-_Forth_&amp;_Slurry_11_02_15"/>
      <sheetName val="d-safe_specs5"/>
      <sheetName val="Quote_Sheet5"/>
      <sheetName val="class_&amp;_category5"/>
      <sheetName val="Rein-Final_(Ph_1+Ph2)5"/>
      <sheetName val="220_11__BS_5"/>
      <sheetName val="SSR_&amp;_NSSR_Market_final5"/>
      <sheetName val="Site_wise_NADs5"/>
      <sheetName val="RA_RCC_F5"/>
      <sheetName val="Stress_Calculation5"/>
      <sheetName val="precast_RC_element5"/>
      <sheetName val="plinth_Beam_+_Stirrups_5"/>
      <sheetName val="GF_COLUMNS5"/>
      <sheetName val="G_F_ROOF_BEAM_5"/>
      <sheetName val="GF_SLAB_STEEL5"/>
      <sheetName val="GF_Lintel5"/>
      <sheetName val="GF_Stair5"/>
      <sheetName val="FF_COLUMNS5"/>
      <sheetName val="F_F__Steel_FINAL_(2)5"/>
      <sheetName val="FF_Lintel5"/>
      <sheetName val="FF_Stair5"/>
      <sheetName val="S_F__Steel_FINAL_5"/>
      <sheetName val="SF_Lintel5"/>
      <sheetName val="glass_project_concrete9"/>
      <sheetName val="glass_project_reift9"/>
      <sheetName val="glass_project_indices9"/>
      <sheetName val="SBC-BH_198"/>
      <sheetName val="Summary_05068"/>
      <sheetName val="Summary_0607-_31_MAR8"/>
      <sheetName val="Civil_Boq7"/>
      <sheetName val="Pile_cap7"/>
      <sheetName val="BH_12-11-10-138"/>
      <sheetName val="BH_12-11-10-98"/>
      <sheetName val="BH_36-15-378"/>
      <sheetName val="BH_16-35-25-178"/>
      <sheetName val="BH_35-25-178"/>
      <sheetName val="Sheet1_(2)8"/>
      <sheetName val="d-safe_DELUXE7"/>
      <sheetName val="Legal_Risk_Analysis7"/>
      <sheetName val="Mix_Design7"/>
      <sheetName val="Form_68"/>
      <sheetName val="PointNo_57"/>
      <sheetName val="RCC,Ret__Wall7"/>
      <sheetName val="Break_up_Sheet7"/>
      <sheetName val="TBAL9697_-group_wise__sdpl7"/>
      <sheetName val="Abstract_Sheet7"/>
      <sheetName val="V_O_4_-_PCC_Qty7"/>
      <sheetName val="REVISED4A_PROG_PERF-SITE_17"/>
      <sheetName val="BOQ_Direct_selling_cost7"/>
      <sheetName val="BOQ_(2)7"/>
      <sheetName val="CABLE_DATA7"/>
      <sheetName val="Staff_Acco_7"/>
      <sheetName val="Pipe_Supports7"/>
      <sheetName val="final_abstract7"/>
      <sheetName val="Rev_S1_Abstract7"/>
      <sheetName val="Quantity_Abstract7"/>
      <sheetName val="M-Book_for_Conc7"/>
      <sheetName val="M-Book_for_FW7"/>
      <sheetName val="Load_Details-220kV7"/>
      <sheetName val="beam-reinft-IIInd_floor7"/>
      <sheetName val="Project_Budget_Worksheet7"/>
      <sheetName val="SANJAY_PAL7"/>
      <sheetName val="P_A_SELVAM7"/>
      <sheetName val="ANSARI_7"/>
      <sheetName val="abdesh_pal7"/>
      <sheetName val="sujay_bagchi7"/>
      <sheetName val="S_K_SINHA_BASU7"/>
      <sheetName val="KRISHNA_PRASAD7"/>
      <sheetName val="BARATH_&amp;_CO7"/>
      <sheetName val="L_B_YADAV7"/>
      <sheetName val="DEEPAK_KUMAR7"/>
      <sheetName val="MUKLAL_YADAV7"/>
      <sheetName val="MADHU_SUDHAN7"/>
      <sheetName val="SAUD_ALAM_7"/>
      <sheetName val="RAMESH_BABU7"/>
      <sheetName val="SAILEN_SARKAR7"/>
      <sheetName val="SANJAY_JENA17"/>
      <sheetName val="upendra_saw_7"/>
      <sheetName val="ALLOK_KUMAR_7"/>
      <sheetName val="except_wiring7"/>
      <sheetName val="BOQ_-II_ph_27"/>
      <sheetName val="STAFFSCHED_6"/>
      <sheetName val="Metso_-_Forth_&amp;_Slurry_11_02_16"/>
      <sheetName val="d-safe_specs6"/>
      <sheetName val="Quote_Sheet6"/>
      <sheetName val="class_&amp;_category6"/>
      <sheetName val="Rein-Final_(Ph_1+Ph2)6"/>
      <sheetName val="220_11__BS_6"/>
      <sheetName val="SSR_&amp;_NSSR_Market_final6"/>
      <sheetName val="Site_wise_NADs6"/>
      <sheetName val="RA_RCC_F6"/>
      <sheetName val="Stress_Calculation6"/>
      <sheetName val="precast_RC_element6"/>
      <sheetName val="plinth_Beam_+_Stirrups_6"/>
      <sheetName val="GF_COLUMNS6"/>
      <sheetName val="G_F_ROOF_BEAM_6"/>
      <sheetName val="GF_SLAB_STEEL6"/>
      <sheetName val="GF_Lintel6"/>
      <sheetName val="GF_Stair6"/>
      <sheetName val="FF_COLUMNS6"/>
      <sheetName val="F_F__Steel_FINAL_(2)6"/>
      <sheetName val="FF_Lintel6"/>
      <sheetName val="FF_Stair6"/>
      <sheetName val="S_F__Steel_FINAL_6"/>
      <sheetName val="SF_Lintel6"/>
      <sheetName val="glass_project_concrete10"/>
      <sheetName val="glass_project_reift10"/>
      <sheetName val="glass_project_indices10"/>
      <sheetName val="SBC-BH_199"/>
      <sheetName val="Summary_05069"/>
      <sheetName val="Summary_0607-_31_MAR9"/>
      <sheetName val="Civil_Boq8"/>
      <sheetName val="Pile_cap8"/>
      <sheetName val="BH_12-11-10-139"/>
      <sheetName val="BH_12-11-10-99"/>
      <sheetName val="BH_36-15-379"/>
      <sheetName val="BH_16-35-25-179"/>
      <sheetName val="BH_35-25-179"/>
      <sheetName val="Sheet1_(2)9"/>
      <sheetName val="d-safe_DELUXE8"/>
      <sheetName val="Legal_Risk_Analysis8"/>
      <sheetName val="Mix_Design8"/>
      <sheetName val="Form_69"/>
      <sheetName val="PointNo_58"/>
      <sheetName val="RCC,Ret__Wall8"/>
      <sheetName val="Break_up_Sheet8"/>
      <sheetName val="TBAL9697_-group_wise__sdpl8"/>
      <sheetName val="Abstract_Sheet8"/>
      <sheetName val="V_O_4_-_PCC_Qty8"/>
      <sheetName val="Fill_this_out_first___8"/>
      <sheetName val="REVISED4A_PROG_PERF-SITE_18"/>
      <sheetName val="BOQ_Direct_selling_cost8"/>
      <sheetName val="BOQ_(2)8"/>
      <sheetName val="CABLE_DATA8"/>
      <sheetName val="Staff_Acco_8"/>
      <sheetName val="Pipe_Supports8"/>
      <sheetName val="final_abstract8"/>
      <sheetName val="Rev_S1_Abstract8"/>
      <sheetName val="Quantity_Abstract8"/>
      <sheetName val="M-Book_for_Conc8"/>
      <sheetName val="M-Book_for_FW8"/>
      <sheetName val="Load_Details-220kV8"/>
      <sheetName val="beam-reinft-IIInd_floor8"/>
      <sheetName val="Project_Budget_Worksheet8"/>
      <sheetName val="SANJAY_PAL8"/>
      <sheetName val="P_A_SELVAM8"/>
      <sheetName val="ANSARI_8"/>
      <sheetName val="abdesh_pal8"/>
      <sheetName val="sujay_bagchi8"/>
      <sheetName val="S_K_SINHA_BASU8"/>
      <sheetName val="KRISHNA_PRASAD8"/>
      <sheetName val="BARATH_&amp;_CO8"/>
      <sheetName val="L_B_YADAV8"/>
      <sheetName val="DEEPAK_KUMAR8"/>
      <sheetName val="MUKLAL_YADAV8"/>
      <sheetName val="MADHU_SUDHAN8"/>
      <sheetName val="SAUD_ALAM_8"/>
      <sheetName val="RAMESH_BABU8"/>
      <sheetName val="SAILEN_SARKAR8"/>
      <sheetName val="SANJAY_JENA18"/>
      <sheetName val="upendra_saw_8"/>
      <sheetName val="ALLOK_KUMAR_8"/>
      <sheetName val="except_wiring8"/>
      <sheetName val="BOQ_-II_ph_28"/>
      <sheetName val="STAFFSCHED_7"/>
      <sheetName val="Metso_-_Forth_&amp;_Slurry_11_02_17"/>
      <sheetName val="d-safe_specs7"/>
      <sheetName val="Quote_Sheet7"/>
      <sheetName val="class_&amp;_category7"/>
      <sheetName val="Rein-Final_(Ph_1+Ph2)7"/>
      <sheetName val="220_11__BS_7"/>
      <sheetName val="SSR_&amp;_NSSR_Market_final7"/>
      <sheetName val="Site_wise_NADs7"/>
      <sheetName val="RA_RCC_F7"/>
      <sheetName val="Stress_Calculation7"/>
      <sheetName val="precast_RC_element7"/>
      <sheetName val="plinth_Beam_+_Stirrups_7"/>
      <sheetName val="GF_COLUMNS7"/>
      <sheetName val="G_F_ROOF_BEAM_7"/>
      <sheetName val="GF_SLAB_STEEL7"/>
      <sheetName val="GF_Lintel7"/>
      <sheetName val="GF_Stair7"/>
      <sheetName val="FF_COLUMNS7"/>
      <sheetName val="F_F__Steel_FINAL_(2)7"/>
      <sheetName val="FF_Lintel7"/>
      <sheetName val="FF_Stair7"/>
      <sheetName val="S_F__Steel_FINAL_7"/>
      <sheetName val="SF_Lintel7"/>
      <sheetName val="glass_project_concrete11"/>
      <sheetName val="glass_project_reift11"/>
      <sheetName val="glass_project_indices11"/>
      <sheetName val="SBC-BH_1910"/>
      <sheetName val="Summary_050610"/>
      <sheetName val="Summary_0607-_31_MAR10"/>
      <sheetName val="Civil_Boq9"/>
      <sheetName val="Pile_cap9"/>
      <sheetName val="BH_12-11-10-1310"/>
      <sheetName val="BH_12-11-10-910"/>
      <sheetName val="BH_36-15-3710"/>
      <sheetName val="BH_16-35-25-1710"/>
      <sheetName val="BH_35-25-1710"/>
      <sheetName val="Sheet1_(2)10"/>
      <sheetName val="d-safe_DELUXE9"/>
      <sheetName val="Legal_Risk_Analysis9"/>
      <sheetName val="Mix_Design9"/>
      <sheetName val="Form_610"/>
      <sheetName val="PointNo_59"/>
      <sheetName val="RCC,Ret__Wall9"/>
      <sheetName val="Break_up_Sheet9"/>
      <sheetName val="TBAL9697_-group_wise__sdpl9"/>
      <sheetName val="Abstract_Sheet9"/>
      <sheetName val="V_O_4_-_PCC_Qty9"/>
      <sheetName val="Fill_this_out_first___9"/>
      <sheetName val="REVISED4A_PROG_PERF-SITE_19"/>
      <sheetName val="BOQ_Direct_selling_cost9"/>
      <sheetName val="BOQ_(2)9"/>
      <sheetName val="CABLE_DATA9"/>
      <sheetName val="Staff_Acco_9"/>
      <sheetName val="Pipe_Supports9"/>
      <sheetName val="final_abstract9"/>
      <sheetName val="Rev_S1_Abstract9"/>
      <sheetName val="Quantity_Abstract9"/>
      <sheetName val="M-Book_for_Conc9"/>
      <sheetName val="M-Book_for_FW9"/>
      <sheetName val="Load_Details-220kV9"/>
      <sheetName val="beam-reinft-IIInd_floor9"/>
      <sheetName val="Project_Budget_Worksheet9"/>
      <sheetName val="SANJAY_PAL9"/>
      <sheetName val="P_A_SELVAM9"/>
      <sheetName val="ANSARI_9"/>
      <sheetName val="abdesh_pal9"/>
      <sheetName val="sujay_bagchi9"/>
      <sheetName val="S_K_SINHA_BASU9"/>
      <sheetName val="KRISHNA_PRASAD9"/>
      <sheetName val="BARATH_&amp;_CO9"/>
      <sheetName val="L_B_YADAV9"/>
      <sheetName val="DEEPAK_KUMAR9"/>
      <sheetName val="MUKLAL_YADAV9"/>
      <sheetName val="MADHU_SUDHAN9"/>
      <sheetName val="SAUD_ALAM_9"/>
      <sheetName val="RAMESH_BABU9"/>
      <sheetName val="SAILEN_SARKAR9"/>
      <sheetName val="SANJAY_JENA19"/>
      <sheetName val="upendra_saw_9"/>
      <sheetName val="ALLOK_KUMAR_9"/>
      <sheetName val="except_wiring9"/>
      <sheetName val="BOQ_-II_ph_29"/>
      <sheetName val="STAFFSCHED_8"/>
      <sheetName val="Metso_-_Forth_&amp;_Slurry_11_02_18"/>
      <sheetName val="d-safe_specs8"/>
      <sheetName val="Quote_Sheet8"/>
      <sheetName val="class_&amp;_category8"/>
      <sheetName val="Rein-Final_(Ph_1+Ph2)8"/>
      <sheetName val="220_11__BS_8"/>
      <sheetName val="SSR_&amp;_NSSR_Market_final8"/>
      <sheetName val="Site_wise_NADs8"/>
      <sheetName val="RA_RCC_F8"/>
      <sheetName val="Stress_Calculation8"/>
      <sheetName val="precast_RC_element8"/>
      <sheetName val="plinth_Beam_+_Stirrups_8"/>
      <sheetName val="GF_COLUMNS8"/>
      <sheetName val="G_F_ROOF_BEAM_8"/>
      <sheetName val="GF_SLAB_STEEL8"/>
      <sheetName val="GF_Lintel8"/>
      <sheetName val="GF_Stair8"/>
      <sheetName val="FF_COLUMNS8"/>
      <sheetName val="F_F__Steel_FINAL_(2)8"/>
      <sheetName val="FF_Lintel8"/>
      <sheetName val="FF_Stair8"/>
      <sheetName val="S_F__Steel_FINAL_8"/>
      <sheetName val="SF_Lintel8"/>
      <sheetName val="B@__x0000__x0004_@_x0000__x0000"/>
      <sheetName val="Material List "/>
      <sheetName val="glass_project_concrete17"/>
      <sheetName val="glass_project_reift17"/>
      <sheetName val="glass_project_indices17"/>
      <sheetName val="SBC-BH_1916"/>
      <sheetName val="Summary_050616"/>
      <sheetName val="Summary_0607-_31_MAR16"/>
      <sheetName val="Civil_Boq15"/>
      <sheetName val="Pile_cap15"/>
      <sheetName val="BH_12-11-10-1316"/>
      <sheetName val="BH_12-11-10-916"/>
      <sheetName val="BH_36-15-3716"/>
      <sheetName val="BH_16-35-25-1716"/>
      <sheetName val="BH_35-25-1716"/>
      <sheetName val="Sheet1_(2)16"/>
      <sheetName val="d-safe_DELUXE15"/>
      <sheetName val="Legal_Risk_Analysis15"/>
      <sheetName val="Mix_Design15"/>
      <sheetName val="Form_616"/>
      <sheetName val="PointNo_515"/>
      <sheetName val="RCC,Ret__Wall15"/>
      <sheetName val="Break_up_Sheet15"/>
      <sheetName val="TBAL9697_-group_wise__sdpl15"/>
      <sheetName val="Abstract_Sheet15"/>
      <sheetName val="V_O_4_-_PCC_Qty15"/>
      <sheetName val="Fill_this_out_first___15"/>
      <sheetName val="REVISED4A_PROG_PERF-SITE_115"/>
      <sheetName val="BOQ_Direct_selling_cost15"/>
      <sheetName val="BOQ_(2)15"/>
      <sheetName val="CABLE_DATA15"/>
      <sheetName val="Staff_Acco_15"/>
      <sheetName val="Pipe_Supports15"/>
      <sheetName val="final_abstract15"/>
      <sheetName val="Rev_S1_Abstract15"/>
      <sheetName val="Quantity_Abstract15"/>
      <sheetName val="M-Book_for_Conc15"/>
      <sheetName val="M-Book_for_FW15"/>
      <sheetName val="Load_Details-220kV15"/>
      <sheetName val="beam-reinft-IIInd_floor15"/>
      <sheetName val="Project_Budget_Worksheet15"/>
      <sheetName val="SANJAY_PAL15"/>
      <sheetName val="P_A_SELVAM15"/>
      <sheetName val="ANSARI_15"/>
      <sheetName val="abdesh_pal15"/>
      <sheetName val="sujay_bagchi15"/>
      <sheetName val="S_K_SINHA_BASU15"/>
      <sheetName val="KRISHNA_PRASAD15"/>
      <sheetName val="BARATH_&amp;_CO15"/>
      <sheetName val="L_B_YADAV15"/>
      <sheetName val="DEEPAK_KUMAR15"/>
      <sheetName val="MUKLAL_YADAV15"/>
      <sheetName val="MADHU_SUDHAN15"/>
      <sheetName val="SAUD_ALAM_15"/>
      <sheetName val="RAMESH_BABU15"/>
      <sheetName val="SAILEN_SARKAR15"/>
      <sheetName val="SANJAY_JENA115"/>
      <sheetName val="upendra_saw_15"/>
      <sheetName val="ALLOK_KUMAR_15"/>
      <sheetName val="except_wiring15"/>
      <sheetName val="BOQ_-II_ph_215"/>
      <sheetName val="STAFFSCHED_14"/>
      <sheetName val="Metso_-_Forth_&amp;_Slurry_11_02_24"/>
      <sheetName val="d-safe_specs14"/>
      <sheetName val="Quote_Sheet14"/>
      <sheetName val="class_&amp;_category14"/>
      <sheetName val="Rein-Final_(Ph_1+Ph2)14"/>
      <sheetName val="220_11__BS_14"/>
      <sheetName val="SSR_&amp;_NSSR_Market_final14"/>
      <sheetName val="Site_wise_NADs14"/>
      <sheetName val="RA_RCC_F14"/>
      <sheetName val="Stress_Calculation14"/>
      <sheetName val="precast_RC_element14"/>
      <sheetName val="plinth_Beam_+_Stirrups_14"/>
      <sheetName val="GF_COLUMNS14"/>
      <sheetName val="G_F_ROOF_BEAM_14"/>
      <sheetName val="GF_SLAB_STEEL14"/>
      <sheetName val="GF_Lintel14"/>
      <sheetName val="GF_Stair14"/>
      <sheetName val="FF_COLUMNS14"/>
      <sheetName val="F_F__Steel_FINAL_(2)14"/>
      <sheetName val="FF_Lintel14"/>
      <sheetName val="FF_Stair14"/>
      <sheetName val="S_F__Steel_FINAL_14"/>
      <sheetName val="SF_Lintel14"/>
      <sheetName val="glass_project_concrete13"/>
      <sheetName val="glass_project_reift13"/>
      <sheetName val="glass_project_indices13"/>
      <sheetName val="SBC-BH_1912"/>
      <sheetName val="Summary_050612"/>
      <sheetName val="Summary_0607-_31_MAR12"/>
      <sheetName val="Civil_Boq11"/>
      <sheetName val="Pile_cap11"/>
      <sheetName val="BH_12-11-10-1312"/>
      <sheetName val="BH_12-11-10-912"/>
      <sheetName val="BH_36-15-3712"/>
      <sheetName val="BH_16-35-25-1712"/>
      <sheetName val="BH_35-25-1712"/>
      <sheetName val="Sheet1_(2)12"/>
      <sheetName val="d-safe_DELUXE11"/>
      <sheetName val="Legal_Risk_Analysis11"/>
      <sheetName val="Mix_Design11"/>
      <sheetName val="Form_612"/>
      <sheetName val="PointNo_511"/>
      <sheetName val="RCC,Ret__Wall11"/>
      <sheetName val="Break_up_Sheet11"/>
      <sheetName val="TBAL9697_-group_wise__sdpl11"/>
      <sheetName val="Abstract_Sheet11"/>
      <sheetName val="V_O_4_-_PCC_Qty11"/>
      <sheetName val="Fill_this_out_first___11"/>
      <sheetName val="REVISED4A_PROG_PERF-SITE_111"/>
      <sheetName val="BOQ_Direct_selling_cost11"/>
      <sheetName val="BOQ_(2)11"/>
      <sheetName val="CABLE_DATA11"/>
      <sheetName val="Staff_Acco_11"/>
      <sheetName val="Pipe_Supports11"/>
      <sheetName val="final_abstract11"/>
      <sheetName val="Rev_S1_Abstract11"/>
      <sheetName val="Quantity_Abstract11"/>
      <sheetName val="M-Book_for_Conc11"/>
      <sheetName val="M-Book_for_FW11"/>
      <sheetName val="Load_Details-220kV11"/>
      <sheetName val="beam-reinft-IIInd_floor11"/>
      <sheetName val="Project_Budget_Worksheet11"/>
      <sheetName val="SANJAY_PAL11"/>
      <sheetName val="P_A_SELVAM11"/>
      <sheetName val="ANSARI_11"/>
      <sheetName val="abdesh_pal11"/>
      <sheetName val="sujay_bagchi11"/>
      <sheetName val="S_K_SINHA_BASU11"/>
      <sheetName val="KRISHNA_PRASAD11"/>
      <sheetName val="BARATH_&amp;_CO11"/>
      <sheetName val="L_B_YADAV11"/>
      <sheetName val="DEEPAK_KUMAR11"/>
      <sheetName val="MUKLAL_YADAV11"/>
      <sheetName val="MADHU_SUDHAN11"/>
      <sheetName val="SAUD_ALAM_11"/>
      <sheetName val="RAMESH_BABU11"/>
      <sheetName val="SAILEN_SARKAR11"/>
      <sheetName val="SANJAY_JENA111"/>
      <sheetName val="upendra_saw_11"/>
      <sheetName val="ALLOK_KUMAR_11"/>
      <sheetName val="except_wiring11"/>
      <sheetName val="BOQ_-II_ph_211"/>
      <sheetName val="STAFFSCHED_10"/>
      <sheetName val="Metso_-_Forth_&amp;_Slurry_11_02_20"/>
      <sheetName val="d-safe_specs10"/>
      <sheetName val="Quote_Sheet10"/>
      <sheetName val="class_&amp;_category10"/>
      <sheetName val="Rein-Final_(Ph_1+Ph2)10"/>
      <sheetName val="220_11__BS_10"/>
      <sheetName val="SSR_&amp;_NSSR_Market_final10"/>
      <sheetName val="Site_wise_NADs10"/>
      <sheetName val="RA_RCC_F10"/>
      <sheetName val="Stress_Calculation10"/>
      <sheetName val="precast_RC_element10"/>
      <sheetName val="plinth_Beam_+_Stirrups_10"/>
      <sheetName val="GF_COLUMNS10"/>
      <sheetName val="G_F_ROOF_BEAM_10"/>
      <sheetName val="GF_SLAB_STEEL10"/>
      <sheetName val="GF_Lintel10"/>
      <sheetName val="GF_Stair10"/>
      <sheetName val="FF_COLUMNS10"/>
      <sheetName val="F_F__Steel_FINAL_(2)10"/>
      <sheetName val="FF_Lintel10"/>
      <sheetName val="FF_Stair10"/>
      <sheetName val="S_F__Steel_FINAL_10"/>
      <sheetName val="SF_Lintel10"/>
      <sheetName val="glass_project_concrete12"/>
      <sheetName val="glass_project_reift12"/>
      <sheetName val="glass_project_indices12"/>
      <sheetName val="SBC-BH_1911"/>
      <sheetName val="Summary_050611"/>
      <sheetName val="Summary_0607-_31_MAR11"/>
      <sheetName val="Civil_Boq10"/>
      <sheetName val="Pile_cap10"/>
      <sheetName val="BH_12-11-10-1311"/>
      <sheetName val="BH_12-11-10-911"/>
      <sheetName val="BH_36-15-3711"/>
      <sheetName val="BH_16-35-25-1711"/>
      <sheetName val="BH_35-25-1711"/>
      <sheetName val="Sheet1_(2)11"/>
      <sheetName val="d-safe_DELUXE10"/>
      <sheetName val="Legal_Risk_Analysis10"/>
      <sheetName val="Mix_Design10"/>
      <sheetName val="Form_611"/>
      <sheetName val="PointNo_510"/>
      <sheetName val="RCC,Ret__Wall10"/>
      <sheetName val="Break_up_Sheet10"/>
      <sheetName val="TBAL9697_-group_wise__sdpl10"/>
      <sheetName val="Abstract_Sheet10"/>
      <sheetName val="V_O_4_-_PCC_Qty10"/>
      <sheetName val="Fill_this_out_first___10"/>
      <sheetName val="REVISED4A_PROG_PERF-SITE_110"/>
      <sheetName val="BOQ_Direct_selling_cost10"/>
      <sheetName val="BOQ_(2)10"/>
      <sheetName val="CABLE_DATA10"/>
      <sheetName val="Staff_Acco_10"/>
      <sheetName val="Pipe_Supports10"/>
      <sheetName val="final_abstract10"/>
      <sheetName val="Rev_S1_Abstract10"/>
      <sheetName val="Quantity_Abstract10"/>
      <sheetName val="M-Book_for_Conc10"/>
      <sheetName val="M-Book_for_FW10"/>
      <sheetName val="Load_Details-220kV10"/>
      <sheetName val="beam-reinft-IIInd_floor10"/>
      <sheetName val="Project_Budget_Worksheet10"/>
      <sheetName val="SANJAY_PAL10"/>
      <sheetName val="P_A_SELVAM10"/>
      <sheetName val="ANSARI_10"/>
      <sheetName val="abdesh_pal10"/>
      <sheetName val="sujay_bagchi10"/>
      <sheetName val="S_K_SINHA_BASU10"/>
      <sheetName val="KRISHNA_PRASAD10"/>
      <sheetName val="BARATH_&amp;_CO10"/>
      <sheetName val="L_B_YADAV10"/>
      <sheetName val="DEEPAK_KUMAR10"/>
      <sheetName val="MUKLAL_YADAV10"/>
      <sheetName val="MADHU_SUDHAN10"/>
      <sheetName val="SAUD_ALAM_10"/>
      <sheetName val="RAMESH_BABU10"/>
      <sheetName val="SAILEN_SARKAR10"/>
      <sheetName val="SANJAY_JENA110"/>
      <sheetName val="upendra_saw_10"/>
      <sheetName val="ALLOK_KUMAR_10"/>
      <sheetName val="except_wiring10"/>
      <sheetName val="BOQ_-II_ph_210"/>
      <sheetName val="STAFFSCHED_9"/>
      <sheetName val="Metso_-_Forth_&amp;_Slurry_11_02_19"/>
      <sheetName val="d-safe_specs9"/>
      <sheetName val="Quote_Sheet9"/>
      <sheetName val="class_&amp;_category9"/>
      <sheetName val="Rein-Final_(Ph_1+Ph2)9"/>
      <sheetName val="220_11__BS_9"/>
      <sheetName val="SSR_&amp;_NSSR_Market_final9"/>
      <sheetName val="Site_wise_NADs9"/>
      <sheetName val="RA_RCC_F9"/>
      <sheetName val="Stress_Calculation9"/>
      <sheetName val="precast_RC_element9"/>
      <sheetName val="plinth_Beam_+_Stirrups_9"/>
      <sheetName val="GF_COLUMNS9"/>
      <sheetName val="G_F_ROOF_BEAM_9"/>
      <sheetName val="GF_SLAB_STEEL9"/>
      <sheetName val="GF_Lintel9"/>
      <sheetName val="GF_Stair9"/>
      <sheetName val="FF_COLUMNS9"/>
      <sheetName val="F_F__Steel_FINAL_(2)9"/>
      <sheetName val="FF_Lintel9"/>
      <sheetName val="FF_Stair9"/>
      <sheetName val="S_F__Steel_FINAL_9"/>
      <sheetName val="SF_Lintel9"/>
      <sheetName val="glass_project_concrete14"/>
      <sheetName val="glass_project_reift14"/>
      <sheetName val="glass_project_indices14"/>
      <sheetName val="SBC-BH_1913"/>
      <sheetName val="Summary_050613"/>
      <sheetName val="Summary_0607-_31_MAR13"/>
      <sheetName val="Civil_Boq12"/>
      <sheetName val="Pile_cap12"/>
      <sheetName val="BH_12-11-10-1313"/>
      <sheetName val="BH_12-11-10-913"/>
      <sheetName val="BH_36-15-3713"/>
      <sheetName val="BH_16-35-25-1713"/>
      <sheetName val="BH_35-25-1713"/>
      <sheetName val="Sheet1_(2)13"/>
      <sheetName val="d-safe_DELUXE12"/>
      <sheetName val="Legal_Risk_Analysis12"/>
      <sheetName val="Mix_Design12"/>
      <sheetName val="Form_613"/>
      <sheetName val="PointNo_512"/>
      <sheetName val="RCC,Ret__Wall12"/>
      <sheetName val="Break_up_Sheet12"/>
      <sheetName val="TBAL9697_-group_wise__sdpl12"/>
      <sheetName val="Abstract_Sheet12"/>
      <sheetName val="V_O_4_-_PCC_Qty12"/>
      <sheetName val="Fill_this_out_first___12"/>
      <sheetName val="REVISED4A_PROG_PERF-SITE_112"/>
      <sheetName val="BOQ_Direct_selling_cost12"/>
      <sheetName val="BOQ_(2)12"/>
      <sheetName val="CABLE_DATA12"/>
      <sheetName val="Staff_Acco_12"/>
      <sheetName val="Pipe_Supports12"/>
      <sheetName val="final_abstract12"/>
      <sheetName val="Rev_S1_Abstract12"/>
      <sheetName val="Quantity_Abstract12"/>
      <sheetName val="M-Book_for_Conc12"/>
      <sheetName val="M-Book_for_FW12"/>
      <sheetName val="Load_Details-220kV12"/>
      <sheetName val="beam-reinft-IIInd_floor12"/>
      <sheetName val="Project_Budget_Worksheet12"/>
      <sheetName val="SANJAY_PAL12"/>
      <sheetName val="P_A_SELVAM12"/>
      <sheetName val="ANSARI_12"/>
      <sheetName val="abdesh_pal12"/>
      <sheetName val="sujay_bagchi12"/>
      <sheetName val="S_K_SINHA_BASU12"/>
      <sheetName val="KRISHNA_PRASAD12"/>
      <sheetName val="BARATH_&amp;_CO12"/>
      <sheetName val="L_B_YADAV12"/>
      <sheetName val="DEEPAK_KUMAR12"/>
      <sheetName val="MUKLAL_YADAV12"/>
      <sheetName val="MADHU_SUDHAN12"/>
      <sheetName val="SAUD_ALAM_12"/>
      <sheetName val="RAMESH_BABU12"/>
      <sheetName val="SAILEN_SARKAR12"/>
      <sheetName val="SANJAY_JENA112"/>
      <sheetName val="upendra_saw_12"/>
      <sheetName val="ALLOK_KUMAR_12"/>
      <sheetName val="except_wiring12"/>
      <sheetName val="BOQ_-II_ph_212"/>
      <sheetName val="STAFFSCHED_11"/>
      <sheetName val="Metso_-_Forth_&amp;_Slurry_11_02_21"/>
      <sheetName val="d-safe_specs11"/>
      <sheetName val="Quote_Sheet11"/>
      <sheetName val="class_&amp;_category11"/>
      <sheetName val="Rein-Final_(Ph_1+Ph2)11"/>
      <sheetName val="220_11__BS_11"/>
      <sheetName val="SSR_&amp;_NSSR_Market_final11"/>
      <sheetName val="Site_wise_NADs11"/>
      <sheetName val="RA_RCC_F11"/>
      <sheetName val="Stress_Calculation11"/>
      <sheetName val="precast_RC_element11"/>
      <sheetName val="plinth_Beam_+_Stirrups_11"/>
      <sheetName val="GF_COLUMNS11"/>
      <sheetName val="G_F_ROOF_BEAM_11"/>
      <sheetName val="GF_SLAB_STEEL11"/>
      <sheetName val="GF_Lintel11"/>
      <sheetName val="GF_Stair11"/>
      <sheetName val="FF_COLUMNS11"/>
      <sheetName val="F_F__Steel_FINAL_(2)11"/>
      <sheetName val="FF_Lintel11"/>
      <sheetName val="FF_Stair11"/>
      <sheetName val="S_F__Steel_FINAL_11"/>
      <sheetName val="SF_Lintel11"/>
      <sheetName val="glass_project_concrete15"/>
      <sheetName val="glass_project_reift15"/>
      <sheetName val="glass_project_indices15"/>
      <sheetName val="SBC-BH_1914"/>
      <sheetName val="Summary_050614"/>
      <sheetName val="Summary_0607-_31_MAR14"/>
      <sheetName val="Civil_Boq13"/>
      <sheetName val="Pile_cap13"/>
      <sheetName val="BH_12-11-10-1314"/>
      <sheetName val="BH_12-11-10-914"/>
      <sheetName val="BH_36-15-3714"/>
      <sheetName val="BH_16-35-25-1714"/>
      <sheetName val="BH_35-25-1714"/>
      <sheetName val="Sheet1_(2)14"/>
      <sheetName val="d-safe_DELUXE13"/>
      <sheetName val="Legal_Risk_Analysis13"/>
      <sheetName val="Mix_Design13"/>
      <sheetName val="Form_614"/>
      <sheetName val="PointNo_513"/>
      <sheetName val="RCC,Ret__Wall13"/>
      <sheetName val="Break_up_Sheet13"/>
      <sheetName val="TBAL9697_-group_wise__sdpl13"/>
      <sheetName val="Abstract_Sheet13"/>
      <sheetName val="V_O_4_-_PCC_Qty13"/>
      <sheetName val="Fill_this_out_first___13"/>
      <sheetName val="REVISED4A_PROG_PERF-SITE_113"/>
      <sheetName val="BOQ_Direct_selling_cost13"/>
      <sheetName val="BOQ_(2)13"/>
      <sheetName val="CABLE_DATA13"/>
      <sheetName val="Staff_Acco_13"/>
      <sheetName val="Pipe_Supports13"/>
      <sheetName val="final_abstract13"/>
      <sheetName val="Rev_S1_Abstract13"/>
      <sheetName val="Quantity_Abstract13"/>
      <sheetName val="M-Book_for_Conc13"/>
      <sheetName val="M-Book_for_FW13"/>
      <sheetName val="Load_Details-220kV13"/>
      <sheetName val="beam-reinft-IIInd_floor13"/>
      <sheetName val="Project_Budget_Worksheet13"/>
      <sheetName val="SANJAY_PAL13"/>
      <sheetName val="P_A_SELVAM13"/>
      <sheetName val="ANSARI_13"/>
      <sheetName val="abdesh_pal13"/>
      <sheetName val="sujay_bagchi13"/>
      <sheetName val="S_K_SINHA_BASU13"/>
      <sheetName val="KRISHNA_PRASAD13"/>
      <sheetName val="BARATH_&amp;_CO13"/>
      <sheetName val="L_B_YADAV13"/>
      <sheetName val="DEEPAK_KUMAR13"/>
      <sheetName val="MUKLAL_YADAV13"/>
      <sheetName val="MADHU_SUDHAN13"/>
      <sheetName val="SAUD_ALAM_13"/>
      <sheetName val="RAMESH_BABU13"/>
      <sheetName val="SAILEN_SARKAR13"/>
      <sheetName val="SANJAY_JENA113"/>
      <sheetName val="upendra_saw_13"/>
      <sheetName val="ALLOK_KUMAR_13"/>
      <sheetName val="except_wiring13"/>
      <sheetName val="BOQ_-II_ph_213"/>
      <sheetName val="STAFFSCHED_12"/>
      <sheetName val="Metso_-_Forth_&amp;_Slurry_11_02_22"/>
      <sheetName val="d-safe_specs12"/>
      <sheetName val="Quote_Sheet12"/>
      <sheetName val="class_&amp;_category12"/>
      <sheetName val="Rein-Final_(Ph_1+Ph2)12"/>
      <sheetName val="220_11__BS_12"/>
      <sheetName val="SSR_&amp;_NSSR_Market_final12"/>
      <sheetName val="Site_wise_NADs12"/>
      <sheetName val="RA_RCC_F12"/>
      <sheetName val="Stress_Calculation12"/>
      <sheetName val="precast_RC_element12"/>
      <sheetName val="plinth_Beam_+_Stirrups_12"/>
      <sheetName val="GF_COLUMNS12"/>
      <sheetName val="G_F_ROOF_BEAM_12"/>
      <sheetName val="GF_SLAB_STEEL12"/>
      <sheetName val="GF_Lintel12"/>
      <sheetName val="GF_Stair12"/>
      <sheetName val="FF_COLUMNS12"/>
      <sheetName val="F_F__Steel_FINAL_(2)12"/>
      <sheetName val="FF_Lintel12"/>
      <sheetName val="FF_Stair12"/>
      <sheetName val="S_F__Steel_FINAL_12"/>
      <sheetName val="SF_Lintel12"/>
      <sheetName val="glass_project_concrete16"/>
      <sheetName val="glass_project_reift16"/>
      <sheetName val="glass_project_indices16"/>
      <sheetName val="SBC-BH_1915"/>
      <sheetName val="Summary_050615"/>
      <sheetName val="Summary_0607-_31_MAR15"/>
      <sheetName val="Civil_Boq14"/>
      <sheetName val="Pile_cap14"/>
      <sheetName val="BH_12-11-10-1315"/>
      <sheetName val="BH_12-11-10-915"/>
      <sheetName val="BH_36-15-3715"/>
      <sheetName val="BH_16-35-25-1715"/>
      <sheetName val="BH_35-25-1715"/>
      <sheetName val="Sheet1_(2)15"/>
      <sheetName val="d-safe_DELUXE14"/>
      <sheetName val="Legal_Risk_Analysis14"/>
      <sheetName val="Mix_Design14"/>
      <sheetName val="Form_615"/>
      <sheetName val="PointNo_514"/>
      <sheetName val="RCC,Ret__Wall14"/>
      <sheetName val="Break_up_Sheet14"/>
      <sheetName val="TBAL9697_-group_wise__sdpl14"/>
      <sheetName val="Abstract_Sheet14"/>
      <sheetName val="V_O_4_-_PCC_Qty14"/>
      <sheetName val="Fill_this_out_first___14"/>
      <sheetName val="REVISED4A_PROG_PERF-SITE_114"/>
      <sheetName val="BOQ_Direct_selling_cost14"/>
      <sheetName val="BOQ_(2)14"/>
      <sheetName val="CABLE_DATA14"/>
      <sheetName val="Staff_Acco_14"/>
      <sheetName val="Pipe_Supports14"/>
      <sheetName val="final_abstract14"/>
      <sheetName val="Rev_S1_Abstract14"/>
      <sheetName val="Quantity_Abstract14"/>
      <sheetName val="M-Book_for_Conc14"/>
      <sheetName val="M-Book_for_FW14"/>
      <sheetName val="Load_Details-220kV14"/>
      <sheetName val="beam-reinft-IIInd_floor14"/>
      <sheetName val="Project_Budget_Worksheet14"/>
      <sheetName val="SANJAY_PAL14"/>
      <sheetName val="P_A_SELVAM14"/>
      <sheetName val="ANSARI_14"/>
      <sheetName val="abdesh_pal14"/>
      <sheetName val="sujay_bagchi14"/>
      <sheetName val="S_K_SINHA_BASU14"/>
      <sheetName val="KRISHNA_PRASAD14"/>
      <sheetName val="BARATH_&amp;_CO14"/>
      <sheetName val="L_B_YADAV14"/>
      <sheetName val="DEEPAK_KUMAR14"/>
      <sheetName val="MUKLAL_YADAV14"/>
      <sheetName val="MADHU_SUDHAN14"/>
      <sheetName val="SAUD_ALAM_14"/>
      <sheetName val="RAMESH_BABU14"/>
      <sheetName val="SAILEN_SARKAR14"/>
      <sheetName val="SANJAY_JENA114"/>
      <sheetName val="upendra_saw_14"/>
      <sheetName val="ALLOK_KUMAR_14"/>
      <sheetName val="except_wiring14"/>
      <sheetName val="BOQ_-II_ph_214"/>
      <sheetName val="STAFFSCHED_13"/>
      <sheetName val="Metso_-_Forth_&amp;_Slurry_11_02_23"/>
      <sheetName val="d-safe_specs13"/>
      <sheetName val="Quote_Sheet13"/>
      <sheetName val="class_&amp;_category13"/>
      <sheetName val="Rein-Final_(Ph_1+Ph2)13"/>
      <sheetName val="220_11__BS_13"/>
      <sheetName val="SSR_&amp;_NSSR_Market_final13"/>
      <sheetName val="Site_wise_NADs13"/>
      <sheetName val="RA_RCC_F13"/>
      <sheetName val="Stress_Calculation13"/>
      <sheetName val="precast_RC_element13"/>
      <sheetName val="plinth_Beam_+_Stirrups_13"/>
      <sheetName val="GF_COLUMNS13"/>
      <sheetName val="G_F_ROOF_BEAM_13"/>
      <sheetName val="GF_SLAB_STEEL13"/>
      <sheetName val="GF_Lintel13"/>
      <sheetName val="GF_Stair13"/>
      <sheetName val="FF_COLUMNS13"/>
      <sheetName val="F_F__Steel_FINAL_(2)13"/>
      <sheetName val="FF_Lintel13"/>
      <sheetName val="FF_Stair13"/>
      <sheetName val="S_F__Steel_FINAL_13"/>
      <sheetName val="SF_Lintel13"/>
      <sheetName val="glass_project_concrete23"/>
      <sheetName val="glass_project_reift23"/>
      <sheetName val="glass_project_indices23"/>
      <sheetName val="SBC-BH_1922"/>
      <sheetName val="Summary_050622"/>
      <sheetName val="Summary_0607-_31_MAR22"/>
      <sheetName val="Civil_Boq21"/>
      <sheetName val="Pile_cap21"/>
      <sheetName val="BH_12-11-10-1322"/>
      <sheetName val="BH_12-11-10-922"/>
      <sheetName val="BH_36-15-3722"/>
      <sheetName val="BH_16-35-25-1722"/>
      <sheetName val="BH_35-25-1722"/>
      <sheetName val="Sheet1_(2)22"/>
      <sheetName val="d-safe_DELUXE21"/>
      <sheetName val="Legal_Risk_Analysis21"/>
      <sheetName val="Mix_Design21"/>
      <sheetName val="Form_622"/>
      <sheetName val="PointNo_521"/>
      <sheetName val="RCC,Ret__Wall21"/>
      <sheetName val="Break_up_Sheet21"/>
      <sheetName val="TBAL9697_-group_wise__sdpl21"/>
      <sheetName val="Abstract_Sheet21"/>
      <sheetName val="V_O_4_-_PCC_Qty21"/>
      <sheetName val="Fill_this_out_first___21"/>
      <sheetName val="REVISED4A_PROG_PERF-SITE_121"/>
      <sheetName val="BOQ_Direct_selling_cost21"/>
      <sheetName val="BOQ_(2)21"/>
      <sheetName val="CABLE_DATA21"/>
      <sheetName val="Staff_Acco_21"/>
      <sheetName val="Pipe_Supports21"/>
      <sheetName val="final_abstract21"/>
      <sheetName val="Rev_S1_Abstract21"/>
      <sheetName val="Quantity_Abstract21"/>
      <sheetName val="M-Book_for_Conc21"/>
      <sheetName val="M-Book_for_FW21"/>
      <sheetName val="Load_Details-220kV21"/>
      <sheetName val="beam-reinft-IIInd_floor21"/>
      <sheetName val="Project_Budget_Worksheet21"/>
      <sheetName val="SANJAY_PAL21"/>
      <sheetName val="P_A_SELVAM21"/>
      <sheetName val="ANSARI_21"/>
      <sheetName val="abdesh_pal21"/>
      <sheetName val="sujay_bagchi21"/>
      <sheetName val="S_K_SINHA_BASU21"/>
      <sheetName val="KRISHNA_PRASAD21"/>
      <sheetName val="BARATH_&amp;_CO21"/>
      <sheetName val="L_B_YADAV21"/>
      <sheetName val="DEEPAK_KUMAR21"/>
      <sheetName val="MUKLAL_YADAV21"/>
      <sheetName val="MADHU_SUDHAN21"/>
      <sheetName val="SAUD_ALAM_21"/>
      <sheetName val="RAMESH_BABU21"/>
      <sheetName val="SAILEN_SARKAR21"/>
      <sheetName val="SANJAY_JENA121"/>
      <sheetName val="upendra_saw_21"/>
      <sheetName val="ALLOK_KUMAR_21"/>
      <sheetName val="except_wiring21"/>
      <sheetName val="BOQ_-II_ph_221"/>
      <sheetName val="STAFFSCHED_20"/>
      <sheetName val="Metso_-_Forth_&amp;_Slurry_11_02_30"/>
      <sheetName val="d-safe_specs20"/>
      <sheetName val="Quote_Sheet20"/>
      <sheetName val="class_&amp;_category20"/>
      <sheetName val="Rein-Final_(Ph_1+Ph2)20"/>
      <sheetName val="220_11__BS_20"/>
      <sheetName val="SSR_&amp;_NSSR_Market_final20"/>
      <sheetName val="Site_wise_NADs20"/>
      <sheetName val="RA_RCC_F20"/>
      <sheetName val="Stress_Calculation20"/>
      <sheetName val="precast_RC_element20"/>
      <sheetName val="plinth_Beam_+_Stirrups_20"/>
      <sheetName val="GF_COLUMNS20"/>
      <sheetName val="G_F_ROOF_BEAM_20"/>
      <sheetName val="GF_SLAB_STEEL20"/>
      <sheetName val="GF_Lintel20"/>
      <sheetName val="GF_Stair20"/>
      <sheetName val="FF_COLUMNS20"/>
      <sheetName val="F_F__Steel_FINAL_(2)20"/>
      <sheetName val="FF_Lintel20"/>
      <sheetName val="FF_Stair20"/>
      <sheetName val="S_F__Steel_FINAL_20"/>
      <sheetName val="SF_Lintel20"/>
      <sheetName val="glass_project_concrete18"/>
      <sheetName val="glass_project_reift18"/>
      <sheetName val="glass_project_indices18"/>
      <sheetName val="SBC-BH_1917"/>
      <sheetName val="Summary_050617"/>
      <sheetName val="Summary_0607-_31_MAR17"/>
      <sheetName val="Civil_Boq16"/>
      <sheetName val="Pile_cap16"/>
      <sheetName val="BH_12-11-10-1317"/>
      <sheetName val="BH_12-11-10-917"/>
      <sheetName val="BH_36-15-3717"/>
      <sheetName val="BH_16-35-25-1717"/>
      <sheetName val="BH_35-25-1717"/>
      <sheetName val="Sheet1_(2)17"/>
      <sheetName val="d-safe_DELUXE16"/>
      <sheetName val="Legal_Risk_Analysis16"/>
      <sheetName val="Mix_Design16"/>
      <sheetName val="Form_617"/>
      <sheetName val="PointNo_516"/>
      <sheetName val="RCC,Ret__Wall16"/>
      <sheetName val="Break_up_Sheet16"/>
      <sheetName val="TBAL9697_-group_wise__sdpl16"/>
      <sheetName val="Abstract_Sheet16"/>
      <sheetName val="V_O_4_-_PCC_Qty16"/>
      <sheetName val="Fill_this_out_first___16"/>
      <sheetName val="REVISED4A_PROG_PERF-SITE_116"/>
      <sheetName val="BOQ_Direct_selling_cost16"/>
      <sheetName val="BOQ_(2)16"/>
      <sheetName val="CABLE_DATA16"/>
      <sheetName val="Staff_Acco_16"/>
      <sheetName val="Pipe_Supports16"/>
      <sheetName val="final_abstract16"/>
      <sheetName val="Rev_S1_Abstract16"/>
      <sheetName val="Quantity_Abstract16"/>
      <sheetName val="M-Book_for_Conc16"/>
      <sheetName val="M-Book_for_FW16"/>
      <sheetName val="Load_Details-220kV16"/>
      <sheetName val="beam-reinft-IIInd_floor16"/>
      <sheetName val="Project_Budget_Worksheet16"/>
      <sheetName val="SANJAY_PAL16"/>
      <sheetName val="P_A_SELVAM16"/>
      <sheetName val="ANSARI_16"/>
      <sheetName val="abdesh_pal16"/>
      <sheetName val="sujay_bagchi16"/>
      <sheetName val="S_K_SINHA_BASU16"/>
      <sheetName val="KRISHNA_PRASAD16"/>
      <sheetName val="BARATH_&amp;_CO16"/>
      <sheetName val="L_B_YADAV16"/>
      <sheetName val="DEEPAK_KUMAR16"/>
      <sheetName val="MUKLAL_YADAV16"/>
      <sheetName val="MADHU_SUDHAN16"/>
      <sheetName val="SAUD_ALAM_16"/>
      <sheetName val="RAMESH_BABU16"/>
      <sheetName val="SAILEN_SARKAR16"/>
      <sheetName val="SANJAY_JENA116"/>
      <sheetName val="upendra_saw_16"/>
      <sheetName val="ALLOK_KUMAR_16"/>
      <sheetName val="except_wiring16"/>
      <sheetName val="BOQ_-II_ph_216"/>
      <sheetName val="STAFFSCHED_15"/>
      <sheetName val="Metso_-_Forth_&amp;_Slurry_11_02_25"/>
      <sheetName val="d-safe_specs15"/>
      <sheetName val="Quote_Sheet15"/>
      <sheetName val="class_&amp;_category15"/>
      <sheetName val="Rein-Final_(Ph_1+Ph2)15"/>
      <sheetName val="220_11__BS_15"/>
      <sheetName val="SSR_&amp;_NSSR_Market_final15"/>
      <sheetName val="Site_wise_NADs15"/>
      <sheetName val="RA_RCC_F15"/>
      <sheetName val="Stress_Calculation15"/>
      <sheetName val="precast_RC_element15"/>
      <sheetName val="plinth_Beam_+_Stirrups_15"/>
      <sheetName val="GF_COLUMNS15"/>
      <sheetName val="G_F_ROOF_BEAM_15"/>
      <sheetName val="GF_SLAB_STEEL15"/>
      <sheetName val="GF_Lintel15"/>
      <sheetName val="GF_Stair15"/>
      <sheetName val="FF_COLUMNS15"/>
      <sheetName val="F_F__Steel_FINAL_(2)15"/>
      <sheetName val="FF_Lintel15"/>
      <sheetName val="FF_Stair15"/>
      <sheetName val="S_F__Steel_FINAL_15"/>
      <sheetName val="SF_Lintel15"/>
      <sheetName val="glass_project_concrete19"/>
      <sheetName val="glass_project_reift19"/>
      <sheetName val="glass_project_indices19"/>
      <sheetName val="SBC-BH_1918"/>
      <sheetName val="Summary_050618"/>
      <sheetName val="Summary_0607-_31_MAR18"/>
      <sheetName val="Civil_Boq17"/>
      <sheetName val="Pile_cap17"/>
      <sheetName val="BH_12-11-10-1318"/>
      <sheetName val="BH_12-11-10-918"/>
      <sheetName val="BH_36-15-3718"/>
      <sheetName val="BH_16-35-25-1718"/>
      <sheetName val="BH_35-25-1718"/>
      <sheetName val="Sheet1_(2)18"/>
      <sheetName val="d-safe_DELUXE17"/>
      <sheetName val="Legal_Risk_Analysis17"/>
      <sheetName val="Mix_Design17"/>
      <sheetName val="Form_618"/>
      <sheetName val="PointNo_517"/>
      <sheetName val="RCC,Ret__Wall17"/>
      <sheetName val="Break_up_Sheet17"/>
      <sheetName val="TBAL9697_-group_wise__sdpl17"/>
      <sheetName val="Abstract_Sheet17"/>
      <sheetName val="V_O_4_-_PCC_Qty17"/>
      <sheetName val="Fill_this_out_first___17"/>
      <sheetName val="REVISED4A_PROG_PERF-SITE_117"/>
      <sheetName val="BOQ_Direct_selling_cost17"/>
      <sheetName val="BOQ_(2)17"/>
      <sheetName val="CABLE_DATA17"/>
      <sheetName val="Staff_Acco_17"/>
      <sheetName val="Pipe_Supports17"/>
      <sheetName val="final_abstract17"/>
      <sheetName val="Rev_S1_Abstract17"/>
      <sheetName val="Quantity_Abstract17"/>
      <sheetName val="M-Book_for_Conc17"/>
      <sheetName val="M-Book_for_FW17"/>
      <sheetName val="Load_Details-220kV17"/>
      <sheetName val="beam-reinft-IIInd_floor17"/>
      <sheetName val="Project_Budget_Worksheet17"/>
      <sheetName val="SANJAY_PAL17"/>
      <sheetName val="P_A_SELVAM17"/>
      <sheetName val="ANSARI_17"/>
      <sheetName val="abdesh_pal17"/>
      <sheetName val="sujay_bagchi17"/>
      <sheetName val="S_K_SINHA_BASU17"/>
      <sheetName val="KRISHNA_PRASAD17"/>
      <sheetName val="BARATH_&amp;_CO17"/>
      <sheetName val="L_B_YADAV17"/>
      <sheetName val="DEEPAK_KUMAR17"/>
      <sheetName val="MUKLAL_YADAV17"/>
      <sheetName val="MADHU_SUDHAN17"/>
      <sheetName val="SAUD_ALAM_17"/>
      <sheetName val="RAMESH_BABU17"/>
      <sheetName val="SAILEN_SARKAR17"/>
      <sheetName val="SANJAY_JENA117"/>
      <sheetName val="upendra_saw_17"/>
      <sheetName val="ALLOK_KUMAR_17"/>
      <sheetName val="except_wiring17"/>
      <sheetName val="BOQ_-II_ph_217"/>
      <sheetName val="STAFFSCHED_16"/>
      <sheetName val="Metso_-_Forth_&amp;_Slurry_11_02_26"/>
      <sheetName val="d-safe_specs16"/>
      <sheetName val="Quote_Sheet16"/>
      <sheetName val="class_&amp;_category16"/>
      <sheetName val="Rein-Final_(Ph_1+Ph2)16"/>
      <sheetName val="220_11__BS_16"/>
      <sheetName val="SSR_&amp;_NSSR_Market_final16"/>
      <sheetName val="Site_wise_NADs16"/>
      <sheetName val="RA_RCC_F16"/>
      <sheetName val="Stress_Calculation16"/>
      <sheetName val="precast_RC_element16"/>
      <sheetName val="plinth_Beam_+_Stirrups_16"/>
      <sheetName val="GF_COLUMNS16"/>
      <sheetName val="G_F_ROOF_BEAM_16"/>
      <sheetName val="GF_SLAB_STEEL16"/>
      <sheetName val="GF_Lintel16"/>
      <sheetName val="GF_Stair16"/>
      <sheetName val="FF_COLUMNS16"/>
      <sheetName val="F_F__Steel_FINAL_(2)16"/>
      <sheetName val="FF_Lintel16"/>
      <sheetName val="FF_Stair16"/>
      <sheetName val="S_F__Steel_FINAL_16"/>
      <sheetName val="SF_Lintel16"/>
      <sheetName val="PRRM_Dashboard3"/>
      <sheetName val="glass_project_concrete20"/>
      <sheetName val="glass_project_reift20"/>
      <sheetName val="glass_project_indices20"/>
      <sheetName val="SBC-BH_1919"/>
      <sheetName val="Summary_050619"/>
      <sheetName val="Summary_0607-_31_MAR19"/>
      <sheetName val="Civil_Boq18"/>
      <sheetName val="Pile_cap18"/>
      <sheetName val="BH_12-11-10-1319"/>
      <sheetName val="BH_12-11-10-919"/>
      <sheetName val="BH_36-15-3719"/>
      <sheetName val="BH_16-35-25-1719"/>
      <sheetName val="BH_35-25-1719"/>
      <sheetName val="Sheet1_(2)19"/>
      <sheetName val="d-safe_DELUXE18"/>
      <sheetName val="Legal_Risk_Analysis18"/>
      <sheetName val="Mix_Design18"/>
      <sheetName val="Form_619"/>
      <sheetName val="PointNo_518"/>
      <sheetName val="RCC,Ret__Wall18"/>
      <sheetName val="Break_up_Sheet18"/>
      <sheetName val="TBAL9697_-group_wise__sdpl18"/>
      <sheetName val="Abstract_Sheet18"/>
      <sheetName val="V_O_4_-_PCC_Qty18"/>
      <sheetName val="Fill_this_out_first___18"/>
      <sheetName val="REVISED4A_PROG_PERF-SITE_118"/>
      <sheetName val="BOQ_Direct_selling_cost18"/>
      <sheetName val="BOQ_(2)18"/>
      <sheetName val="CABLE_DATA18"/>
      <sheetName val="Staff_Acco_18"/>
      <sheetName val="Pipe_Supports18"/>
      <sheetName val="final_abstract18"/>
      <sheetName val="Rev_S1_Abstract18"/>
      <sheetName val="Quantity_Abstract18"/>
      <sheetName val="M-Book_for_Conc18"/>
      <sheetName val="M-Book_for_FW18"/>
      <sheetName val="Load_Details-220kV18"/>
      <sheetName val="beam-reinft-IIInd_floor18"/>
      <sheetName val="Project_Budget_Worksheet18"/>
      <sheetName val="SANJAY_PAL18"/>
      <sheetName val="P_A_SELVAM18"/>
      <sheetName val="ANSARI_18"/>
      <sheetName val="abdesh_pal18"/>
      <sheetName val="sujay_bagchi18"/>
      <sheetName val="S_K_SINHA_BASU18"/>
      <sheetName val="KRISHNA_PRASAD18"/>
      <sheetName val="BARATH_&amp;_CO18"/>
      <sheetName val="L_B_YADAV18"/>
      <sheetName val="DEEPAK_KUMAR18"/>
      <sheetName val="MUKLAL_YADAV18"/>
      <sheetName val="MADHU_SUDHAN18"/>
      <sheetName val="SAUD_ALAM_18"/>
      <sheetName val="RAMESH_BABU18"/>
      <sheetName val="SAILEN_SARKAR18"/>
      <sheetName val="SANJAY_JENA118"/>
      <sheetName val="upendra_saw_18"/>
      <sheetName val="ALLOK_KUMAR_18"/>
      <sheetName val="except_wiring18"/>
      <sheetName val="BOQ_-II_ph_218"/>
      <sheetName val="STAFFSCHED_17"/>
      <sheetName val="Metso_-_Forth_&amp;_Slurry_11_02_27"/>
      <sheetName val="d-safe_specs17"/>
      <sheetName val="Quote_Sheet17"/>
      <sheetName val="class_&amp;_category17"/>
      <sheetName val="Rein-Final_(Ph_1+Ph2)17"/>
      <sheetName val="220_11__BS_17"/>
      <sheetName val="SSR_&amp;_NSSR_Market_final17"/>
      <sheetName val="Site_wise_NADs17"/>
      <sheetName val="RA_RCC_F17"/>
      <sheetName val="Stress_Calculation17"/>
      <sheetName val="precast_RC_element17"/>
      <sheetName val="plinth_Beam_+_Stirrups_17"/>
      <sheetName val="GF_COLUMNS17"/>
      <sheetName val="G_F_ROOF_BEAM_17"/>
      <sheetName val="GF_SLAB_STEEL17"/>
      <sheetName val="GF_Lintel17"/>
      <sheetName val="GF_Stair17"/>
      <sheetName val="FF_COLUMNS17"/>
      <sheetName val="F_F__Steel_FINAL_(2)17"/>
      <sheetName val="FF_Lintel17"/>
      <sheetName val="FF_Stair17"/>
      <sheetName val="S_F__Steel_FINAL_17"/>
      <sheetName val="SF_Lintel17"/>
      <sheetName val="PRRM_Dashboard"/>
      <sheetName val="glass_project_concrete21"/>
      <sheetName val="glass_project_reift21"/>
      <sheetName val="glass_project_indices21"/>
      <sheetName val="SBC-BH_1920"/>
      <sheetName val="Summary_050620"/>
      <sheetName val="Summary_0607-_31_MAR20"/>
      <sheetName val="Civil_Boq19"/>
      <sheetName val="Pile_cap19"/>
      <sheetName val="BH_12-11-10-1320"/>
      <sheetName val="BH_12-11-10-920"/>
      <sheetName val="BH_36-15-3720"/>
      <sheetName val="BH_16-35-25-1720"/>
      <sheetName val="BH_35-25-1720"/>
      <sheetName val="Sheet1_(2)20"/>
      <sheetName val="d-safe_DELUXE19"/>
      <sheetName val="Legal_Risk_Analysis19"/>
      <sheetName val="Mix_Design19"/>
      <sheetName val="Form_620"/>
      <sheetName val="PointNo_519"/>
      <sheetName val="RCC,Ret__Wall19"/>
      <sheetName val="Break_up_Sheet19"/>
      <sheetName val="TBAL9697_-group_wise__sdpl19"/>
      <sheetName val="Abstract_Sheet19"/>
      <sheetName val="V_O_4_-_PCC_Qty19"/>
      <sheetName val="Fill_this_out_first___19"/>
      <sheetName val="REVISED4A_PROG_PERF-SITE_119"/>
      <sheetName val="BOQ_Direct_selling_cost19"/>
      <sheetName val="BOQ_(2)19"/>
      <sheetName val="CABLE_DATA19"/>
      <sheetName val="Staff_Acco_19"/>
      <sheetName val="Pipe_Supports19"/>
      <sheetName val="final_abstract19"/>
      <sheetName val="Rev_S1_Abstract19"/>
      <sheetName val="Quantity_Abstract19"/>
      <sheetName val="M-Book_for_Conc19"/>
      <sheetName val="M-Book_for_FW19"/>
      <sheetName val="Load_Details-220kV19"/>
      <sheetName val="beam-reinft-IIInd_floor19"/>
      <sheetName val="Project_Budget_Worksheet19"/>
      <sheetName val="SANJAY_PAL19"/>
      <sheetName val="P_A_SELVAM19"/>
      <sheetName val="ANSARI_19"/>
      <sheetName val="abdesh_pal19"/>
      <sheetName val="sujay_bagchi19"/>
      <sheetName val="S_K_SINHA_BASU19"/>
      <sheetName val="KRISHNA_PRASAD19"/>
      <sheetName val="BARATH_&amp;_CO19"/>
      <sheetName val="L_B_YADAV19"/>
      <sheetName val="DEEPAK_KUMAR19"/>
      <sheetName val="MUKLAL_YADAV19"/>
      <sheetName val="MADHU_SUDHAN19"/>
      <sheetName val="SAUD_ALAM_19"/>
      <sheetName val="RAMESH_BABU19"/>
      <sheetName val="SAILEN_SARKAR19"/>
      <sheetName val="SANJAY_JENA119"/>
      <sheetName val="upendra_saw_19"/>
      <sheetName val="ALLOK_KUMAR_19"/>
      <sheetName val="except_wiring19"/>
      <sheetName val="BOQ_-II_ph_219"/>
      <sheetName val="STAFFSCHED_18"/>
      <sheetName val="Metso_-_Forth_&amp;_Slurry_11_02_28"/>
      <sheetName val="d-safe_specs18"/>
      <sheetName val="Quote_Sheet18"/>
      <sheetName val="class_&amp;_category18"/>
      <sheetName val="Rein-Final_(Ph_1+Ph2)18"/>
      <sheetName val="220_11__BS_18"/>
      <sheetName val="SSR_&amp;_NSSR_Market_final18"/>
      <sheetName val="Site_wise_NADs18"/>
      <sheetName val="RA_RCC_F18"/>
      <sheetName val="Stress_Calculation18"/>
      <sheetName val="precast_RC_element18"/>
      <sheetName val="plinth_Beam_+_Stirrups_18"/>
      <sheetName val="GF_COLUMNS18"/>
      <sheetName val="G_F_ROOF_BEAM_18"/>
      <sheetName val="GF_SLAB_STEEL18"/>
      <sheetName val="GF_Lintel18"/>
      <sheetName val="GF_Stair18"/>
      <sheetName val="FF_COLUMNS18"/>
      <sheetName val="F_F__Steel_FINAL_(2)18"/>
      <sheetName val="FF_Lintel18"/>
      <sheetName val="FF_Stair18"/>
      <sheetName val="S_F__Steel_FINAL_18"/>
      <sheetName val="SF_Lintel18"/>
      <sheetName val="PRRM_Dashboard1"/>
      <sheetName val="glass_project_concrete22"/>
      <sheetName val="glass_project_reift22"/>
      <sheetName val="glass_project_indices22"/>
      <sheetName val="SBC-BH_1921"/>
      <sheetName val="Summary_050621"/>
      <sheetName val="Summary_0607-_31_MAR21"/>
      <sheetName val="Civil_Boq20"/>
      <sheetName val="Pile_cap20"/>
      <sheetName val="BH_12-11-10-1321"/>
      <sheetName val="BH_12-11-10-921"/>
      <sheetName val="BH_36-15-3721"/>
      <sheetName val="BH_16-35-25-1721"/>
      <sheetName val="BH_35-25-1721"/>
      <sheetName val="Sheet1_(2)21"/>
      <sheetName val="d-safe_DELUXE20"/>
      <sheetName val="Legal_Risk_Analysis20"/>
      <sheetName val="Mix_Design20"/>
      <sheetName val="Form_621"/>
      <sheetName val="PointNo_520"/>
      <sheetName val="RCC,Ret__Wall20"/>
      <sheetName val="Break_up_Sheet20"/>
      <sheetName val="TBAL9697_-group_wise__sdpl20"/>
      <sheetName val="Abstract_Sheet20"/>
      <sheetName val="V_O_4_-_PCC_Qty20"/>
      <sheetName val="Fill_this_out_first___20"/>
      <sheetName val="REVISED4A_PROG_PERF-SITE_120"/>
      <sheetName val="BOQ_Direct_selling_cost20"/>
      <sheetName val="BOQ_(2)20"/>
      <sheetName val="CABLE_DATA20"/>
      <sheetName val="Staff_Acco_20"/>
      <sheetName val="Pipe_Supports20"/>
      <sheetName val="final_abstract20"/>
      <sheetName val="Rev_S1_Abstract20"/>
      <sheetName val="Quantity_Abstract20"/>
      <sheetName val="M-Book_for_Conc20"/>
      <sheetName val="M-Book_for_FW20"/>
      <sheetName val="Load_Details-220kV20"/>
      <sheetName val="beam-reinft-IIInd_floor20"/>
      <sheetName val="Project_Budget_Worksheet20"/>
      <sheetName val="SANJAY_PAL20"/>
      <sheetName val="P_A_SELVAM20"/>
      <sheetName val="ANSARI_20"/>
      <sheetName val="abdesh_pal20"/>
      <sheetName val="sujay_bagchi20"/>
      <sheetName val="S_K_SINHA_BASU20"/>
      <sheetName val="KRISHNA_PRASAD20"/>
      <sheetName val="BARATH_&amp;_CO20"/>
      <sheetName val="L_B_YADAV20"/>
      <sheetName val="DEEPAK_KUMAR20"/>
      <sheetName val="MUKLAL_YADAV20"/>
      <sheetName val="MADHU_SUDHAN20"/>
      <sheetName val="SAUD_ALAM_20"/>
      <sheetName val="RAMESH_BABU20"/>
      <sheetName val="SAILEN_SARKAR20"/>
      <sheetName val="SANJAY_JENA120"/>
      <sheetName val="upendra_saw_20"/>
      <sheetName val="ALLOK_KUMAR_20"/>
      <sheetName val="except_wiring20"/>
      <sheetName val="BOQ_-II_ph_220"/>
      <sheetName val="STAFFSCHED_19"/>
      <sheetName val="Metso_-_Forth_&amp;_Slurry_11_02_29"/>
      <sheetName val="d-safe_specs19"/>
      <sheetName val="Quote_Sheet19"/>
      <sheetName val="class_&amp;_category19"/>
      <sheetName val="Rein-Final_(Ph_1+Ph2)19"/>
      <sheetName val="220_11__BS_19"/>
      <sheetName val="SSR_&amp;_NSSR_Market_final19"/>
      <sheetName val="Site_wise_NADs19"/>
      <sheetName val="RA_RCC_F19"/>
      <sheetName val="Stress_Calculation19"/>
      <sheetName val="precast_RC_element19"/>
      <sheetName val="plinth_Beam_+_Stirrups_19"/>
      <sheetName val="GF_COLUMNS19"/>
      <sheetName val="G_F_ROOF_BEAM_19"/>
      <sheetName val="GF_SLAB_STEEL19"/>
      <sheetName val="GF_Lintel19"/>
      <sheetName val="GF_Stair19"/>
      <sheetName val="FF_COLUMNS19"/>
      <sheetName val="F_F__Steel_FINAL_(2)19"/>
      <sheetName val="FF_Lintel19"/>
      <sheetName val="FF_Stair19"/>
      <sheetName val="S_F__Steel_FINAL_19"/>
      <sheetName val="SF_Lintel19"/>
      <sheetName val="PRRM_Dashboard2"/>
      <sheetName val="glass_project_concrete24"/>
      <sheetName val="glass_project_reift24"/>
      <sheetName val="glass_project_indices24"/>
      <sheetName val="SBC-BH_1923"/>
      <sheetName val="Summary_050623"/>
      <sheetName val="Summary_0607-_31_MAR23"/>
      <sheetName val="Civil_Boq22"/>
      <sheetName val="Pile_cap22"/>
      <sheetName val="BH_12-11-10-1323"/>
      <sheetName val="BH_12-11-10-923"/>
      <sheetName val="BH_36-15-3723"/>
      <sheetName val="BH_16-35-25-1723"/>
      <sheetName val="BH_35-25-1723"/>
      <sheetName val="Sheet1_(2)23"/>
      <sheetName val="d-safe_DELUXE22"/>
      <sheetName val="Legal_Risk_Analysis22"/>
      <sheetName val="Mix_Design22"/>
      <sheetName val="Form_623"/>
      <sheetName val="PointNo_522"/>
      <sheetName val="RCC,Ret__Wall22"/>
      <sheetName val="Break_up_Sheet22"/>
      <sheetName val="TBAL9697_-group_wise__sdpl22"/>
      <sheetName val="Abstract_Sheet22"/>
      <sheetName val="V_O_4_-_PCC_Qty22"/>
      <sheetName val="Fill_this_out_first___22"/>
      <sheetName val="REVISED4A_PROG_PERF-SITE_122"/>
      <sheetName val="BOQ_Direct_selling_cost22"/>
      <sheetName val="BOQ_(2)22"/>
      <sheetName val="CABLE_DATA22"/>
      <sheetName val="Staff_Acco_22"/>
      <sheetName val="Pipe_Supports22"/>
      <sheetName val="final_abstract22"/>
      <sheetName val="Rev_S1_Abstract22"/>
      <sheetName val="Quantity_Abstract22"/>
      <sheetName val="M-Book_for_Conc22"/>
      <sheetName val="M-Book_for_FW22"/>
      <sheetName val="Load_Details-220kV22"/>
      <sheetName val="beam-reinft-IIInd_floor22"/>
      <sheetName val="Project_Budget_Worksheet22"/>
      <sheetName val="SANJAY_PAL22"/>
      <sheetName val="P_A_SELVAM22"/>
      <sheetName val="ANSARI_22"/>
      <sheetName val="abdesh_pal22"/>
      <sheetName val="sujay_bagchi22"/>
      <sheetName val="S_K_SINHA_BASU22"/>
      <sheetName val="KRISHNA_PRASAD22"/>
      <sheetName val="BARATH_&amp;_CO22"/>
      <sheetName val="L_B_YADAV22"/>
      <sheetName val="DEEPAK_KUMAR22"/>
      <sheetName val="MUKLAL_YADAV22"/>
      <sheetName val="MADHU_SUDHAN22"/>
      <sheetName val="SAUD_ALAM_22"/>
      <sheetName val="RAMESH_BABU22"/>
      <sheetName val="SAILEN_SARKAR22"/>
      <sheetName val="SANJAY_JENA122"/>
      <sheetName val="upendra_saw_22"/>
      <sheetName val="ALLOK_KUMAR_22"/>
      <sheetName val="except_wiring22"/>
      <sheetName val="BOQ_-II_ph_222"/>
      <sheetName val="STAFFSCHED_21"/>
      <sheetName val="Metso_-_Forth_&amp;_Slurry_11_02_31"/>
      <sheetName val="d-safe_specs21"/>
      <sheetName val="Quote_Sheet21"/>
      <sheetName val="class_&amp;_category21"/>
      <sheetName val="Rein-Final_(Ph_1+Ph2)21"/>
      <sheetName val="220_11__BS_21"/>
      <sheetName val="SSR_&amp;_NSSR_Market_final21"/>
      <sheetName val="Site_wise_NADs21"/>
      <sheetName val="RA_RCC_F21"/>
      <sheetName val="Stress_Calculation21"/>
      <sheetName val="precast_RC_element21"/>
      <sheetName val="plinth_Beam_+_Stirrups_21"/>
      <sheetName val="GF_COLUMNS21"/>
      <sheetName val="G_F_ROOF_BEAM_21"/>
      <sheetName val="GF_SLAB_STEEL21"/>
      <sheetName val="GF_Lintel21"/>
      <sheetName val="GF_Stair21"/>
      <sheetName val="FF_COLUMNS21"/>
      <sheetName val="F_F__Steel_FINAL_(2)21"/>
      <sheetName val="FF_Lintel21"/>
      <sheetName val="FF_Stair21"/>
      <sheetName val="S_F__Steel_FINAL_21"/>
      <sheetName val="SF_Lintel21"/>
      <sheetName val="PRRM_Dashboard4"/>
      <sheetName val="SPT_vs_PHI25"/>
      <sheetName val="glass_project_concrete25"/>
      <sheetName val="glass_project_reift25"/>
      <sheetName val="glass_project_indices25"/>
      <sheetName val="SBC-BH_1924"/>
      <sheetName val="Summary_050624"/>
      <sheetName val="Summary_0607-_31_MAR24"/>
      <sheetName val="Civil_Boq23"/>
      <sheetName val="Pile_cap23"/>
      <sheetName val="BH_12-11-10-1324"/>
      <sheetName val="BH_12-11-10-924"/>
      <sheetName val="BH_36-15-3724"/>
      <sheetName val="BH_16-35-25-1724"/>
      <sheetName val="BH_35-25-1724"/>
      <sheetName val="Sheet1_(2)24"/>
      <sheetName val="d-safe_DELUXE23"/>
      <sheetName val="Legal_Risk_Analysis23"/>
      <sheetName val="Mix_Design23"/>
      <sheetName val="Form_624"/>
      <sheetName val="PointNo_523"/>
      <sheetName val="RCC,Ret__Wall23"/>
      <sheetName val="Break_up_Sheet23"/>
      <sheetName val="TBAL9697_-group_wise__sdpl23"/>
      <sheetName val="Abstract_Sheet23"/>
      <sheetName val="V_O_4_-_PCC_Qty23"/>
      <sheetName val="Fill_this_out_first___23"/>
      <sheetName val="REVISED4A_PROG_PERF-SITE_123"/>
      <sheetName val="BOQ_Direct_selling_cost23"/>
      <sheetName val="BOQ_(2)23"/>
      <sheetName val="CABLE_DATA23"/>
      <sheetName val="Staff_Acco_23"/>
      <sheetName val="Pipe_Supports23"/>
      <sheetName val="final_abstract23"/>
      <sheetName val="Rev_S1_Abstract23"/>
      <sheetName val="Quantity_Abstract23"/>
      <sheetName val="M-Book_for_Conc23"/>
      <sheetName val="M-Book_for_FW23"/>
      <sheetName val="Load_Details-220kV23"/>
      <sheetName val="beam-reinft-IIInd_floor23"/>
      <sheetName val="Project_Budget_Worksheet23"/>
      <sheetName val="SANJAY_PAL23"/>
      <sheetName val="P_A_SELVAM23"/>
      <sheetName val="ANSARI_23"/>
      <sheetName val="abdesh_pal23"/>
      <sheetName val="sujay_bagchi23"/>
      <sheetName val="S_K_SINHA_BASU23"/>
      <sheetName val="KRISHNA_PRASAD23"/>
      <sheetName val="BARATH_&amp;_CO23"/>
      <sheetName val="L_B_YADAV23"/>
      <sheetName val="DEEPAK_KUMAR23"/>
      <sheetName val="MUKLAL_YADAV23"/>
      <sheetName val="MADHU_SUDHAN23"/>
      <sheetName val="SAUD_ALAM_23"/>
      <sheetName val="RAMESH_BABU23"/>
      <sheetName val="SAILEN_SARKAR23"/>
      <sheetName val="SANJAY_JENA123"/>
      <sheetName val="upendra_saw_23"/>
      <sheetName val="ALLOK_KUMAR_23"/>
      <sheetName val="except_wiring23"/>
      <sheetName val="BOQ_-II_ph_223"/>
      <sheetName val="STAFFSCHED_22"/>
      <sheetName val="Metso_-_Forth_&amp;_Slurry_11_02_32"/>
      <sheetName val="d-safe_specs22"/>
      <sheetName val="Quote_Sheet22"/>
      <sheetName val="class_&amp;_category22"/>
      <sheetName val="Rein-Final_(Ph_1+Ph2)22"/>
      <sheetName val="220_11__BS_22"/>
      <sheetName val="SSR_&amp;_NSSR_Market_final22"/>
      <sheetName val="Site_wise_NADs22"/>
      <sheetName val="RA_RCC_F22"/>
      <sheetName val="Stress_Calculation22"/>
      <sheetName val="precast_RC_element22"/>
      <sheetName val="plinth_Beam_+_Stirrups_22"/>
      <sheetName val="GF_COLUMNS22"/>
      <sheetName val="G_F_ROOF_BEAM_22"/>
      <sheetName val="GF_SLAB_STEEL22"/>
      <sheetName val="GF_Lintel22"/>
      <sheetName val="GF_Stair22"/>
      <sheetName val="FF_COLUMNS22"/>
      <sheetName val="F_F__Steel_FINAL_(2)22"/>
      <sheetName val="FF_Lintel22"/>
      <sheetName val="FF_Stair22"/>
      <sheetName val="S_F__Steel_FINAL_22"/>
      <sheetName val="SF_Lintel22"/>
      <sheetName val="PRRM_Dashboard5"/>
      <sheetName val="SPT_vs_PHI26"/>
      <sheetName val="glass_project_concrete26"/>
      <sheetName val="glass_project_reift26"/>
      <sheetName val="glass_project_indices26"/>
      <sheetName val="SBC-BH_1925"/>
      <sheetName val="Rate_Analysis25"/>
      <sheetName val="Summary_050625"/>
      <sheetName val="Summary_0607-_31_MAR25"/>
      <sheetName val="Civil_Boq24"/>
      <sheetName val="Pile_cap24"/>
      <sheetName val="BH_12-11-10-1325"/>
      <sheetName val="BH_12-11-10-925"/>
      <sheetName val="BH_36-15-3725"/>
      <sheetName val="BH_16-35-25-1725"/>
      <sheetName val="BH_35-25-1725"/>
      <sheetName val="Sheet1_(2)25"/>
      <sheetName val="d-safe_DELUXE24"/>
      <sheetName val="Legal_Risk_Analysis24"/>
      <sheetName val="Mix_Design24"/>
      <sheetName val="Form_625"/>
      <sheetName val="PointNo_524"/>
      <sheetName val="RCC,Ret__Wall24"/>
      <sheetName val="Break_up_Sheet24"/>
      <sheetName val="TBAL9697_-group_wise__sdpl24"/>
      <sheetName val="Abstract_Sheet24"/>
      <sheetName val="V_O_4_-_PCC_Qty24"/>
      <sheetName val="Fill_this_out_first___24"/>
      <sheetName val="REVISED4A_PROG_PERF-SITE_124"/>
      <sheetName val="BOQ_Direct_selling_cost24"/>
      <sheetName val="BOQ_(2)24"/>
      <sheetName val="CABLE_DATA24"/>
      <sheetName val="Staff_Acco_24"/>
      <sheetName val="Pipe_Supports24"/>
      <sheetName val="final_abstract24"/>
      <sheetName val="Rev_S1_Abstract24"/>
      <sheetName val="Quantity_Abstract24"/>
      <sheetName val="M-Book_for_Conc24"/>
      <sheetName val="M-Book_for_FW24"/>
      <sheetName val="Load_Details-220kV24"/>
      <sheetName val="beam-reinft-IIInd_floor24"/>
      <sheetName val="Project_Budget_Worksheet24"/>
      <sheetName val="SANJAY_PAL24"/>
      <sheetName val="P_A_SELVAM24"/>
      <sheetName val="ANSARI_24"/>
      <sheetName val="abdesh_pal24"/>
      <sheetName val="sujay_bagchi24"/>
      <sheetName val="S_K_SINHA_BASU24"/>
      <sheetName val="KRISHNA_PRASAD24"/>
      <sheetName val="BARATH_&amp;_CO24"/>
      <sheetName val="L_B_YADAV24"/>
      <sheetName val="DEEPAK_KUMAR24"/>
      <sheetName val="MUKLAL_YADAV24"/>
      <sheetName val="MADHU_SUDHAN24"/>
      <sheetName val="SAUD_ALAM_24"/>
      <sheetName val="RAMESH_BABU24"/>
      <sheetName val="SAILEN_SARKAR24"/>
      <sheetName val="SANJAY_JENA124"/>
      <sheetName val="upendra_saw_24"/>
      <sheetName val="ALLOK_KUMAR_24"/>
      <sheetName val="except_wiring24"/>
      <sheetName val="BOQ_-II_ph_224"/>
      <sheetName val="STAFFSCHED_23"/>
      <sheetName val="Metso_-_Forth_&amp;_Slurry_11_02_33"/>
      <sheetName val="d-safe_specs23"/>
      <sheetName val="Quote_Sheet23"/>
      <sheetName val="class_&amp;_category23"/>
      <sheetName val="Rein-Final_(Ph_1+Ph2)23"/>
      <sheetName val="220_11__BS_23"/>
      <sheetName val="SSR_&amp;_NSSR_Market_final23"/>
      <sheetName val="Site_wise_NADs23"/>
      <sheetName val="RA_RCC_F23"/>
      <sheetName val="Stress_Calculation23"/>
      <sheetName val="precast_RC_element23"/>
      <sheetName val="plinth_Beam_+_Stirrups_23"/>
      <sheetName val="GF_COLUMNS23"/>
      <sheetName val="G_F_ROOF_BEAM_23"/>
      <sheetName val="GF_SLAB_STEEL23"/>
      <sheetName val="GF_Lintel23"/>
      <sheetName val="GF_Stair23"/>
      <sheetName val="FF_COLUMNS23"/>
      <sheetName val="F_F__Steel_FINAL_(2)23"/>
      <sheetName val="FF_Lintel23"/>
      <sheetName val="FF_Stair23"/>
      <sheetName val="S_F__Steel_FINAL_23"/>
      <sheetName val="SF_Lintel23"/>
      <sheetName val="PRRM_Dashboard6"/>
      <sheetName val="SPT_vs_PHI27"/>
      <sheetName val="glass_project_concrete27"/>
      <sheetName val="glass_project_reift27"/>
      <sheetName val="glass_project_indices27"/>
      <sheetName val="SBC-BH_1926"/>
      <sheetName val="Rate_Analysis26"/>
      <sheetName val="Summary_050626"/>
      <sheetName val="Summary_0607-_31_MAR26"/>
      <sheetName val="Civil_Boq25"/>
      <sheetName val="Pile_cap25"/>
      <sheetName val="BH_12-11-10-1326"/>
      <sheetName val="BH_12-11-10-926"/>
      <sheetName val="BH_36-15-3726"/>
      <sheetName val="BH_16-35-25-1726"/>
      <sheetName val="BH_35-25-1726"/>
      <sheetName val="Sheet1_(2)26"/>
      <sheetName val="d-safe_DELUXE25"/>
      <sheetName val="PRECAST_lightconc-II25"/>
      <sheetName val="Legal_Risk_Analysis25"/>
      <sheetName val="Mix_Design25"/>
      <sheetName val="Form_626"/>
      <sheetName val="PointNo_525"/>
      <sheetName val="RCC,Ret__Wall25"/>
      <sheetName val="Break_up_Sheet25"/>
      <sheetName val="TBAL9697_-group_wise__sdpl25"/>
      <sheetName val="Abstract_Sheet25"/>
      <sheetName val="V_O_4_-_PCC_Qty25"/>
      <sheetName val="Fill_this_out_first___25"/>
      <sheetName val="REVISED4A_PROG_PERF-SITE_125"/>
      <sheetName val="BOQ_Direct_selling_cost25"/>
      <sheetName val="BOQ_(2)25"/>
      <sheetName val="CABLE_DATA25"/>
      <sheetName val="Staff_Acco_25"/>
      <sheetName val="Pipe_Supports25"/>
      <sheetName val="final_abstract25"/>
      <sheetName val="Rev_S1_Abstract25"/>
      <sheetName val="Quantity_Abstract25"/>
      <sheetName val="M-Book_for_Conc25"/>
      <sheetName val="M-Book_for_FW25"/>
      <sheetName val="Load_Details-220kV25"/>
      <sheetName val="beam-reinft-IIInd_floor25"/>
      <sheetName val="Project_Budget_Worksheet25"/>
      <sheetName val="SANJAY_PAL25"/>
      <sheetName val="P_A_SELVAM25"/>
      <sheetName val="ANSARI_25"/>
      <sheetName val="abdesh_pal25"/>
      <sheetName val="sujay_bagchi25"/>
      <sheetName val="S_K_SINHA_BASU25"/>
      <sheetName val="KRISHNA_PRASAD25"/>
      <sheetName val="BARATH_&amp;_CO25"/>
      <sheetName val="L_B_YADAV25"/>
      <sheetName val="DEEPAK_KUMAR25"/>
      <sheetName val="MUKLAL_YADAV25"/>
      <sheetName val="MADHU_SUDHAN25"/>
      <sheetName val="SAUD_ALAM_25"/>
      <sheetName val="RAMESH_BABU25"/>
      <sheetName val="SAILEN_SARKAR25"/>
      <sheetName val="SANJAY_JENA125"/>
      <sheetName val="upendra_saw_25"/>
      <sheetName val="ALLOK_KUMAR_25"/>
      <sheetName val="except_wiring25"/>
      <sheetName val="BOQ_-II_ph_225"/>
      <sheetName val="STAFFSCHED_24"/>
      <sheetName val="Metso_-_Forth_&amp;_Slurry_11_02_34"/>
      <sheetName val="d-safe_specs24"/>
      <sheetName val="Quote_Sheet24"/>
      <sheetName val="class_&amp;_category24"/>
      <sheetName val="Rein-Final_(Ph_1+Ph2)24"/>
      <sheetName val="220_11__BS_24"/>
      <sheetName val="SSR_&amp;_NSSR_Market_final24"/>
      <sheetName val="Site_wise_NADs24"/>
      <sheetName val="RA_RCC_F24"/>
      <sheetName val="Stress_Calculation24"/>
      <sheetName val="precast_RC_element24"/>
      <sheetName val="plinth_Beam_+_Stirrups_24"/>
      <sheetName val="GF_COLUMNS24"/>
      <sheetName val="G_F_ROOF_BEAM_24"/>
      <sheetName val="GF_SLAB_STEEL24"/>
      <sheetName val="GF_Lintel24"/>
      <sheetName val="GF_Stair24"/>
      <sheetName val="FF_COLUMNS24"/>
      <sheetName val="F_F__Steel_FINAL_(2)24"/>
      <sheetName val="FF_Lintel24"/>
      <sheetName val="FF_Stair24"/>
      <sheetName val="S_F__Steel_FINAL_24"/>
      <sheetName val="SF_Lintel24"/>
      <sheetName val="PRRM_Dashboard7"/>
      <sheetName val="B@__x005f_x0000__x005f_x0004_@_"/>
      <sheetName val="B@__x0000__x0004_@_x0000___$_x0"/>
      <sheetName val="B@__x005f_x005f_x005f_x0000__x0"/>
      <sheetName val="B@___x0004_@___$_"/>
      <sheetName val="Tees"/>
      <sheetName val="TRF details"/>
      <sheetName val="SàQa_x0005_@_x0000__x0000__x0000_²"/>
      <sheetName val="B@["/>
      <sheetName val="Email Approval Template"/>
      <sheetName val="1 Executive Summary"/>
      <sheetName val="2 Risk Assessment Analysis"/>
      <sheetName val="3 Pre-Approval"/>
      <sheetName val="4 CIS"/>
      <sheetName val="5 Change Order"/>
      <sheetName val="5.1  Re-book De-book order"/>
      <sheetName val="6 Contract Re-estimates"/>
      <sheetName val="7a BG Approval Form"/>
      <sheetName val="7b BG Email Approval Template"/>
      <sheetName val="8 LAD Approval Form"/>
      <sheetName val="9 LOI Checklist"/>
      <sheetName val="10 RPS Information Form"/>
      <sheetName val="11 Proj Cashflow "/>
      <sheetName val="11.1 Cash-flow Chart"/>
      <sheetName val="Threshold Calculator"/>
      <sheetName val="Version Control"/>
      <sheetName val="Prebid Review"/>
      <sheetName val="DJC Parameters"/>
      <sheetName val="Offer"/>
      <sheetName val="Selling Summary"/>
      <sheetName val="1-BAS (cost)"/>
      <sheetName val="Controller Configuration"/>
      <sheetName val="IO Summary"/>
      <sheetName val="2-FAS (cost)"/>
      <sheetName val="3-PA (cost)"/>
      <sheetName val="Approved Make"/>
      <sheetName val="Basis of offer"/>
      <sheetName val="High Level Summary"/>
      <sheetName val="4-ACS  (cost)"/>
      <sheetName val="5-CCTV  (cost)"/>
      <sheetName val="6-FFT  (cost)"/>
      <sheetName val="7- Service Retrofit  (cost)"/>
      <sheetName val="8-Service PSA,O&amp;M  (cost)"/>
      <sheetName val="9- Service L&amp;M  (cost)"/>
      <sheetName val="non fixed DJC "/>
      <sheetName val="10-UPG (cost)"/>
      <sheetName val="11-ESG  (cost)"/>
      <sheetName val="12-Products (cost)"/>
      <sheetName val="13-VAV  (cost)"/>
      <sheetName val="14-REF (cost)"/>
      <sheetName val="15 - Local Chiller (cost)"/>
      <sheetName val="Selling-Local Chiller"/>
      <sheetName val="Material Cost JCS"/>
      <sheetName val="Costing USD Chiller"/>
      <sheetName val="Selling-USD Chiller"/>
      <sheetName val="PRICE MATRIX -JCIPL"/>
      <sheetName val="COST SUMMARY- JCIPL"/>
      <sheetName val="1-BAS-JCIPL"/>
      <sheetName val="2-FAS-JCIPL"/>
      <sheetName val="3-PA-JCIPL"/>
      <sheetName val="4-ACS-JCIPL"/>
      <sheetName val="5-CCTV-JCIPL"/>
      <sheetName val="6 -FFT-JCIPL"/>
      <sheetName val="7-Ser Retro -JCIPL"/>
      <sheetName val="8-Ser PSA, O&amp;M -JCIPL"/>
      <sheetName val="9-Ser L&amp;M -JCIPL"/>
      <sheetName val="10-UPG JCIPL"/>
      <sheetName val="11-ESG JCIPL"/>
      <sheetName val="12-Products JCIPL"/>
      <sheetName val="13-VAV JCIPL"/>
      <sheetName val="14-REF JCMRL "/>
      <sheetName val="Proj. DJC-JCIPL"/>
      <sheetName val=" L0 DDC 1"/>
      <sheetName val="L0 DDC-2"/>
      <sheetName val="L16 DDC-3"/>
      <sheetName val="L16-DDC-4"/>
      <sheetName val="L16 DDC-5"/>
      <sheetName val="L17 DDC-6"/>
      <sheetName val="L17 DDC-7 "/>
      <sheetName val="L18 DDC-8"/>
      <sheetName val="L18-DDC-9"/>
      <sheetName val="2-AutoDialer Sys"/>
      <sheetName val="1-BAS1 (cost)"/>
      <sheetName val="2-BAS2 (cost)"/>
      <sheetName val="Deviations-Project Risks"/>
      <sheetName val="IO Schedule"/>
      <sheetName val="[RecoveredExternalLink1]B___x_2"/>
      <sheetName val="B@[_x005f_x005f_x005f_x0000__x005f_x005f_x005f_x0004_@_"/>
      <sheetName val=" AT-1-220 "/>
      <sheetName val=" BC-220"/>
      <sheetName val="B@___x005f_x005f_x005f_x005f_x005f_x005f_x005f_x0004_@_"/>
      <sheetName val="B@__x005f_x005f_x005f_x005f_x005f_x005f_x005f_x005f_x00"/>
      <sheetName val="B@___x005f_x005f_x005f_x005f_x005f_x005f_x005f_x005f_x0"/>
      <sheetName val="Steel Payment Doc"/>
      <sheetName val="Break_Up (bc)"/>
      <sheetName val="Break_Up (bc1)"/>
      <sheetName val="Break_Up (bc2)"/>
      <sheetName val="Staff_Forecast_spread"/>
      <sheetName val="Direct_cost_shed_A-2_"/>
      <sheetName val="[RecoveredExternalLink1]B_____8"/>
      <sheetName val="Joints"/>
      <sheetName val="2.2 띠장의 설계"/>
      <sheetName val="Abstract_for_Variation"/>
      <sheetName val="LBD_VARIATION"/>
      <sheetName val="LT_Motor_catalog"/>
      <sheetName val="Cable_cat"/>
      <sheetName val="ISA"/>
      <sheetName val="Page 1"/>
      <sheetName val="Page 2"/>
      <sheetName val="Page 3"/>
      <sheetName val="Page 4 Installed"/>
      <sheetName val="Page 4 Required"/>
      <sheetName val="Page 5a"/>
      <sheetName val="Page 5b"/>
      <sheetName val="Page 5c"/>
      <sheetName val="Page 5d"/>
      <sheetName val="Page 5e"/>
      <sheetName val="Page 5f"/>
      <sheetName val="Page 5f (2)"/>
      <sheetName val="Page 6a"/>
      <sheetName val="Page 6b"/>
      <sheetName val="Page 7-1"/>
      <sheetName val="Page 7-2a1-I"/>
      <sheetName val="Page 7-2a1-II"/>
      <sheetName val="Page 7-2a1-III"/>
      <sheetName val="Page 7-2a2"/>
      <sheetName val="Page 7-3"/>
      <sheetName val="Page 7-5a"/>
      <sheetName val="Page 7-5b1"/>
      <sheetName val="Page 7-5b2"/>
      <sheetName val="Page 7-5c"/>
      <sheetName val="Page 7-9a"/>
      <sheetName val="Page 7-9b1"/>
      <sheetName val="Page 7-9b2"/>
      <sheetName val="Page 7-9c"/>
      <sheetName val="Page 7-11a1-I"/>
      <sheetName val="Page 7-11a1-II"/>
      <sheetName val="Page 7-11a1-III"/>
      <sheetName val="Page 7-11a2"/>
      <sheetName val="Page 7-15"/>
      <sheetName val="Page 7-16a"/>
      <sheetName val="Page 7-16b"/>
      <sheetName val="Page 8"/>
      <sheetName val="Tender Appraisal"/>
      <sheetName val="Pipe_SupportÈ"/>
      <sheetName val="4NEXRA"/>
      <sheetName val="Coalmine"/>
      <sheetName val="FT-05-02Is-_x0000_5y"/>
      <sheetName val="syndicate codes"/>
      <sheetName val="1.01 (a)"/>
      <sheetName val="PL Inst RA 12"/>
      <sheetName val="SPT_vs_PHI28"/>
      <sheetName val="glass_project_concrete28"/>
      <sheetName val="glass_project_reift28"/>
      <sheetName val="glass_project_indices28"/>
      <sheetName val="Summary_050627"/>
      <sheetName val="Summary_0607-_31_MAR27"/>
      <sheetName val="Civil_Boq26"/>
      <sheetName val="Break_up_Sheet26"/>
      <sheetName val="SBC-BH_1927"/>
      <sheetName val="Rate_Analysis27"/>
      <sheetName val="TBAL9697_-group_wise__sdpl26"/>
      <sheetName val="Abstract_Sheet26"/>
      <sheetName val="Pile_cap26"/>
      <sheetName val="V_O_4_-_PCC_Qty26"/>
      <sheetName val="Legal_Risk_Analysis26"/>
      <sheetName val="BH_12-11-10-1327"/>
      <sheetName val="BH_12-11-10-927"/>
      <sheetName val="BH_36-15-3727"/>
      <sheetName val="BH_16-35-25-1727"/>
      <sheetName val="BH_35-25-1727"/>
      <sheetName val="Sheet1_(2)27"/>
      <sheetName val="d-safe_DELUXE26"/>
      <sheetName val="PRECAST_lightconc-II26"/>
      <sheetName val="RCC,Ret__Wall26"/>
      <sheetName val="Form_627"/>
      <sheetName val="PointNo_526"/>
      <sheetName val="E_&amp;_R26"/>
      <sheetName val="Mix_Design26"/>
      <sheetName val="CABLE_DATA26"/>
      <sheetName val="Fill_this_out_first___26"/>
      <sheetName val="REVISED4A_PROG_PERF-SITE_126"/>
      <sheetName val="BOQ_Direct_selling_cost26"/>
      <sheetName val="BOQ_(2)26"/>
      <sheetName val="final_abstract26"/>
      <sheetName val="Rev_S1_Abstract26"/>
      <sheetName val="Quantity_Abstract26"/>
      <sheetName val="Staff_Acco_26"/>
      <sheetName val="Pipe_Supports26"/>
      <sheetName val="M-Book_for_Conc26"/>
      <sheetName val="M-Book_for_FW26"/>
      <sheetName val="beam-reinft-IIInd_floor26"/>
      <sheetName val="INPUT_SHEET26"/>
      <sheetName val="Load_Details-220kV26"/>
      <sheetName val="Project_Budget_Worksheet26"/>
      <sheetName val="SANJAY_PAL26"/>
      <sheetName val="P_A_SELVAM26"/>
      <sheetName val="ANSARI_26"/>
      <sheetName val="abdesh_pal26"/>
      <sheetName val="sujay_bagchi26"/>
      <sheetName val="S_K_SINHA_BASU26"/>
      <sheetName val="KRISHNA_PRASAD26"/>
      <sheetName val="BARATH_&amp;_CO26"/>
      <sheetName val="L_B_YADAV26"/>
      <sheetName val="DEEPAK_KUMAR26"/>
      <sheetName val="MUKLAL_YADAV26"/>
      <sheetName val="MADHU_SUDHAN26"/>
      <sheetName val="SAUD_ALAM_26"/>
      <sheetName val="RAMESH_BABU26"/>
      <sheetName val="SAILEN_SARKAR26"/>
      <sheetName val="SANJAY_JENA126"/>
      <sheetName val="upendra_saw_26"/>
      <sheetName val="ALLOK_KUMAR_26"/>
      <sheetName val="except_wiring26"/>
      <sheetName val="BOQ_-II_ph_226"/>
      <sheetName val="STAFFSCHED_25"/>
      <sheetName val="Fee_Rate_Summary25"/>
      <sheetName val="d-safe_specs25"/>
      <sheetName val="Metso_-_Forth_&amp;_Slurry_11_02_35"/>
      <sheetName val="Site_wise_NADs25"/>
      <sheetName val="class_&amp;_category25"/>
      <sheetName val="Quote_Sheet25"/>
      <sheetName val="220_11__BS_25"/>
      <sheetName val="Rein-Final_(Ph_1+Ph2)25"/>
      <sheetName val="Materials_Cost(PCC)25"/>
      <sheetName val="SSR_&amp;_NSSR_Market_final25"/>
      <sheetName val="India_F&amp;S_Template25"/>
      <sheetName val="PRRM_Dashboard8"/>
      <sheetName val="Stress_Calculation25"/>
      <sheetName val="precast_RC_element25"/>
      <sheetName val="RA_RCC_F25"/>
      <sheetName val="plinth_Beam_+_Stirrups_25"/>
      <sheetName val="GF_COLUMNS25"/>
      <sheetName val="G_F_ROOF_BEAM_25"/>
      <sheetName val="GF_SLAB_STEEL25"/>
      <sheetName val="GF_Lintel25"/>
      <sheetName val="GF_Stair25"/>
      <sheetName val="FF_COLUMNS25"/>
      <sheetName val="F_F__Steel_FINAL_(2)25"/>
      <sheetName val="FF_Lintel25"/>
      <sheetName val="FF_Stair25"/>
      <sheetName val="S_F__Steel_FINAL_25"/>
      <sheetName val="SF_Lintel25"/>
      <sheetName val="Inputs_&amp;_Summary_Output"/>
      <sheetName val="Broad_Refresher_Model"/>
      <sheetName val="Material_List_"/>
      <sheetName val="Cost_of_O_&amp;_O"/>
      <sheetName val="B@_@_x0000"/>
      <sheetName val="SPT_vs_PHI29"/>
      <sheetName val="glass_project_concrete29"/>
      <sheetName val="glass_project_reift29"/>
      <sheetName val="glass_project_indices29"/>
      <sheetName val="Summary_050628"/>
      <sheetName val="Summary_0607-_31_MAR28"/>
      <sheetName val="Civil_Boq27"/>
      <sheetName val="Break_up_Sheet27"/>
      <sheetName val="SBC-BH_1928"/>
      <sheetName val="Rate_Analysis28"/>
      <sheetName val="TBAL9697_-group_wise__sdpl27"/>
      <sheetName val="Abstract_Sheet27"/>
      <sheetName val="Pile_cap27"/>
      <sheetName val="V_O_4_-_PCC_Qty27"/>
      <sheetName val="Legal_Risk_Analysis27"/>
      <sheetName val="BH_12-11-10-1328"/>
      <sheetName val="BH_12-11-10-928"/>
      <sheetName val="BH_36-15-3728"/>
      <sheetName val="BH_16-35-25-1728"/>
      <sheetName val="BH_35-25-1728"/>
      <sheetName val="Sheet1_(2)28"/>
      <sheetName val="d-safe_DELUXE27"/>
      <sheetName val="PRECAST_lightconc-II27"/>
      <sheetName val="RCC,Ret__Wall27"/>
      <sheetName val="Form_628"/>
      <sheetName val="PointNo_527"/>
      <sheetName val="E_&amp;_R27"/>
      <sheetName val="Mix_Design27"/>
      <sheetName val="CABLE_DATA27"/>
      <sheetName val="Fill_this_out_first___27"/>
      <sheetName val="REVISED4A_PROG_PERF-SITE_127"/>
      <sheetName val="BOQ_Direct_selling_cost27"/>
      <sheetName val="BOQ_(2)27"/>
      <sheetName val="final_abstract27"/>
      <sheetName val="Rev_S1_Abstract27"/>
      <sheetName val="Quantity_Abstract27"/>
      <sheetName val="Staff_Acco_27"/>
      <sheetName val="Pipe_Supports27"/>
      <sheetName val="M-Book_for_Conc27"/>
      <sheetName val="M-Book_for_FW27"/>
      <sheetName val="beam-reinft-IIInd_floor27"/>
      <sheetName val="INPUT_SHEET27"/>
      <sheetName val="Load_Details-220kV27"/>
      <sheetName val="Project_Budget_Worksheet27"/>
      <sheetName val="SANJAY_PAL27"/>
      <sheetName val="P_A_SELVAM27"/>
      <sheetName val="ANSARI_27"/>
      <sheetName val="abdesh_pal27"/>
      <sheetName val="sujay_bagchi27"/>
      <sheetName val="S_K_SINHA_BASU27"/>
      <sheetName val="KRISHNA_PRASAD27"/>
      <sheetName val="BARATH_&amp;_CO27"/>
      <sheetName val="L_B_YADAV27"/>
      <sheetName val="DEEPAK_KUMAR27"/>
      <sheetName val="MUKLAL_YADAV27"/>
      <sheetName val="MADHU_SUDHAN27"/>
      <sheetName val="SAUD_ALAM_27"/>
      <sheetName val="RAMESH_BABU27"/>
      <sheetName val="SAILEN_SARKAR27"/>
      <sheetName val="SANJAY_JENA127"/>
      <sheetName val="upendra_saw_27"/>
      <sheetName val="ALLOK_KUMAR_27"/>
      <sheetName val="except_wiring27"/>
      <sheetName val="BOQ_-II_ph_227"/>
      <sheetName val="STAFFSCHED_26"/>
      <sheetName val="Fee_Rate_Summary26"/>
      <sheetName val="d-safe_specs26"/>
      <sheetName val="Metso_-_Forth_&amp;_Slurry_11_02_36"/>
      <sheetName val="Site_wise_NADs26"/>
      <sheetName val="class_&amp;_category26"/>
      <sheetName val="Quote_Sheet26"/>
      <sheetName val="220_11__BS_26"/>
      <sheetName val="Rein-Final_(Ph_1+Ph2)26"/>
      <sheetName val="Materials_Cost(PCC)26"/>
      <sheetName val="SSR_&amp;_NSSR_Market_final26"/>
      <sheetName val="India_F&amp;S_Template26"/>
      <sheetName val="PRRM_Dashboard9"/>
      <sheetName val="Stress_Calculation26"/>
      <sheetName val="precast_RC_element26"/>
      <sheetName val="RA_RCC_F26"/>
      <sheetName val="plinth_Beam_+_Stirrups_26"/>
      <sheetName val="GF_COLUMNS26"/>
      <sheetName val="G_F_ROOF_BEAM_26"/>
      <sheetName val="GF_SLAB_STEEL26"/>
      <sheetName val="GF_Lintel26"/>
      <sheetName val="GF_Stair26"/>
      <sheetName val="FF_COLUMNS26"/>
      <sheetName val="F_F__Steel_FINAL_(2)26"/>
      <sheetName val="FF_Lintel26"/>
      <sheetName val="FF_Stair26"/>
      <sheetName val="S_F__Steel_FINAL_26"/>
      <sheetName val="SF_Lintel26"/>
      <sheetName val="Inputs_&amp;_Summary_Output1"/>
      <sheetName val="Broad_Refresher_Model1"/>
      <sheetName val="Havells  LT (XLPE)"/>
      <sheetName val="PL-ST-6"/>
      <sheetName val="[RecoveredExternalLink1]_Spt__2"/>
      <sheetName val="[RecoveredExternalLink1]_Spt__3"/>
      <sheetName val="[RecoveredExternalLink1]_Spt__4"/>
      <sheetName val="[RecoveredExternalLink1]_Spt__5"/>
      <sheetName val="[RecoveredExternalLink1]_Spt__6"/>
      <sheetName val="HOSPI-01"/>
      <sheetName val="LIST-SUB-CON"/>
      <sheetName val="SàQa_x0005_@"/>
      <sheetName val="B@___x005f_x005f_x005f_x0004_@_"/>
      <sheetName val="B@__x005f_x005f_x005f_x005f_x00"/>
      <sheetName val="Staff OH facility &amp; Maint(A1-6)"/>
      <sheetName val="Admin,survy,test(A7-9)"/>
      <sheetName val="Insurance &amp; Taxes(B1-2)"/>
      <sheetName val="Temp &amp; Misc VOP(B3-6)"/>
      <sheetName val="P&amp;M(B7)"/>
      <sheetName val="PMC REQ(C)"/>
      <sheetName val="Phase 1 details"/>
      <sheetName val="Apt.Ind. Details"/>
      <sheetName val="19thk Granite wash Counter"/>
      <sheetName val="Vitrified Skirting"/>
      <sheetName val="Vitrified bands"/>
      <sheetName val="Rain water recharge pit"/>
      <sheetName val="Cinder"/>
      <sheetName val="200mm Corecutting"/>
      <sheetName val="Italian band"/>
      <sheetName val="Granite Band"/>
      <sheetName val="Bore packing"/>
      <sheetName val="C I Cover"/>
      <sheetName val="Masonry Chipping"/>
      <sheetName val="Puddle Flanges"/>
      <sheetName val="9th Floor"/>
      <sheetName val="Ceramic Dadoo "/>
      <sheetName val="BlockAbstract"/>
      <sheetName val="Block B"/>
      <sheetName val="Block D"/>
      <sheetName val="Block E"/>
      <sheetName val="Block F"/>
      <sheetName val="Block G"/>
      <sheetName val="Block H"/>
      <sheetName val="Block I"/>
      <sheetName val="Block J"/>
      <sheetName val="Block K"/>
      <sheetName val="Block L"/>
      <sheetName val="Block M"/>
      <sheetName val="Block N"/>
      <sheetName val="BOQ-Finish"/>
      <sheetName val="boq - ELE"/>
      <sheetName val="BOQ-PHE"/>
      <sheetName val="BOQ - WTP"/>
      <sheetName val="Rev Front"/>
      <sheetName val="Grand Sum"/>
      <sheetName val="Sum-PHE"/>
      <sheetName val="Sum-ELE"/>
      <sheetName val="Sum-Finish"/>
      <sheetName val="Sum- Civil"/>
      <sheetName val="mas plas"/>
      <sheetName val="Floor"/>
      <sheetName val="Mat Rates"/>
      <sheetName val="Maj qty"/>
      <sheetName val="Mob "/>
      <sheetName val="Per"/>
      <sheetName val="Scaff"/>
      <sheetName val="COMBINED BOQ"/>
      <sheetName val="Material List"/>
      <sheetName val="Civil Summary"/>
      <sheetName val="Civil and Structural work"/>
      <sheetName val="Site Development work"/>
      <sheetName val="Inside-FF "/>
      <sheetName val="Inside-GF"/>
      <sheetName val="Rough "/>
      <sheetName val="RCC Plastering"/>
      <sheetName val="Assumption &amp; Exclusion"/>
      <sheetName val="Electrical Submitted BOQ _revis"/>
      <sheetName val="Avg Rates- detail"/>
      <sheetName val="Avg Rates- sumry"/>
      <sheetName val="Mas Plast"/>
      <sheetName val="FLR"/>
      <sheetName val="Flat details"/>
      <sheetName val="Area Statement-old"/>
      <sheetName val="Area Statement-rev"/>
      <sheetName val="Mjr Qty"/>
      <sheetName val="Method Stmnt"/>
      <sheetName val="Per Exp"/>
      <sheetName val="Ind Exp"/>
      <sheetName val="MIVAN"/>
      <sheetName val="Cost Summary-Brief"/>
      <sheetName val="Staff Facilities Cl 6.6"/>
      <sheetName val="Ambulance &amp; First Aid"/>
      <sheetName val="Details of Bond &amp; Insu"/>
      <sheetName val="Finance"/>
      <sheetName val="Site office"/>
      <sheetName val="Admn"/>
      <sheetName val="(lab eqp)Cl 1.1.4"/>
      <sheetName val="Cashflow &amp; Finance"/>
      <sheetName val="PRICE ESCL."/>
      <sheetName val="Current"/>
      <sheetName val="Escalation Part"/>
      <sheetName val="Orgo"/>
      <sheetName val="Survey Equipment"/>
      <sheetName val="Temp-Rds&amp;Drng  Cl 4.11"/>
      <sheetName val="Ins _ Bonds"/>
      <sheetName val="LAB SUMMARY"/>
      <sheetName val="LAB BLOCK"/>
      <sheetName val="CABLE TRENCH"/>
      <sheetName val="SWD"/>
      <sheetName val="GATES"/>
      <sheetName val="COMPOUND_WALL BOQ"/>
      <sheetName val="ROAD &amp; PARKING"/>
      <sheetName val="Fire Door"/>
      <sheetName val="Hardwares"/>
      <sheetName val="Supply"/>
      <sheetName val="Installation"/>
      <sheetName val="Approved Makes"/>
      <sheetName val="ABSTRACT (ALL)"/>
      <sheetName val="Sum R&amp;D"/>
      <sheetName val="Mas flooring Plas"/>
      <sheetName val="detail'02"/>
      <sheetName val="FrontAbstract"/>
      <sheetName val="Cement Escltn"/>
      <sheetName val="RAB RMC Cement Consumed"/>
      <sheetName val="Iron mongry"/>
      <sheetName val="Material supply"/>
      <sheetName val="Details reqd"/>
      <sheetName val="F&amp;B"/>
      <sheetName val="Kitchen"/>
      <sheetName val="Housek"/>
      <sheetName val="Structure Bills Qty"/>
      <sheetName val="Nitrile Ins for CHW Pipe &amp; Duct"/>
      <sheetName val="DUCT INSULATION"/>
      <sheetName val="COSMOS"/>
      <sheetName val="Caryaire"/>
      <sheetName val="Fire Damper"/>
      <sheetName val="Lock Former Ducting"/>
      <sheetName val="경비공통"/>
      <sheetName val="Portfolio Summary"/>
      <sheetName val="Booking Form"/>
      <sheetName val="EST-CIVIL"/>
      <sheetName val="BOQ-Part1"/>
      <sheetName val="VI Floor Beam "/>
      <sheetName val="Weight"/>
      <sheetName val="CEMENT RECEIPT - 2"/>
      <sheetName val="CONSUMPTION OF CEMENT - 2"/>
      <sheetName val="STEEL RECEIPT - 2"/>
      <sheetName val="STEEL RECONCILLATION - 2"/>
      <sheetName val="STEEL ADVANCE - 2"/>
      <sheetName val="STEEL ADVANCE 02"/>
      <sheetName val="SUM-1"/>
      <sheetName val="PAY-1"/>
      <sheetName val="PV-1"/>
      <sheetName val="CEMENT-1"/>
      <sheetName val="TOR-1"/>
      <sheetName val="MATERIAL ADV.-1"/>
      <sheetName val="Main Asset Summary"/>
      <sheetName val="material and Labour rate"/>
      <sheetName val="Asset, overheads"/>
      <sheetName val="shuttering investment"/>
      <sheetName val="Rate analysis civil"/>
      <sheetName val="Glazing"/>
      <sheetName val="BBM &amp; Plaster"/>
      <sheetName val="Concret"/>
      <sheetName val="Misc....."/>
      <sheetName val="B.O.Q.of elec. work ( contr.)"/>
      <sheetName val="B.O.Q.of civil work"/>
      <sheetName val="BOQ plumbing &amp; sanitary "/>
      <sheetName val="Rate Analysis C.P &amp; Sanitary"/>
      <sheetName val="Rate Annalysis G.I.plumbing"/>
      <sheetName val="Plumbing Rate"/>
      <sheetName val="BOQ qty"/>
      <sheetName val="Arch. Eleve."/>
      <sheetName val="L.R.List"/>
      <sheetName val="Staff Salary "/>
      <sheetName val="Abstract C bld"/>
      <sheetName val="Abstract ABDE Bld "/>
      <sheetName val="Labour rate "/>
      <sheetName val="Stilt Floor "/>
      <sheetName val="Door &amp; Window"/>
      <sheetName val="External Plaster"/>
      <sheetName val="Exca, backfilling &amp; Soling"/>
      <sheetName val="Final Summary (1)"/>
      <sheetName val="Prelimanaries "/>
      <sheetName val="Infrastructure(12)"/>
      <sheetName val="Landscaping(10)"/>
      <sheetName val="MISC 1(13)"/>
      <sheetName val="MISC 2(14)"/>
      <sheetName val="Consultancy(12)"/>
      <sheetName val="infra 1 (Rev)"/>
      <sheetName val="Security cabin"/>
      <sheetName val="Gas bank"/>
      <sheetName val="UGWT 1"/>
      <sheetName val="UGWT 2"/>
      <sheetName val="DG Room"/>
      <sheetName val="Chember"/>
      <sheetName val="MSEB room"/>
      <sheetName val="Steel Break up"/>
      <sheetName val="windows"/>
      <sheetName val="Steel Avarage Rate "/>
      <sheetName val="qUICK SUMMARY(R3) "/>
      <sheetName val="sUMMARY LAST ( R3)"/>
      <sheetName val="Quick Summary Compar"/>
      <sheetName val="Quick Summary "/>
      <sheetName val="Concrte Analy 2"/>
      <sheetName val="Consultancy"/>
      <sheetName val="For Parking "/>
      <sheetName val="Consultancy "/>
      <sheetName val="XENON ( R3 )"/>
      <sheetName val="Quick Summary(R2) "/>
      <sheetName val="Summaey last(R2) "/>
      <sheetName val="4 heads summary"/>
      <sheetName val="Abstract-SANSARA"/>
      <sheetName val="Slab Area"/>
      <sheetName val="Summary Masonry"/>
      <sheetName val="Summary Internal Plaster"/>
      <sheetName val="Internal Plaster"/>
      <sheetName val="Doors &amp; Windows"/>
      <sheetName val="Shuttering Abstract"/>
      <sheetName val="[RecoveredExternalLink1]_Reco_3"/>
      <sheetName val="[RecoveredExternalLink1]_Reco_5"/>
      <sheetName val="[RecoveredExternalLink1]B_____9"/>
      <sheetName val="[RecoveredExternalLink1]B____10"/>
      <sheetName val="[RecoveredExternalLink1]_Reco_6"/>
      <sheetName val="[RecoveredExternalLink1]B____11"/>
      <sheetName val="[RecoveredExternalLink1]B____12"/>
      <sheetName val="[RecoveredExternalLink1]_Reco_7"/>
      <sheetName val="[RecoveredExternalLink1]B____13"/>
      <sheetName val="[RecoveredExternalLink1]B____14"/>
      <sheetName val="[RecoveredExternalLink1]B____15"/>
      <sheetName val="[RecoveredExternalLink1]B____16"/>
      <sheetName val="[RecoveredExternalLink1]B____17"/>
      <sheetName val="[RecoveredExternalLink1]B____18"/>
      <sheetName val="[RecoveredExternalLink1]_Reco_8"/>
      <sheetName val="Door &amp; kitchota Analysis "/>
      <sheetName val="Brick work&amp; pop "/>
      <sheetName val="railing "/>
      <sheetName val="excavtion "/>
      <sheetName val="Reception &amp; Tank "/>
      <sheetName val="Labour cont"/>
      <sheetName val="quicksum"/>
      <sheetName val="TOilet "/>
      <sheetName val="Stair case "/>
      <sheetName val="1st"/>
      <sheetName val="2nd "/>
      <sheetName val="4th&amp;5th"/>
      <sheetName val="6th &amp; 7th "/>
      <sheetName val="8th"/>
      <sheetName val="9th &amp; 10th"/>
      <sheetName val="Terrace-Parking "/>
      <sheetName val="Stub Column"/>
      <sheetName val="Tie Beams"/>
      <sheetName val="Parking Columns"/>
      <sheetName val="St.co.93.8lvl"/>
      <sheetName val="Lift 2"/>
      <sheetName val="Lift 3"/>
      <sheetName val="Plinth Beams"/>
      <sheetName val="Lift 1"/>
      <sheetName val="Direct cost shed A-"/>
      <sheetName val="shed A-4 Ancillary "/>
      <sheetName val="Electrical items-FR"/>
      <sheetName val="Sluice valve chambe"/>
      <sheetName val="Scour valve chamber"/>
      <sheetName val="Transfer chamber-ty"/>
      <sheetName val="Cost analysis for r"/>
      <sheetName val="Cost analysis of co"/>
      <sheetName val="106CSSHP"/>
      <sheetName val="Canteen Building (107)"/>
      <sheetName val="103 Admin"/>
      <sheetName val="Others"/>
      <sheetName val="Training Center"/>
      <sheetName val="bill abstract"/>
      <sheetName val="Admin Reinforcement"/>
      <sheetName val="Training Cent Reinforcement"/>
      <sheetName val="steel New"/>
      <sheetName val="new sheet"/>
      <sheetName val="WAre House"/>
      <sheetName val="Sub Abstract"/>
      <sheetName val="S3 Road Works"/>
      <sheetName val="Road Work quantity"/>
      <sheetName val="Emb in NCOD"/>
      <sheetName val="Emb in Bypass"/>
      <sheetName val="Bypass Ground improvement"/>
      <sheetName val="GEOGRID"/>
      <sheetName val="Kerb Casting"/>
      <sheetName val="Chainages"/>
      <sheetName val="Ch. 191+700 Km to 194+510 Km"/>
      <sheetName val="Ch. 195+888 Km to 202+500 Km "/>
      <sheetName val="Edited at H O"/>
      <sheetName val="Tunnel &amp; SS (2)"/>
      <sheetName val="Programme 06-07-08"/>
      <sheetName val="REVISED QTYs"/>
      <sheetName val="S5escalation."/>
      <sheetName val="HSD."/>
      <sheetName val="MD 09.04.2008"/>
      <sheetName val="MD 29.04.2008"/>
      <sheetName val="MD 17.06.2008"/>
      <sheetName val="FORMAT-A"/>
      <sheetName val="Construction Methodology"/>
      <sheetName val="FORMAT-B_VARIANCE"/>
      <sheetName val="FORMAT-C_BMR"/>
      <sheetName val="FORMAT-D_CTC"/>
      <sheetName val="FORMAT-E"/>
      <sheetName val="FORMAT-F"/>
      <sheetName val="FORMAT-G"/>
      <sheetName val="FORMAT-H"/>
      <sheetName val="FORMAT-K"/>
      <sheetName val="FORMAT-L"/>
      <sheetName val="FORMAT-M"/>
      <sheetName val="FORMAT-N"/>
      <sheetName val="FORMAT-P"/>
      <sheetName val="Recon attachment 2of2"/>
      <sheetName val="Rein.&amp; Struc- Statement"/>
      <sheetName val="Recon-1of2"/>
      <sheetName val="RMC, WMM Summary"/>
      <sheetName val="MRS_RMC,WMM"/>
      <sheetName val="Form J_Recon2_Paver Block"/>
      <sheetName val="DPR Job 3353"/>
      <sheetName val="Form 5-2"/>
      <sheetName val="Variations"/>
      <sheetName val="Form 10 P&amp;L"/>
      <sheetName val="Form 10 cashflow"/>
      <sheetName val="S3workplanqty-2"/>
      <sheetName val="S12EQChrg"/>
      <sheetName val="S12EQ Refur Chrg"/>
      <sheetName val="S15LUB"/>
      <sheetName val="SC Rates"/>
      <sheetName val="ENCL3 (2)"/>
      <sheetName val="ENCL1"/>
      <sheetName val="ENCL 2"/>
      <sheetName val="ENCL3"/>
      <sheetName val="ENCL 4"/>
      <sheetName val="ENCL 5"/>
      <sheetName val="ENCL6"/>
      <sheetName val="ENCL7"/>
      <sheetName val="ENCL8"/>
      <sheetName val="ENCL9"/>
      <sheetName val="ENCL6 (2)"/>
      <sheetName val="1 - Lead"/>
      <sheetName val="2 - Finance"/>
      <sheetName val="3 - Principal payments"/>
      <sheetName val="4 - Interest Calculation"/>
      <sheetName val="6 - ABN AMRO"/>
      <sheetName val="7 - Provision"/>
      <sheetName val="CITICORP"/>
      <sheetName val="sundaram fin"/>
      <sheetName val="ABN AMRO"/>
      <sheetName val="CHOLAMANDALAM"/>
      <sheetName val="hdfcloan"/>
      <sheetName val="HDFC"/>
      <sheetName val="ICICI"/>
      <sheetName val="iciciloan"/>
      <sheetName val="Lakshmi GF"/>
      <sheetName val="KOTAK"/>
      <sheetName val="GECAPITAL"/>
      <sheetName val="L&amp;T"/>
      <sheetName val="04-05"/>
      <sheetName val="SREI"/>
      <sheetName val="CENTURIAN"/>
      <sheetName val="FORD MAHENDRA"/>
      <sheetName val="UTI DEB (2)"/>
      <sheetName val="2007 DEB"/>
      <sheetName val="INDUS "/>
      <sheetName val="YES6.66cr"/>
      <sheetName val="LKB"/>
      <sheetName val="uti"/>
      <sheetName val="SB PATIALA"/>
      <sheetName val="indus-oct loan"/>
      <sheetName val="SBH -IFB"/>
      <sheetName val="ABN AMRO BANK"/>
      <sheetName val="IDBI BANK"/>
      <sheetName val="INDUS BANK MAR 07"/>
      <sheetName val="YES"/>
      <sheetName val="TERM LOAN OF FCNR"/>
      <sheetName val="SBI-FCNR"/>
      <sheetName val="Reports"/>
      <sheetName val="Trial Bal"/>
      <sheetName val="Sales book"/>
      <sheetName val="JV Register"/>
      <sheetName val="Vch Print"/>
      <sheetName val="TempTable"/>
      <sheetName val="OPBal"/>
      <sheetName val="Balances"/>
      <sheetName val="BOQ-Actual value"/>
      <sheetName val="BOQ-Actual P.Value"/>
      <sheetName val="July-14"/>
      <sheetName val="August-14"/>
      <sheetName val="September-14"/>
      <sheetName val="October-14"/>
      <sheetName val="November-14"/>
      <sheetName val="December-14"/>
      <sheetName val="Annx-1.1"/>
      <sheetName val="Annx-1.1a"/>
      <sheetName val="HVAC casu"/>
      <sheetName val="HVACmater."/>
      <sheetName val="HVACtreat"/>
      <sheetName val="HVAC serv"/>
      <sheetName val="hvac opd"/>
      <sheetName val="total abst.HVAC"/>
      <sheetName val="sec.adv.-19th HVAC"/>
      <sheetName val="sec.adv.-19TH ELEC.  (2)"/>
      <sheetName val="sec.adv.-19TH ELEC. "/>
      <sheetName val="External Item-Total Abstract "/>
      <sheetName val="CASUALTY m"/>
      <sheetName val="maternity M"/>
      <sheetName val="TREATMENT m "/>
      <sheetName val="block-3 m"/>
      <sheetName val="BLOCK-2m"/>
      <sheetName val="Total  ABSTRAC 20 TH"/>
      <sheetName val="Casualty"/>
      <sheetName val="Maternity"/>
      <sheetName val="service"/>
      <sheetName val="Block3"/>
      <sheetName val="Block2"/>
      <sheetName val="opd"/>
      <sheetName val=" INTERIM 17 TH-certified"/>
      <sheetName val=" INTERIM 17 TH-spec"/>
      <sheetName val="sec.adv.-17Int  "/>
      <sheetName val="CASUALTY "/>
      <sheetName val="TREATMENT "/>
      <sheetName val="SERVICE-4"/>
      <sheetName val="block-3"/>
      <sheetName val="O.P.D. "/>
      <sheetName val="Total Abstract17th"/>
      <sheetName val="BLOCK-2"/>
      <sheetName val="August-2"/>
      <sheetName val="August-3"/>
      <sheetName val="Boq-1,2,3,4,5"/>
      <sheetName val="Ex-t1,t2,t3"/>
      <sheetName val="Ex- T1"/>
      <sheetName val="Boq- T2 "/>
      <sheetName val="Ex- T2"/>
      <sheetName val="Boq- T3"/>
      <sheetName val="Ex- T3"/>
      <sheetName val="Boq- T4"/>
      <sheetName val="Boq- T5"/>
      <sheetName val="M.B T-01)"/>
      <sheetName val="(M.B) T- 02"/>
      <sheetName val="(M.B) T-03"/>
      <sheetName val="(M.B)TOWER NO.-04"/>
      <sheetName val="(M.B) T-05"/>
      <sheetName val="Cement-Recon."/>
      <sheetName val="Cement-T2"/>
      <sheetName val="Cement-T3"/>
      <sheetName val="Cement-2,3"/>
      <sheetName val="RA Bill summary"/>
      <sheetName val=" ABSTRACT  "/>
      <sheetName val="S T BILL"/>
      <sheetName val="BFP"/>
      <sheetName val="Neutralisation pit"/>
      <sheetName val="MCW piping"/>
      <sheetName val="Road crossing (2)"/>
      <sheetName val="Elecric &amp; Control"/>
      <sheetName val="Water "/>
      <sheetName val="Road crossing"/>
      <sheetName val="CW pump house"/>
      <sheetName val="DM builidng"/>
      <sheetName val="offset switch gear building"/>
      <sheetName val="Main stack"/>
      <sheetName val="Raw water fire water"/>
      <sheetName val="Switchyard"/>
      <sheetName val="Switch yard control building"/>
      <sheetName val="Duct Bank"/>
      <sheetName val="Desagged water storage tank"/>
      <sheetName val="Switch yard cable trench"/>
      <sheetName val="GT-ST Transformer"/>
      <sheetName val="JAN 09 "/>
      <sheetName val="31-05-2007-DPR"/>
      <sheetName val="sum-all"/>
      <sheetName val="Block admin"/>
      <sheetName val="Block acad"/>
      <sheetName val="Block aud"/>
      <sheetName val=" Club house"/>
      <sheetName val="pictorial view "/>
      <sheetName val="pictorial view (2)"/>
      <sheetName val="Revised shutt.cycle 10-07-2007"/>
      <sheetName val="Revised shut cycle progress"/>
      <sheetName val="Slab area floorwise"/>
      <sheetName val="FINISHING SCHEDULE"/>
      <sheetName val="OHT (3.2 LL)"/>
      <sheetName val="TOS (OHT 3.2 LL)"/>
      <sheetName val="OHT (5.45LL)"/>
      <sheetName val="TOS (OHT 5.45LL)"/>
      <sheetName val="ABSTRACT-3 SITES"/>
      <sheetName val="CIVIL DSR-3 Sites"/>
      <sheetName val="ELECTRICAL DSR 3 sites "/>
      <sheetName val="FIRE FIGHTING DSR 3 sites"/>
      <sheetName val="LANDSCAPING DSR-3 Items Sites"/>
      <sheetName val="CIVIL NDSR"/>
      <sheetName val="ELE NDS Com. 3 site"/>
      <sheetName val="BMS Grp 4"/>
      <sheetName val="n-dsr 3 sites"/>
      <sheetName val="VENTIL Non-DSR 3 sites "/>
      <sheetName val="LANDSC Non-DSR-3 Sites"/>
      <sheetName val="OHT"/>
      <sheetName val="TOS (OHT)"/>
      <sheetName val="UGT"/>
      <sheetName val="TOS(UGT)"/>
      <sheetName val="UG W T"/>
      <sheetName val="OHT (2)"/>
      <sheetName val="PRE (3)"/>
      <sheetName val="PRE (2)"/>
      <sheetName val="PRE"/>
      <sheetName val="Prerna Engg."/>
      <sheetName val="Bahuleyan"/>
      <sheetName val="Uday rai"/>
      <sheetName val="Manjur islam"/>
      <sheetName val="T Khan"/>
      <sheetName val="Sabir"/>
      <sheetName val="Mirror"/>
      <sheetName val="Ramachander"/>
      <sheetName val="Surendar"/>
      <sheetName val="Guddu"/>
      <sheetName val="Ramjeet"/>
      <sheetName val="Aalam"/>
      <sheetName val="Ashok"/>
      <sheetName val="Naushad"/>
      <sheetName val="XLPE. ALLUMINIUM) (2)"/>
      <sheetName val="XLPE. ALLUMINIUM)"/>
      <sheetName val="XLPE COPPER"/>
      <sheetName val="PVC ALLUMINIUM"/>
      <sheetName val="PVC COPPER"/>
      <sheetName val="      "/>
      <sheetName val="VD FOR LIGHTING"/>
      <sheetName val="Certi."/>
      <sheetName val="Abstact"/>
      <sheetName val="lab ind"/>
      <sheetName val="st ind"/>
      <sheetName val="cem ind"/>
      <sheetName val="fuel ind"/>
      <sheetName val="Details of price Index"/>
      <sheetName val="05-02-2K1"/>
      <sheetName val="01-03-2K1"/>
      <sheetName val="16-03-2K1"/>
      <sheetName val="fnl"/>
      <sheetName val="fnl (2)"/>
      <sheetName val="Org Jun06"/>
      <sheetName val="S Curve"/>
      <sheetName val="RA Summary"/>
      <sheetName val="Cumul Abstract"/>
      <sheetName val="Exp. Ded. 02"/>
      <sheetName val="Material- Infra"/>
      <sheetName val="Material- project"/>
      <sheetName val="MRS "/>
      <sheetName val="Monitoring of Resource"/>
      <sheetName val="Plan Bud - Apr06"/>
      <sheetName val="Achiev bud - Apr06"/>
      <sheetName val="Comparision of budget Apr06"/>
      <sheetName val="Plan budg - May06"/>
      <sheetName val="Labour reconsil"/>
      <sheetName val="WPR"/>
      <sheetName val="Flash report"/>
      <sheetName val="Planning_tender"/>
      <sheetName val="INFRA- budget"/>
      <sheetName val="Rolled budget_Jun06"/>
      <sheetName val="tender-exercise"/>
      <sheetName val="BO-material-details"/>
      <sheetName val="p&amp;l-support"/>
      <sheetName val="P&amp;L-zero"/>
      <sheetName val="EARTH WORK 2"/>
      <sheetName val="EARTH WORK 1"/>
      <sheetName val="VFMP-Monthly-AB"/>
      <sheetName val="KSt - Analysis "/>
      <sheetName val="calculations tower A"/>
      <sheetName val="calculations tower B"/>
      <sheetName val="Structure Qty"/>
      <sheetName val="inf"/>
      <sheetName val="rate diff"/>
      <sheetName val="co-ord"/>
      <sheetName val="orl-mdf"/>
      <sheetName val="all bldg"/>
      <sheetName val="1-orl"/>
      <sheetName val="3-boiler"/>
      <sheetName val="4-road"/>
      <sheetName val="6-beta"/>
      <sheetName val="8-etp"/>
      <sheetName val="9-hot-cold"/>
      <sheetName val="10-dm"/>
      <sheetName val="12-fo"/>
      <sheetName val="14-ware"/>
      <sheetName val="15-admn"/>
      <sheetName val="16-security"/>
      <sheetName val="17-Laundary"/>
      <sheetName val="19-ff"/>
      <sheetName val="cert-amt"/>
      <sheetName val="this"/>
      <sheetName val="2_utility"/>
      <sheetName val="5_pipe"/>
      <sheetName val="7_ug"/>
      <sheetName val="11_hsd"/>
      <sheetName val="13_septic"/>
      <sheetName val="18_misc"/>
      <sheetName val="old boq"/>
      <sheetName val="ANNEXURE D"/>
      <sheetName val="EXCAVATION MACHINARIES"/>
      <sheetName val="LABOUR SUPPLY TO FIPL"/>
      <sheetName val="Curve details"/>
      <sheetName val="B TCS Sch F"/>
      <sheetName val="Road summary"/>
      <sheetName val="BOQ - Roads"/>
      <sheetName val="Junction R"/>
      <sheetName val="Bought Out items"/>
      <sheetName val="Std Toll Plaza L&amp;T"/>
      <sheetName val="Input Data R"/>
      <sheetName val="Reg. Course R"/>
      <sheetName val="PQC-DLC_Th"/>
      <sheetName val="Service Road R"/>
      <sheetName val="Input Data F"/>
      <sheetName val="Reg. Course F"/>
      <sheetName val="BC-DBM F"/>
      <sheetName val="Service Road F"/>
      <sheetName val="Input Data70+100MSA"/>
      <sheetName val="Reg. Course70+100 MSA"/>
      <sheetName val="BC-DBM_Thick 70+100MSA"/>
      <sheetName val="Overlay"/>
      <sheetName val="Overlay 4Lane"/>
      <sheetName val="Drain BM PCC"/>
      <sheetName val="Ex Road"/>
      <sheetName val="Drain Lined"/>
      <sheetName val="R.E. NH-10"/>
      <sheetName val="RCC Retaining Wall1"/>
      <sheetName val="BM VS RECON"/>
      <sheetName val="RE WALL NEW"/>
      <sheetName val="Bearing Details"/>
      <sheetName val="HT STRAND"/>
      <sheetName val="MJB &amp; MNB Qty R1"/>
      <sheetName val="Fdn Steel 146-1"/>
      <sheetName val="Girder Details "/>
      <sheetName val="MJB &amp; MNB Qty"/>
      <sheetName val="Crash Barrier &amp;Footpath"/>
      <sheetName val="Return Wall"/>
      <sheetName val="STWC"/>
      <sheetName val="bupcost"/>
      <sheetName val="AFA"/>
      <sheetName val="performance"/>
      <sheetName val="FINALTOPSHEET"/>
      <sheetName val="chiklicost"/>
      <sheetName val="revanal"/>
      <sheetName val="annex1siteman-indirectpm"/>
      <sheetName val="annex2siteman-indirectlab"/>
      <sheetName val="annex3mob-stockpile"/>
      <sheetName val="annex4mob-wp1trasnfer"/>
      <sheetName val="annex5-mob-safety"/>
      <sheetName val="annex6-sitefac-survey"/>
      <sheetName val="CONTRACT PRICE"/>
      <sheetName val="PRICE BREAKUP"/>
      <sheetName val="ABSTRACT BOQ"/>
      <sheetName val="IDC - OVERHEADS - SUMMARY"/>
      <sheetName val="BASIC DATA of Material"/>
      <sheetName val="Cost of material"/>
      <sheetName val="Req of Material"/>
      <sheetName val="MIX COMPOSITION"/>
      <sheetName val="SUMMARY PLANT COST"/>
      <sheetName val="TRAFFIC APPURENTANCE"/>
      <sheetName val="CD &amp; Bridges"/>
      <sheetName val="BRIDGE CONCRETE"/>
      <sheetName val="ETC -Escalation"/>
      <sheetName val="IDC - OVERHEADS"/>
      <sheetName val="SC DIESEL ESCALATION"/>
      <sheetName val="OF - BACK"/>
      <sheetName val="Working Capital"/>
      <sheetName val="CHART INDICES"/>
      <sheetName val="CAPITAL CHARGE"/>
      <sheetName val="IPS"/>
      <sheetName val="hirevs dep"/>
      <sheetName val="PC PIVOT- do not fiddle with"/>
      <sheetName val="Summary Crusher"/>
      <sheetName val="boq rvn"/>
      <sheetName val="Currency split"/>
      <sheetName val="Payment Status"/>
      <sheetName val="BOQ 1"/>
      <sheetName val="BOQ 2"/>
      <sheetName val="BOQ 3"/>
      <sheetName val="BOQ 4"/>
      <sheetName val="BOQ 5"/>
      <sheetName val="BOQ 6"/>
      <sheetName val="BOQ 7"/>
      <sheetName val="BOQ 8"/>
      <sheetName val="BOQ 9"/>
      <sheetName val="BOQ 10"/>
      <sheetName val="BOQ 11"/>
      <sheetName val="BOQ 12"/>
      <sheetName val="SUMBILL1"/>
      <sheetName val="BOQ 14"/>
      <sheetName val="BOQ 15"/>
      <sheetName val="BOQ 16"/>
      <sheetName val="BOQ 17"/>
      <sheetName val="BOQ 18"/>
      <sheetName val="BOQ 19"/>
      <sheetName val="BOQ 20"/>
      <sheetName val="BOQ 21"/>
      <sheetName val="BOQ 22"/>
      <sheetName val="BOQ 23"/>
      <sheetName val="BOQ 24"/>
      <sheetName val="Summary bill 7"/>
      <sheetName val="BOQ 26"/>
      <sheetName val="BOQ 27"/>
      <sheetName val="Summary bill 8"/>
      <sheetName val="BOQ 29"/>
      <sheetName val="BOQ 30"/>
      <sheetName val="BOQ 31"/>
      <sheetName val="BOQ 32"/>
      <sheetName val="BOQ 33"/>
      <sheetName val="BOQ 34"/>
      <sheetName val="BOQ 35"/>
      <sheetName val="BOQ 36"/>
      <sheetName val="BOQ 37"/>
      <sheetName val="BOQ 38"/>
      <sheetName val="BOQ 39"/>
      <sheetName val="BOQ 40"/>
      <sheetName val="BOQ 41"/>
      <sheetName val="BOQ 42"/>
      <sheetName val="BOQ 43"/>
      <sheetName val="BOQ 44"/>
      <sheetName val="BOQ 45"/>
      <sheetName val="Summary bill 17"/>
      <sheetName val="BOQ 47"/>
      <sheetName val="BOQ 48"/>
      <sheetName val="BOQ 49"/>
      <sheetName val="Summary bill 20"/>
      <sheetName val="BOQ 51"/>
      <sheetName val="BOQ 52"/>
      <sheetName val="BOQ 53"/>
      <sheetName val="BOQ 54"/>
      <sheetName val="BOQ 55"/>
      <sheetName val="BOQ 56"/>
      <sheetName val="BOQ 57"/>
      <sheetName val="Summary bill 21"/>
      <sheetName val="BOQ 59"/>
      <sheetName val="BOQ 60"/>
      <sheetName val="BOQ 61"/>
      <sheetName val="BOQ 62"/>
      <sheetName val="Summary bill 22"/>
      <sheetName val="VOP LABOUR"/>
      <sheetName val="VOP MATERIALS"/>
      <sheetName val="DC ABS"/>
      <sheetName val="Sub details"/>
      <sheetName val="Angebot18.7."/>
      <sheetName val="Bill No. 2"/>
      <sheetName val="budget summary (2)"/>
      <sheetName val="Budget Analysis Summary"/>
      <sheetName val="改加胶玻璃、室外栏杆"/>
      <sheetName val="企业表一"/>
      <sheetName val="M-5C"/>
      <sheetName val="M-5A"/>
      <sheetName val="BQ_External"/>
      <sheetName val="Bill_1"/>
      <sheetName val="Bill_2"/>
      <sheetName val="Bill_3"/>
      <sheetName val="Bill_4"/>
      <sheetName val="Bill_5"/>
      <sheetName val="Bill_6"/>
      <sheetName val="Bill_7"/>
      <sheetName val="FOL - Bar"/>
      <sheetName val="LABOUR_HISTOGRAM"/>
      <sheetName val="JAS"/>
      <sheetName val="HIRED LABOUR CODE"/>
      <sheetName val="_x0000__x0000__x0000__x0000__x0000__x0000__x0000__x0000_"/>
      <sheetName val="Customize Your Invoice"/>
      <sheetName val="POWER ASSUMPTIONS"/>
      <sheetName val="CT  PL"/>
      <sheetName val="Projet, methodes &amp; couts"/>
      <sheetName val="TAHRIR"/>
      <sheetName val="Bases"/>
      <sheetName val="Risques majeurs &amp; Frais Ind."/>
      <sheetName val="Bouclage"/>
      <sheetName val="AREG_05"/>
      <sheetName val="Insurance Ext"/>
      <sheetName val="intr stool brkup"/>
      <sheetName val="GFA_HQ_Building1"/>
      <sheetName val="Geneí¬_x0008_i_x0000__x0000__x0014__x0000_0."/>
      <sheetName val="70_x0000_,/0_x0000_s«_x0008_i_x0000_Æø_x0003_í¬_x0008_i_x0000_"/>
      <sheetName val="GFA_Conference1"/>
      <sheetName val="StattCo_yCharges"/>
      <sheetName val="Penthouse_Apartment"/>
      <sheetName val="Chiet_tinh_dz22"/>
      <sheetName val="Chiet_tinh_dz35"/>
      <sheetName val="CT_Thang_Mo"/>
      <sheetName val="Raw_Data"/>
      <sheetName val="@risk_rents_and_incentives"/>
      <sheetName val="Car_park_lease"/>
      <sheetName val="Net_rent_analysis"/>
      <sheetName val="Poz-1_"/>
      <sheetName val="Lab_Cum_Hist"/>
      <sheetName val="Graph_Data_(DO_NOT_PRINT)"/>
      <sheetName val="FOL_-_Bar"/>
      <sheetName val="LEVEL_SHEET"/>
      <sheetName val="Bill_No__2"/>
      <sheetName val="budget_summary_(2)"/>
      <sheetName val="Budget_Analysis_Summary"/>
      <sheetName val="ConferenceCentre_x0000_옰ʒ䄂ʒ鵠ʐ䄂ʒ閐̐䄂ʒ蕈̐"/>
      <sheetName val="BQ_External1"/>
      <sheetName val="LABOUR_HISTOGRAM1"/>
      <sheetName val="Projet,_methodes_&amp;_couts"/>
      <sheetName val="Risques_majeurs_&amp;_Frais_Ind_"/>
      <sheetName val="CT__PL"/>
      <sheetName val="Currencies"/>
      <sheetName val="Ap A"/>
      <sheetName val="77S(O)"/>
      <sheetName val="MTP"/>
      <sheetName val="GFA_HQ_Building2"/>
      <sheetName val="GFA_Conference2"/>
      <sheetName val="LEVEL_SHEET1"/>
      <sheetName val="BQ_External2"/>
      <sheetName val="Lab_Cum_Hist1"/>
      <sheetName val="StattCo_yCharges1"/>
      <sheetName val="Penthouse_Apartment1"/>
      <sheetName val="Graph_Data_(DO_NOT_PRINT)1"/>
      <sheetName val="LABOUR_HISTOGRAM2"/>
      <sheetName val="@risk_rents_and_incentives1"/>
      <sheetName val="Car_park_lease1"/>
      <sheetName val="Net_rent_analysis1"/>
      <sheetName val="Poz-1_1"/>
      <sheetName val="Chiet_tinh_dz221"/>
      <sheetName val="Chiet_tinh_dz351"/>
      <sheetName val="Raw_Data1"/>
      <sheetName val="Bill_No__21"/>
      <sheetName val="CT_Thang_Mo1"/>
      <sheetName val="budget_summary_(2)1"/>
      <sheetName val="Budget_Analysis_Summary1"/>
      <sheetName val="FOL_-_Bar1"/>
      <sheetName val="HIRED_LABOUR_CODE"/>
      <sheetName val="foot-slab_reinft"/>
      <sheetName val="IO_LIST"/>
      <sheetName val="Bill_11"/>
      <sheetName val="Bill_21"/>
      <sheetName val="Bill_31"/>
      <sheetName val="Bill_41"/>
      <sheetName val="Bill_51"/>
      <sheetName val="Bill_61"/>
      <sheetName val="Bill_71"/>
      <sheetName val="Customize_Your_Invoice"/>
      <sheetName val="POWER_ASSUMPTIONS"/>
      <sheetName val="CT__PL1"/>
      <sheetName val="Projet,_methodes_&amp;_couts1"/>
      <sheetName val="Risques_majeurs_&amp;_Frais_Ind_1"/>
      <sheetName val="Insurance_Ext"/>
      <sheetName val="HVAC_BoQ"/>
      <sheetName val="intr_stool_brkup"/>
      <sheetName val="Body_Sheet"/>
      <sheetName val="1_0_Executive_Summary"/>
      <sheetName val="Geneí¬i0_"/>
      <sheetName val="70,/0s«iÆøí¬i"/>
      <sheetName val="Ap_A"/>
      <sheetName val="GFA_HQ_Building3"/>
      <sheetName val="GFA_Conference3"/>
      <sheetName val="LEVEL_SHEET2"/>
      <sheetName val="BQ_External3"/>
      <sheetName val="Lab_Cum_Hist2"/>
      <sheetName val="StattCo_yCharges2"/>
      <sheetName val="Penthouse_Apartment2"/>
      <sheetName val="Graph_Data_(DO_NOT_PRINT)2"/>
      <sheetName val="LABOUR_HISTOGRAM3"/>
      <sheetName val="@risk_rents_and_incentives2"/>
      <sheetName val="Car_park_lease2"/>
      <sheetName val="Net_rent_analysis2"/>
      <sheetName val="Poz-1_2"/>
      <sheetName val="Chiet_tinh_dz222"/>
      <sheetName val="Chiet_tinh_dz352"/>
      <sheetName val="Raw_Data2"/>
      <sheetName val="Bill_No__22"/>
      <sheetName val="CT_Thang_Mo2"/>
      <sheetName val="budget_summary_(2)2"/>
      <sheetName val="Budget_Analysis_Summary2"/>
      <sheetName val="FOL_-_Bar2"/>
      <sheetName val="HIRED_LABOUR_CODE1"/>
      <sheetName val="foot-slab_reinft1"/>
      <sheetName val="IO_LIST1"/>
      <sheetName val="Bill_12"/>
      <sheetName val="Bill_22"/>
      <sheetName val="Bill_32"/>
      <sheetName val="Bill_42"/>
      <sheetName val="Bill_52"/>
      <sheetName val="Bill_62"/>
      <sheetName val="Bill_72"/>
      <sheetName val="Customize_Your_Invoice1"/>
      <sheetName val="POWER_ASSUMPTIONS1"/>
      <sheetName val="CT__PL2"/>
      <sheetName val="Projet,_methodes_&amp;_couts2"/>
      <sheetName val="Risques_majeurs_&amp;_Frais_Ind_2"/>
      <sheetName val="Tender_Summary1"/>
      <sheetName val="Insurance_Ext1"/>
      <sheetName val="HVAC_BoQ1"/>
      <sheetName val="intr_stool_brkup1"/>
      <sheetName val="Body_Sheet1"/>
      <sheetName val="1_0_Executive_Summary1"/>
      <sheetName val="Ap_A1"/>
      <sheetName val="GFA_HQ_Building4"/>
      <sheetName val="GFA_Conference4"/>
      <sheetName val="LEVEL_SHEET3"/>
      <sheetName val="BQ_External4"/>
      <sheetName val="Lab_Cum_Hist3"/>
      <sheetName val="StattCo_yCharges3"/>
      <sheetName val="Penthouse_Apartment3"/>
      <sheetName val="Graph_Data_(DO_NOT_PRINT)3"/>
      <sheetName val="LABOUR_HISTOGRAM4"/>
      <sheetName val="@risk_rents_and_incentives3"/>
      <sheetName val="Car_park_lease3"/>
      <sheetName val="Net_rent_analysis3"/>
      <sheetName val="Poz-1_3"/>
      <sheetName val="Chiet_tinh_dz223"/>
      <sheetName val="Chiet_tinh_dz353"/>
      <sheetName val="Raw_Data3"/>
      <sheetName val="Bill_No__23"/>
      <sheetName val="CT_Thang_Mo3"/>
      <sheetName val="budget_summary_(2)3"/>
      <sheetName val="Budget_Analysis_Summary3"/>
      <sheetName val="FOL_-_Bar3"/>
      <sheetName val="HIRED_LABOUR_CODE2"/>
      <sheetName val="foot-slab_reinft2"/>
      <sheetName val="IO_LIST2"/>
      <sheetName val="Bill_13"/>
      <sheetName val="Bill_23"/>
      <sheetName val="Bill_33"/>
      <sheetName val="Bill_43"/>
      <sheetName val="Bill_53"/>
      <sheetName val="Bill_63"/>
      <sheetName val="Bill_73"/>
      <sheetName val="Customize_Your_Invoice2"/>
      <sheetName val="POWER_ASSUMPTIONS2"/>
      <sheetName val="CT__PL3"/>
      <sheetName val="Projet,_methodes_&amp;_couts3"/>
      <sheetName val="Risques_majeurs_&amp;_Frais_Ind_3"/>
      <sheetName val="Tender_Summary2"/>
      <sheetName val="Insurance_Ext2"/>
      <sheetName val="HVAC_BoQ2"/>
      <sheetName val="intr_stool_brkup2"/>
      <sheetName val="Body_Sheet2"/>
      <sheetName val="1_0_Executive_Summary2"/>
      <sheetName val="Ap_A2"/>
      <sheetName val="GFA_HQ_Building5"/>
      <sheetName val="GFA_Conference5"/>
      <sheetName val="LEVEL_SHEET4"/>
      <sheetName val="BQ_External5"/>
      <sheetName val="Lab_Cum_Hist4"/>
      <sheetName val="StattCo_yCharges4"/>
      <sheetName val="Penthouse_Apartment4"/>
      <sheetName val="Graph_Data_(DO_NOT_PRINT)4"/>
      <sheetName val="LABOUR_HISTOGRAM5"/>
      <sheetName val="@risk_rents_and_incentives4"/>
      <sheetName val="Car_park_lease4"/>
      <sheetName val="Net_rent_analysis4"/>
      <sheetName val="Poz-1_4"/>
      <sheetName val="Chiet_tinh_dz224"/>
      <sheetName val="Chiet_tinh_dz354"/>
      <sheetName val="Raw_Data4"/>
      <sheetName val="Bill_No__24"/>
      <sheetName val="CT_Thang_Mo4"/>
      <sheetName val="budget_summary_(2)4"/>
      <sheetName val="Budget_Analysis_Summary4"/>
      <sheetName val="FOL_-_Bar4"/>
      <sheetName val="HIRED_LABOUR_CODE3"/>
      <sheetName val="foot-slab_reinft3"/>
      <sheetName val="IO_LIST3"/>
      <sheetName val="Bill_14"/>
      <sheetName val="Bill_24"/>
      <sheetName val="Bill_34"/>
      <sheetName val="Bill_44"/>
      <sheetName val="Bill_54"/>
      <sheetName val="Bill_64"/>
      <sheetName val="Bill_74"/>
      <sheetName val="Customize_Your_Invoice3"/>
      <sheetName val="POWER_ASSUMPTIONS3"/>
      <sheetName val="CT__PL4"/>
      <sheetName val="Projet,_methodes_&amp;_couts4"/>
      <sheetName val="Risques_majeurs_&amp;_Frais_Ind_4"/>
      <sheetName val="Tender_Summary3"/>
      <sheetName val="Insurance_Ext3"/>
      <sheetName val="HVAC_BoQ3"/>
      <sheetName val="intr_stool_brkup3"/>
      <sheetName val="Body_Sheet3"/>
      <sheetName val="1_0_Executive_Summary3"/>
      <sheetName val="Top_sheet3"/>
      <sheetName val="Ap_A3"/>
      <sheetName val="GFA_HQ_Building6"/>
      <sheetName val="GFA_Conference6"/>
      <sheetName val="LEVEL_SHEET5"/>
      <sheetName val="BQ_External6"/>
      <sheetName val="Lab_Cum_Hist5"/>
      <sheetName val="StattCo_yCharges5"/>
      <sheetName val="Penthouse_Apartment5"/>
      <sheetName val="Graph_Data_(DO_NOT_PRINT)5"/>
      <sheetName val="LABOUR_HISTOGRAM6"/>
      <sheetName val="@risk_rents_and_incentives5"/>
      <sheetName val="Car_park_lease5"/>
      <sheetName val="Net_rent_analysis5"/>
      <sheetName val="Poz-1_5"/>
      <sheetName val="Chiet_tinh_dz225"/>
      <sheetName val="Chiet_tinh_dz355"/>
      <sheetName val="Raw_Data5"/>
      <sheetName val="Bill_No__25"/>
      <sheetName val="CT_Thang_Mo5"/>
      <sheetName val="budget_summary_(2)5"/>
      <sheetName val="Budget_Analysis_Summary5"/>
      <sheetName val="FOL_-_Bar5"/>
      <sheetName val="HIRED_LABOUR_CODE4"/>
      <sheetName val="foot-slab_reinft4"/>
      <sheetName val="IO_LIST4"/>
      <sheetName val="Bill_15"/>
      <sheetName val="Bill_25"/>
      <sheetName val="Bill_35"/>
      <sheetName val="Bill_45"/>
      <sheetName val="Bill_55"/>
      <sheetName val="Bill_65"/>
      <sheetName val="Bill_75"/>
      <sheetName val="Customize_Your_Invoice4"/>
      <sheetName val="POWER_ASSUMPTIONS4"/>
      <sheetName val="CT__PL5"/>
      <sheetName val="Projet,_methodes_&amp;_couts5"/>
      <sheetName val="Risques_majeurs_&amp;_Frais_Ind_5"/>
      <sheetName val="Tender_Summary4"/>
      <sheetName val="Insurance_Ext4"/>
      <sheetName val="HVAC_BoQ4"/>
      <sheetName val="intr_stool_brkup4"/>
      <sheetName val="Body_Sheet4"/>
      <sheetName val="1_0_Executive_Summary4"/>
      <sheetName val="Top_sheet4"/>
      <sheetName val="Ap_A4"/>
      <sheetName val="DETAILED__BOQ1"/>
      <sheetName val="2 Div 14 "/>
      <sheetName val="SHOPLIST.xls"/>
      <sheetName val="internal-C.P &amp; SANITARY,T(10)"/>
      <sheetName val="RFI-INTERNAL"/>
      <sheetName val="ORDER SUMMARY-MOCKUP-1"/>
      <sheetName val="internal water supply fittings"/>
      <sheetName val="internal pvc fittings"/>
      <sheetName val="internal-boq item"/>
      <sheetName val="internal-C.P, T-10(SUMMARY)"/>
      <sheetName val="RFI-Basement celling"/>
      <sheetName val="TASKRSRC (2)"/>
      <sheetName val="TARGET"/>
      <sheetName val="BASELINE"/>
      <sheetName val="Vcap1500"/>
      <sheetName val="PCS DATA"/>
      <sheetName val="Block A - BOQ"/>
      <sheetName val="Linked Lead"/>
      <sheetName val="Option 159"/>
      <sheetName val="March Analysts"/>
      <sheetName val="Interpretations (incl piling)"/>
      <sheetName val="Dem"/>
      <sheetName val="07016, Master List-Major Minor"/>
      <sheetName val="VIWSCo1"/>
      <sheetName val="AutoOpen_Stub_Data"/>
      <sheetName val="factor"/>
      <sheetName val="currency (2)"/>
      <sheetName val="S &amp; A"/>
      <sheetName val="405"/>
      <sheetName val="427"/>
      <sheetName val="403"/>
      <sheetName val="WACC Calculation"/>
      <sheetName val="Makro1"/>
      <sheetName val="MSU"/>
      <sheetName val="Actuals_by_Job"/>
      <sheetName val="Heads_Equiv_QI"/>
      <sheetName val="PT_Heads_SD"/>
      <sheetName val="Month"/>
      <sheetName val="Outlook"/>
      <sheetName val="AutoOpen_Stub_Data1"/>
      <sheetName val="BLOCK-A_(MEA_SHEET)"/>
      <sheetName val="currency_(2)"/>
      <sheetName val="GN-ST-06(2)(Design_Sheet-Ruled)"/>
      <sheetName val="07016,_Master_List-Major_Minor"/>
      <sheetName val="WACC_Calculation"/>
      <sheetName val="Citrix"/>
      <sheetName val="ABP_inputs"/>
      <sheetName val="Synergy_Sales_Budget"/>
      <sheetName val="SCurv_(3)"/>
      <sheetName val="Cashflow_projection"/>
      <sheetName val="Deprec_"/>
      <sheetName val="TB-JUNE-2003-18_7_03"/>
      <sheetName val="Inc_St_-Link"/>
      <sheetName val="kppl_pl"/>
      <sheetName val="3__Elemental_Summary"/>
      <sheetName val="TASKRSRC_(2)"/>
      <sheetName val="Desgn(zone_I)"/>
      <sheetName val="key_dates"/>
      <sheetName val="M_S_"/>
      <sheetName val="Assumption_Inputs"/>
      <sheetName val="Administrative_Prices"/>
      <sheetName val="Block_A_-_BOQ"/>
      <sheetName val="JCR_Oct_06_TOP_SHEET"/>
      <sheetName val="JCR_Oct_06_CIVIL"/>
      <sheetName val="JCR_Oct_06_MECH"/>
      <sheetName val="Oct_06_DESI_&amp;SP_CONT"/>
      <sheetName val="JCR_Oct_06_IDC"/>
      <sheetName val="Cum_Measure"/>
      <sheetName val="PS_Rate_Working"/>
      <sheetName val="CIVIL_Str_vise"/>
      <sheetName val="JCR_sEP_06_IDC_WORKINGS"/>
      <sheetName val="3cd_Annexure"/>
      <sheetName val="Linked_Lead"/>
      <sheetName val="ABP_inputs1"/>
      <sheetName val="Synergy_Sales_Budget1"/>
      <sheetName val="SCurv_(3)1"/>
      <sheetName val="GN-ST-06(2)(Design_Sheet-Ruled1"/>
      <sheetName val="Cashflow_projection1"/>
      <sheetName val="Deprec_1"/>
      <sheetName val="TB-JUNE-2003-18_7_031"/>
      <sheetName val="Extra_Item1"/>
      <sheetName val="Detail_In_Door_Stad1"/>
      <sheetName val="Inc_St_-Link1"/>
      <sheetName val="kppl_pl1"/>
      <sheetName val="labour_coeff1"/>
      <sheetName val="BLOCK-A_(MEA_SHEET)1"/>
      <sheetName val="Project_Details__1"/>
      <sheetName val="ORDER_BOOKING1"/>
      <sheetName val="3__Elemental_Summary1"/>
      <sheetName val="TASKRSRC_(2)1"/>
      <sheetName val="Desgn(zone_I)1"/>
      <sheetName val="key_dates1"/>
      <sheetName val="M_S_1"/>
      <sheetName val="Assumption_Inputs1"/>
      <sheetName val="Administrative_Prices1"/>
      <sheetName val="Block_A_-_BOQ1"/>
      <sheetName val="JCR_Oct_06_TOP_SHEET1"/>
      <sheetName val="JCR_Oct_06_CIVIL1"/>
      <sheetName val="JCR_Oct_06_MECH1"/>
      <sheetName val="Oct_06_DESI_&amp;SP_CONT1"/>
      <sheetName val="JCR_Oct_06_IDC1"/>
      <sheetName val="Cum_Measure1"/>
      <sheetName val="PS_Rate_Working1"/>
      <sheetName val="CIVIL_Str_vise1"/>
      <sheetName val="JCR_sEP_06_IDC_WORKINGS1"/>
      <sheetName val="3cd_Annexure1"/>
      <sheetName val="Linked_Lead1"/>
      <sheetName val="AutoOpen_Stub_Data2"/>
      <sheetName val="ABP_inputs2"/>
      <sheetName val="Synergy_Sales_Budget2"/>
      <sheetName val="SCurv_(3)2"/>
      <sheetName val="GN-ST-06(2)(Design_Sheet-Ruled2"/>
      <sheetName val="Cashflow_projection2"/>
      <sheetName val="Deprec_2"/>
      <sheetName val="TB-JUNE-2003-18_7_032"/>
      <sheetName val="Extra_Item2"/>
      <sheetName val="Detail_In_Door_Stad2"/>
      <sheetName val="Inc_St_-Link2"/>
      <sheetName val="kppl_pl2"/>
      <sheetName val="labour_coeff2"/>
      <sheetName val="BLOCK-A_(MEA_SHEET)2"/>
      <sheetName val="Project_Details__2"/>
      <sheetName val="ORDER_BOOKING2"/>
      <sheetName val="3__Elemental_Summary2"/>
      <sheetName val="TASKRSRC_(2)2"/>
      <sheetName val="Desgn(zone_I)2"/>
      <sheetName val="key_dates2"/>
      <sheetName val="M_S_2"/>
      <sheetName val="Assumption_Inputs2"/>
      <sheetName val="Administrative_Prices2"/>
      <sheetName val="Block_A_-_BOQ2"/>
      <sheetName val="JCR_Oct_06_TOP_SHEET2"/>
      <sheetName val="JCR_Oct_06_CIVIL2"/>
      <sheetName val="JCR_Oct_06_MECH2"/>
      <sheetName val="Oct_06_DESI_&amp;SP_CONT2"/>
      <sheetName val="JCR_Oct_06_IDC2"/>
      <sheetName val="Cum_Measure2"/>
      <sheetName val="PS_Rate_Working2"/>
      <sheetName val="CIVIL_Str_vise2"/>
      <sheetName val="JCR_sEP_06_IDC_WORKINGS2"/>
      <sheetName val="3cd_Annexure2"/>
      <sheetName val="Linked_Lead2"/>
      <sheetName val="AutoOpen_Stub_Data3"/>
      <sheetName val="ABP_inputs3"/>
      <sheetName val="Synergy_Sales_Budget3"/>
      <sheetName val="SCurv_(3)3"/>
      <sheetName val="GN-ST-06(2)(Design_Sheet-Ruled3"/>
      <sheetName val="Cashflow_projection3"/>
      <sheetName val="Deprec_3"/>
      <sheetName val="TB-JUNE-2003-18_7_033"/>
      <sheetName val="Extra_Item3"/>
      <sheetName val="Detail_In_Door_Stad3"/>
      <sheetName val="Inc_St_-Link3"/>
      <sheetName val="kppl_pl3"/>
      <sheetName val="labour_coeff3"/>
      <sheetName val="BLOCK-A_(MEA_SHEET)3"/>
      <sheetName val="Project_Details__3"/>
      <sheetName val="ORDER_BOOKING3"/>
      <sheetName val="3__Elemental_Summary3"/>
      <sheetName val="TASKRSRC_(2)3"/>
      <sheetName val="Desgn(zone_I)3"/>
      <sheetName val="key_dates3"/>
      <sheetName val="M_S_3"/>
      <sheetName val="Assumption_Inputs3"/>
      <sheetName val="Administrative_Prices3"/>
      <sheetName val="Block_A_-_BOQ3"/>
      <sheetName val="JCR_Oct_06_TOP_SHEET3"/>
      <sheetName val="JCR_Oct_06_CIVIL3"/>
      <sheetName val="JCR_Oct_06_MECH3"/>
      <sheetName val="Oct_06_DESI_&amp;SP_CONT3"/>
      <sheetName val="JCR_Oct_06_IDC3"/>
      <sheetName val="Cum_Measure3"/>
      <sheetName val="PS_Rate_Working3"/>
      <sheetName val="CIVIL_Str_vise3"/>
      <sheetName val="JCR_sEP_06_IDC_WORKINGS3"/>
      <sheetName val="3cd_Annexure3"/>
      <sheetName val="Linked_Lead3"/>
      <sheetName val="AutoOpen_Stub_Data4"/>
      <sheetName val="ABP_inputs4"/>
      <sheetName val="Synergy_Sales_Budget4"/>
      <sheetName val="SCurv_(3)4"/>
      <sheetName val="GN-ST-06(2)(Design_Sheet-Ruled4"/>
      <sheetName val="Cashflow_projection4"/>
      <sheetName val="Deprec_4"/>
      <sheetName val="TB-JUNE-2003-18_7_034"/>
      <sheetName val="Extra_Item4"/>
      <sheetName val="Detail_In_Door_Stad4"/>
      <sheetName val="Inc_St_-Link4"/>
      <sheetName val="kppl_pl4"/>
      <sheetName val="labour_coeff4"/>
      <sheetName val="BLOCK-A_(MEA_SHEET)4"/>
      <sheetName val="Project_Details__4"/>
      <sheetName val="ORDER_BOOKING4"/>
      <sheetName val="3__Elemental_Summary4"/>
      <sheetName val="TASKRSRC_(2)4"/>
      <sheetName val="Desgn(zone_I)4"/>
      <sheetName val="key_dates4"/>
      <sheetName val="M_S_4"/>
      <sheetName val="Assumption_Inputs4"/>
      <sheetName val="Administrative_Prices4"/>
      <sheetName val="Block_A_-_BOQ4"/>
      <sheetName val="JCR_Oct_06_TOP_SHEET4"/>
      <sheetName val="JCR_Oct_06_CIVIL4"/>
      <sheetName val="JCR_Oct_06_MECH4"/>
      <sheetName val="Oct_06_DESI_&amp;SP_CONT4"/>
      <sheetName val="JCR_Oct_06_IDC4"/>
      <sheetName val="Cum_Measure4"/>
      <sheetName val="PS_Rate_Working4"/>
      <sheetName val="CIVIL_Str_vise4"/>
      <sheetName val="Concrete Summary (3)"/>
      <sheetName val="Daywise Breakup"/>
      <sheetName val="WEEK WISE PROGRAM"/>
      <sheetName val="BLOCK 1"/>
      <sheetName val="BLOCK 2"/>
      <sheetName val="BLOCK 3"/>
      <sheetName val="BLOCK 4"/>
      <sheetName val="BLOCK 5"/>
      <sheetName val="BLOCK 6"/>
      <sheetName val="BLOCK 7"/>
      <sheetName val="Block 8"/>
      <sheetName val="CUP BLOCK"/>
      <sheetName val="Columns Block2"/>
      <sheetName val="BLOCK 7 PLAN"/>
      <sheetName val="BLOCK 8 PLAN"/>
      <sheetName val="Block 3 - columns"/>
      <sheetName val="all"/>
      <sheetName val="SND"/>
      <sheetName val="FR"/>
      <sheetName val="LTG-STG"/>
      <sheetName val="strom"/>
      <sheetName val="PRK"/>
      <sheetName val="haz"/>
      <sheetName val="inc"/>
      <sheetName val="bps"/>
      <sheetName val="cant"/>
      <sheetName val="LTG_STG"/>
      <sheetName val="planing"/>
      <sheetName val="WELCOME SHEET"/>
      <sheetName val="Revised Planning Jan'13"/>
      <sheetName val="Q-4 Target"/>
      <sheetName val="BOTTLE NECK"/>
      <sheetName val="KTPP WPR Dec'12"/>
      <sheetName val="MRS"/>
      <sheetName val="MAIN-BLDG  "/>
      <sheetName val="infra"/>
      <sheetName val="Monitoring of resources Jan'13"/>
      <sheetName val="MIS Submission"/>
      <sheetName val="Status of NCR"/>
      <sheetName val="PPR I"/>
      <sheetName val="PPR II"/>
      <sheetName val="COQ"/>
      <sheetName val="Process Parameters"/>
      <sheetName val="CVC of Main Plant Nov'12"/>
      <sheetName val="CVC CWPH Sept'2012"/>
      <sheetName val="CVC FB Nov 2011"/>
      <sheetName val="CVC CW Channel Nov 2011"/>
      <sheetName val="Main Plant E.D.-40th"/>
      <sheetName val="CWPH E.D. 23rd"/>
      <sheetName val="Foreway E.D. 17th"/>
      <sheetName val="Channel 5th"/>
      <sheetName val="Diesel +other oH"/>
      <sheetName val="Asset rental"/>
      <sheetName val="P&amp;L BudRo"/>
      <sheetName val="14-08"/>
      <sheetName val="Misc.P&amp;M"/>
      <sheetName val="Tools&amp;tackle"/>
      <sheetName val="client"/>
      <sheetName val="BARRI"/>
      <sheetName val="ED-Apr-13 to May-13"/>
      <sheetName val="BPS 5 (2)"/>
      <sheetName val="BPS 5"/>
      <sheetName val="LPG HR"/>
      <sheetName val="Utility"/>
      <sheetName val="Sewer storm"/>
      <sheetName val="Gaurdroom"/>
      <sheetName val="Pipe rack"/>
      <sheetName val="Main abstract"/>
      <sheetName val="Sheet1 (10)"/>
      <sheetName val="Main Plant E.D.-39th"/>
      <sheetName val="MS Cribs"/>
      <sheetName val="Steel GCW"/>
      <sheetName val="Steel CHP "/>
      <sheetName val="RMC Abstract"/>
      <sheetName val="RMC production"/>
      <sheetName val="fencing pole caculation"/>
      <sheetName val="RA BILL SUMMARY "/>
      <sheetName val="RA BILL ABSTRACT"/>
      <sheetName val="RA QTY. ABSTRACT"/>
      <sheetName val="POWER HOUSE-1"/>
      <sheetName val="POWER HOUSE-2"/>
      <sheetName val="TG-1"/>
      <sheetName val="TG II"/>
      <sheetName val="MILL BAY-Unit-2"/>
      <sheetName val="Control Building"/>
      <sheetName val="Extra Items "/>
      <sheetName val="Angel- PH-II"/>
      <sheetName val="Angel- CB"/>
      <sheetName val="MILL BUNKER BAY-Unit-1"/>
      <sheetName val="Angel-TG-II)"/>
      <sheetName val="Angel-TG"/>
      <sheetName val="Angel-TG Fixing"/>
      <sheetName val="TG DECK"/>
      <sheetName val="TAX INVOICE "/>
      <sheetName val="ANNEXURE II "/>
      <sheetName val="Ply shutt below plinth"/>
      <sheetName val="Ply shutt above pl upto 10.0 mt"/>
      <sheetName val="Ply shutt above 25 mtr "/>
      <sheetName val="Eps "/>
      <sheetName val="Pipe sleeve-100 NB  "/>
      <sheetName val="Pipe sleeve-150 NB  "/>
      <sheetName val="Pocket shutt  "/>
      <sheetName val="Expansion-25 mm thk"/>
      <sheetName val="Ex item- Alumn sheet"/>
      <sheetName val="Ex item- Welded mesh"/>
      <sheetName val="Bill status"/>
      <sheetName val="MRS-Feb-08(3rd RA)"/>
      <sheetName val="3.3.1 MB Biology Block RAB 06"/>
      <sheetName val="OH (REV)"/>
      <sheetName val="Top Sheet (REV)"/>
      <sheetName val="Basic Price Adopted "/>
      <sheetName val="Basic Price Adopted  (REv)"/>
      <sheetName val="Boq (12-06-06) (New)"/>
      <sheetName val="Rate Analysis (12-06-06)"/>
      <sheetName val="Standard (12-06-06)"/>
      <sheetName val="OH (REV) (12-06-06)"/>
      <sheetName val="Top Sheet (REV) (12-06-06)"/>
      <sheetName val="OH (REV_2"/>
      <sheetName val="Top Sheet (rev_2)"/>
      <sheetName val="Split up  (rev_2)"/>
      <sheetName val="Boq (21-06-06) "/>
      <sheetName val="Rate Analysis (21-06-06)"/>
      <sheetName val="Standard (21-06-06)"/>
      <sheetName val="OH (REV) (21-06-06)"/>
      <sheetName val="Top Sheet (REV) (21-06-06)"/>
      <sheetName val="Split up  (rev_2) (2)"/>
      <sheetName val="Power &amp; Water-Zero"/>
      <sheetName val="OH-Col&amp; Hosp (Agency) (19-06)"/>
      <sheetName val="OH- Col&amp; Hosp (Civil)  (19-06)"/>
      <sheetName val="Staff Mobilisation "/>
      <sheetName val="OH- Zero"/>
      <sheetName val="Scaffolding  (Zero)"/>
      <sheetName val="OH- Zero 9 REV )"/>
      <sheetName val="Over Heads- Zero ( REV )"/>
      <sheetName val="Top Sheet- Zero Cost"/>
      <sheetName val="Top Sheet- Total  (19-06)"/>
      <sheetName val="Bp of Hosp-Zero"/>
      <sheetName val="Bp of College-Zero"/>
      <sheetName val="Break-up-Zero"/>
      <sheetName val="Boq -Abstract- Zero"/>
      <sheetName val="Curing- Zero"/>
      <sheetName val="Boq -Zero"/>
      <sheetName val="Rate Analysis-Zero"/>
      <sheetName val="Standard-Zero"/>
      <sheetName val="Aluminium-Zero"/>
      <sheetName val="FW-Materials-Rev-Zero"/>
      <sheetName val="FW-Monthwise"/>
      <sheetName val="FW-Materaisl"/>
      <sheetName val="FW-General"/>
      <sheetName val="FW-Cost-Zero"/>
      <sheetName val="Reinforcement-Zero"/>
      <sheetName val="P&amp;M Nalysis - Zero"/>
      <sheetName val="Temp. St -Zero "/>
      <sheetName val="Reduction"/>
      <sheetName val="Bulk Material"/>
      <sheetName val="Tender Gist - Hospital"/>
      <sheetName val="Tender Gist - College"/>
      <sheetName val="EMD Req form-Hospital"/>
      <sheetName val="EMD Req form-Hospital-College"/>
      <sheetName val="P+M-Hospital "/>
      <sheetName val="P+M-Hospital-College"/>
      <sheetName val="Scaffolding "/>
      <sheetName val="Breakup of Hospial "/>
      <sheetName val="Breakup of College "/>
      <sheetName val="RO-Rates"/>
      <sheetName val="College"/>
      <sheetName val="Hospital"/>
      <sheetName val="Consolidated  (19-06)"/>
      <sheetName val="CCCL OFFER - Hospital "/>
      <sheetName val="CCCL OFFER - College"/>
      <sheetName val="Boq - Hospital (22-6-06)"/>
      <sheetName val="Boq - College (22-6-06)"/>
      <sheetName val="Standard 06)"/>
      <sheetName val="Top Sheet- Total "/>
      <sheetName val="OH- Col&amp; Hosp (Civil) "/>
      <sheetName val="OH-Col&amp; Hosp (Agency)"/>
      <sheetName val="oman maint"/>
      <sheetName val="coimbatore"/>
      <sheetName val="PRASAD"/>
      <sheetName val="paipay"/>
      <sheetName val="CRtbobpljuly"/>
      <sheetName val="TBOBPLJul98"/>
      <sheetName val="J_fix asst"/>
      <sheetName val="J_fix asst sdpl"/>
      <sheetName val="f a_obpl"/>
      <sheetName val="J_fix asst obpl"/>
      <sheetName val="J_fix asst scc"/>
      <sheetName val="J_fix asst ripl"/>
      <sheetName val="omantopaz"/>
      <sheetName val="I_Con WIP (2)"/>
      <sheetName val="TBAL9596 -IIIIRUN"/>
      <sheetName val="TBCRSsdpl July98"/>
      <sheetName val="TBSDPLJuly98"/>
      <sheetName val="Other Proj Schdl"/>
      <sheetName val="OT CLIENTS"/>
      <sheetName val="inout consol July 98"/>
      <sheetName val="TBCRSSdplmar98"/>
      <sheetName val="TB9798OBPL07"/>
      <sheetName val="G_work Cap "/>
      <sheetName val="H_land adv"/>
      <sheetName val="detai Wip 2"/>
      <sheetName val="detai Wip I "/>
      <sheetName val="K_L_Oth Co "/>
      <sheetName val="fix asst_Obpl"/>
      <sheetName val="Expenses Actual Vs. Budgeted"/>
      <sheetName val="PA"/>
      <sheetName val=" COP 100%"/>
      <sheetName val="MS 7"/>
      <sheetName val="Sales Invoice"/>
      <sheetName val="Abt PV"/>
      <sheetName val="Complied Summary Amount"/>
      <sheetName val="BOQ Abstract"/>
      <sheetName val="Quantity Variation Statement"/>
      <sheetName val="Extra Item Statement"/>
      <sheetName val="Steel received "/>
      <sheetName val="Recovery steel &amp; cement"/>
      <sheetName val="Recovery of Cement"/>
      <sheetName val="Recovery of Steel"/>
      <sheetName val="Mob Adv"/>
      <sheetName val="Steel Recovery"/>
      <sheetName val="RECO STEEL"/>
      <sheetName val="Steel Consumption"/>
      <sheetName val="Cement Recovery"/>
      <sheetName val="RECO CEMENT"/>
      <sheetName val="Consumption of Cement(1)"/>
      <sheetName val="Cement Consumption"/>
      <sheetName val="Consumption of Cement"/>
      <sheetName val="MB - TA"/>
      <sheetName val="MB - NTA"/>
      <sheetName val="Doors &amp; Railings A-1-b"/>
      <sheetName val="Tower Wise Flat Bifurcation"/>
      <sheetName val="Window A-1-C"/>
      <sheetName val="Railing Abstract"/>
      <sheetName val="D&amp;W Abstract"/>
      <sheetName val="Block A Door Cal"/>
      <sheetName val="Block A Schedule"/>
      <sheetName val="Block A Doors"/>
      <sheetName val="Block A Windows"/>
      <sheetName val="Block B Door Cal"/>
      <sheetName val="Block B Schedule"/>
      <sheetName val="Block B Doors"/>
      <sheetName val="Block B Windows"/>
      <sheetName val="Form 16"/>
      <sheetName val="Form12BA"/>
      <sheetName val="MainComp"/>
      <sheetName val="TotalSalary (3)"/>
      <sheetName val="Perquisites (2)"/>
      <sheetName val="SalaryConv (1)"/>
      <sheetName val="for challans"/>
      <sheetName val="Annexure I-TB"/>
      <sheetName val="I-Books_Appendix I"/>
      <sheetName val="II-Depn_Appendix II"/>
      <sheetName val="Business-Wise Depn_Appendix II "/>
      <sheetName val="DEP Backup"/>
      <sheetName val="FA workings DS India"/>
      <sheetName val="Summary(STI)"/>
      <sheetName val="Appendix IIA(STI)"/>
      <sheetName val="SSSC_AssetsMar10With Addn"/>
      <sheetName val="III-35D "/>
      <sheetName val="PF Appendix III"/>
      <sheetName val="Appendix (residual)"/>
      <sheetName val="Appendix IV - Cap Exp"/>
      <sheetName val="Appendix IV (ii)"/>
      <sheetName val="Appendix V - Exp at clubs"/>
      <sheetName val="Appendix VI - Inadm Exp"/>
      <sheetName val="Back-up Inadm Exp"/>
      <sheetName val="Appendix VII 17(k)"/>
      <sheetName val="Appendix VIII - 40A(2)(b)"/>
      <sheetName val="Final_Appendix IX - 43B (2)"/>
      <sheetName val="Appendix-X"/>
      <sheetName val="Back-up_Appendix-X "/>
      <sheetName val="Appendix XI A-Clause 24(a)"/>
      <sheetName val="Apendix XI-B -clause 24(b)"/>
      <sheetName val="Appendix XII -BF Loss-Dep"/>
      <sheetName val="Appendix XIII TDS"/>
      <sheetName val="Appendix XIII"/>
      <sheetName val="Appendix XIV -TDS  Delay"/>
      <sheetName val="Appendix-XV-A-traded Qty 28(a)"/>
      <sheetName val="Appendix XV-B-Raw Mat Trd"/>
      <sheetName val="Appendix XV-C Qty Dtl Fin Pro"/>
      <sheetName val="Appendix XVI-ratios"/>
      <sheetName val="Appendix XIII (2)"/>
      <sheetName val="Appendix XIII (3)"/>
      <sheetName val="FG Ratio Working"/>
      <sheetName val="Appendix XV - 13e"/>
      <sheetName val="IV-PF "/>
      <sheetName val="VIII-Loans or deposits"/>
      <sheetName val="Appendix XIV."/>
      <sheetName val="FA workings"/>
      <sheetName val="FY 2009-10Annexure IIA"/>
      <sheetName val="S 1"/>
      <sheetName val="S3a"/>
      <sheetName val="S 2b"/>
      <sheetName val="S 4"/>
      <sheetName val="S 5"/>
      <sheetName val="S 6 7"/>
      <sheetName val="S 8"/>
      <sheetName val="S 9 "/>
      <sheetName val="S 10"/>
      <sheetName val="S 11"/>
      <sheetName val="S 12"/>
      <sheetName val="S 13"/>
      <sheetName val="S 14"/>
      <sheetName val="s 15"/>
      <sheetName val="s16"/>
      <sheetName val="G.P."/>
      <sheetName val="Def Tax Rev"/>
      <sheetName val="IT-adj"/>
      <sheetName val="Def Tax"/>
      <sheetName val="LOSS"/>
      <sheetName val="TDS-List"/>
      <sheetName val="IIC Deletion (3)"/>
      <sheetName val="MainPage"/>
      <sheetName val="DR-Anx"/>
      <sheetName val="CARO"/>
      <sheetName val="CAROApp"/>
      <sheetName val="BSSch"/>
      <sheetName val="FASch"/>
      <sheetName val="PLSch"/>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Masters"/>
      <sheetName val="BS - Schedules"/>
      <sheetName val="P&amp;L Schedules"/>
      <sheetName val="sub-sch"/>
      <sheetName val="Groupings"/>
      <sheetName val="TRIAL-GROUPING"/>
      <sheetName val="FIXED ASSETS FINAL (Rs. lacs)"/>
      <sheetName val="FIXEDASSET-MINERALS-FINAL"/>
      <sheetName val="PRVOSNL FA 0102"/>
      <sheetName val="FA - DEP SCH - ACCTS - 0102 "/>
      <sheetName val="Related Party Disclosure"/>
      <sheetName val="Cash Flow Statement"/>
      <sheetName val="Manual"/>
      <sheetName val="Messages"/>
      <sheetName val="REFERENCES"/>
      <sheetName val="OPERATING ST"/>
      <sheetName val="CASH FLOW ST"/>
      <sheetName val="FINANCIAL SIT"/>
      <sheetName val="1. MACRO AND OS"/>
      <sheetName val="1.1. MACROECONOMIC INFO"/>
      <sheetName val="1.2. OPERATING STATEMENT"/>
      <sheetName val="1.3.A OS BUSINESS BGT"/>
      <sheetName val="1.4 SALES VARIATION BREAKDOWN"/>
      <sheetName val="1.5. MARGIN VARIATION"/>
      <sheetName val="2. VOLUMES &amp; PRICES"/>
      <sheetName val="2.1 SALES &amp; PRODUCTION VOLU"/>
      <sheetName val="2.2 CHANGES SALES PRICE"/>
      <sheetName val="3. COSTS &amp; EXPENSES"/>
      <sheetName val="2.1 SALES &amp; PRODUCTION VOLU (2)"/>
      <sheetName val="2.1 SALES &amp; PRODUCTION VOLU (3)"/>
      <sheetName val="3.1.A PERSONNEL "/>
      <sheetName val="3.1.B Org.chart "/>
      <sheetName val="3.2. PRODUCTION COSTS ALWAR"/>
      <sheetName val="Cost Kg Analisys Alwar Plant"/>
      <sheetName val="3.2. PROD. COSTS DEWAS"/>
      <sheetName val="Cost Kg Analysis Dewas Plant"/>
      <sheetName val="3.2. PROD. COSTS PERUNDURAI"/>
      <sheetName val="Cost Kg Analy Perundurai Plant"/>
      <sheetName val="3.2. PROD. COSTS RANIPET"/>
      <sheetName val="Cost Kg Analysis Ranipet"/>
      <sheetName val="3.2. PROD. COSTS ALL PLANTS"/>
      <sheetName val="3.3. OTHER COSTS"/>
      <sheetName val="3.4. GNRL.PRODUCTION alwar "/>
      <sheetName val="3.4. GNRL.PRODUCTION Dewas"/>
      <sheetName val="3.4. GNRL.PRODUCTION Ranipet "/>
      <sheetName val="3.4. GNRL.PRODUCTION Perund"/>
      <sheetName val="3.4. GNRL.PRODUCTION HO"/>
      <sheetName val="3.5 MArketing &amp; Sales"/>
      <sheetName val="3.5.B. PROM &amp; ADV"/>
      <sheetName val="3.6 Managem &amp; Admin"/>
      <sheetName val="3.7. FINANCIAL EXPENSES"/>
      <sheetName val="3.8 A.R. VALUE ADJUSTMENT "/>
      <sheetName val="3.9 ATYPICAL"/>
      <sheetName val="3.10 TAX"/>
      <sheetName val="4. CASHFLOW "/>
      <sheetName val="4.1 CASHFLOW STATEM. &amp; FIN."/>
      <sheetName val="4.2 Investment Budget"/>
      <sheetName val="4.2.A INVEST BUDGET Alwar"/>
      <sheetName val="4.2.B INVEST BUDGET DEWAS"/>
      <sheetName val="4.2.C INVEST BUDGET Ranipet"/>
      <sheetName val="4.2.D INVEST BUDGET PERUNDURAI"/>
      <sheetName val="4.2.E INVEST BUDGET ALLIED PROD"/>
      <sheetName val="4.2.E INVEST BUDGET HO"/>
      <sheetName val="4.4. Working capital details"/>
      <sheetName val="4.5 WORKING CAPITAL RATIO"/>
      <sheetName val="4.6. ASSETS"/>
      <sheetName val="4.7. EQUITY &amp; LIABILITIES"/>
      <sheetName val="5. ANNEX"/>
      <sheetName val="5. 1 DETAIL INVESTMENTS"/>
      <sheetName val="5. 2 HEADCOUNT DETAIL"/>
      <sheetName val="5.2A YE HEADCOUNT DETAIL"/>
      <sheetName val="ALESSI"/>
      <sheetName val="LIVING"/>
      <sheetName val="PALOMBA"/>
      <sheetName val="CHULETA"/>
      <sheetName val="OPST"/>
      <sheetName val="Capital Expenditure"/>
      <sheetName val="WUPDATA"/>
      <sheetName val="Challan"/>
      <sheetName val="ACTIVO"/>
      <sheetName val="Cash payments _Rs_20_000"/>
      <sheetName val="Franchise Input"/>
      <sheetName val="OC5_Push Diag"/>
      <sheetName val="Settings"/>
      <sheetName val="한계원가"/>
      <sheetName val="유통망계획"/>
      <sheetName val="RELACION REFERENCIAS"/>
      <sheetName val="_____"/>
      <sheetName val="IT_FBT_DDTP"/>
      <sheetName val="Gap Analysis "/>
      <sheetName val="wHist_Data"/>
      <sheetName val="wInit_Frct_Data"/>
      <sheetName val="wFinal_Frct_Data"/>
      <sheetName val="oracleTB"/>
      <sheetName val="Alw"/>
      <sheetName val="Dew"/>
      <sheetName val="Rpt"/>
      <sheetName val="Prd"/>
      <sheetName val="Otros Costes"/>
      <sheetName val=" GGP Alw"/>
      <sheetName val=" GGP Dew"/>
      <sheetName val=" GGP Prd"/>
      <sheetName val=" GGP Rpt"/>
      <sheetName val="Gastos Comerciales"/>
      <sheetName val="Gastos Generales"/>
      <sheetName val="INDICE "/>
      <sheetName val="OPERATING SIT."/>
      <sheetName val="CASHFLOW SIT."/>
      <sheetName val="FINANCIAL SIT."/>
      <sheetName val="1. MACROECONOMIC &amp; OPERATING ST"/>
      <sheetName val="1.1. MACROEC. INDICATORS"/>
      <sheetName val="A.1.3.A RESULTS BY BUS. (BGT)"/>
      <sheetName val="A.1.3.B RESULTS BY BUS.(F'CAST)"/>
      <sheetName val="KALE RESULTS BY BUS.(F'CAST)"/>
      <sheetName val="1.4. COMPAR. SALES ANALYSIS"/>
      <sheetName val="1.5. GROSS MARGIN VARIATION AN."/>
      <sheetName val="2.1. SALES &amp; PRODUCT. UTS"/>
      <sheetName val="3.1.B PERSONNEL - ORG. CHART"/>
      <sheetName val="3.2.A PRODUCTION COSTS RANIPET"/>
      <sheetName val="3.2.B PRODUCTION COSTS ALWAR"/>
      <sheetName val="3.2.C PRODUCTION COSTS DEWAS"/>
      <sheetName val="3.2.D PRODUCTION COSTS PERUND"/>
      <sheetName val="3.2.B. PURCHASED COSTS"/>
      <sheetName val="3.4.A GRAL PROD COSTS RANIPET "/>
      <sheetName val="3.4.B GRAL PROD COSTS ALWAR"/>
      <sheetName val="3.4.C GRAL PROD COSTS DEWAS"/>
      <sheetName val="3.4.D GRAL PROD COSTS PERUND"/>
      <sheetName val="3.5.A MARKETING &amp; SALES"/>
      <sheetName val="3.5.B PROMOTION &amp; ADVERTISING"/>
      <sheetName val="3.6. GNRL &amp; ADMIN."/>
      <sheetName val="3.8 A.R. VALUE ADJUSTMENT"/>
      <sheetName val="3.9 NON OPERAT. INCOME &amp; EXPS"/>
      <sheetName val="3.10 TAXES"/>
      <sheetName val="4. CASHFLOW"/>
      <sheetName val="4.1 CASHFL. STATEM &amp; FIN. SIT."/>
      <sheetName val="4.2.INVESTMENT BUDGET"/>
      <sheetName val="4.3. INVESTMENT F'CAST"/>
      <sheetName val="4.4. WORKING CAPITAL DETAIL"/>
      <sheetName val="4.5.A WORKING CAPITAL RATIOS"/>
      <sheetName val="4.5.2 WORKING CAPITAL BGT"/>
      <sheetName val="4.6 ASSETS"/>
      <sheetName val="4.7.EQUITY &amp; LIABILITIES"/>
      <sheetName val="GM COMMENTS"/>
      <sheetName val="322540-StaffWelfare"/>
      <sheetName val="ARD _ BS"/>
      <sheetName val="RPT 71-VOLUME DATA-PCI "/>
      <sheetName val="O(final)"/>
      <sheetName val="O1(final)"/>
      <sheetName val="O2(final)"/>
      <sheetName val="R(final)"/>
      <sheetName val="R1(final)"/>
      <sheetName val="R2(final)"/>
      <sheetName val="UA-Disclosure items(final)"/>
      <sheetName val="U10|20"/>
      <sheetName val="U10|1"/>
      <sheetName val="U20|1"/>
      <sheetName val="Purchases cut off"/>
      <sheetName val="Payroll analysis(final)"/>
      <sheetName val="EPF(final)"/>
      <sheetName val="U-70"/>
      <sheetName val="PreM'sia(info)"/>
      <sheetName val="PreBrunei(info) (2)"/>
      <sheetName val="PreBrunei(info)"/>
      <sheetName val="F.G6-1 "/>
      <sheetName val="F.G6-2"/>
      <sheetName val="F.G7-1"/>
      <sheetName val="F.G7-2"/>
      <sheetName val="F.G8-1 "/>
      <sheetName val="F.G8-2"/>
      <sheetName val="Com(Brunei)"/>
      <sheetName val="Com(M'sia)"/>
      <sheetName val="H-lead"/>
      <sheetName val="H1_MGS"/>
      <sheetName val="H2_Cagamas"/>
      <sheetName val="H3_Debentures"/>
      <sheetName val="H4_Quoted Shares"/>
      <sheetName val="revised high demand"/>
      <sheetName val="BB-1 (2)"/>
      <sheetName val="A2-5"/>
      <sheetName val="A2-2"/>
      <sheetName val="Provision DD"/>
      <sheetName val="A8-2"/>
      <sheetName val="A8-5"/>
      <sheetName val="Form EYP 1"/>
      <sheetName val="FS - 1"/>
      <sheetName val="FS - 2"/>
      <sheetName val="FS - 3"/>
      <sheetName val="C2 FD"/>
      <sheetName val="G2-1 "/>
      <sheetName val="K1-2 Policy"/>
      <sheetName val="N7Accrual"/>
      <sheetName val="Q1-1"/>
      <sheetName val="U1income statm"/>
      <sheetName val="u1ar"/>
      <sheetName val="U2direct cost"/>
      <sheetName val="U3 fees reasonable"/>
      <sheetName val="U4 EPF &amp;staff"/>
      <sheetName val="U1 (2)"/>
      <sheetName val="U3 fees reasonable (2)"/>
      <sheetName val="U4 EPF &amp;staff (2)"/>
      <sheetName val="Capital Allowances"/>
      <sheetName val="PL Mapping"/>
      <sheetName val="download 06022002"/>
      <sheetName val="Tabelle3"/>
      <sheetName val="MV INS &amp; R.TAX EXP LIST"/>
      <sheetName val="EQMT INS EXP LIST"/>
      <sheetName val="PREPAID-INS,RTAX"/>
      <sheetName val="3 P&amp;L - 3A Op.Exp"/>
      <sheetName val="4 Analysis"/>
      <sheetName val="M, MM"/>
      <sheetName val=" BB-2"/>
      <sheetName val="CC-1"/>
      <sheetName val="CC-2"/>
      <sheetName val="CC-3-1"/>
      <sheetName val="PP-2"/>
      <sheetName val="RCD 5- (APPENDIX 1)"/>
      <sheetName val="k-Discl"/>
      <sheetName val="LABOUR,SUB-CON,LEASE"/>
      <sheetName val="ADM&amp; OHH INCOME"/>
      <sheetName val="S.OH"/>
      <sheetName val="BPR-Bloom"/>
      <sheetName val="F-4l5"/>
      <sheetName val="UA"/>
      <sheetName val="stmt of equity"/>
      <sheetName val="FA"/>
      <sheetName val="auditors' report"/>
      <sheetName val="Attach"/>
      <sheetName val="Hypo"/>
      <sheetName val="AP110 sup"/>
      <sheetName val="AP110sup"/>
      <sheetName val="FF "/>
      <sheetName val="FF-2 (1)"/>
      <sheetName val="FF-2 (2)"/>
      <sheetName val="FF-2 (3)"/>
      <sheetName val="KK-1"/>
      <sheetName val="MM-1"/>
      <sheetName val="MM-10"/>
      <sheetName val="NN-1"/>
      <sheetName val="Payroll"/>
      <sheetName val="U dis (3)"/>
      <sheetName val="U dis (2)"/>
      <sheetName val="F-1,2 (2)"/>
      <sheetName val="F-3 (2)"/>
      <sheetName val="F-22 (2)"/>
      <sheetName val="F-1,2 (3)"/>
      <sheetName val="F-3 (3)"/>
      <sheetName val="F-22 (3)"/>
      <sheetName val="CF-4 "/>
      <sheetName val="CF-1,2"/>
      <sheetName val="CF-3"/>
      <sheetName val="CF-4"/>
      <sheetName val="ccf"/>
      <sheetName val="A5l1"/>
      <sheetName val="PPE"/>
      <sheetName val="(U3-2) Realised forex loss"/>
      <sheetName val="(U3) Unrealised forex gain-loss"/>
      <sheetName val="(U3-1) Realised forex gain"/>
      <sheetName val="**_x0000__x0000_"/>
      <sheetName val="CF-1"/>
      <sheetName val="CF-2"/>
      <sheetName val="BPR - Conclusion"/>
      <sheetName val="F-1l2"/>
      <sheetName val="F-8(FSA)"/>
      <sheetName val="F-9c"/>
      <sheetName val="F-21"/>
      <sheetName val="RCD-1-1"/>
      <sheetName val="C-5"/>
      <sheetName val="C-6"/>
      <sheetName val="C-6a"/>
      <sheetName val="M MM"/>
      <sheetName val="Pnl-10"/>
      <sheetName val="10-2"/>
      <sheetName val="30-Note"/>
      <sheetName val="30a"/>
      <sheetName val="Pg7"/>
      <sheetName val="SumV2"/>
      <sheetName val="WRAP"/>
      <sheetName val="Pg8"/>
      <sheetName val="Actvs Bud"/>
      <sheetName val="Pg15"/>
      <sheetName val="Current Year"/>
      <sheetName val="Pg11"/>
      <sheetName val="OHDcom"/>
      <sheetName val="SRM"/>
      <sheetName val="A6-1l1"/>
      <sheetName val="A6-1l2"/>
      <sheetName val="A3-1"/>
      <sheetName val="A3-3"/>
      <sheetName val="A3-7"/>
      <sheetName val="E "/>
      <sheetName val="F "/>
      <sheetName val="G "/>
      <sheetName val="K-1 "/>
      <sheetName val="N-1"/>
      <sheetName val="O-1"/>
      <sheetName val="U1"/>
      <sheetName val="U1-1"/>
      <sheetName val="U2"/>
      <sheetName val="U2-1"/>
      <sheetName val="U3-1"/>
      <sheetName val="Reinforcment steel"/>
      <sheetName val="R.Steel upto 8th RA Bill"/>
      <sheetName val="Pourwise Concrete"/>
      <sheetName val="Invoice for supply of Service"/>
      <sheetName val="Cum. Summary"/>
      <sheetName val=" Cement Steel extra amount"/>
      <sheetName val="Cement Price Varia. (Updated)"/>
      <sheetName val="Cement Price Varia. (Updated)_o"/>
      <sheetName val="Steel price variation"/>
      <sheetName val="steel price variation_march"/>
      <sheetName val="Consumption details"/>
      <sheetName val="A) Excavation Summary"/>
      <sheetName val="Excavation Block-C,D, E"/>
      <sheetName val="PCC Abstract"/>
      <sheetName val="Extra Thickness PCC"/>
      <sheetName val="1)PCC_bLock-7&amp;RW"/>
      <sheetName val="RCC Summary"/>
      <sheetName val="2) Raft Concrete Block-6&amp;7"/>
      <sheetName val="3) Retaining Wall_Concreting"/>
      <sheetName val="4) Pedestal Concrete"/>
      <sheetName val="5)Footings Concrete"/>
      <sheetName val="6) Column Concreting"/>
      <sheetName val="7) Slab&amp;beam concrete"/>
      <sheetName val="FORMWORK SUMMARY"/>
      <sheetName val="1)Pedestal Form Work"/>
      <sheetName val="2)Footing Form Work"/>
      <sheetName val="3)Retaining Wall_Shuttering"/>
      <sheetName val="Concrete quantity_March-17_RA-8"/>
      <sheetName val="4)ColumFormfork_Foundatio to LG"/>
      <sheetName val="5)Slab&amp;Beam form work"/>
      <sheetName val="Raft Concrete_block-3"/>
      <sheetName val="Raft Concrete_block-4"/>
      <sheetName val="Water Proofing Summary"/>
      <sheetName val="2) Ret. Wall Water Proofing"/>
      <sheetName val="Abstract.Qty RA11"/>
      <sheetName val="Interior"/>
      <sheetName val="2. EV Report"/>
      <sheetName val="3. % Plan Vs Achieved "/>
      <sheetName val="4.Manpower Histogram "/>
      <sheetName val="5.Plant&amp;Machinery"/>
      <sheetName val="6.Design Deliverables Track "/>
      <sheetName val="7.Procurement Tracking"/>
      <sheetName val="8.Delay Analysis"/>
      <sheetName val="9. Inventory report"/>
      <sheetName val="10.Progress photograph"/>
      <sheetName val="11.Primavera Tracking"/>
      <sheetName val="ssi1"/>
      <sheetName val="dn det"/>
      <sheetName val="cn det"/>
      <sheetName val="CN ADJ IN RETURN"/>
      <sheetName val="cn full"/>
      <sheetName val="exp sales (2)"/>
      <sheetName val="exp sales"/>
      <sheetName val="stk trf"/>
      <sheetName val="cst1"/>
      <sheetName val="formcst1"/>
      <sheetName val="formcst2"/>
      <sheetName val="tngst1"/>
      <sheetName val="formtngst2"/>
      <sheetName val="formtngst1"/>
      <sheetName val="Main Contract Works (4)"/>
      <sheetName val="21Rm"/>
      <sheetName val="Stress_check"/>
      <sheetName val="Reinf_"/>
      <sheetName val="Elastomeric_Brg"/>
      <sheetName val="Qty-design_data"/>
      <sheetName val="Main_Contract_Works_(4)"/>
      <sheetName val="CFForecast_detail"/>
      <sheetName val="Stress_check2"/>
      <sheetName val="Reinf_2"/>
      <sheetName val="Elastomeric_Brg2"/>
      <sheetName val="Qty-design_data2"/>
      <sheetName val="Main_Contract_Works_(4)2"/>
      <sheetName val="CFForecast_detail2"/>
      <sheetName val="Stress_check1"/>
      <sheetName val="Reinf_1"/>
      <sheetName val="Elastomeric_Brg1"/>
      <sheetName val="Qty-design_data1"/>
      <sheetName val="Main_Contract_Works_(4)1"/>
      <sheetName val="CFForecast_detail1"/>
      <sheetName val="Stress_check3"/>
      <sheetName val="Reinf_3"/>
      <sheetName val="Elastomeric_Brg3"/>
      <sheetName val="Qty-design_data3"/>
      <sheetName val="Main_Contract_Works_(4)3"/>
      <sheetName val="CFForecast_detail3"/>
      <sheetName val="Stress_check4"/>
      <sheetName val="Reinf_4"/>
      <sheetName val="Elastomeric_Brg4"/>
      <sheetName val="Qty-design_data4"/>
      <sheetName val="Main_Contract_Works_(4)4"/>
      <sheetName val="CFForecast_detail4"/>
      <sheetName val="Stress_check5"/>
      <sheetName val="Reinf_5"/>
      <sheetName val="Elastomeric_Brg5"/>
      <sheetName val="Qty-design_data5"/>
      <sheetName val="Main_Contract_Works_(4)5"/>
      <sheetName val="CFForecast_detail5"/>
      <sheetName val="Stress_check6"/>
      <sheetName val="Reinf_6"/>
      <sheetName val="Elastomeric_Brg6"/>
      <sheetName val="Qty-design_data6"/>
      <sheetName val="Main_Contract_Works_(4)6"/>
      <sheetName val="CFForecast_detail6"/>
      <sheetName val="Stress_check7"/>
      <sheetName val="Reinf_7"/>
      <sheetName val="Elastomeric_Brg7"/>
      <sheetName val="Qty-design_data7"/>
      <sheetName val="PA-_Consutant_7"/>
      <sheetName val="Main_Contract_Works_(4)7"/>
      <sheetName val="ACAD_Finishes7"/>
      <sheetName val="Site_Details7"/>
      <sheetName val="Site_Area_Statement7"/>
      <sheetName val="CFForecast_detail7"/>
      <sheetName val="Stress_check8"/>
      <sheetName val="Reinf_8"/>
      <sheetName val="Elastomeric_Brg8"/>
      <sheetName val="Qty-design_data8"/>
      <sheetName val="PA-_Consutant_8"/>
      <sheetName val="Main_Contract_Works_(4)8"/>
      <sheetName val="ACAD_Finishes8"/>
      <sheetName val="Site_Details8"/>
      <sheetName val="Site_Area_Statement8"/>
      <sheetName val="CFForecast_detail8"/>
      <sheetName val="Stress_check14"/>
      <sheetName val="Reinf_14"/>
      <sheetName val="Elastomeric_Brg14"/>
      <sheetName val="Qty-design_data14"/>
      <sheetName val="PA-_Consutant_14"/>
      <sheetName val="Main_Contract_Works_(4)14"/>
      <sheetName val="ACAD_Finishes14"/>
      <sheetName val="Site_Details14"/>
      <sheetName val="Site_Area_Statement14"/>
      <sheetName val="CFForecast_detail14"/>
      <sheetName val="Stress_check10"/>
      <sheetName val="Reinf_10"/>
      <sheetName val="Elastomeric_Brg10"/>
      <sheetName val="Qty-design_data10"/>
      <sheetName val="PA-_Consutant_10"/>
      <sheetName val="Main_Contract_Works_(4)10"/>
      <sheetName val="ACAD_Finishes10"/>
      <sheetName val="Site_Details10"/>
      <sheetName val="Site_Area_Statement10"/>
      <sheetName val="CFForecast_detail10"/>
      <sheetName val="Stress_check9"/>
      <sheetName val="Reinf_9"/>
      <sheetName val="Elastomeric_Brg9"/>
      <sheetName val="Qty-design_data9"/>
      <sheetName val="PA-_Consutant_9"/>
      <sheetName val="Main_Contract_Works_(4)9"/>
      <sheetName val="ACAD_Finishes9"/>
      <sheetName val="Site_Details9"/>
      <sheetName val="Site_Area_Statement9"/>
      <sheetName val="CFForecast_detail9"/>
      <sheetName val="Stress_check11"/>
      <sheetName val="Reinf_11"/>
      <sheetName val="Elastomeric_Brg11"/>
      <sheetName val="Qty-design_data11"/>
      <sheetName val="PA-_Consutant_11"/>
      <sheetName val="Main_Contract_Works_(4)11"/>
      <sheetName val="ACAD_Finishes11"/>
      <sheetName val="Site_Details11"/>
      <sheetName val="Site_Area_Statement11"/>
      <sheetName val="CFForecast_detail11"/>
      <sheetName val="Stress_check12"/>
      <sheetName val="Reinf_12"/>
      <sheetName val="Elastomeric_Brg12"/>
      <sheetName val="Qty-design_data12"/>
      <sheetName val="PA-_Consutant_12"/>
      <sheetName val="Main_Contract_Works_(4)12"/>
      <sheetName val="ACAD_Finishes12"/>
      <sheetName val="Site_Details12"/>
      <sheetName val="Site_Area_Statement12"/>
      <sheetName val="CFForecast_detail12"/>
      <sheetName val="Stress_check13"/>
      <sheetName val="Reinf_13"/>
      <sheetName val="Elastomeric_Brg13"/>
      <sheetName val="Qty-design_data13"/>
      <sheetName val="PA-_Consutant_13"/>
      <sheetName val="Main_Contract_Works_(4)13"/>
      <sheetName val="ACAD_Finishes13"/>
      <sheetName val="Site_Details13"/>
      <sheetName val="Site_Area_Statement13"/>
      <sheetName val="CFForecast_detail13"/>
      <sheetName val="Stress_check20"/>
      <sheetName val="Reinf_20"/>
      <sheetName val="Elastomeric_Brg20"/>
      <sheetName val="Qty-design_data20"/>
      <sheetName val="PA-_Consutant_20"/>
      <sheetName val="Main_Contract_Works_(4)20"/>
      <sheetName val="ACAD_Finishes20"/>
      <sheetName val="Site_Details20"/>
      <sheetName val="Site_Area_Statement20"/>
      <sheetName val="CFForecast_detail20"/>
      <sheetName val="Stress_check15"/>
      <sheetName val="Reinf_15"/>
      <sheetName val="Elastomeric_Brg15"/>
      <sheetName val="Qty-design_data15"/>
      <sheetName val="PA-_Consutant_15"/>
      <sheetName val="Main_Contract_Works_(4)15"/>
      <sheetName val="ACAD_Finishes15"/>
      <sheetName val="Site_Details15"/>
      <sheetName val="Site_Area_Statement15"/>
      <sheetName val="CFForecast_detail15"/>
      <sheetName val="Stress_check16"/>
      <sheetName val="Reinf_16"/>
      <sheetName val="Elastomeric_Brg16"/>
      <sheetName val="Qty-design_data16"/>
      <sheetName val="PA-_Consutant_16"/>
      <sheetName val="Main_Contract_Works_(4)16"/>
      <sheetName val="ACAD_Finishes16"/>
      <sheetName val="Site_Details16"/>
      <sheetName val="Site_Area_Statement16"/>
      <sheetName val="CFForecast_detail16"/>
      <sheetName val="Stress_check17"/>
      <sheetName val="Reinf_17"/>
      <sheetName val="Elastomeric_Brg17"/>
      <sheetName val="Qty-design_data17"/>
      <sheetName val="PA-_Consutant_17"/>
      <sheetName val="Main_Contract_Works_(4)17"/>
      <sheetName val="ACAD_Finishes17"/>
      <sheetName val="Site_Details17"/>
      <sheetName val="Site_Area_Statement17"/>
      <sheetName val="CFForecast_detail17"/>
      <sheetName val="Stress_check18"/>
      <sheetName val="Reinf_18"/>
      <sheetName val="Elastomeric_Brg18"/>
      <sheetName val="Qty-design_data18"/>
      <sheetName val="PA-_Consutant_18"/>
      <sheetName val="Main_Contract_Works_(4)18"/>
      <sheetName val="ACAD_Finishes18"/>
      <sheetName val="Site_Details18"/>
      <sheetName val="Site_Area_Statement18"/>
      <sheetName val="CFForecast_detail18"/>
      <sheetName val="Stress_check19"/>
      <sheetName val="Reinf_19"/>
      <sheetName val="Elastomeric_Brg19"/>
      <sheetName val="Qty-design_data19"/>
      <sheetName val="PA-_Consutant_19"/>
      <sheetName val="Main_Contract_Works_(4)19"/>
      <sheetName val="ACAD_Finishes19"/>
      <sheetName val="Site_Details19"/>
      <sheetName val="Site_Area_Statement19"/>
      <sheetName val="CFForecast_detail19"/>
      <sheetName val="Stress_check21"/>
      <sheetName val="Reinf_21"/>
      <sheetName val="Elastomeric_Brg21"/>
      <sheetName val="Qty-design_data21"/>
      <sheetName val="PA-_Consutant_21"/>
      <sheetName val="Main_Contract_Works_(4)21"/>
      <sheetName val="ACAD_Finishes21"/>
      <sheetName val="Site_Details21"/>
      <sheetName val="Site_Area_Statement21"/>
      <sheetName val="CFForecast_detail21"/>
      <sheetName val="Stress_check22"/>
      <sheetName val="Reinf_22"/>
      <sheetName val="Elastomeric_Brg22"/>
      <sheetName val="Qty-design_data22"/>
      <sheetName val="PA-_Consutant_22"/>
      <sheetName val="Main_Contract_Works_(4)22"/>
      <sheetName val="ACAD_Finishes22"/>
      <sheetName val="Site_Details22"/>
      <sheetName val="Site_Area_Statement22"/>
      <sheetName val="CFForecast_detail22"/>
      <sheetName val="Stress_check23"/>
      <sheetName val="Reinf_23"/>
      <sheetName val="Elastomeric_Brg23"/>
      <sheetName val="Qty-design_data23"/>
      <sheetName val="PA-_Consutant_23"/>
      <sheetName val="Main_Contract_Works_(4)23"/>
      <sheetName val="ACAD_Finishes23"/>
      <sheetName val="Site_Details23"/>
      <sheetName val="Site_Area_Statement23"/>
      <sheetName val="CFForecast_detail23"/>
      <sheetName val="Stress_check24"/>
      <sheetName val="Reinf_24"/>
      <sheetName val="Elastomeric_Brg24"/>
      <sheetName val="Qty-design_data24"/>
      <sheetName val="PA-_Consutant_24"/>
      <sheetName val="Main_Contract_Works_(4)24"/>
      <sheetName val="ACAD_Finishes24"/>
      <sheetName val="Site_Details24"/>
      <sheetName val="Site_Area_Statement24"/>
      <sheetName val="CFForecast_detail24"/>
      <sheetName val="PROV QUANTITIES"/>
      <sheetName val="RES STEEL TO"/>
      <sheetName val="97_207COSRP11"/>
      <sheetName val="PROV_SUMS"/>
      <sheetName val="PROV_QUANTITIES"/>
      <sheetName val="RES_STEEL_TO"/>
      <sheetName val="Fin_Sum"/>
      <sheetName val="EB2"/>
      <sheetName val="Switch &amp; Sockets"/>
      <sheetName val="25mm PVC Conduit"/>
      <sheetName val="FLOOR JB"/>
      <sheetName val="Light Fittings"/>
      <sheetName val="CABLE TRAY"/>
      <sheetName val="32MM PVC CONDUIT"/>
      <sheetName val="Point Wiring"/>
      <sheetName val="3RX2.5SQMM WIRE"/>
      <sheetName val="3CX2.5SQMM WIRES"/>
      <sheetName val="3CX4.00SQMM"/>
      <sheetName val="PROV_SUMS1"/>
      <sheetName val="PROV_QUANTITIES1"/>
      <sheetName val="RES_STEEL_TO1"/>
      <sheetName val="Per_Unit"/>
      <sheetName val="Fin_Sum1"/>
      <sheetName val="Switch_&amp;_Sockets"/>
      <sheetName val="25mm_PVC_Conduit"/>
      <sheetName val="FLOOR_JB"/>
      <sheetName val="Light_Fittings"/>
      <sheetName val="CABLE_TRAY"/>
      <sheetName val="32MM_PVC_CONDUIT"/>
      <sheetName val="Point_Wiring"/>
      <sheetName val="3RX2_5SQMM_WIRE"/>
      <sheetName val="3CX2_5SQMM_WIRES"/>
      <sheetName val="3CX4_00SQMM"/>
      <sheetName val="Paym. Recom"/>
      <sheetName val="DC - DB &amp; MCB"/>
      <sheetName val="inst. - Pt Wr (cl-2)"/>
      <sheetName val="Su. - Pt Wr"/>
      <sheetName val="Su. Pwr Wr"/>
      <sheetName val="Inst. Pwr Wr (cl-2)"/>
      <sheetName val="Su. - Cor"/>
      <sheetName val="Ins - Cor "/>
      <sheetName val="Earth strip&amp; fittings"/>
      <sheetName val="DC. S &amp; So"/>
      <sheetName val="Install.LIFT SHAFT "/>
      <sheetName val="Su.solar.pt"/>
      <sheetName val="SU.LIFT SHAFT"/>
      <sheetName val="DC -Conduit"/>
      <sheetName val="DC.wiring"/>
      <sheetName val="Pacakges_split"/>
      <sheetName val="Appendix -3- Rcov. Mat.supplie"/>
      <sheetName val="List of contractors"/>
      <sheetName val="공사비집계"/>
      <sheetName val="Reference Look up"/>
      <sheetName val="All SBUH"/>
      <sheetName val="Vasu Prakash"/>
      <sheetName val="Master list-Arena Mall"/>
      <sheetName val="First sheet"/>
      <sheetName val="Coeeficient"/>
      <sheetName val="Draft abstract"/>
      <sheetName val="TOWER - STRU"/>
      <sheetName val="TOWER - PHE"/>
      <sheetName val="TOWER - ELE"/>
      <sheetName val="TOWER - FIRE"/>
      <sheetName val="TOWER - HVAC"/>
      <sheetName val="corewall- R1"/>
      <sheetName val="Substructure "/>
      <sheetName val="SUPER STR- COLUMNS"/>
      <sheetName val="raker slab"/>
      <sheetName val="MEZ-SLAB"/>
      <sheetName val="Third floor slab"/>
      <sheetName val="Core wall"/>
      <sheetName val="Ramp"/>
      <sheetName val="WTP"/>
      <sheetName val="Footing reinforcement"/>
      <sheetName val="Beam basement-1"/>
      <sheetName val="Column reinforcement"/>
      <sheetName val="slab einforcement"/>
      <sheetName val="slab top bars-1"/>
      <sheetName val="Slab Top BArs"/>
      <sheetName val="abstract- lift"/>
      <sheetName val="lift pit"/>
      <sheetName val="Lift wall-base-2"/>
      <sheetName val="basement 1"/>
      <sheetName val="UGF "/>
      <sheetName val="FFL"/>
      <sheetName val="Abstract-ramp"/>
      <sheetName val="RAMP-1"/>
      <sheetName val="RAMP-2"/>
      <sheetName val="RAMP-3"/>
      <sheetName val="RAMP-4"/>
      <sheetName val="ramp-5"/>
      <sheetName val="retaining wall steel"/>
      <sheetName val="ST-01"/>
      <sheetName val="ST-03"/>
      <sheetName val="ST-04"/>
      <sheetName val="ST-01  super"/>
      <sheetName val="GRADE SLAB ABS"/>
      <sheetName val="GRADE SLAB"/>
      <sheetName val="Column - ground"/>
      <sheetName val="UGF"/>
      <sheetName val="second"/>
      <sheetName val="third"/>
      <sheetName val="fourth"/>
      <sheetName val="fifth"/>
      <sheetName val="LF wall-steel-2flr"/>
      <sheetName val="LF wall-steel-3flr"/>
      <sheetName val="LF wall-steel-4flr"/>
      <sheetName val="LF wall-steel-5flr"/>
      <sheetName val="Shear wall"/>
      <sheetName val="pending works"/>
      <sheetName val="abstract-shear wall"/>
      <sheetName val="core wall pit "/>
      <sheetName val="lower to upr"/>
      <sheetName val="upr -  ground"/>
      <sheetName val="grd- upr grd"/>
      <sheetName val="upr grd- 1 st flr"/>
      <sheetName val="Basement-2 block work"/>
      <sheetName val="Basement -1 blk wrk"/>
      <sheetName val="JCR_sEP_06_IDC_WORKINGS4"/>
      <sheetName val="3cd_Annexure4"/>
      <sheetName val="Linked_Lead4"/>
      <sheetName val="AutoOpen_Stub_Data5"/>
      <sheetName val="IO_List5"/>
      <sheetName val="ABP_inputs5"/>
      <sheetName val="Synergy_Sales_Budget5"/>
      <sheetName val="SCurv_(3)5"/>
      <sheetName val="GN-ST-06(2)(Design_Sheet-Ruled5"/>
      <sheetName val="Cashflow_projection5"/>
      <sheetName val="Deprec_5"/>
      <sheetName val="TB-JUNE-2003-18_7_035"/>
      <sheetName val="Extra_Item5"/>
      <sheetName val="Detail_In_Door_Stad5"/>
      <sheetName val="Inc_St_-Link5"/>
      <sheetName val="kppl_pl5"/>
      <sheetName val="labour_coeff5"/>
      <sheetName val="BLOCK-A_(MEA_SHEET)5"/>
      <sheetName val="Project_Details__5"/>
      <sheetName val="ORDER_BOOKING5"/>
      <sheetName val="3__Elemental_Summary5"/>
      <sheetName val="TASKRSRC_(2)5"/>
      <sheetName val="Desgn(zone_I)5"/>
      <sheetName val="key_dates5"/>
      <sheetName val="M_S_5"/>
      <sheetName val="Material_5"/>
      <sheetName val="Assumption_Inputs5"/>
      <sheetName val="Administrative_Prices5"/>
      <sheetName val="Block_A_-_BOQ5"/>
      <sheetName val="JCR_Oct_06_TOP_SHEET5"/>
      <sheetName val="JCR_Oct_06_CIVIL5"/>
      <sheetName val="JCR_Oct_06_MECH5"/>
      <sheetName val="Oct_06_DESI_&amp;SP_CONT5"/>
      <sheetName val="JCR_Oct_06_IDC5"/>
      <sheetName val="Cum_Measure5"/>
      <sheetName val="PS_Rate_Working5"/>
      <sheetName val="CIVIL_Str_vise5"/>
      <sheetName val="JCR_sEP_06_IDC_WORKINGS5"/>
      <sheetName val="3cd_Annexure5"/>
      <sheetName val="Linked_Lead5"/>
      <sheetName val="AutoOpen_Stub_Data6"/>
      <sheetName val="IO_List6"/>
      <sheetName val="ABP_inputs6"/>
      <sheetName val="Synergy_Sales_Budget6"/>
      <sheetName val="SCurv_(3)6"/>
      <sheetName val="GN-ST-06(2)(Design_Sheet-Ruled6"/>
      <sheetName val="Cashflow_projection6"/>
      <sheetName val="Deprec_6"/>
      <sheetName val="TB-JUNE-2003-18_7_036"/>
      <sheetName val="Extra_Item6"/>
      <sheetName val="Detail_In_Door_Stad6"/>
      <sheetName val="Inc_St_-Link6"/>
      <sheetName val="kppl_pl6"/>
      <sheetName val="labour_coeff6"/>
      <sheetName val="BLOCK-A_(MEA_SHEET)6"/>
      <sheetName val="Project_Details__6"/>
      <sheetName val="ORDER_BOOKING6"/>
      <sheetName val="3__Elemental_Summary6"/>
      <sheetName val="TASKRSRC_(2)6"/>
      <sheetName val="Desgn(zone_I)6"/>
      <sheetName val="key_dates6"/>
      <sheetName val="M_S_6"/>
      <sheetName val="Material_6"/>
      <sheetName val="Assumption_Inputs6"/>
      <sheetName val="Administrative_Prices6"/>
      <sheetName val="Block_A_-_BOQ6"/>
      <sheetName val="JCR_Oct_06_TOP_SHEET6"/>
      <sheetName val="JCR_Oct_06_CIVIL6"/>
      <sheetName val="JCR_Oct_06_MECH6"/>
      <sheetName val="Oct_06_DESI_&amp;SP_CONT6"/>
      <sheetName val="JCR_Oct_06_IDC6"/>
      <sheetName val="Cum_Measure6"/>
      <sheetName val="PS_Rate_Working6"/>
      <sheetName val="CIVIL_Str_vise6"/>
      <sheetName val="JCR_sEP_06_IDC_WORKINGS6"/>
      <sheetName val="3cd_Annexure6"/>
      <sheetName val="Linked_Lead6"/>
      <sheetName val="MORGACTS"/>
      <sheetName val="Pay_Sep"/>
      <sheetName val="1.Critical Issues"/>
      <sheetName val="2.EV Report"/>
      <sheetName val="4.Manpower Histogram"/>
      <sheetName val="6.Design Deliverables Tracking"/>
      <sheetName val="7.Procurement Tracking "/>
      <sheetName val="9) Delay Analysis"/>
      <sheetName val="Jupiter-primavera template"/>
      <sheetName val="may'17"/>
      <sheetName val="Jun'17 "/>
      <sheetName val="PACK (D)"/>
      <sheetName val=" PACK (C)"/>
      <sheetName val=" PACK (A)"/>
      <sheetName val="PACK_B_"/>
      <sheetName val="Adam"/>
      <sheetName val="Adarsh"/>
      <sheetName val="Venugopal"/>
      <sheetName val="Sudin Manchare"/>
      <sheetName val="Nitin Khare"/>
      <sheetName val="SMP Back-up"/>
      <sheetName val="Cumulative EV"/>
      <sheetName val=" Interior BOQ"/>
      <sheetName val="Breakup-Flooring&amp;Dadoing"/>
      <sheetName val="PHE"/>
      <sheetName val="Lift"/>
      <sheetName val="Breakup-Others"/>
      <sheetName val="Pending"/>
      <sheetName val="LIFTED BUT sLIP NOT RETURNED"/>
      <sheetName val="Not Lifted-Status Pending"/>
      <sheetName val="Dropdown backup"/>
      <sheetName val="Master (TMT)"/>
      <sheetName val="A1 BOQ"/>
      <sheetName val="NT items"/>
      <sheetName val="A2 BOQ"/>
      <sheetName val="Grand Summary "/>
      <sheetName val="Genral Notes"/>
      <sheetName val="SUPPLY -Sanitary Fixtures"/>
      <sheetName val="Internal"/>
      <sheetName val="ITEMS FOR CIVIL TENDER"/>
      <sheetName val="original (2)"/>
      <sheetName val="dummy3"/>
      <sheetName val="2nd floor top rien"/>
      <sheetName val="Abstract of top"/>
      <sheetName val="waste"/>
      <sheetName val="dummy2"/>
      <sheetName val="Revenues assumptions "/>
      <sheetName val="FRL-OGL"/>
      <sheetName val="sch. data"/>
      <sheetName val="UP"/>
      <sheetName val="5.03"/>
      <sheetName val="5.23b"/>
      <sheetName val="KP_List"/>
      <sheetName val="DPR _MB_RE Wall"/>
      <sheetName val="Design Recovery"/>
      <sheetName val="PROFIT RECO"/>
      <sheetName val="Aptuit Laurus (2)"/>
      <sheetName val="Aptuit Laurus"/>
      <sheetName val="F.A MAR 05 Co (2)"/>
      <sheetName val="Depr-coact (2)"/>
      <sheetName val="Fixed Asset Schedule"/>
      <sheetName val="TB as on March 2009"/>
      <sheetName val="P&amp;L Account"/>
      <sheetName val="Audited Financial Report for ye"/>
      <sheetName val="3CD_Off_copy"/>
      <sheetName val="Annexures"/>
      <sheetName val="Depreciation_Annex_2"/>
      <sheetName val="F.Assets_Additions_Annex2.1"/>
      <sheetName val="F.Assets_sold_Annex2.2"/>
      <sheetName val="F.Software-purchase_Annex2.1(2)"/>
      <sheetName val="cfs1"/>
      <sheetName val="Schedules 1 to 3"/>
      <sheetName val="Schedule 5 to 10"/>
      <sheetName val="Schedules 11 to 12"/>
      <sheetName val="Schedule 13 to 14"/>
      <sheetName val="Schedule 15 to 17"/>
      <sheetName val="Tax Computation08-09"/>
      <sheetName val="K02.02-Additions"/>
      <sheetName val="Deletions"/>
      <sheetName val="Vehicles-Motor Lorries"/>
      <sheetName val="Vehicles - Motorcars,Cyles"/>
      <sheetName val="Computers"/>
      <sheetName val="Furniture &amp; Fixtures"/>
      <sheetName val="Lab Equipment"/>
      <sheetName val="Electrical Equipment"/>
      <sheetName val="Improvements to Leaseholds"/>
      <sheetName val="Office Equipment (Ac's)"/>
      <sheetName val="Trial bal 0607"/>
      <sheetName val="Trial 0607"/>
      <sheetName val="Sch-Fixed Assets"/>
      <sheetName val="CASHFLOWRECO"/>
      <sheetName val="Trial Balance-0809"/>
      <sheetName val="Groupings-1"/>
      <sheetName val="Trial Balance-0708"/>
      <sheetName val="Rectification entries"/>
      <sheetName val="Misc expenses"/>
      <sheetName val="DATA 91-98"/>
      <sheetName val="$KWD9198"/>
      <sheetName val="$DEM9198 "/>
      <sheetName val="$JPY9198"/>
      <sheetName val="$JPY9198 (3)"/>
      <sheetName val="$GBP9198"/>
      <sheetName val="$AUD9198"/>
      <sheetName val="$KRW9198 "/>
      <sheetName val="KWD.KRW9198"/>
      <sheetName val="$KWDJULY98YTD"/>
      <sheetName val="$DEMJUL98YTD"/>
      <sheetName val="$JPYJUL98YTD"/>
      <sheetName val="$GBPJUL98YTD"/>
      <sheetName val="DATA 91_98"/>
      <sheetName val="List of Tabs "/>
      <sheetName val="Budget vs Actuals"/>
      <sheetName val="QB Dump - P &amp; L Account"/>
      <sheetName val="QB Dump - Balance Sheet"/>
      <sheetName val="TB Diff between Nov and Oct-06"/>
      <sheetName val="TB as on 30th Nov-06"/>
      <sheetName val="Chart of Accounts"/>
      <sheetName val="LBO Analysis"/>
      <sheetName val="Titan US"/>
      <sheetName val="Rollup"/>
      <sheetName val="Kiosk"/>
      <sheetName val="Billboards"/>
      <sheetName val="30 Sheets"/>
      <sheetName val="Banners"/>
      <sheetName val="Canada"/>
      <sheetName val="All Vision"/>
      <sheetName val="NJT"/>
      <sheetName val="SEPTA"/>
      <sheetName val="KCM"/>
      <sheetName val="MBTA"/>
      <sheetName val="CIE"/>
      <sheetName val="Titan UK"/>
      <sheetName val="MRollup"/>
      <sheetName val="Roadside"/>
      <sheetName val="Rail"/>
      <sheetName val="Primesight Separator"/>
      <sheetName val="PrimeSight"/>
      <sheetName val="LBO"/>
      <sheetName val="Distribution"/>
      <sheetName val="Monthly Report - Oct-06"/>
      <sheetName val="TS Customers"/>
      <sheetName val="TS Summary"/>
      <sheetName val="Product Requirements"/>
      <sheetName val="Summary April12"/>
      <sheetName val="EIP Savings"/>
      <sheetName val="EIP summary"/>
      <sheetName val="Summary June12"/>
      <sheetName val="Budget Vs. Actual June 12"/>
      <sheetName val="Summary May12"/>
      <sheetName val="Budget Vs. Actual May12"/>
      <sheetName val="Budget Vs. Actual April12"/>
      <sheetName val="ELT INT with actual CCs"/>
      <sheetName val="ELT Int  with Budget CCs"/>
      <sheetName val="Val Addn Summary"/>
      <sheetName val="Procurement prices"/>
      <sheetName val="Pur.price as per 09-10 Purchase"/>
      <sheetName val="Stagewise Movement Summary"/>
      <sheetName val="Moving Avg Rates_R&amp;D"/>
      <sheetName val="Moving Avg Rates_vsp"/>
      <sheetName val="Stage wise cost sheets_Mar'08"/>
      <sheetName val="Jan'08- EVT 302 "/>
      <sheetName val="Feb'08- EVT 302"/>
      <sheetName val="Feb'08-Monte"/>
      <sheetName val="Jan'08-Monte"/>
      <sheetName val="STAGEWISE COSTING _OCT 07"/>
      <sheetName val="STAGEWISE COSTING _NOV 07"/>
      <sheetName val="STAGEWISE COSTING _DEC 07"/>
      <sheetName val="STAGEWISE COSTING _JAN08"/>
      <sheetName val="STAGEWISE COSTING - Feb'08"/>
      <sheetName val="Stage wise cost sheets-Mar'08"/>
      <sheetName val="R&amp;D HYD Mkt rates Vs Moving Avg"/>
      <sheetName val="Stage wise cost sheets_May'08"/>
      <sheetName val="Depreciation Chart"/>
      <sheetName val="Electricity Chart"/>
      <sheetName val="Internet Chart"/>
      <sheetName val="travel chart"/>
      <sheetName val="SFG&amp;FG Inv.Ageing"/>
      <sheetName val="Moving Avg.Rate_VSP_Nov'08"/>
      <sheetName val="Lab Chemicals 08-09 Avg.rate"/>
      <sheetName val="Recovery Statement given by PGN"/>
      <sheetName val="PTCP received qty from Monarch "/>
      <sheetName val="Productwise Analysis"/>
      <sheetName val="Productwise Inventory Details"/>
      <sheetName val="RM at Stores"/>
      <sheetName val="Lab chemicals at Labs"/>
      <sheetName val="Lab Chemicals at Stores"/>
      <sheetName val="SFG Valuation at Stores"/>
      <sheetName val="WIP RMS at Kilolab"/>
      <sheetName val="Pharma Stage at Stores&amp;KiloLab"/>
      <sheetName val="WIP SFG Valuation_Kilolab"/>
      <sheetName val="Packing Material at Stores"/>
      <sheetName val="PTCP Purchases"/>
      <sheetName val="PTCP Recovery"/>
      <sheetName val="R&amp;D Consumables"/>
      <sheetName val="Moving Avg.Rate _Oct'08"/>
      <sheetName val="costsheet_oct'08"/>
      <sheetName val="Cost sheet Dec'08"/>
      <sheetName val="SFG&amp;FG Moving Avg.Rate"/>
      <sheetName val="Moving Avg.Rate _Dec'08"/>
      <sheetName val="Costsheets_Nov'08"/>
      <sheetName val="CYCLE TIME VS O.HS"/>
      <sheetName val="Moving Avg.Rate Pkg.R&amp;D "/>
      <sheetName val="Cost sheet_Sept'08"/>
      <sheetName val="SPE.GRA"/>
      <sheetName val="final for moving"/>
      <sheetName val="Moving Avg.Rate"/>
      <sheetName val="Moving Avg.Rates_VSP"/>
      <sheetName val="Lab Chemicals at Labs Sub Total"/>
      <sheetName val="CYCLE TIME VS O.HS _101008"/>
      <sheetName val="Oxaliplatin (2)"/>
      <sheetName val="Carboplatin"/>
      <sheetName val="Oxaliplatin"/>
      <sheetName val="ACB"/>
      <sheetName val="ACP"/>
      <sheetName val="PTCP Mls data at kilo lab"/>
      <sheetName val="Rev- CF (2)"/>
      <sheetName val="BS SCH"/>
      <sheetName val="PL SCH"/>
      <sheetName val="Informatics TB"/>
      <sheetName val="R &amp; D"/>
      <sheetName val="P&amp;L Summary (Rs)"/>
      <sheetName val="P&amp;L Summary ($)"/>
      <sheetName val="Revenue Details (Rs)"/>
      <sheetName val="Revenue Details ($)"/>
      <sheetName val="Opx Sch (Rs)"/>
      <sheetName val="Opx Sch ($)"/>
      <sheetName val="Balance Sheet (Rs)"/>
      <sheetName val="Balance Sheet ($)"/>
      <sheetName val="WC (Rs)"/>
      <sheetName val="WC ($)"/>
      <sheetName val="Historical Cash Flow"/>
      <sheetName val="Projected Cash Flow (Rs)"/>
      <sheetName val="Projected Cash Flow ($)"/>
      <sheetName val="FCF Reconciliation (Rs)"/>
      <sheetName val="FCF Reconciliation ($)"/>
      <sheetName val="Backlog and Volume"/>
      <sheetName val="Backlog Detail (Rs)"/>
      <sheetName val="Backlog Detail"/>
      <sheetName val="Top 15 prods val addn"/>
      <sheetName val="Capacity_VSP"/>
      <sheetName val="Cap Structure"/>
      <sheetName val="Capital Structure (Rs)"/>
      <sheetName val="Capital Structure"/>
      <sheetName val="Equity Table"/>
      <sheetName val="SBI covenants"/>
      <sheetName val="FTE Details "/>
      <sheetName val="4900 - Apr 10 - Mar 11"/>
      <sheetName val="SAP post conversion"/>
      <sheetName val="Scala for conversion"/>
      <sheetName val="Scala with Stat Adjustments"/>
      <sheetName val="NZ Balance Header"/>
      <sheetName val="MAPPING"/>
      <sheetName val="P+L_BS"/>
      <sheetName val="Cost Centre"/>
      <sheetName val="Accrual journal"/>
      <sheetName val="Made Cost WS"/>
      <sheetName val="Made Cost"/>
      <sheetName val="AGI"/>
      <sheetName val="Cost Set"/>
      <sheetName val="Comp Cost"/>
      <sheetName val="Aust Current Outlook 03 (AUD)"/>
      <sheetName val="NZ Current Outlook (NZD)"/>
      <sheetName val="Upload-Nov accrual unclear"/>
      <sheetName val="Upload-Nov clear"/>
      <sheetName val="NovOS wkg"/>
      <sheetName val="Sales_Nov"/>
      <sheetName val="Dev_Nov"/>
      <sheetName val="NovOS original"/>
      <sheetName val="Packaging"/>
      <sheetName val="Products Subject to TP"/>
      <sheetName val="3rd Party AI's"/>
      <sheetName val="2002 TP"/>
      <sheetName val="Freight &amp; Ins"/>
      <sheetName val="Missing Products"/>
      <sheetName val="Stds 2003 Aust"/>
      <sheetName val="New Zealand"/>
      <sheetName val="Prds subject to TP"/>
      <sheetName val="Stds 2003 NZ"/>
      <sheetName val="Pivot Table"/>
      <sheetName val="Active Cost Data"/>
      <sheetName val="Cost by Item"/>
      <sheetName val="Cost Set Info"/>
      <sheetName val="Product Type"/>
      <sheetName val="APAC-SalesBR-Sep-02-141002"/>
      <sheetName val="G50 per lt.kg"/>
      <sheetName val="APAC-YTDSalesBR-Sep-02-141002"/>
      <sheetName val="Journal-other"/>
      <sheetName val="Journal-Relocat"/>
      <sheetName val="Journal-entert"/>
      <sheetName val="Journal- MV"/>
      <sheetName val="FBt by CC"/>
      <sheetName val="FBT Return Worksheet 03-04"/>
      <sheetName val="22011032"/>
      <sheetName val="febos"/>
      <sheetName val="MAYOS"/>
      <sheetName val="JulOS"/>
      <sheetName val="AugOS"/>
      <sheetName val="Sep OS"/>
      <sheetName val="Oct OS"/>
      <sheetName val="Oct coded"/>
      <sheetName val="Nov05 OS"/>
      <sheetName val="Nov05 coded"/>
      <sheetName val="Dec OS"/>
      <sheetName val="Dec coded"/>
      <sheetName val="Dec"/>
      <sheetName val="Borrowings"/>
      <sheetName val="Assets(ie Seeds Loan and Cash)"/>
      <sheetName val="Sept OS"/>
      <sheetName val="dev"/>
      <sheetName val="Sept OS original"/>
      <sheetName val="HeaderDetails"/>
      <sheetName val="wksInventoryData"/>
      <sheetName val="wksSalesData"/>
      <sheetName val="wksBoughtCostData"/>
      <sheetName val="wksMadeCostData"/>
      <sheetName val="wksComponentCostData"/>
      <sheetName val="dlgEditComponent"/>
      <sheetName val="dlgMade"/>
      <sheetName val="dlgEditMade"/>
      <sheetName val="dlgEditBought"/>
      <sheetName val="dlgEditInventory"/>
      <sheetName val="dlgEditSales"/>
      <sheetName val="dlgInventory"/>
      <sheetName val="dlgSales"/>
      <sheetName val="dlgHeader"/>
      <sheetName val="PDEP Inventory INPUT"/>
      <sheetName val="PDEP Sales INPUT"/>
      <sheetName val="PDEP Bought INPUT"/>
      <sheetName val="PDEP Component INPUT"/>
      <sheetName val="PDEP Made INPUT"/>
      <sheetName val="Menu Control"/>
      <sheetName val="Dialog Control"/>
      <sheetName val="Validation"/>
      <sheetName val="Displaylist"/>
      <sheetName val="dlgDisplayLists"/>
      <sheetName val="dlgBought"/>
      <sheetName val="dlgOutput"/>
      <sheetName val="FixSheetSub"/>
      <sheetName val="CloseSub"/>
      <sheetName val="Australia"/>
      <sheetName val="Check NZ Products"/>
      <sheetName val="Aust Data"/>
      <sheetName val="NZ Data"/>
      <sheetName val="Stds"/>
      <sheetName val="Upload-Dec accrual unclear"/>
      <sheetName val="Upload-Dec clear"/>
      <sheetName val="Dec NET OS"/>
      <sheetName val="Dec OSPay original"/>
      <sheetName val="Purchased Cost"/>
      <sheetName val="Pkg &amp; FI's"/>
      <sheetName val="Horizon Summary"/>
      <sheetName val="Pivot Table FI"/>
      <sheetName val="Horizon Cost Saves FI"/>
      <sheetName val="Pivot Table PKG"/>
      <sheetName val="Horizon Cost Saves Pkg"/>
      <sheetName val="ICM"/>
      <sheetName val="1111100250"/>
      <sheetName val="1111100251"/>
      <sheetName val="1111100300"/>
      <sheetName val="1121100087"/>
      <sheetName val="1121200087"/>
      <sheetName val="1121300087"/>
      <sheetName val="2211100087"/>
      <sheetName val="2211110087"/>
      <sheetName val="2211120000"/>
      <sheetName val="2211300087"/>
      <sheetName val="Price Lists"/>
      <sheetName val="Price Summary"/>
      <sheetName val="AU+NZ 2003"/>
      <sheetName val="AU+NZ 2004"/>
      <sheetName val="Trade Direct"/>
      <sheetName val="Sales Volume"/>
      <sheetName val="Range Management"/>
      <sheetName val="KPI"/>
      <sheetName val="Hot Issue"/>
      <sheetName val="인사현황(부서)"/>
      <sheetName val="ISUpload"/>
      <sheetName val="IS01"/>
      <sheetName val="IS02"/>
      <sheetName val="IS03"/>
      <sheetName val="IS04"/>
      <sheetName val="IS06"/>
      <sheetName val="IS07"/>
      <sheetName val="IS08"/>
      <sheetName val="IS10"/>
      <sheetName val="IS11"/>
      <sheetName val="IS13"/>
      <sheetName val="IS13 (2)"/>
      <sheetName val="BU Tie Out"/>
      <sheetName val="Inv 2000 LC"/>
      <sheetName val="Inv 2000 $"/>
      <sheetName val="Inv 2001 LC"/>
      <sheetName val="Inv 2001 $"/>
      <sheetName val="Rec 2000 LC"/>
      <sheetName val="Rec 2000 $"/>
      <sheetName val="Rec 2001 LC"/>
      <sheetName val="Rec 2001 $"/>
      <sheetName val="Pay 2000 LC"/>
      <sheetName val="Pay 2000 $"/>
      <sheetName val="Pay 2001 LC"/>
      <sheetName val="Pay 2001 $"/>
      <sheetName val="Exch"/>
      <sheetName val="Sales plan (02-03)"/>
      <sheetName val="Sales plan 02 (Box)"/>
      <sheetName val="Consulting Recon"/>
      <sheetName val="408001"/>
      <sheetName val="437005"/>
      <sheetName val="VB_1 (2)"/>
      <sheetName val="VB Lead"/>
      <sheetName val="VB 1 - Payout Reco"/>
      <sheetName val="VB 2 - GL - Pay Register Reco "/>
      <sheetName val="VB 3 - Rationalisation Pte"/>
      <sheetName val="VB 4  Payment Reco"/>
      <sheetName val="VB 5 - Charged to limited"/>
      <sheetName val="VB _6 - Provision for Increment"/>
      <sheetName val="VB 7- Rationalisation Limited"/>
      <sheetName val="B1 - FIXED ASSETS"/>
      <sheetName val="B2 - DEBTORS"/>
      <sheetName val="B3 - LOANS &amp; ADVANCES"/>
      <sheetName val="B4 - CURRENT LIABILITIES"/>
      <sheetName val="B5 - Inventory"/>
      <sheetName val="P1 - SALES-OAR"/>
      <sheetName val="P2 - DEP. REAS."/>
      <sheetName val="P3 - RM CONSM."/>
      <sheetName val="P4 - PAYROLL"/>
      <sheetName val="P5 - OPERATING EXP"/>
      <sheetName val="P6 - FINANCE COST"/>
      <sheetName val="VB 1.9 Exgratia  "/>
      <sheetName val="March 2009 "/>
      <sheetName val="receviables"/>
      <sheetName val="MasterSummaryPlus"/>
      <sheetName val="AudLtrExIII"/>
      <sheetName val="Discl NPPC"/>
      <sheetName val="EOYDisc"/>
      <sheetName val="Final 2004 Expense"/>
      <sheetName val="inactive"/>
      <sheetName val="Age 60"/>
      <sheetName val="Inputs - Exp"/>
      <sheetName val="Expense Calc's"/>
      <sheetName val="EoY Disclosure"/>
      <sheetName val="US GAAP Results"/>
      <sheetName val="J GAAP Results"/>
      <sheetName val="Econ Assum's"/>
      <sheetName val="PSC's"/>
      <sheetName val="Trans AO"/>
      <sheetName val="control document summary"/>
      <sheetName val="FA Summary"/>
      <sheetName val="NZ"/>
      <sheetName val="10220000"/>
      <sheetName val="10224000"/>
      <sheetName val="10230000"/>
      <sheetName val="DTAL"/>
      <sheetName val="21211000"/>
      <sheetName val="11024000"/>
      <sheetName val="11311097"/>
      <sheetName val="11311167"/>
      <sheetName val="AR Summary"/>
      <sheetName val="11113008"/>
      <sheetName val="11311162"/>
      <sheetName val="11311113"/>
      <sheetName val="11311219"/>
      <sheetName val="11311050"/>
      <sheetName val="11311107"/>
      <sheetName val="Interco AR"/>
      <sheetName val="11111011"/>
      <sheetName val="11211004"/>
      <sheetName val="11311058"/>
      <sheetName val="ICM Receivables"/>
      <sheetName val="11316201"/>
      <sheetName val="PPWsheet"/>
      <sheetName val="11412004"/>
      <sheetName val="11435088"/>
      <sheetName val="Petty Cash"/>
      <sheetName val="21111014"/>
      <sheetName val="21514016"/>
      <sheetName val="11435244"/>
      <sheetName val="11435089"/>
      <sheetName val="11435245"/>
      <sheetName val="21514017"/>
      <sheetName val="21517003"/>
      <sheetName val="21575029"/>
      <sheetName val="AP Summary"/>
      <sheetName val="22311002"/>
      <sheetName val="22011031"/>
      <sheetName val="22011040"/>
      <sheetName val="22011041"/>
      <sheetName val="T Clearing"/>
      <sheetName val="Interco AP"/>
      <sheetName val="ICM Payables"/>
      <sheetName val="22311000"/>
      <sheetName val="22614001"/>
      <sheetName val="22617000"/>
      <sheetName val="22402000"/>
      <sheetName val="22402116"/>
      <sheetName val="22408004"/>
      <sheetName val="22408009"/>
      <sheetName val="22408014"/>
      <sheetName val="22408016"/>
      <sheetName val="22411001"/>
      <sheetName val="22411092"/>
      <sheetName val="22413012"/>
      <sheetName val="22411015"/>
      <sheetName val="22413206"/>
      <sheetName val="22418000"/>
      <sheetName val="ProfAccrual"/>
      <sheetName val="22426501"/>
      <sheetName val="FBTAccrual"/>
      <sheetName val="PBT as benchmark"/>
      <sheetName val="Benchmark % applied"/>
      <sheetName val="Rs. Crores"/>
      <sheetName val="MCN connectivity details"/>
      <sheetName val="MCN constructruction details"/>
      <sheetName val="Data not available"/>
      <sheetName val="MCN Manpower details"/>
      <sheetName val="MCN IT details"/>
      <sheetName val="Miscellenous "/>
      <sheetName val="Annexure 6"/>
      <sheetName val="Annexure 7"/>
      <sheetName val="Annexure 8"/>
      <sheetName val="Annexure 9"/>
      <sheetName val="Annexure 10"/>
      <sheetName val="Annexure 11"/>
      <sheetName val="Annexure 12"/>
      <sheetName val="Annexure 13"/>
      <sheetName val="MCN Addresses"/>
      <sheetName val="OFC_INTERCITY "/>
      <sheetName val="OFC_INTRACITY "/>
      <sheetName val="RCVL -Cover"/>
      <sheetName val="RCVL -BS"/>
      <sheetName val="RCVL - PL"/>
      <sheetName val="RCVL -Sch"/>
      <sheetName val="SALARY-UPLOAD"/>
      <sheetName val="SALARY-DETAILS"/>
      <sheetName val="ALL-IBANK-BRS"/>
      <sheetName val="FTHL Q2 02 BAL SHT"/>
      <sheetName val="FTHL Q2 02 P&amp;L"/>
      <sheetName val="FTHL Q1 02 CASHFLOW"/>
      <sheetName val="FTHL Q2 02 FS Wrksht"/>
      <sheetName val="Reclass Entries"/>
      <sheetName val="Billing Schedule details"/>
      <sheetName val="Additional Eq."/>
      <sheetName val="Test Eq."/>
      <sheetName val="Super_Critical "/>
      <sheetName val="Index (MF)"/>
      <sheetName val="Depr Rate"/>
      <sheetName val="Main FAR"/>
      <sheetName val="1, CC 3.54"/>
      <sheetName val="4, CC 4.28"/>
      <sheetName val="2, WBS "/>
      <sheetName val="5, R World 1"/>
      <sheetName val="6, R World 2"/>
      <sheetName val="3, IDC,Flag"/>
      <sheetName val="Old-Feb19"/>
      <sheetName val="Cash Balance"/>
      <sheetName val="ToDo"/>
      <sheetName val="Cover-ISshort"/>
      <sheetName val="Old-growth-v-Core"/>
      <sheetName val="Cover-Short"/>
      <sheetName val="Old-Feb5"/>
      <sheetName val="Statements"/>
      <sheetName val="StateBase"/>
      <sheetName val="Channels"/>
      <sheetName val="IP"/>
      <sheetName val="VoIP"/>
      <sheetName val="MSE"/>
      <sheetName val="AssumeCore"/>
      <sheetName val="Assumeflex"/>
      <sheetName val="Assume2"/>
      <sheetName val="Assume"/>
      <sheetName val="Old-Feb10"/>
      <sheetName val="Old-assume"/>
      <sheetName val="BS Comp"/>
      <sheetName val="OVERVIEW FOR MARK"/>
      <sheetName val="BS Mapping"/>
      <sheetName val="Summary of Assumptions"/>
      <sheetName val="Statistics"/>
      <sheetName val="New Products"/>
      <sheetName val="IRR"/>
      <sheetName val="Development Actions"/>
      <sheetName val="Balance Sheet Category Mapping"/>
      <sheetName val="Engineering"/>
      <sheetName val="Execution"/>
      <sheetName val="Price List"/>
      <sheetName val="Master Price List"/>
      <sheetName val="Configurations2"/>
      <sheetName val="Config-unbundle"/>
      <sheetName val="Mumbai"/>
      <sheetName val="MUTIL&amp;BUILD-SECURE"/>
      <sheetName val="MUTIL&amp;BUILD-ELEC"/>
      <sheetName val="MUTIL&amp;BUILDCIV-BUILD"/>
      <sheetName val="MUTIL&amp;BUILD-HVAC"/>
      <sheetName val="MELECTRONICS"/>
      <sheetName val="MRACKS"/>
      <sheetName val="MKNOWHOW"/>
      <sheetName val="MMFA"/>
      <sheetName val="Ex summary"/>
      <sheetName val="Level 0"/>
      <sheetName val="Level2-PoP"/>
      <sheetName val="Level2-B'lore,Mum(2)"/>
      <sheetName val="Level3-Mumbai 11111111111111111"/>
      <sheetName val="Level 3 PoP22222222222222222222"/>
      <sheetName val="backup3333333333333333333333333"/>
      <sheetName val="Level 3-B'lore44444444444444444"/>
      <sheetName val="Assmpns555555555555555555555555"/>
      <sheetName val="IDC computation6666666666666666"/>
      <sheetName val="Employee costs77777777777777777"/>
      <sheetName val="Prelim and preops88888888888888"/>
      <sheetName val="IT Deprn WS"/>
      <sheetName val="Sch to BS"/>
      <sheetName val="ASt"/>
      <sheetName val="Sch to P&amp;L"/>
      <sheetName val="P&amp;L groupings"/>
      <sheetName val="OSL"/>
      <sheetName val="ScrExp"/>
      <sheetName val="DSch-17"/>
      <sheetName val="CBS"/>
      <sheetName val="Express BP"/>
      <sheetName val="Sheet Index"/>
      <sheetName val="420604"/>
      <sheetName val="410112"/>
      <sheetName val="420305"/>
      <sheetName val="420306"/>
      <sheetName val="420322"/>
      <sheetName val="410329"/>
      <sheetName val="410311"/>
      <sheetName val="410302"/>
      <sheetName val="410320"/>
      <sheetName val="410319"/>
      <sheetName val="Traffic BOQ"/>
      <sheetName val="Civil &amp; design"/>
      <sheetName val="nc-m"/>
      <sheetName val="FLHtraffic"/>
      <sheetName val="FLH"/>
      <sheetName val="C2CBR"/>
      <sheetName val="C3CBR"/>
      <sheetName val="c4"/>
      <sheetName val="C4CBR"/>
      <sheetName val="C5"/>
      <sheetName val="C5TRAFFIC"/>
      <sheetName val="C61"/>
      <sheetName val="C62"/>
      <sheetName val="C6 RD NOTE 29 "/>
      <sheetName val="C6A-CBR"/>
      <sheetName val="C6B-CBR "/>
      <sheetName val="C8CBR"/>
      <sheetName val="C9"/>
      <sheetName val="C9CBR"/>
      <sheetName val="C10"/>
      <sheetName val="C10CBR"/>
      <sheetName val="C11CBR"/>
      <sheetName val="C11"/>
      <sheetName val="calculation "/>
      <sheetName val="Top Sheet2"/>
      <sheetName val="other office expenses"/>
      <sheetName val="Laying"/>
      <sheetName val="Coating"/>
      <sheetName val="M.s piperate"/>
      <sheetName val="RCCpipe rate"/>
      <sheetName val="Valves "/>
      <sheetName val="TOP SHEET-old"/>
      <sheetName val="11月利润表"/>
      <sheetName val="12月利润表"/>
      <sheetName val="11月资产负债表"/>
      <sheetName val="在建工程"/>
      <sheetName val="目录TABLE OF CONTENT"/>
      <sheetName val="执行总结Executive Summary"/>
      <sheetName val="资产负债表BALANCE SHEET"/>
      <sheetName val="利润表P&amp;L"/>
      <sheetName val="余额表TRIAL BALANCE"/>
      <sheetName val="现金流量CASH FLOW"/>
      <sheetName val="现金CASH"/>
      <sheetName val="银行存款BANKS"/>
      <sheetName val="应收帐款AR"/>
      <sheetName val="Other Receivable 其他应收款"/>
      <sheetName val="应收职工款EMPLOYEE RECV"/>
      <sheetName val="应收其他OTHER RECV"/>
      <sheetName val="预付帐款或保证金ADV PAYM"/>
      <sheetName val="预付费用PREPAID EXP"/>
      <sheetName val="母牛及折旧COWS &amp; DEPR"/>
      <sheetName val="饲料FEED"/>
      <sheetName val="健康与专业HEALTH"/>
      <sheetName val="Feed Stock and Drugs"/>
      <sheetName val="其他原料OTHER STOCK"/>
      <sheetName val="固定资产FIXED ASSET"/>
      <sheetName val="累计折旧ACC.DEPR"/>
      <sheetName val="预计资产CONTING ASSET"/>
      <sheetName val="前期费用及摊还PRE-OP EXP &amp; AMOR"/>
      <sheetName val="短期借款及股东借款BANK &amp; S.HOLDER LOAN"/>
      <sheetName val="应付帐款ACC PAY"/>
      <sheetName val="工程应付款CONST PAY"/>
      <sheetName val="应交税TAX PAYABLE"/>
      <sheetName val="预计负债CONTG LIABILITY"/>
      <sheetName val="其他应付款OTHER PAY"/>
      <sheetName val="集团公司应付款AFFILIATE PAY"/>
      <sheetName val="应付费用及利息ACCRUE EXP &amp; INTEREST"/>
      <sheetName val="饲料损耗估价PROV FOR CALVE &amp;FEED "/>
      <sheetName val="资本金CAPITAL"/>
      <sheetName val="留存收益及本年利润RETAINED EARNING"/>
      <sheetName val="主营业务收入及成本INCOME &amp; COGS"/>
      <sheetName val="其他运营收入及运营费用OTHER INCOME &amp; EXP"/>
      <sheetName val="成本及费用OPR EXP"/>
      <sheetName val="Headcount  员工数量"/>
      <sheetName val="奶牛净值COWS BV"/>
      <sheetName val="鲜奶成本COGS MILK"/>
      <sheetName val="小牛成本COGS CALVES"/>
      <sheetName val="牛群数量CATTLE POPULATION"/>
      <sheetName val="饲料消耗-FEED CONSUMP"/>
      <sheetName val="饲料购买清单"/>
      <sheetName val="饲料购买单"/>
      <sheetName val="饲料库存FEED STOCK"/>
      <sheetName val="药物结存表-DRUG STOCK"/>
      <sheetName val="精液库存SEMEN STOCK"/>
      <sheetName val="牛奶等级MILK BY GRADE"/>
      <sheetName val="奶量统计表MILK VOLUME"/>
      <sheetName val="燃料FUEL STOCK"/>
      <sheetName val="燃料库存FUEL STOCK"/>
      <sheetName val="配件库存SPARTS STOCK"/>
      <sheetName val="工具TOOLS STOCK"/>
      <sheetName val="挤奶厅用品PARLOR CONSUMABLE"/>
      <sheetName val="其他应收Other Recv"/>
      <sheetName val="预付帐款或保证金Adv Paymnt"/>
      <sheetName val="饲料分析Feed Analysis"/>
      <sheetName val="预计资产Contingent Asset"/>
      <sheetName val="固定资产及累计折旧Fixed Asset&amp;Acc Depr"/>
      <sheetName val="在建工程Construction In Progress"/>
      <sheetName val="前期费用及摊还Pre-Opr &amp; Amor"/>
      <sheetName val="应付帐款AP"/>
      <sheetName val="集团应付Affiliates Paybl"/>
      <sheetName val="工程应付Constrc Paybl"/>
      <sheetName val="应交税Tax Paybl"/>
      <sheetName val="预计负债Contng Liability"/>
      <sheetName val="应付费用Accrued Exp"/>
      <sheetName val="其他应付Other Paybl"/>
      <sheetName val="资本金及资本公积Capital"/>
      <sheetName val="留存收益及本年利润RE&amp;Curr Year PL"/>
      <sheetName val="费用Opr Expense"/>
      <sheetName val="其他运营收入及费用Other Income &amp; Exp"/>
      <sheetName val="内部投资抵销表"/>
      <sheetName val="银行存款"/>
      <sheetName val="Headcount"/>
      <sheetName val="销售报告"/>
      <sheetName val="成本费用报告"/>
      <sheetName val="银行存款报告"/>
      <sheetName val="融资情况报告"/>
      <sheetName val="固定资产及折旧报告"/>
      <sheetName val="联系电话"/>
      <sheetName val="卸货计量表"/>
      <sheetName val="P&amp;L BSheet CFlow "/>
      <sheetName val="SA-Lamp"/>
      <sheetName val="现金流量表CashFlow"/>
      <sheetName val="银行存款 "/>
      <sheetName val="12月应付帐款"/>
      <sheetName val="银行存款BANK"/>
      <sheetName val="银行存款 Bank"/>
      <sheetName val="应付帐款AP "/>
      <sheetName val="银行存款Bank (2)"/>
      <sheetName val="应付帐款 (2)"/>
      <sheetName val="应付帐款"/>
      <sheetName val="奶量销售MILK SOLD"/>
      <sheetName val="银行BANKS"/>
      <sheetName val="应付款AP"/>
      <sheetName val="应付账款ACC PAYABLE"/>
      <sheetName val="奶量销售报告MILK SOLD"/>
      <sheetName val="8.9－8.14银行存款Banks"/>
      <sheetName val="应付账款AP"/>
      <sheetName val="借款提取BOC-Loan Disbursement "/>
      <sheetName val="承兑汇票统计表P.Notes"/>
      <sheetName val="LC Issued &amp; Due date"/>
      <sheetName val="财务报表七月份牛奶销售"/>
      <sheetName val="10.17－10.23银行存款Banks"/>
      <sheetName val="承兑汇票统计表P.Notes  "/>
      <sheetName val="已开信用证LC Issued &amp; Due date"/>
      <sheetName val="10月1日－10月15日牛奶销售Milk Sold"/>
      <sheetName val="Livestock Chart"/>
      <sheetName val="Revenue Drivers"/>
      <sheetName val="Livestock"/>
      <sheetName val="Cattle Plan"/>
      <sheetName val="Feed Cost Sensitivity"/>
      <sheetName val="Feed Usage"/>
      <sheetName val="Feed Price"/>
      <sheetName val="Milk"/>
      <sheetName val="FAssets"/>
      <sheetName val="Equipment List"/>
      <sheetName val="Add Capex Nov 22"/>
      <sheetName val="PL&amp;BS"/>
      <sheetName val="Summary &amp; IRR"/>
      <sheetName val="Funding Sch - USD"/>
      <sheetName val="KPIvsMNAA"/>
      <sheetName val="KPI - Old"/>
      <sheetName val="Funding"/>
      <sheetName val="Population vs Headcounts"/>
      <sheetName val="Overhead Efficiency"/>
      <sheetName val="Population vs EAITBDA"/>
      <sheetName val="Feed Chart"/>
      <sheetName val="Overhead %"/>
      <sheetName val="PL&amp;BS-F1"/>
      <sheetName val="Direct CF Mtd"/>
      <sheetName val="Sale Cows to DXAA"/>
      <sheetName val="PL&amp;BS-F1&amp;F2"/>
      <sheetName val="Funding Sch - USD 5 Farms"/>
      <sheetName val="Milestones"/>
      <sheetName val="Funding Sch - USD 3 Farms"/>
      <sheetName val="DeLaval Payment Schedule"/>
      <sheetName val="CAPEX Bgt - 2012 F1"/>
      <sheetName val="Inter Chk"/>
      <sheetName val="Petty cash-Abstract"/>
      <sheetName val="FT-05-02Is-"/>
      <sheetName val="Concrete Cost"/>
      <sheetName val="Water Consumption"/>
      <sheetName val="M-2.5"/>
      <sheetName val="Sports"/>
      <sheetName val="Ele-Sports"/>
      <sheetName val="W&amp;S-Sports"/>
      <sheetName val="Amphi Theater"/>
      <sheetName val="Ele-Amphi Theater"/>
      <sheetName val="W&amp;S-Amphi"/>
      <sheetName val="Ele-Staff Qtrs"/>
      <sheetName val="W&amp;S-Staff Qtrs"/>
      <sheetName val="Gents Hostel"/>
      <sheetName val="Ele-Gents Hostel"/>
      <sheetName val="W&amp;S-Gents Hostel"/>
      <sheetName val="Ladies Hostel"/>
      <sheetName val="Ele-Ladies Hostel"/>
      <sheetName val="W&amp;S-Ladies Hostel"/>
      <sheetName val="Total Comparative "/>
      <sheetName val="Price Adjustment Steel"/>
      <sheetName val="Price Adjustment Cement"/>
      <sheetName val="W.seignerage"/>
      <sheetName val="ruf"/>
      <sheetName val="Box Culvert data"/>
      <sheetName val="Pipe Culverts"/>
      <sheetName val="Abs Box Culvert"/>
      <sheetName val="Abs Minor Bridge"/>
      <sheetName val="Abs RS"/>
      <sheetName val="Trafic"/>
      <sheetName val="Piipe data"/>
      <sheetName val="sr for Culvert"/>
      <sheetName val="Seiniorage"/>
      <sheetName val="TS (2)"/>
      <sheetName val="drains data"/>
      <sheetName val="GA other"/>
      <sheetName val="Abst road"/>
      <sheetName val="Abst pipe"/>
      <sheetName val="Reconstruction 2v 1000"/>
      <sheetName val="Reconstruction 2v 1000 (2)"/>
      <sheetName val="Widening 2v 1000 "/>
      <sheetName val="Widening 2v 1000  (2)"/>
      <sheetName val="Seigniorage Charges  For all"/>
      <sheetName val="Cs pipe culvert"/>
      <sheetName val="Box abstract"/>
      <sheetName val="Minor Bridges "/>
      <sheetName val="Seiniorage Roads"/>
      <sheetName val="Abst traffic"/>
      <sheetName val="Box abstract (2)"/>
      <sheetName val="6TH Part -1-"/>
      <sheetName val="6Th Part -2-"/>
      <sheetName val="6TH Part -3-"/>
      <sheetName val="6Th Part Elec"/>
      <sheetName val="6 TH Part -4 abs"/>
      <sheetName val="LS CC  Form 2nd part"/>
      <sheetName val="_x0004_ _x0003__x0004__x0016_ _x0004_"/>
      <sheetName val="fur-reqd"/>
      <sheetName val="Data for Water supply&amp; sani(2)"/>
      <sheetName val="joinery data"/>
      <sheetName val="Datas kadapa"/>
      <sheetName val="Dormitory kadapa Abstract"/>
      <sheetName val="Dormitory kadapa details"/>
      <sheetName val="Data for Water supply&amp; sani (2)"/>
      <sheetName val="General estimate"/>
      <sheetName val="detailed estimate1"/>
      <sheetName val="abstract estimate1"/>
      <sheetName val="Child equipment"/>
      <sheetName val="elec-data"/>
      <sheetName val="Elevation Datas"/>
      <sheetName val="1.General Abstract"/>
      <sheetName val="Veternory BLDG (2)"/>
      <sheetName val="EXTERNAL ELECTRICAL DATA"/>
      <sheetName val="EXTERNAL ELECTRICAL ABSTRACT"/>
      <sheetName val="INTERNAL ELECTRICAL DATA"/>
      <sheetName val="INTERNAL ELETRICAL ABSTRACT"/>
      <sheetName val="Road (2)"/>
      <sheetName val="Spec-RPT"/>
      <sheetName val="GA2-cc"/>
      <sheetName val="cc-road"/>
      <sheetName val="Culverts1"/>
      <sheetName val="bt-road-est"/>
      <sheetName val="minor bridge 2V of 7m"/>
      <sheetName val="box culvert 1V of 2x3 "/>
      <sheetName val="leaddata"/>
      <sheetName val="lead(vlg)"/>
      <sheetName val="Q-Map"/>
      <sheetName val="BTR(Hyd)"/>
      <sheetName val="guard"/>
      <sheetName val="BTR(Vizag)"/>
      <sheetName val="BTR(Chennai)"/>
      <sheetName val="Weighted leads"/>
      <sheetName val="data for box &amp; Minor brigdes"/>
      <sheetName val="data for box culvert "/>
      <sheetName val="Slab culverts abst"/>
      <sheetName val="D.E3v10m"/>
      <sheetName val="ABE3v10m"/>
      <sheetName val="DE2v8m"/>
      <sheetName val="ABE2v8m"/>
      <sheetName val=" C.S"/>
      <sheetName val="Office Note"/>
      <sheetName val="1V 2 M"/>
      <sheetName val="BTLeads-CHENNAI"/>
      <sheetName val="Bill Dates"/>
      <sheetName val="Details MB 3.00X2.00"/>
      <sheetName val="Steel MB"/>
      <sheetName val="Quantity MB"/>
      <sheetName val="Abstract Estimate "/>
      <sheetName val="1st bill"/>
      <sheetName val="workslip data"/>
      <sheetName val="ABSTRACT My choice"/>
      <sheetName val="DETAILED My choice"/>
      <sheetName val="Data rates Bld"/>
      <sheetName val="Rates1"/>
      <sheetName val="RBR Data"/>
      <sheetName val="Not Required crash barrier"/>
      <sheetName val="Lead 2017-18"/>
      <sheetName val="Seignorage charges "/>
      <sheetName val="steel calcu"/>
      <sheetName val="Cement "/>
      <sheetName val=" steel"/>
      <sheetName val="BT PA"/>
      <sheetName val="Bit &amp; Eml rates -CS &amp; TS"/>
      <sheetName val="July16 to 31"/>
      <sheetName val="Aug16 to 31"/>
      <sheetName val="Sep 1 to 15"/>
      <sheetName val="Sep 16 to 30"/>
      <sheetName val="Oct 16 to 30"/>
      <sheetName val="Nov 16 to 30"/>
      <sheetName val="Mar-14 01 to 15"/>
      <sheetName val="Mar-14 16 to 31"/>
      <sheetName val="Oct-14 01 to 15"/>
      <sheetName val="Oct-14 16 to 31"/>
      <sheetName val="Nov-14 01 to 15"/>
      <sheetName val="Jan-15 01 to 15"/>
      <sheetName val="Jan-15 16 to 31"/>
      <sheetName val="Feb-15 01 to 15"/>
      <sheetName val="Feb-15 16 to 28"/>
      <sheetName val="Mar-15 01 to 15"/>
      <sheetName val="Mar-15 16 to 31"/>
      <sheetName val="Sep-15  01 to 15"/>
      <sheetName val="Oct-15  01 to 15"/>
      <sheetName val="Oct-15  16 to 31"/>
      <sheetName val="Nov-15  16 to 30"/>
      <sheetName val="Dec-15  16 to 31"/>
      <sheetName val="Apr-16  16 to 30"/>
      <sheetName val="May-16  01 to 15"/>
      <sheetName val="Cement Qtys"/>
      <sheetName val="Steel Qtys"/>
      <sheetName val="Final Recorded Qty's"/>
      <sheetName val="Price Escalation-C&amp;S (month)"/>
      <sheetName val="C.Mortors"/>
      <sheetName val="C Toilets"/>
      <sheetName val="GV Park."/>
      <sheetName val="W.S.Data"/>
      <sheetName val="W.S. Supply"/>
      <sheetName val="Final E-Data 16-17 "/>
      <sheetName val="Ele Details"/>
      <sheetName val="W.S."/>
      <sheetName val="RE-3 GA"/>
      <sheetName val="R.E. -3 Bill Details 3"/>
      <sheetName val="Bill Recording"/>
      <sheetName val="Report AM est (2)"/>
      <sheetName val="gen-ab"/>
      <sheetName val="KM HM stone Man&amp;Supply"/>
      <sheetName val="fixing"/>
      <sheetName val="Civil Abs"/>
      <sheetName val="Main Bldg"/>
      <sheetName val="G H &amp; I Hostel"/>
      <sheetName val="G Residence"/>
      <sheetName val="B H &amp; I"/>
      <sheetName val="B Residence"/>
      <sheetName val="GH &amp; Q"/>
      <sheetName val="Sump2"/>
      <sheetName val="Lead-Statement "/>
      <sheetName val="Rate Analysis Civil items"/>
      <sheetName val="Corrections"/>
      <sheetName val="Rate Analysis for Concrete"/>
      <sheetName val="Concrete - SteelS - 4.27 BP"/>
      <sheetName val="Concrete - SteelS - 7.32 BP "/>
      <sheetName val="Concrete - SteelS - 4.88 BP"/>
      <sheetName val="Painting, Doors Windows"/>
      <sheetName val="Water Supply Sanitary"/>
      <sheetName val="resource analysis"/>
      <sheetName val="2018-19"/>
      <sheetName val="2019-20"/>
      <sheetName val="2020-21"/>
      <sheetName val="2022-23"/>
      <sheetName val="2021-22"/>
      <sheetName val="B Hostel "/>
      <sheetName val="GH PQ"/>
    </sheetNames>
    <sheetDataSet>
      <sheetData sheetId="0"/>
      <sheetData sheetId="1"/>
      <sheetData sheetId="2">
        <row r="21">
          <cell r="B21" t="str">
            <v>P.R.Bommraspet</v>
          </cell>
        </row>
      </sheetData>
      <sheetData sheetId="3"/>
      <sheetData sheetId="4"/>
      <sheetData sheetId="5">
        <row r="203">
          <cell r="D203" t="str">
            <v>WWW</v>
          </cell>
        </row>
      </sheetData>
      <sheetData sheetId="6"/>
      <sheetData sheetId="7">
        <row r="7">
          <cell r="H7">
            <v>48</v>
          </cell>
        </row>
      </sheetData>
      <sheetData sheetId="8"/>
      <sheetData sheetId="9"/>
      <sheetData sheetId="10"/>
      <sheetData sheetId="11"/>
      <sheetData sheetId="12"/>
      <sheetData sheetId="13"/>
      <sheetData sheetId="14"/>
      <sheetData sheetId="15"/>
      <sheetData sheetId="16"/>
      <sheetData sheetId="17"/>
      <sheetData sheetId="18">
        <row r="1">
          <cell r="A1" t="str">
            <v>TECNICAS REUNIDAS, S. A.</v>
          </cell>
        </row>
        <row r="11">
          <cell r="B11" t="str">
            <v>Q.C. Charges @ 0.50%</v>
          </cell>
        </row>
        <row r="12">
          <cell r="B12" t="str">
            <v>NAC @ 0.10%</v>
          </cell>
        </row>
        <row r="13">
          <cell r="B13" t="str">
            <v>Seignarage Charges</v>
          </cell>
        </row>
        <row r="14">
          <cell r="B14" t="str">
            <v>Add DMF @ 30% on Seignarage amount</v>
          </cell>
        </row>
        <row r="15">
          <cell r="B15" t="str">
            <v>Add SMET @2% on Seignarage amount</v>
          </cell>
        </row>
      </sheetData>
      <sheetData sheetId="19">
        <row r="1">
          <cell r="A1" t="str">
            <v>TECNICAS REUNIDAS, S. A.</v>
          </cell>
        </row>
      </sheetData>
      <sheetData sheetId="20">
        <row r="1">
          <cell r="A1" t="str">
            <v>TECNICAS REUNIDAS, S. A.</v>
          </cell>
        </row>
      </sheetData>
      <sheetData sheetId="21">
        <row r="1">
          <cell r="B1" t="str">
            <v>Id</v>
          </cell>
        </row>
      </sheetData>
      <sheetData sheetId="22">
        <row r="1">
          <cell r="B1" t="str">
            <v>Id</v>
          </cell>
        </row>
      </sheetData>
      <sheetData sheetId="23">
        <row r="1">
          <cell r="A1">
            <v>10000000</v>
          </cell>
        </row>
      </sheetData>
      <sheetData sheetId="24">
        <row r="1">
          <cell r="A1" t="str">
            <v>TECNICAS REUNIDAS, S. A.</v>
          </cell>
        </row>
      </sheetData>
      <sheetData sheetId="25">
        <row r="1">
          <cell r="B1" t="str">
            <v>Id</v>
          </cell>
        </row>
      </sheetData>
      <sheetData sheetId="26">
        <row r="1">
          <cell r="B1" t="str">
            <v>Id</v>
          </cell>
        </row>
      </sheetData>
      <sheetData sheetId="27">
        <row r="1">
          <cell r="B1" t="str">
            <v>Id</v>
          </cell>
        </row>
      </sheetData>
      <sheetData sheetId="28"/>
      <sheetData sheetId="29">
        <row r="1">
          <cell r="B1" t="str">
            <v>Id</v>
          </cell>
        </row>
      </sheetData>
      <sheetData sheetId="30"/>
      <sheetData sheetId="31">
        <row r="11">
          <cell r="H11">
            <v>4</v>
          </cell>
        </row>
      </sheetData>
      <sheetData sheetId="32"/>
      <sheetData sheetId="33">
        <row r="11">
          <cell r="H11">
            <v>4</v>
          </cell>
        </row>
      </sheetData>
      <sheetData sheetId="34"/>
      <sheetData sheetId="35">
        <row r="1">
          <cell r="A1" t="str">
            <v>TECNICAS REUNIDAS, S. A.</v>
          </cell>
        </row>
      </sheetData>
      <sheetData sheetId="36">
        <row r="1">
          <cell r="A1" t="str">
            <v>TECNICAS REUNIDAS, S. A.</v>
          </cell>
        </row>
      </sheetData>
      <sheetData sheetId="37">
        <row r="1">
          <cell r="B1" t="str">
            <v>Id</v>
          </cell>
        </row>
      </sheetData>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sheetData sheetId="124"/>
      <sheetData sheetId="125"/>
      <sheetData sheetId="126"/>
      <sheetData sheetId="127" refreshError="1"/>
      <sheetData sheetId="128" refreshError="1"/>
      <sheetData sheetId="129" refreshError="1"/>
      <sheetData sheetId="130" refreshError="1"/>
      <sheetData sheetId="131"/>
      <sheetData sheetId="132"/>
      <sheetData sheetId="133"/>
      <sheetData sheetId="134">
        <row r="1">
          <cell r="B1" t="str">
            <v>Id</v>
          </cell>
        </row>
      </sheetData>
      <sheetData sheetId="135"/>
      <sheetData sheetId="136"/>
      <sheetData sheetId="137"/>
      <sheetData sheetId="138"/>
      <sheetData sheetId="139">
        <row r="6">
          <cell r="J6">
            <v>336.1</v>
          </cell>
        </row>
      </sheetData>
      <sheetData sheetId="140"/>
      <sheetData sheetId="141"/>
      <sheetData sheetId="142"/>
      <sheetData sheetId="143"/>
      <sheetData sheetId="144"/>
      <sheetData sheetId="145"/>
      <sheetData sheetId="146" refreshError="1"/>
      <sheetData sheetId="147"/>
      <sheetData sheetId="148" refreshError="1"/>
      <sheetData sheetId="149"/>
      <sheetData sheetId="150"/>
      <sheetData sheetId="151"/>
      <sheetData sheetId="152"/>
      <sheetData sheetId="153"/>
      <sheetData sheetId="154"/>
      <sheetData sheetId="155" refreshError="1"/>
      <sheetData sheetId="156" refreshError="1"/>
      <sheetData sheetId="157" refreshError="1"/>
      <sheetData sheetId="158"/>
      <sheetData sheetId="159" refreshError="1"/>
      <sheetData sheetId="160" refreshError="1"/>
      <sheetData sheetId="161"/>
      <sheetData sheetId="162" refreshError="1"/>
      <sheetData sheetId="163" refreshError="1"/>
      <sheetData sheetId="164" refreshError="1"/>
      <sheetData sheetId="165"/>
      <sheetData sheetId="166"/>
      <sheetData sheetId="167"/>
      <sheetData sheetId="168"/>
      <sheetData sheetId="169"/>
      <sheetData sheetId="170"/>
      <sheetData sheetId="171"/>
      <sheetData sheetId="172"/>
      <sheetData sheetId="173"/>
      <sheetData sheetId="174"/>
      <sheetData sheetId="175" refreshError="1"/>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sheetData sheetId="248"/>
      <sheetData sheetId="249"/>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sheetData sheetId="2998" refreshError="1"/>
      <sheetData sheetId="2999" refreshError="1"/>
      <sheetData sheetId="3000" refreshError="1"/>
      <sheetData sheetId="3001"/>
      <sheetData sheetId="3002" refreshError="1"/>
      <sheetData sheetId="3003" refreshError="1"/>
      <sheetData sheetId="3004" refreshError="1"/>
      <sheetData sheetId="3005" refreshError="1"/>
      <sheetData sheetId="3006"/>
      <sheetData sheetId="3007"/>
      <sheetData sheetId="3008"/>
      <sheetData sheetId="3009"/>
      <sheetData sheetId="3010" refreshError="1"/>
      <sheetData sheetId="3011" refreshError="1"/>
      <sheetData sheetId="3012" refreshError="1"/>
      <sheetData sheetId="3013" refreshError="1"/>
      <sheetData sheetId="3014" refreshError="1"/>
      <sheetData sheetId="3015" refreshError="1"/>
      <sheetData sheetId="3016">
        <row r="1">
          <cell r="J1" t="str">
            <v>PROFIT=</v>
          </cell>
        </row>
      </sheetData>
      <sheetData sheetId="3017"/>
      <sheetData sheetId="3018">
        <row r="1">
          <cell r="A1" t="str">
            <v>A S I A K O N S T R U K T</v>
          </cell>
        </row>
      </sheetData>
      <sheetData sheetId="3019"/>
      <sheetData sheetId="3020" refreshError="1"/>
      <sheetData sheetId="3021">
        <row r="1">
          <cell r="A1" t="str">
            <v>MONTHLY PLANNING</v>
          </cell>
        </row>
      </sheetData>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ow r="1">
          <cell r="B1">
            <v>2</v>
          </cell>
        </row>
      </sheetData>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ow r="1">
          <cell r="B1" t="str">
            <v>2</v>
          </cell>
        </row>
      </sheetData>
      <sheetData sheetId="3308">
        <row r="1">
          <cell r="J1" t="str">
            <v>PROFIT=</v>
          </cell>
        </row>
      </sheetData>
      <sheetData sheetId="3309" refreshError="1"/>
      <sheetData sheetId="3310" refreshError="1"/>
      <sheetData sheetId="3311" refreshError="1"/>
      <sheetData sheetId="3312" refreshError="1"/>
      <sheetData sheetId="3313" refreshError="1"/>
      <sheetData sheetId="3314">
        <row r="1">
          <cell r="A1" t="str">
            <v>MONTHLY PLANNING</v>
          </cell>
        </row>
      </sheetData>
      <sheetData sheetId="3315" refreshError="1"/>
      <sheetData sheetId="3316" refreshError="1"/>
      <sheetData sheetId="3317">
        <row r="1">
          <cell r="A1" t="str">
            <v>MONTHLY PLANNING</v>
          </cell>
        </row>
      </sheetData>
      <sheetData sheetId="3318"/>
      <sheetData sheetId="3319" refreshError="1"/>
      <sheetData sheetId="3320" refreshError="1"/>
      <sheetData sheetId="3321" refreshError="1"/>
      <sheetData sheetId="3322">
        <row r="1">
          <cell r="A1" t="str">
            <v>TECNICAS REUNIDAS, S. A.</v>
          </cell>
        </row>
      </sheetData>
      <sheetData sheetId="3323" refreshError="1"/>
      <sheetData sheetId="3324" refreshError="1"/>
      <sheetData sheetId="3325">
        <row r="1">
          <cell r="E1" t="str">
            <v>TECNICAS REUNIDAS, S.A.</v>
          </cell>
        </row>
      </sheetData>
      <sheetData sheetId="3326" refreshError="1"/>
      <sheetData sheetId="3327" refreshError="1"/>
      <sheetData sheetId="3328">
        <row r="1">
          <cell r="A1" t="str">
            <v>CODE</v>
          </cell>
        </row>
      </sheetData>
      <sheetData sheetId="3329">
        <row r="1">
          <cell r="J1" t="str">
            <v>PROFIT=</v>
          </cell>
        </row>
      </sheetData>
      <sheetData sheetId="3330">
        <row r="1">
          <cell r="A1" t="str">
            <v>CODE</v>
          </cell>
        </row>
      </sheetData>
      <sheetData sheetId="3331">
        <row r="1">
          <cell r="A1" t="str">
            <v>CODE</v>
          </cell>
        </row>
      </sheetData>
      <sheetData sheetId="3332">
        <row r="1">
          <cell r="A1" t="str">
            <v>MONTHLY PLANNING</v>
          </cell>
        </row>
      </sheetData>
      <sheetData sheetId="3333">
        <row r="1">
          <cell r="A1" t="str">
            <v>A S I A K O N S T R U K T</v>
          </cell>
        </row>
      </sheetData>
      <sheetData sheetId="3334">
        <row r="1">
          <cell r="A1" t="str">
            <v>TECNICAS REUNIDAS, S. A.</v>
          </cell>
        </row>
      </sheetData>
      <sheetData sheetId="3335"/>
      <sheetData sheetId="3336">
        <row r="203">
          <cell r="D203" t="str">
            <v>WWW</v>
          </cell>
        </row>
      </sheetData>
      <sheetData sheetId="3337"/>
      <sheetData sheetId="3338"/>
      <sheetData sheetId="3339">
        <row r="203">
          <cell r="D203" t="str">
            <v>WWW</v>
          </cell>
        </row>
      </sheetData>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ow r="1">
          <cell r="A1" t="str">
            <v>TECNICAS REUNIDAS, S. A.</v>
          </cell>
        </row>
      </sheetData>
      <sheetData sheetId="3354">
        <row r="1">
          <cell r="A1" t="str">
            <v>MONTHLY PLANNING</v>
          </cell>
        </row>
      </sheetData>
      <sheetData sheetId="3355"/>
      <sheetData sheetId="3356"/>
      <sheetData sheetId="3357">
        <row r="1">
          <cell r="A1" t="str">
            <v>MONTHLY PLANNING</v>
          </cell>
        </row>
      </sheetData>
      <sheetData sheetId="3358">
        <row r="1">
          <cell r="B1" t="str">
            <v>2</v>
          </cell>
        </row>
      </sheetData>
      <sheetData sheetId="3359">
        <row r="1">
          <cell r="J1" t="str">
            <v>PROFIT=</v>
          </cell>
        </row>
      </sheetData>
      <sheetData sheetId="3360">
        <row r="1">
          <cell r="B1">
            <v>2</v>
          </cell>
        </row>
      </sheetData>
      <sheetData sheetId="3361">
        <row r="1">
          <cell r="B1" t="str">
            <v>2</v>
          </cell>
        </row>
      </sheetData>
      <sheetData sheetId="3362"/>
      <sheetData sheetId="3363" refreshError="1"/>
      <sheetData sheetId="3364" refreshError="1"/>
      <sheetData sheetId="3365" refreshError="1"/>
      <sheetData sheetId="3366" refreshError="1"/>
      <sheetData sheetId="3367" refreshError="1"/>
      <sheetData sheetId="3368" refreshError="1"/>
      <sheetData sheetId="3369" refreshError="1"/>
      <sheetData sheetId="3370"/>
      <sheetData sheetId="3371">
        <row r="1">
          <cell r="J1" t="str">
            <v>PROFIT=</v>
          </cell>
        </row>
      </sheetData>
      <sheetData sheetId="3372">
        <row r="1">
          <cell r="A1" t="str">
            <v>TECNICAS REUNIDAS, S. A.</v>
          </cell>
        </row>
      </sheetData>
      <sheetData sheetId="3373">
        <row r="1">
          <cell r="A1" t="str">
            <v>TECNICAS REUNIDAS, S. A.</v>
          </cell>
        </row>
      </sheetData>
      <sheetData sheetId="3374">
        <row r="511">
          <cell r="A511" t="str">
            <v>Item Rate</v>
          </cell>
        </row>
      </sheetData>
      <sheetData sheetId="3375"/>
      <sheetData sheetId="3376">
        <row r="1">
          <cell r="E1" t="str">
            <v>TECNICAS REUNIDAS, S.A.</v>
          </cell>
        </row>
      </sheetData>
      <sheetData sheetId="3377"/>
      <sheetData sheetId="3378"/>
      <sheetData sheetId="3379">
        <row r="1">
          <cell r="A1" t="str">
            <v>CODE</v>
          </cell>
        </row>
      </sheetData>
      <sheetData sheetId="3380">
        <row r="1">
          <cell r="J1" t="str">
            <v>PROFIT=</v>
          </cell>
        </row>
      </sheetData>
      <sheetData sheetId="3381">
        <row r="2">
          <cell r="A2" t="str">
            <v>A001</v>
          </cell>
        </row>
      </sheetData>
      <sheetData sheetId="3382">
        <row r="1">
          <cell r="A1" t="str">
            <v>CODE</v>
          </cell>
        </row>
      </sheetData>
      <sheetData sheetId="3383">
        <row r="1">
          <cell r="J1" t="str">
            <v>PROFIT=</v>
          </cell>
        </row>
      </sheetData>
      <sheetData sheetId="3384">
        <row r="1">
          <cell r="A1" t="str">
            <v>A S I A K O N S T R U K T</v>
          </cell>
        </row>
      </sheetData>
      <sheetData sheetId="3385" refreshError="1"/>
      <sheetData sheetId="3386"/>
      <sheetData sheetId="3387">
        <row r="1">
          <cell r="A1" t="str">
            <v>A S I A K O N S T R U K T</v>
          </cell>
        </row>
      </sheetData>
      <sheetData sheetId="3388">
        <row r="1">
          <cell r="A1" t="str">
            <v>TECNICAS REUNIDAS, S. A.</v>
          </cell>
        </row>
      </sheetData>
      <sheetData sheetId="3389"/>
      <sheetData sheetId="3390">
        <row r="1">
          <cell r="E1" t="str">
            <v>TECNICAS REUNIDAS, S.A.</v>
          </cell>
        </row>
      </sheetData>
      <sheetData sheetId="3391"/>
      <sheetData sheetId="3392"/>
      <sheetData sheetId="3393">
        <row r="1">
          <cell r="E1" t="str">
            <v>TECNICAS REUNIDAS, S.A.</v>
          </cell>
        </row>
      </sheetData>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ow r="1">
          <cell r="J1" t="str">
            <v>PROFIT=</v>
          </cell>
        </row>
      </sheetData>
      <sheetData sheetId="3427">
        <row r="1">
          <cell r="A1" t="str">
            <v>TECNICAS REUNIDAS, S. A.</v>
          </cell>
        </row>
      </sheetData>
      <sheetData sheetId="3428">
        <row r="1">
          <cell r="A1" t="str">
            <v>TECNICAS REUNIDAS, S. A.</v>
          </cell>
        </row>
      </sheetData>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ow r="1">
          <cell r="B1" t="str">
            <v>CPWS SCHEME TO                                                            DISTRICT</v>
          </cell>
        </row>
      </sheetData>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ow r="1">
          <cell r="A1">
            <v>1</v>
          </cell>
        </row>
      </sheetData>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sheetData sheetId="4297"/>
      <sheetData sheetId="4298"/>
      <sheetData sheetId="4299"/>
      <sheetData sheetId="4300"/>
      <sheetData sheetId="4301">
        <row r="1">
          <cell r="E1" t="str">
            <v>TECNICAS REUNIDAS, S.A.</v>
          </cell>
        </row>
      </sheetData>
      <sheetData sheetId="4302">
        <row r="1">
          <cell r="A1" t="str">
            <v>MONTHLY PLANNING</v>
          </cell>
        </row>
      </sheetData>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refreshError="1"/>
      <sheetData sheetId="4318"/>
      <sheetData sheetId="4319"/>
      <sheetData sheetId="4320"/>
      <sheetData sheetId="4321"/>
      <sheetData sheetId="4322"/>
      <sheetData sheetId="4323"/>
      <sheetData sheetId="4324"/>
      <sheetData sheetId="4325" refreshError="1"/>
      <sheetData sheetId="4326"/>
      <sheetData sheetId="4327">
        <row r="318">
          <cell r="AI318">
            <v>134.91192604608</v>
          </cell>
        </row>
      </sheetData>
      <sheetData sheetId="4328"/>
      <sheetData sheetId="4329"/>
      <sheetData sheetId="4330">
        <row r="318">
          <cell r="AI318">
            <v>134.91192604608</v>
          </cell>
        </row>
      </sheetData>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ow r="1">
          <cell r="B1">
            <v>2</v>
          </cell>
        </row>
      </sheetData>
      <sheetData sheetId="4359">
        <row r="1">
          <cell r="B1">
            <v>2</v>
          </cell>
        </row>
      </sheetData>
      <sheetData sheetId="4360">
        <row r="1">
          <cell r="A1">
            <v>1</v>
          </cell>
        </row>
      </sheetData>
      <sheetData sheetId="4361">
        <row r="1">
          <cell r="B1" t="str">
            <v>2</v>
          </cell>
        </row>
      </sheetData>
      <sheetData sheetId="4362">
        <row r="1">
          <cell r="B1">
            <v>2</v>
          </cell>
        </row>
      </sheetData>
      <sheetData sheetId="4363">
        <row r="1">
          <cell r="B1" t="str">
            <v>2</v>
          </cell>
        </row>
      </sheetData>
      <sheetData sheetId="4364" refreshError="1"/>
      <sheetData sheetId="4365" refreshError="1"/>
      <sheetData sheetId="4366">
        <row r="1">
          <cell r="B1" t="str">
            <v>2</v>
          </cell>
        </row>
      </sheetData>
      <sheetData sheetId="4367">
        <row r="1">
          <cell r="B1">
            <v>2</v>
          </cell>
        </row>
      </sheetData>
      <sheetData sheetId="4368" refreshError="1"/>
      <sheetData sheetId="4369"/>
      <sheetData sheetId="4370">
        <row r="1">
          <cell r="B1">
            <v>2</v>
          </cell>
        </row>
      </sheetData>
      <sheetData sheetId="4371">
        <row r="1">
          <cell r="B1">
            <v>2</v>
          </cell>
        </row>
      </sheetData>
      <sheetData sheetId="4372">
        <row r="1">
          <cell r="B1">
            <v>2</v>
          </cell>
        </row>
      </sheetData>
      <sheetData sheetId="4373"/>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ow r="318">
          <cell r="AI318">
            <v>134.91192604608</v>
          </cell>
        </row>
      </sheetData>
      <sheetData sheetId="4393"/>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ow r="1">
          <cell r="B1">
            <v>2</v>
          </cell>
        </row>
      </sheetData>
      <sheetData sheetId="4419">
        <row r="1">
          <cell r="A1">
            <v>10000000</v>
          </cell>
        </row>
      </sheetData>
      <sheetData sheetId="4420">
        <row r="1">
          <cell r="A1">
            <v>10000000</v>
          </cell>
        </row>
      </sheetData>
      <sheetData sheetId="4421">
        <row r="1">
          <cell r="A1">
            <v>1</v>
          </cell>
        </row>
      </sheetData>
      <sheetData sheetId="4422">
        <row r="1">
          <cell r="A1">
            <v>10000000</v>
          </cell>
        </row>
      </sheetData>
      <sheetData sheetId="4423">
        <row r="1">
          <cell r="A1">
            <v>10000000</v>
          </cell>
        </row>
      </sheetData>
      <sheetData sheetId="4424">
        <row r="1">
          <cell r="A1">
            <v>10000000</v>
          </cell>
        </row>
      </sheetData>
      <sheetData sheetId="4425">
        <row r="1">
          <cell r="A1">
            <v>1</v>
          </cell>
        </row>
      </sheetData>
      <sheetData sheetId="4426">
        <row r="1">
          <cell r="A1">
            <v>10000000</v>
          </cell>
        </row>
      </sheetData>
      <sheetData sheetId="4427">
        <row r="1">
          <cell r="A1">
            <v>1</v>
          </cell>
        </row>
      </sheetData>
      <sheetData sheetId="4428">
        <row r="1">
          <cell r="A1">
            <v>10000000</v>
          </cell>
        </row>
      </sheetData>
      <sheetData sheetId="4429">
        <row r="1">
          <cell r="A1">
            <v>1</v>
          </cell>
        </row>
      </sheetData>
      <sheetData sheetId="4430">
        <row r="1">
          <cell r="A1">
            <v>10000000</v>
          </cell>
        </row>
      </sheetData>
      <sheetData sheetId="4431">
        <row r="1">
          <cell r="B1" t="str">
            <v>2</v>
          </cell>
        </row>
      </sheetData>
      <sheetData sheetId="4432">
        <row r="1">
          <cell r="A1">
            <v>10000000</v>
          </cell>
        </row>
      </sheetData>
      <sheetData sheetId="4433">
        <row r="1">
          <cell r="A1">
            <v>10000000</v>
          </cell>
        </row>
      </sheetData>
      <sheetData sheetId="4434">
        <row r="1">
          <cell r="A1">
            <v>10000000</v>
          </cell>
        </row>
      </sheetData>
      <sheetData sheetId="4435">
        <row r="1">
          <cell r="A1">
            <v>10000000</v>
          </cell>
        </row>
      </sheetData>
      <sheetData sheetId="4436">
        <row r="1">
          <cell r="A1">
            <v>10000000</v>
          </cell>
        </row>
      </sheetData>
      <sheetData sheetId="4437">
        <row r="1">
          <cell r="A1">
            <v>10000000</v>
          </cell>
        </row>
      </sheetData>
      <sheetData sheetId="4438">
        <row r="1">
          <cell r="A1">
            <v>10000000</v>
          </cell>
        </row>
      </sheetData>
      <sheetData sheetId="4439">
        <row r="1">
          <cell r="B1">
            <v>2</v>
          </cell>
        </row>
      </sheetData>
      <sheetData sheetId="4440">
        <row r="1">
          <cell r="A1">
            <v>10000000</v>
          </cell>
        </row>
      </sheetData>
      <sheetData sheetId="4441">
        <row r="1">
          <cell r="A1">
            <v>10000000</v>
          </cell>
        </row>
      </sheetData>
      <sheetData sheetId="4442">
        <row r="1">
          <cell r="A1">
            <v>1</v>
          </cell>
        </row>
      </sheetData>
      <sheetData sheetId="4443">
        <row r="1">
          <cell r="A1">
            <v>1</v>
          </cell>
        </row>
      </sheetData>
      <sheetData sheetId="4444">
        <row r="1">
          <cell r="A1">
            <v>10000000</v>
          </cell>
        </row>
      </sheetData>
      <sheetData sheetId="4445">
        <row r="1">
          <cell r="B1" t="str">
            <v>2</v>
          </cell>
        </row>
      </sheetData>
      <sheetData sheetId="4446">
        <row r="1">
          <cell r="B1" t="str">
            <v>2</v>
          </cell>
        </row>
      </sheetData>
      <sheetData sheetId="4447">
        <row r="1">
          <cell r="A1">
            <v>10000000</v>
          </cell>
        </row>
      </sheetData>
      <sheetData sheetId="4448"/>
      <sheetData sheetId="4449">
        <row r="1">
          <cell r="B1">
            <v>2</v>
          </cell>
        </row>
      </sheetData>
      <sheetData sheetId="4450">
        <row r="1">
          <cell r="A1">
            <v>10000000</v>
          </cell>
        </row>
      </sheetData>
      <sheetData sheetId="4451"/>
      <sheetData sheetId="4452">
        <row r="1">
          <cell r="B1">
            <v>2</v>
          </cell>
        </row>
      </sheetData>
      <sheetData sheetId="4453">
        <row r="1">
          <cell r="B1">
            <v>2</v>
          </cell>
        </row>
      </sheetData>
      <sheetData sheetId="4454">
        <row r="1">
          <cell r="B1">
            <v>2</v>
          </cell>
        </row>
      </sheetData>
      <sheetData sheetId="4455"/>
      <sheetData sheetId="4456"/>
      <sheetData sheetId="4457">
        <row r="1">
          <cell r="B1">
            <v>2</v>
          </cell>
        </row>
      </sheetData>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sheetData sheetId="4471">
        <row r="1">
          <cell r="A1">
            <v>10000000</v>
          </cell>
        </row>
      </sheetData>
      <sheetData sheetId="4472">
        <row r="1">
          <cell r="A1">
            <v>10000000</v>
          </cell>
        </row>
      </sheetData>
      <sheetData sheetId="4473">
        <row r="1">
          <cell r="A1">
            <v>1</v>
          </cell>
        </row>
      </sheetData>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sheetData sheetId="5391"/>
      <sheetData sheetId="5392"/>
      <sheetData sheetId="5393"/>
      <sheetData sheetId="5394"/>
      <sheetData sheetId="5395"/>
      <sheetData sheetId="5396"/>
      <sheetData sheetId="5397" refreshError="1"/>
      <sheetData sheetId="5398" refreshError="1"/>
      <sheetData sheetId="5399" refreshError="1"/>
      <sheetData sheetId="5400" refreshError="1"/>
      <sheetData sheetId="5401" refreshError="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2">
          <cell r="K2" t="str">
            <v>Month</v>
          </cell>
        </row>
      </sheetData>
      <sheetData sheetId="5425"/>
      <sheetData sheetId="5426"/>
      <sheetData sheetId="5427">
        <row r="3">
          <cell r="D3">
            <v>0.2</v>
          </cell>
        </row>
      </sheetData>
      <sheetData sheetId="5428"/>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row r="2">
          <cell r="K2" t="str">
            <v>Month</v>
          </cell>
        </row>
      </sheetData>
      <sheetData sheetId="5448"/>
      <sheetData sheetId="5449"/>
      <sheetData sheetId="5450"/>
      <sheetData sheetId="5451"/>
      <sheetData sheetId="5452"/>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sheetData sheetId="5815"/>
      <sheetData sheetId="5816"/>
      <sheetData sheetId="5817"/>
      <sheetData sheetId="5818"/>
      <sheetData sheetId="5819"/>
      <sheetData sheetId="5820"/>
      <sheetData sheetId="5821">
        <row r="2">
          <cell r="K2" t="str">
            <v>Month</v>
          </cell>
        </row>
      </sheetData>
      <sheetData sheetId="5822"/>
      <sheetData sheetId="5823" refreshError="1"/>
      <sheetData sheetId="5824"/>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ow r="2">
          <cell r="K2" t="str">
            <v>Month</v>
          </cell>
        </row>
      </sheetData>
      <sheetData sheetId="5840">
        <row r="1">
          <cell r="B1" t="str">
            <v>Id</v>
          </cell>
        </row>
      </sheetData>
      <sheetData sheetId="5841">
        <row r="2">
          <cell r="K2" t="str">
            <v>Month</v>
          </cell>
        </row>
      </sheetData>
      <sheetData sheetId="5842">
        <row r="2">
          <cell r="K2" t="str">
            <v>Month</v>
          </cell>
        </row>
      </sheetData>
      <sheetData sheetId="5843">
        <row r="2">
          <cell r="K2" t="str">
            <v>Month</v>
          </cell>
        </row>
      </sheetData>
      <sheetData sheetId="5844">
        <row r="2">
          <cell r="K2" t="str">
            <v>Month</v>
          </cell>
        </row>
      </sheetData>
      <sheetData sheetId="5845">
        <row r="1">
          <cell r="B1" t="str">
            <v>Data based on 2015-16 Common SSR</v>
          </cell>
        </row>
      </sheetData>
      <sheetData sheetId="5846">
        <row r="1">
          <cell r="B1" t="str">
            <v>Id</v>
          </cell>
        </row>
      </sheetData>
      <sheetData sheetId="5847">
        <row r="1">
          <cell r="B1" t="str">
            <v>CPWS SCHEME TO                                                            DISTRICT</v>
          </cell>
        </row>
      </sheetData>
      <sheetData sheetId="5848">
        <row r="2">
          <cell r="K2" t="str">
            <v>Month</v>
          </cell>
        </row>
      </sheetData>
      <sheetData sheetId="5849">
        <row r="2">
          <cell r="K2" t="str">
            <v>Month</v>
          </cell>
        </row>
      </sheetData>
      <sheetData sheetId="5850">
        <row r="2">
          <cell r="K2" t="str">
            <v>Month</v>
          </cell>
        </row>
      </sheetData>
      <sheetData sheetId="5851">
        <row r="2">
          <cell r="K2" t="str">
            <v>Month</v>
          </cell>
        </row>
      </sheetData>
      <sheetData sheetId="5852">
        <row r="1">
          <cell r="B1" t="str">
            <v>Id</v>
          </cell>
        </row>
      </sheetData>
      <sheetData sheetId="5853">
        <row r="1">
          <cell r="B1" t="str">
            <v>Data based on 2015-16 Common SSR</v>
          </cell>
        </row>
      </sheetData>
      <sheetData sheetId="5854">
        <row r="1">
          <cell r="B1" t="str">
            <v>Id</v>
          </cell>
        </row>
      </sheetData>
      <sheetData sheetId="5855">
        <row r="1">
          <cell r="B1" t="str">
            <v>CPWS SCHEME TO                                                            DISTRICT</v>
          </cell>
        </row>
      </sheetData>
      <sheetData sheetId="5856">
        <row r="2">
          <cell r="K2" t="str">
            <v>Month</v>
          </cell>
        </row>
      </sheetData>
      <sheetData sheetId="5857">
        <row r="2">
          <cell r="K2" t="str">
            <v>Month</v>
          </cell>
        </row>
      </sheetData>
      <sheetData sheetId="5858">
        <row r="2">
          <cell r="K2" t="str">
            <v>Month</v>
          </cell>
        </row>
      </sheetData>
      <sheetData sheetId="5859">
        <row r="2">
          <cell r="K2" t="str">
            <v>Month</v>
          </cell>
        </row>
      </sheetData>
      <sheetData sheetId="5860">
        <row r="2">
          <cell r="K2" t="str">
            <v>Month</v>
          </cell>
        </row>
      </sheetData>
      <sheetData sheetId="5861">
        <row r="2">
          <cell r="K2" t="str">
            <v>Month</v>
          </cell>
        </row>
      </sheetData>
      <sheetData sheetId="5862">
        <row r="2">
          <cell r="K2" t="str">
            <v>Month</v>
          </cell>
        </row>
      </sheetData>
      <sheetData sheetId="5863">
        <row r="3">
          <cell r="D3">
            <v>0.2</v>
          </cell>
        </row>
      </sheetData>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ow r="3">
          <cell r="D3">
            <v>0.2</v>
          </cell>
        </row>
      </sheetData>
      <sheetData sheetId="5877">
        <row r="158">
          <cell r="H158">
            <v>0.14499999999999999</v>
          </cell>
        </row>
      </sheetData>
      <sheetData sheetId="5878"/>
      <sheetData sheetId="5879">
        <row r="3">
          <cell r="D3">
            <v>0.2</v>
          </cell>
        </row>
      </sheetData>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ow r="3">
          <cell r="D3">
            <v>0.2</v>
          </cell>
        </row>
      </sheetData>
      <sheetData sheetId="5916">
        <row r="3">
          <cell r="D3">
            <v>0.2</v>
          </cell>
        </row>
      </sheetData>
      <sheetData sheetId="5917">
        <row r="3">
          <cell r="D3">
            <v>0.2</v>
          </cell>
        </row>
      </sheetData>
      <sheetData sheetId="5918">
        <row r="158">
          <cell r="H158">
            <v>0.14499999999999999</v>
          </cell>
        </row>
      </sheetData>
      <sheetData sheetId="5919"/>
      <sheetData sheetId="5920">
        <row r="3">
          <cell r="D3">
            <v>0.2</v>
          </cell>
        </row>
      </sheetData>
      <sheetData sheetId="5921">
        <row r="1">
          <cell r="B1" t="str">
            <v>Id</v>
          </cell>
        </row>
      </sheetData>
      <sheetData sheetId="5922">
        <row r="3">
          <cell r="D3">
            <v>0.2</v>
          </cell>
        </row>
      </sheetData>
      <sheetData sheetId="5923">
        <row r="1">
          <cell r="B1" t="str">
            <v>Id</v>
          </cell>
        </row>
      </sheetData>
      <sheetData sheetId="5924">
        <row r="1">
          <cell r="B1" t="str">
            <v>Id</v>
          </cell>
        </row>
      </sheetData>
      <sheetData sheetId="5925">
        <row r="1">
          <cell r="B1" t="str">
            <v>Id</v>
          </cell>
        </row>
      </sheetData>
      <sheetData sheetId="5926">
        <row r="1">
          <cell r="B1" t="str">
            <v>Id</v>
          </cell>
        </row>
      </sheetData>
      <sheetData sheetId="5927">
        <row r="1">
          <cell r="B1" t="str">
            <v>Id</v>
          </cell>
        </row>
      </sheetData>
      <sheetData sheetId="5928">
        <row r="1">
          <cell r="B1" t="str">
            <v>Id</v>
          </cell>
        </row>
      </sheetData>
      <sheetData sheetId="5929">
        <row r="1">
          <cell r="B1" t="str">
            <v>Id</v>
          </cell>
        </row>
      </sheetData>
      <sheetData sheetId="5930">
        <row r="1">
          <cell r="B1" t="str">
            <v>Id</v>
          </cell>
        </row>
      </sheetData>
      <sheetData sheetId="5931">
        <row r="1">
          <cell r="B1" t="str">
            <v>Id</v>
          </cell>
        </row>
      </sheetData>
      <sheetData sheetId="5932">
        <row r="1">
          <cell r="B1" t="str">
            <v>Id</v>
          </cell>
        </row>
      </sheetData>
      <sheetData sheetId="5933">
        <row r="1">
          <cell r="B1" t="str">
            <v>Id</v>
          </cell>
        </row>
      </sheetData>
      <sheetData sheetId="5934">
        <row r="1">
          <cell r="B1" t="str">
            <v>Id</v>
          </cell>
        </row>
      </sheetData>
      <sheetData sheetId="5935">
        <row r="1">
          <cell r="B1" t="str">
            <v>Id</v>
          </cell>
        </row>
      </sheetData>
      <sheetData sheetId="5936">
        <row r="1">
          <cell r="B1" t="str">
            <v>Id</v>
          </cell>
        </row>
      </sheetData>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refreshError="1"/>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refreshError="1"/>
      <sheetData sheetId="6494" refreshError="1"/>
      <sheetData sheetId="6495" refreshError="1"/>
      <sheetData sheetId="6496" refreshError="1"/>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refreshError="1"/>
      <sheetData sheetId="6509" refreshError="1"/>
      <sheetData sheetId="6510" refreshError="1"/>
      <sheetData sheetId="6511" refreshError="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refreshError="1"/>
      <sheetData sheetId="6523" refreshError="1"/>
      <sheetData sheetId="6524" refreshError="1"/>
      <sheetData sheetId="6525" refreshError="1"/>
      <sheetData sheetId="6526" refreshError="1"/>
      <sheetData sheetId="6527" refreshError="1"/>
      <sheetData sheetId="6528" refreshError="1"/>
      <sheetData sheetId="6529" refreshError="1"/>
      <sheetData sheetId="6530" refreshError="1"/>
      <sheetData sheetId="6531" refreshError="1"/>
      <sheetData sheetId="6532" refreshError="1"/>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refreshError="1"/>
      <sheetData sheetId="6550" refreshError="1"/>
      <sheetData sheetId="6551" refreshError="1"/>
      <sheetData sheetId="6552" refreshError="1"/>
      <sheetData sheetId="6553" refreshError="1"/>
      <sheetData sheetId="6554" refreshError="1"/>
      <sheetData sheetId="6555" refreshError="1"/>
      <sheetData sheetId="6556" refreshError="1"/>
      <sheetData sheetId="6557" refreshError="1"/>
      <sheetData sheetId="6558" refreshError="1"/>
      <sheetData sheetId="6559" refreshError="1"/>
      <sheetData sheetId="6560" refreshError="1"/>
      <sheetData sheetId="6561" refreshError="1"/>
      <sheetData sheetId="6562" refreshError="1"/>
      <sheetData sheetId="6563" refreshError="1"/>
      <sheetData sheetId="6564" refreshError="1"/>
      <sheetData sheetId="6565" refreshError="1"/>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refreshError="1"/>
      <sheetData sheetId="6584" refreshError="1"/>
      <sheetData sheetId="6585" refreshError="1"/>
      <sheetData sheetId="6586" refreshError="1"/>
      <sheetData sheetId="6587" refreshError="1"/>
      <sheetData sheetId="6588" refreshError="1"/>
      <sheetData sheetId="6589" refreshError="1"/>
      <sheetData sheetId="6590" refreshError="1"/>
      <sheetData sheetId="6591" refreshError="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refreshError="1"/>
      <sheetData sheetId="6693" refreshError="1"/>
      <sheetData sheetId="6694" refreshError="1"/>
      <sheetData sheetId="6695" refreshError="1"/>
      <sheetData sheetId="6696" refreshError="1"/>
      <sheetData sheetId="6697" refreshError="1"/>
      <sheetData sheetId="6698" refreshError="1"/>
      <sheetData sheetId="6699" refreshError="1"/>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efreshError="1"/>
      <sheetData sheetId="6710" refreshError="1"/>
      <sheetData sheetId="6711" refreshError="1"/>
      <sheetData sheetId="6712" refreshError="1"/>
      <sheetData sheetId="6713" refreshError="1"/>
      <sheetData sheetId="6714" refreshError="1"/>
      <sheetData sheetId="6715" refreshError="1"/>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refreshError="1"/>
      <sheetData sheetId="6726" refreshError="1"/>
      <sheetData sheetId="6727" refreshError="1"/>
      <sheetData sheetId="6728" refreshError="1"/>
      <sheetData sheetId="6729" refreshError="1"/>
      <sheetData sheetId="6730" refreshError="1"/>
      <sheetData sheetId="6731" refreshError="1"/>
      <sheetData sheetId="6732" refreshError="1"/>
      <sheetData sheetId="6733" refreshError="1"/>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refreshError="1"/>
      <sheetData sheetId="6798" refreshError="1"/>
      <sheetData sheetId="6799" refreshError="1"/>
      <sheetData sheetId="6800" refreshError="1"/>
      <sheetData sheetId="6801" refreshError="1"/>
      <sheetData sheetId="6802" refreshError="1"/>
      <sheetData sheetId="6803" refreshError="1"/>
      <sheetData sheetId="6804" refreshError="1"/>
      <sheetData sheetId="6805" refreshError="1"/>
      <sheetData sheetId="6806" refreshError="1"/>
      <sheetData sheetId="6807" refreshError="1"/>
      <sheetData sheetId="6808" refreshError="1"/>
      <sheetData sheetId="6809" refreshError="1"/>
      <sheetData sheetId="6810" refreshError="1"/>
      <sheetData sheetId="6811" refreshError="1"/>
      <sheetData sheetId="6812" refreshError="1"/>
      <sheetData sheetId="6813" refreshError="1"/>
      <sheetData sheetId="6814" refreshError="1"/>
      <sheetData sheetId="6815" refreshError="1"/>
      <sheetData sheetId="6816" refreshError="1"/>
      <sheetData sheetId="6817" refreshError="1"/>
      <sheetData sheetId="6818" refreshError="1"/>
      <sheetData sheetId="6819" refreshError="1"/>
      <sheetData sheetId="6820" refreshError="1"/>
      <sheetData sheetId="6821" refreshError="1"/>
      <sheetData sheetId="6822" refreshError="1"/>
      <sheetData sheetId="6823" refreshError="1"/>
      <sheetData sheetId="6824" refreshError="1"/>
      <sheetData sheetId="6825" refreshError="1"/>
      <sheetData sheetId="6826" refreshError="1"/>
      <sheetData sheetId="6827" refreshError="1"/>
      <sheetData sheetId="6828" refreshError="1"/>
      <sheetData sheetId="6829" refreshError="1"/>
      <sheetData sheetId="6830" refreshError="1"/>
      <sheetData sheetId="6831" refreshError="1"/>
      <sheetData sheetId="6832" refreshError="1"/>
      <sheetData sheetId="6833" refreshError="1"/>
      <sheetData sheetId="6834" refreshError="1"/>
      <sheetData sheetId="6835" refreshError="1"/>
      <sheetData sheetId="6836" refreshError="1"/>
      <sheetData sheetId="6837" refreshError="1"/>
      <sheetData sheetId="6838" refreshError="1"/>
      <sheetData sheetId="6839" refreshError="1"/>
      <sheetData sheetId="6840" refreshError="1"/>
      <sheetData sheetId="6841" refreshError="1"/>
      <sheetData sheetId="6842" refreshError="1"/>
      <sheetData sheetId="6843" refreshError="1"/>
      <sheetData sheetId="6844" refreshError="1"/>
      <sheetData sheetId="6845" refreshError="1"/>
      <sheetData sheetId="6846" refreshError="1"/>
      <sheetData sheetId="6847" refreshError="1"/>
      <sheetData sheetId="6848" refreshError="1"/>
      <sheetData sheetId="6849" refreshError="1"/>
      <sheetData sheetId="6850" refreshError="1"/>
      <sheetData sheetId="6851" refreshError="1"/>
      <sheetData sheetId="6852" refreshError="1"/>
      <sheetData sheetId="6853" refreshError="1"/>
      <sheetData sheetId="6854" refreshError="1"/>
      <sheetData sheetId="6855" refreshError="1"/>
      <sheetData sheetId="6856" refreshError="1"/>
      <sheetData sheetId="6857" refreshError="1"/>
      <sheetData sheetId="6858" refreshError="1"/>
      <sheetData sheetId="6859" refreshError="1"/>
      <sheetData sheetId="6860" refreshError="1"/>
      <sheetData sheetId="6861" refreshError="1"/>
      <sheetData sheetId="6862" refreshError="1"/>
      <sheetData sheetId="6863" refreshError="1"/>
      <sheetData sheetId="6864" refreshError="1"/>
      <sheetData sheetId="6865" refreshError="1"/>
      <sheetData sheetId="6866" refreshError="1"/>
      <sheetData sheetId="6867" refreshError="1"/>
      <sheetData sheetId="6868" refreshError="1"/>
      <sheetData sheetId="6869" refreshError="1"/>
      <sheetData sheetId="6870" refreshError="1"/>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refreshError="1"/>
      <sheetData sheetId="6910" refreshError="1"/>
      <sheetData sheetId="6911" refreshError="1"/>
      <sheetData sheetId="6912" refreshError="1"/>
      <sheetData sheetId="6913" refreshError="1"/>
      <sheetData sheetId="6914" refreshError="1"/>
      <sheetData sheetId="6915" refreshError="1"/>
      <sheetData sheetId="6916" refreshError="1"/>
      <sheetData sheetId="6917" refreshError="1"/>
      <sheetData sheetId="6918" refreshError="1"/>
      <sheetData sheetId="6919" refreshError="1"/>
      <sheetData sheetId="6920" refreshError="1"/>
      <sheetData sheetId="6921" refreshError="1"/>
      <sheetData sheetId="6922" refreshError="1"/>
      <sheetData sheetId="6923" refreshError="1"/>
      <sheetData sheetId="6924" refreshError="1"/>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refreshError="1"/>
      <sheetData sheetId="7009" refreshError="1"/>
      <sheetData sheetId="7010" refreshError="1"/>
      <sheetData sheetId="7011" refreshError="1"/>
      <sheetData sheetId="7012" refreshError="1"/>
      <sheetData sheetId="7013" refreshError="1"/>
      <sheetData sheetId="7014" refreshError="1"/>
      <sheetData sheetId="7015" refreshError="1"/>
      <sheetData sheetId="7016" refreshError="1"/>
      <sheetData sheetId="7017" refreshError="1"/>
      <sheetData sheetId="7018" refreshError="1"/>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 sheetId="7027" refreshError="1"/>
      <sheetData sheetId="7028" refreshError="1"/>
      <sheetData sheetId="7029" refreshError="1"/>
      <sheetData sheetId="7030" refreshError="1"/>
      <sheetData sheetId="7031" refreshError="1"/>
      <sheetData sheetId="7032" refreshError="1"/>
      <sheetData sheetId="7033" refreshError="1"/>
      <sheetData sheetId="7034" refreshError="1"/>
      <sheetData sheetId="7035" refreshError="1"/>
      <sheetData sheetId="7036" refreshError="1"/>
      <sheetData sheetId="7037" refreshError="1"/>
      <sheetData sheetId="7038" refreshError="1"/>
      <sheetData sheetId="7039" refreshError="1"/>
      <sheetData sheetId="7040" refreshError="1"/>
      <sheetData sheetId="7041" refreshError="1"/>
      <sheetData sheetId="7042" refreshError="1"/>
      <sheetData sheetId="7043" refreshError="1"/>
      <sheetData sheetId="7044" refreshError="1"/>
      <sheetData sheetId="7045" refreshError="1"/>
      <sheetData sheetId="7046" refreshError="1"/>
      <sheetData sheetId="7047" refreshError="1"/>
      <sheetData sheetId="7048" refreshError="1"/>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 sheetId="7086" refreshError="1"/>
      <sheetData sheetId="7087" refreshError="1"/>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refreshError="1"/>
      <sheetData sheetId="7143" refreshError="1"/>
      <sheetData sheetId="7144" refreshError="1"/>
      <sheetData sheetId="7145" refreshError="1"/>
      <sheetData sheetId="7146" refreshError="1"/>
      <sheetData sheetId="7147" refreshError="1"/>
      <sheetData sheetId="7148" refreshError="1"/>
      <sheetData sheetId="7149" refreshError="1"/>
      <sheetData sheetId="7150" refreshError="1"/>
      <sheetData sheetId="7151" refreshError="1"/>
      <sheetData sheetId="7152" refreshError="1"/>
      <sheetData sheetId="7153" refreshError="1"/>
      <sheetData sheetId="7154" refreshError="1"/>
      <sheetData sheetId="7155" refreshError="1"/>
      <sheetData sheetId="7156" refreshError="1"/>
      <sheetData sheetId="7157" refreshError="1"/>
      <sheetData sheetId="7158" refreshError="1"/>
      <sheetData sheetId="7159" refreshError="1"/>
      <sheetData sheetId="7160" refreshError="1"/>
      <sheetData sheetId="7161" refreshError="1"/>
      <sheetData sheetId="7162" refreshError="1"/>
      <sheetData sheetId="7163" refreshError="1"/>
      <sheetData sheetId="7164" refreshError="1"/>
      <sheetData sheetId="7165" refreshError="1"/>
      <sheetData sheetId="7166" refreshError="1"/>
      <sheetData sheetId="7167" refreshError="1"/>
      <sheetData sheetId="7168" refreshError="1"/>
      <sheetData sheetId="7169" refreshError="1"/>
      <sheetData sheetId="7170" refreshError="1"/>
      <sheetData sheetId="7171" refreshError="1"/>
      <sheetData sheetId="7172" refreshError="1"/>
      <sheetData sheetId="7173" refreshError="1"/>
      <sheetData sheetId="7174" refreshError="1"/>
      <sheetData sheetId="7175" refreshError="1"/>
      <sheetData sheetId="7176" refreshError="1"/>
      <sheetData sheetId="7177" refreshError="1"/>
      <sheetData sheetId="7178" refreshError="1"/>
      <sheetData sheetId="7179" refreshError="1"/>
      <sheetData sheetId="7180" refreshError="1"/>
      <sheetData sheetId="7181" refreshError="1"/>
      <sheetData sheetId="7182" refreshError="1"/>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refreshError="1"/>
      <sheetData sheetId="7202" refreshError="1"/>
      <sheetData sheetId="7203" refreshError="1"/>
      <sheetData sheetId="7204" refreshError="1"/>
      <sheetData sheetId="7205" refreshError="1"/>
      <sheetData sheetId="7206" refreshError="1"/>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refreshError="1"/>
      <sheetData sheetId="7234" refreshError="1"/>
      <sheetData sheetId="7235" refreshError="1"/>
      <sheetData sheetId="7236" refreshError="1"/>
      <sheetData sheetId="7237" refreshError="1"/>
      <sheetData sheetId="7238" refreshError="1"/>
      <sheetData sheetId="7239" refreshError="1"/>
      <sheetData sheetId="7240" refreshError="1"/>
      <sheetData sheetId="7241" refreshError="1"/>
      <sheetData sheetId="7242" refreshError="1"/>
      <sheetData sheetId="7243" refreshError="1"/>
      <sheetData sheetId="7244" refreshError="1"/>
      <sheetData sheetId="7245" refreshError="1"/>
      <sheetData sheetId="7246" refreshError="1"/>
      <sheetData sheetId="7247" refreshError="1"/>
      <sheetData sheetId="7248" refreshError="1"/>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refreshError="1"/>
      <sheetData sheetId="7279" refreshError="1"/>
      <sheetData sheetId="7280" refreshError="1"/>
      <sheetData sheetId="7281" refreshError="1"/>
      <sheetData sheetId="7282" refreshError="1"/>
      <sheetData sheetId="7283" refreshError="1"/>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refreshError="1"/>
      <sheetData sheetId="7333" refreshError="1"/>
      <sheetData sheetId="7334" refreshError="1"/>
      <sheetData sheetId="7335" refreshError="1"/>
      <sheetData sheetId="7336" refreshError="1"/>
      <sheetData sheetId="7337" refreshError="1"/>
      <sheetData sheetId="7338" refreshError="1"/>
      <sheetData sheetId="7339" refreshError="1"/>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refreshError="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refreshError="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refreshError="1"/>
      <sheetData sheetId="7497" refreshError="1"/>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refreshError="1"/>
      <sheetData sheetId="7512" refreshError="1"/>
      <sheetData sheetId="7513" refreshError="1"/>
      <sheetData sheetId="7514" refreshError="1"/>
      <sheetData sheetId="7515" refreshError="1"/>
      <sheetData sheetId="7516" refreshError="1"/>
      <sheetData sheetId="7517" refreshError="1"/>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refreshError="1"/>
      <sheetData sheetId="7548" refreshError="1"/>
      <sheetData sheetId="7549" refreshError="1"/>
      <sheetData sheetId="7550" refreshError="1"/>
      <sheetData sheetId="7551" refreshError="1"/>
      <sheetData sheetId="7552" refreshError="1"/>
      <sheetData sheetId="7553" refreshError="1"/>
      <sheetData sheetId="7554" refreshError="1"/>
      <sheetData sheetId="7555" refreshError="1"/>
      <sheetData sheetId="7556" refreshError="1"/>
      <sheetData sheetId="7557" refreshError="1"/>
      <sheetData sheetId="7558" refreshError="1"/>
      <sheetData sheetId="7559" refreshError="1"/>
      <sheetData sheetId="7560" refreshError="1"/>
      <sheetData sheetId="7561" refreshError="1"/>
      <sheetData sheetId="7562" refreshError="1"/>
      <sheetData sheetId="7563" refreshError="1"/>
      <sheetData sheetId="7564" refreshError="1"/>
      <sheetData sheetId="7565" refreshError="1"/>
      <sheetData sheetId="7566" refreshError="1"/>
      <sheetData sheetId="7567" refreshError="1"/>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refreshError="1"/>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refreshError="1"/>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refreshError="1"/>
      <sheetData sheetId="7616" refreshError="1"/>
      <sheetData sheetId="7617" refreshError="1"/>
      <sheetData sheetId="7618" refreshError="1"/>
      <sheetData sheetId="7619" refreshError="1"/>
      <sheetData sheetId="7620" refreshError="1"/>
      <sheetData sheetId="7621" refreshError="1"/>
      <sheetData sheetId="7622" refreshError="1"/>
      <sheetData sheetId="7623" refreshError="1"/>
      <sheetData sheetId="7624" refreshError="1"/>
      <sheetData sheetId="7625" refreshError="1"/>
      <sheetData sheetId="7626" refreshError="1"/>
      <sheetData sheetId="7627" refreshError="1"/>
      <sheetData sheetId="7628" refreshError="1"/>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refreshError="1"/>
      <sheetData sheetId="7638" refreshError="1"/>
      <sheetData sheetId="7639" refreshError="1"/>
      <sheetData sheetId="7640" refreshError="1"/>
      <sheetData sheetId="7641" refreshError="1"/>
      <sheetData sheetId="7642" refreshError="1"/>
      <sheetData sheetId="7643" refreshError="1"/>
      <sheetData sheetId="7644" refreshError="1"/>
      <sheetData sheetId="7645" refreshError="1"/>
      <sheetData sheetId="7646" refreshError="1"/>
      <sheetData sheetId="7647" refreshError="1"/>
      <sheetData sheetId="7648" refreshError="1"/>
      <sheetData sheetId="7649" refreshError="1"/>
      <sheetData sheetId="7650" refreshError="1"/>
      <sheetData sheetId="7651" refreshError="1"/>
      <sheetData sheetId="7652" refreshError="1"/>
      <sheetData sheetId="7653" refreshError="1"/>
      <sheetData sheetId="7654" refreshError="1"/>
      <sheetData sheetId="7655" refreshError="1"/>
      <sheetData sheetId="7656" refreshError="1"/>
      <sheetData sheetId="7657" refreshError="1"/>
      <sheetData sheetId="7658" refreshError="1"/>
      <sheetData sheetId="7659" refreshError="1"/>
      <sheetData sheetId="7660" refreshError="1"/>
      <sheetData sheetId="7661" refreshError="1"/>
      <sheetData sheetId="7662" refreshError="1"/>
      <sheetData sheetId="7663" refreshError="1"/>
      <sheetData sheetId="7664" refreshError="1"/>
      <sheetData sheetId="7665" refreshError="1"/>
      <sheetData sheetId="7666" refreshError="1"/>
      <sheetData sheetId="7667" refreshError="1"/>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efreshError="1"/>
      <sheetData sheetId="7689" refreshError="1"/>
      <sheetData sheetId="7690" refreshError="1"/>
      <sheetData sheetId="7691" refreshError="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 sheetId="7751" refreshError="1"/>
      <sheetData sheetId="7752" refreshError="1"/>
      <sheetData sheetId="7753" refreshError="1"/>
      <sheetData sheetId="7754" refreshError="1"/>
      <sheetData sheetId="7755" refreshError="1"/>
      <sheetData sheetId="7756" refreshError="1"/>
      <sheetData sheetId="7757" refreshError="1"/>
      <sheetData sheetId="7758" refreshError="1"/>
      <sheetData sheetId="7759" refreshError="1"/>
      <sheetData sheetId="7760" refreshError="1"/>
      <sheetData sheetId="7761" refreshError="1"/>
      <sheetData sheetId="7762" refreshError="1"/>
      <sheetData sheetId="7763" refreshError="1"/>
      <sheetData sheetId="7764" refreshError="1"/>
      <sheetData sheetId="7765" refreshError="1"/>
      <sheetData sheetId="7766" refreshError="1"/>
      <sheetData sheetId="7767" refreshError="1"/>
      <sheetData sheetId="7768" refreshError="1"/>
      <sheetData sheetId="7769" refreshError="1"/>
      <sheetData sheetId="7770" refreshError="1"/>
      <sheetData sheetId="7771" refreshError="1"/>
      <sheetData sheetId="7772" refreshError="1"/>
      <sheetData sheetId="7773" refreshError="1"/>
      <sheetData sheetId="7774" refreshError="1"/>
      <sheetData sheetId="7775" refreshError="1"/>
      <sheetData sheetId="7776" refreshError="1"/>
      <sheetData sheetId="7777" refreshError="1"/>
      <sheetData sheetId="7778" refreshError="1"/>
      <sheetData sheetId="7779" refreshError="1"/>
      <sheetData sheetId="7780" refreshError="1"/>
      <sheetData sheetId="7781" refreshError="1"/>
      <sheetData sheetId="7782" refreshError="1"/>
      <sheetData sheetId="7783" refreshError="1"/>
      <sheetData sheetId="7784" refreshError="1"/>
      <sheetData sheetId="7785" refreshError="1"/>
      <sheetData sheetId="7786" refreshError="1"/>
      <sheetData sheetId="7787" refreshError="1"/>
      <sheetData sheetId="7788" refreshError="1"/>
      <sheetData sheetId="7789" refreshError="1"/>
      <sheetData sheetId="7790" refreshError="1"/>
      <sheetData sheetId="7791" refreshError="1"/>
      <sheetData sheetId="7792" refreshError="1"/>
      <sheetData sheetId="7793" refreshError="1"/>
      <sheetData sheetId="7794" refreshError="1"/>
      <sheetData sheetId="7795" refreshError="1"/>
      <sheetData sheetId="7796" refreshError="1"/>
      <sheetData sheetId="7797" refreshError="1"/>
      <sheetData sheetId="7798" refreshError="1"/>
      <sheetData sheetId="7799" refreshError="1"/>
      <sheetData sheetId="7800" refreshError="1"/>
      <sheetData sheetId="7801" refreshError="1"/>
      <sheetData sheetId="7802" refreshError="1"/>
      <sheetData sheetId="7803" refreshError="1"/>
      <sheetData sheetId="7804" refreshError="1"/>
      <sheetData sheetId="7805" refreshError="1"/>
      <sheetData sheetId="7806" refreshError="1"/>
      <sheetData sheetId="7807" refreshError="1"/>
      <sheetData sheetId="7808" refreshError="1"/>
      <sheetData sheetId="7809" refreshError="1"/>
      <sheetData sheetId="7810" refreshError="1"/>
      <sheetData sheetId="7811" refreshError="1"/>
      <sheetData sheetId="7812" refreshError="1"/>
      <sheetData sheetId="7813" refreshError="1"/>
      <sheetData sheetId="7814" refreshError="1"/>
      <sheetData sheetId="7815" refreshError="1"/>
      <sheetData sheetId="7816" refreshError="1"/>
      <sheetData sheetId="7817" refreshError="1"/>
      <sheetData sheetId="7818" refreshError="1"/>
      <sheetData sheetId="7819" refreshError="1"/>
      <sheetData sheetId="7820" refreshError="1"/>
      <sheetData sheetId="7821" refreshError="1"/>
      <sheetData sheetId="7822" refreshError="1"/>
      <sheetData sheetId="7823" refreshError="1"/>
      <sheetData sheetId="7824" refreshError="1"/>
      <sheetData sheetId="7825" refreshError="1"/>
      <sheetData sheetId="7826" refreshError="1"/>
      <sheetData sheetId="7827" refreshError="1"/>
      <sheetData sheetId="7828" refreshError="1"/>
      <sheetData sheetId="7829" refreshError="1"/>
      <sheetData sheetId="7830" refreshError="1"/>
      <sheetData sheetId="7831" refreshError="1"/>
      <sheetData sheetId="7832" refreshError="1"/>
      <sheetData sheetId="7833" refreshError="1"/>
      <sheetData sheetId="7834" refreshError="1"/>
      <sheetData sheetId="7835" refreshError="1"/>
      <sheetData sheetId="7836" refreshError="1"/>
      <sheetData sheetId="7837" refreshError="1"/>
      <sheetData sheetId="7838" refreshError="1"/>
      <sheetData sheetId="7839" refreshError="1"/>
      <sheetData sheetId="7840" refreshError="1"/>
      <sheetData sheetId="7841" refreshError="1"/>
      <sheetData sheetId="7842" refreshError="1"/>
      <sheetData sheetId="7843" refreshError="1"/>
      <sheetData sheetId="7844" refreshError="1"/>
      <sheetData sheetId="7845" refreshError="1"/>
      <sheetData sheetId="7846" refreshError="1"/>
      <sheetData sheetId="7847" refreshError="1"/>
      <sheetData sheetId="7848" refreshError="1"/>
      <sheetData sheetId="7849" refreshError="1"/>
      <sheetData sheetId="7850" refreshError="1"/>
      <sheetData sheetId="7851" refreshError="1"/>
      <sheetData sheetId="7852" refreshError="1"/>
      <sheetData sheetId="7853" refreshError="1"/>
      <sheetData sheetId="7854" refreshError="1"/>
      <sheetData sheetId="7855" refreshError="1"/>
      <sheetData sheetId="7856" refreshError="1"/>
      <sheetData sheetId="7857" refreshError="1"/>
      <sheetData sheetId="7858" refreshError="1"/>
      <sheetData sheetId="7859" refreshError="1"/>
      <sheetData sheetId="7860" refreshError="1"/>
      <sheetData sheetId="7861" refreshError="1"/>
      <sheetData sheetId="7862" refreshError="1"/>
      <sheetData sheetId="7863" refreshError="1"/>
      <sheetData sheetId="7864" refreshError="1"/>
      <sheetData sheetId="7865" refreshError="1"/>
      <sheetData sheetId="7866" refreshError="1"/>
      <sheetData sheetId="7867" refreshError="1"/>
      <sheetData sheetId="7868" refreshError="1"/>
      <sheetData sheetId="7869" refreshError="1"/>
      <sheetData sheetId="7870" refreshError="1"/>
      <sheetData sheetId="7871" refreshError="1"/>
      <sheetData sheetId="7872" refreshError="1"/>
      <sheetData sheetId="7873" refreshError="1"/>
      <sheetData sheetId="7874" refreshError="1"/>
      <sheetData sheetId="7875" refreshError="1"/>
      <sheetData sheetId="7876" refreshError="1"/>
      <sheetData sheetId="7877" refreshError="1"/>
      <sheetData sheetId="7878" refreshError="1"/>
      <sheetData sheetId="7879" refreshError="1"/>
      <sheetData sheetId="7880" refreshError="1"/>
      <sheetData sheetId="7881" refreshError="1"/>
      <sheetData sheetId="7882" refreshError="1"/>
      <sheetData sheetId="7883" refreshError="1"/>
      <sheetData sheetId="7884" refreshError="1"/>
      <sheetData sheetId="7885" refreshError="1"/>
      <sheetData sheetId="7886" refreshError="1"/>
      <sheetData sheetId="7887" refreshError="1"/>
      <sheetData sheetId="7888" refreshError="1"/>
      <sheetData sheetId="7889" refreshError="1"/>
      <sheetData sheetId="7890" refreshError="1"/>
      <sheetData sheetId="7891" refreshError="1"/>
      <sheetData sheetId="7892" refreshError="1"/>
      <sheetData sheetId="7893" refreshError="1"/>
      <sheetData sheetId="7894" refreshError="1"/>
      <sheetData sheetId="7895" refreshError="1"/>
      <sheetData sheetId="7896" refreshError="1"/>
      <sheetData sheetId="7897" refreshError="1"/>
      <sheetData sheetId="7898" refreshError="1"/>
      <sheetData sheetId="7899" refreshError="1"/>
      <sheetData sheetId="7900" refreshError="1"/>
      <sheetData sheetId="7901" refreshError="1"/>
      <sheetData sheetId="7902" refreshError="1"/>
      <sheetData sheetId="7903" refreshError="1"/>
      <sheetData sheetId="7904" refreshError="1"/>
      <sheetData sheetId="7905" refreshError="1"/>
      <sheetData sheetId="7906" refreshError="1"/>
      <sheetData sheetId="7907" refreshError="1"/>
      <sheetData sheetId="7908" refreshError="1"/>
      <sheetData sheetId="7909" refreshError="1"/>
      <sheetData sheetId="7910" refreshError="1"/>
      <sheetData sheetId="7911" refreshError="1"/>
      <sheetData sheetId="7912" refreshError="1"/>
      <sheetData sheetId="7913" refreshError="1"/>
      <sheetData sheetId="7914" refreshError="1"/>
      <sheetData sheetId="7915" refreshError="1"/>
      <sheetData sheetId="7916" refreshError="1"/>
      <sheetData sheetId="7917" refreshError="1"/>
      <sheetData sheetId="7918" refreshError="1"/>
      <sheetData sheetId="7919" refreshError="1"/>
      <sheetData sheetId="7920" refreshError="1"/>
      <sheetData sheetId="7921" refreshError="1"/>
      <sheetData sheetId="7922" refreshError="1"/>
      <sheetData sheetId="7923" refreshError="1"/>
      <sheetData sheetId="7924" refreshError="1"/>
      <sheetData sheetId="7925" refreshError="1"/>
      <sheetData sheetId="7926" refreshError="1"/>
      <sheetData sheetId="7927" refreshError="1"/>
      <sheetData sheetId="7928" refreshError="1"/>
      <sheetData sheetId="7929" refreshError="1"/>
      <sheetData sheetId="7930" refreshError="1"/>
      <sheetData sheetId="7931" refreshError="1"/>
      <sheetData sheetId="7932" refreshError="1"/>
      <sheetData sheetId="7933" refreshError="1"/>
      <sheetData sheetId="7934" refreshError="1"/>
      <sheetData sheetId="7935" refreshError="1"/>
      <sheetData sheetId="7936" refreshError="1"/>
      <sheetData sheetId="7937" refreshError="1"/>
      <sheetData sheetId="7938" refreshError="1"/>
      <sheetData sheetId="7939" refreshError="1"/>
      <sheetData sheetId="7940" refreshError="1"/>
      <sheetData sheetId="7941" refreshError="1"/>
      <sheetData sheetId="7942" refreshError="1"/>
      <sheetData sheetId="7943" refreshError="1"/>
      <sheetData sheetId="7944" refreshError="1"/>
      <sheetData sheetId="7945" refreshError="1"/>
      <sheetData sheetId="7946" refreshError="1"/>
      <sheetData sheetId="7947" refreshError="1"/>
      <sheetData sheetId="7948" refreshError="1"/>
      <sheetData sheetId="7949" refreshError="1"/>
      <sheetData sheetId="7950" refreshError="1"/>
      <sheetData sheetId="7951" refreshError="1"/>
      <sheetData sheetId="7952" refreshError="1"/>
      <sheetData sheetId="7953" refreshError="1"/>
      <sheetData sheetId="7954" refreshError="1"/>
      <sheetData sheetId="7955" refreshError="1"/>
      <sheetData sheetId="7956" refreshError="1"/>
      <sheetData sheetId="7957" refreshError="1"/>
      <sheetData sheetId="7958" refreshError="1"/>
      <sheetData sheetId="7959" refreshError="1"/>
      <sheetData sheetId="7960" refreshError="1"/>
      <sheetData sheetId="7961" refreshError="1"/>
      <sheetData sheetId="7962" refreshError="1"/>
      <sheetData sheetId="7963" refreshError="1"/>
      <sheetData sheetId="7964" refreshError="1"/>
      <sheetData sheetId="7965" refreshError="1"/>
      <sheetData sheetId="7966" refreshError="1"/>
      <sheetData sheetId="7967" refreshError="1"/>
      <sheetData sheetId="7968" refreshError="1"/>
      <sheetData sheetId="7969" refreshError="1"/>
      <sheetData sheetId="7970" refreshError="1"/>
      <sheetData sheetId="7971" refreshError="1"/>
      <sheetData sheetId="7972" refreshError="1"/>
      <sheetData sheetId="7973" refreshError="1"/>
      <sheetData sheetId="7974" refreshError="1"/>
      <sheetData sheetId="7975" refreshError="1"/>
      <sheetData sheetId="7976" refreshError="1"/>
      <sheetData sheetId="7977" refreshError="1"/>
      <sheetData sheetId="7978" refreshError="1"/>
      <sheetData sheetId="7979" refreshError="1"/>
      <sheetData sheetId="7980" refreshError="1"/>
      <sheetData sheetId="7981" refreshError="1"/>
      <sheetData sheetId="7982" refreshError="1"/>
      <sheetData sheetId="7983" refreshError="1"/>
      <sheetData sheetId="7984" refreshError="1"/>
      <sheetData sheetId="7985" refreshError="1"/>
      <sheetData sheetId="7986" refreshError="1"/>
      <sheetData sheetId="7987" refreshError="1"/>
      <sheetData sheetId="7988" refreshError="1"/>
      <sheetData sheetId="7989" refreshError="1"/>
      <sheetData sheetId="7990" refreshError="1"/>
      <sheetData sheetId="7991" refreshError="1"/>
      <sheetData sheetId="7992" refreshError="1"/>
      <sheetData sheetId="7993" refreshError="1"/>
      <sheetData sheetId="7994" refreshError="1"/>
      <sheetData sheetId="7995" refreshError="1"/>
      <sheetData sheetId="7996" refreshError="1"/>
      <sheetData sheetId="7997" refreshError="1"/>
      <sheetData sheetId="7998" refreshError="1"/>
      <sheetData sheetId="7999" refreshError="1"/>
      <sheetData sheetId="8000" refreshError="1"/>
      <sheetData sheetId="8001" refreshError="1"/>
      <sheetData sheetId="8002" refreshError="1"/>
      <sheetData sheetId="8003" refreshError="1"/>
      <sheetData sheetId="8004" refreshError="1"/>
      <sheetData sheetId="8005" refreshError="1"/>
      <sheetData sheetId="8006" refreshError="1"/>
      <sheetData sheetId="8007" refreshError="1"/>
      <sheetData sheetId="8008" refreshError="1"/>
      <sheetData sheetId="8009" refreshError="1"/>
      <sheetData sheetId="8010" refreshError="1"/>
      <sheetData sheetId="8011" refreshError="1"/>
      <sheetData sheetId="8012" refreshError="1"/>
      <sheetData sheetId="8013" refreshError="1"/>
      <sheetData sheetId="8014" refreshError="1"/>
      <sheetData sheetId="8015" refreshError="1"/>
      <sheetData sheetId="8016" refreshError="1"/>
      <sheetData sheetId="8017" refreshError="1"/>
      <sheetData sheetId="8018" refreshError="1"/>
      <sheetData sheetId="8019" refreshError="1"/>
      <sheetData sheetId="8020" refreshError="1"/>
      <sheetData sheetId="8021" refreshError="1"/>
      <sheetData sheetId="8022" refreshError="1"/>
      <sheetData sheetId="8023" refreshError="1"/>
      <sheetData sheetId="8024" refreshError="1"/>
      <sheetData sheetId="8025" refreshError="1"/>
      <sheetData sheetId="8026" refreshError="1"/>
      <sheetData sheetId="8027" refreshError="1"/>
      <sheetData sheetId="8028" refreshError="1"/>
      <sheetData sheetId="8029" refreshError="1"/>
      <sheetData sheetId="8030" refreshError="1"/>
      <sheetData sheetId="8031" refreshError="1"/>
      <sheetData sheetId="8032" refreshError="1"/>
      <sheetData sheetId="8033" refreshError="1"/>
      <sheetData sheetId="8034" refreshError="1"/>
      <sheetData sheetId="8035" refreshError="1"/>
      <sheetData sheetId="8036" refreshError="1"/>
      <sheetData sheetId="8037" refreshError="1"/>
      <sheetData sheetId="8038" refreshError="1"/>
      <sheetData sheetId="8039" refreshError="1"/>
      <sheetData sheetId="8040" refreshError="1"/>
      <sheetData sheetId="8041" refreshError="1"/>
      <sheetData sheetId="8042" refreshError="1"/>
      <sheetData sheetId="8043" refreshError="1"/>
      <sheetData sheetId="8044" refreshError="1"/>
      <sheetData sheetId="8045" refreshError="1"/>
      <sheetData sheetId="8046" refreshError="1"/>
      <sheetData sheetId="8047" refreshError="1"/>
      <sheetData sheetId="8048" refreshError="1"/>
      <sheetData sheetId="8049" refreshError="1"/>
      <sheetData sheetId="8050" refreshError="1"/>
      <sheetData sheetId="8051" refreshError="1"/>
      <sheetData sheetId="8052" refreshError="1"/>
      <sheetData sheetId="8053" refreshError="1"/>
      <sheetData sheetId="8054" refreshError="1"/>
      <sheetData sheetId="8055" refreshError="1"/>
      <sheetData sheetId="8056" refreshError="1"/>
      <sheetData sheetId="8057" refreshError="1"/>
      <sheetData sheetId="8058" refreshError="1"/>
      <sheetData sheetId="8059" refreshError="1"/>
      <sheetData sheetId="8060" refreshError="1"/>
      <sheetData sheetId="8061" refreshError="1"/>
      <sheetData sheetId="8062" refreshError="1"/>
      <sheetData sheetId="8063" refreshError="1"/>
      <sheetData sheetId="8064" refreshError="1"/>
      <sheetData sheetId="8065" refreshError="1"/>
      <sheetData sheetId="8066" refreshError="1"/>
      <sheetData sheetId="8067" refreshError="1"/>
      <sheetData sheetId="8068" refreshError="1"/>
      <sheetData sheetId="8069" refreshError="1"/>
      <sheetData sheetId="8070" refreshError="1"/>
      <sheetData sheetId="8071" refreshError="1"/>
      <sheetData sheetId="8072" refreshError="1"/>
      <sheetData sheetId="8073" refreshError="1"/>
      <sheetData sheetId="8074" refreshError="1"/>
      <sheetData sheetId="8075" refreshError="1"/>
      <sheetData sheetId="8076" refreshError="1"/>
      <sheetData sheetId="8077" refreshError="1"/>
      <sheetData sheetId="8078" refreshError="1"/>
      <sheetData sheetId="8079" refreshError="1"/>
      <sheetData sheetId="8080" refreshError="1"/>
      <sheetData sheetId="8081" refreshError="1"/>
      <sheetData sheetId="8082" refreshError="1"/>
      <sheetData sheetId="8083" refreshError="1"/>
      <sheetData sheetId="8084" refreshError="1"/>
      <sheetData sheetId="8085" refreshError="1"/>
      <sheetData sheetId="8086" refreshError="1"/>
      <sheetData sheetId="8087" refreshError="1"/>
      <sheetData sheetId="8088" refreshError="1"/>
      <sheetData sheetId="8089" refreshError="1"/>
      <sheetData sheetId="8090" refreshError="1"/>
      <sheetData sheetId="8091" refreshError="1"/>
      <sheetData sheetId="8092" refreshError="1"/>
      <sheetData sheetId="8093" refreshError="1"/>
      <sheetData sheetId="8094" refreshError="1"/>
      <sheetData sheetId="8095" refreshError="1"/>
      <sheetData sheetId="8096" refreshError="1"/>
      <sheetData sheetId="8097" refreshError="1"/>
      <sheetData sheetId="8098" refreshError="1"/>
      <sheetData sheetId="8099" refreshError="1"/>
      <sheetData sheetId="8100" refreshError="1"/>
      <sheetData sheetId="8101" refreshError="1"/>
      <sheetData sheetId="8102" refreshError="1"/>
      <sheetData sheetId="8103" refreshError="1"/>
      <sheetData sheetId="8104" refreshError="1"/>
      <sheetData sheetId="8105" refreshError="1"/>
      <sheetData sheetId="8106" refreshError="1"/>
      <sheetData sheetId="8107" refreshError="1"/>
      <sheetData sheetId="8108" refreshError="1"/>
      <sheetData sheetId="8109" refreshError="1"/>
      <sheetData sheetId="8110" refreshError="1"/>
      <sheetData sheetId="8111" refreshError="1"/>
      <sheetData sheetId="8112" refreshError="1"/>
      <sheetData sheetId="8113" refreshError="1"/>
      <sheetData sheetId="8114" refreshError="1"/>
      <sheetData sheetId="8115" refreshError="1"/>
      <sheetData sheetId="8116" refreshError="1"/>
      <sheetData sheetId="8117" refreshError="1"/>
      <sheetData sheetId="8118" refreshError="1"/>
      <sheetData sheetId="8119" refreshError="1"/>
      <sheetData sheetId="8120" refreshError="1"/>
      <sheetData sheetId="8121" refreshError="1"/>
      <sheetData sheetId="8122" refreshError="1"/>
      <sheetData sheetId="8123" refreshError="1"/>
      <sheetData sheetId="8124" refreshError="1"/>
      <sheetData sheetId="8125" refreshError="1"/>
      <sheetData sheetId="8126" refreshError="1"/>
      <sheetData sheetId="8127" refreshError="1"/>
      <sheetData sheetId="8128" refreshError="1"/>
      <sheetData sheetId="8129" refreshError="1"/>
      <sheetData sheetId="8130" refreshError="1"/>
      <sheetData sheetId="8131" refreshError="1"/>
      <sheetData sheetId="8132" refreshError="1"/>
      <sheetData sheetId="8133" refreshError="1"/>
      <sheetData sheetId="8134" refreshError="1"/>
      <sheetData sheetId="8135" refreshError="1"/>
      <sheetData sheetId="8136" refreshError="1"/>
      <sheetData sheetId="8137" refreshError="1"/>
      <sheetData sheetId="8138" refreshError="1"/>
      <sheetData sheetId="8139" refreshError="1"/>
      <sheetData sheetId="8140" refreshError="1"/>
      <sheetData sheetId="8141" refreshError="1"/>
      <sheetData sheetId="8142" refreshError="1"/>
      <sheetData sheetId="8143" refreshError="1"/>
      <sheetData sheetId="8144" refreshError="1"/>
      <sheetData sheetId="8145" refreshError="1"/>
      <sheetData sheetId="8146" refreshError="1"/>
      <sheetData sheetId="8147" refreshError="1"/>
      <sheetData sheetId="8148" refreshError="1"/>
      <sheetData sheetId="8149" refreshError="1"/>
      <sheetData sheetId="8150" refreshError="1"/>
      <sheetData sheetId="8151" refreshError="1"/>
      <sheetData sheetId="8152" refreshError="1"/>
      <sheetData sheetId="8153" refreshError="1"/>
      <sheetData sheetId="8154" refreshError="1"/>
      <sheetData sheetId="8155" refreshError="1"/>
      <sheetData sheetId="8156" refreshError="1"/>
      <sheetData sheetId="8157" refreshError="1"/>
      <sheetData sheetId="8158" refreshError="1"/>
      <sheetData sheetId="8159" refreshError="1"/>
      <sheetData sheetId="8160" refreshError="1"/>
      <sheetData sheetId="8161" refreshError="1"/>
      <sheetData sheetId="8162" refreshError="1"/>
      <sheetData sheetId="8163" refreshError="1"/>
      <sheetData sheetId="8164" refreshError="1"/>
      <sheetData sheetId="8165" refreshError="1"/>
      <sheetData sheetId="8166" refreshError="1"/>
      <sheetData sheetId="8167" refreshError="1"/>
      <sheetData sheetId="8168" refreshError="1"/>
      <sheetData sheetId="8169" refreshError="1"/>
      <sheetData sheetId="8170" refreshError="1"/>
      <sheetData sheetId="8171" refreshError="1"/>
      <sheetData sheetId="8172" refreshError="1"/>
      <sheetData sheetId="8173" refreshError="1"/>
      <sheetData sheetId="8174" refreshError="1"/>
      <sheetData sheetId="8175" refreshError="1"/>
      <sheetData sheetId="8176" refreshError="1"/>
      <sheetData sheetId="8177" refreshError="1"/>
      <sheetData sheetId="8178" refreshError="1"/>
      <sheetData sheetId="8179" refreshError="1"/>
      <sheetData sheetId="8180" refreshError="1"/>
      <sheetData sheetId="8181" refreshError="1"/>
      <sheetData sheetId="8182" refreshError="1"/>
      <sheetData sheetId="8183" refreshError="1"/>
      <sheetData sheetId="8184" refreshError="1"/>
      <sheetData sheetId="8185" refreshError="1"/>
      <sheetData sheetId="8186" refreshError="1"/>
      <sheetData sheetId="8187" refreshError="1"/>
      <sheetData sheetId="8188" refreshError="1"/>
      <sheetData sheetId="8189" refreshError="1"/>
      <sheetData sheetId="8190" refreshError="1"/>
      <sheetData sheetId="8191" refreshError="1"/>
      <sheetData sheetId="8192" refreshError="1"/>
      <sheetData sheetId="8193" refreshError="1"/>
      <sheetData sheetId="8194" refreshError="1"/>
      <sheetData sheetId="8195" refreshError="1"/>
      <sheetData sheetId="8196" refreshError="1"/>
      <sheetData sheetId="8197" refreshError="1"/>
      <sheetData sheetId="8198" refreshError="1"/>
      <sheetData sheetId="8199" refreshError="1"/>
      <sheetData sheetId="8200" refreshError="1"/>
      <sheetData sheetId="8201" refreshError="1"/>
      <sheetData sheetId="8202" refreshError="1"/>
      <sheetData sheetId="8203" refreshError="1"/>
      <sheetData sheetId="8204" refreshError="1"/>
      <sheetData sheetId="8205" refreshError="1"/>
      <sheetData sheetId="8206" refreshError="1"/>
      <sheetData sheetId="8207" refreshError="1"/>
      <sheetData sheetId="8208" refreshError="1"/>
      <sheetData sheetId="8209" refreshError="1"/>
      <sheetData sheetId="8210" refreshError="1"/>
      <sheetData sheetId="8211" refreshError="1"/>
      <sheetData sheetId="8212" refreshError="1"/>
      <sheetData sheetId="8213" refreshError="1"/>
      <sheetData sheetId="8214" refreshError="1"/>
      <sheetData sheetId="8215" refreshError="1"/>
      <sheetData sheetId="8216" refreshError="1"/>
      <sheetData sheetId="8217" refreshError="1"/>
      <sheetData sheetId="8218" refreshError="1"/>
      <sheetData sheetId="8219" refreshError="1"/>
      <sheetData sheetId="8220" refreshError="1"/>
      <sheetData sheetId="8221" refreshError="1"/>
      <sheetData sheetId="8222" refreshError="1"/>
      <sheetData sheetId="8223" refreshError="1"/>
      <sheetData sheetId="8224" refreshError="1"/>
      <sheetData sheetId="8225" refreshError="1"/>
      <sheetData sheetId="8226" refreshError="1"/>
      <sheetData sheetId="8227" refreshError="1"/>
      <sheetData sheetId="8228" refreshError="1"/>
      <sheetData sheetId="8229" refreshError="1"/>
      <sheetData sheetId="8230" refreshError="1"/>
      <sheetData sheetId="8231" refreshError="1"/>
      <sheetData sheetId="8232" refreshError="1"/>
      <sheetData sheetId="8233" refreshError="1"/>
      <sheetData sheetId="8234" refreshError="1"/>
      <sheetData sheetId="8235" refreshError="1"/>
      <sheetData sheetId="8236" refreshError="1"/>
      <sheetData sheetId="8237" refreshError="1"/>
      <sheetData sheetId="8238" refreshError="1"/>
      <sheetData sheetId="8239" refreshError="1"/>
      <sheetData sheetId="8240" refreshError="1"/>
      <sheetData sheetId="8241" refreshError="1"/>
      <sheetData sheetId="8242" refreshError="1"/>
      <sheetData sheetId="8243" refreshError="1"/>
      <sheetData sheetId="8244" refreshError="1"/>
      <sheetData sheetId="8245" refreshError="1"/>
      <sheetData sheetId="8246" refreshError="1"/>
      <sheetData sheetId="8247" refreshError="1"/>
      <sheetData sheetId="8248" refreshError="1"/>
      <sheetData sheetId="8249" refreshError="1"/>
      <sheetData sheetId="8250" refreshError="1"/>
      <sheetData sheetId="8251" refreshError="1"/>
      <sheetData sheetId="8252" refreshError="1"/>
      <sheetData sheetId="8253" refreshError="1"/>
      <sheetData sheetId="8254" refreshError="1"/>
      <sheetData sheetId="8255" refreshError="1"/>
      <sheetData sheetId="8256" refreshError="1"/>
      <sheetData sheetId="8257" refreshError="1"/>
      <sheetData sheetId="8258" refreshError="1"/>
      <sheetData sheetId="8259" refreshError="1"/>
      <sheetData sheetId="8260" refreshError="1"/>
      <sheetData sheetId="8261" refreshError="1"/>
      <sheetData sheetId="8262" refreshError="1"/>
      <sheetData sheetId="8263" refreshError="1"/>
      <sheetData sheetId="8264" refreshError="1"/>
      <sheetData sheetId="8265" refreshError="1"/>
      <sheetData sheetId="8266" refreshError="1"/>
      <sheetData sheetId="8267" refreshError="1"/>
      <sheetData sheetId="8268" refreshError="1"/>
      <sheetData sheetId="8269" refreshError="1"/>
      <sheetData sheetId="8270" refreshError="1"/>
      <sheetData sheetId="8271" refreshError="1"/>
      <sheetData sheetId="8272" refreshError="1"/>
      <sheetData sheetId="8273" refreshError="1"/>
      <sheetData sheetId="8274" refreshError="1"/>
      <sheetData sheetId="8275" refreshError="1"/>
      <sheetData sheetId="8276" refreshError="1"/>
      <sheetData sheetId="8277" refreshError="1"/>
      <sheetData sheetId="8278" refreshError="1"/>
      <sheetData sheetId="8279" refreshError="1"/>
      <sheetData sheetId="8280" refreshError="1"/>
      <sheetData sheetId="8281" refreshError="1"/>
      <sheetData sheetId="8282" refreshError="1"/>
      <sheetData sheetId="8283" refreshError="1"/>
      <sheetData sheetId="8284" refreshError="1"/>
      <sheetData sheetId="8285" refreshError="1"/>
      <sheetData sheetId="8286" refreshError="1"/>
      <sheetData sheetId="8287" refreshError="1"/>
      <sheetData sheetId="8288" refreshError="1"/>
      <sheetData sheetId="8289" refreshError="1"/>
      <sheetData sheetId="8290" refreshError="1"/>
      <sheetData sheetId="8291" refreshError="1"/>
      <sheetData sheetId="8292" refreshError="1"/>
      <sheetData sheetId="8293" refreshError="1"/>
      <sheetData sheetId="8294" refreshError="1"/>
      <sheetData sheetId="8295" refreshError="1"/>
      <sheetData sheetId="8296" refreshError="1"/>
      <sheetData sheetId="8297" refreshError="1"/>
      <sheetData sheetId="8298" refreshError="1"/>
      <sheetData sheetId="8299" refreshError="1"/>
      <sheetData sheetId="8300" refreshError="1"/>
      <sheetData sheetId="8301" refreshError="1"/>
      <sheetData sheetId="8302" refreshError="1"/>
      <sheetData sheetId="8303" refreshError="1"/>
      <sheetData sheetId="8304" refreshError="1"/>
      <sheetData sheetId="8305" refreshError="1"/>
      <sheetData sheetId="8306" refreshError="1"/>
      <sheetData sheetId="8307" refreshError="1"/>
      <sheetData sheetId="8308" refreshError="1"/>
      <sheetData sheetId="8309" refreshError="1"/>
      <sheetData sheetId="8310" refreshError="1"/>
      <sheetData sheetId="8311" refreshError="1"/>
      <sheetData sheetId="8312" refreshError="1"/>
      <sheetData sheetId="8313" refreshError="1"/>
      <sheetData sheetId="8314" refreshError="1"/>
      <sheetData sheetId="8315" refreshError="1"/>
      <sheetData sheetId="8316" refreshError="1"/>
      <sheetData sheetId="8317" refreshError="1"/>
      <sheetData sheetId="8318" refreshError="1"/>
      <sheetData sheetId="8319" refreshError="1"/>
      <sheetData sheetId="8320" refreshError="1"/>
      <sheetData sheetId="8321" refreshError="1"/>
      <sheetData sheetId="8322" refreshError="1"/>
      <sheetData sheetId="8323" refreshError="1"/>
      <sheetData sheetId="8324" refreshError="1"/>
      <sheetData sheetId="8325" refreshError="1"/>
      <sheetData sheetId="8326" refreshError="1"/>
      <sheetData sheetId="8327" refreshError="1"/>
      <sheetData sheetId="8328" refreshError="1"/>
      <sheetData sheetId="8329" refreshError="1"/>
      <sheetData sheetId="8330" refreshError="1"/>
      <sheetData sheetId="8331" refreshError="1"/>
      <sheetData sheetId="8332" refreshError="1"/>
      <sheetData sheetId="8333" refreshError="1"/>
      <sheetData sheetId="8334" refreshError="1"/>
      <sheetData sheetId="8335" refreshError="1"/>
      <sheetData sheetId="8336" refreshError="1"/>
      <sheetData sheetId="8337" refreshError="1"/>
      <sheetData sheetId="8338" refreshError="1"/>
      <sheetData sheetId="8339" refreshError="1"/>
      <sheetData sheetId="8340" refreshError="1"/>
      <sheetData sheetId="8341" refreshError="1"/>
      <sheetData sheetId="8342" refreshError="1"/>
      <sheetData sheetId="8343" refreshError="1"/>
      <sheetData sheetId="8344" refreshError="1"/>
      <sheetData sheetId="8345" refreshError="1"/>
      <sheetData sheetId="8346" refreshError="1"/>
      <sheetData sheetId="8347" refreshError="1"/>
      <sheetData sheetId="8348" refreshError="1"/>
      <sheetData sheetId="8349" refreshError="1"/>
      <sheetData sheetId="8350" refreshError="1"/>
      <sheetData sheetId="8351" refreshError="1"/>
      <sheetData sheetId="8352" refreshError="1"/>
      <sheetData sheetId="8353" refreshError="1"/>
      <sheetData sheetId="8354" refreshError="1"/>
      <sheetData sheetId="8355" refreshError="1"/>
      <sheetData sheetId="8356" refreshError="1"/>
      <sheetData sheetId="8357" refreshError="1"/>
      <sheetData sheetId="8358" refreshError="1"/>
      <sheetData sheetId="8359" refreshError="1"/>
      <sheetData sheetId="8360" refreshError="1"/>
      <sheetData sheetId="8361" refreshError="1"/>
      <sheetData sheetId="8362" refreshError="1"/>
      <sheetData sheetId="8363" refreshError="1"/>
      <sheetData sheetId="8364" refreshError="1"/>
      <sheetData sheetId="8365" refreshError="1"/>
      <sheetData sheetId="8366" refreshError="1"/>
      <sheetData sheetId="8367" refreshError="1"/>
      <sheetData sheetId="8368" refreshError="1"/>
      <sheetData sheetId="8369" refreshError="1"/>
      <sheetData sheetId="8370" refreshError="1"/>
      <sheetData sheetId="8371" refreshError="1"/>
      <sheetData sheetId="8372" refreshError="1"/>
      <sheetData sheetId="8373" refreshError="1"/>
      <sheetData sheetId="8374" refreshError="1"/>
      <sheetData sheetId="8375" refreshError="1"/>
      <sheetData sheetId="8376" refreshError="1"/>
      <sheetData sheetId="8377" refreshError="1"/>
      <sheetData sheetId="8378" refreshError="1"/>
      <sheetData sheetId="8379" refreshError="1"/>
      <sheetData sheetId="8380" refreshError="1"/>
      <sheetData sheetId="8381" refreshError="1"/>
      <sheetData sheetId="8382" refreshError="1"/>
      <sheetData sheetId="8383" refreshError="1"/>
      <sheetData sheetId="8384" refreshError="1"/>
      <sheetData sheetId="8385" refreshError="1"/>
      <sheetData sheetId="8386" refreshError="1"/>
      <sheetData sheetId="8387" refreshError="1"/>
      <sheetData sheetId="8388" refreshError="1"/>
      <sheetData sheetId="8389" refreshError="1"/>
      <sheetData sheetId="8390" refreshError="1"/>
      <sheetData sheetId="8391" refreshError="1"/>
      <sheetData sheetId="8392" refreshError="1"/>
      <sheetData sheetId="8393" refreshError="1"/>
      <sheetData sheetId="8394" refreshError="1"/>
      <sheetData sheetId="8395" refreshError="1"/>
      <sheetData sheetId="8396" refreshError="1"/>
      <sheetData sheetId="8397" refreshError="1"/>
      <sheetData sheetId="8398" refreshError="1"/>
      <sheetData sheetId="8399" refreshError="1"/>
      <sheetData sheetId="8400" refreshError="1"/>
      <sheetData sheetId="8401" refreshError="1"/>
      <sheetData sheetId="8402" refreshError="1"/>
      <sheetData sheetId="8403" refreshError="1"/>
      <sheetData sheetId="8404" refreshError="1"/>
      <sheetData sheetId="8405" refreshError="1"/>
      <sheetData sheetId="8406" refreshError="1"/>
      <sheetData sheetId="8407" refreshError="1"/>
      <sheetData sheetId="8408" refreshError="1"/>
      <sheetData sheetId="8409" refreshError="1"/>
      <sheetData sheetId="8410" refreshError="1"/>
      <sheetData sheetId="8411" refreshError="1"/>
      <sheetData sheetId="8412" refreshError="1"/>
      <sheetData sheetId="8413" refreshError="1"/>
      <sheetData sheetId="8414" refreshError="1"/>
      <sheetData sheetId="8415" refreshError="1"/>
      <sheetData sheetId="8416" refreshError="1"/>
      <sheetData sheetId="8417" refreshError="1"/>
      <sheetData sheetId="8418" refreshError="1"/>
      <sheetData sheetId="8419" refreshError="1"/>
      <sheetData sheetId="8420" refreshError="1"/>
      <sheetData sheetId="8421" refreshError="1"/>
      <sheetData sheetId="8422" refreshError="1"/>
      <sheetData sheetId="8423" refreshError="1"/>
      <sheetData sheetId="8424" refreshError="1"/>
      <sheetData sheetId="8425" refreshError="1"/>
      <sheetData sheetId="8426" refreshError="1"/>
      <sheetData sheetId="8427" refreshError="1"/>
      <sheetData sheetId="8428" refreshError="1"/>
      <sheetData sheetId="8429" refreshError="1"/>
      <sheetData sheetId="8430" refreshError="1"/>
      <sheetData sheetId="8431" refreshError="1"/>
      <sheetData sheetId="8432" refreshError="1"/>
      <sheetData sheetId="8433" refreshError="1"/>
      <sheetData sheetId="8434" refreshError="1"/>
      <sheetData sheetId="8435" refreshError="1"/>
      <sheetData sheetId="8436" refreshError="1"/>
      <sheetData sheetId="8437" refreshError="1"/>
      <sheetData sheetId="8438" refreshError="1"/>
      <sheetData sheetId="8439" refreshError="1"/>
      <sheetData sheetId="8440" refreshError="1"/>
      <sheetData sheetId="8441" refreshError="1"/>
      <sheetData sheetId="8442" refreshError="1"/>
      <sheetData sheetId="8443" refreshError="1"/>
      <sheetData sheetId="8444" refreshError="1"/>
      <sheetData sheetId="8445" refreshError="1"/>
      <sheetData sheetId="8446" refreshError="1"/>
      <sheetData sheetId="8447" refreshError="1"/>
      <sheetData sheetId="8448" refreshError="1"/>
      <sheetData sheetId="8449" refreshError="1"/>
      <sheetData sheetId="8450" refreshError="1"/>
      <sheetData sheetId="8451" refreshError="1"/>
      <sheetData sheetId="8452" refreshError="1"/>
      <sheetData sheetId="8453" refreshError="1"/>
      <sheetData sheetId="8454" refreshError="1"/>
      <sheetData sheetId="8455" refreshError="1"/>
      <sheetData sheetId="8456" refreshError="1"/>
      <sheetData sheetId="8457" refreshError="1"/>
      <sheetData sheetId="8458" refreshError="1"/>
      <sheetData sheetId="8459" refreshError="1"/>
      <sheetData sheetId="8460" refreshError="1"/>
      <sheetData sheetId="8461" refreshError="1"/>
      <sheetData sheetId="8462" refreshError="1"/>
      <sheetData sheetId="8463" refreshError="1"/>
      <sheetData sheetId="8464" refreshError="1"/>
      <sheetData sheetId="8465" refreshError="1"/>
      <sheetData sheetId="8466" refreshError="1"/>
      <sheetData sheetId="8467" refreshError="1"/>
      <sheetData sheetId="8468" refreshError="1"/>
      <sheetData sheetId="8469" refreshError="1"/>
      <sheetData sheetId="8470" refreshError="1"/>
      <sheetData sheetId="8471" refreshError="1"/>
      <sheetData sheetId="8472" refreshError="1"/>
      <sheetData sheetId="8473" refreshError="1"/>
      <sheetData sheetId="8474" refreshError="1"/>
      <sheetData sheetId="8475" refreshError="1"/>
      <sheetData sheetId="8476" refreshError="1"/>
      <sheetData sheetId="8477" refreshError="1"/>
      <sheetData sheetId="8478" refreshError="1"/>
      <sheetData sheetId="8479" refreshError="1"/>
      <sheetData sheetId="8480" refreshError="1"/>
      <sheetData sheetId="8481" refreshError="1"/>
      <sheetData sheetId="8482" refreshError="1"/>
      <sheetData sheetId="8483" refreshError="1"/>
      <sheetData sheetId="8484" refreshError="1"/>
      <sheetData sheetId="8485" refreshError="1"/>
      <sheetData sheetId="8486" refreshError="1"/>
      <sheetData sheetId="8487" refreshError="1"/>
      <sheetData sheetId="8488" refreshError="1"/>
      <sheetData sheetId="8489" refreshError="1"/>
      <sheetData sheetId="8490" refreshError="1"/>
      <sheetData sheetId="8491" refreshError="1"/>
      <sheetData sheetId="8492" refreshError="1"/>
      <sheetData sheetId="8493" refreshError="1"/>
      <sheetData sheetId="8494" refreshError="1"/>
      <sheetData sheetId="8495" refreshError="1"/>
      <sheetData sheetId="8496" refreshError="1"/>
      <sheetData sheetId="8497" refreshError="1"/>
      <sheetData sheetId="8498" refreshError="1"/>
      <sheetData sheetId="8499" refreshError="1"/>
      <sheetData sheetId="8500" refreshError="1"/>
      <sheetData sheetId="8501" refreshError="1"/>
      <sheetData sheetId="8502" refreshError="1"/>
      <sheetData sheetId="8503" refreshError="1"/>
      <sheetData sheetId="8504" refreshError="1"/>
      <sheetData sheetId="8505" refreshError="1"/>
      <sheetData sheetId="8506" refreshError="1"/>
      <sheetData sheetId="8507" refreshError="1"/>
      <sheetData sheetId="8508" refreshError="1"/>
      <sheetData sheetId="8509" refreshError="1"/>
      <sheetData sheetId="8510" refreshError="1"/>
      <sheetData sheetId="8511" refreshError="1"/>
      <sheetData sheetId="8512" refreshError="1"/>
      <sheetData sheetId="8513" refreshError="1"/>
      <sheetData sheetId="8514" refreshError="1"/>
      <sheetData sheetId="8515" refreshError="1"/>
      <sheetData sheetId="8516" refreshError="1"/>
      <sheetData sheetId="8517" refreshError="1"/>
      <sheetData sheetId="8518" refreshError="1"/>
      <sheetData sheetId="8519" refreshError="1"/>
      <sheetData sheetId="8520" refreshError="1"/>
      <sheetData sheetId="8521" refreshError="1"/>
      <sheetData sheetId="8522" refreshError="1"/>
      <sheetData sheetId="8523" refreshError="1"/>
      <sheetData sheetId="8524" refreshError="1"/>
      <sheetData sheetId="8525" refreshError="1"/>
      <sheetData sheetId="8526" refreshError="1"/>
      <sheetData sheetId="8527" refreshError="1"/>
      <sheetData sheetId="8528" refreshError="1"/>
      <sheetData sheetId="8529" refreshError="1"/>
      <sheetData sheetId="8530" refreshError="1"/>
      <sheetData sheetId="8531" refreshError="1"/>
      <sheetData sheetId="8532" refreshError="1"/>
      <sheetData sheetId="8533" refreshError="1"/>
      <sheetData sheetId="8534" refreshError="1"/>
      <sheetData sheetId="8535" refreshError="1"/>
      <sheetData sheetId="8536" refreshError="1"/>
      <sheetData sheetId="8537" refreshError="1"/>
      <sheetData sheetId="8538" refreshError="1"/>
      <sheetData sheetId="8539" refreshError="1"/>
      <sheetData sheetId="8540" refreshError="1"/>
      <sheetData sheetId="8541" refreshError="1"/>
      <sheetData sheetId="8542" refreshError="1"/>
      <sheetData sheetId="8543" refreshError="1"/>
      <sheetData sheetId="8544" refreshError="1"/>
      <sheetData sheetId="8545" refreshError="1"/>
      <sheetData sheetId="8546" refreshError="1"/>
      <sheetData sheetId="8547" refreshError="1"/>
      <sheetData sheetId="8548" refreshError="1"/>
      <sheetData sheetId="8549" refreshError="1"/>
      <sheetData sheetId="8550" refreshError="1"/>
      <sheetData sheetId="8551" refreshError="1"/>
      <sheetData sheetId="8552" refreshError="1"/>
      <sheetData sheetId="8553" refreshError="1"/>
      <sheetData sheetId="8554" refreshError="1"/>
      <sheetData sheetId="8555" refreshError="1"/>
      <sheetData sheetId="8556" refreshError="1"/>
      <sheetData sheetId="8557" refreshError="1"/>
      <sheetData sheetId="8558" refreshError="1"/>
      <sheetData sheetId="8559" refreshError="1"/>
      <sheetData sheetId="8560" refreshError="1"/>
      <sheetData sheetId="8561" refreshError="1"/>
      <sheetData sheetId="8562" refreshError="1"/>
      <sheetData sheetId="8563" refreshError="1"/>
      <sheetData sheetId="8564" refreshError="1"/>
      <sheetData sheetId="8565" refreshError="1"/>
      <sheetData sheetId="8566" refreshError="1"/>
      <sheetData sheetId="8567" refreshError="1"/>
      <sheetData sheetId="8568" refreshError="1"/>
      <sheetData sheetId="8569" refreshError="1"/>
      <sheetData sheetId="8570" refreshError="1"/>
      <sheetData sheetId="8571" refreshError="1"/>
      <sheetData sheetId="8572" refreshError="1"/>
      <sheetData sheetId="8573" refreshError="1"/>
      <sheetData sheetId="8574" refreshError="1"/>
      <sheetData sheetId="8575" refreshError="1"/>
      <sheetData sheetId="8576" refreshError="1"/>
      <sheetData sheetId="8577" refreshError="1"/>
      <sheetData sheetId="8578" refreshError="1"/>
      <sheetData sheetId="8579" refreshError="1"/>
      <sheetData sheetId="8580" refreshError="1"/>
      <sheetData sheetId="8581" refreshError="1"/>
      <sheetData sheetId="8582" refreshError="1"/>
      <sheetData sheetId="8583" refreshError="1"/>
      <sheetData sheetId="8584" refreshError="1"/>
      <sheetData sheetId="8585" refreshError="1"/>
      <sheetData sheetId="8586" refreshError="1"/>
      <sheetData sheetId="8587" refreshError="1"/>
      <sheetData sheetId="8588" refreshError="1"/>
      <sheetData sheetId="8589" refreshError="1"/>
      <sheetData sheetId="8590" refreshError="1"/>
      <sheetData sheetId="8591" refreshError="1"/>
      <sheetData sheetId="8592" refreshError="1"/>
      <sheetData sheetId="8593" refreshError="1"/>
      <sheetData sheetId="8594" refreshError="1"/>
      <sheetData sheetId="8595" refreshError="1"/>
      <sheetData sheetId="8596" refreshError="1"/>
      <sheetData sheetId="8597" refreshError="1"/>
      <sheetData sheetId="8598" refreshError="1"/>
      <sheetData sheetId="8599" refreshError="1"/>
      <sheetData sheetId="8600" refreshError="1"/>
      <sheetData sheetId="8601" refreshError="1"/>
      <sheetData sheetId="8602" refreshError="1"/>
      <sheetData sheetId="8603" refreshError="1"/>
      <sheetData sheetId="8604" refreshError="1"/>
      <sheetData sheetId="8605" refreshError="1"/>
      <sheetData sheetId="8606" refreshError="1"/>
      <sheetData sheetId="8607" refreshError="1"/>
      <sheetData sheetId="8608" refreshError="1"/>
      <sheetData sheetId="8609" refreshError="1"/>
      <sheetData sheetId="8610" refreshError="1"/>
      <sheetData sheetId="8611" refreshError="1"/>
      <sheetData sheetId="8612" refreshError="1"/>
      <sheetData sheetId="8613" refreshError="1"/>
      <sheetData sheetId="8614" refreshError="1"/>
      <sheetData sheetId="8615" refreshError="1"/>
      <sheetData sheetId="8616" refreshError="1"/>
      <sheetData sheetId="8617" refreshError="1"/>
      <sheetData sheetId="8618" refreshError="1"/>
      <sheetData sheetId="8619" refreshError="1"/>
      <sheetData sheetId="8620" refreshError="1"/>
      <sheetData sheetId="8621" refreshError="1"/>
      <sheetData sheetId="8622" refreshError="1"/>
      <sheetData sheetId="8623" refreshError="1"/>
      <sheetData sheetId="8624" refreshError="1"/>
      <sheetData sheetId="8625" refreshError="1"/>
      <sheetData sheetId="8626" refreshError="1"/>
      <sheetData sheetId="8627" refreshError="1"/>
      <sheetData sheetId="8628" refreshError="1"/>
      <sheetData sheetId="8629" refreshError="1"/>
      <sheetData sheetId="8630" refreshError="1"/>
      <sheetData sheetId="8631" refreshError="1"/>
      <sheetData sheetId="8632" refreshError="1"/>
      <sheetData sheetId="8633" refreshError="1"/>
      <sheetData sheetId="8634" refreshError="1"/>
      <sheetData sheetId="8635" refreshError="1"/>
      <sheetData sheetId="8636" refreshError="1"/>
      <sheetData sheetId="8637" refreshError="1"/>
      <sheetData sheetId="8638" refreshError="1"/>
      <sheetData sheetId="8639" refreshError="1"/>
      <sheetData sheetId="8640" refreshError="1"/>
      <sheetData sheetId="8641" refreshError="1"/>
      <sheetData sheetId="8642" refreshError="1"/>
      <sheetData sheetId="8643" refreshError="1"/>
      <sheetData sheetId="8644" refreshError="1"/>
      <sheetData sheetId="8645" refreshError="1"/>
      <sheetData sheetId="8646" refreshError="1"/>
      <sheetData sheetId="8647" refreshError="1"/>
      <sheetData sheetId="8648" refreshError="1"/>
      <sheetData sheetId="8649" refreshError="1"/>
      <sheetData sheetId="8650" refreshError="1"/>
      <sheetData sheetId="8651" refreshError="1"/>
      <sheetData sheetId="8652" refreshError="1"/>
      <sheetData sheetId="8653" refreshError="1"/>
      <sheetData sheetId="8654" refreshError="1"/>
      <sheetData sheetId="8655" refreshError="1"/>
      <sheetData sheetId="8656" refreshError="1"/>
      <sheetData sheetId="8657" refreshError="1"/>
      <sheetData sheetId="8658" refreshError="1"/>
      <sheetData sheetId="8659" refreshError="1"/>
      <sheetData sheetId="8660" refreshError="1"/>
      <sheetData sheetId="8661" refreshError="1"/>
      <sheetData sheetId="8662" refreshError="1"/>
      <sheetData sheetId="8663" refreshError="1"/>
      <sheetData sheetId="8664" refreshError="1"/>
      <sheetData sheetId="8665" refreshError="1"/>
      <sheetData sheetId="8666" refreshError="1"/>
      <sheetData sheetId="8667" refreshError="1"/>
      <sheetData sheetId="8668" refreshError="1"/>
      <sheetData sheetId="8669" refreshError="1"/>
      <sheetData sheetId="8670" refreshError="1"/>
      <sheetData sheetId="8671" refreshError="1"/>
      <sheetData sheetId="8672" refreshError="1"/>
      <sheetData sheetId="8673" refreshError="1"/>
      <sheetData sheetId="8674" refreshError="1"/>
      <sheetData sheetId="8675" refreshError="1"/>
      <sheetData sheetId="8676" refreshError="1"/>
      <sheetData sheetId="8677" refreshError="1"/>
      <sheetData sheetId="8678" refreshError="1"/>
      <sheetData sheetId="8679" refreshError="1"/>
      <sheetData sheetId="8680" refreshError="1"/>
      <sheetData sheetId="8681" refreshError="1"/>
      <sheetData sheetId="8682" refreshError="1"/>
      <sheetData sheetId="8683" refreshError="1"/>
      <sheetData sheetId="8684" refreshError="1"/>
      <sheetData sheetId="8685" refreshError="1"/>
      <sheetData sheetId="8686" refreshError="1"/>
      <sheetData sheetId="8687" refreshError="1"/>
      <sheetData sheetId="8688" refreshError="1"/>
      <sheetData sheetId="8689" refreshError="1"/>
      <sheetData sheetId="8690" refreshError="1"/>
      <sheetData sheetId="8691" refreshError="1"/>
      <sheetData sheetId="8692" refreshError="1"/>
      <sheetData sheetId="8693" refreshError="1"/>
      <sheetData sheetId="8694" refreshError="1"/>
      <sheetData sheetId="8695" refreshError="1"/>
      <sheetData sheetId="8696" refreshError="1"/>
      <sheetData sheetId="8697" refreshError="1"/>
      <sheetData sheetId="8698" refreshError="1"/>
      <sheetData sheetId="8699" refreshError="1"/>
      <sheetData sheetId="8700" refreshError="1"/>
      <sheetData sheetId="8701" refreshError="1"/>
      <sheetData sheetId="8702" refreshError="1"/>
      <sheetData sheetId="8703" refreshError="1"/>
      <sheetData sheetId="8704" refreshError="1"/>
      <sheetData sheetId="8705" refreshError="1"/>
      <sheetData sheetId="8706" refreshError="1"/>
      <sheetData sheetId="8707" refreshError="1"/>
      <sheetData sheetId="8708" refreshError="1"/>
      <sheetData sheetId="8709" refreshError="1"/>
      <sheetData sheetId="8710" refreshError="1"/>
      <sheetData sheetId="8711" refreshError="1"/>
      <sheetData sheetId="8712" refreshError="1"/>
      <sheetData sheetId="8713" refreshError="1"/>
      <sheetData sheetId="8714" refreshError="1"/>
      <sheetData sheetId="8715" refreshError="1"/>
      <sheetData sheetId="8716" refreshError="1"/>
      <sheetData sheetId="8717" refreshError="1"/>
      <sheetData sheetId="8718" refreshError="1"/>
      <sheetData sheetId="8719" refreshError="1"/>
      <sheetData sheetId="8720" refreshError="1"/>
      <sheetData sheetId="8721" refreshError="1"/>
      <sheetData sheetId="8722" refreshError="1"/>
      <sheetData sheetId="8723" refreshError="1"/>
      <sheetData sheetId="8724" refreshError="1"/>
      <sheetData sheetId="8725" refreshError="1"/>
      <sheetData sheetId="8726" refreshError="1"/>
      <sheetData sheetId="8727" refreshError="1"/>
      <sheetData sheetId="8728" refreshError="1"/>
      <sheetData sheetId="8729" refreshError="1"/>
      <sheetData sheetId="8730" refreshError="1"/>
      <sheetData sheetId="8731" refreshError="1"/>
      <sheetData sheetId="8732" refreshError="1"/>
      <sheetData sheetId="8733" refreshError="1"/>
      <sheetData sheetId="8734" refreshError="1"/>
      <sheetData sheetId="8735" refreshError="1"/>
      <sheetData sheetId="8736" refreshError="1"/>
      <sheetData sheetId="8737" refreshError="1"/>
      <sheetData sheetId="8738" refreshError="1"/>
      <sheetData sheetId="8739" refreshError="1"/>
      <sheetData sheetId="8740" refreshError="1"/>
      <sheetData sheetId="8741" refreshError="1"/>
      <sheetData sheetId="8742" refreshError="1"/>
      <sheetData sheetId="8743" refreshError="1"/>
      <sheetData sheetId="8744" refreshError="1"/>
      <sheetData sheetId="8745" refreshError="1"/>
      <sheetData sheetId="8746" refreshError="1"/>
      <sheetData sheetId="8747" refreshError="1"/>
      <sheetData sheetId="8748" refreshError="1"/>
      <sheetData sheetId="8749" refreshError="1"/>
      <sheetData sheetId="8750" refreshError="1"/>
      <sheetData sheetId="8751" refreshError="1"/>
      <sheetData sheetId="8752" refreshError="1"/>
      <sheetData sheetId="8753" refreshError="1"/>
      <sheetData sheetId="8754" refreshError="1"/>
      <sheetData sheetId="8755" refreshError="1"/>
      <sheetData sheetId="8756" refreshError="1"/>
      <sheetData sheetId="8757" refreshError="1"/>
      <sheetData sheetId="8758" refreshError="1"/>
      <sheetData sheetId="8759" refreshError="1"/>
      <sheetData sheetId="8760" refreshError="1"/>
      <sheetData sheetId="8761" refreshError="1"/>
      <sheetData sheetId="8762" refreshError="1"/>
      <sheetData sheetId="8763" refreshError="1"/>
      <sheetData sheetId="8764" refreshError="1"/>
      <sheetData sheetId="8765" refreshError="1"/>
      <sheetData sheetId="8766" refreshError="1"/>
      <sheetData sheetId="8767" refreshError="1"/>
      <sheetData sheetId="8768" refreshError="1"/>
      <sheetData sheetId="8769" refreshError="1"/>
      <sheetData sheetId="8770" refreshError="1"/>
      <sheetData sheetId="8771" refreshError="1"/>
      <sheetData sheetId="8772" refreshError="1"/>
      <sheetData sheetId="8773" refreshError="1"/>
      <sheetData sheetId="8774" refreshError="1"/>
      <sheetData sheetId="8775" refreshError="1"/>
      <sheetData sheetId="8776" refreshError="1"/>
      <sheetData sheetId="8777" refreshError="1"/>
      <sheetData sheetId="8778" refreshError="1"/>
      <sheetData sheetId="8779" refreshError="1"/>
      <sheetData sheetId="8780" refreshError="1"/>
      <sheetData sheetId="8781" refreshError="1"/>
      <sheetData sheetId="8782" refreshError="1"/>
      <sheetData sheetId="8783" refreshError="1"/>
      <sheetData sheetId="8784" refreshError="1"/>
      <sheetData sheetId="8785" refreshError="1"/>
      <sheetData sheetId="8786" refreshError="1"/>
      <sheetData sheetId="8787" refreshError="1"/>
      <sheetData sheetId="8788" refreshError="1"/>
      <sheetData sheetId="8789" refreshError="1"/>
      <sheetData sheetId="8790" refreshError="1"/>
      <sheetData sheetId="8791" refreshError="1"/>
      <sheetData sheetId="8792" refreshError="1"/>
      <sheetData sheetId="8793" refreshError="1"/>
      <sheetData sheetId="8794" refreshError="1"/>
      <sheetData sheetId="8795" refreshError="1"/>
      <sheetData sheetId="8796" refreshError="1"/>
      <sheetData sheetId="8797" refreshError="1"/>
      <sheetData sheetId="8798" refreshError="1"/>
      <sheetData sheetId="8799" refreshError="1"/>
      <sheetData sheetId="8800" refreshError="1"/>
      <sheetData sheetId="8801" refreshError="1"/>
      <sheetData sheetId="8802" refreshError="1"/>
      <sheetData sheetId="8803" refreshError="1"/>
      <sheetData sheetId="8804" refreshError="1"/>
      <sheetData sheetId="8805" refreshError="1"/>
      <sheetData sheetId="8806" refreshError="1"/>
      <sheetData sheetId="8807" refreshError="1"/>
      <sheetData sheetId="8808" refreshError="1"/>
      <sheetData sheetId="8809" refreshError="1"/>
      <sheetData sheetId="8810" refreshError="1"/>
      <sheetData sheetId="8811" refreshError="1"/>
      <sheetData sheetId="8812" refreshError="1"/>
      <sheetData sheetId="8813" refreshError="1"/>
      <sheetData sheetId="8814" refreshError="1"/>
      <sheetData sheetId="8815" refreshError="1"/>
      <sheetData sheetId="8816" refreshError="1"/>
      <sheetData sheetId="8817" refreshError="1"/>
      <sheetData sheetId="8818" refreshError="1"/>
      <sheetData sheetId="8819" refreshError="1"/>
      <sheetData sheetId="8820" refreshError="1"/>
      <sheetData sheetId="8821" refreshError="1"/>
      <sheetData sheetId="8822" refreshError="1"/>
      <sheetData sheetId="8823" refreshError="1"/>
      <sheetData sheetId="8824" refreshError="1"/>
      <sheetData sheetId="8825" refreshError="1"/>
      <sheetData sheetId="8826" refreshError="1"/>
      <sheetData sheetId="8827" refreshError="1"/>
      <sheetData sheetId="8828" refreshError="1"/>
      <sheetData sheetId="8829" refreshError="1"/>
      <sheetData sheetId="8830" refreshError="1"/>
      <sheetData sheetId="8831" refreshError="1"/>
      <sheetData sheetId="8832" refreshError="1"/>
      <sheetData sheetId="8833" refreshError="1"/>
      <sheetData sheetId="8834" refreshError="1"/>
      <sheetData sheetId="8835" refreshError="1"/>
      <sheetData sheetId="8836" refreshError="1"/>
      <sheetData sheetId="8837" refreshError="1"/>
      <sheetData sheetId="8838" refreshError="1"/>
      <sheetData sheetId="8839" refreshError="1"/>
      <sheetData sheetId="8840" refreshError="1"/>
      <sheetData sheetId="8841" refreshError="1"/>
      <sheetData sheetId="8842" refreshError="1"/>
      <sheetData sheetId="8843" refreshError="1"/>
      <sheetData sheetId="8844" refreshError="1"/>
      <sheetData sheetId="8845" refreshError="1"/>
      <sheetData sheetId="8846" refreshError="1"/>
      <sheetData sheetId="8847" refreshError="1"/>
      <sheetData sheetId="8848" refreshError="1"/>
      <sheetData sheetId="8849" refreshError="1"/>
      <sheetData sheetId="8850" refreshError="1"/>
      <sheetData sheetId="8851" refreshError="1"/>
      <sheetData sheetId="8852" refreshError="1"/>
      <sheetData sheetId="8853" refreshError="1"/>
      <sheetData sheetId="8854" refreshError="1"/>
      <sheetData sheetId="8855" refreshError="1"/>
      <sheetData sheetId="8856" refreshError="1"/>
      <sheetData sheetId="8857" refreshError="1"/>
      <sheetData sheetId="8858" refreshError="1"/>
      <sheetData sheetId="8859" refreshError="1"/>
      <sheetData sheetId="8860" refreshError="1"/>
      <sheetData sheetId="8861" refreshError="1"/>
      <sheetData sheetId="8862" refreshError="1"/>
      <sheetData sheetId="8863" refreshError="1"/>
      <sheetData sheetId="8864" refreshError="1"/>
      <sheetData sheetId="8865" refreshError="1"/>
      <sheetData sheetId="8866" refreshError="1"/>
      <sheetData sheetId="8867" refreshError="1"/>
      <sheetData sheetId="8868" refreshError="1"/>
      <sheetData sheetId="8869" refreshError="1"/>
      <sheetData sheetId="8870" refreshError="1"/>
      <sheetData sheetId="8871" refreshError="1"/>
      <sheetData sheetId="8872" refreshError="1"/>
      <sheetData sheetId="8873" refreshError="1"/>
      <sheetData sheetId="8874" refreshError="1"/>
      <sheetData sheetId="8875" refreshError="1"/>
      <sheetData sheetId="8876" refreshError="1"/>
      <sheetData sheetId="8877" refreshError="1"/>
      <sheetData sheetId="8878" refreshError="1"/>
      <sheetData sheetId="8879" refreshError="1"/>
      <sheetData sheetId="8880" refreshError="1"/>
      <sheetData sheetId="8881" refreshError="1"/>
      <sheetData sheetId="8882" refreshError="1"/>
      <sheetData sheetId="8883" refreshError="1"/>
      <sheetData sheetId="8884" refreshError="1"/>
      <sheetData sheetId="8885" refreshError="1"/>
      <sheetData sheetId="8886" refreshError="1"/>
      <sheetData sheetId="8887" refreshError="1"/>
      <sheetData sheetId="8888" refreshError="1"/>
      <sheetData sheetId="8889" refreshError="1"/>
      <sheetData sheetId="8890" refreshError="1"/>
      <sheetData sheetId="8891" refreshError="1"/>
      <sheetData sheetId="8892" refreshError="1"/>
      <sheetData sheetId="8893" refreshError="1"/>
      <sheetData sheetId="8894" refreshError="1"/>
      <sheetData sheetId="8895" refreshError="1"/>
      <sheetData sheetId="8896" refreshError="1"/>
      <sheetData sheetId="8897" refreshError="1"/>
      <sheetData sheetId="8898" refreshError="1"/>
      <sheetData sheetId="8899" refreshError="1"/>
      <sheetData sheetId="8900" refreshError="1"/>
      <sheetData sheetId="8901" refreshError="1"/>
      <sheetData sheetId="8902" refreshError="1"/>
      <sheetData sheetId="8903" refreshError="1"/>
      <sheetData sheetId="8904" refreshError="1"/>
      <sheetData sheetId="8905" refreshError="1"/>
      <sheetData sheetId="8906" refreshError="1"/>
      <sheetData sheetId="8907" refreshError="1"/>
      <sheetData sheetId="8908" refreshError="1"/>
      <sheetData sheetId="8909" refreshError="1"/>
      <sheetData sheetId="8910" refreshError="1"/>
      <sheetData sheetId="8911" refreshError="1"/>
      <sheetData sheetId="8912" refreshError="1"/>
      <sheetData sheetId="8913" refreshError="1"/>
      <sheetData sheetId="8914" refreshError="1"/>
      <sheetData sheetId="8915" refreshError="1"/>
      <sheetData sheetId="8916" refreshError="1"/>
      <sheetData sheetId="8917" refreshError="1"/>
      <sheetData sheetId="8918" refreshError="1"/>
      <sheetData sheetId="8919" refreshError="1"/>
      <sheetData sheetId="8920" refreshError="1"/>
      <sheetData sheetId="8921" refreshError="1"/>
      <sheetData sheetId="8922" refreshError="1"/>
      <sheetData sheetId="8923" refreshError="1"/>
      <sheetData sheetId="8924" refreshError="1"/>
      <sheetData sheetId="8925" refreshError="1"/>
      <sheetData sheetId="8926" refreshError="1"/>
      <sheetData sheetId="8927" refreshError="1"/>
      <sheetData sheetId="8928" refreshError="1"/>
      <sheetData sheetId="8929" refreshError="1"/>
      <sheetData sheetId="8930" refreshError="1"/>
      <sheetData sheetId="8931" refreshError="1"/>
      <sheetData sheetId="8932" refreshError="1"/>
      <sheetData sheetId="8933" refreshError="1"/>
      <sheetData sheetId="8934" refreshError="1"/>
      <sheetData sheetId="8935" refreshError="1"/>
      <sheetData sheetId="8936" refreshError="1"/>
      <sheetData sheetId="8937" refreshError="1"/>
      <sheetData sheetId="8938" refreshError="1"/>
      <sheetData sheetId="8939" refreshError="1"/>
      <sheetData sheetId="8940" refreshError="1"/>
      <sheetData sheetId="8941" refreshError="1"/>
      <sheetData sheetId="8942" refreshError="1"/>
      <sheetData sheetId="8943" refreshError="1"/>
      <sheetData sheetId="8944" refreshError="1"/>
      <sheetData sheetId="8945" refreshError="1"/>
      <sheetData sheetId="8946" refreshError="1"/>
      <sheetData sheetId="8947" refreshError="1"/>
      <sheetData sheetId="8948" refreshError="1"/>
      <sheetData sheetId="8949" refreshError="1"/>
      <sheetData sheetId="8950" refreshError="1"/>
      <sheetData sheetId="8951" refreshError="1"/>
      <sheetData sheetId="8952" refreshError="1"/>
      <sheetData sheetId="8953" refreshError="1"/>
      <sheetData sheetId="8954" refreshError="1"/>
      <sheetData sheetId="8955" refreshError="1"/>
      <sheetData sheetId="8956" refreshError="1"/>
      <sheetData sheetId="8957" refreshError="1"/>
      <sheetData sheetId="8958" refreshError="1"/>
      <sheetData sheetId="8959" refreshError="1"/>
      <sheetData sheetId="8960" refreshError="1"/>
      <sheetData sheetId="8961" refreshError="1"/>
      <sheetData sheetId="8962" refreshError="1"/>
      <sheetData sheetId="8963" refreshError="1"/>
      <sheetData sheetId="8964" refreshError="1"/>
      <sheetData sheetId="8965" refreshError="1"/>
      <sheetData sheetId="8966" refreshError="1"/>
      <sheetData sheetId="8967" refreshError="1"/>
      <sheetData sheetId="8968" refreshError="1"/>
      <sheetData sheetId="8969" refreshError="1"/>
      <sheetData sheetId="8970" refreshError="1"/>
      <sheetData sheetId="8971" refreshError="1"/>
      <sheetData sheetId="8972" refreshError="1"/>
      <sheetData sheetId="8973" refreshError="1"/>
      <sheetData sheetId="8974" refreshError="1"/>
      <sheetData sheetId="8975" refreshError="1"/>
      <sheetData sheetId="8976" refreshError="1"/>
      <sheetData sheetId="8977" refreshError="1"/>
      <sheetData sheetId="8978" refreshError="1"/>
      <sheetData sheetId="8979" refreshError="1"/>
      <sheetData sheetId="8980" refreshError="1"/>
      <sheetData sheetId="8981" refreshError="1"/>
      <sheetData sheetId="8982" refreshError="1"/>
      <sheetData sheetId="8983" refreshError="1"/>
      <sheetData sheetId="8984" refreshError="1"/>
      <sheetData sheetId="8985" refreshError="1"/>
      <sheetData sheetId="8986" refreshError="1"/>
      <sheetData sheetId="8987" refreshError="1"/>
      <sheetData sheetId="8988" refreshError="1"/>
      <sheetData sheetId="8989" refreshError="1"/>
      <sheetData sheetId="8990" refreshError="1"/>
      <sheetData sheetId="8991" refreshError="1"/>
      <sheetData sheetId="8992" refreshError="1"/>
      <sheetData sheetId="8993" refreshError="1"/>
      <sheetData sheetId="8994" refreshError="1"/>
      <sheetData sheetId="8995" refreshError="1"/>
      <sheetData sheetId="8996" refreshError="1"/>
      <sheetData sheetId="8997" refreshError="1"/>
      <sheetData sheetId="8998" refreshError="1"/>
      <sheetData sheetId="8999" refreshError="1"/>
      <sheetData sheetId="9000" refreshError="1"/>
      <sheetData sheetId="9001" refreshError="1"/>
      <sheetData sheetId="9002" refreshError="1"/>
      <sheetData sheetId="9003" refreshError="1"/>
      <sheetData sheetId="9004" refreshError="1"/>
      <sheetData sheetId="9005" refreshError="1"/>
      <sheetData sheetId="9006" refreshError="1"/>
      <sheetData sheetId="9007" refreshError="1"/>
      <sheetData sheetId="9008" refreshError="1"/>
      <sheetData sheetId="9009" refreshError="1"/>
      <sheetData sheetId="9010" refreshError="1"/>
      <sheetData sheetId="9011" refreshError="1"/>
      <sheetData sheetId="9012" refreshError="1"/>
      <sheetData sheetId="9013" refreshError="1"/>
      <sheetData sheetId="9014" refreshError="1"/>
      <sheetData sheetId="9015" refreshError="1"/>
      <sheetData sheetId="9016" refreshError="1"/>
      <sheetData sheetId="9017" refreshError="1"/>
      <sheetData sheetId="9018" refreshError="1"/>
      <sheetData sheetId="9019" refreshError="1"/>
      <sheetData sheetId="9020" refreshError="1"/>
      <sheetData sheetId="9021" refreshError="1"/>
      <sheetData sheetId="9022" refreshError="1"/>
      <sheetData sheetId="9023" refreshError="1"/>
      <sheetData sheetId="9024" refreshError="1"/>
      <sheetData sheetId="9025" refreshError="1"/>
      <sheetData sheetId="9026" refreshError="1"/>
      <sheetData sheetId="9027" refreshError="1"/>
      <sheetData sheetId="9028" refreshError="1"/>
      <sheetData sheetId="9029" refreshError="1"/>
      <sheetData sheetId="9030" refreshError="1"/>
      <sheetData sheetId="9031" refreshError="1"/>
      <sheetData sheetId="9032" refreshError="1"/>
      <sheetData sheetId="9033" refreshError="1"/>
      <sheetData sheetId="9034" refreshError="1"/>
      <sheetData sheetId="9035" refreshError="1"/>
      <sheetData sheetId="9036" refreshError="1"/>
      <sheetData sheetId="9037" refreshError="1"/>
      <sheetData sheetId="9038" refreshError="1"/>
      <sheetData sheetId="9039" refreshError="1"/>
      <sheetData sheetId="9040" refreshError="1"/>
      <sheetData sheetId="9041" refreshError="1"/>
      <sheetData sheetId="9042" refreshError="1"/>
      <sheetData sheetId="9043" refreshError="1"/>
      <sheetData sheetId="9044" refreshError="1"/>
      <sheetData sheetId="9045" refreshError="1"/>
      <sheetData sheetId="9046" refreshError="1"/>
      <sheetData sheetId="9047" refreshError="1"/>
      <sheetData sheetId="9048" refreshError="1"/>
      <sheetData sheetId="9049" refreshError="1"/>
      <sheetData sheetId="9050" refreshError="1"/>
      <sheetData sheetId="9051" refreshError="1"/>
      <sheetData sheetId="9052" refreshError="1"/>
      <sheetData sheetId="9053" refreshError="1"/>
      <sheetData sheetId="9054" refreshError="1"/>
      <sheetData sheetId="9055" refreshError="1"/>
      <sheetData sheetId="9056" refreshError="1"/>
      <sheetData sheetId="9057" refreshError="1"/>
      <sheetData sheetId="9058" refreshError="1"/>
      <sheetData sheetId="9059" refreshError="1"/>
      <sheetData sheetId="9060" refreshError="1"/>
      <sheetData sheetId="9061" refreshError="1"/>
      <sheetData sheetId="9062" refreshError="1"/>
      <sheetData sheetId="9063" refreshError="1"/>
      <sheetData sheetId="9064" refreshError="1"/>
      <sheetData sheetId="9065" refreshError="1"/>
      <sheetData sheetId="9066" refreshError="1"/>
      <sheetData sheetId="9067" refreshError="1"/>
      <sheetData sheetId="9068" refreshError="1"/>
      <sheetData sheetId="9069" refreshError="1"/>
      <sheetData sheetId="9070" refreshError="1"/>
      <sheetData sheetId="9071" refreshError="1"/>
      <sheetData sheetId="9072" refreshError="1"/>
      <sheetData sheetId="9073" refreshError="1"/>
      <sheetData sheetId="9074" refreshError="1"/>
      <sheetData sheetId="9075" refreshError="1"/>
      <sheetData sheetId="9076" refreshError="1"/>
      <sheetData sheetId="9077" refreshError="1"/>
      <sheetData sheetId="9078" refreshError="1"/>
      <sheetData sheetId="9079" refreshError="1"/>
      <sheetData sheetId="9080" refreshError="1"/>
      <sheetData sheetId="9081" refreshError="1"/>
      <sheetData sheetId="9082" refreshError="1"/>
      <sheetData sheetId="9083" refreshError="1"/>
      <sheetData sheetId="9084" refreshError="1"/>
      <sheetData sheetId="9085" refreshError="1"/>
      <sheetData sheetId="9086" refreshError="1"/>
      <sheetData sheetId="9087" refreshError="1"/>
      <sheetData sheetId="9088" refreshError="1"/>
      <sheetData sheetId="9089" refreshError="1"/>
      <sheetData sheetId="9090" refreshError="1"/>
      <sheetData sheetId="9091" refreshError="1"/>
      <sheetData sheetId="9092" refreshError="1"/>
      <sheetData sheetId="9093" refreshError="1"/>
      <sheetData sheetId="9094" refreshError="1"/>
      <sheetData sheetId="9095" refreshError="1"/>
      <sheetData sheetId="9096" refreshError="1"/>
      <sheetData sheetId="9097" refreshError="1"/>
      <sheetData sheetId="9098" refreshError="1"/>
      <sheetData sheetId="9099" refreshError="1"/>
      <sheetData sheetId="9100" refreshError="1"/>
      <sheetData sheetId="9101" refreshError="1"/>
      <sheetData sheetId="9102" refreshError="1"/>
      <sheetData sheetId="9103" refreshError="1"/>
      <sheetData sheetId="9104" refreshError="1"/>
      <sheetData sheetId="9105" refreshError="1"/>
      <sheetData sheetId="9106" refreshError="1"/>
      <sheetData sheetId="9107" refreshError="1"/>
      <sheetData sheetId="9108" refreshError="1"/>
      <sheetData sheetId="9109" refreshError="1"/>
      <sheetData sheetId="9110" refreshError="1"/>
      <sheetData sheetId="9111" refreshError="1"/>
      <sheetData sheetId="9112" refreshError="1"/>
      <sheetData sheetId="9113" refreshError="1"/>
      <sheetData sheetId="9114" refreshError="1"/>
      <sheetData sheetId="9115" refreshError="1"/>
      <sheetData sheetId="9116" refreshError="1"/>
      <sheetData sheetId="9117" refreshError="1"/>
      <sheetData sheetId="9118" refreshError="1"/>
      <sheetData sheetId="9119" refreshError="1"/>
      <sheetData sheetId="9120" refreshError="1"/>
      <sheetData sheetId="9121" refreshError="1"/>
      <sheetData sheetId="9122" refreshError="1"/>
      <sheetData sheetId="9123" refreshError="1"/>
      <sheetData sheetId="9124" refreshError="1"/>
      <sheetData sheetId="9125" refreshError="1"/>
      <sheetData sheetId="9126" refreshError="1"/>
      <sheetData sheetId="9127" refreshError="1"/>
      <sheetData sheetId="9128" refreshError="1"/>
      <sheetData sheetId="9129" refreshError="1"/>
      <sheetData sheetId="9130" refreshError="1"/>
      <sheetData sheetId="9131" refreshError="1"/>
      <sheetData sheetId="9132" refreshError="1"/>
      <sheetData sheetId="9133" refreshError="1"/>
      <sheetData sheetId="9134" refreshError="1"/>
      <sheetData sheetId="9135" refreshError="1"/>
      <sheetData sheetId="9136" refreshError="1"/>
      <sheetData sheetId="9137" refreshError="1"/>
      <sheetData sheetId="9138" refreshError="1"/>
      <sheetData sheetId="9139" refreshError="1"/>
      <sheetData sheetId="9140" refreshError="1"/>
      <sheetData sheetId="9141" refreshError="1"/>
      <sheetData sheetId="9142" refreshError="1"/>
      <sheetData sheetId="9143" refreshError="1"/>
      <sheetData sheetId="9144" refreshError="1"/>
      <sheetData sheetId="9145" refreshError="1"/>
      <sheetData sheetId="9146" refreshError="1"/>
      <sheetData sheetId="9147" refreshError="1"/>
      <sheetData sheetId="9148" refreshError="1"/>
      <sheetData sheetId="9149" refreshError="1"/>
      <sheetData sheetId="9150" refreshError="1"/>
      <sheetData sheetId="9151" refreshError="1"/>
      <sheetData sheetId="9152" refreshError="1"/>
      <sheetData sheetId="9153" refreshError="1"/>
      <sheetData sheetId="9154" refreshError="1"/>
      <sheetData sheetId="9155" refreshError="1"/>
      <sheetData sheetId="9156" refreshError="1"/>
      <sheetData sheetId="9157" refreshError="1"/>
      <sheetData sheetId="9158" refreshError="1"/>
      <sheetData sheetId="9159" refreshError="1"/>
      <sheetData sheetId="9160" refreshError="1"/>
      <sheetData sheetId="9161" refreshError="1"/>
      <sheetData sheetId="9162" refreshError="1"/>
      <sheetData sheetId="9163" refreshError="1"/>
      <sheetData sheetId="9164" refreshError="1"/>
      <sheetData sheetId="9165" refreshError="1"/>
      <sheetData sheetId="9166" refreshError="1"/>
      <sheetData sheetId="9167" refreshError="1"/>
      <sheetData sheetId="9168" refreshError="1"/>
      <sheetData sheetId="9169" refreshError="1"/>
      <sheetData sheetId="9170" refreshError="1"/>
      <sheetData sheetId="9171" refreshError="1"/>
      <sheetData sheetId="9172" refreshError="1"/>
      <sheetData sheetId="9173" refreshError="1"/>
      <sheetData sheetId="9174" refreshError="1"/>
      <sheetData sheetId="9175" refreshError="1"/>
      <sheetData sheetId="9176" refreshError="1"/>
      <sheetData sheetId="9177" refreshError="1"/>
      <sheetData sheetId="9178" refreshError="1"/>
      <sheetData sheetId="9179" refreshError="1"/>
      <sheetData sheetId="9180" refreshError="1"/>
      <sheetData sheetId="9181" refreshError="1"/>
      <sheetData sheetId="9182" refreshError="1"/>
      <sheetData sheetId="9183" refreshError="1"/>
      <sheetData sheetId="9184" refreshError="1"/>
      <sheetData sheetId="9185" refreshError="1"/>
      <sheetData sheetId="9186" refreshError="1"/>
      <sheetData sheetId="9187" refreshError="1"/>
      <sheetData sheetId="9188" refreshError="1"/>
      <sheetData sheetId="9189" refreshError="1"/>
      <sheetData sheetId="9190" refreshError="1"/>
      <sheetData sheetId="9191" refreshError="1"/>
      <sheetData sheetId="9192" refreshError="1"/>
      <sheetData sheetId="9193" refreshError="1"/>
      <sheetData sheetId="9194" refreshError="1"/>
      <sheetData sheetId="9195" refreshError="1"/>
      <sheetData sheetId="9196" refreshError="1"/>
      <sheetData sheetId="9197" refreshError="1"/>
      <sheetData sheetId="9198" refreshError="1"/>
      <sheetData sheetId="9199" refreshError="1"/>
      <sheetData sheetId="9200" refreshError="1"/>
      <sheetData sheetId="9201" refreshError="1"/>
      <sheetData sheetId="9202" refreshError="1"/>
      <sheetData sheetId="9203" refreshError="1"/>
      <sheetData sheetId="9204" refreshError="1"/>
      <sheetData sheetId="9205" refreshError="1"/>
      <sheetData sheetId="9206" refreshError="1"/>
      <sheetData sheetId="9207" refreshError="1"/>
      <sheetData sheetId="9208" refreshError="1"/>
      <sheetData sheetId="9209" refreshError="1"/>
      <sheetData sheetId="9210" refreshError="1"/>
      <sheetData sheetId="9211" refreshError="1"/>
      <sheetData sheetId="9212" refreshError="1"/>
      <sheetData sheetId="9213" refreshError="1"/>
      <sheetData sheetId="9214" refreshError="1"/>
      <sheetData sheetId="9215" refreshError="1"/>
      <sheetData sheetId="9216" refreshError="1"/>
      <sheetData sheetId="9217" refreshError="1"/>
      <sheetData sheetId="9218" refreshError="1"/>
      <sheetData sheetId="9219" refreshError="1"/>
      <sheetData sheetId="9220" refreshError="1"/>
      <sheetData sheetId="9221" refreshError="1"/>
      <sheetData sheetId="9222" refreshError="1"/>
      <sheetData sheetId="9223" refreshError="1"/>
      <sheetData sheetId="9224" refreshError="1"/>
      <sheetData sheetId="9225" refreshError="1"/>
      <sheetData sheetId="9226" refreshError="1"/>
      <sheetData sheetId="9227" refreshError="1"/>
      <sheetData sheetId="9228" refreshError="1"/>
      <sheetData sheetId="9229" refreshError="1"/>
      <sheetData sheetId="9230" refreshError="1"/>
      <sheetData sheetId="9231" refreshError="1"/>
      <sheetData sheetId="9232" refreshError="1"/>
      <sheetData sheetId="9233" refreshError="1"/>
      <sheetData sheetId="9234" refreshError="1"/>
      <sheetData sheetId="9235" refreshError="1"/>
      <sheetData sheetId="9236" refreshError="1"/>
      <sheetData sheetId="9237" refreshError="1"/>
      <sheetData sheetId="9238" refreshError="1"/>
      <sheetData sheetId="9239" refreshError="1"/>
      <sheetData sheetId="9240" refreshError="1"/>
      <sheetData sheetId="9241" refreshError="1"/>
      <sheetData sheetId="9242" refreshError="1"/>
      <sheetData sheetId="9243" refreshError="1"/>
      <sheetData sheetId="9244" refreshError="1"/>
      <sheetData sheetId="9245" refreshError="1"/>
      <sheetData sheetId="9246" refreshError="1"/>
      <sheetData sheetId="9247" refreshError="1"/>
      <sheetData sheetId="9248" refreshError="1"/>
      <sheetData sheetId="9249" refreshError="1"/>
      <sheetData sheetId="9250" refreshError="1"/>
      <sheetData sheetId="9251" refreshError="1"/>
      <sheetData sheetId="9252" refreshError="1"/>
      <sheetData sheetId="9253" refreshError="1"/>
      <sheetData sheetId="9254" refreshError="1"/>
      <sheetData sheetId="9255" refreshError="1"/>
      <sheetData sheetId="9256" refreshError="1"/>
      <sheetData sheetId="9257" refreshError="1"/>
      <sheetData sheetId="9258" refreshError="1"/>
      <sheetData sheetId="9259" refreshError="1"/>
      <sheetData sheetId="9260" refreshError="1"/>
      <sheetData sheetId="9261" refreshError="1"/>
      <sheetData sheetId="9262" refreshError="1"/>
      <sheetData sheetId="9263" refreshError="1"/>
      <sheetData sheetId="9264" refreshError="1"/>
      <sheetData sheetId="9265" refreshError="1"/>
      <sheetData sheetId="9266" refreshError="1"/>
      <sheetData sheetId="9267" refreshError="1"/>
      <sheetData sheetId="9268" refreshError="1"/>
      <sheetData sheetId="9269" refreshError="1"/>
      <sheetData sheetId="9270" refreshError="1"/>
      <sheetData sheetId="9271" refreshError="1"/>
      <sheetData sheetId="9272" refreshError="1"/>
      <sheetData sheetId="9273" refreshError="1"/>
      <sheetData sheetId="9274" refreshError="1"/>
      <sheetData sheetId="9275" refreshError="1"/>
      <sheetData sheetId="9276" refreshError="1"/>
      <sheetData sheetId="9277" refreshError="1"/>
      <sheetData sheetId="9278" refreshError="1"/>
      <sheetData sheetId="9279" refreshError="1"/>
      <sheetData sheetId="9280" refreshError="1"/>
      <sheetData sheetId="9281" refreshError="1"/>
      <sheetData sheetId="9282" refreshError="1"/>
      <sheetData sheetId="9283" refreshError="1"/>
      <sheetData sheetId="9284" refreshError="1"/>
      <sheetData sheetId="9285" refreshError="1"/>
      <sheetData sheetId="9286" refreshError="1"/>
      <sheetData sheetId="9287" refreshError="1"/>
      <sheetData sheetId="9288" refreshError="1"/>
      <sheetData sheetId="9289" refreshError="1"/>
      <sheetData sheetId="9290" refreshError="1"/>
      <sheetData sheetId="9291" refreshError="1"/>
      <sheetData sheetId="9292" refreshError="1"/>
      <sheetData sheetId="9293" refreshError="1"/>
      <sheetData sheetId="9294" refreshError="1"/>
      <sheetData sheetId="9295" refreshError="1"/>
      <sheetData sheetId="9296" refreshError="1"/>
      <sheetData sheetId="9297" refreshError="1"/>
      <sheetData sheetId="9298" refreshError="1"/>
      <sheetData sheetId="9299" refreshError="1"/>
      <sheetData sheetId="9300" refreshError="1"/>
      <sheetData sheetId="9301" refreshError="1"/>
      <sheetData sheetId="9302" refreshError="1"/>
      <sheetData sheetId="9303" refreshError="1"/>
      <sheetData sheetId="9304" refreshError="1"/>
      <sheetData sheetId="9305" refreshError="1"/>
      <sheetData sheetId="9306" refreshError="1"/>
      <sheetData sheetId="9307" refreshError="1"/>
      <sheetData sheetId="9308" refreshError="1"/>
      <sheetData sheetId="9309" refreshError="1"/>
      <sheetData sheetId="9310" refreshError="1"/>
      <sheetData sheetId="9311" refreshError="1"/>
      <sheetData sheetId="9312" refreshError="1"/>
      <sheetData sheetId="9313" refreshError="1"/>
      <sheetData sheetId="9314" refreshError="1"/>
      <sheetData sheetId="9315" refreshError="1"/>
      <sheetData sheetId="9316" refreshError="1"/>
      <sheetData sheetId="9317" refreshError="1"/>
      <sheetData sheetId="9318" refreshError="1"/>
      <sheetData sheetId="9319" refreshError="1"/>
      <sheetData sheetId="9320" refreshError="1"/>
      <sheetData sheetId="9321" refreshError="1"/>
      <sheetData sheetId="9322" refreshError="1"/>
      <sheetData sheetId="9323" refreshError="1"/>
      <sheetData sheetId="9324" refreshError="1"/>
      <sheetData sheetId="9325" refreshError="1"/>
      <sheetData sheetId="9326" refreshError="1"/>
      <sheetData sheetId="9327" refreshError="1"/>
      <sheetData sheetId="9328" refreshError="1"/>
      <sheetData sheetId="9329" refreshError="1"/>
      <sheetData sheetId="9330" refreshError="1"/>
      <sheetData sheetId="9331" refreshError="1"/>
      <sheetData sheetId="9332" refreshError="1"/>
      <sheetData sheetId="9333" refreshError="1"/>
      <sheetData sheetId="9334" refreshError="1"/>
      <sheetData sheetId="9335" refreshError="1"/>
      <sheetData sheetId="9336" refreshError="1"/>
      <sheetData sheetId="9337" refreshError="1"/>
      <sheetData sheetId="9338" refreshError="1"/>
      <sheetData sheetId="9339" refreshError="1"/>
      <sheetData sheetId="9340" refreshError="1"/>
      <sheetData sheetId="9341" refreshError="1"/>
      <sheetData sheetId="9342" refreshError="1"/>
      <sheetData sheetId="9343" refreshError="1"/>
      <sheetData sheetId="9344" refreshError="1"/>
      <sheetData sheetId="9345" refreshError="1"/>
      <sheetData sheetId="9346" refreshError="1"/>
      <sheetData sheetId="9347" refreshError="1"/>
      <sheetData sheetId="9348" refreshError="1"/>
      <sheetData sheetId="9349" refreshError="1"/>
      <sheetData sheetId="9350" refreshError="1"/>
      <sheetData sheetId="9351" refreshError="1"/>
      <sheetData sheetId="9352" refreshError="1"/>
      <sheetData sheetId="9353" refreshError="1"/>
      <sheetData sheetId="9354" refreshError="1"/>
      <sheetData sheetId="9355" refreshError="1"/>
      <sheetData sheetId="9356" refreshError="1"/>
      <sheetData sheetId="9357" refreshError="1"/>
      <sheetData sheetId="9358" refreshError="1"/>
      <sheetData sheetId="9359" refreshError="1"/>
      <sheetData sheetId="9360" refreshError="1"/>
      <sheetData sheetId="9361" refreshError="1"/>
      <sheetData sheetId="9362" refreshError="1"/>
      <sheetData sheetId="9363" refreshError="1"/>
      <sheetData sheetId="9364" refreshError="1"/>
      <sheetData sheetId="9365" refreshError="1"/>
      <sheetData sheetId="9366" refreshError="1"/>
      <sheetData sheetId="9367" refreshError="1"/>
      <sheetData sheetId="9368" refreshError="1"/>
      <sheetData sheetId="9369" refreshError="1"/>
      <sheetData sheetId="9370" refreshError="1"/>
      <sheetData sheetId="9371" refreshError="1"/>
      <sheetData sheetId="9372" refreshError="1"/>
      <sheetData sheetId="9373" refreshError="1"/>
      <sheetData sheetId="9374" refreshError="1"/>
      <sheetData sheetId="9375" refreshError="1"/>
      <sheetData sheetId="9376" refreshError="1"/>
      <sheetData sheetId="9377" refreshError="1"/>
      <sheetData sheetId="9378" refreshError="1"/>
      <sheetData sheetId="9379" refreshError="1"/>
      <sheetData sheetId="9380" refreshError="1"/>
      <sheetData sheetId="9381" refreshError="1"/>
      <sheetData sheetId="9382" refreshError="1"/>
      <sheetData sheetId="9383" refreshError="1"/>
      <sheetData sheetId="9384" refreshError="1"/>
      <sheetData sheetId="9385" refreshError="1"/>
      <sheetData sheetId="9386" refreshError="1"/>
      <sheetData sheetId="9387" refreshError="1"/>
      <sheetData sheetId="9388" refreshError="1"/>
      <sheetData sheetId="9389" refreshError="1"/>
      <sheetData sheetId="9390" refreshError="1"/>
      <sheetData sheetId="9391" refreshError="1"/>
      <sheetData sheetId="9392" refreshError="1"/>
      <sheetData sheetId="9393" refreshError="1"/>
      <sheetData sheetId="9394" refreshError="1"/>
      <sheetData sheetId="9395" refreshError="1"/>
      <sheetData sheetId="9396" refreshError="1"/>
      <sheetData sheetId="9397" refreshError="1"/>
      <sheetData sheetId="9398" refreshError="1"/>
      <sheetData sheetId="9399" refreshError="1"/>
      <sheetData sheetId="9400" refreshError="1"/>
      <sheetData sheetId="9401" refreshError="1"/>
      <sheetData sheetId="9402" refreshError="1"/>
      <sheetData sheetId="9403" refreshError="1"/>
      <sheetData sheetId="9404" refreshError="1"/>
      <sheetData sheetId="9405" refreshError="1"/>
      <sheetData sheetId="9406" refreshError="1"/>
      <sheetData sheetId="9407" refreshError="1"/>
      <sheetData sheetId="9408" refreshError="1"/>
      <sheetData sheetId="9409" refreshError="1"/>
      <sheetData sheetId="9410" refreshError="1"/>
      <sheetData sheetId="9411" refreshError="1"/>
      <sheetData sheetId="9412" refreshError="1"/>
      <sheetData sheetId="9413" refreshError="1"/>
      <sheetData sheetId="9414" refreshError="1"/>
      <sheetData sheetId="9415" refreshError="1"/>
      <sheetData sheetId="9416" refreshError="1"/>
      <sheetData sheetId="9417" refreshError="1"/>
      <sheetData sheetId="9418" refreshError="1"/>
      <sheetData sheetId="9419" refreshError="1"/>
      <sheetData sheetId="9420" refreshError="1"/>
      <sheetData sheetId="9421" refreshError="1"/>
      <sheetData sheetId="9422" refreshError="1"/>
      <sheetData sheetId="9423" refreshError="1"/>
      <sheetData sheetId="9424" refreshError="1"/>
      <sheetData sheetId="9425" refreshError="1"/>
      <sheetData sheetId="9426" refreshError="1"/>
      <sheetData sheetId="9427" refreshError="1"/>
      <sheetData sheetId="9428" refreshError="1"/>
      <sheetData sheetId="9429" refreshError="1"/>
      <sheetData sheetId="9430" refreshError="1"/>
      <sheetData sheetId="9431" refreshError="1"/>
      <sheetData sheetId="9432" refreshError="1"/>
      <sheetData sheetId="9433" refreshError="1"/>
      <sheetData sheetId="9434" refreshError="1"/>
      <sheetData sheetId="9435" refreshError="1"/>
      <sheetData sheetId="9436" refreshError="1"/>
      <sheetData sheetId="9437" refreshError="1"/>
      <sheetData sheetId="9438" refreshError="1"/>
      <sheetData sheetId="9439" refreshError="1"/>
      <sheetData sheetId="9440" refreshError="1"/>
      <sheetData sheetId="9441" refreshError="1"/>
      <sheetData sheetId="9442" refreshError="1"/>
      <sheetData sheetId="9443" refreshError="1"/>
      <sheetData sheetId="9444" refreshError="1"/>
      <sheetData sheetId="9445" refreshError="1"/>
      <sheetData sheetId="9446" refreshError="1"/>
      <sheetData sheetId="9447" refreshError="1"/>
      <sheetData sheetId="9448" refreshError="1"/>
      <sheetData sheetId="9449" refreshError="1"/>
      <sheetData sheetId="9450" refreshError="1"/>
      <sheetData sheetId="9451" refreshError="1"/>
      <sheetData sheetId="9452" refreshError="1"/>
      <sheetData sheetId="9453" refreshError="1"/>
      <sheetData sheetId="9454" refreshError="1"/>
      <sheetData sheetId="9455" refreshError="1"/>
      <sheetData sheetId="9456" refreshError="1"/>
      <sheetData sheetId="9457" refreshError="1"/>
      <sheetData sheetId="9458" refreshError="1"/>
      <sheetData sheetId="9459" refreshError="1"/>
      <sheetData sheetId="9460" refreshError="1"/>
      <sheetData sheetId="9461" refreshError="1"/>
      <sheetData sheetId="9462" refreshError="1"/>
      <sheetData sheetId="9463" refreshError="1"/>
      <sheetData sheetId="9464" refreshError="1"/>
      <sheetData sheetId="9465" refreshError="1"/>
      <sheetData sheetId="9466" refreshError="1"/>
      <sheetData sheetId="9467" refreshError="1"/>
      <sheetData sheetId="9468" refreshError="1"/>
      <sheetData sheetId="9469" refreshError="1"/>
      <sheetData sheetId="9470" refreshError="1"/>
      <sheetData sheetId="9471" refreshError="1"/>
      <sheetData sheetId="9472" refreshError="1"/>
      <sheetData sheetId="9473" refreshError="1"/>
      <sheetData sheetId="9474" refreshError="1"/>
      <sheetData sheetId="9475" refreshError="1"/>
      <sheetData sheetId="9476" refreshError="1"/>
      <sheetData sheetId="9477" refreshError="1"/>
      <sheetData sheetId="9478" refreshError="1"/>
      <sheetData sheetId="9479" refreshError="1"/>
      <sheetData sheetId="9480" refreshError="1"/>
      <sheetData sheetId="9481" refreshError="1"/>
      <sheetData sheetId="9482" refreshError="1"/>
      <sheetData sheetId="9483" refreshError="1"/>
      <sheetData sheetId="9484" refreshError="1"/>
      <sheetData sheetId="9485" refreshError="1"/>
      <sheetData sheetId="9486" refreshError="1"/>
      <sheetData sheetId="9487" refreshError="1"/>
      <sheetData sheetId="9488" refreshError="1"/>
      <sheetData sheetId="9489" refreshError="1"/>
      <sheetData sheetId="9490" refreshError="1"/>
      <sheetData sheetId="9491" refreshError="1"/>
      <sheetData sheetId="9492" refreshError="1"/>
      <sheetData sheetId="9493" refreshError="1"/>
      <sheetData sheetId="9494" refreshError="1"/>
      <sheetData sheetId="9495" refreshError="1"/>
      <sheetData sheetId="9496" refreshError="1"/>
      <sheetData sheetId="9497" refreshError="1"/>
      <sheetData sheetId="9498" refreshError="1"/>
      <sheetData sheetId="9499" refreshError="1"/>
      <sheetData sheetId="9500" refreshError="1"/>
      <sheetData sheetId="9501" refreshError="1"/>
      <sheetData sheetId="9502" refreshError="1"/>
      <sheetData sheetId="9503" refreshError="1"/>
      <sheetData sheetId="9504" refreshError="1"/>
      <sheetData sheetId="9505" refreshError="1"/>
      <sheetData sheetId="9506" refreshError="1"/>
      <sheetData sheetId="9507" refreshError="1"/>
      <sheetData sheetId="9508" refreshError="1"/>
      <sheetData sheetId="9509" refreshError="1"/>
      <sheetData sheetId="9510" refreshError="1"/>
      <sheetData sheetId="9511" refreshError="1"/>
      <sheetData sheetId="9512" refreshError="1"/>
      <sheetData sheetId="9513" refreshError="1"/>
      <sheetData sheetId="9514" refreshError="1"/>
      <sheetData sheetId="9515" refreshError="1"/>
      <sheetData sheetId="9516" refreshError="1"/>
      <sheetData sheetId="9517" refreshError="1"/>
      <sheetData sheetId="9518" refreshError="1"/>
      <sheetData sheetId="9519" refreshError="1"/>
      <sheetData sheetId="9520" refreshError="1"/>
      <sheetData sheetId="9521" refreshError="1"/>
      <sheetData sheetId="9522" refreshError="1"/>
      <sheetData sheetId="9523" refreshError="1"/>
      <sheetData sheetId="9524" refreshError="1"/>
      <sheetData sheetId="9525" refreshError="1"/>
      <sheetData sheetId="9526" refreshError="1"/>
      <sheetData sheetId="9527" refreshError="1"/>
      <sheetData sheetId="9528" refreshError="1"/>
      <sheetData sheetId="9529" refreshError="1"/>
      <sheetData sheetId="9530" refreshError="1"/>
      <sheetData sheetId="9531" refreshError="1"/>
      <sheetData sheetId="9532" refreshError="1"/>
      <sheetData sheetId="9533" refreshError="1"/>
      <sheetData sheetId="9534" refreshError="1"/>
      <sheetData sheetId="9535" refreshError="1"/>
      <sheetData sheetId="9536" refreshError="1"/>
      <sheetData sheetId="9537" refreshError="1"/>
      <sheetData sheetId="9538" refreshError="1"/>
      <sheetData sheetId="9539" refreshError="1"/>
      <sheetData sheetId="9540" refreshError="1"/>
      <sheetData sheetId="9541" refreshError="1"/>
      <sheetData sheetId="9542" refreshError="1"/>
      <sheetData sheetId="9543" refreshError="1"/>
      <sheetData sheetId="9544" refreshError="1"/>
      <sheetData sheetId="9545" refreshError="1"/>
      <sheetData sheetId="9546" refreshError="1"/>
      <sheetData sheetId="9547" refreshError="1"/>
      <sheetData sheetId="9548" refreshError="1"/>
      <sheetData sheetId="9549" refreshError="1"/>
      <sheetData sheetId="9550" refreshError="1"/>
      <sheetData sheetId="9551" refreshError="1"/>
      <sheetData sheetId="9552" refreshError="1"/>
      <sheetData sheetId="9553" refreshError="1"/>
      <sheetData sheetId="9554" refreshError="1"/>
      <sheetData sheetId="9555" refreshError="1"/>
      <sheetData sheetId="9556" refreshError="1"/>
      <sheetData sheetId="9557" refreshError="1"/>
      <sheetData sheetId="9558" refreshError="1"/>
      <sheetData sheetId="9559" refreshError="1"/>
      <sheetData sheetId="9560" refreshError="1"/>
      <sheetData sheetId="9561" refreshError="1"/>
      <sheetData sheetId="9562" refreshError="1"/>
      <sheetData sheetId="9563" refreshError="1"/>
      <sheetData sheetId="9564" refreshError="1"/>
      <sheetData sheetId="9565" refreshError="1"/>
      <sheetData sheetId="9566" refreshError="1"/>
      <sheetData sheetId="9567" refreshError="1"/>
      <sheetData sheetId="9568" refreshError="1"/>
      <sheetData sheetId="9569" refreshError="1"/>
      <sheetData sheetId="9570" refreshError="1"/>
      <sheetData sheetId="9571" refreshError="1"/>
      <sheetData sheetId="9572" refreshError="1"/>
      <sheetData sheetId="9573" refreshError="1"/>
      <sheetData sheetId="9574" refreshError="1"/>
      <sheetData sheetId="9575" refreshError="1"/>
      <sheetData sheetId="9576" refreshError="1"/>
      <sheetData sheetId="9577" refreshError="1"/>
      <sheetData sheetId="9578" refreshError="1"/>
      <sheetData sheetId="9579" refreshError="1"/>
      <sheetData sheetId="9580" refreshError="1"/>
      <sheetData sheetId="9581" refreshError="1"/>
      <sheetData sheetId="9582" refreshError="1"/>
      <sheetData sheetId="9583" refreshError="1"/>
      <sheetData sheetId="9584" refreshError="1"/>
      <sheetData sheetId="9585" refreshError="1"/>
      <sheetData sheetId="9586" refreshError="1"/>
      <sheetData sheetId="9587" refreshError="1"/>
      <sheetData sheetId="9588" refreshError="1"/>
      <sheetData sheetId="9589" refreshError="1"/>
      <sheetData sheetId="9590" refreshError="1"/>
      <sheetData sheetId="9591" refreshError="1"/>
      <sheetData sheetId="9592" refreshError="1"/>
      <sheetData sheetId="9593" refreshError="1"/>
      <sheetData sheetId="9594" refreshError="1"/>
      <sheetData sheetId="9595" refreshError="1"/>
      <sheetData sheetId="9596" refreshError="1"/>
      <sheetData sheetId="9597" refreshError="1"/>
      <sheetData sheetId="9598" refreshError="1"/>
      <sheetData sheetId="9599" refreshError="1"/>
      <sheetData sheetId="9600" refreshError="1"/>
      <sheetData sheetId="9601" refreshError="1"/>
      <sheetData sheetId="9602" refreshError="1"/>
      <sheetData sheetId="9603" refreshError="1"/>
      <sheetData sheetId="9604" refreshError="1"/>
      <sheetData sheetId="9605" refreshError="1"/>
      <sheetData sheetId="9606" refreshError="1"/>
      <sheetData sheetId="9607" refreshError="1"/>
      <sheetData sheetId="9608" refreshError="1"/>
      <sheetData sheetId="9609" refreshError="1"/>
      <sheetData sheetId="9610" refreshError="1"/>
      <sheetData sheetId="9611" refreshError="1"/>
      <sheetData sheetId="9612" refreshError="1"/>
      <sheetData sheetId="9613" refreshError="1"/>
      <sheetData sheetId="9614" refreshError="1"/>
      <sheetData sheetId="9615" refreshError="1"/>
      <sheetData sheetId="9616" refreshError="1"/>
      <sheetData sheetId="9617" refreshError="1"/>
      <sheetData sheetId="9618" refreshError="1"/>
      <sheetData sheetId="9619" refreshError="1"/>
      <sheetData sheetId="9620" refreshError="1"/>
      <sheetData sheetId="9621" refreshError="1"/>
      <sheetData sheetId="9622" refreshError="1"/>
      <sheetData sheetId="9623" refreshError="1"/>
      <sheetData sheetId="9624" refreshError="1"/>
      <sheetData sheetId="9625" refreshError="1"/>
      <sheetData sheetId="9626" refreshError="1"/>
      <sheetData sheetId="9627" refreshError="1"/>
      <sheetData sheetId="9628" refreshError="1"/>
      <sheetData sheetId="9629" refreshError="1"/>
      <sheetData sheetId="9630" refreshError="1"/>
      <sheetData sheetId="9631" refreshError="1"/>
      <sheetData sheetId="9632" refreshError="1"/>
      <sheetData sheetId="9633" refreshError="1"/>
      <sheetData sheetId="9634" refreshError="1"/>
      <sheetData sheetId="9635" refreshError="1"/>
      <sheetData sheetId="9636" refreshError="1"/>
      <sheetData sheetId="9637" refreshError="1"/>
      <sheetData sheetId="9638" refreshError="1"/>
      <sheetData sheetId="9639" refreshError="1"/>
      <sheetData sheetId="9640" refreshError="1"/>
      <sheetData sheetId="9641" refreshError="1"/>
      <sheetData sheetId="9642" refreshError="1"/>
      <sheetData sheetId="9643" refreshError="1"/>
      <sheetData sheetId="9644" refreshError="1"/>
      <sheetData sheetId="9645" refreshError="1"/>
      <sheetData sheetId="9646" refreshError="1"/>
      <sheetData sheetId="9647" refreshError="1"/>
      <sheetData sheetId="9648" refreshError="1"/>
      <sheetData sheetId="9649" refreshError="1"/>
      <sheetData sheetId="9650" refreshError="1"/>
      <sheetData sheetId="9651" refreshError="1"/>
      <sheetData sheetId="9652" refreshError="1"/>
      <sheetData sheetId="9653" refreshError="1"/>
      <sheetData sheetId="9654" refreshError="1"/>
      <sheetData sheetId="9655" refreshError="1"/>
      <sheetData sheetId="9656" refreshError="1"/>
      <sheetData sheetId="9657" refreshError="1"/>
      <sheetData sheetId="9658" refreshError="1"/>
      <sheetData sheetId="9659" refreshError="1"/>
      <sheetData sheetId="9660" refreshError="1"/>
      <sheetData sheetId="9661" refreshError="1"/>
      <sheetData sheetId="9662" refreshError="1"/>
      <sheetData sheetId="9663" refreshError="1"/>
      <sheetData sheetId="9664" refreshError="1"/>
      <sheetData sheetId="9665" refreshError="1"/>
      <sheetData sheetId="9666" refreshError="1"/>
      <sheetData sheetId="9667" refreshError="1"/>
      <sheetData sheetId="9668" refreshError="1"/>
      <sheetData sheetId="9669" refreshError="1"/>
      <sheetData sheetId="9670" refreshError="1"/>
      <sheetData sheetId="9671" refreshError="1"/>
      <sheetData sheetId="9672" refreshError="1"/>
      <sheetData sheetId="9673" refreshError="1"/>
      <sheetData sheetId="9674" refreshError="1"/>
      <sheetData sheetId="9675" refreshError="1"/>
      <sheetData sheetId="9676" refreshError="1"/>
      <sheetData sheetId="9677" refreshError="1"/>
      <sheetData sheetId="9678" refreshError="1"/>
      <sheetData sheetId="9679" refreshError="1"/>
      <sheetData sheetId="9680" refreshError="1"/>
      <sheetData sheetId="9681" refreshError="1"/>
      <sheetData sheetId="9682" refreshError="1"/>
      <sheetData sheetId="9683" refreshError="1"/>
      <sheetData sheetId="9684" refreshError="1"/>
      <sheetData sheetId="9685" refreshError="1"/>
      <sheetData sheetId="9686" refreshError="1"/>
      <sheetData sheetId="9687" refreshError="1"/>
      <sheetData sheetId="9688" refreshError="1"/>
      <sheetData sheetId="9689" refreshError="1"/>
      <sheetData sheetId="9690" refreshError="1"/>
      <sheetData sheetId="9691" refreshError="1"/>
      <sheetData sheetId="9692" refreshError="1"/>
      <sheetData sheetId="9693" refreshError="1"/>
      <sheetData sheetId="9694" refreshError="1"/>
      <sheetData sheetId="9695" refreshError="1"/>
      <sheetData sheetId="9696" refreshError="1"/>
      <sheetData sheetId="9697" refreshError="1"/>
      <sheetData sheetId="9698" refreshError="1"/>
      <sheetData sheetId="9699" refreshError="1"/>
      <sheetData sheetId="9700" refreshError="1"/>
      <sheetData sheetId="9701" refreshError="1"/>
      <sheetData sheetId="9702" refreshError="1"/>
      <sheetData sheetId="9703" refreshError="1"/>
      <sheetData sheetId="9704" refreshError="1"/>
      <sheetData sheetId="9705" refreshError="1"/>
      <sheetData sheetId="9706" refreshError="1"/>
      <sheetData sheetId="9707" refreshError="1"/>
      <sheetData sheetId="9708" refreshError="1"/>
      <sheetData sheetId="9709" refreshError="1"/>
      <sheetData sheetId="9710" refreshError="1"/>
      <sheetData sheetId="9711" refreshError="1"/>
      <sheetData sheetId="9712" refreshError="1"/>
      <sheetData sheetId="9713" refreshError="1"/>
      <sheetData sheetId="9714" refreshError="1"/>
      <sheetData sheetId="9715" refreshError="1"/>
      <sheetData sheetId="9716" refreshError="1"/>
      <sheetData sheetId="9717" refreshError="1"/>
      <sheetData sheetId="9718" refreshError="1"/>
      <sheetData sheetId="9719" refreshError="1"/>
      <sheetData sheetId="9720" refreshError="1"/>
      <sheetData sheetId="9721" refreshError="1"/>
      <sheetData sheetId="9722" refreshError="1"/>
      <sheetData sheetId="9723" refreshError="1"/>
      <sheetData sheetId="9724" refreshError="1"/>
      <sheetData sheetId="9725" refreshError="1"/>
      <sheetData sheetId="9726" refreshError="1"/>
      <sheetData sheetId="9727" refreshError="1"/>
      <sheetData sheetId="9728" refreshError="1"/>
      <sheetData sheetId="9729" refreshError="1"/>
      <sheetData sheetId="9730" refreshError="1"/>
      <sheetData sheetId="9731" refreshError="1"/>
      <sheetData sheetId="9732" refreshError="1"/>
      <sheetData sheetId="9733" refreshError="1"/>
      <sheetData sheetId="9734" refreshError="1"/>
      <sheetData sheetId="9735" refreshError="1"/>
      <sheetData sheetId="9736" refreshError="1"/>
      <sheetData sheetId="9737" refreshError="1"/>
      <sheetData sheetId="9738" refreshError="1"/>
      <sheetData sheetId="9739" refreshError="1"/>
      <sheetData sheetId="9740" refreshError="1"/>
      <sheetData sheetId="9741" refreshError="1"/>
      <sheetData sheetId="9742" refreshError="1"/>
      <sheetData sheetId="9743" refreshError="1"/>
      <sheetData sheetId="9744" refreshError="1"/>
      <sheetData sheetId="9745" refreshError="1"/>
      <sheetData sheetId="9746" refreshError="1"/>
      <sheetData sheetId="9747" refreshError="1"/>
      <sheetData sheetId="9748" refreshError="1"/>
      <sheetData sheetId="9749" refreshError="1"/>
      <sheetData sheetId="9750" refreshError="1"/>
      <sheetData sheetId="9751" refreshError="1"/>
      <sheetData sheetId="9752" refreshError="1"/>
      <sheetData sheetId="9753" refreshError="1"/>
      <sheetData sheetId="9754" refreshError="1"/>
      <sheetData sheetId="9755" refreshError="1"/>
      <sheetData sheetId="9756" refreshError="1"/>
      <sheetData sheetId="9757" refreshError="1"/>
      <sheetData sheetId="9758" refreshError="1"/>
      <sheetData sheetId="9759" refreshError="1"/>
      <sheetData sheetId="9760" refreshError="1"/>
      <sheetData sheetId="9761" refreshError="1"/>
      <sheetData sheetId="9762" refreshError="1"/>
      <sheetData sheetId="9763" refreshError="1"/>
      <sheetData sheetId="9764" refreshError="1"/>
      <sheetData sheetId="9765" refreshError="1"/>
      <sheetData sheetId="9766" refreshError="1"/>
      <sheetData sheetId="9767" refreshError="1"/>
      <sheetData sheetId="9768" refreshError="1"/>
      <sheetData sheetId="9769" refreshError="1"/>
      <sheetData sheetId="9770" refreshError="1"/>
      <sheetData sheetId="9771" refreshError="1"/>
      <sheetData sheetId="9772" refreshError="1"/>
      <sheetData sheetId="9773" refreshError="1"/>
      <sheetData sheetId="9774" refreshError="1"/>
      <sheetData sheetId="9775" refreshError="1"/>
      <sheetData sheetId="9776" refreshError="1"/>
      <sheetData sheetId="9777" refreshError="1"/>
      <sheetData sheetId="9778" refreshError="1"/>
      <sheetData sheetId="9779" refreshError="1"/>
      <sheetData sheetId="9780" refreshError="1"/>
      <sheetData sheetId="9781" refreshError="1"/>
      <sheetData sheetId="9782" refreshError="1"/>
      <sheetData sheetId="9783" refreshError="1"/>
      <sheetData sheetId="9784" refreshError="1"/>
      <sheetData sheetId="9785" refreshError="1"/>
      <sheetData sheetId="9786" refreshError="1"/>
      <sheetData sheetId="9787" refreshError="1"/>
      <sheetData sheetId="9788" refreshError="1"/>
      <sheetData sheetId="9789" refreshError="1"/>
      <sheetData sheetId="9790" refreshError="1"/>
      <sheetData sheetId="9791" refreshError="1"/>
      <sheetData sheetId="9792" refreshError="1"/>
      <sheetData sheetId="9793" refreshError="1"/>
      <sheetData sheetId="9794" refreshError="1"/>
      <sheetData sheetId="9795" refreshError="1"/>
      <sheetData sheetId="9796" refreshError="1"/>
      <sheetData sheetId="9797" refreshError="1"/>
      <sheetData sheetId="9798" refreshError="1"/>
      <sheetData sheetId="9799" refreshError="1"/>
      <sheetData sheetId="9800" refreshError="1"/>
      <sheetData sheetId="9801" refreshError="1"/>
      <sheetData sheetId="9802" refreshError="1"/>
      <sheetData sheetId="9803" refreshError="1"/>
      <sheetData sheetId="9804" refreshError="1"/>
      <sheetData sheetId="9805" refreshError="1"/>
      <sheetData sheetId="9806" refreshError="1"/>
      <sheetData sheetId="9807" refreshError="1"/>
      <sheetData sheetId="9808" refreshError="1"/>
      <sheetData sheetId="9809" refreshError="1"/>
      <sheetData sheetId="9810" refreshError="1"/>
      <sheetData sheetId="9811" refreshError="1"/>
      <sheetData sheetId="9812" refreshError="1"/>
      <sheetData sheetId="9813" refreshError="1"/>
      <sheetData sheetId="9814" refreshError="1"/>
      <sheetData sheetId="9815" refreshError="1"/>
      <sheetData sheetId="9816" refreshError="1"/>
      <sheetData sheetId="9817" refreshError="1"/>
      <sheetData sheetId="9818" refreshError="1"/>
      <sheetData sheetId="9819" refreshError="1"/>
      <sheetData sheetId="9820" refreshError="1"/>
      <sheetData sheetId="9821" refreshError="1"/>
      <sheetData sheetId="9822" refreshError="1"/>
      <sheetData sheetId="9823" refreshError="1"/>
      <sheetData sheetId="9824" refreshError="1"/>
      <sheetData sheetId="9825" refreshError="1"/>
      <sheetData sheetId="9826" refreshError="1"/>
      <sheetData sheetId="9827" refreshError="1"/>
      <sheetData sheetId="9828" refreshError="1"/>
      <sheetData sheetId="9829" refreshError="1"/>
      <sheetData sheetId="9830" refreshError="1"/>
      <sheetData sheetId="9831" refreshError="1"/>
      <sheetData sheetId="9832" refreshError="1"/>
      <sheetData sheetId="9833" refreshError="1"/>
      <sheetData sheetId="9834" refreshError="1"/>
      <sheetData sheetId="9835" refreshError="1"/>
      <sheetData sheetId="9836" refreshError="1"/>
      <sheetData sheetId="9837" refreshError="1"/>
      <sheetData sheetId="9838" refreshError="1"/>
      <sheetData sheetId="9839" refreshError="1"/>
      <sheetData sheetId="9840" refreshError="1"/>
      <sheetData sheetId="9841" refreshError="1"/>
      <sheetData sheetId="9842" refreshError="1"/>
      <sheetData sheetId="9843" refreshError="1"/>
      <sheetData sheetId="9844" refreshError="1"/>
      <sheetData sheetId="9845" refreshError="1"/>
      <sheetData sheetId="9846" refreshError="1"/>
      <sheetData sheetId="9847" refreshError="1"/>
      <sheetData sheetId="9848" refreshError="1"/>
      <sheetData sheetId="9849" refreshError="1"/>
      <sheetData sheetId="9850" refreshError="1"/>
      <sheetData sheetId="9851" refreshError="1"/>
      <sheetData sheetId="9852" refreshError="1"/>
      <sheetData sheetId="9853" refreshError="1"/>
      <sheetData sheetId="9854" refreshError="1"/>
      <sheetData sheetId="9855" refreshError="1"/>
      <sheetData sheetId="9856" refreshError="1"/>
      <sheetData sheetId="9857" refreshError="1"/>
      <sheetData sheetId="9858" refreshError="1"/>
      <sheetData sheetId="9859" refreshError="1"/>
      <sheetData sheetId="9860" refreshError="1"/>
      <sheetData sheetId="9861" refreshError="1"/>
      <sheetData sheetId="9862" refreshError="1"/>
      <sheetData sheetId="9863" refreshError="1"/>
      <sheetData sheetId="9864" refreshError="1"/>
      <sheetData sheetId="9865" refreshError="1"/>
      <sheetData sheetId="9866" refreshError="1"/>
      <sheetData sheetId="9867" refreshError="1"/>
      <sheetData sheetId="9868" refreshError="1"/>
      <sheetData sheetId="9869" refreshError="1"/>
      <sheetData sheetId="9870" refreshError="1"/>
      <sheetData sheetId="9871" refreshError="1"/>
      <sheetData sheetId="9872" refreshError="1"/>
      <sheetData sheetId="9873" refreshError="1"/>
      <sheetData sheetId="9874" refreshError="1"/>
      <sheetData sheetId="9875" refreshError="1"/>
      <sheetData sheetId="9876" refreshError="1"/>
      <sheetData sheetId="9877" refreshError="1"/>
      <sheetData sheetId="9878" refreshError="1"/>
      <sheetData sheetId="9879" refreshError="1"/>
      <sheetData sheetId="9880" refreshError="1"/>
      <sheetData sheetId="9881" refreshError="1"/>
      <sheetData sheetId="9882" refreshError="1"/>
      <sheetData sheetId="9883" refreshError="1"/>
      <sheetData sheetId="9884" refreshError="1"/>
      <sheetData sheetId="9885" refreshError="1"/>
      <sheetData sheetId="9886" refreshError="1"/>
      <sheetData sheetId="9887" refreshError="1"/>
      <sheetData sheetId="9888" refreshError="1"/>
      <sheetData sheetId="9889" refreshError="1"/>
      <sheetData sheetId="9890" refreshError="1"/>
      <sheetData sheetId="9891" refreshError="1"/>
      <sheetData sheetId="9892" refreshError="1"/>
      <sheetData sheetId="9893" refreshError="1"/>
      <sheetData sheetId="9894" refreshError="1"/>
      <sheetData sheetId="9895" refreshError="1"/>
      <sheetData sheetId="9896" refreshError="1"/>
      <sheetData sheetId="9897" refreshError="1"/>
      <sheetData sheetId="9898" refreshError="1"/>
      <sheetData sheetId="9899" refreshError="1"/>
      <sheetData sheetId="9900" refreshError="1"/>
      <sheetData sheetId="9901" refreshError="1"/>
      <sheetData sheetId="9902" refreshError="1"/>
      <sheetData sheetId="9903" refreshError="1"/>
      <sheetData sheetId="9904" refreshError="1"/>
      <sheetData sheetId="9905" refreshError="1"/>
      <sheetData sheetId="9906" refreshError="1"/>
      <sheetData sheetId="9907" refreshError="1"/>
      <sheetData sheetId="9908" refreshError="1"/>
      <sheetData sheetId="9909" refreshError="1"/>
      <sheetData sheetId="9910" refreshError="1"/>
      <sheetData sheetId="9911" refreshError="1"/>
      <sheetData sheetId="9912" refreshError="1"/>
      <sheetData sheetId="9913" refreshError="1"/>
      <sheetData sheetId="9914" refreshError="1"/>
      <sheetData sheetId="9915" refreshError="1"/>
      <sheetData sheetId="9916" refreshError="1"/>
      <sheetData sheetId="9917" refreshError="1"/>
      <sheetData sheetId="9918" refreshError="1"/>
      <sheetData sheetId="9919" refreshError="1"/>
      <sheetData sheetId="9920" refreshError="1"/>
      <sheetData sheetId="9921" refreshError="1"/>
      <sheetData sheetId="9922" refreshError="1"/>
      <sheetData sheetId="9923" refreshError="1"/>
      <sheetData sheetId="9924" refreshError="1"/>
      <sheetData sheetId="9925" refreshError="1"/>
      <sheetData sheetId="9926" refreshError="1"/>
      <sheetData sheetId="9927" refreshError="1"/>
      <sheetData sheetId="9928" refreshError="1"/>
      <sheetData sheetId="9929" refreshError="1"/>
      <sheetData sheetId="9930" refreshError="1"/>
      <sheetData sheetId="9931" refreshError="1"/>
      <sheetData sheetId="9932" refreshError="1"/>
      <sheetData sheetId="9933" refreshError="1"/>
      <sheetData sheetId="9934" refreshError="1"/>
      <sheetData sheetId="9935" refreshError="1"/>
      <sheetData sheetId="9936" refreshError="1"/>
      <sheetData sheetId="9937" refreshError="1"/>
      <sheetData sheetId="9938" refreshError="1"/>
      <sheetData sheetId="9939" refreshError="1"/>
      <sheetData sheetId="9940" refreshError="1"/>
      <sheetData sheetId="9941" refreshError="1"/>
      <sheetData sheetId="9942" refreshError="1"/>
      <sheetData sheetId="9943" refreshError="1"/>
      <sheetData sheetId="9944" refreshError="1"/>
      <sheetData sheetId="9945" refreshError="1"/>
      <sheetData sheetId="9946" refreshError="1"/>
      <sheetData sheetId="9947" refreshError="1"/>
      <sheetData sheetId="9948" refreshError="1"/>
      <sheetData sheetId="9949" refreshError="1"/>
      <sheetData sheetId="9950" refreshError="1"/>
      <sheetData sheetId="9951" refreshError="1"/>
      <sheetData sheetId="9952" refreshError="1"/>
      <sheetData sheetId="9953" refreshError="1"/>
      <sheetData sheetId="9954" refreshError="1"/>
      <sheetData sheetId="9955" refreshError="1"/>
      <sheetData sheetId="9956" refreshError="1"/>
      <sheetData sheetId="9957" refreshError="1"/>
      <sheetData sheetId="9958" refreshError="1"/>
      <sheetData sheetId="9959" refreshError="1"/>
      <sheetData sheetId="9960" refreshError="1"/>
      <sheetData sheetId="9961" refreshError="1"/>
      <sheetData sheetId="9962" refreshError="1"/>
      <sheetData sheetId="9963" refreshError="1"/>
      <sheetData sheetId="9964" refreshError="1"/>
      <sheetData sheetId="9965" refreshError="1"/>
      <sheetData sheetId="9966" refreshError="1"/>
      <sheetData sheetId="9967" refreshError="1"/>
      <sheetData sheetId="9968" refreshError="1"/>
      <sheetData sheetId="9969" refreshError="1"/>
      <sheetData sheetId="9970" refreshError="1"/>
      <sheetData sheetId="9971" refreshError="1"/>
      <sheetData sheetId="9972" refreshError="1"/>
      <sheetData sheetId="9973" refreshError="1"/>
      <sheetData sheetId="9974" refreshError="1"/>
      <sheetData sheetId="9975" refreshError="1"/>
      <sheetData sheetId="9976" refreshError="1"/>
      <sheetData sheetId="9977" refreshError="1"/>
      <sheetData sheetId="9978" refreshError="1"/>
      <sheetData sheetId="9979" refreshError="1"/>
      <sheetData sheetId="9980" refreshError="1"/>
      <sheetData sheetId="9981" refreshError="1"/>
      <sheetData sheetId="9982" refreshError="1"/>
      <sheetData sheetId="9983" refreshError="1"/>
      <sheetData sheetId="9984" refreshError="1"/>
      <sheetData sheetId="9985" refreshError="1"/>
      <sheetData sheetId="9986" refreshError="1"/>
      <sheetData sheetId="9987" refreshError="1"/>
      <sheetData sheetId="9988" refreshError="1"/>
      <sheetData sheetId="9989" refreshError="1"/>
      <sheetData sheetId="9990" refreshError="1"/>
      <sheetData sheetId="9991" refreshError="1"/>
      <sheetData sheetId="9992" refreshError="1"/>
      <sheetData sheetId="9993" refreshError="1"/>
      <sheetData sheetId="9994" refreshError="1"/>
      <sheetData sheetId="9995" refreshError="1"/>
      <sheetData sheetId="9996" refreshError="1"/>
      <sheetData sheetId="9997" refreshError="1"/>
      <sheetData sheetId="9998" refreshError="1"/>
      <sheetData sheetId="9999" refreshError="1"/>
      <sheetData sheetId="10000" refreshError="1"/>
      <sheetData sheetId="10001" refreshError="1"/>
      <sheetData sheetId="10002" refreshError="1"/>
      <sheetData sheetId="10003" refreshError="1"/>
      <sheetData sheetId="10004" refreshError="1"/>
      <sheetData sheetId="10005" refreshError="1"/>
      <sheetData sheetId="10006" refreshError="1"/>
      <sheetData sheetId="10007" refreshError="1"/>
      <sheetData sheetId="10008" refreshError="1"/>
      <sheetData sheetId="10009" refreshError="1"/>
      <sheetData sheetId="10010" refreshError="1"/>
      <sheetData sheetId="10011" refreshError="1"/>
      <sheetData sheetId="10012" refreshError="1"/>
      <sheetData sheetId="10013" refreshError="1"/>
      <sheetData sheetId="10014" refreshError="1"/>
      <sheetData sheetId="10015" refreshError="1"/>
      <sheetData sheetId="10016" refreshError="1"/>
      <sheetData sheetId="10017" refreshError="1"/>
      <sheetData sheetId="10018" refreshError="1"/>
      <sheetData sheetId="10019" refreshError="1"/>
      <sheetData sheetId="10020" refreshError="1"/>
      <sheetData sheetId="10021" refreshError="1"/>
      <sheetData sheetId="10022" refreshError="1"/>
      <sheetData sheetId="10023" refreshError="1"/>
      <sheetData sheetId="10024" refreshError="1"/>
      <sheetData sheetId="10025" refreshError="1"/>
      <sheetData sheetId="10026" refreshError="1"/>
      <sheetData sheetId="10027" refreshError="1"/>
      <sheetData sheetId="10028" refreshError="1"/>
      <sheetData sheetId="10029" refreshError="1"/>
      <sheetData sheetId="10030" refreshError="1"/>
      <sheetData sheetId="10031" refreshError="1"/>
      <sheetData sheetId="10032" refreshError="1"/>
      <sheetData sheetId="10033" refreshError="1"/>
      <sheetData sheetId="10034" refreshError="1"/>
      <sheetData sheetId="10035" refreshError="1"/>
      <sheetData sheetId="10036" refreshError="1"/>
      <sheetData sheetId="10037" refreshError="1"/>
      <sheetData sheetId="10038" refreshError="1"/>
      <sheetData sheetId="10039" refreshError="1"/>
      <sheetData sheetId="10040" refreshError="1"/>
      <sheetData sheetId="10041" refreshError="1"/>
      <sheetData sheetId="10042" refreshError="1"/>
      <sheetData sheetId="10043" refreshError="1"/>
      <sheetData sheetId="10044" refreshError="1"/>
      <sheetData sheetId="10045" refreshError="1"/>
      <sheetData sheetId="10046" refreshError="1"/>
      <sheetData sheetId="10047" refreshError="1"/>
      <sheetData sheetId="10048" refreshError="1"/>
      <sheetData sheetId="10049" refreshError="1"/>
      <sheetData sheetId="10050" refreshError="1"/>
      <sheetData sheetId="10051" refreshError="1"/>
      <sheetData sheetId="10052" refreshError="1"/>
      <sheetData sheetId="10053" refreshError="1"/>
      <sheetData sheetId="10054" refreshError="1"/>
      <sheetData sheetId="10055" refreshError="1"/>
      <sheetData sheetId="10056" refreshError="1"/>
      <sheetData sheetId="10057" refreshError="1"/>
      <sheetData sheetId="10058" refreshError="1"/>
      <sheetData sheetId="10059" refreshError="1"/>
      <sheetData sheetId="10060" refreshError="1"/>
      <sheetData sheetId="10061" refreshError="1"/>
      <sheetData sheetId="10062" refreshError="1"/>
      <sheetData sheetId="10063" refreshError="1"/>
      <sheetData sheetId="10064" refreshError="1"/>
      <sheetData sheetId="10065" refreshError="1"/>
      <sheetData sheetId="10066" refreshError="1"/>
      <sheetData sheetId="10067" refreshError="1"/>
      <sheetData sheetId="10068" refreshError="1"/>
      <sheetData sheetId="10069" refreshError="1"/>
      <sheetData sheetId="10070" refreshError="1"/>
      <sheetData sheetId="10071" refreshError="1"/>
      <sheetData sheetId="10072" refreshError="1"/>
      <sheetData sheetId="10073" refreshError="1"/>
      <sheetData sheetId="10074" refreshError="1"/>
      <sheetData sheetId="10075" refreshError="1"/>
      <sheetData sheetId="10076" refreshError="1"/>
      <sheetData sheetId="10077" refreshError="1"/>
      <sheetData sheetId="10078" refreshError="1"/>
      <sheetData sheetId="10079" refreshError="1"/>
      <sheetData sheetId="10080" refreshError="1"/>
      <sheetData sheetId="10081" refreshError="1"/>
      <sheetData sheetId="10082" refreshError="1"/>
      <sheetData sheetId="10083" refreshError="1"/>
      <sheetData sheetId="10084" refreshError="1"/>
      <sheetData sheetId="10085" refreshError="1"/>
      <sheetData sheetId="10086" refreshError="1"/>
      <sheetData sheetId="10087" refreshError="1"/>
      <sheetData sheetId="10088" refreshError="1"/>
      <sheetData sheetId="10089" refreshError="1"/>
      <sheetData sheetId="10090" refreshError="1"/>
      <sheetData sheetId="10091" refreshError="1"/>
      <sheetData sheetId="10092" refreshError="1"/>
      <sheetData sheetId="10093" refreshError="1"/>
      <sheetData sheetId="10094" refreshError="1"/>
      <sheetData sheetId="10095" refreshError="1"/>
      <sheetData sheetId="10096" refreshError="1"/>
      <sheetData sheetId="10097" refreshError="1"/>
      <sheetData sheetId="10098" refreshError="1"/>
      <sheetData sheetId="10099" refreshError="1"/>
      <sheetData sheetId="10100" refreshError="1"/>
      <sheetData sheetId="10101" refreshError="1"/>
      <sheetData sheetId="10102" refreshError="1"/>
      <sheetData sheetId="10103" refreshError="1"/>
      <sheetData sheetId="10104" refreshError="1"/>
      <sheetData sheetId="10105" refreshError="1"/>
      <sheetData sheetId="10106" refreshError="1"/>
      <sheetData sheetId="10107" refreshError="1"/>
      <sheetData sheetId="10108" refreshError="1"/>
      <sheetData sheetId="10109" refreshError="1"/>
      <sheetData sheetId="10110" refreshError="1"/>
      <sheetData sheetId="10111" refreshError="1"/>
      <sheetData sheetId="10112" refreshError="1"/>
      <sheetData sheetId="10113" refreshError="1"/>
      <sheetData sheetId="10114" refreshError="1"/>
      <sheetData sheetId="10115" refreshError="1"/>
      <sheetData sheetId="10116" refreshError="1"/>
      <sheetData sheetId="10117" refreshError="1"/>
      <sheetData sheetId="10118" refreshError="1"/>
      <sheetData sheetId="10119" refreshError="1"/>
      <sheetData sheetId="10120" refreshError="1"/>
      <sheetData sheetId="10121" refreshError="1"/>
      <sheetData sheetId="10122" refreshError="1"/>
      <sheetData sheetId="10123" refreshError="1"/>
      <sheetData sheetId="10124" refreshError="1"/>
      <sheetData sheetId="10125" refreshError="1"/>
      <sheetData sheetId="10126" refreshError="1"/>
      <sheetData sheetId="10127" refreshError="1"/>
      <sheetData sheetId="10128" refreshError="1"/>
      <sheetData sheetId="10129" refreshError="1"/>
      <sheetData sheetId="10130" refreshError="1"/>
      <sheetData sheetId="10131" refreshError="1"/>
      <sheetData sheetId="10132" refreshError="1"/>
      <sheetData sheetId="10133" refreshError="1"/>
      <sheetData sheetId="10134" refreshError="1"/>
      <sheetData sheetId="10135" refreshError="1"/>
      <sheetData sheetId="10136" refreshError="1"/>
      <sheetData sheetId="10137" refreshError="1"/>
      <sheetData sheetId="10138" refreshError="1"/>
      <sheetData sheetId="10139" refreshError="1"/>
      <sheetData sheetId="10140" refreshError="1"/>
      <sheetData sheetId="10141" refreshError="1"/>
      <sheetData sheetId="10142" refreshError="1"/>
      <sheetData sheetId="10143" refreshError="1"/>
      <sheetData sheetId="10144" refreshError="1"/>
      <sheetData sheetId="10145" refreshError="1"/>
      <sheetData sheetId="10146" refreshError="1"/>
      <sheetData sheetId="10147" refreshError="1"/>
      <sheetData sheetId="10148" refreshError="1"/>
      <sheetData sheetId="10149" refreshError="1"/>
      <sheetData sheetId="10150" refreshError="1"/>
      <sheetData sheetId="10151" refreshError="1"/>
      <sheetData sheetId="10152" refreshError="1"/>
      <sheetData sheetId="10153" refreshError="1"/>
      <sheetData sheetId="10154" refreshError="1"/>
      <sheetData sheetId="10155" refreshError="1"/>
      <sheetData sheetId="10156" refreshError="1"/>
      <sheetData sheetId="10157" refreshError="1"/>
      <sheetData sheetId="10158" refreshError="1"/>
      <sheetData sheetId="10159" refreshError="1"/>
      <sheetData sheetId="10160" refreshError="1"/>
      <sheetData sheetId="10161" refreshError="1"/>
      <sheetData sheetId="10162" refreshError="1"/>
      <sheetData sheetId="10163" refreshError="1"/>
      <sheetData sheetId="10164" refreshError="1"/>
      <sheetData sheetId="10165" refreshError="1"/>
      <sheetData sheetId="10166" refreshError="1"/>
      <sheetData sheetId="10167" refreshError="1"/>
      <sheetData sheetId="10168" refreshError="1"/>
      <sheetData sheetId="10169" refreshError="1"/>
      <sheetData sheetId="10170" refreshError="1"/>
      <sheetData sheetId="10171" refreshError="1"/>
      <sheetData sheetId="10172" refreshError="1"/>
      <sheetData sheetId="10173" refreshError="1"/>
      <sheetData sheetId="10174" refreshError="1"/>
      <sheetData sheetId="10175" refreshError="1"/>
      <sheetData sheetId="10176" refreshError="1"/>
      <sheetData sheetId="10177" refreshError="1"/>
      <sheetData sheetId="10178" refreshError="1"/>
      <sheetData sheetId="10179" refreshError="1"/>
      <sheetData sheetId="10180" refreshError="1"/>
      <sheetData sheetId="10181" refreshError="1"/>
      <sheetData sheetId="10182" refreshError="1"/>
      <sheetData sheetId="10183" refreshError="1"/>
      <sheetData sheetId="10184" refreshError="1"/>
      <sheetData sheetId="10185" refreshError="1"/>
      <sheetData sheetId="10186" refreshError="1"/>
      <sheetData sheetId="10187" refreshError="1"/>
      <sheetData sheetId="10188" refreshError="1"/>
      <sheetData sheetId="10189" refreshError="1"/>
      <sheetData sheetId="10190" refreshError="1"/>
      <sheetData sheetId="10191" refreshError="1"/>
      <sheetData sheetId="10192" refreshError="1"/>
      <sheetData sheetId="10193" refreshError="1"/>
      <sheetData sheetId="10194" refreshError="1"/>
      <sheetData sheetId="10195" refreshError="1"/>
      <sheetData sheetId="10196" refreshError="1"/>
      <sheetData sheetId="10197" refreshError="1"/>
      <sheetData sheetId="10198" refreshError="1"/>
      <sheetData sheetId="10199" refreshError="1"/>
      <sheetData sheetId="10200" refreshError="1"/>
      <sheetData sheetId="10201" refreshError="1"/>
      <sheetData sheetId="10202" refreshError="1"/>
      <sheetData sheetId="10203" refreshError="1"/>
      <sheetData sheetId="10204" refreshError="1"/>
      <sheetData sheetId="10205" refreshError="1"/>
      <sheetData sheetId="10206" refreshError="1"/>
      <sheetData sheetId="10207" refreshError="1"/>
      <sheetData sheetId="10208" refreshError="1"/>
      <sheetData sheetId="10209" refreshError="1"/>
      <sheetData sheetId="10210" refreshError="1"/>
      <sheetData sheetId="10211" refreshError="1"/>
      <sheetData sheetId="10212" refreshError="1"/>
      <sheetData sheetId="10213" refreshError="1"/>
      <sheetData sheetId="10214" refreshError="1"/>
      <sheetData sheetId="10215" refreshError="1"/>
      <sheetData sheetId="10216" refreshError="1"/>
      <sheetData sheetId="10217" refreshError="1"/>
      <sheetData sheetId="10218" refreshError="1"/>
      <sheetData sheetId="10219" refreshError="1"/>
      <sheetData sheetId="10220" refreshError="1"/>
      <sheetData sheetId="10221" refreshError="1"/>
      <sheetData sheetId="10222" refreshError="1"/>
      <sheetData sheetId="10223" refreshError="1"/>
      <sheetData sheetId="10224" refreshError="1"/>
      <sheetData sheetId="10225" refreshError="1"/>
      <sheetData sheetId="10226" refreshError="1"/>
      <sheetData sheetId="10227" refreshError="1"/>
      <sheetData sheetId="10228" refreshError="1"/>
      <sheetData sheetId="10229" refreshError="1"/>
      <sheetData sheetId="10230" refreshError="1"/>
      <sheetData sheetId="10231" refreshError="1"/>
      <sheetData sheetId="10232" refreshError="1"/>
      <sheetData sheetId="10233" refreshError="1"/>
      <sheetData sheetId="10234" refreshError="1"/>
      <sheetData sheetId="10235" refreshError="1"/>
      <sheetData sheetId="10236" refreshError="1"/>
      <sheetData sheetId="10237" refreshError="1"/>
      <sheetData sheetId="10238" refreshError="1"/>
      <sheetData sheetId="10239" refreshError="1"/>
      <sheetData sheetId="10240" refreshError="1"/>
      <sheetData sheetId="10241" refreshError="1"/>
      <sheetData sheetId="10242" refreshError="1"/>
      <sheetData sheetId="10243" refreshError="1"/>
      <sheetData sheetId="10244" refreshError="1"/>
      <sheetData sheetId="10245" refreshError="1"/>
      <sheetData sheetId="10246" refreshError="1"/>
      <sheetData sheetId="10247" refreshError="1"/>
      <sheetData sheetId="10248" refreshError="1"/>
      <sheetData sheetId="10249" refreshError="1"/>
      <sheetData sheetId="10250" refreshError="1"/>
      <sheetData sheetId="10251" refreshError="1"/>
      <sheetData sheetId="10252" refreshError="1"/>
      <sheetData sheetId="10253" refreshError="1"/>
      <sheetData sheetId="10254" refreshError="1"/>
      <sheetData sheetId="10255" refreshError="1"/>
      <sheetData sheetId="10256" refreshError="1"/>
      <sheetData sheetId="10257" refreshError="1"/>
      <sheetData sheetId="10258" refreshError="1"/>
      <sheetData sheetId="10259" refreshError="1"/>
      <sheetData sheetId="10260" refreshError="1"/>
      <sheetData sheetId="10261" refreshError="1"/>
      <sheetData sheetId="10262" refreshError="1"/>
      <sheetData sheetId="10263" refreshError="1"/>
      <sheetData sheetId="10264" refreshError="1"/>
      <sheetData sheetId="10265" refreshError="1"/>
      <sheetData sheetId="10266" refreshError="1"/>
      <sheetData sheetId="10267" refreshError="1"/>
      <sheetData sheetId="10268" refreshError="1"/>
      <sheetData sheetId="10269" refreshError="1"/>
      <sheetData sheetId="10270" refreshError="1"/>
      <sheetData sheetId="10271" refreshError="1"/>
      <sheetData sheetId="10272" refreshError="1"/>
      <sheetData sheetId="10273" refreshError="1"/>
      <sheetData sheetId="10274" refreshError="1"/>
      <sheetData sheetId="10275" refreshError="1"/>
      <sheetData sheetId="10276" refreshError="1"/>
      <sheetData sheetId="10277" refreshError="1"/>
      <sheetData sheetId="10278" refreshError="1"/>
      <sheetData sheetId="10279" refreshError="1"/>
      <sheetData sheetId="10280" refreshError="1"/>
      <sheetData sheetId="10281" refreshError="1"/>
      <sheetData sheetId="10282" refreshError="1"/>
      <sheetData sheetId="10283" refreshError="1"/>
      <sheetData sheetId="10284" refreshError="1"/>
      <sheetData sheetId="10285" refreshError="1"/>
      <sheetData sheetId="10286" refreshError="1"/>
      <sheetData sheetId="10287" refreshError="1"/>
      <sheetData sheetId="10288" refreshError="1"/>
      <sheetData sheetId="10289" refreshError="1"/>
      <sheetData sheetId="10290" refreshError="1"/>
      <sheetData sheetId="10291" refreshError="1"/>
      <sheetData sheetId="10292" refreshError="1"/>
      <sheetData sheetId="10293" refreshError="1"/>
      <sheetData sheetId="10294" refreshError="1"/>
      <sheetData sheetId="10295" refreshError="1"/>
      <sheetData sheetId="10296" refreshError="1"/>
      <sheetData sheetId="10297" refreshError="1"/>
      <sheetData sheetId="10298" refreshError="1"/>
      <sheetData sheetId="10299" refreshError="1"/>
      <sheetData sheetId="10300" refreshError="1"/>
      <sheetData sheetId="10301" refreshError="1"/>
      <sheetData sheetId="10302" refreshError="1"/>
      <sheetData sheetId="10303" refreshError="1"/>
      <sheetData sheetId="10304" refreshError="1"/>
      <sheetData sheetId="10305" refreshError="1"/>
      <sheetData sheetId="10306" refreshError="1"/>
      <sheetData sheetId="10307" refreshError="1"/>
      <sheetData sheetId="10308" refreshError="1"/>
      <sheetData sheetId="10309" refreshError="1"/>
      <sheetData sheetId="10310" refreshError="1"/>
      <sheetData sheetId="10311" refreshError="1"/>
      <sheetData sheetId="10312" refreshError="1"/>
      <sheetData sheetId="10313" refreshError="1"/>
      <sheetData sheetId="10314" refreshError="1"/>
      <sheetData sheetId="10315" refreshError="1"/>
      <sheetData sheetId="10316" refreshError="1"/>
      <sheetData sheetId="10317" refreshError="1"/>
      <sheetData sheetId="10318" refreshError="1"/>
      <sheetData sheetId="10319" refreshError="1"/>
      <sheetData sheetId="10320" refreshError="1"/>
      <sheetData sheetId="10321" refreshError="1"/>
      <sheetData sheetId="10322" refreshError="1"/>
      <sheetData sheetId="10323" refreshError="1"/>
      <sheetData sheetId="10324" refreshError="1"/>
      <sheetData sheetId="10325" refreshError="1"/>
      <sheetData sheetId="10326" refreshError="1"/>
      <sheetData sheetId="10327" refreshError="1"/>
      <sheetData sheetId="10328" refreshError="1"/>
      <sheetData sheetId="10329" refreshError="1"/>
      <sheetData sheetId="10330" refreshError="1"/>
      <sheetData sheetId="10331" refreshError="1"/>
      <sheetData sheetId="10332" refreshError="1"/>
      <sheetData sheetId="10333" refreshError="1"/>
      <sheetData sheetId="10334" refreshError="1"/>
      <sheetData sheetId="10335" refreshError="1"/>
      <sheetData sheetId="10336" refreshError="1"/>
      <sheetData sheetId="10337" refreshError="1"/>
      <sheetData sheetId="10338" refreshError="1"/>
      <sheetData sheetId="10339" refreshError="1"/>
      <sheetData sheetId="10340" refreshError="1"/>
      <sheetData sheetId="10341" refreshError="1"/>
      <sheetData sheetId="10342" refreshError="1"/>
      <sheetData sheetId="10343" refreshError="1"/>
      <sheetData sheetId="10344" refreshError="1"/>
      <sheetData sheetId="10345" refreshError="1"/>
      <sheetData sheetId="10346" refreshError="1"/>
      <sheetData sheetId="10347" refreshError="1"/>
      <sheetData sheetId="10348" refreshError="1"/>
      <sheetData sheetId="10349" refreshError="1"/>
      <sheetData sheetId="10350" refreshError="1"/>
      <sheetData sheetId="10351" refreshError="1"/>
      <sheetData sheetId="10352" refreshError="1"/>
      <sheetData sheetId="10353" refreshError="1"/>
      <sheetData sheetId="10354" refreshError="1"/>
      <sheetData sheetId="10355" refreshError="1"/>
      <sheetData sheetId="10356" refreshError="1"/>
      <sheetData sheetId="10357" refreshError="1"/>
      <sheetData sheetId="10358" refreshError="1"/>
      <sheetData sheetId="10359" refreshError="1"/>
      <sheetData sheetId="10360" refreshError="1"/>
      <sheetData sheetId="10361" refreshError="1"/>
      <sheetData sheetId="10362" refreshError="1"/>
      <sheetData sheetId="10363" refreshError="1"/>
      <sheetData sheetId="10364" refreshError="1"/>
      <sheetData sheetId="10365" refreshError="1"/>
      <sheetData sheetId="10366" refreshError="1"/>
      <sheetData sheetId="10367" refreshError="1"/>
      <sheetData sheetId="10368" refreshError="1"/>
      <sheetData sheetId="10369" refreshError="1"/>
      <sheetData sheetId="10370" refreshError="1"/>
      <sheetData sheetId="10371" refreshError="1"/>
      <sheetData sheetId="10372" refreshError="1"/>
      <sheetData sheetId="10373" refreshError="1"/>
      <sheetData sheetId="10374" refreshError="1"/>
      <sheetData sheetId="10375" refreshError="1"/>
      <sheetData sheetId="10376" refreshError="1"/>
      <sheetData sheetId="10377" refreshError="1"/>
      <sheetData sheetId="10378" refreshError="1"/>
      <sheetData sheetId="10379" refreshError="1"/>
      <sheetData sheetId="10380" refreshError="1"/>
      <sheetData sheetId="10381" refreshError="1"/>
      <sheetData sheetId="10382" refreshError="1"/>
      <sheetData sheetId="10383" refreshError="1"/>
      <sheetData sheetId="10384" refreshError="1"/>
      <sheetData sheetId="10385" refreshError="1"/>
      <sheetData sheetId="10386" refreshError="1"/>
      <sheetData sheetId="10387" refreshError="1"/>
      <sheetData sheetId="10388" refreshError="1"/>
      <sheetData sheetId="10389" refreshError="1"/>
      <sheetData sheetId="10390" refreshError="1"/>
      <sheetData sheetId="10391" refreshError="1"/>
      <sheetData sheetId="10392" refreshError="1"/>
      <sheetData sheetId="10393" refreshError="1"/>
      <sheetData sheetId="10394" refreshError="1"/>
      <sheetData sheetId="10395" refreshError="1"/>
      <sheetData sheetId="10396" refreshError="1"/>
      <sheetData sheetId="10397" refreshError="1"/>
      <sheetData sheetId="10398" refreshError="1"/>
      <sheetData sheetId="10399" refreshError="1"/>
      <sheetData sheetId="10400" refreshError="1"/>
      <sheetData sheetId="10401" refreshError="1"/>
      <sheetData sheetId="10402" refreshError="1"/>
      <sheetData sheetId="10403" refreshError="1"/>
      <sheetData sheetId="10404" refreshError="1"/>
      <sheetData sheetId="10405" refreshError="1"/>
      <sheetData sheetId="10406" refreshError="1"/>
      <sheetData sheetId="10407" refreshError="1"/>
      <sheetData sheetId="10408" refreshError="1"/>
      <sheetData sheetId="10409" refreshError="1"/>
      <sheetData sheetId="10410" refreshError="1"/>
      <sheetData sheetId="10411" refreshError="1"/>
      <sheetData sheetId="10412" refreshError="1"/>
      <sheetData sheetId="10413" refreshError="1"/>
      <sheetData sheetId="10414" refreshError="1"/>
      <sheetData sheetId="10415" refreshError="1"/>
      <sheetData sheetId="10416" refreshError="1"/>
      <sheetData sheetId="10417" refreshError="1"/>
      <sheetData sheetId="10418" refreshError="1"/>
      <sheetData sheetId="10419" refreshError="1"/>
      <sheetData sheetId="10420" refreshError="1"/>
      <sheetData sheetId="10421" refreshError="1"/>
      <sheetData sheetId="10422" refreshError="1"/>
      <sheetData sheetId="10423" refreshError="1"/>
      <sheetData sheetId="10424" refreshError="1"/>
      <sheetData sheetId="10425" refreshError="1"/>
      <sheetData sheetId="10426" refreshError="1"/>
      <sheetData sheetId="10427" refreshError="1"/>
      <sheetData sheetId="10428" refreshError="1"/>
      <sheetData sheetId="10429" refreshError="1"/>
      <sheetData sheetId="10430" refreshError="1"/>
      <sheetData sheetId="10431" refreshError="1"/>
      <sheetData sheetId="10432" refreshError="1"/>
      <sheetData sheetId="10433" refreshError="1"/>
      <sheetData sheetId="10434" refreshError="1"/>
      <sheetData sheetId="10435" refreshError="1"/>
      <sheetData sheetId="10436" refreshError="1"/>
      <sheetData sheetId="10437" refreshError="1"/>
      <sheetData sheetId="10438" refreshError="1"/>
      <sheetData sheetId="10439" refreshError="1"/>
      <sheetData sheetId="10440" refreshError="1"/>
      <sheetData sheetId="10441" refreshError="1"/>
      <sheetData sheetId="10442" refreshError="1"/>
      <sheetData sheetId="10443" refreshError="1"/>
      <sheetData sheetId="10444" refreshError="1"/>
      <sheetData sheetId="10445" refreshError="1"/>
      <sheetData sheetId="10446" refreshError="1"/>
      <sheetData sheetId="10447" refreshError="1"/>
      <sheetData sheetId="10448" refreshError="1"/>
      <sheetData sheetId="10449" refreshError="1"/>
      <sheetData sheetId="10450" refreshError="1"/>
      <sheetData sheetId="10451" refreshError="1"/>
      <sheetData sheetId="10452" refreshError="1"/>
      <sheetData sheetId="10453" refreshError="1"/>
      <sheetData sheetId="10454" refreshError="1"/>
      <sheetData sheetId="10455" refreshError="1"/>
      <sheetData sheetId="10456" refreshError="1"/>
      <sheetData sheetId="10457" refreshError="1"/>
      <sheetData sheetId="10458" refreshError="1"/>
      <sheetData sheetId="10459" refreshError="1"/>
      <sheetData sheetId="10460" refreshError="1"/>
      <sheetData sheetId="10461" refreshError="1"/>
      <sheetData sheetId="10462" refreshError="1"/>
      <sheetData sheetId="10463" refreshError="1"/>
      <sheetData sheetId="10464" refreshError="1"/>
      <sheetData sheetId="10465" refreshError="1"/>
      <sheetData sheetId="10466" refreshError="1"/>
      <sheetData sheetId="10467" refreshError="1"/>
      <sheetData sheetId="10468" refreshError="1"/>
      <sheetData sheetId="10469" refreshError="1"/>
      <sheetData sheetId="10470" refreshError="1"/>
      <sheetData sheetId="10471" refreshError="1"/>
      <sheetData sheetId="10472" refreshError="1"/>
      <sheetData sheetId="10473" refreshError="1"/>
      <sheetData sheetId="10474" refreshError="1"/>
      <sheetData sheetId="10475" refreshError="1"/>
      <sheetData sheetId="10476" refreshError="1"/>
      <sheetData sheetId="10477" refreshError="1"/>
      <sheetData sheetId="10478" refreshError="1"/>
      <sheetData sheetId="10479" refreshError="1"/>
      <sheetData sheetId="10480" refreshError="1"/>
      <sheetData sheetId="10481" refreshError="1"/>
      <sheetData sheetId="10482" refreshError="1"/>
      <sheetData sheetId="10483" refreshError="1"/>
      <sheetData sheetId="10484" refreshError="1"/>
      <sheetData sheetId="10485" refreshError="1"/>
      <sheetData sheetId="10486" refreshError="1"/>
      <sheetData sheetId="10487" refreshError="1"/>
      <sheetData sheetId="10488" refreshError="1"/>
      <sheetData sheetId="10489" refreshError="1"/>
      <sheetData sheetId="10490" refreshError="1"/>
      <sheetData sheetId="10491" refreshError="1"/>
      <sheetData sheetId="10492" refreshError="1"/>
      <sheetData sheetId="10493" refreshError="1"/>
      <sheetData sheetId="10494" refreshError="1"/>
      <sheetData sheetId="10495" refreshError="1"/>
      <sheetData sheetId="10496" refreshError="1"/>
      <sheetData sheetId="10497" refreshError="1"/>
      <sheetData sheetId="10498" refreshError="1"/>
      <sheetData sheetId="10499" refreshError="1"/>
      <sheetData sheetId="10500" refreshError="1"/>
      <sheetData sheetId="10501" refreshError="1"/>
      <sheetData sheetId="10502" refreshError="1"/>
      <sheetData sheetId="10503" refreshError="1"/>
      <sheetData sheetId="10504" refreshError="1"/>
      <sheetData sheetId="10505" refreshError="1"/>
      <sheetData sheetId="10506" refreshError="1"/>
      <sheetData sheetId="10507" refreshError="1"/>
      <sheetData sheetId="10508" refreshError="1"/>
      <sheetData sheetId="10509" refreshError="1"/>
      <sheetData sheetId="10510" refreshError="1"/>
      <sheetData sheetId="10511" refreshError="1"/>
      <sheetData sheetId="10512" refreshError="1"/>
      <sheetData sheetId="10513" refreshError="1"/>
      <sheetData sheetId="10514" refreshError="1"/>
      <sheetData sheetId="10515" refreshError="1"/>
      <sheetData sheetId="10516" refreshError="1"/>
      <sheetData sheetId="10517" refreshError="1"/>
      <sheetData sheetId="10518" refreshError="1"/>
      <sheetData sheetId="10519" refreshError="1"/>
      <sheetData sheetId="10520" refreshError="1"/>
      <sheetData sheetId="10521" refreshError="1"/>
      <sheetData sheetId="10522" refreshError="1"/>
      <sheetData sheetId="10523" refreshError="1"/>
      <sheetData sheetId="10524" refreshError="1"/>
      <sheetData sheetId="10525" refreshError="1"/>
      <sheetData sheetId="10526" refreshError="1"/>
      <sheetData sheetId="10527" refreshError="1"/>
      <sheetData sheetId="10528" refreshError="1"/>
      <sheetData sheetId="10529" refreshError="1"/>
      <sheetData sheetId="10530" refreshError="1"/>
      <sheetData sheetId="10531" refreshError="1"/>
      <sheetData sheetId="10532" refreshError="1"/>
      <sheetData sheetId="10533" refreshError="1"/>
      <sheetData sheetId="10534" refreshError="1"/>
      <sheetData sheetId="10535" refreshError="1"/>
      <sheetData sheetId="10536" refreshError="1"/>
      <sheetData sheetId="10537" refreshError="1"/>
      <sheetData sheetId="10538" refreshError="1"/>
      <sheetData sheetId="10539" refreshError="1"/>
      <sheetData sheetId="10540" refreshError="1"/>
      <sheetData sheetId="10541" refreshError="1"/>
      <sheetData sheetId="10542" refreshError="1"/>
      <sheetData sheetId="10543" refreshError="1"/>
      <sheetData sheetId="10544" refreshError="1"/>
      <sheetData sheetId="10545" refreshError="1"/>
      <sheetData sheetId="10546" refreshError="1"/>
      <sheetData sheetId="10547" refreshError="1"/>
      <sheetData sheetId="10548" refreshError="1"/>
      <sheetData sheetId="10549" refreshError="1"/>
      <sheetData sheetId="10550" refreshError="1"/>
      <sheetData sheetId="10551" refreshError="1"/>
      <sheetData sheetId="10552" refreshError="1"/>
      <sheetData sheetId="10553" refreshError="1"/>
      <sheetData sheetId="10554" refreshError="1"/>
      <sheetData sheetId="10555" refreshError="1"/>
      <sheetData sheetId="10556" refreshError="1"/>
      <sheetData sheetId="10557" refreshError="1"/>
      <sheetData sheetId="10558" refreshError="1"/>
      <sheetData sheetId="10559" refreshError="1"/>
      <sheetData sheetId="10560" refreshError="1"/>
      <sheetData sheetId="10561" refreshError="1"/>
      <sheetData sheetId="10562" refreshError="1"/>
      <sheetData sheetId="10563" refreshError="1"/>
      <sheetData sheetId="10564" refreshError="1"/>
      <sheetData sheetId="10565" refreshError="1"/>
      <sheetData sheetId="10566" refreshError="1"/>
      <sheetData sheetId="10567" refreshError="1"/>
      <sheetData sheetId="10568" refreshError="1"/>
      <sheetData sheetId="10569" refreshError="1"/>
      <sheetData sheetId="10570" refreshError="1"/>
      <sheetData sheetId="10571" refreshError="1"/>
      <sheetData sheetId="10572" refreshError="1"/>
      <sheetData sheetId="10573" refreshError="1"/>
      <sheetData sheetId="10574" refreshError="1"/>
      <sheetData sheetId="10575" refreshError="1"/>
      <sheetData sheetId="10576" refreshError="1"/>
      <sheetData sheetId="10577" refreshError="1"/>
      <sheetData sheetId="10578" refreshError="1"/>
      <sheetData sheetId="10579" refreshError="1"/>
      <sheetData sheetId="10580" refreshError="1"/>
      <sheetData sheetId="10581" refreshError="1"/>
      <sheetData sheetId="10582" refreshError="1"/>
      <sheetData sheetId="10583" refreshError="1"/>
      <sheetData sheetId="10584" refreshError="1"/>
      <sheetData sheetId="10585" refreshError="1"/>
      <sheetData sheetId="10586" refreshError="1"/>
      <sheetData sheetId="10587" refreshError="1"/>
      <sheetData sheetId="10588" refreshError="1"/>
      <sheetData sheetId="10589" refreshError="1"/>
      <sheetData sheetId="10590" refreshError="1"/>
      <sheetData sheetId="10591" refreshError="1"/>
      <sheetData sheetId="10592" refreshError="1"/>
      <sheetData sheetId="10593" refreshError="1"/>
      <sheetData sheetId="10594" refreshError="1"/>
      <sheetData sheetId="10595" refreshError="1"/>
      <sheetData sheetId="10596" refreshError="1"/>
      <sheetData sheetId="10597" refreshError="1"/>
      <sheetData sheetId="10598" refreshError="1"/>
      <sheetData sheetId="10599" refreshError="1"/>
      <sheetData sheetId="10600" refreshError="1"/>
      <sheetData sheetId="10601" refreshError="1"/>
      <sheetData sheetId="10602" refreshError="1"/>
      <sheetData sheetId="10603" refreshError="1"/>
      <sheetData sheetId="10604" refreshError="1"/>
      <sheetData sheetId="10605" refreshError="1"/>
      <sheetData sheetId="10606" refreshError="1"/>
      <sheetData sheetId="10607" refreshError="1"/>
      <sheetData sheetId="10608" refreshError="1"/>
      <sheetData sheetId="10609" refreshError="1"/>
      <sheetData sheetId="10610" refreshError="1"/>
      <sheetData sheetId="10611" refreshError="1"/>
      <sheetData sheetId="10612" refreshError="1"/>
      <sheetData sheetId="10613" refreshError="1"/>
      <sheetData sheetId="10614" refreshError="1"/>
      <sheetData sheetId="10615" refreshError="1"/>
      <sheetData sheetId="10616" refreshError="1"/>
      <sheetData sheetId="10617" refreshError="1"/>
      <sheetData sheetId="10618" refreshError="1"/>
      <sheetData sheetId="10619" refreshError="1"/>
      <sheetData sheetId="10620" refreshError="1"/>
      <sheetData sheetId="10621" refreshError="1"/>
      <sheetData sheetId="10622" refreshError="1"/>
      <sheetData sheetId="10623" refreshError="1"/>
      <sheetData sheetId="10624" refreshError="1"/>
      <sheetData sheetId="10625" refreshError="1"/>
      <sheetData sheetId="10626" refreshError="1"/>
      <sheetData sheetId="10627" refreshError="1"/>
      <sheetData sheetId="10628" refreshError="1"/>
      <sheetData sheetId="10629" refreshError="1"/>
      <sheetData sheetId="10630" refreshError="1"/>
      <sheetData sheetId="10631" refreshError="1"/>
      <sheetData sheetId="10632" refreshError="1"/>
      <sheetData sheetId="10633" refreshError="1"/>
      <sheetData sheetId="10634" refreshError="1"/>
      <sheetData sheetId="10635" refreshError="1"/>
      <sheetData sheetId="10636" refreshError="1"/>
      <sheetData sheetId="10637" refreshError="1"/>
      <sheetData sheetId="10638" refreshError="1"/>
      <sheetData sheetId="10639" refreshError="1"/>
      <sheetData sheetId="10640" refreshError="1"/>
      <sheetData sheetId="10641" refreshError="1"/>
      <sheetData sheetId="10642" refreshError="1"/>
      <sheetData sheetId="10643" refreshError="1"/>
      <sheetData sheetId="10644" refreshError="1"/>
      <sheetData sheetId="10645" refreshError="1"/>
      <sheetData sheetId="10646" refreshError="1"/>
      <sheetData sheetId="10647" refreshError="1"/>
      <sheetData sheetId="10648" refreshError="1"/>
      <sheetData sheetId="10649" refreshError="1"/>
      <sheetData sheetId="10650" refreshError="1"/>
      <sheetData sheetId="10651" refreshError="1"/>
      <sheetData sheetId="10652" refreshError="1"/>
      <sheetData sheetId="10653" refreshError="1"/>
      <sheetData sheetId="10654" refreshError="1"/>
      <sheetData sheetId="10655" refreshError="1"/>
      <sheetData sheetId="10656" refreshError="1"/>
      <sheetData sheetId="10657" refreshError="1"/>
      <sheetData sheetId="10658" refreshError="1"/>
      <sheetData sheetId="10659" refreshError="1"/>
      <sheetData sheetId="10660" refreshError="1"/>
      <sheetData sheetId="10661" refreshError="1"/>
      <sheetData sheetId="10662" refreshError="1"/>
      <sheetData sheetId="10663" refreshError="1"/>
      <sheetData sheetId="10664" refreshError="1"/>
      <sheetData sheetId="10665" refreshError="1"/>
      <sheetData sheetId="10666" refreshError="1"/>
      <sheetData sheetId="10667" refreshError="1"/>
      <sheetData sheetId="10668" refreshError="1"/>
      <sheetData sheetId="10669" refreshError="1"/>
      <sheetData sheetId="10670" refreshError="1"/>
      <sheetData sheetId="10671" refreshError="1"/>
      <sheetData sheetId="10672" refreshError="1"/>
      <sheetData sheetId="10673" refreshError="1"/>
      <sheetData sheetId="10674" refreshError="1"/>
      <sheetData sheetId="10675" refreshError="1"/>
      <sheetData sheetId="10676" refreshError="1"/>
      <sheetData sheetId="10677" refreshError="1"/>
      <sheetData sheetId="10678" refreshError="1"/>
      <sheetData sheetId="10679" refreshError="1"/>
      <sheetData sheetId="10680" refreshError="1"/>
      <sheetData sheetId="10681" refreshError="1"/>
      <sheetData sheetId="10682" refreshError="1"/>
      <sheetData sheetId="10683" refreshError="1"/>
      <sheetData sheetId="10684" refreshError="1"/>
      <sheetData sheetId="10685" refreshError="1"/>
      <sheetData sheetId="10686" refreshError="1"/>
      <sheetData sheetId="10687" refreshError="1"/>
      <sheetData sheetId="10688" refreshError="1"/>
      <sheetData sheetId="10689" refreshError="1"/>
      <sheetData sheetId="10690" refreshError="1"/>
      <sheetData sheetId="10691" refreshError="1"/>
      <sheetData sheetId="10692" refreshError="1"/>
      <sheetData sheetId="10693" refreshError="1"/>
      <sheetData sheetId="10694" refreshError="1"/>
      <sheetData sheetId="10695" refreshError="1"/>
      <sheetData sheetId="10696" refreshError="1"/>
      <sheetData sheetId="10697" refreshError="1"/>
      <sheetData sheetId="10698" refreshError="1"/>
      <sheetData sheetId="10699" refreshError="1"/>
      <sheetData sheetId="10700" refreshError="1"/>
      <sheetData sheetId="10701" refreshError="1"/>
      <sheetData sheetId="10702" refreshError="1"/>
      <sheetData sheetId="10703" refreshError="1"/>
      <sheetData sheetId="10704" refreshError="1"/>
      <sheetData sheetId="10705" refreshError="1"/>
      <sheetData sheetId="10706" refreshError="1"/>
      <sheetData sheetId="10707" refreshError="1"/>
      <sheetData sheetId="10708" refreshError="1"/>
      <sheetData sheetId="10709" refreshError="1"/>
      <sheetData sheetId="10710" refreshError="1"/>
      <sheetData sheetId="10711" refreshError="1"/>
      <sheetData sheetId="10712" refreshError="1"/>
      <sheetData sheetId="10713" refreshError="1"/>
      <sheetData sheetId="10714" refreshError="1"/>
      <sheetData sheetId="10715" refreshError="1"/>
      <sheetData sheetId="10716" refreshError="1"/>
      <sheetData sheetId="10717" refreshError="1"/>
      <sheetData sheetId="10718" refreshError="1"/>
      <sheetData sheetId="10719" refreshError="1"/>
      <sheetData sheetId="10720" refreshError="1"/>
      <sheetData sheetId="10721" refreshError="1"/>
      <sheetData sheetId="10722" refreshError="1"/>
      <sheetData sheetId="10723" refreshError="1"/>
      <sheetData sheetId="10724" refreshError="1"/>
      <sheetData sheetId="10725" refreshError="1"/>
      <sheetData sheetId="10726" refreshError="1"/>
      <sheetData sheetId="10727" refreshError="1"/>
      <sheetData sheetId="10728" refreshError="1"/>
      <sheetData sheetId="10729" refreshError="1"/>
      <sheetData sheetId="10730" refreshError="1"/>
      <sheetData sheetId="10731" refreshError="1"/>
      <sheetData sheetId="10732" refreshError="1"/>
      <sheetData sheetId="10733" refreshError="1"/>
      <sheetData sheetId="10734" refreshError="1"/>
      <sheetData sheetId="10735" refreshError="1"/>
      <sheetData sheetId="10736" refreshError="1"/>
      <sheetData sheetId="10737" refreshError="1"/>
      <sheetData sheetId="10738" refreshError="1"/>
      <sheetData sheetId="10739" refreshError="1"/>
      <sheetData sheetId="10740" refreshError="1"/>
      <sheetData sheetId="10741" refreshError="1"/>
      <sheetData sheetId="10742" refreshError="1"/>
      <sheetData sheetId="10743" refreshError="1"/>
      <sheetData sheetId="10744" refreshError="1"/>
      <sheetData sheetId="10745" refreshError="1"/>
      <sheetData sheetId="10746" refreshError="1"/>
      <sheetData sheetId="10747" refreshError="1"/>
      <sheetData sheetId="10748" refreshError="1"/>
      <sheetData sheetId="10749" refreshError="1"/>
      <sheetData sheetId="10750" refreshError="1"/>
      <sheetData sheetId="10751" refreshError="1"/>
      <sheetData sheetId="10752" refreshError="1"/>
      <sheetData sheetId="10753" refreshError="1"/>
      <sheetData sheetId="10754" refreshError="1"/>
      <sheetData sheetId="10755" refreshError="1"/>
      <sheetData sheetId="10756" refreshError="1"/>
      <sheetData sheetId="10757" refreshError="1"/>
      <sheetData sheetId="10758" refreshError="1"/>
      <sheetData sheetId="10759" refreshError="1"/>
      <sheetData sheetId="10760" refreshError="1"/>
      <sheetData sheetId="10761" refreshError="1"/>
      <sheetData sheetId="10762" refreshError="1"/>
      <sheetData sheetId="10763" refreshError="1"/>
      <sheetData sheetId="10764" refreshError="1"/>
      <sheetData sheetId="10765" refreshError="1"/>
      <sheetData sheetId="10766" refreshError="1"/>
      <sheetData sheetId="10767" refreshError="1"/>
      <sheetData sheetId="10768" refreshError="1"/>
      <sheetData sheetId="10769" refreshError="1"/>
      <sheetData sheetId="10770" refreshError="1"/>
      <sheetData sheetId="10771" refreshError="1"/>
      <sheetData sheetId="10772" refreshError="1"/>
      <sheetData sheetId="10773" refreshError="1"/>
      <sheetData sheetId="10774" refreshError="1"/>
      <sheetData sheetId="10775" refreshError="1"/>
      <sheetData sheetId="10776" refreshError="1"/>
      <sheetData sheetId="10777" refreshError="1"/>
      <sheetData sheetId="10778" refreshError="1"/>
      <sheetData sheetId="10779" refreshError="1"/>
      <sheetData sheetId="10780" refreshError="1"/>
      <sheetData sheetId="10781" refreshError="1"/>
      <sheetData sheetId="10782" refreshError="1"/>
      <sheetData sheetId="10783" refreshError="1"/>
      <sheetData sheetId="10784" refreshError="1"/>
      <sheetData sheetId="10785" refreshError="1"/>
      <sheetData sheetId="10786" refreshError="1"/>
      <sheetData sheetId="10787" refreshError="1"/>
      <sheetData sheetId="10788" refreshError="1"/>
      <sheetData sheetId="10789" refreshError="1"/>
      <sheetData sheetId="10790" refreshError="1"/>
      <sheetData sheetId="10791" refreshError="1"/>
      <sheetData sheetId="10792" refreshError="1"/>
      <sheetData sheetId="10793" refreshError="1"/>
      <sheetData sheetId="10794" refreshError="1"/>
      <sheetData sheetId="10795" refreshError="1"/>
      <sheetData sheetId="10796" refreshError="1"/>
      <sheetData sheetId="10797" refreshError="1"/>
      <sheetData sheetId="10798" refreshError="1"/>
      <sheetData sheetId="10799" refreshError="1"/>
      <sheetData sheetId="10800" refreshError="1"/>
      <sheetData sheetId="10801" refreshError="1"/>
      <sheetData sheetId="10802" refreshError="1"/>
      <sheetData sheetId="10803" refreshError="1"/>
      <sheetData sheetId="10804" refreshError="1"/>
      <sheetData sheetId="10805" refreshError="1"/>
      <sheetData sheetId="10806" refreshError="1"/>
      <sheetData sheetId="10807" refreshError="1"/>
      <sheetData sheetId="10808" refreshError="1"/>
      <sheetData sheetId="10809" refreshError="1"/>
      <sheetData sheetId="10810" refreshError="1"/>
      <sheetData sheetId="10811" refreshError="1"/>
      <sheetData sheetId="10812" refreshError="1"/>
      <sheetData sheetId="10813" refreshError="1"/>
      <sheetData sheetId="10814" refreshError="1"/>
      <sheetData sheetId="10815" refreshError="1"/>
      <sheetData sheetId="10816" refreshError="1"/>
      <sheetData sheetId="10817" refreshError="1"/>
      <sheetData sheetId="10818" refreshError="1"/>
      <sheetData sheetId="10819" refreshError="1"/>
      <sheetData sheetId="10820" refreshError="1"/>
      <sheetData sheetId="10821" refreshError="1"/>
      <sheetData sheetId="10822" refreshError="1"/>
      <sheetData sheetId="10823" refreshError="1"/>
      <sheetData sheetId="10824" refreshError="1"/>
      <sheetData sheetId="10825" refreshError="1"/>
      <sheetData sheetId="10826" refreshError="1"/>
      <sheetData sheetId="10827" refreshError="1"/>
      <sheetData sheetId="10828" refreshError="1"/>
      <sheetData sheetId="10829" refreshError="1"/>
      <sheetData sheetId="10830" refreshError="1"/>
      <sheetData sheetId="10831" refreshError="1"/>
      <sheetData sheetId="10832" refreshError="1"/>
      <sheetData sheetId="10833" refreshError="1"/>
      <sheetData sheetId="10834" refreshError="1"/>
      <sheetData sheetId="10835" refreshError="1"/>
      <sheetData sheetId="10836" refreshError="1"/>
      <sheetData sheetId="10837" refreshError="1"/>
      <sheetData sheetId="10838" refreshError="1"/>
      <sheetData sheetId="10839" refreshError="1"/>
      <sheetData sheetId="10840" refreshError="1"/>
      <sheetData sheetId="10841" refreshError="1"/>
      <sheetData sheetId="10842" refreshError="1"/>
      <sheetData sheetId="10843" refreshError="1"/>
      <sheetData sheetId="10844" refreshError="1"/>
      <sheetData sheetId="10845" refreshError="1"/>
      <sheetData sheetId="10846" refreshError="1"/>
      <sheetData sheetId="10847" refreshError="1"/>
      <sheetData sheetId="10848" refreshError="1"/>
      <sheetData sheetId="10849" refreshError="1"/>
      <sheetData sheetId="10850" refreshError="1"/>
      <sheetData sheetId="10851" refreshError="1"/>
      <sheetData sheetId="10852" refreshError="1"/>
      <sheetData sheetId="10853" refreshError="1"/>
      <sheetData sheetId="10854" refreshError="1"/>
      <sheetData sheetId="10855" refreshError="1"/>
      <sheetData sheetId="10856" refreshError="1"/>
      <sheetData sheetId="10857" refreshError="1"/>
      <sheetData sheetId="10858" refreshError="1"/>
      <sheetData sheetId="10859" refreshError="1"/>
      <sheetData sheetId="10860" refreshError="1"/>
      <sheetData sheetId="10861" refreshError="1"/>
      <sheetData sheetId="10862" refreshError="1"/>
      <sheetData sheetId="10863" refreshError="1"/>
      <sheetData sheetId="10864" refreshError="1"/>
      <sheetData sheetId="10865" refreshError="1"/>
      <sheetData sheetId="10866" refreshError="1"/>
      <sheetData sheetId="10867" refreshError="1"/>
      <sheetData sheetId="10868" refreshError="1"/>
      <sheetData sheetId="10869" refreshError="1"/>
      <sheetData sheetId="10870" refreshError="1"/>
      <sheetData sheetId="10871" refreshError="1"/>
      <sheetData sheetId="10872" refreshError="1"/>
      <sheetData sheetId="10873" refreshError="1"/>
      <sheetData sheetId="10874" refreshError="1"/>
      <sheetData sheetId="10875" refreshError="1"/>
      <sheetData sheetId="10876" refreshError="1"/>
      <sheetData sheetId="10877" refreshError="1"/>
      <sheetData sheetId="10878" refreshError="1"/>
      <sheetData sheetId="10879" refreshError="1"/>
      <sheetData sheetId="10880" refreshError="1"/>
      <sheetData sheetId="10881" refreshError="1"/>
      <sheetData sheetId="10882" refreshError="1"/>
      <sheetData sheetId="10883" refreshError="1"/>
      <sheetData sheetId="10884" refreshError="1"/>
      <sheetData sheetId="10885" refreshError="1"/>
      <sheetData sheetId="10886" refreshError="1"/>
      <sheetData sheetId="10887" refreshError="1"/>
      <sheetData sheetId="10888" refreshError="1"/>
      <sheetData sheetId="10889" refreshError="1"/>
      <sheetData sheetId="10890" refreshError="1"/>
      <sheetData sheetId="10891" refreshError="1"/>
      <sheetData sheetId="10892" refreshError="1"/>
      <sheetData sheetId="10893" refreshError="1"/>
      <sheetData sheetId="10894" refreshError="1"/>
      <sheetData sheetId="10895" refreshError="1"/>
      <sheetData sheetId="10896" refreshError="1"/>
      <sheetData sheetId="10897" refreshError="1"/>
      <sheetData sheetId="10898" refreshError="1"/>
      <sheetData sheetId="10899" refreshError="1"/>
      <sheetData sheetId="10900" refreshError="1"/>
      <sheetData sheetId="10901" refreshError="1"/>
      <sheetData sheetId="10902" refreshError="1"/>
      <sheetData sheetId="10903" refreshError="1"/>
      <sheetData sheetId="10904" refreshError="1"/>
      <sheetData sheetId="10905" refreshError="1"/>
      <sheetData sheetId="10906" refreshError="1"/>
      <sheetData sheetId="10907" refreshError="1"/>
      <sheetData sheetId="10908" refreshError="1"/>
      <sheetData sheetId="10909" refreshError="1"/>
      <sheetData sheetId="10910" refreshError="1"/>
      <sheetData sheetId="10911" refreshError="1"/>
      <sheetData sheetId="10912" refreshError="1"/>
      <sheetData sheetId="10913" refreshError="1"/>
      <sheetData sheetId="10914" refreshError="1"/>
      <sheetData sheetId="10915" refreshError="1"/>
      <sheetData sheetId="10916" refreshError="1"/>
      <sheetData sheetId="10917" refreshError="1"/>
      <sheetData sheetId="10918" refreshError="1"/>
      <sheetData sheetId="10919" refreshError="1"/>
      <sheetData sheetId="10920" refreshError="1"/>
      <sheetData sheetId="10921" refreshError="1"/>
      <sheetData sheetId="10922" refreshError="1"/>
      <sheetData sheetId="10923" refreshError="1"/>
      <sheetData sheetId="10924" refreshError="1"/>
      <sheetData sheetId="10925" refreshError="1"/>
      <sheetData sheetId="10926" refreshError="1"/>
      <sheetData sheetId="10927" refreshError="1"/>
      <sheetData sheetId="10928" refreshError="1"/>
      <sheetData sheetId="10929" refreshError="1"/>
      <sheetData sheetId="10930" refreshError="1"/>
      <sheetData sheetId="10931" refreshError="1"/>
      <sheetData sheetId="10932" refreshError="1"/>
      <sheetData sheetId="10933" refreshError="1"/>
      <sheetData sheetId="10934" refreshError="1"/>
      <sheetData sheetId="10935" refreshError="1"/>
      <sheetData sheetId="10936" refreshError="1"/>
      <sheetData sheetId="10937" refreshError="1"/>
      <sheetData sheetId="10938" refreshError="1"/>
      <sheetData sheetId="10939" refreshError="1"/>
      <sheetData sheetId="10940" refreshError="1"/>
      <sheetData sheetId="10941" refreshError="1"/>
      <sheetData sheetId="10942" refreshError="1"/>
      <sheetData sheetId="10943" refreshError="1"/>
      <sheetData sheetId="10944" refreshError="1"/>
      <sheetData sheetId="10945" refreshError="1"/>
      <sheetData sheetId="10946" refreshError="1"/>
      <sheetData sheetId="10947" refreshError="1"/>
      <sheetData sheetId="10948" refreshError="1"/>
      <sheetData sheetId="10949" refreshError="1"/>
      <sheetData sheetId="10950" refreshError="1"/>
      <sheetData sheetId="10951" refreshError="1"/>
      <sheetData sheetId="10952" refreshError="1"/>
      <sheetData sheetId="10953" refreshError="1"/>
      <sheetData sheetId="10954" refreshError="1"/>
      <sheetData sheetId="10955" refreshError="1"/>
      <sheetData sheetId="10956" refreshError="1"/>
      <sheetData sheetId="10957" refreshError="1"/>
      <sheetData sheetId="10958" refreshError="1"/>
      <sheetData sheetId="10959" refreshError="1"/>
      <sheetData sheetId="10960" refreshError="1"/>
      <sheetData sheetId="10961" refreshError="1"/>
      <sheetData sheetId="10962" refreshError="1"/>
      <sheetData sheetId="10963" refreshError="1"/>
      <sheetData sheetId="10964" refreshError="1"/>
      <sheetData sheetId="10965" refreshError="1"/>
      <sheetData sheetId="10966" refreshError="1"/>
      <sheetData sheetId="10967" refreshError="1"/>
      <sheetData sheetId="10968" refreshError="1"/>
      <sheetData sheetId="10969" refreshError="1"/>
      <sheetData sheetId="10970" refreshError="1"/>
      <sheetData sheetId="10971" refreshError="1"/>
      <sheetData sheetId="10972" refreshError="1"/>
      <sheetData sheetId="10973" refreshError="1"/>
      <sheetData sheetId="10974" refreshError="1"/>
      <sheetData sheetId="10975" refreshError="1"/>
      <sheetData sheetId="10976" refreshError="1"/>
      <sheetData sheetId="10977" refreshError="1"/>
      <sheetData sheetId="10978" refreshError="1"/>
      <sheetData sheetId="10979" refreshError="1"/>
      <sheetData sheetId="10980" refreshError="1"/>
      <sheetData sheetId="10981" refreshError="1"/>
      <sheetData sheetId="10982" refreshError="1"/>
      <sheetData sheetId="10983" refreshError="1"/>
      <sheetData sheetId="10984" refreshError="1"/>
      <sheetData sheetId="10985" refreshError="1"/>
      <sheetData sheetId="10986" refreshError="1"/>
      <sheetData sheetId="10987" refreshError="1"/>
      <sheetData sheetId="10988" refreshError="1"/>
      <sheetData sheetId="10989" refreshError="1"/>
      <sheetData sheetId="10990" refreshError="1"/>
      <sheetData sheetId="10991" refreshError="1"/>
      <sheetData sheetId="10992" refreshError="1"/>
      <sheetData sheetId="10993" refreshError="1"/>
      <sheetData sheetId="10994" refreshError="1"/>
      <sheetData sheetId="10995" refreshError="1"/>
      <sheetData sheetId="10996" refreshError="1"/>
      <sheetData sheetId="10997" refreshError="1"/>
      <sheetData sheetId="10998" refreshError="1"/>
      <sheetData sheetId="10999" refreshError="1"/>
      <sheetData sheetId="11000" refreshError="1"/>
      <sheetData sheetId="11001" refreshError="1"/>
      <sheetData sheetId="11002" refreshError="1"/>
      <sheetData sheetId="11003" refreshError="1"/>
      <sheetData sheetId="11004" refreshError="1"/>
      <sheetData sheetId="11005" refreshError="1"/>
      <sheetData sheetId="11006" refreshError="1"/>
      <sheetData sheetId="11007" refreshError="1"/>
      <sheetData sheetId="11008" refreshError="1"/>
      <sheetData sheetId="11009" refreshError="1"/>
      <sheetData sheetId="11010" refreshError="1"/>
      <sheetData sheetId="11011" refreshError="1"/>
      <sheetData sheetId="11012" refreshError="1"/>
      <sheetData sheetId="11013" refreshError="1"/>
      <sheetData sheetId="11014" refreshError="1"/>
      <sheetData sheetId="11015" refreshError="1"/>
      <sheetData sheetId="11016" refreshError="1"/>
      <sheetData sheetId="11017" refreshError="1"/>
      <sheetData sheetId="11018" refreshError="1"/>
      <sheetData sheetId="11019" refreshError="1"/>
      <sheetData sheetId="11020" refreshError="1"/>
      <sheetData sheetId="11021" refreshError="1"/>
      <sheetData sheetId="11022" refreshError="1"/>
      <sheetData sheetId="11023" refreshError="1"/>
      <sheetData sheetId="11024" refreshError="1"/>
      <sheetData sheetId="11025" refreshError="1"/>
      <sheetData sheetId="11026" refreshError="1"/>
      <sheetData sheetId="11027" refreshError="1"/>
      <sheetData sheetId="11028" refreshError="1"/>
      <sheetData sheetId="11029" refreshError="1"/>
      <sheetData sheetId="11030" refreshError="1"/>
      <sheetData sheetId="11031" refreshError="1"/>
      <sheetData sheetId="11032" refreshError="1"/>
      <sheetData sheetId="11033" refreshError="1"/>
      <sheetData sheetId="11034" refreshError="1"/>
      <sheetData sheetId="11035" refreshError="1"/>
      <sheetData sheetId="11036" refreshError="1"/>
      <sheetData sheetId="11037" refreshError="1"/>
      <sheetData sheetId="11038" refreshError="1"/>
      <sheetData sheetId="11039" refreshError="1"/>
      <sheetData sheetId="11040" refreshError="1"/>
      <sheetData sheetId="11041" refreshError="1"/>
      <sheetData sheetId="11042" refreshError="1"/>
      <sheetData sheetId="11043" refreshError="1"/>
      <sheetData sheetId="11044" refreshError="1"/>
      <sheetData sheetId="11045" refreshError="1"/>
      <sheetData sheetId="11046" refreshError="1"/>
      <sheetData sheetId="11047" refreshError="1"/>
      <sheetData sheetId="11048" refreshError="1"/>
      <sheetData sheetId="11049" refreshError="1"/>
      <sheetData sheetId="11050" refreshError="1"/>
      <sheetData sheetId="11051" refreshError="1"/>
      <sheetData sheetId="11052" refreshError="1"/>
      <sheetData sheetId="11053" refreshError="1"/>
      <sheetData sheetId="11054" refreshError="1"/>
      <sheetData sheetId="11055" refreshError="1"/>
      <sheetData sheetId="11056" refreshError="1"/>
      <sheetData sheetId="11057" refreshError="1"/>
      <sheetData sheetId="11058" refreshError="1"/>
      <sheetData sheetId="11059" refreshError="1"/>
      <sheetData sheetId="11060" refreshError="1"/>
      <sheetData sheetId="11061" refreshError="1"/>
      <sheetData sheetId="11062" refreshError="1"/>
      <sheetData sheetId="11063" refreshError="1"/>
      <sheetData sheetId="11064" refreshError="1"/>
      <sheetData sheetId="11065" refreshError="1"/>
      <sheetData sheetId="11066" refreshError="1"/>
      <sheetData sheetId="11067" refreshError="1"/>
      <sheetData sheetId="11068" refreshError="1"/>
      <sheetData sheetId="11069" refreshError="1"/>
      <sheetData sheetId="11070" refreshError="1"/>
      <sheetData sheetId="11071" refreshError="1"/>
      <sheetData sheetId="11072" refreshError="1"/>
      <sheetData sheetId="11073" refreshError="1"/>
      <sheetData sheetId="11074" refreshError="1"/>
      <sheetData sheetId="11075" refreshError="1"/>
      <sheetData sheetId="11076" refreshError="1"/>
      <sheetData sheetId="11077" refreshError="1"/>
      <sheetData sheetId="11078" refreshError="1"/>
      <sheetData sheetId="11079" refreshError="1"/>
      <sheetData sheetId="11080" refreshError="1"/>
      <sheetData sheetId="11081" refreshError="1"/>
      <sheetData sheetId="11082" refreshError="1"/>
      <sheetData sheetId="11083" refreshError="1"/>
      <sheetData sheetId="11084" refreshError="1"/>
      <sheetData sheetId="11085" refreshError="1"/>
      <sheetData sheetId="11086" refreshError="1"/>
      <sheetData sheetId="11087" refreshError="1"/>
      <sheetData sheetId="11088" refreshError="1"/>
      <sheetData sheetId="11089" refreshError="1"/>
      <sheetData sheetId="11090" refreshError="1"/>
      <sheetData sheetId="11091" refreshError="1"/>
      <sheetData sheetId="11092" refreshError="1"/>
      <sheetData sheetId="11093" refreshError="1"/>
      <sheetData sheetId="11094" refreshError="1"/>
      <sheetData sheetId="11095" refreshError="1"/>
      <sheetData sheetId="11096" refreshError="1"/>
      <sheetData sheetId="11097" refreshError="1"/>
      <sheetData sheetId="11098" refreshError="1"/>
      <sheetData sheetId="11099" refreshError="1"/>
      <sheetData sheetId="11100" refreshError="1"/>
      <sheetData sheetId="11101" refreshError="1"/>
      <sheetData sheetId="11102" refreshError="1"/>
      <sheetData sheetId="11103" refreshError="1"/>
      <sheetData sheetId="11104" refreshError="1"/>
      <sheetData sheetId="11105" refreshError="1"/>
      <sheetData sheetId="11106" refreshError="1"/>
      <sheetData sheetId="11107" refreshError="1"/>
      <sheetData sheetId="11108" refreshError="1"/>
      <sheetData sheetId="11109" refreshError="1"/>
      <sheetData sheetId="11110" refreshError="1"/>
      <sheetData sheetId="11111" refreshError="1"/>
      <sheetData sheetId="11112" refreshError="1"/>
      <sheetData sheetId="11113" refreshError="1"/>
      <sheetData sheetId="11114" refreshError="1"/>
      <sheetData sheetId="11115" refreshError="1"/>
      <sheetData sheetId="11116" refreshError="1"/>
      <sheetData sheetId="11117" refreshError="1"/>
      <sheetData sheetId="11118" refreshError="1"/>
      <sheetData sheetId="11119" refreshError="1"/>
      <sheetData sheetId="11120" refreshError="1"/>
      <sheetData sheetId="11121" refreshError="1"/>
      <sheetData sheetId="11122" refreshError="1"/>
      <sheetData sheetId="11123" refreshError="1"/>
      <sheetData sheetId="11124" refreshError="1"/>
      <sheetData sheetId="11125" refreshError="1"/>
      <sheetData sheetId="11126" refreshError="1"/>
      <sheetData sheetId="11127" refreshError="1"/>
      <sheetData sheetId="11128" refreshError="1"/>
      <sheetData sheetId="11129" refreshError="1"/>
      <sheetData sheetId="11130" refreshError="1"/>
      <sheetData sheetId="11131" refreshError="1"/>
      <sheetData sheetId="11132" refreshError="1"/>
      <sheetData sheetId="11133" refreshError="1"/>
      <sheetData sheetId="11134" refreshError="1"/>
      <sheetData sheetId="11135" refreshError="1"/>
      <sheetData sheetId="11136" refreshError="1"/>
      <sheetData sheetId="11137" refreshError="1"/>
      <sheetData sheetId="11138" refreshError="1"/>
      <sheetData sheetId="11139" refreshError="1"/>
      <sheetData sheetId="11140" refreshError="1"/>
      <sheetData sheetId="11141" refreshError="1"/>
      <sheetData sheetId="11142" refreshError="1"/>
      <sheetData sheetId="11143" refreshError="1"/>
      <sheetData sheetId="11144" refreshError="1"/>
      <sheetData sheetId="11145" refreshError="1"/>
      <sheetData sheetId="11146" refreshError="1"/>
      <sheetData sheetId="11147" refreshError="1"/>
      <sheetData sheetId="11148" refreshError="1"/>
      <sheetData sheetId="11149" refreshError="1"/>
      <sheetData sheetId="11150" refreshError="1"/>
      <sheetData sheetId="11151" refreshError="1"/>
      <sheetData sheetId="11152" refreshError="1"/>
      <sheetData sheetId="11153" refreshError="1"/>
      <sheetData sheetId="11154" refreshError="1"/>
      <sheetData sheetId="11155" refreshError="1"/>
      <sheetData sheetId="11156" refreshError="1"/>
      <sheetData sheetId="11157" refreshError="1"/>
      <sheetData sheetId="11158" refreshError="1"/>
      <sheetData sheetId="11159" refreshError="1"/>
      <sheetData sheetId="11160" refreshError="1"/>
      <sheetData sheetId="11161" refreshError="1"/>
      <sheetData sheetId="11162" refreshError="1"/>
      <sheetData sheetId="11163" refreshError="1"/>
      <sheetData sheetId="11164" refreshError="1"/>
      <sheetData sheetId="11165" refreshError="1"/>
      <sheetData sheetId="11166" refreshError="1"/>
      <sheetData sheetId="11167" refreshError="1"/>
      <sheetData sheetId="11168" refreshError="1"/>
      <sheetData sheetId="11169" refreshError="1"/>
      <sheetData sheetId="11170" refreshError="1"/>
      <sheetData sheetId="11171" refreshError="1"/>
      <sheetData sheetId="11172" refreshError="1"/>
      <sheetData sheetId="11173" refreshError="1"/>
      <sheetData sheetId="11174" refreshError="1"/>
      <sheetData sheetId="11175" refreshError="1"/>
      <sheetData sheetId="11176" refreshError="1"/>
      <sheetData sheetId="11177" refreshError="1"/>
      <sheetData sheetId="11178" refreshError="1"/>
      <sheetData sheetId="11179" refreshError="1"/>
      <sheetData sheetId="11180" refreshError="1"/>
      <sheetData sheetId="11181" refreshError="1"/>
      <sheetData sheetId="11182" refreshError="1"/>
      <sheetData sheetId="11183" refreshError="1"/>
      <sheetData sheetId="11184" refreshError="1"/>
      <sheetData sheetId="11185" refreshError="1"/>
      <sheetData sheetId="11186" refreshError="1"/>
      <sheetData sheetId="11187" refreshError="1"/>
      <sheetData sheetId="11188" refreshError="1"/>
      <sheetData sheetId="11189" refreshError="1"/>
      <sheetData sheetId="11190" refreshError="1"/>
      <sheetData sheetId="11191" refreshError="1"/>
      <sheetData sheetId="11192" refreshError="1"/>
      <sheetData sheetId="11193" refreshError="1"/>
      <sheetData sheetId="11194" refreshError="1"/>
      <sheetData sheetId="11195" refreshError="1"/>
      <sheetData sheetId="11196" refreshError="1"/>
      <sheetData sheetId="11197" refreshError="1"/>
      <sheetData sheetId="11198" refreshError="1"/>
      <sheetData sheetId="11199" refreshError="1"/>
      <sheetData sheetId="11200" refreshError="1"/>
      <sheetData sheetId="11201" refreshError="1"/>
      <sheetData sheetId="11202" refreshError="1"/>
      <sheetData sheetId="11203" refreshError="1"/>
      <sheetData sheetId="11204" refreshError="1"/>
      <sheetData sheetId="11205" refreshError="1"/>
      <sheetData sheetId="11206" refreshError="1"/>
      <sheetData sheetId="11207" refreshError="1"/>
      <sheetData sheetId="11208" refreshError="1"/>
      <sheetData sheetId="11209" refreshError="1"/>
      <sheetData sheetId="11210" refreshError="1"/>
      <sheetData sheetId="11211" refreshError="1"/>
      <sheetData sheetId="11212" refreshError="1"/>
      <sheetData sheetId="11213" refreshError="1"/>
      <sheetData sheetId="11214" refreshError="1"/>
      <sheetData sheetId="11215" refreshError="1"/>
      <sheetData sheetId="11216" refreshError="1"/>
      <sheetData sheetId="11217" refreshError="1"/>
      <sheetData sheetId="11218" refreshError="1"/>
      <sheetData sheetId="11219" refreshError="1"/>
      <sheetData sheetId="11220" refreshError="1"/>
      <sheetData sheetId="11221" refreshError="1"/>
      <sheetData sheetId="11222" refreshError="1"/>
      <sheetData sheetId="11223" refreshError="1"/>
      <sheetData sheetId="11224" refreshError="1"/>
      <sheetData sheetId="11225" refreshError="1"/>
      <sheetData sheetId="11226" refreshError="1"/>
      <sheetData sheetId="11227" refreshError="1"/>
      <sheetData sheetId="11228" refreshError="1"/>
      <sheetData sheetId="11229" refreshError="1"/>
      <sheetData sheetId="11230" refreshError="1"/>
      <sheetData sheetId="11231" refreshError="1"/>
      <sheetData sheetId="11232" refreshError="1"/>
      <sheetData sheetId="11233" refreshError="1"/>
      <sheetData sheetId="11234" refreshError="1"/>
      <sheetData sheetId="11235" refreshError="1"/>
      <sheetData sheetId="11236" refreshError="1"/>
      <sheetData sheetId="11237" refreshError="1"/>
      <sheetData sheetId="11238" refreshError="1"/>
      <sheetData sheetId="11239" refreshError="1"/>
      <sheetData sheetId="11240" refreshError="1"/>
      <sheetData sheetId="11241" refreshError="1"/>
      <sheetData sheetId="11242" refreshError="1"/>
      <sheetData sheetId="11243" refreshError="1"/>
      <sheetData sheetId="11244" refreshError="1"/>
      <sheetData sheetId="11245" refreshError="1"/>
      <sheetData sheetId="11246" refreshError="1"/>
      <sheetData sheetId="11247" refreshError="1"/>
      <sheetData sheetId="11248" refreshError="1"/>
      <sheetData sheetId="11249" refreshError="1"/>
      <sheetData sheetId="11250" refreshError="1"/>
      <sheetData sheetId="11251" refreshError="1"/>
      <sheetData sheetId="11252" refreshError="1"/>
      <sheetData sheetId="11253" refreshError="1"/>
      <sheetData sheetId="11254" refreshError="1"/>
      <sheetData sheetId="11255" refreshError="1"/>
      <sheetData sheetId="11256" refreshError="1"/>
      <sheetData sheetId="11257" refreshError="1"/>
      <sheetData sheetId="11258" refreshError="1"/>
      <sheetData sheetId="11259" refreshError="1"/>
      <sheetData sheetId="11260" refreshError="1"/>
      <sheetData sheetId="11261" refreshError="1"/>
      <sheetData sheetId="11262" refreshError="1"/>
      <sheetData sheetId="11263" refreshError="1"/>
      <sheetData sheetId="11264" refreshError="1"/>
      <sheetData sheetId="11265" refreshError="1"/>
      <sheetData sheetId="11266" refreshError="1"/>
      <sheetData sheetId="11267" refreshError="1"/>
      <sheetData sheetId="11268" refreshError="1"/>
      <sheetData sheetId="11269" refreshError="1"/>
      <sheetData sheetId="11270" refreshError="1"/>
      <sheetData sheetId="11271" refreshError="1"/>
      <sheetData sheetId="11272" refreshError="1"/>
      <sheetData sheetId="11273" refreshError="1"/>
      <sheetData sheetId="11274" refreshError="1"/>
      <sheetData sheetId="11275" refreshError="1"/>
      <sheetData sheetId="11276" refreshError="1"/>
      <sheetData sheetId="11277" refreshError="1"/>
      <sheetData sheetId="11278" refreshError="1"/>
      <sheetData sheetId="11279" refreshError="1"/>
      <sheetData sheetId="11280" refreshError="1"/>
      <sheetData sheetId="11281" refreshError="1"/>
      <sheetData sheetId="11282" refreshError="1"/>
      <sheetData sheetId="11283" refreshError="1"/>
      <sheetData sheetId="11284" refreshError="1"/>
      <sheetData sheetId="11285" refreshError="1"/>
      <sheetData sheetId="11286" refreshError="1"/>
      <sheetData sheetId="11287" refreshError="1"/>
      <sheetData sheetId="11288" refreshError="1"/>
      <sheetData sheetId="11289" refreshError="1"/>
      <sheetData sheetId="11290" refreshError="1"/>
      <sheetData sheetId="11291" refreshError="1"/>
      <sheetData sheetId="11292" refreshError="1"/>
      <sheetData sheetId="11293" refreshError="1"/>
      <sheetData sheetId="11294" refreshError="1"/>
      <sheetData sheetId="11295" refreshError="1"/>
      <sheetData sheetId="11296" refreshError="1"/>
      <sheetData sheetId="11297" refreshError="1"/>
      <sheetData sheetId="11298" refreshError="1"/>
      <sheetData sheetId="11299" refreshError="1"/>
      <sheetData sheetId="11300" refreshError="1"/>
      <sheetData sheetId="11301" refreshError="1"/>
      <sheetData sheetId="11302" refreshError="1"/>
      <sheetData sheetId="11303" refreshError="1"/>
      <sheetData sheetId="11304" refreshError="1"/>
      <sheetData sheetId="11305" refreshError="1"/>
      <sheetData sheetId="11306" refreshError="1"/>
      <sheetData sheetId="11307" refreshError="1"/>
      <sheetData sheetId="11308" refreshError="1"/>
      <sheetData sheetId="11309" refreshError="1"/>
      <sheetData sheetId="11310" refreshError="1"/>
      <sheetData sheetId="11311" refreshError="1"/>
      <sheetData sheetId="11312" refreshError="1"/>
      <sheetData sheetId="11313" refreshError="1"/>
      <sheetData sheetId="11314" refreshError="1"/>
      <sheetData sheetId="11315" refreshError="1"/>
      <sheetData sheetId="11316" refreshError="1"/>
      <sheetData sheetId="11317" refreshError="1"/>
      <sheetData sheetId="11318" refreshError="1"/>
      <sheetData sheetId="11319" refreshError="1"/>
      <sheetData sheetId="11320" refreshError="1"/>
      <sheetData sheetId="11321" refreshError="1"/>
      <sheetData sheetId="11322" refreshError="1"/>
      <sheetData sheetId="11323" refreshError="1"/>
      <sheetData sheetId="11324" refreshError="1"/>
      <sheetData sheetId="11325" refreshError="1"/>
      <sheetData sheetId="11326" refreshError="1"/>
      <sheetData sheetId="11327" refreshError="1"/>
      <sheetData sheetId="11328" refreshError="1"/>
      <sheetData sheetId="11329" refreshError="1"/>
      <sheetData sheetId="11330" refreshError="1"/>
      <sheetData sheetId="11331" refreshError="1"/>
      <sheetData sheetId="11332" refreshError="1"/>
      <sheetData sheetId="11333" refreshError="1"/>
      <sheetData sheetId="11334" refreshError="1"/>
      <sheetData sheetId="11335" refreshError="1"/>
      <sheetData sheetId="11336" refreshError="1"/>
      <sheetData sheetId="11337" refreshError="1"/>
      <sheetData sheetId="11338" refreshError="1"/>
      <sheetData sheetId="11339" refreshError="1"/>
      <sheetData sheetId="11340" refreshError="1"/>
      <sheetData sheetId="11341" refreshError="1"/>
      <sheetData sheetId="11342" refreshError="1"/>
      <sheetData sheetId="11343" refreshError="1"/>
      <sheetData sheetId="11344" refreshError="1"/>
      <sheetData sheetId="11345" refreshError="1"/>
      <sheetData sheetId="11346" refreshError="1"/>
      <sheetData sheetId="11347" refreshError="1"/>
      <sheetData sheetId="11348" refreshError="1"/>
      <sheetData sheetId="11349" refreshError="1"/>
      <sheetData sheetId="11350" refreshError="1"/>
      <sheetData sheetId="11351" refreshError="1"/>
      <sheetData sheetId="11352" refreshError="1"/>
      <sheetData sheetId="11353" refreshError="1"/>
      <sheetData sheetId="11354" refreshError="1"/>
      <sheetData sheetId="11355" refreshError="1"/>
      <sheetData sheetId="11356" refreshError="1"/>
      <sheetData sheetId="11357" refreshError="1"/>
      <sheetData sheetId="11358" refreshError="1"/>
      <sheetData sheetId="11359" refreshError="1"/>
      <sheetData sheetId="11360" refreshError="1"/>
      <sheetData sheetId="11361" refreshError="1"/>
      <sheetData sheetId="11362" refreshError="1"/>
      <sheetData sheetId="11363" refreshError="1"/>
      <sheetData sheetId="11364" refreshError="1"/>
      <sheetData sheetId="11365" refreshError="1"/>
      <sheetData sheetId="11366" refreshError="1"/>
      <sheetData sheetId="11367" refreshError="1"/>
      <sheetData sheetId="11368" refreshError="1"/>
      <sheetData sheetId="11369" refreshError="1"/>
      <sheetData sheetId="11370" refreshError="1"/>
      <sheetData sheetId="11371" refreshError="1"/>
      <sheetData sheetId="11372" refreshError="1"/>
      <sheetData sheetId="11373" refreshError="1"/>
      <sheetData sheetId="11374" refreshError="1"/>
      <sheetData sheetId="11375" refreshError="1"/>
      <sheetData sheetId="11376" refreshError="1"/>
      <sheetData sheetId="11377" refreshError="1"/>
      <sheetData sheetId="11378" refreshError="1"/>
      <sheetData sheetId="11379" refreshError="1"/>
      <sheetData sheetId="11380" refreshError="1"/>
      <sheetData sheetId="11381" refreshError="1"/>
      <sheetData sheetId="11382" refreshError="1"/>
      <sheetData sheetId="11383" refreshError="1"/>
      <sheetData sheetId="11384" refreshError="1"/>
      <sheetData sheetId="11385" refreshError="1"/>
      <sheetData sheetId="11386" refreshError="1"/>
      <sheetData sheetId="11387" refreshError="1"/>
      <sheetData sheetId="11388" refreshError="1"/>
      <sheetData sheetId="11389" refreshError="1"/>
      <sheetData sheetId="11390" refreshError="1"/>
      <sheetData sheetId="11391" refreshError="1"/>
      <sheetData sheetId="11392" refreshError="1"/>
      <sheetData sheetId="11393" refreshError="1"/>
      <sheetData sheetId="11394" refreshError="1"/>
      <sheetData sheetId="11395" refreshError="1"/>
      <sheetData sheetId="11396" refreshError="1"/>
      <sheetData sheetId="11397" refreshError="1"/>
      <sheetData sheetId="11398" refreshError="1"/>
      <sheetData sheetId="11399" refreshError="1"/>
      <sheetData sheetId="11400" refreshError="1"/>
      <sheetData sheetId="11401" refreshError="1"/>
      <sheetData sheetId="11402" refreshError="1"/>
      <sheetData sheetId="11403" refreshError="1"/>
      <sheetData sheetId="11404" refreshError="1"/>
      <sheetData sheetId="11405" refreshError="1"/>
      <sheetData sheetId="11406" refreshError="1"/>
      <sheetData sheetId="11407" refreshError="1"/>
      <sheetData sheetId="11408" refreshError="1"/>
      <sheetData sheetId="11409" refreshError="1"/>
      <sheetData sheetId="11410" refreshError="1"/>
      <sheetData sheetId="11411" refreshError="1"/>
      <sheetData sheetId="11412" refreshError="1"/>
      <sheetData sheetId="11413" refreshError="1"/>
      <sheetData sheetId="11414" refreshError="1"/>
      <sheetData sheetId="11415" refreshError="1"/>
      <sheetData sheetId="11416" refreshError="1"/>
      <sheetData sheetId="11417" refreshError="1"/>
      <sheetData sheetId="11418" refreshError="1"/>
      <sheetData sheetId="11419" refreshError="1"/>
      <sheetData sheetId="11420" refreshError="1"/>
      <sheetData sheetId="11421" refreshError="1"/>
      <sheetData sheetId="11422" refreshError="1"/>
      <sheetData sheetId="11423" refreshError="1"/>
      <sheetData sheetId="11424" refreshError="1"/>
      <sheetData sheetId="11425" refreshError="1"/>
      <sheetData sheetId="11426" refreshError="1"/>
      <sheetData sheetId="11427" refreshError="1"/>
      <sheetData sheetId="11428" refreshError="1"/>
      <sheetData sheetId="11429" refreshError="1"/>
      <sheetData sheetId="11430" refreshError="1"/>
      <sheetData sheetId="11431" refreshError="1"/>
      <sheetData sheetId="11432" refreshError="1"/>
      <sheetData sheetId="11433" refreshError="1"/>
      <sheetData sheetId="11434" refreshError="1"/>
      <sheetData sheetId="11435" refreshError="1"/>
      <sheetData sheetId="11436" refreshError="1"/>
      <sheetData sheetId="11437" refreshError="1"/>
      <sheetData sheetId="11438" refreshError="1"/>
      <sheetData sheetId="11439" refreshError="1"/>
      <sheetData sheetId="11440" refreshError="1"/>
      <sheetData sheetId="11441" refreshError="1"/>
      <sheetData sheetId="11442" refreshError="1"/>
      <sheetData sheetId="11443" refreshError="1"/>
      <sheetData sheetId="11444" refreshError="1"/>
      <sheetData sheetId="11445" refreshError="1"/>
      <sheetData sheetId="11446" refreshError="1"/>
      <sheetData sheetId="11447" refreshError="1"/>
      <sheetData sheetId="11448" refreshError="1"/>
      <sheetData sheetId="11449" refreshError="1"/>
      <sheetData sheetId="11450" refreshError="1"/>
      <sheetData sheetId="11451" refreshError="1"/>
      <sheetData sheetId="11452" refreshError="1"/>
      <sheetData sheetId="11453" refreshError="1"/>
      <sheetData sheetId="11454" refreshError="1"/>
      <sheetData sheetId="11455" refreshError="1"/>
      <sheetData sheetId="11456" refreshError="1"/>
      <sheetData sheetId="11457" refreshError="1"/>
      <sheetData sheetId="11458" refreshError="1"/>
      <sheetData sheetId="11459" refreshError="1"/>
      <sheetData sheetId="11460" refreshError="1"/>
      <sheetData sheetId="11461" refreshError="1"/>
      <sheetData sheetId="11462" refreshError="1"/>
      <sheetData sheetId="11463" refreshError="1"/>
      <sheetData sheetId="11464" refreshError="1"/>
      <sheetData sheetId="11465" refreshError="1"/>
      <sheetData sheetId="11466" refreshError="1"/>
      <sheetData sheetId="11467" refreshError="1"/>
      <sheetData sheetId="11468" refreshError="1"/>
      <sheetData sheetId="11469" refreshError="1"/>
      <sheetData sheetId="11470" refreshError="1"/>
      <sheetData sheetId="11471" refreshError="1"/>
      <sheetData sheetId="11472" refreshError="1"/>
      <sheetData sheetId="11473" refreshError="1"/>
      <sheetData sheetId="11474" refreshError="1"/>
      <sheetData sheetId="11475" refreshError="1"/>
      <sheetData sheetId="11476" refreshError="1"/>
      <sheetData sheetId="11477" refreshError="1"/>
      <sheetData sheetId="11478" refreshError="1"/>
      <sheetData sheetId="11479" refreshError="1"/>
      <sheetData sheetId="11480" refreshError="1"/>
      <sheetData sheetId="11481" refreshError="1"/>
      <sheetData sheetId="11482" refreshError="1"/>
      <sheetData sheetId="11483" refreshError="1"/>
      <sheetData sheetId="11484" refreshError="1"/>
      <sheetData sheetId="11485" refreshError="1"/>
      <sheetData sheetId="11486" refreshError="1"/>
      <sheetData sheetId="11487" refreshError="1"/>
      <sheetData sheetId="11488" refreshError="1"/>
      <sheetData sheetId="11489" refreshError="1"/>
      <sheetData sheetId="11490" refreshError="1"/>
      <sheetData sheetId="11491" refreshError="1"/>
      <sheetData sheetId="11492" refreshError="1"/>
      <sheetData sheetId="11493" refreshError="1"/>
      <sheetData sheetId="11494" refreshError="1"/>
      <sheetData sheetId="11495" refreshError="1"/>
      <sheetData sheetId="11496" refreshError="1"/>
      <sheetData sheetId="11497" refreshError="1"/>
      <sheetData sheetId="11498" refreshError="1"/>
      <sheetData sheetId="11499" refreshError="1"/>
      <sheetData sheetId="11500" refreshError="1"/>
      <sheetData sheetId="11501" refreshError="1"/>
      <sheetData sheetId="11502" refreshError="1"/>
      <sheetData sheetId="11503" refreshError="1"/>
      <sheetData sheetId="11504" refreshError="1"/>
      <sheetData sheetId="11505" refreshError="1"/>
      <sheetData sheetId="11506" refreshError="1"/>
      <sheetData sheetId="11507" refreshError="1"/>
      <sheetData sheetId="11508" refreshError="1"/>
      <sheetData sheetId="11509" refreshError="1"/>
      <sheetData sheetId="11510" refreshError="1"/>
      <sheetData sheetId="11511" refreshError="1"/>
      <sheetData sheetId="11512" refreshError="1"/>
      <sheetData sheetId="11513" refreshError="1"/>
      <sheetData sheetId="11514" refreshError="1"/>
      <sheetData sheetId="11515" refreshError="1"/>
      <sheetData sheetId="11516" refreshError="1"/>
      <sheetData sheetId="11517" refreshError="1"/>
      <sheetData sheetId="11518" refreshError="1"/>
      <sheetData sheetId="11519" refreshError="1"/>
      <sheetData sheetId="11520" refreshError="1"/>
      <sheetData sheetId="11521" refreshError="1"/>
      <sheetData sheetId="11522" refreshError="1"/>
      <sheetData sheetId="11523" refreshError="1"/>
      <sheetData sheetId="11524" refreshError="1"/>
      <sheetData sheetId="11525" refreshError="1"/>
      <sheetData sheetId="11526" refreshError="1"/>
      <sheetData sheetId="11527" refreshError="1"/>
      <sheetData sheetId="11528" refreshError="1"/>
      <sheetData sheetId="11529" refreshError="1"/>
      <sheetData sheetId="11530" refreshError="1"/>
      <sheetData sheetId="11531" refreshError="1"/>
      <sheetData sheetId="11532" refreshError="1"/>
      <sheetData sheetId="11533" refreshError="1"/>
      <sheetData sheetId="11534" refreshError="1"/>
      <sheetData sheetId="11535" refreshError="1"/>
      <sheetData sheetId="11536" refreshError="1"/>
      <sheetData sheetId="11537" refreshError="1"/>
      <sheetData sheetId="11538" refreshError="1"/>
      <sheetData sheetId="11539" refreshError="1"/>
      <sheetData sheetId="11540" refreshError="1"/>
      <sheetData sheetId="11541" refreshError="1"/>
      <sheetData sheetId="11542" refreshError="1"/>
      <sheetData sheetId="11543" refreshError="1"/>
      <sheetData sheetId="11544" refreshError="1"/>
      <sheetData sheetId="11545" refreshError="1"/>
      <sheetData sheetId="11546" refreshError="1"/>
      <sheetData sheetId="11547" refreshError="1"/>
      <sheetData sheetId="11548" refreshError="1"/>
      <sheetData sheetId="11549" refreshError="1"/>
      <sheetData sheetId="11550" refreshError="1"/>
      <sheetData sheetId="11551" refreshError="1"/>
      <sheetData sheetId="11552" refreshError="1"/>
      <sheetData sheetId="11553" refreshError="1"/>
      <sheetData sheetId="11554" refreshError="1"/>
      <sheetData sheetId="11555" refreshError="1"/>
      <sheetData sheetId="11556" refreshError="1"/>
      <sheetData sheetId="11557" refreshError="1"/>
      <sheetData sheetId="11558" refreshError="1"/>
      <sheetData sheetId="11559" refreshError="1"/>
      <sheetData sheetId="11560" refreshError="1"/>
      <sheetData sheetId="11561" refreshError="1"/>
      <sheetData sheetId="11562" refreshError="1"/>
      <sheetData sheetId="11563" refreshError="1"/>
      <sheetData sheetId="11564" refreshError="1"/>
      <sheetData sheetId="11565" refreshError="1"/>
      <sheetData sheetId="11566" refreshError="1"/>
      <sheetData sheetId="11567" refreshError="1"/>
      <sheetData sheetId="11568" refreshError="1"/>
      <sheetData sheetId="11569" refreshError="1"/>
      <sheetData sheetId="11570" refreshError="1"/>
      <sheetData sheetId="11571" refreshError="1"/>
      <sheetData sheetId="11572" refreshError="1"/>
      <sheetData sheetId="11573" refreshError="1"/>
      <sheetData sheetId="11574" refreshError="1"/>
      <sheetData sheetId="11575" refreshError="1"/>
      <sheetData sheetId="11576" refreshError="1"/>
      <sheetData sheetId="11577" refreshError="1"/>
      <sheetData sheetId="11578" refreshError="1"/>
      <sheetData sheetId="11579" refreshError="1"/>
      <sheetData sheetId="11580" refreshError="1"/>
      <sheetData sheetId="11581" refreshError="1"/>
      <sheetData sheetId="11582" refreshError="1"/>
      <sheetData sheetId="11583" refreshError="1"/>
      <sheetData sheetId="11584" refreshError="1"/>
      <sheetData sheetId="11585" refreshError="1"/>
      <sheetData sheetId="11586" refreshError="1"/>
      <sheetData sheetId="11587" refreshError="1"/>
      <sheetData sheetId="11588" refreshError="1"/>
      <sheetData sheetId="11589" refreshError="1"/>
      <sheetData sheetId="11590" refreshError="1"/>
      <sheetData sheetId="11591" refreshError="1"/>
      <sheetData sheetId="11592" refreshError="1"/>
      <sheetData sheetId="11593" refreshError="1"/>
      <sheetData sheetId="11594" refreshError="1"/>
      <sheetData sheetId="11595" refreshError="1"/>
      <sheetData sheetId="11596" refreshError="1"/>
      <sheetData sheetId="11597" refreshError="1"/>
      <sheetData sheetId="11598" refreshError="1"/>
      <sheetData sheetId="11599" refreshError="1"/>
      <sheetData sheetId="11600" refreshError="1"/>
      <sheetData sheetId="11601" refreshError="1"/>
      <sheetData sheetId="11602" refreshError="1"/>
      <sheetData sheetId="11603" refreshError="1"/>
      <sheetData sheetId="11604" refreshError="1"/>
      <sheetData sheetId="11605" refreshError="1"/>
      <sheetData sheetId="11606" refreshError="1"/>
      <sheetData sheetId="11607" refreshError="1"/>
      <sheetData sheetId="11608" refreshError="1"/>
      <sheetData sheetId="11609" refreshError="1"/>
      <sheetData sheetId="11610" refreshError="1"/>
      <sheetData sheetId="11611" refreshError="1"/>
      <sheetData sheetId="11612" refreshError="1"/>
      <sheetData sheetId="11613" refreshError="1"/>
      <sheetData sheetId="11614" refreshError="1"/>
      <sheetData sheetId="11615" refreshError="1"/>
      <sheetData sheetId="11616" refreshError="1"/>
      <sheetData sheetId="11617" refreshError="1"/>
      <sheetData sheetId="11618" refreshError="1"/>
      <sheetData sheetId="11619" refreshError="1"/>
      <sheetData sheetId="11620" refreshError="1"/>
      <sheetData sheetId="11621" refreshError="1"/>
      <sheetData sheetId="11622" refreshError="1"/>
      <sheetData sheetId="11623" refreshError="1"/>
      <sheetData sheetId="11624" refreshError="1"/>
      <sheetData sheetId="11625" refreshError="1"/>
      <sheetData sheetId="11626" refreshError="1"/>
      <sheetData sheetId="11627" refreshError="1"/>
      <sheetData sheetId="11628" refreshError="1"/>
      <sheetData sheetId="11629" refreshError="1"/>
      <sheetData sheetId="11630" refreshError="1"/>
      <sheetData sheetId="11631" refreshError="1"/>
      <sheetData sheetId="11632" refreshError="1"/>
      <sheetData sheetId="11633" refreshError="1"/>
      <sheetData sheetId="11634" refreshError="1"/>
      <sheetData sheetId="11635" refreshError="1"/>
      <sheetData sheetId="11636" refreshError="1"/>
      <sheetData sheetId="11637" refreshError="1"/>
      <sheetData sheetId="11638" refreshError="1"/>
      <sheetData sheetId="11639" refreshError="1"/>
      <sheetData sheetId="11640" refreshError="1"/>
      <sheetData sheetId="11641" refreshError="1"/>
      <sheetData sheetId="11642" refreshError="1"/>
      <sheetData sheetId="11643" refreshError="1"/>
      <sheetData sheetId="11644" refreshError="1"/>
      <sheetData sheetId="11645" refreshError="1"/>
      <sheetData sheetId="11646" refreshError="1"/>
      <sheetData sheetId="11647" refreshError="1"/>
      <sheetData sheetId="11648" refreshError="1"/>
      <sheetData sheetId="11649" refreshError="1"/>
      <sheetData sheetId="11650" refreshError="1"/>
      <sheetData sheetId="11651" refreshError="1"/>
      <sheetData sheetId="11652" refreshError="1"/>
      <sheetData sheetId="11653" refreshError="1"/>
      <sheetData sheetId="11654" refreshError="1"/>
      <sheetData sheetId="11655" refreshError="1"/>
      <sheetData sheetId="11656" refreshError="1"/>
      <sheetData sheetId="11657" refreshError="1"/>
      <sheetData sheetId="11658" refreshError="1"/>
      <sheetData sheetId="11659" refreshError="1"/>
      <sheetData sheetId="11660" refreshError="1"/>
      <sheetData sheetId="11661" refreshError="1"/>
      <sheetData sheetId="11662" refreshError="1"/>
      <sheetData sheetId="11663" refreshError="1"/>
      <sheetData sheetId="11664" refreshError="1"/>
      <sheetData sheetId="11665" refreshError="1"/>
      <sheetData sheetId="11666" refreshError="1"/>
      <sheetData sheetId="11667" refreshError="1"/>
      <sheetData sheetId="11668" refreshError="1"/>
      <sheetData sheetId="11669" refreshError="1"/>
      <sheetData sheetId="11670" refreshError="1"/>
      <sheetData sheetId="11671" refreshError="1"/>
      <sheetData sheetId="11672" refreshError="1"/>
      <sheetData sheetId="11673" refreshError="1"/>
      <sheetData sheetId="11674" refreshError="1"/>
      <sheetData sheetId="11675" refreshError="1"/>
      <sheetData sheetId="11676" refreshError="1"/>
      <sheetData sheetId="11677" refreshError="1"/>
      <sheetData sheetId="11678" refreshError="1"/>
      <sheetData sheetId="11679" refreshError="1"/>
      <sheetData sheetId="11680" refreshError="1"/>
      <sheetData sheetId="11681" refreshError="1"/>
      <sheetData sheetId="11682" refreshError="1"/>
      <sheetData sheetId="11683" refreshError="1"/>
      <sheetData sheetId="11684" refreshError="1"/>
      <sheetData sheetId="11685" refreshError="1"/>
      <sheetData sheetId="11686" refreshError="1"/>
      <sheetData sheetId="11687" refreshError="1"/>
      <sheetData sheetId="11688" refreshError="1"/>
      <sheetData sheetId="11689" refreshError="1"/>
      <sheetData sheetId="11690" refreshError="1"/>
      <sheetData sheetId="11691" refreshError="1"/>
      <sheetData sheetId="11692" refreshError="1"/>
      <sheetData sheetId="11693" refreshError="1"/>
      <sheetData sheetId="11694" refreshError="1"/>
      <sheetData sheetId="11695" refreshError="1"/>
      <sheetData sheetId="11696" refreshError="1"/>
      <sheetData sheetId="11697" refreshError="1"/>
      <sheetData sheetId="11698" refreshError="1"/>
      <sheetData sheetId="11699" refreshError="1"/>
      <sheetData sheetId="11700" refreshError="1"/>
      <sheetData sheetId="11701" refreshError="1"/>
      <sheetData sheetId="11702" refreshError="1"/>
      <sheetData sheetId="11703" refreshError="1"/>
      <sheetData sheetId="11704" refreshError="1"/>
      <sheetData sheetId="11705" refreshError="1"/>
      <sheetData sheetId="11706" refreshError="1"/>
      <sheetData sheetId="11707" refreshError="1"/>
      <sheetData sheetId="11708" refreshError="1"/>
      <sheetData sheetId="11709" refreshError="1"/>
      <sheetData sheetId="11710" refreshError="1"/>
      <sheetData sheetId="11711" refreshError="1"/>
      <sheetData sheetId="11712" refreshError="1"/>
      <sheetData sheetId="11713" refreshError="1"/>
      <sheetData sheetId="11714" refreshError="1"/>
      <sheetData sheetId="11715" refreshError="1"/>
      <sheetData sheetId="11716" refreshError="1"/>
      <sheetData sheetId="11717" refreshError="1"/>
      <sheetData sheetId="11718" refreshError="1"/>
      <sheetData sheetId="11719" refreshError="1"/>
      <sheetData sheetId="11720" refreshError="1"/>
      <sheetData sheetId="11721" refreshError="1"/>
      <sheetData sheetId="11722" refreshError="1"/>
      <sheetData sheetId="11723" refreshError="1"/>
      <sheetData sheetId="11724" refreshError="1"/>
      <sheetData sheetId="11725" refreshError="1"/>
      <sheetData sheetId="11726" refreshError="1"/>
      <sheetData sheetId="11727" refreshError="1"/>
      <sheetData sheetId="11728" refreshError="1"/>
      <sheetData sheetId="11729" refreshError="1"/>
      <sheetData sheetId="11730" refreshError="1"/>
      <sheetData sheetId="11731" refreshError="1"/>
      <sheetData sheetId="11732" refreshError="1"/>
      <sheetData sheetId="11733" refreshError="1"/>
      <sheetData sheetId="11734" refreshError="1"/>
      <sheetData sheetId="11735" refreshError="1"/>
      <sheetData sheetId="11736" refreshError="1"/>
      <sheetData sheetId="11737" refreshError="1"/>
      <sheetData sheetId="11738" refreshError="1"/>
      <sheetData sheetId="11739" refreshError="1"/>
      <sheetData sheetId="11740" refreshError="1"/>
      <sheetData sheetId="11741" refreshError="1"/>
      <sheetData sheetId="11742" refreshError="1"/>
      <sheetData sheetId="11743" refreshError="1"/>
      <sheetData sheetId="11744" refreshError="1"/>
      <sheetData sheetId="11745" refreshError="1"/>
      <sheetData sheetId="11746" refreshError="1"/>
      <sheetData sheetId="11747" refreshError="1"/>
      <sheetData sheetId="11748" refreshError="1"/>
      <sheetData sheetId="11749" refreshError="1"/>
      <sheetData sheetId="11750" refreshError="1"/>
      <sheetData sheetId="11751" refreshError="1"/>
      <sheetData sheetId="11752" refreshError="1"/>
      <sheetData sheetId="11753" refreshError="1"/>
      <sheetData sheetId="11754" refreshError="1"/>
      <sheetData sheetId="11755" refreshError="1"/>
      <sheetData sheetId="11756" refreshError="1"/>
      <sheetData sheetId="11757" refreshError="1"/>
      <sheetData sheetId="11758" refreshError="1"/>
      <sheetData sheetId="11759" refreshError="1"/>
      <sheetData sheetId="11760" refreshError="1"/>
      <sheetData sheetId="11761" refreshError="1"/>
      <sheetData sheetId="11762" refreshError="1"/>
      <sheetData sheetId="11763" refreshError="1"/>
      <sheetData sheetId="11764" refreshError="1"/>
      <sheetData sheetId="11765" refreshError="1"/>
      <sheetData sheetId="11766" refreshError="1"/>
      <sheetData sheetId="11767" refreshError="1"/>
      <sheetData sheetId="11768" refreshError="1"/>
      <sheetData sheetId="11769" refreshError="1"/>
      <sheetData sheetId="11770" refreshError="1"/>
      <sheetData sheetId="11771" refreshError="1"/>
      <sheetData sheetId="11772" refreshError="1"/>
      <sheetData sheetId="11773" refreshError="1"/>
      <sheetData sheetId="11774" refreshError="1"/>
      <sheetData sheetId="11775" refreshError="1"/>
      <sheetData sheetId="11776" refreshError="1"/>
      <sheetData sheetId="11777" refreshError="1"/>
      <sheetData sheetId="11778" refreshError="1"/>
      <sheetData sheetId="11779" refreshError="1"/>
      <sheetData sheetId="11780" refreshError="1"/>
      <sheetData sheetId="11781" refreshError="1"/>
      <sheetData sheetId="11782" refreshError="1"/>
      <sheetData sheetId="11783" refreshError="1"/>
      <sheetData sheetId="11784" refreshError="1"/>
      <sheetData sheetId="11785" refreshError="1"/>
      <sheetData sheetId="11786" refreshError="1"/>
      <sheetData sheetId="11787" refreshError="1"/>
      <sheetData sheetId="11788" refreshError="1"/>
      <sheetData sheetId="11789" refreshError="1"/>
      <sheetData sheetId="11790" refreshError="1"/>
      <sheetData sheetId="11791" refreshError="1"/>
      <sheetData sheetId="11792" refreshError="1"/>
      <sheetData sheetId="11793" refreshError="1"/>
      <sheetData sheetId="11794" refreshError="1"/>
      <sheetData sheetId="11795" refreshError="1"/>
      <sheetData sheetId="11796" refreshError="1"/>
      <sheetData sheetId="11797" refreshError="1"/>
      <sheetData sheetId="11798" refreshError="1"/>
      <sheetData sheetId="11799" refreshError="1"/>
      <sheetData sheetId="11800" refreshError="1"/>
      <sheetData sheetId="11801" refreshError="1"/>
      <sheetData sheetId="11802" refreshError="1"/>
      <sheetData sheetId="11803" refreshError="1"/>
      <sheetData sheetId="11804" refreshError="1"/>
      <sheetData sheetId="11805" refreshError="1"/>
      <sheetData sheetId="11806" refreshError="1"/>
      <sheetData sheetId="11807" refreshError="1"/>
      <sheetData sheetId="11808" refreshError="1"/>
      <sheetData sheetId="11809" refreshError="1"/>
      <sheetData sheetId="11810" refreshError="1"/>
      <sheetData sheetId="11811" refreshError="1"/>
      <sheetData sheetId="11812" refreshError="1"/>
      <sheetData sheetId="11813" refreshError="1"/>
      <sheetData sheetId="11814" refreshError="1"/>
      <sheetData sheetId="11815" refreshError="1"/>
      <sheetData sheetId="11816" refreshError="1"/>
      <sheetData sheetId="11817" refreshError="1"/>
      <sheetData sheetId="11818" refreshError="1"/>
      <sheetData sheetId="11819" refreshError="1"/>
      <sheetData sheetId="11820" refreshError="1"/>
      <sheetData sheetId="11821" refreshError="1"/>
      <sheetData sheetId="11822" refreshError="1"/>
      <sheetData sheetId="11823" refreshError="1"/>
      <sheetData sheetId="11824" refreshError="1"/>
      <sheetData sheetId="11825" refreshError="1"/>
      <sheetData sheetId="11826" refreshError="1"/>
      <sheetData sheetId="11827" refreshError="1"/>
      <sheetData sheetId="11828" refreshError="1"/>
      <sheetData sheetId="11829" refreshError="1"/>
      <sheetData sheetId="11830" refreshError="1"/>
      <sheetData sheetId="11831" refreshError="1"/>
      <sheetData sheetId="11832" refreshError="1"/>
      <sheetData sheetId="11833" refreshError="1"/>
      <sheetData sheetId="11834" refreshError="1"/>
      <sheetData sheetId="11835" refreshError="1"/>
      <sheetData sheetId="11836" refreshError="1"/>
      <sheetData sheetId="11837" refreshError="1"/>
      <sheetData sheetId="11838" refreshError="1"/>
      <sheetData sheetId="11839" refreshError="1"/>
      <sheetData sheetId="11840" refreshError="1"/>
      <sheetData sheetId="11841" refreshError="1"/>
      <sheetData sheetId="11842" refreshError="1"/>
      <sheetData sheetId="11843" refreshError="1"/>
      <sheetData sheetId="11844" refreshError="1"/>
      <sheetData sheetId="11845" refreshError="1"/>
      <sheetData sheetId="11846" refreshError="1"/>
      <sheetData sheetId="11847" refreshError="1"/>
      <sheetData sheetId="11848" refreshError="1"/>
      <sheetData sheetId="11849" refreshError="1"/>
      <sheetData sheetId="11850" refreshError="1"/>
      <sheetData sheetId="11851" refreshError="1"/>
      <sheetData sheetId="11852" refreshError="1"/>
      <sheetData sheetId="11853" refreshError="1"/>
      <sheetData sheetId="11854" refreshError="1"/>
      <sheetData sheetId="11855" refreshError="1"/>
      <sheetData sheetId="11856" refreshError="1"/>
      <sheetData sheetId="11857" refreshError="1"/>
      <sheetData sheetId="11858" refreshError="1"/>
      <sheetData sheetId="11859" refreshError="1"/>
      <sheetData sheetId="11860" refreshError="1"/>
      <sheetData sheetId="11861" refreshError="1"/>
      <sheetData sheetId="11862" refreshError="1"/>
      <sheetData sheetId="11863" refreshError="1"/>
      <sheetData sheetId="11864" refreshError="1"/>
      <sheetData sheetId="11865" refreshError="1"/>
      <sheetData sheetId="11866" refreshError="1"/>
      <sheetData sheetId="11867" refreshError="1"/>
      <sheetData sheetId="11868" refreshError="1"/>
      <sheetData sheetId="11869" refreshError="1"/>
      <sheetData sheetId="11870" refreshError="1"/>
      <sheetData sheetId="11871" refreshError="1"/>
      <sheetData sheetId="11872" refreshError="1"/>
      <sheetData sheetId="11873" refreshError="1"/>
      <sheetData sheetId="11874" refreshError="1"/>
      <sheetData sheetId="11875" refreshError="1"/>
      <sheetData sheetId="11876" refreshError="1"/>
      <sheetData sheetId="11877" refreshError="1"/>
      <sheetData sheetId="11878" refreshError="1"/>
      <sheetData sheetId="11879" refreshError="1"/>
      <sheetData sheetId="11880" refreshError="1"/>
      <sheetData sheetId="11881" refreshError="1"/>
      <sheetData sheetId="11882" refreshError="1"/>
      <sheetData sheetId="11883" refreshError="1"/>
      <sheetData sheetId="11884" refreshError="1"/>
      <sheetData sheetId="11885" refreshError="1"/>
      <sheetData sheetId="11886" refreshError="1"/>
      <sheetData sheetId="11887" refreshError="1"/>
      <sheetData sheetId="11888" refreshError="1"/>
      <sheetData sheetId="11889" refreshError="1"/>
      <sheetData sheetId="11890" refreshError="1"/>
      <sheetData sheetId="11891" refreshError="1"/>
      <sheetData sheetId="11892" refreshError="1"/>
      <sheetData sheetId="11893" refreshError="1"/>
      <sheetData sheetId="11894" refreshError="1"/>
      <sheetData sheetId="11895" refreshError="1"/>
      <sheetData sheetId="11896" refreshError="1"/>
      <sheetData sheetId="11897" refreshError="1"/>
      <sheetData sheetId="11898" refreshError="1"/>
      <sheetData sheetId="11899" refreshError="1"/>
      <sheetData sheetId="11900" refreshError="1"/>
      <sheetData sheetId="11901" refreshError="1"/>
      <sheetData sheetId="11902" refreshError="1"/>
      <sheetData sheetId="11903" refreshError="1"/>
      <sheetData sheetId="11904" refreshError="1"/>
      <sheetData sheetId="11905" refreshError="1"/>
      <sheetData sheetId="11906" refreshError="1"/>
      <sheetData sheetId="11907" refreshError="1"/>
      <sheetData sheetId="11908" refreshError="1"/>
      <sheetData sheetId="11909" refreshError="1"/>
      <sheetData sheetId="11910" refreshError="1"/>
      <sheetData sheetId="11911" refreshError="1"/>
      <sheetData sheetId="11912" refreshError="1"/>
      <sheetData sheetId="11913" refreshError="1"/>
      <sheetData sheetId="11914" refreshError="1"/>
      <sheetData sheetId="11915" refreshError="1"/>
      <sheetData sheetId="11916" refreshError="1"/>
      <sheetData sheetId="11917" refreshError="1"/>
      <sheetData sheetId="11918" refreshError="1"/>
      <sheetData sheetId="11919" refreshError="1"/>
      <sheetData sheetId="11920" refreshError="1"/>
      <sheetData sheetId="11921" refreshError="1"/>
      <sheetData sheetId="11922" refreshError="1"/>
      <sheetData sheetId="11923" refreshError="1"/>
      <sheetData sheetId="11924" refreshError="1"/>
      <sheetData sheetId="11925" refreshError="1"/>
      <sheetData sheetId="11926" refreshError="1"/>
      <sheetData sheetId="11927" refreshError="1"/>
      <sheetData sheetId="11928" refreshError="1"/>
      <sheetData sheetId="11929" refreshError="1"/>
      <sheetData sheetId="11930" refreshError="1"/>
      <sheetData sheetId="11931" refreshError="1"/>
      <sheetData sheetId="11932" refreshError="1"/>
      <sheetData sheetId="11933" refreshError="1"/>
      <sheetData sheetId="11934" refreshError="1"/>
      <sheetData sheetId="11935" refreshError="1"/>
      <sheetData sheetId="11936" refreshError="1"/>
      <sheetData sheetId="11937" refreshError="1"/>
      <sheetData sheetId="11938" refreshError="1"/>
      <sheetData sheetId="11939" refreshError="1"/>
      <sheetData sheetId="11940" refreshError="1"/>
      <sheetData sheetId="11941" refreshError="1"/>
      <sheetData sheetId="11942" refreshError="1"/>
      <sheetData sheetId="11943" refreshError="1"/>
      <sheetData sheetId="11944" refreshError="1"/>
      <sheetData sheetId="11945" refreshError="1"/>
      <sheetData sheetId="11946" refreshError="1"/>
      <sheetData sheetId="11947" refreshError="1"/>
      <sheetData sheetId="11948" refreshError="1"/>
      <sheetData sheetId="11949" refreshError="1"/>
      <sheetData sheetId="11950" refreshError="1"/>
      <sheetData sheetId="11951" refreshError="1"/>
      <sheetData sheetId="11952" refreshError="1"/>
      <sheetData sheetId="11953" refreshError="1"/>
      <sheetData sheetId="11954" refreshError="1"/>
      <sheetData sheetId="11955" refreshError="1"/>
      <sheetData sheetId="11956" refreshError="1"/>
      <sheetData sheetId="11957" refreshError="1"/>
      <sheetData sheetId="11958" refreshError="1"/>
      <sheetData sheetId="11959" refreshError="1"/>
      <sheetData sheetId="11960" refreshError="1"/>
      <sheetData sheetId="11961" refreshError="1"/>
      <sheetData sheetId="11962" refreshError="1"/>
      <sheetData sheetId="11963" refreshError="1"/>
      <sheetData sheetId="11964" refreshError="1"/>
      <sheetData sheetId="11965" refreshError="1"/>
      <sheetData sheetId="11966" refreshError="1"/>
      <sheetData sheetId="11967" refreshError="1"/>
      <sheetData sheetId="11968" refreshError="1"/>
      <sheetData sheetId="11969" refreshError="1"/>
      <sheetData sheetId="11970" refreshError="1"/>
      <sheetData sheetId="11971" refreshError="1"/>
      <sheetData sheetId="11972" refreshError="1"/>
      <sheetData sheetId="11973" refreshError="1"/>
      <sheetData sheetId="11974" refreshError="1"/>
      <sheetData sheetId="11975" refreshError="1"/>
      <sheetData sheetId="11976" refreshError="1"/>
      <sheetData sheetId="11977" refreshError="1"/>
      <sheetData sheetId="11978" refreshError="1"/>
      <sheetData sheetId="11979" refreshError="1"/>
      <sheetData sheetId="11980" refreshError="1"/>
      <sheetData sheetId="11981" refreshError="1"/>
      <sheetData sheetId="11982" refreshError="1"/>
      <sheetData sheetId="11983" refreshError="1"/>
      <sheetData sheetId="11984" refreshError="1"/>
      <sheetData sheetId="11985" refreshError="1"/>
      <sheetData sheetId="11986" refreshError="1"/>
      <sheetData sheetId="11987" refreshError="1"/>
      <sheetData sheetId="11988" refreshError="1"/>
      <sheetData sheetId="11989" refreshError="1"/>
      <sheetData sheetId="11990" refreshError="1"/>
      <sheetData sheetId="11991" refreshError="1"/>
      <sheetData sheetId="11992" refreshError="1"/>
      <sheetData sheetId="11993" refreshError="1"/>
      <sheetData sheetId="11994" refreshError="1"/>
      <sheetData sheetId="11995" refreshError="1"/>
      <sheetData sheetId="11996" refreshError="1"/>
      <sheetData sheetId="11997" refreshError="1"/>
      <sheetData sheetId="11998" refreshError="1"/>
      <sheetData sheetId="11999" refreshError="1"/>
      <sheetData sheetId="12000" refreshError="1"/>
      <sheetData sheetId="12001" refreshError="1"/>
      <sheetData sheetId="12002" refreshError="1"/>
      <sheetData sheetId="12003" refreshError="1"/>
      <sheetData sheetId="12004" refreshError="1"/>
      <sheetData sheetId="12005" refreshError="1"/>
      <sheetData sheetId="12006" refreshError="1"/>
      <sheetData sheetId="12007" refreshError="1"/>
      <sheetData sheetId="12008" refreshError="1"/>
      <sheetData sheetId="12009" refreshError="1"/>
      <sheetData sheetId="12010" refreshError="1"/>
      <sheetData sheetId="12011" refreshError="1"/>
      <sheetData sheetId="12012" refreshError="1"/>
      <sheetData sheetId="12013" refreshError="1"/>
      <sheetData sheetId="12014" refreshError="1"/>
      <sheetData sheetId="12015" refreshError="1"/>
      <sheetData sheetId="12016" refreshError="1"/>
      <sheetData sheetId="12017" refreshError="1"/>
      <sheetData sheetId="12018" refreshError="1"/>
      <sheetData sheetId="12019" refreshError="1"/>
      <sheetData sheetId="12020" refreshError="1"/>
      <sheetData sheetId="12021" refreshError="1"/>
      <sheetData sheetId="12022" refreshError="1"/>
      <sheetData sheetId="12023" refreshError="1"/>
      <sheetData sheetId="12024" refreshError="1"/>
      <sheetData sheetId="12025" refreshError="1"/>
      <sheetData sheetId="12026" refreshError="1"/>
      <sheetData sheetId="12027" refreshError="1"/>
      <sheetData sheetId="12028" refreshError="1"/>
      <sheetData sheetId="12029" refreshError="1"/>
      <sheetData sheetId="12030" refreshError="1"/>
      <sheetData sheetId="12031" refreshError="1"/>
      <sheetData sheetId="12032" refreshError="1"/>
      <sheetData sheetId="12033" refreshError="1"/>
      <sheetData sheetId="12034" refreshError="1"/>
      <sheetData sheetId="12035" refreshError="1"/>
      <sheetData sheetId="12036" refreshError="1"/>
      <sheetData sheetId="12037" refreshError="1"/>
      <sheetData sheetId="12038" refreshError="1"/>
      <sheetData sheetId="12039" refreshError="1"/>
      <sheetData sheetId="12040" refreshError="1"/>
      <sheetData sheetId="12041" refreshError="1"/>
      <sheetData sheetId="12042" refreshError="1"/>
      <sheetData sheetId="12043" refreshError="1"/>
      <sheetData sheetId="12044" refreshError="1"/>
      <sheetData sheetId="12045" refreshError="1"/>
      <sheetData sheetId="12046" refreshError="1"/>
      <sheetData sheetId="12047" refreshError="1"/>
      <sheetData sheetId="12048" refreshError="1"/>
      <sheetData sheetId="12049" refreshError="1"/>
      <sheetData sheetId="12050" refreshError="1"/>
      <sheetData sheetId="12051" refreshError="1"/>
      <sheetData sheetId="12052" refreshError="1"/>
      <sheetData sheetId="12053" refreshError="1"/>
      <sheetData sheetId="12054" refreshError="1"/>
      <sheetData sheetId="12055" refreshError="1"/>
      <sheetData sheetId="12056" refreshError="1"/>
      <sheetData sheetId="12057" refreshError="1"/>
      <sheetData sheetId="12058" refreshError="1"/>
      <sheetData sheetId="12059" refreshError="1"/>
      <sheetData sheetId="12060" refreshError="1"/>
      <sheetData sheetId="12061" refreshError="1"/>
      <sheetData sheetId="12062" refreshError="1"/>
      <sheetData sheetId="12063" refreshError="1"/>
      <sheetData sheetId="12064" refreshError="1"/>
      <sheetData sheetId="12065" refreshError="1"/>
      <sheetData sheetId="12066" refreshError="1"/>
      <sheetData sheetId="12067" refreshError="1"/>
      <sheetData sheetId="12068" refreshError="1"/>
      <sheetData sheetId="12069" refreshError="1"/>
      <sheetData sheetId="12070" refreshError="1"/>
      <sheetData sheetId="12071" refreshError="1"/>
      <sheetData sheetId="12072" refreshError="1"/>
      <sheetData sheetId="12073" refreshError="1"/>
      <sheetData sheetId="12074" refreshError="1"/>
      <sheetData sheetId="12075" refreshError="1"/>
      <sheetData sheetId="12076" refreshError="1"/>
      <sheetData sheetId="12077" refreshError="1"/>
      <sheetData sheetId="12078" refreshError="1"/>
      <sheetData sheetId="12079" refreshError="1"/>
      <sheetData sheetId="12080" refreshError="1"/>
      <sheetData sheetId="12081" refreshError="1"/>
      <sheetData sheetId="12082" refreshError="1"/>
      <sheetData sheetId="12083" refreshError="1"/>
      <sheetData sheetId="12084" refreshError="1"/>
      <sheetData sheetId="12085" refreshError="1"/>
      <sheetData sheetId="12086" refreshError="1"/>
      <sheetData sheetId="12087" refreshError="1"/>
      <sheetData sheetId="12088" refreshError="1"/>
      <sheetData sheetId="12089" refreshError="1"/>
      <sheetData sheetId="12090" refreshError="1"/>
      <sheetData sheetId="12091" refreshError="1"/>
      <sheetData sheetId="12092" refreshError="1"/>
      <sheetData sheetId="12093" refreshError="1"/>
      <sheetData sheetId="12094" refreshError="1"/>
      <sheetData sheetId="12095" refreshError="1"/>
      <sheetData sheetId="12096" refreshError="1"/>
      <sheetData sheetId="12097" refreshError="1"/>
      <sheetData sheetId="12098" refreshError="1"/>
      <sheetData sheetId="12099" refreshError="1"/>
      <sheetData sheetId="12100" refreshError="1"/>
      <sheetData sheetId="12101" refreshError="1"/>
      <sheetData sheetId="12102" refreshError="1"/>
      <sheetData sheetId="12103" refreshError="1"/>
      <sheetData sheetId="12104" refreshError="1"/>
      <sheetData sheetId="12105" refreshError="1"/>
      <sheetData sheetId="12106" refreshError="1"/>
      <sheetData sheetId="12107" refreshError="1"/>
      <sheetData sheetId="12108" refreshError="1"/>
      <sheetData sheetId="12109" refreshError="1"/>
      <sheetData sheetId="12110" refreshError="1"/>
      <sheetData sheetId="12111" refreshError="1"/>
      <sheetData sheetId="12112" refreshError="1"/>
      <sheetData sheetId="12113" refreshError="1"/>
      <sheetData sheetId="12114" refreshError="1"/>
      <sheetData sheetId="12115" refreshError="1"/>
      <sheetData sheetId="12116" refreshError="1"/>
      <sheetData sheetId="12117" refreshError="1"/>
      <sheetData sheetId="12118" refreshError="1"/>
      <sheetData sheetId="12119" refreshError="1"/>
      <sheetData sheetId="12120" refreshError="1"/>
      <sheetData sheetId="12121" refreshError="1"/>
      <sheetData sheetId="12122" refreshError="1"/>
      <sheetData sheetId="12123" refreshError="1"/>
      <sheetData sheetId="12124" refreshError="1"/>
      <sheetData sheetId="12125" refreshError="1"/>
      <sheetData sheetId="12126" refreshError="1"/>
      <sheetData sheetId="12127" refreshError="1"/>
      <sheetData sheetId="12128" refreshError="1"/>
      <sheetData sheetId="12129" refreshError="1"/>
      <sheetData sheetId="12130" refreshError="1"/>
      <sheetData sheetId="12131" refreshError="1"/>
      <sheetData sheetId="12132" refreshError="1"/>
      <sheetData sheetId="12133" refreshError="1"/>
      <sheetData sheetId="12134" refreshError="1"/>
      <sheetData sheetId="12135" refreshError="1"/>
      <sheetData sheetId="12136" refreshError="1"/>
      <sheetData sheetId="12137" refreshError="1"/>
      <sheetData sheetId="12138" refreshError="1"/>
      <sheetData sheetId="12139" refreshError="1"/>
      <sheetData sheetId="12140" refreshError="1"/>
      <sheetData sheetId="12141" refreshError="1"/>
      <sheetData sheetId="12142" refreshError="1"/>
      <sheetData sheetId="12143" refreshError="1"/>
      <sheetData sheetId="12144" refreshError="1"/>
      <sheetData sheetId="12145" refreshError="1"/>
      <sheetData sheetId="12146" refreshError="1"/>
      <sheetData sheetId="12147" refreshError="1"/>
      <sheetData sheetId="12148" refreshError="1"/>
      <sheetData sheetId="12149" refreshError="1"/>
      <sheetData sheetId="12150" refreshError="1"/>
      <sheetData sheetId="12151" refreshError="1"/>
      <sheetData sheetId="12152" refreshError="1"/>
      <sheetData sheetId="12153" refreshError="1"/>
      <sheetData sheetId="12154" refreshError="1"/>
      <sheetData sheetId="12155" refreshError="1"/>
      <sheetData sheetId="12156" refreshError="1"/>
      <sheetData sheetId="12157" refreshError="1"/>
      <sheetData sheetId="12158" refreshError="1"/>
      <sheetData sheetId="12159" refreshError="1"/>
      <sheetData sheetId="12160" refreshError="1"/>
      <sheetData sheetId="12161" refreshError="1"/>
      <sheetData sheetId="12162" refreshError="1"/>
      <sheetData sheetId="12163" refreshError="1"/>
      <sheetData sheetId="12164" refreshError="1"/>
      <sheetData sheetId="12165" refreshError="1"/>
      <sheetData sheetId="12166" refreshError="1"/>
      <sheetData sheetId="12167" refreshError="1"/>
      <sheetData sheetId="12168" refreshError="1"/>
      <sheetData sheetId="12169" refreshError="1"/>
      <sheetData sheetId="12170" refreshError="1"/>
      <sheetData sheetId="12171" refreshError="1"/>
      <sheetData sheetId="12172" refreshError="1"/>
      <sheetData sheetId="12173" refreshError="1"/>
      <sheetData sheetId="12174" refreshError="1"/>
      <sheetData sheetId="12175" refreshError="1"/>
      <sheetData sheetId="12176" refreshError="1"/>
      <sheetData sheetId="12177" refreshError="1"/>
      <sheetData sheetId="12178" refreshError="1"/>
      <sheetData sheetId="12179" refreshError="1"/>
      <sheetData sheetId="12180" refreshError="1"/>
      <sheetData sheetId="12181" refreshError="1"/>
      <sheetData sheetId="12182" refreshError="1"/>
      <sheetData sheetId="12183" refreshError="1"/>
      <sheetData sheetId="12184" refreshError="1"/>
      <sheetData sheetId="12185" refreshError="1"/>
      <sheetData sheetId="12186" refreshError="1"/>
      <sheetData sheetId="12187" refreshError="1"/>
      <sheetData sheetId="12188" refreshError="1"/>
      <sheetData sheetId="12189" refreshError="1"/>
      <sheetData sheetId="12190" refreshError="1"/>
      <sheetData sheetId="12191" refreshError="1"/>
      <sheetData sheetId="12192" refreshError="1"/>
      <sheetData sheetId="12193" refreshError="1"/>
      <sheetData sheetId="12194" refreshError="1"/>
      <sheetData sheetId="12195" refreshError="1"/>
      <sheetData sheetId="12196" refreshError="1"/>
      <sheetData sheetId="12197" refreshError="1"/>
      <sheetData sheetId="12198" refreshError="1"/>
      <sheetData sheetId="12199" refreshError="1"/>
      <sheetData sheetId="12200" refreshError="1"/>
      <sheetData sheetId="12201" refreshError="1"/>
      <sheetData sheetId="12202" refreshError="1"/>
      <sheetData sheetId="12203" refreshError="1"/>
      <sheetData sheetId="12204" refreshError="1"/>
      <sheetData sheetId="12205" refreshError="1"/>
      <sheetData sheetId="12206" refreshError="1"/>
      <sheetData sheetId="12207" refreshError="1"/>
      <sheetData sheetId="12208" refreshError="1"/>
      <sheetData sheetId="12209" refreshError="1"/>
      <sheetData sheetId="12210" refreshError="1"/>
      <sheetData sheetId="12211" refreshError="1"/>
      <sheetData sheetId="12212" refreshError="1"/>
      <sheetData sheetId="12213" refreshError="1"/>
      <sheetData sheetId="12214" refreshError="1"/>
      <sheetData sheetId="12215" refreshError="1"/>
      <sheetData sheetId="12216" refreshError="1"/>
      <sheetData sheetId="12217" refreshError="1"/>
      <sheetData sheetId="12218" refreshError="1"/>
      <sheetData sheetId="12219" refreshError="1"/>
      <sheetData sheetId="12220" refreshError="1"/>
      <sheetData sheetId="12221" refreshError="1"/>
      <sheetData sheetId="12222" refreshError="1"/>
      <sheetData sheetId="12223" refreshError="1"/>
      <sheetData sheetId="12224" refreshError="1"/>
      <sheetData sheetId="12225" refreshError="1"/>
      <sheetData sheetId="12226" refreshError="1"/>
      <sheetData sheetId="12227" refreshError="1"/>
      <sheetData sheetId="12228" refreshError="1"/>
      <sheetData sheetId="12229" refreshError="1"/>
      <sheetData sheetId="12230" refreshError="1"/>
      <sheetData sheetId="12231" refreshError="1"/>
      <sheetData sheetId="12232" refreshError="1"/>
      <sheetData sheetId="12233" refreshError="1"/>
      <sheetData sheetId="12234" refreshError="1"/>
      <sheetData sheetId="12235" refreshError="1"/>
      <sheetData sheetId="12236" refreshError="1"/>
      <sheetData sheetId="12237" refreshError="1"/>
      <sheetData sheetId="12238" refreshError="1"/>
      <sheetData sheetId="12239" refreshError="1"/>
      <sheetData sheetId="12240" refreshError="1"/>
      <sheetData sheetId="12241" refreshError="1"/>
      <sheetData sheetId="12242" refreshError="1"/>
      <sheetData sheetId="12243" refreshError="1"/>
      <sheetData sheetId="12244" refreshError="1"/>
      <sheetData sheetId="12245" refreshError="1"/>
      <sheetData sheetId="12246" refreshError="1"/>
      <sheetData sheetId="12247" refreshError="1"/>
      <sheetData sheetId="12248" refreshError="1"/>
      <sheetData sheetId="12249" refreshError="1"/>
      <sheetData sheetId="12250" refreshError="1"/>
      <sheetData sheetId="12251" refreshError="1"/>
      <sheetData sheetId="12252" refreshError="1"/>
      <sheetData sheetId="12253" refreshError="1"/>
      <sheetData sheetId="12254" refreshError="1"/>
      <sheetData sheetId="12255" refreshError="1"/>
      <sheetData sheetId="12256" refreshError="1"/>
      <sheetData sheetId="12257" refreshError="1"/>
      <sheetData sheetId="12258" refreshError="1"/>
      <sheetData sheetId="12259" refreshError="1"/>
      <sheetData sheetId="12260" refreshError="1"/>
      <sheetData sheetId="12261" refreshError="1"/>
      <sheetData sheetId="12262" refreshError="1"/>
      <sheetData sheetId="12263" refreshError="1"/>
      <sheetData sheetId="12264" refreshError="1"/>
      <sheetData sheetId="12265" refreshError="1"/>
      <sheetData sheetId="12266" refreshError="1"/>
      <sheetData sheetId="12267" refreshError="1"/>
      <sheetData sheetId="12268" refreshError="1"/>
      <sheetData sheetId="12269" refreshError="1"/>
      <sheetData sheetId="12270" refreshError="1"/>
      <sheetData sheetId="12271" refreshError="1"/>
      <sheetData sheetId="12272" refreshError="1"/>
      <sheetData sheetId="12273" refreshError="1"/>
      <sheetData sheetId="12274" refreshError="1"/>
      <sheetData sheetId="12275" refreshError="1"/>
      <sheetData sheetId="12276" refreshError="1"/>
      <sheetData sheetId="12277" refreshError="1"/>
      <sheetData sheetId="12278" refreshError="1"/>
      <sheetData sheetId="12279" refreshError="1"/>
      <sheetData sheetId="12280" refreshError="1"/>
      <sheetData sheetId="12281" refreshError="1"/>
      <sheetData sheetId="12282" refreshError="1"/>
      <sheetData sheetId="12283" refreshError="1"/>
      <sheetData sheetId="12284" refreshError="1"/>
      <sheetData sheetId="12285" refreshError="1"/>
      <sheetData sheetId="12286" refreshError="1"/>
      <sheetData sheetId="12287" refreshError="1"/>
      <sheetData sheetId="12288" refreshError="1"/>
      <sheetData sheetId="12289" refreshError="1"/>
      <sheetData sheetId="12290" refreshError="1"/>
      <sheetData sheetId="12291" refreshError="1"/>
      <sheetData sheetId="12292" refreshError="1"/>
      <sheetData sheetId="12293" refreshError="1"/>
      <sheetData sheetId="12294" refreshError="1"/>
      <sheetData sheetId="12295" refreshError="1"/>
      <sheetData sheetId="12296" refreshError="1"/>
      <sheetData sheetId="12297" refreshError="1"/>
      <sheetData sheetId="12298" refreshError="1"/>
      <sheetData sheetId="12299" refreshError="1"/>
      <sheetData sheetId="12300" refreshError="1"/>
      <sheetData sheetId="12301" refreshError="1"/>
      <sheetData sheetId="12302" refreshError="1"/>
      <sheetData sheetId="12303" refreshError="1"/>
      <sheetData sheetId="12304" refreshError="1"/>
      <sheetData sheetId="12305" refreshError="1"/>
      <sheetData sheetId="12306" refreshError="1"/>
      <sheetData sheetId="12307" refreshError="1"/>
      <sheetData sheetId="12308" refreshError="1"/>
      <sheetData sheetId="12309" refreshError="1"/>
      <sheetData sheetId="12310" refreshError="1"/>
      <sheetData sheetId="12311" refreshError="1"/>
      <sheetData sheetId="12312" refreshError="1"/>
      <sheetData sheetId="12313" refreshError="1"/>
      <sheetData sheetId="12314" refreshError="1"/>
      <sheetData sheetId="12315" refreshError="1"/>
      <sheetData sheetId="12316" refreshError="1"/>
      <sheetData sheetId="12317" refreshError="1"/>
      <sheetData sheetId="12318" refreshError="1"/>
      <sheetData sheetId="12319" refreshError="1"/>
      <sheetData sheetId="12320" refreshError="1"/>
      <sheetData sheetId="12321" refreshError="1"/>
      <sheetData sheetId="12322" refreshError="1"/>
      <sheetData sheetId="12323" refreshError="1"/>
      <sheetData sheetId="12324" refreshError="1"/>
      <sheetData sheetId="12325" refreshError="1"/>
      <sheetData sheetId="12326" refreshError="1"/>
      <sheetData sheetId="12327" refreshError="1"/>
      <sheetData sheetId="12328" refreshError="1"/>
      <sheetData sheetId="12329" refreshError="1"/>
      <sheetData sheetId="12330" refreshError="1"/>
      <sheetData sheetId="12331" refreshError="1"/>
      <sheetData sheetId="12332" refreshError="1"/>
      <sheetData sheetId="12333" refreshError="1"/>
      <sheetData sheetId="12334" refreshError="1"/>
      <sheetData sheetId="12335" refreshError="1"/>
      <sheetData sheetId="12336" refreshError="1"/>
      <sheetData sheetId="12337" refreshError="1"/>
      <sheetData sheetId="12338" refreshError="1"/>
      <sheetData sheetId="12339" refreshError="1"/>
      <sheetData sheetId="12340" refreshError="1"/>
      <sheetData sheetId="12341" refreshError="1"/>
      <sheetData sheetId="12342" refreshError="1"/>
      <sheetData sheetId="12343" refreshError="1"/>
      <sheetData sheetId="12344" refreshError="1"/>
      <sheetData sheetId="12345" refreshError="1"/>
      <sheetData sheetId="12346" refreshError="1"/>
      <sheetData sheetId="12347" refreshError="1"/>
      <sheetData sheetId="12348" refreshError="1"/>
      <sheetData sheetId="12349" refreshError="1"/>
      <sheetData sheetId="12350" refreshError="1"/>
      <sheetData sheetId="12351" refreshError="1"/>
      <sheetData sheetId="12352" refreshError="1"/>
      <sheetData sheetId="12353" refreshError="1"/>
      <sheetData sheetId="12354" refreshError="1"/>
      <sheetData sheetId="12355" refreshError="1"/>
      <sheetData sheetId="12356" refreshError="1"/>
      <sheetData sheetId="12357" refreshError="1"/>
      <sheetData sheetId="12358" refreshError="1"/>
      <sheetData sheetId="12359" refreshError="1"/>
      <sheetData sheetId="12360" refreshError="1"/>
      <sheetData sheetId="12361" refreshError="1"/>
      <sheetData sheetId="12362" refreshError="1"/>
      <sheetData sheetId="12363" refreshError="1"/>
      <sheetData sheetId="12364" refreshError="1"/>
      <sheetData sheetId="12365" refreshError="1"/>
      <sheetData sheetId="12366" refreshError="1"/>
      <sheetData sheetId="12367" refreshError="1"/>
      <sheetData sheetId="12368" refreshError="1"/>
      <sheetData sheetId="12369" refreshError="1"/>
      <sheetData sheetId="12370" refreshError="1"/>
      <sheetData sheetId="12371" refreshError="1"/>
      <sheetData sheetId="12372" refreshError="1"/>
      <sheetData sheetId="12373" refreshError="1"/>
      <sheetData sheetId="12374" refreshError="1"/>
      <sheetData sheetId="12375" refreshError="1"/>
      <sheetData sheetId="12376" refreshError="1"/>
      <sheetData sheetId="12377" refreshError="1"/>
      <sheetData sheetId="12378" refreshError="1"/>
      <sheetData sheetId="12379" refreshError="1"/>
      <sheetData sheetId="12380" refreshError="1"/>
      <sheetData sheetId="12381" refreshError="1"/>
      <sheetData sheetId="12382" refreshError="1"/>
      <sheetData sheetId="12383" refreshError="1"/>
      <sheetData sheetId="12384" refreshError="1"/>
      <sheetData sheetId="12385" refreshError="1"/>
      <sheetData sheetId="12386" refreshError="1"/>
      <sheetData sheetId="12387" refreshError="1"/>
      <sheetData sheetId="12388" refreshError="1"/>
      <sheetData sheetId="12389" refreshError="1"/>
      <sheetData sheetId="12390" refreshError="1"/>
      <sheetData sheetId="12391" refreshError="1"/>
      <sheetData sheetId="12392" refreshError="1"/>
      <sheetData sheetId="12393" refreshError="1"/>
      <sheetData sheetId="12394" refreshError="1"/>
      <sheetData sheetId="12395" refreshError="1"/>
      <sheetData sheetId="12396" refreshError="1"/>
      <sheetData sheetId="12397" refreshError="1"/>
      <sheetData sheetId="12398" refreshError="1"/>
      <sheetData sheetId="12399" refreshError="1"/>
      <sheetData sheetId="12400" refreshError="1"/>
      <sheetData sheetId="12401" refreshError="1"/>
      <sheetData sheetId="12402" refreshError="1"/>
      <sheetData sheetId="12403" refreshError="1"/>
      <sheetData sheetId="12404" refreshError="1"/>
      <sheetData sheetId="12405" refreshError="1"/>
      <sheetData sheetId="12406" refreshError="1"/>
      <sheetData sheetId="12407" refreshError="1"/>
      <sheetData sheetId="12408" refreshError="1"/>
      <sheetData sheetId="12409" refreshError="1"/>
      <sheetData sheetId="12410" refreshError="1"/>
      <sheetData sheetId="12411" refreshError="1"/>
      <sheetData sheetId="12412" refreshError="1"/>
      <sheetData sheetId="12413" refreshError="1"/>
      <sheetData sheetId="12414" refreshError="1"/>
      <sheetData sheetId="12415" refreshError="1"/>
      <sheetData sheetId="12416" refreshError="1"/>
      <sheetData sheetId="12417" refreshError="1"/>
      <sheetData sheetId="12418" refreshError="1"/>
      <sheetData sheetId="12419" refreshError="1"/>
      <sheetData sheetId="12420" refreshError="1"/>
      <sheetData sheetId="12421" refreshError="1"/>
      <sheetData sheetId="12422" refreshError="1"/>
      <sheetData sheetId="12423" refreshError="1"/>
      <sheetData sheetId="12424" refreshError="1"/>
      <sheetData sheetId="12425" refreshError="1"/>
      <sheetData sheetId="12426" refreshError="1"/>
      <sheetData sheetId="12427" refreshError="1"/>
      <sheetData sheetId="12428" refreshError="1"/>
      <sheetData sheetId="12429" refreshError="1"/>
      <sheetData sheetId="12430" refreshError="1"/>
      <sheetData sheetId="12431" refreshError="1"/>
      <sheetData sheetId="12432" refreshError="1"/>
      <sheetData sheetId="12433" refreshError="1"/>
      <sheetData sheetId="12434" refreshError="1"/>
      <sheetData sheetId="12435" refreshError="1"/>
      <sheetData sheetId="12436" refreshError="1"/>
      <sheetData sheetId="12437" refreshError="1"/>
      <sheetData sheetId="12438" refreshError="1"/>
      <sheetData sheetId="12439" refreshError="1"/>
      <sheetData sheetId="12440" refreshError="1"/>
      <sheetData sheetId="12441" refreshError="1"/>
      <sheetData sheetId="12442" refreshError="1"/>
      <sheetData sheetId="12443" refreshError="1"/>
      <sheetData sheetId="12444" refreshError="1"/>
      <sheetData sheetId="12445" refreshError="1"/>
      <sheetData sheetId="12446" refreshError="1"/>
      <sheetData sheetId="12447" refreshError="1"/>
      <sheetData sheetId="12448" refreshError="1"/>
      <sheetData sheetId="12449" refreshError="1"/>
      <sheetData sheetId="12450" refreshError="1"/>
      <sheetData sheetId="12451" refreshError="1"/>
      <sheetData sheetId="12452" refreshError="1"/>
      <sheetData sheetId="12453" refreshError="1"/>
      <sheetData sheetId="12454" refreshError="1"/>
      <sheetData sheetId="12455" refreshError="1"/>
      <sheetData sheetId="12456" refreshError="1"/>
      <sheetData sheetId="12457" refreshError="1"/>
      <sheetData sheetId="12458" refreshError="1"/>
      <sheetData sheetId="12459" refreshError="1"/>
      <sheetData sheetId="12460" refreshError="1"/>
      <sheetData sheetId="12461" refreshError="1"/>
      <sheetData sheetId="12462" refreshError="1"/>
      <sheetData sheetId="12463" refreshError="1"/>
      <sheetData sheetId="12464" refreshError="1"/>
      <sheetData sheetId="12465" refreshError="1"/>
      <sheetData sheetId="12466" refreshError="1"/>
      <sheetData sheetId="12467" refreshError="1"/>
      <sheetData sheetId="12468" refreshError="1"/>
      <sheetData sheetId="12469" refreshError="1"/>
      <sheetData sheetId="12470" refreshError="1"/>
      <sheetData sheetId="12471" refreshError="1"/>
      <sheetData sheetId="12472" refreshError="1"/>
      <sheetData sheetId="12473" refreshError="1"/>
      <sheetData sheetId="12474" refreshError="1"/>
      <sheetData sheetId="12475" refreshError="1"/>
      <sheetData sheetId="12476" refreshError="1"/>
      <sheetData sheetId="12477" refreshError="1"/>
      <sheetData sheetId="12478" refreshError="1"/>
      <sheetData sheetId="12479" refreshError="1"/>
      <sheetData sheetId="12480" refreshError="1"/>
      <sheetData sheetId="12481" refreshError="1"/>
      <sheetData sheetId="12482" refreshError="1"/>
      <sheetData sheetId="12483" refreshError="1"/>
      <sheetData sheetId="12484" refreshError="1"/>
      <sheetData sheetId="12485" refreshError="1"/>
      <sheetData sheetId="12486" refreshError="1"/>
      <sheetData sheetId="12487" refreshError="1"/>
      <sheetData sheetId="12488" refreshError="1"/>
      <sheetData sheetId="12489" refreshError="1"/>
      <sheetData sheetId="12490" refreshError="1"/>
      <sheetData sheetId="12491" refreshError="1"/>
      <sheetData sheetId="12492" refreshError="1"/>
      <sheetData sheetId="12493" refreshError="1"/>
      <sheetData sheetId="12494" refreshError="1"/>
      <sheetData sheetId="12495" refreshError="1"/>
      <sheetData sheetId="12496" refreshError="1"/>
      <sheetData sheetId="12497" refreshError="1"/>
      <sheetData sheetId="12498" refreshError="1"/>
      <sheetData sheetId="12499" refreshError="1"/>
      <sheetData sheetId="12500" refreshError="1"/>
      <sheetData sheetId="12501" refreshError="1"/>
      <sheetData sheetId="12502" refreshError="1"/>
      <sheetData sheetId="12503" refreshError="1"/>
      <sheetData sheetId="12504" refreshError="1"/>
      <sheetData sheetId="12505" refreshError="1"/>
      <sheetData sheetId="12506" refreshError="1"/>
      <sheetData sheetId="12507" refreshError="1"/>
      <sheetData sheetId="12508" refreshError="1"/>
      <sheetData sheetId="12509" refreshError="1"/>
      <sheetData sheetId="12510" refreshError="1"/>
      <sheetData sheetId="12511" refreshError="1"/>
      <sheetData sheetId="12512" refreshError="1"/>
      <sheetData sheetId="12513" refreshError="1"/>
      <sheetData sheetId="12514" refreshError="1"/>
      <sheetData sheetId="12515" refreshError="1"/>
      <sheetData sheetId="12516" refreshError="1"/>
      <sheetData sheetId="12517" refreshError="1"/>
      <sheetData sheetId="12518" refreshError="1"/>
      <sheetData sheetId="12519" refreshError="1"/>
      <sheetData sheetId="12520" refreshError="1"/>
      <sheetData sheetId="12521" refreshError="1"/>
      <sheetData sheetId="12522" refreshError="1"/>
      <sheetData sheetId="12523" refreshError="1"/>
      <sheetData sheetId="12524" refreshError="1"/>
      <sheetData sheetId="12525" refreshError="1"/>
      <sheetData sheetId="12526" refreshError="1"/>
      <sheetData sheetId="12527" refreshError="1"/>
      <sheetData sheetId="12528" refreshError="1"/>
      <sheetData sheetId="12529" refreshError="1"/>
      <sheetData sheetId="12530" refreshError="1"/>
      <sheetData sheetId="12531" refreshError="1"/>
      <sheetData sheetId="12532" refreshError="1"/>
      <sheetData sheetId="12533" refreshError="1"/>
      <sheetData sheetId="12534" refreshError="1"/>
      <sheetData sheetId="12535" refreshError="1"/>
      <sheetData sheetId="12536" refreshError="1"/>
      <sheetData sheetId="12537" refreshError="1"/>
      <sheetData sheetId="12538" refreshError="1"/>
      <sheetData sheetId="12539" refreshError="1"/>
      <sheetData sheetId="12540" refreshError="1"/>
      <sheetData sheetId="12541" refreshError="1"/>
      <sheetData sheetId="12542" refreshError="1"/>
      <sheetData sheetId="12543" refreshError="1"/>
      <sheetData sheetId="12544" refreshError="1"/>
      <sheetData sheetId="12545" refreshError="1"/>
      <sheetData sheetId="12546" refreshError="1"/>
      <sheetData sheetId="12547" refreshError="1"/>
      <sheetData sheetId="12548" refreshError="1"/>
      <sheetData sheetId="12549" refreshError="1"/>
      <sheetData sheetId="12550" refreshError="1"/>
      <sheetData sheetId="12551" refreshError="1"/>
      <sheetData sheetId="12552" refreshError="1"/>
      <sheetData sheetId="12553" refreshError="1"/>
      <sheetData sheetId="12554" refreshError="1"/>
      <sheetData sheetId="12555" refreshError="1"/>
      <sheetData sheetId="12556" refreshError="1"/>
      <sheetData sheetId="12557" refreshError="1"/>
      <sheetData sheetId="12558" refreshError="1"/>
      <sheetData sheetId="12559" refreshError="1"/>
      <sheetData sheetId="12560" refreshError="1"/>
      <sheetData sheetId="12561" refreshError="1"/>
      <sheetData sheetId="12562" refreshError="1"/>
      <sheetData sheetId="12563" refreshError="1"/>
      <sheetData sheetId="12564" refreshError="1"/>
      <sheetData sheetId="12565" refreshError="1"/>
      <sheetData sheetId="12566" refreshError="1"/>
      <sheetData sheetId="12567" refreshError="1"/>
      <sheetData sheetId="12568" refreshError="1"/>
      <sheetData sheetId="12569" refreshError="1"/>
      <sheetData sheetId="12570" refreshError="1"/>
      <sheetData sheetId="12571" refreshError="1"/>
      <sheetData sheetId="12572" refreshError="1"/>
      <sheetData sheetId="12573" refreshError="1"/>
      <sheetData sheetId="12574" refreshError="1"/>
      <sheetData sheetId="12575" refreshError="1"/>
      <sheetData sheetId="12576" refreshError="1"/>
      <sheetData sheetId="12577" refreshError="1"/>
      <sheetData sheetId="12578" refreshError="1"/>
      <sheetData sheetId="12579" refreshError="1"/>
      <sheetData sheetId="12580" refreshError="1"/>
      <sheetData sheetId="12581" refreshError="1"/>
      <sheetData sheetId="12582" refreshError="1"/>
      <sheetData sheetId="12583" refreshError="1"/>
      <sheetData sheetId="12584" refreshError="1"/>
      <sheetData sheetId="12585" refreshError="1"/>
      <sheetData sheetId="12586" refreshError="1"/>
      <sheetData sheetId="12587" refreshError="1"/>
      <sheetData sheetId="12588" refreshError="1"/>
      <sheetData sheetId="12589" refreshError="1"/>
      <sheetData sheetId="12590" refreshError="1"/>
      <sheetData sheetId="12591" refreshError="1"/>
      <sheetData sheetId="12592" refreshError="1"/>
      <sheetData sheetId="12593" refreshError="1"/>
      <sheetData sheetId="12594" refreshError="1"/>
      <sheetData sheetId="12595" refreshError="1"/>
      <sheetData sheetId="12596" refreshError="1"/>
      <sheetData sheetId="12597" refreshError="1"/>
      <sheetData sheetId="12598" refreshError="1"/>
      <sheetData sheetId="12599" refreshError="1"/>
      <sheetData sheetId="12600" refreshError="1"/>
      <sheetData sheetId="12601" refreshError="1"/>
      <sheetData sheetId="12602" refreshError="1"/>
      <sheetData sheetId="12603" refreshError="1"/>
      <sheetData sheetId="12604" refreshError="1"/>
      <sheetData sheetId="12605" refreshError="1"/>
      <sheetData sheetId="12606" refreshError="1"/>
      <sheetData sheetId="12607" refreshError="1"/>
      <sheetData sheetId="12608" refreshError="1"/>
      <sheetData sheetId="12609" refreshError="1"/>
      <sheetData sheetId="12610" refreshError="1"/>
      <sheetData sheetId="12611" refreshError="1"/>
      <sheetData sheetId="12612" refreshError="1"/>
      <sheetData sheetId="12613" refreshError="1"/>
      <sheetData sheetId="12614" refreshError="1"/>
      <sheetData sheetId="12615" refreshError="1"/>
      <sheetData sheetId="12616" refreshError="1"/>
      <sheetData sheetId="12617" refreshError="1"/>
      <sheetData sheetId="12618" refreshError="1"/>
      <sheetData sheetId="12619" refreshError="1"/>
      <sheetData sheetId="12620" refreshError="1"/>
      <sheetData sheetId="12621" refreshError="1"/>
      <sheetData sheetId="12622" refreshError="1"/>
      <sheetData sheetId="12623" refreshError="1"/>
      <sheetData sheetId="12624" refreshError="1"/>
      <sheetData sheetId="12625" refreshError="1"/>
      <sheetData sheetId="12626" refreshError="1"/>
      <sheetData sheetId="12627" refreshError="1"/>
      <sheetData sheetId="12628" refreshError="1"/>
      <sheetData sheetId="12629" refreshError="1"/>
      <sheetData sheetId="12630" refreshError="1"/>
      <sheetData sheetId="12631" refreshError="1"/>
      <sheetData sheetId="12632" refreshError="1"/>
      <sheetData sheetId="12633" refreshError="1"/>
      <sheetData sheetId="12634" refreshError="1"/>
      <sheetData sheetId="12635" refreshError="1"/>
      <sheetData sheetId="12636" refreshError="1"/>
      <sheetData sheetId="12637" refreshError="1"/>
      <sheetData sheetId="12638" refreshError="1"/>
      <sheetData sheetId="12639" refreshError="1"/>
      <sheetData sheetId="12640" refreshError="1"/>
      <sheetData sheetId="12641" refreshError="1"/>
      <sheetData sheetId="12642" refreshError="1"/>
      <sheetData sheetId="12643" refreshError="1"/>
      <sheetData sheetId="12644" refreshError="1"/>
      <sheetData sheetId="12645" refreshError="1"/>
      <sheetData sheetId="12646" refreshError="1"/>
      <sheetData sheetId="12647" refreshError="1"/>
      <sheetData sheetId="12648" refreshError="1"/>
      <sheetData sheetId="12649" refreshError="1"/>
      <sheetData sheetId="12650" refreshError="1"/>
      <sheetData sheetId="12651" refreshError="1"/>
      <sheetData sheetId="12652" refreshError="1"/>
      <sheetData sheetId="12653" refreshError="1"/>
      <sheetData sheetId="12654" refreshError="1"/>
      <sheetData sheetId="12655" refreshError="1"/>
      <sheetData sheetId="12656" refreshError="1"/>
      <sheetData sheetId="12657" refreshError="1"/>
      <sheetData sheetId="12658" refreshError="1"/>
      <sheetData sheetId="12659" refreshError="1"/>
      <sheetData sheetId="12660" refreshError="1"/>
      <sheetData sheetId="12661" refreshError="1"/>
      <sheetData sheetId="12662" refreshError="1"/>
      <sheetData sheetId="12663" refreshError="1"/>
      <sheetData sheetId="12664" refreshError="1"/>
      <sheetData sheetId="12665" refreshError="1"/>
      <sheetData sheetId="12666" refreshError="1"/>
      <sheetData sheetId="12667" refreshError="1"/>
      <sheetData sheetId="12668" refreshError="1"/>
      <sheetData sheetId="12669" refreshError="1"/>
      <sheetData sheetId="12670" refreshError="1"/>
      <sheetData sheetId="12671" refreshError="1"/>
      <sheetData sheetId="12672" refreshError="1"/>
      <sheetData sheetId="12673" refreshError="1"/>
      <sheetData sheetId="12674" refreshError="1"/>
      <sheetData sheetId="12675" refreshError="1"/>
      <sheetData sheetId="12676" refreshError="1"/>
      <sheetData sheetId="12677" refreshError="1"/>
      <sheetData sheetId="12678" refreshError="1"/>
      <sheetData sheetId="12679" refreshError="1"/>
      <sheetData sheetId="12680" refreshError="1"/>
      <sheetData sheetId="12681" refreshError="1"/>
      <sheetData sheetId="12682" refreshError="1"/>
      <sheetData sheetId="12683" refreshError="1"/>
      <sheetData sheetId="12684" refreshError="1"/>
      <sheetData sheetId="12685" refreshError="1"/>
      <sheetData sheetId="12686" refreshError="1"/>
      <sheetData sheetId="12687" refreshError="1"/>
      <sheetData sheetId="12688" refreshError="1"/>
      <sheetData sheetId="12689" refreshError="1"/>
      <sheetData sheetId="12690" refreshError="1"/>
      <sheetData sheetId="12691" refreshError="1"/>
      <sheetData sheetId="12692" refreshError="1"/>
      <sheetData sheetId="12693" refreshError="1"/>
      <sheetData sheetId="12694" refreshError="1"/>
      <sheetData sheetId="12695" refreshError="1"/>
      <sheetData sheetId="12696" refreshError="1"/>
      <sheetData sheetId="12697" refreshError="1"/>
      <sheetData sheetId="12698" refreshError="1"/>
      <sheetData sheetId="12699" refreshError="1"/>
      <sheetData sheetId="12700" refreshError="1"/>
      <sheetData sheetId="12701" refreshError="1"/>
      <sheetData sheetId="12702" refreshError="1"/>
      <sheetData sheetId="12703" refreshError="1"/>
      <sheetData sheetId="12704" refreshError="1"/>
      <sheetData sheetId="12705" refreshError="1"/>
      <sheetData sheetId="12706" refreshError="1"/>
      <sheetData sheetId="12707" refreshError="1"/>
      <sheetData sheetId="12708" refreshError="1"/>
      <sheetData sheetId="12709" refreshError="1"/>
      <sheetData sheetId="12710" refreshError="1"/>
      <sheetData sheetId="12711" refreshError="1"/>
      <sheetData sheetId="12712" refreshError="1"/>
      <sheetData sheetId="12713" refreshError="1"/>
      <sheetData sheetId="12714" refreshError="1"/>
      <sheetData sheetId="12715" refreshError="1"/>
      <sheetData sheetId="12716" refreshError="1"/>
      <sheetData sheetId="12717" refreshError="1"/>
      <sheetData sheetId="12718" refreshError="1"/>
      <sheetData sheetId="12719" refreshError="1"/>
      <sheetData sheetId="12720" refreshError="1"/>
      <sheetData sheetId="12721" refreshError="1"/>
      <sheetData sheetId="12722" refreshError="1"/>
      <sheetData sheetId="12723" refreshError="1"/>
      <sheetData sheetId="12724" refreshError="1"/>
      <sheetData sheetId="12725" refreshError="1"/>
      <sheetData sheetId="12726" refreshError="1"/>
      <sheetData sheetId="12727" refreshError="1"/>
      <sheetData sheetId="12728" refreshError="1"/>
      <sheetData sheetId="12729" refreshError="1"/>
      <sheetData sheetId="12730" refreshError="1"/>
      <sheetData sheetId="12731" refreshError="1"/>
      <sheetData sheetId="12732" refreshError="1"/>
      <sheetData sheetId="12733" refreshError="1"/>
      <sheetData sheetId="12734" refreshError="1"/>
      <sheetData sheetId="12735" refreshError="1"/>
      <sheetData sheetId="12736" refreshError="1"/>
      <sheetData sheetId="12737" refreshError="1"/>
      <sheetData sheetId="12738" refreshError="1"/>
      <sheetData sheetId="12739" refreshError="1"/>
      <sheetData sheetId="12740" refreshError="1"/>
      <sheetData sheetId="12741" refreshError="1"/>
      <sheetData sheetId="12742" refreshError="1"/>
      <sheetData sheetId="12743" refreshError="1"/>
      <sheetData sheetId="12744" refreshError="1"/>
      <sheetData sheetId="12745" refreshError="1"/>
      <sheetData sheetId="12746" refreshError="1"/>
      <sheetData sheetId="12747" refreshError="1"/>
      <sheetData sheetId="12748" refreshError="1"/>
      <sheetData sheetId="12749" refreshError="1"/>
      <sheetData sheetId="12750" refreshError="1"/>
      <sheetData sheetId="12751" refreshError="1"/>
      <sheetData sheetId="12752" refreshError="1"/>
      <sheetData sheetId="12753" refreshError="1"/>
      <sheetData sheetId="12754" refreshError="1"/>
      <sheetData sheetId="12755" refreshError="1"/>
      <sheetData sheetId="12756" refreshError="1"/>
      <sheetData sheetId="12757" refreshError="1"/>
      <sheetData sheetId="12758" refreshError="1"/>
      <sheetData sheetId="12759" refreshError="1"/>
      <sheetData sheetId="12760" refreshError="1"/>
      <sheetData sheetId="12761" refreshError="1"/>
      <sheetData sheetId="12762" refreshError="1"/>
      <sheetData sheetId="12763" refreshError="1"/>
      <sheetData sheetId="12764" refreshError="1"/>
      <sheetData sheetId="12765" refreshError="1"/>
      <sheetData sheetId="12766" refreshError="1"/>
      <sheetData sheetId="12767" refreshError="1"/>
      <sheetData sheetId="12768" refreshError="1"/>
      <sheetData sheetId="12769" refreshError="1"/>
      <sheetData sheetId="12770" refreshError="1"/>
      <sheetData sheetId="12771" refreshError="1"/>
      <sheetData sheetId="12772" refreshError="1"/>
      <sheetData sheetId="12773" refreshError="1"/>
      <sheetData sheetId="12774" refreshError="1"/>
      <sheetData sheetId="12775" refreshError="1"/>
      <sheetData sheetId="12776" refreshError="1"/>
      <sheetData sheetId="12777" refreshError="1"/>
      <sheetData sheetId="12778" refreshError="1"/>
      <sheetData sheetId="12779" refreshError="1"/>
      <sheetData sheetId="12780" refreshError="1"/>
      <sheetData sheetId="12781" refreshError="1"/>
      <sheetData sheetId="12782" refreshError="1"/>
      <sheetData sheetId="12783" refreshError="1"/>
      <sheetData sheetId="12784" refreshError="1"/>
      <sheetData sheetId="12785" refreshError="1"/>
      <sheetData sheetId="12786" refreshError="1"/>
      <sheetData sheetId="12787" refreshError="1"/>
      <sheetData sheetId="12788" refreshError="1"/>
      <sheetData sheetId="12789" refreshError="1"/>
      <sheetData sheetId="12790" refreshError="1"/>
      <sheetData sheetId="12791" refreshError="1"/>
      <sheetData sheetId="12792" refreshError="1"/>
      <sheetData sheetId="12793" refreshError="1"/>
      <sheetData sheetId="12794" refreshError="1"/>
      <sheetData sheetId="12795" refreshError="1"/>
      <sheetData sheetId="12796" refreshError="1"/>
      <sheetData sheetId="12797" refreshError="1"/>
      <sheetData sheetId="12798" refreshError="1"/>
      <sheetData sheetId="12799" refreshError="1"/>
      <sheetData sheetId="12800" refreshError="1"/>
      <sheetData sheetId="12801" refreshError="1"/>
      <sheetData sheetId="12802" refreshError="1"/>
      <sheetData sheetId="12803" refreshError="1"/>
      <sheetData sheetId="12804" refreshError="1"/>
      <sheetData sheetId="12805" refreshError="1"/>
      <sheetData sheetId="12806" refreshError="1"/>
      <sheetData sheetId="12807" refreshError="1"/>
      <sheetData sheetId="12808" refreshError="1"/>
      <sheetData sheetId="12809" refreshError="1"/>
      <sheetData sheetId="12810" refreshError="1"/>
      <sheetData sheetId="12811" refreshError="1"/>
      <sheetData sheetId="12812" refreshError="1"/>
      <sheetData sheetId="12813" refreshError="1"/>
      <sheetData sheetId="12814" refreshError="1"/>
      <sheetData sheetId="12815" refreshError="1"/>
      <sheetData sheetId="12816" refreshError="1"/>
      <sheetData sheetId="12817" refreshError="1"/>
      <sheetData sheetId="12818" refreshError="1"/>
      <sheetData sheetId="12819" refreshError="1"/>
      <sheetData sheetId="12820" refreshError="1"/>
      <sheetData sheetId="12821" refreshError="1"/>
      <sheetData sheetId="12822" refreshError="1"/>
      <sheetData sheetId="12823" refreshError="1"/>
      <sheetData sheetId="12824" refreshError="1"/>
      <sheetData sheetId="12825" refreshError="1"/>
      <sheetData sheetId="12826" refreshError="1"/>
      <sheetData sheetId="12827" refreshError="1"/>
      <sheetData sheetId="12828" refreshError="1"/>
      <sheetData sheetId="12829" refreshError="1"/>
      <sheetData sheetId="12830" refreshError="1"/>
      <sheetData sheetId="12831" refreshError="1"/>
      <sheetData sheetId="12832" refreshError="1"/>
      <sheetData sheetId="12833" refreshError="1"/>
      <sheetData sheetId="12834" refreshError="1"/>
      <sheetData sheetId="12835" refreshError="1"/>
      <sheetData sheetId="12836" refreshError="1"/>
      <sheetData sheetId="12837" refreshError="1"/>
      <sheetData sheetId="12838" refreshError="1"/>
      <sheetData sheetId="12839" refreshError="1"/>
      <sheetData sheetId="12840" refreshError="1"/>
      <sheetData sheetId="12841" refreshError="1"/>
      <sheetData sheetId="12842" refreshError="1"/>
      <sheetData sheetId="12843" refreshError="1"/>
      <sheetData sheetId="12844" refreshError="1"/>
      <sheetData sheetId="12845" refreshError="1"/>
      <sheetData sheetId="12846" refreshError="1"/>
      <sheetData sheetId="12847" refreshError="1"/>
      <sheetData sheetId="12848" refreshError="1"/>
      <sheetData sheetId="12849" refreshError="1"/>
      <sheetData sheetId="12850" refreshError="1"/>
      <sheetData sheetId="12851" refreshError="1"/>
      <sheetData sheetId="12852" refreshError="1"/>
      <sheetData sheetId="12853" refreshError="1"/>
      <sheetData sheetId="12854" refreshError="1"/>
      <sheetData sheetId="12855" refreshError="1"/>
      <sheetData sheetId="12856" refreshError="1"/>
      <sheetData sheetId="12857" refreshError="1"/>
      <sheetData sheetId="12858" refreshError="1"/>
      <sheetData sheetId="12859" refreshError="1"/>
      <sheetData sheetId="12860" refreshError="1"/>
      <sheetData sheetId="12861" refreshError="1"/>
      <sheetData sheetId="12862" refreshError="1"/>
      <sheetData sheetId="12863" refreshError="1"/>
      <sheetData sheetId="12864" refreshError="1"/>
      <sheetData sheetId="12865" refreshError="1"/>
      <sheetData sheetId="12866" refreshError="1"/>
      <sheetData sheetId="12867" refreshError="1"/>
      <sheetData sheetId="12868" refreshError="1"/>
      <sheetData sheetId="12869" refreshError="1"/>
      <sheetData sheetId="12870" refreshError="1"/>
      <sheetData sheetId="12871" refreshError="1"/>
      <sheetData sheetId="12872" refreshError="1"/>
      <sheetData sheetId="12873" refreshError="1"/>
      <sheetData sheetId="12874" refreshError="1"/>
      <sheetData sheetId="12875" refreshError="1"/>
      <sheetData sheetId="12876" refreshError="1"/>
      <sheetData sheetId="12877" refreshError="1"/>
      <sheetData sheetId="12878" refreshError="1"/>
      <sheetData sheetId="12879" refreshError="1"/>
      <sheetData sheetId="12880" refreshError="1"/>
      <sheetData sheetId="12881" refreshError="1"/>
      <sheetData sheetId="12882" refreshError="1"/>
      <sheetData sheetId="12883" refreshError="1"/>
      <sheetData sheetId="12884" refreshError="1"/>
      <sheetData sheetId="12885" refreshError="1"/>
      <sheetData sheetId="12886" refreshError="1"/>
      <sheetData sheetId="12887" refreshError="1"/>
      <sheetData sheetId="12888" refreshError="1"/>
      <sheetData sheetId="12889" refreshError="1"/>
      <sheetData sheetId="12890" refreshError="1"/>
      <sheetData sheetId="12891" refreshError="1"/>
      <sheetData sheetId="12892" refreshError="1"/>
      <sheetData sheetId="12893" refreshError="1"/>
      <sheetData sheetId="12894" refreshError="1"/>
      <sheetData sheetId="12895" refreshError="1"/>
      <sheetData sheetId="12896" refreshError="1"/>
      <sheetData sheetId="12897" refreshError="1"/>
      <sheetData sheetId="12898" refreshError="1"/>
      <sheetData sheetId="12899" refreshError="1"/>
      <sheetData sheetId="12900" refreshError="1"/>
      <sheetData sheetId="12901" refreshError="1"/>
      <sheetData sheetId="12902" refreshError="1"/>
      <sheetData sheetId="12903" refreshError="1"/>
      <sheetData sheetId="12904" refreshError="1"/>
      <sheetData sheetId="12905" refreshError="1"/>
      <sheetData sheetId="12906" refreshError="1"/>
      <sheetData sheetId="12907" refreshError="1"/>
      <sheetData sheetId="12908" refreshError="1"/>
      <sheetData sheetId="12909" refreshError="1"/>
      <sheetData sheetId="12910" refreshError="1"/>
      <sheetData sheetId="12911" refreshError="1"/>
      <sheetData sheetId="12912" refreshError="1"/>
      <sheetData sheetId="12913" refreshError="1"/>
      <sheetData sheetId="12914" refreshError="1"/>
      <sheetData sheetId="12915" refreshError="1"/>
      <sheetData sheetId="12916" refreshError="1"/>
      <sheetData sheetId="12917" refreshError="1"/>
      <sheetData sheetId="12918" refreshError="1"/>
      <sheetData sheetId="12919" refreshError="1"/>
      <sheetData sheetId="12920" refreshError="1"/>
      <sheetData sheetId="12921" refreshError="1"/>
      <sheetData sheetId="12922" refreshError="1"/>
      <sheetData sheetId="12923" refreshError="1"/>
      <sheetData sheetId="12924" refreshError="1"/>
      <sheetData sheetId="12925" refreshError="1"/>
      <sheetData sheetId="12926" refreshError="1"/>
      <sheetData sheetId="12927" refreshError="1"/>
      <sheetData sheetId="12928" refreshError="1"/>
      <sheetData sheetId="12929" refreshError="1"/>
      <sheetData sheetId="12930" refreshError="1"/>
      <sheetData sheetId="12931" refreshError="1"/>
      <sheetData sheetId="12932" refreshError="1"/>
      <sheetData sheetId="12933" refreshError="1"/>
      <sheetData sheetId="12934" refreshError="1"/>
      <sheetData sheetId="12935" refreshError="1"/>
      <sheetData sheetId="12936" refreshError="1"/>
      <sheetData sheetId="12937" refreshError="1"/>
      <sheetData sheetId="12938" refreshError="1"/>
      <sheetData sheetId="12939" refreshError="1"/>
      <sheetData sheetId="12940" refreshError="1"/>
      <sheetData sheetId="12941" refreshError="1"/>
      <sheetData sheetId="12942" refreshError="1"/>
      <sheetData sheetId="12943" refreshError="1"/>
      <sheetData sheetId="12944" refreshError="1"/>
      <sheetData sheetId="12945" refreshError="1"/>
      <sheetData sheetId="12946" refreshError="1"/>
      <sheetData sheetId="12947" refreshError="1"/>
      <sheetData sheetId="12948" refreshError="1"/>
      <sheetData sheetId="12949" refreshError="1"/>
      <sheetData sheetId="12950" refreshError="1"/>
      <sheetData sheetId="12951" refreshError="1"/>
      <sheetData sheetId="12952" refreshError="1"/>
      <sheetData sheetId="12953" refreshError="1"/>
      <sheetData sheetId="12954" refreshError="1"/>
      <sheetData sheetId="12955" refreshError="1"/>
      <sheetData sheetId="12956" refreshError="1"/>
      <sheetData sheetId="12957" refreshError="1"/>
      <sheetData sheetId="12958" refreshError="1"/>
      <sheetData sheetId="12959" refreshError="1"/>
      <sheetData sheetId="12960" refreshError="1"/>
      <sheetData sheetId="12961" refreshError="1"/>
      <sheetData sheetId="12962" refreshError="1"/>
      <sheetData sheetId="12963" refreshError="1"/>
      <sheetData sheetId="12964" refreshError="1"/>
      <sheetData sheetId="12965" refreshError="1"/>
      <sheetData sheetId="12966" refreshError="1"/>
      <sheetData sheetId="12967" refreshError="1"/>
      <sheetData sheetId="12968" refreshError="1"/>
      <sheetData sheetId="12969" refreshError="1"/>
      <sheetData sheetId="12970" refreshError="1"/>
      <sheetData sheetId="12971" refreshError="1"/>
      <sheetData sheetId="12972" refreshError="1"/>
      <sheetData sheetId="12973" refreshError="1"/>
      <sheetData sheetId="12974" refreshError="1"/>
      <sheetData sheetId="12975" refreshError="1"/>
      <sheetData sheetId="12976" refreshError="1"/>
      <sheetData sheetId="12977" refreshError="1"/>
      <sheetData sheetId="12978" refreshError="1"/>
      <sheetData sheetId="12979" refreshError="1"/>
      <sheetData sheetId="12980" refreshError="1"/>
      <sheetData sheetId="12981" refreshError="1"/>
      <sheetData sheetId="12982" refreshError="1"/>
      <sheetData sheetId="12983" refreshError="1"/>
      <sheetData sheetId="12984" refreshError="1"/>
      <sheetData sheetId="12985" refreshError="1"/>
      <sheetData sheetId="12986" refreshError="1"/>
      <sheetData sheetId="12987" refreshError="1"/>
      <sheetData sheetId="12988" refreshError="1"/>
      <sheetData sheetId="12989" refreshError="1"/>
      <sheetData sheetId="12990" refreshError="1"/>
      <sheetData sheetId="12991" refreshError="1"/>
      <sheetData sheetId="12992" refreshError="1"/>
      <sheetData sheetId="12993" refreshError="1"/>
      <sheetData sheetId="12994" refreshError="1"/>
      <sheetData sheetId="12995" refreshError="1"/>
      <sheetData sheetId="12996" refreshError="1"/>
      <sheetData sheetId="12997" refreshError="1"/>
      <sheetData sheetId="12998" refreshError="1"/>
      <sheetData sheetId="12999" refreshError="1"/>
      <sheetData sheetId="13000" refreshError="1"/>
      <sheetData sheetId="13001" refreshError="1"/>
      <sheetData sheetId="13002" refreshError="1"/>
      <sheetData sheetId="13003" refreshError="1"/>
      <sheetData sheetId="13004" refreshError="1"/>
      <sheetData sheetId="13005" refreshError="1"/>
      <sheetData sheetId="13006" refreshError="1"/>
      <sheetData sheetId="13007" refreshError="1"/>
      <sheetData sheetId="13008" refreshError="1"/>
      <sheetData sheetId="13009" refreshError="1"/>
      <sheetData sheetId="13010" refreshError="1"/>
      <sheetData sheetId="13011" refreshError="1"/>
      <sheetData sheetId="13012" refreshError="1"/>
      <sheetData sheetId="13013" refreshError="1"/>
      <sheetData sheetId="13014" refreshError="1"/>
      <sheetData sheetId="13015" refreshError="1"/>
      <sheetData sheetId="13016" refreshError="1"/>
      <sheetData sheetId="13017" refreshError="1"/>
      <sheetData sheetId="13018" refreshError="1"/>
      <sheetData sheetId="13019" refreshError="1"/>
      <sheetData sheetId="13020" refreshError="1"/>
      <sheetData sheetId="13021" refreshError="1"/>
      <sheetData sheetId="13022" refreshError="1"/>
      <sheetData sheetId="13023" refreshError="1"/>
      <sheetData sheetId="13024" refreshError="1"/>
      <sheetData sheetId="13025" refreshError="1"/>
      <sheetData sheetId="13026" refreshError="1"/>
      <sheetData sheetId="13027" refreshError="1"/>
      <sheetData sheetId="13028" refreshError="1"/>
      <sheetData sheetId="13029" refreshError="1"/>
      <sheetData sheetId="13030" refreshError="1"/>
      <sheetData sheetId="13031" refreshError="1"/>
      <sheetData sheetId="13032" refreshError="1"/>
      <sheetData sheetId="13033" refreshError="1"/>
      <sheetData sheetId="13034" refreshError="1"/>
      <sheetData sheetId="13035" refreshError="1"/>
      <sheetData sheetId="13036" refreshError="1"/>
      <sheetData sheetId="13037" refreshError="1"/>
      <sheetData sheetId="13038" refreshError="1"/>
      <sheetData sheetId="13039" refreshError="1"/>
      <sheetData sheetId="13040" refreshError="1"/>
      <sheetData sheetId="13041" refreshError="1"/>
      <sheetData sheetId="13042" refreshError="1"/>
      <sheetData sheetId="13043" refreshError="1"/>
      <sheetData sheetId="13044" refreshError="1"/>
      <sheetData sheetId="13045" refreshError="1"/>
      <sheetData sheetId="13046" refreshError="1"/>
      <sheetData sheetId="13047" refreshError="1"/>
      <sheetData sheetId="13048" refreshError="1"/>
      <sheetData sheetId="13049" refreshError="1"/>
      <sheetData sheetId="13050" refreshError="1"/>
      <sheetData sheetId="13051" refreshError="1"/>
      <sheetData sheetId="13052" refreshError="1"/>
      <sheetData sheetId="13053" refreshError="1"/>
      <sheetData sheetId="13054" refreshError="1"/>
      <sheetData sheetId="13055" refreshError="1"/>
      <sheetData sheetId="13056" refreshError="1"/>
      <sheetData sheetId="13057" refreshError="1"/>
      <sheetData sheetId="13058" refreshError="1"/>
      <sheetData sheetId="13059" refreshError="1"/>
      <sheetData sheetId="13060" refreshError="1"/>
      <sheetData sheetId="13061" refreshError="1"/>
      <sheetData sheetId="13062" refreshError="1"/>
      <sheetData sheetId="13063" refreshError="1"/>
      <sheetData sheetId="13064" refreshError="1"/>
      <sheetData sheetId="13065" refreshError="1"/>
      <sheetData sheetId="13066" refreshError="1"/>
      <sheetData sheetId="13067" refreshError="1"/>
      <sheetData sheetId="13068" refreshError="1"/>
      <sheetData sheetId="13069" refreshError="1"/>
      <sheetData sheetId="13070" refreshError="1"/>
      <sheetData sheetId="13071" refreshError="1"/>
      <sheetData sheetId="13072" refreshError="1"/>
      <sheetData sheetId="13073" refreshError="1"/>
      <sheetData sheetId="13074" refreshError="1"/>
      <sheetData sheetId="13075" refreshError="1"/>
      <sheetData sheetId="13076" refreshError="1"/>
      <sheetData sheetId="13077" refreshError="1"/>
      <sheetData sheetId="13078" refreshError="1"/>
      <sheetData sheetId="13079" refreshError="1"/>
      <sheetData sheetId="13080" refreshError="1"/>
      <sheetData sheetId="13081" refreshError="1"/>
      <sheetData sheetId="13082" refreshError="1"/>
      <sheetData sheetId="13083" refreshError="1"/>
      <sheetData sheetId="13084" refreshError="1"/>
      <sheetData sheetId="13085" refreshError="1"/>
      <sheetData sheetId="13086" refreshError="1"/>
      <sheetData sheetId="13087" refreshError="1"/>
      <sheetData sheetId="13088" refreshError="1"/>
      <sheetData sheetId="13089" refreshError="1"/>
      <sheetData sheetId="13090" refreshError="1"/>
      <sheetData sheetId="13091" refreshError="1"/>
      <sheetData sheetId="13092" refreshError="1"/>
      <sheetData sheetId="13093" refreshError="1"/>
      <sheetData sheetId="13094" refreshError="1"/>
      <sheetData sheetId="13095" refreshError="1"/>
      <sheetData sheetId="13096" refreshError="1"/>
      <sheetData sheetId="13097" refreshError="1"/>
      <sheetData sheetId="13098" refreshError="1"/>
      <sheetData sheetId="13099" refreshError="1"/>
      <sheetData sheetId="13100" refreshError="1"/>
      <sheetData sheetId="13101" refreshError="1"/>
      <sheetData sheetId="13102" refreshError="1"/>
      <sheetData sheetId="13103" refreshError="1"/>
      <sheetData sheetId="13104" refreshError="1"/>
      <sheetData sheetId="13105" refreshError="1"/>
      <sheetData sheetId="13106" refreshError="1"/>
      <sheetData sheetId="13107" refreshError="1"/>
      <sheetData sheetId="13108" refreshError="1"/>
      <sheetData sheetId="13109" refreshError="1"/>
      <sheetData sheetId="13110" refreshError="1"/>
      <sheetData sheetId="13111" refreshError="1"/>
      <sheetData sheetId="13112" refreshError="1"/>
      <sheetData sheetId="13113" refreshError="1"/>
      <sheetData sheetId="13114" refreshError="1"/>
      <sheetData sheetId="13115" refreshError="1"/>
      <sheetData sheetId="13116" refreshError="1"/>
      <sheetData sheetId="13117" refreshError="1"/>
      <sheetData sheetId="13118" refreshError="1"/>
      <sheetData sheetId="13119" refreshError="1"/>
      <sheetData sheetId="13120" refreshError="1"/>
      <sheetData sheetId="13121" refreshError="1"/>
      <sheetData sheetId="13122" refreshError="1"/>
      <sheetData sheetId="13123" refreshError="1"/>
      <sheetData sheetId="13124" refreshError="1"/>
      <sheetData sheetId="13125" refreshError="1"/>
      <sheetData sheetId="13126" refreshError="1"/>
      <sheetData sheetId="13127" refreshError="1"/>
      <sheetData sheetId="13128" refreshError="1"/>
      <sheetData sheetId="13129" refreshError="1"/>
      <sheetData sheetId="13130" refreshError="1"/>
      <sheetData sheetId="13131" refreshError="1"/>
      <sheetData sheetId="13132" refreshError="1"/>
      <sheetData sheetId="13133" refreshError="1"/>
      <sheetData sheetId="13134" refreshError="1"/>
      <sheetData sheetId="13135" refreshError="1"/>
      <sheetData sheetId="13136" refreshError="1"/>
      <sheetData sheetId="13137" refreshError="1"/>
      <sheetData sheetId="13138" refreshError="1"/>
      <sheetData sheetId="13139" refreshError="1"/>
      <sheetData sheetId="13140" refreshError="1"/>
      <sheetData sheetId="13141" refreshError="1"/>
      <sheetData sheetId="13142" refreshError="1"/>
      <sheetData sheetId="13143" refreshError="1"/>
      <sheetData sheetId="13144" refreshError="1"/>
      <sheetData sheetId="13145" refreshError="1"/>
      <sheetData sheetId="13146" refreshError="1"/>
      <sheetData sheetId="13147" refreshError="1"/>
      <sheetData sheetId="13148" refreshError="1"/>
      <sheetData sheetId="13149" refreshError="1"/>
      <sheetData sheetId="13150" refreshError="1"/>
      <sheetData sheetId="13151" refreshError="1"/>
      <sheetData sheetId="13152" refreshError="1"/>
      <sheetData sheetId="13153" refreshError="1"/>
      <sheetData sheetId="13154" refreshError="1"/>
      <sheetData sheetId="13155" refreshError="1"/>
      <sheetData sheetId="13156" refreshError="1"/>
      <sheetData sheetId="13157" refreshError="1"/>
      <sheetData sheetId="13158" refreshError="1"/>
      <sheetData sheetId="13159" refreshError="1"/>
      <sheetData sheetId="13160" refreshError="1"/>
      <sheetData sheetId="13161" refreshError="1"/>
      <sheetData sheetId="13162" refreshError="1"/>
      <sheetData sheetId="13163" refreshError="1"/>
      <sheetData sheetId="13164" refreshError="1"/>
      <sheetData sheetId="13165" refreshError="1"/>
      <sheetData sheetId="13166" refreshError="1"/>
      <sheetData sheetId="13167" refreshError="1"/>
      <sheetData sheetId="13168" refreshError="1"/>
      <sheetData sheetId="13169" refreshError="1"/>
      <sheetData sheetId="13170" refreshError="1"/>
      <sheetData sheetId="13171" refreshError="1"/>
      <sheetData sheetId="13172" refreshError="1"/>
      <sheetData sheetId="13173" refreshError="1"/>
      <sheetData sheetId="13174" refreshError="1"/>
      <sheetData sheetId="13175" refreshError="1"/>
      <sheetData sheetId="13176" refreshError="1"/>
      <sheetData sheetId="13177" refreshError="1"/>
      <sheetData sheetId="13178" refreshError="1"/>
      <sheetData sheetId="13179" refreshError="1"/>
      <sheetData sheetId="13180" refreshError="1"/>
      <sheetData sheetId="13181" refreshError="1"/>
      <sheetData sheetId="13182" refreshError="1"/>
      <sheetData sheetId="13183" refreshError="1"/>
      <sheetData sheetId="13184" refreshError="1"/>
      <sheetData sheetId="13185" refreshError="1"/>
      <sheetData sheetId="13186" refreshError="1"/>
      <sheetData sheetId="13187" refreshError="1"/>
      <sheetData sheetId="13188" refreshError="1"/>
      <sheetData sheetId="13189" refreshError="1"/>
      <sheetData sheetId="13190" refreshError="1"/>
      <sheetData sheetId="13191" refreshError="1"/>
      <sheetData sheetId="13192" refreshError="1"/>
      <sheetData sheetId="13193" refreshError="1"/>
      <sheetData sheetId="13194" refreshError="1"/>
      <sheetData sheetId="13195" refreshError="1"/>
      <sheetData sheetId="13196" refreshError="1"/>
      <sheetData sheetId="13197" refreshError="1"/>
      <sheetData sheetId="13198" refreshError="1"/>
      <sheetData sheetId="13199" refreshError="1"/>
      <sheetData sheetId="13200" refreshError="1"/>
      <sheetData sheetId="13201" refreshError="1"/>
      <sheetData sheetId="13202" refreshError="1"/>
      <sheetData sheetId="13203" refreshError="1"/>
      <sheetData sheetId="13204" refreshError="1"/>
      <sheetData sheetId="13205" refreshError="1"/>
      <sheetData sheetId="13206" refreshError="1"/>
      <sheetData sheetId="13207" refreshError="1"/>
      <sheetData sheetId="13208" refreshError="1"/>
      <sheetData sheetId="13209" refreshError="1"/>
      <sheetData sheetId="13210" refreshError="1"/>
      <sheetData sheetId="13211" refreshError="1"/>
      <sheetData sheetId="13212" refreshError="1"/>
      <sheetData sheetId="13213" refreshError="1"/>
      <sheetData sheetId="13214" refreshError="1"/>
      <sheetData sheetId="13215" refreshError="1"/>
      <sheetData sheetId="13216" refreshError="1"/>
      <sheetData sheetId="13217" refreshError="1"/>
      <sheetData sheetId="13218" refreshError="1"/>
      <sheetData sheetId="13219" refreshError="1"/>
      <sheetData sheetId="13220" refreshError="1"/>
      <sheetData sheetId="13221" refreshError="1"/>
      <sheetData sheetId="13222" refreshError="1"/>
      <sheetData sheetId="13223" refreshError="1"/>
      <sheetData sheetId="13224" refreshError="1"/>
      <sheetData sheetId="13225" refreshError="1"/>
      <sheetData sheetId="13226" refreshError="1"/>
      <sheetData sheetId="13227" refreshError="1"/>
      <sheetData sheetId="13228" refreshError="1"/>
      <sheetData sheetId="13229" refreshError="1"/>
      <sheetData sheetId="13230" refreshError="1"/>
      <sheetData sheetId="13231" refreshError="1"/>
      <sheetData sheetId="13232" refreshError="1"/>
      <sheetData sheetId="13233" refreshError="1"/>
      <sheetData sheetId="13234" refreshError="1"/>
      <sheetData sheetId="13235" refreshError="1"/>
      <sheetData sheetId="13236" refreshError="1"/>
      <sheetData sheetId="13237" refreshError="1"/>
      <sheetData sheetId="13238" refreshError="1"/>
      <sheetData sheetId="13239" refreshError="1"/>
      <sheetData sheetId="13240" refreshError="1"/>
      <sheetData sheetId="13241" refreshError="1"/>
      <sheetData sheetId="13242" refreshError="1"/>
      <sheetData sheetId="13243" refreshError="1"/>
      <sheetData sheetId="13244" refreshError="1"/>
      <sheetData sheetId="13245" refreshError="1"/>
      <sheetData sheetId="13246" refreshError="1"/>
      <sheetData sheetId="13247" refreshError="1"/>
      <sheetData sheetId="13248" refreshError="1"/>
      <sheetData sheetId="13249" refreshError="1"/>
      <sheetData sheetId="13250" refreshError="1"/>
      <sheetData sheetId="13251" refreshError="1"/>
      <sheetData sheetId="13252" refreshError="1"/>
      <sheetData sheetId="13253" refreshError="1"/>
      <sheetData sheetId="13254" refreshError="1"/>
      <sheetData sheetId="13255" refreshError="1"/>
      <sheetData sheetId="13256" refreshError="1"/>
      <sheetData sheetId="13257" refreshError="1"/>
      <sheetData sheetId="13258" refreshError="1"/>
      <sheetData sheetId="13259" refreshError="1"/>
      <sheetData sheetId="13260" refreshError="1"/>
      <sheetData sheetId="13261" refreshError="1"/>
      <sheetData sheetId="13262" refreshError="1"/>
      <sheetData sheetId="13263" refreshError="1"/>
      <sheetData sheetId="13264" refreshError="1"/>
      <sheetData sheetId="13265" refreshError="1"/>
      <sheetData sheetId="13266" refreshError="1"/>
      <sheetData sheetId="13267" refreshError="1"/>
      <sheetData sheetId="13268" refreshError="1"/>
      <sheetData sheetId="13269" refreshError="1"/>
      <sheetData sheetId="13270" refreshError="1"/>
      <sheetData sheetId="13271" refreshError="1"/>
      <sheetData sheetId="13272" refreshError="1"/>
      <sheetData sheetId="13273" refreshError="1"/>
      <sheetData sheetId="13274" refreshError="1"/>
      <sheetData sheetId="13275" refreshError="1"/>
      <sheetData sheetId="13276" refreshError="1"/>
      <sheetData sheetId="13277" refreshError="1"/>
      <sheetData sheetId="13278" refreshError="1"/>
      <sheetData sheetId="13279" refreshError="1"/>
      <sheetData sheetId="13280" refreshError="1"/>
      <sheetData sheetId="13281" refreshError="1"/>
      <sheetData sheetId="13282" refreshError="1"/>
      <sheetData sheetId="13283" refreshError="1"/>
      <sheetData sheetId="13284" refreshError="1"/>
      <sheetData sheetId="13285" refreshError="1"/>
      <sheetData sheetId="13286" refreshError="1"/>
      <sheetData sheetId="13287" refreshError="1"/>
      <sheetData sheetId="13288" refreshError="1"/>
      <sheetData sheetId="13289" refreshError="1"/>
      <sheetData sheetId="13290" refreshError="1"/>
      <sheetData sheetId="13291" refreshError="1"/>
      <sheetData sheetId="13292" refreshError="1"/>
      <sheetData sheetId="13293" refreshError="1"/>
      <sheetData sheetId="13294" refreshError="1"/>
      <sheetData sheetId="13295" refreshError="1"/>
      <sheetData sheetId="13296" refreshError="1"/>
      <sheetData sheetId="13297" refreshError="1"/>
      <sheetData sheetId="13298" refreshError="1"/>
      <sheetData sheetId="13299" refreshError="1"/>
      <sheetData sheetId="13300" refreshError="1"/>
      <sheetData sheetId="13301" refreshError="1"/>
      <sheetData sheetId="13302" refreshError="1"/>
      <sheetData sheetId="13303" refreshError="1"/>
      <sheetData sheetId="13304" refreshError="1"/>
      <sheetData sheetId="13305" refreshError="1"/>
      <sheetData sheetId="13306" refreshError="1"/>
      <sheetData sheetId="13307" refreshError="1"/>
      <sheetData sheetId="13308" refreshError="1"/>
      <sheetData sheetId="13309" refreshError="1"/>
      <sheetData sheetId="13310" refreshError="1"/>
      <sheetData sheetId="13311" refreshError="1"/>
      <sheetData sheetId="13312" refreshError="1"/>
      <sheetData sheetId="13313" refreshError="1"/>
      <sheetData sheetId="13314" refreshError="1"/>
      <sheetData sheetId="13315" refreshError="1"/>
      <sheetData sheetId="13316" refreshError="1"/>
      <sheetData sheetId="13317" refreshError="1"/>
      <sheetData sheetId="13318" refreshError="1"/>
      <sheetData sheetId="13319" refreshError="1"/>
      <sheetData sheetId="13320" refreshError="1"/>
      <sheetData sheetId="13321" refreshError="1"/>
      <sheetData sheetId="13322" refreshError="1"/>
      <sheetData sheetId="13323" refreshError="1"/>
      <sheetData sheetId="13324" refreshError="1"/>
      <sheetData sheetId="13325" refreshError="1"/>
      <sheetData sheetId="13326" refreshError="1"/>
      <sheetData sheetId="13327" refreshError="1"/>
      <sheetData sheetId="13328" refreshError="1"/>
      <sheetData sheetId="13329" refreshError="1"/>
      <sheetData sheetId="13330" refreshError="1"/>
      <sheetData sheetId="13331" refreshError="1"/>
      <sheetData sheetId="13332" refreshError="1"/>
      <sheetData sheetId="13333" refreshError="1"/>
      <sheetData sheetId="13334" refreshError="1"/>
      <sheetData sheetId="13335" refreshError="1"/>
      <sheetData sheetId="13336" refreshError="1"/>
      <sheetData sheetId="13337" refreshError="1"/>
      <sheetData sheetId="13338" refreshError="1"/>
      <sheetData sheetId="13339" refreshError="1"/>
      <sheetData sheetId="13340" refreshError="1"/>
      <sheetData sheetId="13341" refreshError="1"/>
      <sheetData sheetId="13342" refreshError="1"/>
      <sheetData sheetId="13343" refreshError="1"/>
      <sheetData sheetId="13344" refreshError="1"/>
      <sheetData sheetId="13345" refreshError="1"/>
      <sheetData sheetId="13346" refreshError="1"/>
      <sheetData sheetId="13347" refreshError="1"/>
      <sheetData sheetId="13348" refreshError="1"/>
      <sheetData sheetId="13349" refreshError="1"/>
      <sheetData sheetId="13350" refreshError="1"/>
      <sheetData sheetId="13351" refreshError="1"/>
      <sheetData sheetId="13352" refreshError="1"/>
      <sheetData sheetId="13353" refreshError="1"/>
      <sheetData sheetId="13354" refreshError="1"/>
      <sheetData sheetId="13355" refreshError="1"/>
      <sheetData sheetId="13356" refreshError="1"/>
      <sheetData sheetId="13357" refreshError="1"/>
      <sheetData sheetId="13358" refreshError="1"/>
      <sheetData sheetId="13359" refreshError="1"/>
      <sheetData sheetId="13360" refreshError="1"/>
      <sheetData sheetId="13361" refreshError="1"/>
      <sheetData sheetId="13362" refreshError="1"/>
      <sheetData sheetId="13363" refreshError="1"/>
      <sheetData sheetId="13364" refreshError="1"/>
      <sheetData sheetId="13365" refreshError="1"/>
      <sheetData sheetId="13366" refreshError="1"/>
      <sheetData sheetId="13367" refreshError="1"/>
      <sheetData sheetId="13368" refreshError="1"/>
      <sheetData sheetId="13369" refreshError="1"/>
      <sheetData sheetId="13370" refreshError="1"/>
      <sheetData sheetId="13371" refreshError="1"/>
      <sheetData sheetId="13372" refreshError="1"/>
      <sheetData sheetId="13373" refreshError="1"/>
      <sheetData sheetId="13374" refreshError="1"/>
      <sheetData sheetId="13375" refreshError="1"/>
      <sheetData sheetId="13376" refreshError="1"/>
      <sheetData sheetId="13377" refreshError="1"/>
      <sheetData sheetId="13378" refreshError="1"/>
      <sheetData sheetId="13379" refreshError="1"/>
      <sheetData sheetId="13380" refreshError="1"/>
      <sheetData sheetId="13381" refreshError="1"/>
      <sheetData sheetId="13382" refreshError="1"/>
      <sheetData sheetId="13383" refreshError="1"/>
      <sheetData sheetId="13384" refreshError="1"/>
      <sheetData sheetId="13385" refreshError="1"/>
      <sheetData sheetId="13386" refreshError="1"/>
      <sheetData sheetId="13387" refreshError="1"/>
      <sheetData sheetId="13388" refreshError="1"/>
      <sheetData sheetId="13389" refreshError="1"/>
      <sheetData sheetId="13390" refreshError="1"/>
      <sheetData sheetId="13391" refreshError="1"/>
      <sheetData sheetId="13392" refreshError="1"/>
      <sheetData sheetId="13393" refreshError="1"/>
      <sheetData sheetId="13394" refreshError="1"/>
      <sheetData sheetId="13395" refreshError="1"/>
      <sheetData sheetId="13396" refreshError="1"/>
      <sheetData sheetId="13397" refreshError="1"/>
      <sheetData sheetId="13398" refreshError="1"/>
      <sheetData sheetId="13399" refreshError="1"/>
      <sheetData sheetId="13400" refreshError="1"/>
      <sheetData sheetId="13401" refreshError="1"/>
      <sheetData sheetId="13402" refreshError="1"/>
      <sheetData sheetId="13403" refreshError="1"/>
      <sheetData sheetId="13404" refreshError="1"/>
      <sheetData sheetId="13405" refreshError="1"/>
      <sheetData sheetId="13406" refreshError="1"/>
      <sheetData sheetId="13407" refreshError="1"/>
      <sheetData sheetId="13408" refreshError="1"/>
      <sheetData sheetId="13409" refreshError="1"/>
      <sheetData sheetId="13410" refreshError="1"/>
      <sheetData sheetId="13411" refreshError="1"/>
      <sheetData sheetId="13412" refreshError="1"/>
      <sheetData sheetId="13413" refreshError="1"/>
      <sheetData sheetId="13414" refreshError="1"/>
      <sheetData sheetId="13415" refreshError="1"/>
      <sheetData sheetId="13416" refreshError="1"/>
      <sheetData sheetId="13417" refreshError="1"/>
      <sheetData sheetId="13418" refreshError="1"/>
      <sheetData sheetId="13419" refreshError="1"/>
      <sheetData sheetId="13420" refreshError="1"/>
      <sheetData sheetId="13421" refreshError="1"/>
      <sheetData sheetId="13422" refreshError="1"/>
      <sheetData sheetId="13423" refreshError="1"/>
      <sheetData sheetId="13424" refreshError="1"/>
      <sheetData sheetId="13425" refreshError="1"/>
      <sheetData sheetId="13426" refreshError="1"/>
      <sheetData sheetId="13427" refreshError="1"/>
      <sheetData sheetId="13428" refreshError="1"/>
      <sheetData sheetId="13429" refreshError="1"/>
      <sheetData sheetId="13430" refreshError="1"/>
      <sheetData sheetId="13431" refreshError="1"/>
      <sheetData sheetId="13432" refreshError="1"/>
      <sheetData sheetId="13433" refreshError="1"/>
      <sheetData sheetId="13434" refreshError="1"/>
      <sheetData sheetId="13435" refreshError="1"/>
      <sheetData sheetId="13436" refreshError="1"/>
      <sheetData sheetId="13437" refreshError="1"/>
      <sheetData sheetId="13438" refreshError="1"/>
      <sheetData sheetId="13439" refreshError="1"/>
      <sheetData sheetId="13440" refreshError="1"/>
      <sheetData sheetId="13441" refreshError="1"/>
      <sheetData sheetId="13442" refreshError="1"/>
      <sheetData sheetId="13443" refreshError="1"/>
      <sheetData sheetId="13444" refreshError="1"/>
      <sheetData sheetId="13445" refreshError="1"/>
      <sheetData sheetId="13446" refreshError="1"/>
      <sheetData sheetId="13447" refreshError="1"/>
      <sheetData sheetId="13448" refreshError="1"/>
      <sheetData sheetId="13449" refreshError="1"/>
      <sheetData sheetId="13450" refreshError="1"/>
      <sheetData sheetId="13451" refreshError="1"/>
      <sheetData sheetId="13452" refreshError="1"/>
      <sheetData sheetId="13453" refreshError="1"/>
      <sheetData sheetId="13454" refreshError="1"/>
      <sheetData sheetId="13455" refreshError="1"/>
      <sheetData sheetId="13456" refreshError="1"/>
      <sheetData sheetId="13457" refreshError="1"/>
      <sheetData sheetId="13458" refreshError="1"/>
      <sheetData sheetId="13459" refreshError="1"/>
      <sheetData sheetId="13460" refreshError="1"/>
      <sheetData sheetId="13461" refreshError="1"/>
      <sheetData sheetId="13462" refreshError="1"/>
      <sheetData sheetId="13463" refreshError="1"/>
      <sheetData sheetId="13464" refreshError="1"/>
      <sheetData sheetId="13465" refreshError="1"/>
      <sheetData sheetId="13466" refreshError="1"/>
      <sheetData sheetId="13467" refreshError="1"/>
      <sheetData sheetId="13468" refreshError="1"/>
      <sheetData sheetId="13469" refreshError="1"/>
      <sheetData sheetId="13470" refreshError="1"/>
      <sheetData sheetId="13471" refreshError="1"/>
      <sheetData sheetId="13472" refreshError="1"/>
      <sheetData sheetId="13473" refreshError="1"/>
      <sheetData sheetId="13474" refreshError="1"/>
      <sheetData sheetId="13475" refreshError="1"/>
      <sheetData sheetId="13476" refreshError="1"/>
      <sheetData sheetId="13477" refreshError="1"/>
      <sheetData sheetId="13478" refreshError="1"/>
      <sheetData sheetId="13479" refreshError="1"/>
      <sheetData sheetId="13480" refreshError="1"/>
      <sheetData sheetId="13481" refreshError="1"/>
      <sheetData sheetId="13482" refreshError="1"/>
      <sheetData sheetId="13483" refreshError="1"/>
      <sheetData sheetId="13484" refreshError="1"/>
      <sheetData sheetId="13485" refreshError="1"/>
      <sheetData sheetId="13486" refreshError="1"/>
      <sheetData sheetId="13487" refreshError="1"/>
      <sheetData sheetId="13488" refreshError="1"/>
      <sheetData sheetId="13489" refreshError="1"/>
      <sheetData sheetId="13490" refreshError="1"/>
      <sheetData sheetId="13491" refreshError="1"/>
      <sheetData sheetId="13492" refreshError="1"/>
      <sheetData sheetId="13493" refreshError="1"/>
      <sheetData sheetId="13494" refreshError="1"/>
      <sheetData sheetId="13495" refreshError="1"/>
      <sheetData sheetId="13496" refreshError="1"/>
      <sheetData sheetId="13497" refreshError="1"/>
      <sheetData sheetId="13498" refreshError="1"/>
      <sheetData sheetId="13499" refreshError="1"/>
      <sheetData sheetId="13500" refreshError="1"/>
      <sheetData sheetId="13501" refreshError="1"/>
      <sheetData sheetId="13502" refreshError="1"/>
      <sheetData sheetId="13503" refreshError="1"/>
      <sheetData sheetId="13504" refreshError="1"/>
      <sheetData sheetId="13505" refreshError="1"/>
      <sheetData sheetId="13506" refreshError="1"/>
      <sheetData sheetId="13507" refreshError="1"/>
      <sheetData sheetId="13508" refreshError="1"/>
      <sheetData sheetId="13509" refreshError="1"/>
      <sheetData sheetId="13510" refreshError="1"/>
      <sheetData sheetId="13511" refreshError="1"/>
      <sheetData sheetId="13512" refreshError="1"/>
      <sheetData sheetId="13513" refreshError="1"/>
      <sheetData sheetId="13514" refreshError="1"/>
      <sheetData sheetId="13515" refreshError="1"/>
      <sheetData sheetId="13516" refreshError="1"/>
      <sheetData sheetId="13517" refreshError="1"/>
      <sheetData sheetId="13518" refreshError="1"/>
      <sheetData sheetId="13519" refreshError="1"/>
      <sheetData sheetId="13520" refreshError="1"/>
      <sheetData sheetId="13521" refreshError="1"/>
      <sheetData sheetId="13522" refreshError="1"/>
      <sheetData sheetId="13523" refreshError="1"/>
      <sheetData sheetId="13524" refreshError="1"/>
      <sheetData sheetId="13525" refreshError="1"/>
      <sheetData sheetId="13526" refreshError="1"/>
      <sheetData sheetId="13527" refreshError="1"/>
      <sheetData sheetId="13528" refreshError="1"/>
      <sheetData sheetId="13529" refreshError="1"/>
      <sheetData sheetId="13530" refreshError="1"/>
      <sheetData sheetId="13531" refreshError="1"/>
      <sheetData sheetId="13532" refreshError="1"/>
      <sheetData sheetId="13533" refreshError="1"/>
      <sheetData sheetId="13534" refreshError="1"/>
      <sheetData sheetId="13535" refreshError="1"/>
      <sheetData sheetId="13536" refreshError="1"/>
      <sheetData sheetId="13537" refreshError="1"/>
      <sheetData sheetId="13538" refreshError="1"/>
      <sheetData sheetId="13539" refreshError="1"/>
      <sheetData sheetId="13540" refreshError="1"/>
      <sheetData sheetId="13541" refreshError="1"/>
      <sheetData sheetId="13542" refreshError="1"/>
      <sheetData sheetId="13543" refreshError="1"/>
      <sheetData sheetId="13544" refreshError="1"/>
      <sheetData sheetId="13545" refreshError="1"/>
      <sheetData sheetId="13546" refreshError="1"/>
      <sheetData sheetId="13547" refreshError="1"/>
      <sheetData sheetId="13548" refreshError="1"/>
      <sheetData sheetId="13549" refreshError="1"/>
      <sheetData sheetId="13550" refreshError="1"/>
      <sheetData sheetId="13551" refreshError="1"/>
      <sheetData sheetId="13552" refreshError="1"/>
      <sheetData sheetId="13553" refreshError="1"/>
      <sheetData sheetId="13554" refreshError="1"/>
      <sheetData sheetId="13555" refreshError="1"/>
      <sheetData sheetId="13556" refreshError="1"/>
      <sheetData sheetId="13557" refreshError="1"/>
      <sheetData sheetId="13558" refreshError="1"/>
      <sheetData sheetId="13559" refreshError="1"/>
      <sheetData sheetId="13560" refreshError="1"/>
      <sheetData sheetId="13561" refreshError="1"/>
      <sheetData sheetId="13562" refreshError="1"/>
      <sheetData sheetId="13563" refreshError="1"/>
      <sheetData sheetId="13564" refreshError="1"/>
      <sheetData sheetId="13565" refreshError="1"/>
      <sheetData sheetId="13566" refreshError="1"/>
      <sheetData sheetId="13567" refreshError="1"/>
      <sheetData sheetId="13568" refreshError="1"/>
      <sheetData sheetId="13569" refreshError="1"/>
      <sheetData sheetId="13570" refreshError="1"/>
      <sheetData sheetId="13571" refreshError="1"/>
      <sheetData sheetId="13572" refreshError="1"/>
      <sheetData sheetId="13573" refreshError="1"/>
      <sheetData sheetId="13574" refreshError="1"/>
      <sheetData sheetId="13575" refreshError="1"/>
      <sheetData sheetId="13576" refreshError="1"/>
      <sheetData sheetId="13577" refreshError="1"/>
      <sheetData sheetId="13578" refreshError="1"/>
      <sheetData sheetId="13579" refreshError="1"/>
      <sheetData sheetId="13580" refreshError="1"/>
      <sheetData sheetId="13581" refreshError="1"/>
      <sheetData sheetId="13582" refreshError="1"/>
      <sheetData sheetId="13583" refreshError="1"/>
      <sheetData sheetId="13584" refreshError="1"/>
      <sheetData sheetId="13585" refreshError="1"/>
      <sheetData sheetId="13586" refreshError="1"/>
      <sheetData sheetId="13587" refreshError="1"/>
      <sheetData sheetId="13588" refreshError="1"/>
      <sheetData sheetId="13589" refreshError="1"/>
      <sheetData sheetId="13590" refreshError="1"/>
      <sheetData sheetId="13591" refreshError="1"/>
      <sheetData sheetId="13592" refreshError="1"/>
      <sheetData sheetId="13593" refreshError="1"/>
      <sheetData sheetId="13594" refreshError="1"/>
      <sheetData sheetId="13595" refreshError="1"/>
      <sheetData sheetId="13596" refreshError="1"/>
      <sheetData sheetId="13597" refreshError="1"/>
      <sheetData sheetId="13598" refreshError="1"/>
      <sheetData sheetId="13599" refreshError="1"/>
      <sheetData sheetId="13600" refreshError="1"/>
      <sheetData sheetId="13601" refreshError="1"/>
      <sheetData sheetId="13602" refreshError="1"/>
      <sheetData sheetId="13603" refreshError="1"/>
      <sheetData sheetId="13604" refreshError="1"/>
      <sheetData sheetId="13605" refreshError="1"/>
      <sheetData sheetId="13606" refreshError="1"/>
      <sheetData sheetId="13607" refreshError="1"/>
      <sheetData sheetId="13608" refreshError="1"/>
      <sheetData sheetId="13609" refreshError="1"/>
      <sheetData sheetId="13610" refreshError="1"/>
      <sheetData sheetId="13611" refreshError="1"/>
      <sheetData sheetId="13612" refreshError="1"/>
      <sheetData sheetId="13613" refreshError="1"/>
      <sheetData sheetId="13614" refreshError="1"/>
      <sheetData sheetId="13615" refreshError="1"/>
      <sheetData sheetId="13616" refreshError="1"/>
      <sheetData sheetId="13617" refreshError="1"/>
      <sheetData sheetId="13618" refreshError="1"/>
      <sheetData sheetId="13619" refreshError="1"/>
      <sheetData sheetId="13620" refreshError="1"/>
      <sheetData sheetId="13621" refreshError="1"/>
      <sheetData sheetId="13622" refreshError="1"/>
      <sheetData sheetId="13623" refreshError="1"/>
      <sheetData sheetId="13624" refreshError="1"/>
      <sheetData sheetId="13625" refreshError="1"/>
      <sheetData sheetId="13626" refreshError="1"/>
      <sheetData sheetId="13627" refreshError="1"/>
      <sheetData sheetId="13628" refreshError="1"/>
      <sheetData sheetId="13629" refreshError="1"/>
      <sheetData sheetId="13630" refreshError="1"/>
      <sheetData sheetId="13631" refreshError="1"/>
      <sheetData sheetId="13632" refreshError="1"/>
      <sheetData sheetId="13633" refreshError="1"/>
      <sheetData sheetId="13634" refreshError="1"/>
      <sheetData sheetId="13635" refreshError="1"/>
      <sheetData sheetId="13636" refreshError="1"/>
      <sheetData sheetId="13637" refreshError="1"/>
      <sheetData sheetId="13638" refreshError="1"/>
      <sheetData sheetId="13639" refreshError="1"/>
      <sheetData sheetId="13640" refreshError="1"/>
      <sheetData sheetId="13641" refreshError="1"/>
      <sheetData sheetId="13642" refreshError="1"/>
      <sheetData sheetId="13643" refreshError="1"/>
      <sheetData sheetId="13644" refreshError="1"/>
      <sheetData sheetId="13645" refreshError="1"/>
      <sheetData sheetId="13646" refreshError="1"/>
      <sheetData sheetId="13647" refreshError="1"/>
      <sheetData sheetId="13648" refreshError="1"/>
      <sheetData sheetId="13649" refreshError="1"/>
      <sheetData sheetId="13650" refreshError="1"/>
      <sheetData sheetId="13651" refreshError="1"/>
      <sheetData sheetId="13652" refreshError="1"/>
      <sheetData sheetId="13653" refreshError="1"/>
      <sheetData sheetId="13654" refreshError="1"/>
      <sheetData sheetId="13655" refreshError="1"/>
      <sheetData sheetId="13656" refreshError="1"/>
      <sheetData sheetId="13657" refreshError="1"/>
      <sheetData sheetId="13658" refreshError="1"/>
      <sheetData sheetId="13659" refreshError="1"/>
      <sheetData sheetId="13660" refreshError="1"/>
      <sheetData sheetId="13661" refreshError="1"/>
      <sheetData sheetId="13662" refreshError="1"/>
      <sheetData sheetId="13663" refreshError="1"/>
      <sheetData sheetId="13664" refreshError="1"/>
      <sheetData sheetId="13665" refreshError="1"/>
      <sheetData sheetId="13666" refreshError="1"/>
      <sheetData sheetId="13667" refreshError="1"/>
      <sheetData sheetId="13668" refreshError="1"/>
      <sheetData sheetId="13669" refreshError="1"/>
      <sheetData sheetId="13670" refreshError="1"/>
      <sheetData sheetId="13671" refreshError="1"/>
      <sheetData sheetId="13672" refreshError="1"/>
      <sheetData sheetId="13673" refreshError="1"/>
      <sheetData sheetId="13674" refreshError="1"/>
      <sheetData sheetId="13675" refreshError="1"/>
      <sheetData sheetId="13676" refreshError="1"/>
      <sheetData sheetId="13677" refreshError="1"/>
      <sheetData sheetId="13678" refreshError="1"/>
      <sheetData sheetId="13679" refreshError="1"/>
      <sheetData sheetId="13680" refreshError="1"/>
      <sheetData sheetId="13681" refreshError="1"/>
      <sheetData sheetId="13682" refreshError="1"/>
      <sheetData sheetId="13683" refreshError="1"/>
      <sheetData sheetId="13684" refreshError="1"/>
      <sheetData sheetId="13685" refreshError="1"/>
      <sheetData sheetId="13686" refreshError="1"/>
      <sheetData sheetId="13687" refreshError="1"/>
      <sheetData sheetId="13688" refreshError="1"/>
      <sheetData sheetId="13689" refreshError="1"/>
      <sheetData sheetId="13690" refreshError="1"/>
      <sheetData sheetId="13691" refreshError="1"/>
      <sheetData sheetId="13692" refreshError="1"/>
      <sheetData sheetId="13693" refreshError="1"/>
      <sheetData sheetId="13694" refreshError="1"/>
      <sheetData sheetId="13695" refreshError="1"/>
      <sheetData sheetId="13696" refreshError="1"/>
      <sheetData sheetId="13697" refreshError="1"/>
      <sheetData sheetId="13698" refreshError="1"/>
      <sheetData sheetId="13699" refreshError="1"/>
      <sheetData sheetId="13700" refreshError="1"/>
      <sheetData sheetId="13701" refreshError="1"/>
      <sheetData sheetId="13702" refreshError="1"/>
      <sheetData sheetId="13703" refreshError="1"/>
      <sheetData sheetId="13704" refreshError="1"/>
      <sheetData sheetId="13705" refreshError="1"/>
      <sheetData sheetId="13706" refreshError="1"/>
      <sheetData sheetId="13707" refreshError="1"/>
      <sheetData sheetId="13708" refreshError="1"/>
      <sheetData sheetId="13709" refreshError="1"/>
      <sheetData sheetId="13710" refreshError="1"/>
      <sheetData sheetId="13711" refreshError="1"/>
      <sheetData sheetId="13712" refreshError="1"/>
      <sheetData sheetId="13713" refreshError="1"/>
      <sheetData sheetId="13714" refreshError="1"/>
      <sheetData sheetId="13715" refreshError="1"/>
      <sheetData sheetId="13716" refreshError="1"/>
      <sheetData sheetId="13717" refreshError="1"/>
      <sheetData sheetId="13718" refreshError="1"/>
      <sheetData sheetId="13719" refreshError="1"/>
      <sheetData sheetId="13720" refreshError="1"/>
      <sheetData sheetId="13721" refreshError="1"/>
      <sheetData sheetId="13722" refreshError="1"/>
      <sheetData sheetId="13723" refreshError="1"/>
      <sheetData sheetId="13724" refreshError="1"/>
      <sheetData sheetId="13725" refreshError="1"/>
      <sheetData sheetId="13726" refreshError="1"/>
      <sheetData sheetId="13727" refreshError="1"/>
      <sheetData sheetId="13728" refreshError="1"/>
      <sheetData sheetId="13729" refreshError="1"/>
      <sheetData sheetId="13730" refreshError="1"/>
      <sheetData sheetId="13731" refreshError="1"/>
      <sheetData sheetId="13732" refreshError="1"/>
      <sheetData sheetId="13733" refreshError="1"/>
      <sheetData sheetId="13734" refreshError="1"/>
      <sheetData sheetId="13735" refreshError="1"/>
      <sheetData sheetId="13736" refreshError="1"/>
      <sheetData sheetId="13737" refreshError="1"/>
      <sheetData sheetId="13738" refreshError="1"/>
      <sheetData sheetId="13739" refreshError="1"/>
      <sheetData sheetId="13740" refreshError="1"/>
      <sheetData sheetId="13741" refreshError="1"/>
      <sheetData sheetId="13742" refreshError="1"/>
      <sheetData sheetId="13743" refreshError="1"/>
      <sheetData sheetId="13744" refreshError="1"/>
      <sheetData sheetId="13745" refreshError="1"/>
      <sheetData sheetId="13746" refreshError="1"/>
      <sheetData sheetId="13747" refreshError="1"/>
      <sheetData sheetId="13748" refreshError="1"/>
      <sheetData sheetId="13749" refreshError="1"/>
      <sheetData sheetId="13750" refreshError="1"/>
      <sheetData sheetId="13751" refreshError="1"/>
      <sheetData sheetId="13752" refreshError="1"/>
      <sheetData sheetId="13753" refreshError="1"/>
      <sheetData sheetId="13754" refreshError="1"/>
      <sheetData sheetId="13755" refreshError="1"/>
      <sheetData sheetId="13756" refreshError="1"/>
      <sheetData sheetId="13757" refreshError="1"/>
      <sheetData sheetId="13758" refreshError="1"/>
      <sheetData sheetId="13759" refreshError="1"/>
      <sheetData sheetId="13760" refreshError="1"/>
      <sheetData sheetId="13761" refreshError="1"/>
      <sheetData sheetId="13762" refreshError="1"/>
      <sheetData sheetId="13763" refreshError="1"/>
      <sheetData sheetId="13764" refreshError="1"/>
      <sheetData sheetId="13765" refreshError="1"/>
      <sheetData sheetId="13766" refreshError="1"/>
      <sheetData sheetId="13767" refreshError="1"/>
      <sheetData sheetId="13768" refreshError="1"/>
      <sheetData sheetId="13769" refreshError="1"/>
      <sheetData sheetId="13770" refreshError="1"/>
      <sheetData sheetId="13771" refreshError="1"/>
      <sheetData sheetId="13772" refreshError="1"/>
      <sheetData sheetId="13773" refreshError="1"/>
      <sheetData sheetId="13774" refreshError="1"/>
      <sheetData sheetId="13775" refreshError="1"/>
      <sheetData sheetId="13776" refreshError="1"/>
      <sheetData sheetId="13777" refreshError="1"/>
      <sheetData sheetId="13778" refreshError="1"/>
      <sheetData sheetId="13779" refreshError="1"/>
      <sheetData sheetId="13780" refreshError="1"/>
      <sheetData sheetId="13781" refreshError="1"/>
      <sheetData sheetId="13782" refreshError="1"/>
      <sheetData sheetId="13783" refreshError="1"/>
      <sheetData sheetId="13784" refreshError="1"/>
      <sheetData sheetId="13785" refreshError="1"/>
      <sheetData sheetId="13786" refreshError="1"/>
      <sheetData sheetId="13787" refreshError="1"/>
      <sheetData sheetId="13788" refreshError="1"/>
      <sheetData sheetId="13789" refreshError="1"/>
      <sheetData sheetId="13790" refreshError="1"/>
      <sheetData sheetId="13791" refreshError="1"/>
      <sheetData sheetId="13792" refreshError="1"/>
      <sheetData sheetId="13793" refreshError="1"/>
      <sheetData sheetId="13794" refreshError="1"/>
      <sheetData sheetId="13795" refreshError="1"/>
      <sheetData sheetId="13796" refreshError="1"/>
      <sheetData sheetId="13797" refreshError="1"/>
      <sheetData sheetId="13798" refreshError="1"/>
      <sheetData sheetId="13799" refreshError="1"/>
      <sheetData sheetId="13800" refreshError="1"/>
      <sheetData sheetId="13801" refreshError="1"/>
      <sheetData sheetId="13802" refreshError="1"/>
      <sheetData sheetId="13803" refreshError="1"/>
      <sheetData sheetId="13804" refreshError="1"/>
      <sheetData sheetId="13805" refreshError="1"/>
      <sheetData sheetId="13806" refreshError="1"/>
      <sheetData sheetId="13807" refreshError="1"/>
      <sheetData sheetId="13808" refreshError="1"/>
      <sheetData sheetId="13809" refreshError="1"/>
      <sheetData sheetId="13810" refreshError="1"/>
      <sheetData sheetId="13811" refreshError="1"/>
      <sheetData sheetId="13812" refreshError="1"/>
      <sheetData sheetId="13813" refreshError="1"/>
      <sheetData sheetId="13814" refreshError="1"/>
      <sheetData sheetId="13815" refreshError="1"/>
      <sheetData sheetId="13816" refreshError="1"/>
      <sheetData sheetId="13817" refreshError="1"/>
      <sheetData sheetId="13818" refreshError="1"/>
      <sheetData sheetId="13819" refreshError="1"/>
      <sheetData sheetId="13820" refreshError="1"/>
      <sheetData sheetId="13821" refreshError="1"/>
      <sheetData sheetId="13822" refreshError="1"/>
      <sheetData sheetId="13823" refreshError="1"/>
      <sheetData sheetId="13824" refreshError="1"/>
      <sheetData sheetId="13825" refreshError="1"/>
      <sheetData sheetId="13826" refreshError="1"/>
      <sheetData sheetId="13827" refreshError="1"/>
      <sheetData sheetId="13828" refreshError="1"/>
      <sheetData sheetId="13829" refreshError="1"/>
      <sheetData sheetId="13830" refreshError="1"/>
      <sheetData sheetId="13831" refreshError="1"/>
      <sheetData sheetId="13832" refreshError="1"/>
      <sheetData sheetId="13833" refreshError="1"/>
      <sheetData sheetId="13834" refreshError="1"/>
      <sheetData sheetId="13835" refreshError="1"/>
      <sheetData sheetId="13836" refreshError="1"/>
      <sheetData sheetId="13837" refreshError="1"/>
      <sheetData sheetId="13838" refreshError="1"/>
      <sheetData sheetId="13839" refreshError="1"/>
      <sheetData sheetId="13840" refreshError="1"/>
      <sheetData sheetId="13841" refreshError="1"/>
      <sheetData sheetId="13842" refreshError="1"/>
      <sheetData sheetId="13843" refreshError="1"/>
      <sheetData sheetId="13844" refreshError="1"/>
      <sheetData sheetId="13845" refreshError="1"/>
      <sheetData sheetId="13846" refreshError="1"/>
      <sheetData sheetId="13847" refreshError="1"/>
      <sheetData sheetId="13848" refreshError="1"/>
      <sheetData sheetId="13849" refreshError="1"/>
      <sheetData sheetId="13850" refreshError="1"/>
      <sheetData sheetId="13851" refreshError="1"/>
      <sheetData sheetId="13852" refreshError="1"/>
      <sheetData sheetId="13853" refreshError="1"/>
      <sheetData sheetId="13854" refreshError="1"/>
      <sheetData sheetId="13855" refreshError="1"/>
      <sheetData sheetId="13856" refreshError="1"/>
      <sheetData sheetId="13857" refreshError="1"/>
      <sheetData sheetId="13858" refreshError="1"/>
      <sheetData sheetId="13859" refreshError="1"/>
      <sheetData sheetId="13860" refreshError="1"/>
      <sheetData sheetId="13861" refreshError="1"/>
      <sheetData sheetId="13862" refreshError="1"/>
      <sheetData sheetId="13863" refreshError="1"/>
      <sheetData sheetId="13864" refreshError="1"/>
      <sheetData sheetId="13865" refreshError="1"/>
      <sheetData sheetId="13866" refreshError="1"/>
      <sheetData sheetId="13867" refreshError="1"/>
      <sheetData sheetId="13868" refreshError="1"/>
      <sheetData sheetId="13869" refreshError="1"/>
      <sheetData sheetId="13870" refreshError="1"/>
      <sheetData sheetId="13871" refreshError="1"/>
      <sheetData sheetId="13872" refreshError="1"/>
      <sheetData sheetId="13873" refreshError="1"/>
      <sheetData sheetId="13874" refreshError="1"/>
      <sheetData sheetId="13875" refreshError="1"/>
      <sheetData sheetId="13876" refreshError="1"/>
      <sheetData sheetId="13877" refreshError="1"/>
      <sheetData sheetId="13878" refreshError="1"/>
      <sheetData sheetId="13879" refreshError="1"/>
      <sheetData sheetId="13880" refreshError="1"/>
      <sheetData sheetId="13881" refreshError="1"/>
      <sheetData sheetId="13882" refreshError="1"/>
      <sheetData sheetId="13883" refreshError="1"/>
      <sheetData sheetId="13884" refreshError="1"/>
      <sheetData sheetId="13885" refreshError="1"/>
      <sheetData sheetId="13886" refreshError="1"/>
      <sheetData sheetId="13887" refreshError="1"/>
      <sheetData sheetId="13888" refreshError="1"/>
      <sheetData sheetId="13889" refreshError="1"/>
      <sheetData sheetId="13890" refreshError="1"/>
      <sheetData sheetId="13891" refreshError="1"/>
      <sheetData sheetId="13892" refreshError="1"/>
      <sheetData sheetId="13893" refreshError="1"/>
      <sheetData sheetId="13894" refreshError="1"/>
      <sheetData sheetId="13895" refreshError="1"/>
      <sheetData sheetId="13896" refreshError="1"/>
      <sheetData sheetId="13897" refreshError="1"/>
      <sheetData sheetId="13898" refreshError="1"/>
      <sheetData sheetId="13899" refreshError="1"/>
      <sheetData sheetId="13900" refreshError="1"/>
      <sheetData sheetId="13901" refreshError="1"/>
      <sheetData sheetId="13902" refreshError="1"/>
      <sheetData sheetId="13903" refreshError="1"/>
      <sheetData sheetId="13904" refreshError="1"/>
      <sheetData sheetId="13905" refreshError="1"/>
      <sheetData sheetId="13906" refreshError="1"/>
      <sheetData sheetId="13907" refreshError="1"/>
      <sheetData sheetId="13908" refreshError="1"/>
      <sheetData sheetId="13909" refreshError="1"/>
      <sheetData sheetId="13910" refreshError="1"/>
      <sheetData sheetId="13911" refreshError="1"/>
      <sheetData sheetId="13912" refreshError="1"/>
      <sheetData sheetId="13913" refreshError="1"/>
      <sheetData sheetId="13914" refreshError="1"/>
      <sheetData sheetId="13915" refreshError="1"/>
      <sheetData sheetId="13916" refreshError="1"/>
      <sheetData sheetId="13917" refreshError="1"/>
      <sheetData sheetId="13918" refreshError="1"/>
      <sheetData sheetId="13919" refreshError="1"/>
      <sheetData sheetId="13920" refreshError="1"/>
      <sheetData sheetId="13921" refreshError="1"/>
      <sheetData sheetId="13922" refreshError="1"/>
      <sheetData sheetId="13923" refreshError="1"/>
      <sheetData sheetId="13924" refreshError="1"/>
      <sheetData sheetId="13925" refreshError="1"/>
      <sheetData sheetId="13926" refreshError="1"/>
      <sheetData sheetId="13927" refreshError="1"/>
      <sheetData sheetId="13928" refreshError="1"/>
      <sheetData sheetId="13929" refreshError="1"/>
      <sheetData sheetId="13930" refreshError="1"/>
      <sheetData sheetId="13931" refreshError="1"/>
      <sheetData sheetId="13932" refreshError="1"/>
      <sheetData sheetId="13933" refreshError="1"/>
      <sheetData sheetId="13934" refreshError="1"/>
      <sheetData sheetId="13935" refreshError="1"/>
      <sheetData sheetId="13936" refreshError="1"/>
      <sheetData sheetId="13937" refreshError="1"/>
      <sheetData sheetId="13938" refreshError="1"/>
      <sheetData sheetId="13939" refreshError="1"/>
      <sheetData sheetId="13940" refreshError="1"/>
      <sheetData sheetId="13941" refreshError="1"/>
      <sheetData sheetId="13942" refreshError="1"/>
      <sheetData sheetId="13943" refreshError="1"/>
      <sheetData sheetId="13944" refreshError="1"/>
      <sheetData sheetId="13945" refreshError="1"/>
      <sheetData sheetId="13946" refreshError="1"/>
      <sheetData sheetId="13947" refreshError="1"/>
      <sheetData sheetId="13948" refreshError="1"/>
      <sheetData sheetId="13949" refreshError="1"/>
      <sheetData sheetId="13950" refreshError="1"/>
      <sheetData sheetId="13951" refreshError="1"/>
      <sheetData sheetId="13952" refreshError="1"/>
      <sheetData sheetId="13953" refreshError="1"/>
      <sheetData sheetId="13954" refreshError="1"/>
      <sheetData sheetId="13955" refreshError="1"/>
      <sheetData sheetId="13956" refreshError="1"/>
      <sheetData sheetId="13957" refreshError="1"/>
      <sheetData sheetId="13958" refreshError="1"/>
      <sheetData sheetId="13959" refreshError="1"/>
      <sheetData sheetId="13960" refreshError="1"/>
      <sheetData sheetId="13961" refreshError="1"/>
      <sheetData sheetId="13962" refreshError="1"/>
      <sheetData sheetId="13963" refreshError="1"/>
      <sheetData sheetId="13964" refreshError="1"/>
      <sheetData sheetId="13965" refreshError="1"/>
      <sheetData sheetId="13966" refreshError="1"/>
      <sheetData sheetId="13967" refreshError="1"/>
      <sheetData sheetId="13968" refreshError="1"/>
      <sheetData sheetId="13969" refreshError="1"/>
      <sheetData sheetId="13970" refreshError="1"/>
      <sheetData sheetId="13971" refreshError="1"/>
      <sheetData sheetId="13972" refreshError="1"/>
      <sheetData sheetId="13973" refreshError="1"/>
      <sheetData sheetId="13974" refreshError="1"/>
      <sheetData sheetId="13975" refreshError="1"/>
      <sheetData sheetId="13976" refreshError="1"/>
      <sheetData sheetId="13977" refreshError="1"/>
      <sheetData sheetId="13978" refreshError="1"/>
      <sheetData sheetId="13979" refreshError="1"/>
      <sheetData sheetId="13980" refreshError="1"/>
      <sheetData sheetId="13981" refreshError="1"/>
      <sheetData sheetId="13982" refreshError="1"/>
      <sheetData sheetId="13983" refreshError="1"/>
      <sheetData sheetId="13984" refreshError="1"/>
      <sheetData sheetId="13985" refreshError="1"/>
      <sheetData sheetId="13986" refreshError="1"/>
      <sheetData sheetId="13987" refreshError="1"/>
      <sheetData sheetId="13988" refreshError="1"/>
      <sheetData sheetId="13989" refreshError="1"/>
      <sheetData sheetId="13990" refreshError="1"/>
      <sheetData sheetId="13991" refreshError="1"/>
      <sheetData sheetId="13992" refreshError="1"/>
      <sheetData sheetId="13993" refreshError="1"/>
      <sheetData sheetId="13994" refreshError="1"/>
      <sheetData sheetId="13995" refreshError="1"/>
      <sheetData sheetId="13996" refreshError="1"/>
      <sheetData sheetId="13997" refreshError="1"/>
      <sheetData sheetId="13998" refreshError="1"/>
      <sheetData sheetId="13999" refreshError="1"/>
      <sheetData sheetId="14000" refreshError="1"/>
      <sheetData sheetId="14001" refreshError="1"/>
      <sheetData sheetId="14002" refreshError="1"/>
      <sheetData sheetId="14003" refreshError="1"/>
      <sheetData sheetId="14004" refreshError="1"/>
      <sheetData sheetId="14005" refreshError="1"/>
      <sheetData sheetId="14006" refreshError="1"/>
      <sheetData sheetId="14007" refreshError="1"/>
      <sheetData sheetId="14008" refreshError="1"/>
      <sheetData sheetId="14009" refreshError="1"/>
      <sheetData sheetId="14010" refreshError="1"/>
      <sheetData sheetId="14011" refreshError="1"/>
      <sheetData sheetId="14012" refreshError="1"/>
      <sheetData sheetId="14013" refreshError="1"/>
      <sheetData sheetId="14014" refreshError="1"/>
      <sheetData sheetId="14015" refreshError="1"/>
      <sheetData sheetId="14016" refreshError="1"/>
      <sheetData sheetId="14017" refreshError="1"/>
      <sheetData sheetId="14018" refreshError="1"/>
      <sheetData sheetId="14019" refreshError="1"/>
      <sheetData sheetId="14020" refreshError="1"/>
      <sheetData sheetId="14021" refreshError="1"/>
      <sheetData sheetId="14022" refreshError="1"/>
      <sheetData sheetId="14023" refreshError="1"/>
      <sheetData sheetId="14024" refreshError="1"/>
      <sheetData sheetId="14025" refreshError="1"/>
      <sheetData sheetId="14026" refreshError="1"/>
      <sheetData sheetId="14027" refreshError="1"/>
      <sheetData sheetId="14028" refreshError="1"/>
      <sheetData sheetId="14029" refreshError="1"/>
      <sheetData sheetId="14030" refreshError="1"/>
      <sheetData sheetId="14031" refreshError="1"/>
      <sheetData sheetId="14032" refreshError="1"/>
      <sheetData sheetId="14033" refreshError="1"/>
      <sheetData sheetId="14034" refreshError="1"/>
      <sheetData sheetId="14035" refreshError="1"/>
      <sheetData sheetId="14036" refreshError="1"/>
      <sheetData sheetId="14037" refreshError="1"/>
      <sheetData sheetId="14038" refreshError="1"/>
      <sheetData sheetId="14039" refreshError="1"/>
      <sheetData sheetId="14040" refreshError="1"/>
      <sheetData sheetId="14041" refreshError="1"/>
      <sheetData sheetId="14042" refreshError="1"/>
      <sheetData sheetId="14043" refreshError="1"/>
      <sheetData sheetId="14044" refreshError="1"/>
      <sheetData sheetId="14045" refreshError="1"/>
      <sheetData sheetId="14046" refreshError="1"/>
      <sheetData sheetId="14047" refreshError="1"/>
      <sheetData sheetId="14048" refreshError="1"/>
      <sheetData sheetId="14049" refreshError="1"/>
      <sheetData sheetId="14050" refreshError="1"/>
      <sheetData sheetId="14051" refreshError="1"/>
      <sheetData sheetId="14052" refreshError="1"/>
      <sheetData sheetId="14053" refreshError="1"/>
      <sheetData sheetId="14054" refreshError="1"/>
      <sheetData sheetId="14055" refreshError="1"/>
      <sheetData sheetId="14056" refreshError="1"/>
      <sheetData sheetId="14057" refreshError="1"/>
      <sheetData sheetId="14058" refreshError="1"/>
      <sheetData sheetId="14059" refreshError="1"/>
      <sheetData sheetId="14060" refreshError="1"/>
      <sheetData sheetId="14061" refreshError="1"/>
      <sheetData sheetId="14062" refreshError="1"/>
      <sheetData sheetId="14063" refreshError="1"/>
      <sheetData sheetId="14064" refreshError="1"/>
      <sheetData sheetId="14065" refreshError="1"/>
      <sheetData sheetId="14066" refreshError="1"/>
      <sheetData sheetId="14067" refreshError="1"/>
      <sheetData sheetId="14068" refreshError="1"/>
      <sheetData sheetId="14069" refreshError="1"/>
      <sheetData sheetId="14070" refreshError="1"/>
      <sheetData sheetId="14071" refreshError="1"/>
      <sheetData sheetId="14072" refreshError="1"/>
      <sheetData sheetId="14073" refreshError="1"/>
      <sheetData sheetId="14074" refreshError="1"/>
      <sheetData sheetId="14075" refreshError="1"/>
      <sheetData sheetId="14076" refreshError="1"/>
      <sheetData sheetId="14077" refreshError="1"/>
      <sheetData sheetId="14078" refreshError="1"/>
      <sheetData sheetId="14079" refreshError="1"/>
      <sheetData sheetId="14080" refreshError="1"/>
      <sheetData sheetId="14081" refreshError="1"/>
      <sheetData sheetId="14082" refreshError="1"/>
      <sheetData sheetId="14083" refreshError="1"/>
      <sheetData sheetId="14084" refreshError="1"/>
      <sheetData sheetId="14085" refreshError="1"/>
      <sheetData sheetId="14086" refreshError="1"/>
      <sheetData sheetId="14087" refreshError="1"/>
      <sheetData sheetId="14088" refreshError="1"/>
      <sheetData sheetId="14089" refreshError="1"/>
      <sheetData sheetId="14090" refreshError="1"/>
      <sheetData sheetId="14091" refreshError="1"/>
      <sheetData sheetId="14092" refreshError="1"/>
      <sheetData sheetId="14093" refreshError="1"/>
      <sheetData sheetId="14094" refreshError="1"/>
      <sheetData sheetId="14095" refreshError="1"/>
      <sheetData sheetId="14096" refreshError="1"/>
      <sheetData sheetId="14097" refreshError="1"/>
      <sheetData sheetId="14098" refreshError="1"/>
      <sheetData sheetId="14099" refreshError="1"/>
      <sheetData sheetId="14100" refreshError="1"/>
      <sheetData sheetId="14101" refreshError="1"/>
      <sheetData sheetId="14102" refreshError="1"/>
      <sheetData sheetId="14103" refreshError="1"/>
      <sheetData sheetId="14104" refreshError="1"/>
      <sheetData sheetId="14105" refreshError="1"/>
      <sheetData sheetId="14106" refreshError="1"/>
      <sheetData sheetId="14107" refreshError="1"/>
      <sheetData sheetId="14108" refreshError="1"/>
      <sheetData sheetId="14109" refreshError="1"/>
      <sheetData sheetId="14110" refreshError="1"/>
      <sheetData sheetId="14111" refreshError="1"/>
      <sheetData sheetId="14112" refreshError="1"/>
      <sheetData sheetId="14113" refreshError="1"/>
      <sheetData sheetId="14114" refreshError="1"/>
      <sheetData sheetId="14115" refreshError="1"/>
      <sheetData sheetId="14116" refreshError="1"/>
      <sheetData sheetId="14117" refreshError="1"/>
      <sheetData sheetId="14118" refreshError="1"/>
      <sheetData sheetId="14119" refreshError="1"/>
      <sheetData sheetId="14120" refreshError="1"/>
      <sheetData sheetId="14121" refreshError="1"/>
      <sheetData sheetId="14122" refreshError="1"/>
      <sheetData sheetId="14123" refreshError="1"/>
      <sheetData sheetId="14124" refreshError="1"/>
      <sheetData sheetId="14125" refreshError="1"/>
      <sheetData sheetId="14126" refreshError="1"/>
      <sheetData sheetId="14127" refreshError="1"/>
      <sheetData sheetId="14128" refreshError="1"/>
      <sheetData sheetId="14129" refreshError="1"/>
      <sheetData sheetId="14130" refreshError="1"/>
      <sheetData sheetId="14131" refreshError="1"/>
      <sheetData sheetId="14132" refreshError="1"/>
      <sheetData sheetId="14133" refreshError="1"/>
      <sheetData sheetId="14134" refreshError="1"/>
      <sheetData sheetId="14135" refreshError="1"/>
      <sheetData sheetId="14136" refreshError="1"/>
      <sheetData sheetId="14137" refreshError="1"/>
      <sheetData sheetId="14138" refreshError="1"/>
      <sheetData sheetId="14139" refreshError="1"/>
      <sheetData sheetId="14140" refreshError="1"/>
      <sheetData sheetId="14141" refreshError="1"/>
      <sheetData sheetId="14142" refreshError="1"/>
      <sheetData sheetId="14143" refreshError="1"/>
      <sheetData sheetId="14144" refreshError="1"/>
      <sheetData sheetId="14145" refreshError="1"/>
      <sheetData sheetId="14146" refreshError="1"/>
      <sheetData sheetId="14147" refreshError="1"/>
      <sheetData sheetId="14148" refreshError="1"/>
      <sheetData sheetId="14149" refreshError="1"/>
      <sheetData sheetId="14150" refreshError="1"/>
      <sheetData sheetId="14151" refreshError="1"/>
      <sheetData sheetId="14152" refreshError="1"/>
      <sheetData sheetId="14153" refreshError="1"/>
      <sheetData sheetId="14154" refreshError="1"/>
      <sheetData sheetId="14155" refreshError="1"/>
      <sheetData sheetId="14156" refreshError="1"/>
      <sheetData sheetId="14157" refreshError="1"/>
      <sheetData sheetId="14158" refreshError="1"/>
      <sheetData sheetId="14159" refreshError="1"/>
      <sheetData sheetId="14160" refreshError="1"/>
      <sheetData sheetId="14161" refreshError="1"/>
      <sheetData sheetId="14162" refreshError="1"/>
      <sheetData sheetId="14163" refreshError="1"/>
      <sheetData sheetId="14164" refreshError="1"/>
      <sheetData sheetId="14165" refreshError="1"/>
      <sheetData sheetId="14166" refreshError="1"/>
      <sheetData sheetId="14167" refreshError="1"/>
      <sheetData sheetId="14168" refreshError="1"/>
      <sheetData sheetId="14169" refreshError="1"/>
      <sheetData sheetId="14170" refreshError="1"/>
      <sheetData sheetId="14171" refreshError="1"/>
      <sheetData sheetId="14172" refreshError="1"/>
      <sheetData sheetId="14173" refreshError="1"/>
      <sheetData sheetId="14174" refreshError="1"/>
      <sheetData sheetId="14175" refreshError="1"/>
      <sheetData sheetId="14176" refreshError="1"/>
      <sheetData sheetId="14177" refreshError="1"/>
      <sheetData sheetId="14178" refreshError="1"/>
      <sheetData sheetId="14179" refreshError="1"/>
      <sheetData sheetId="14180" refreshError="1"/>
      <sheetData sheetId="14181" refreshError="1"/>
      <sheetData sheetId="14182" refreshError="1"/>
      <sheetData sheetId="14183" refreshError="1"/>
      <sheetData sheetId="14184" refreshError="1"/>
      <sheetData sheetId="14185" refreshError="1"/>
      <sheetData sheetId="14186" refreshError="1"/>
      <sheetData sheetId="14187" refreshError="1"/>
      <sheetData sheetId="14188" refreshError="1"/>
      <sheetData sheetId="14189" refreshError="1"/>
      <sheetData sheetId="14190" refreshError="1"/>
      <sheetData sheetId="14191" refreshError="1"/>
      <sheetData sheetId="14192" refreshError="1"/>
      <sheetData sheetId="14193" refreshError="1"/>
      <sheetData sheetId="14194" refreshError="1"/>
      <sheetData sheetId="14195" refreshError="1"/>
      <sheetData sheetId="14196" refreshError="1"/>
      <sheetData sheetId="14197" refreshError="1"/>
      <sheetData sheetId="14198" refreshError="1"/>
      <sheetData sheetId="14199" refreshError="1"/>
      <sheetData sheetId="14200" refreshError="1"/>
      <sheetData sheetId="14201" refreshError="1"/>
      <sheetData sheetId="14202" refreshError="1"/>
      <sheetData sheetId="14203" refreshError="1"/>
      <sheetData sheetId="14204" refreshError="1"/>
      <sheetData sheetId="14205" refreshError="1"/>
      <sheetData sheetId="14206" refreshError="1"/>
      <sheetData sheetId="14207" refreshError="1"/>
      <sheetData sheetId="14208" refreshError="1"/>
      <sheetData sheetId="14209" refreshError="1"/>
      <sheetData sheetId="14210" refreshError="1"/>
      <sheetData sheetId="14211" refreshError="1"/>
      <sheetData sheetId="14212" refreshError="1"/>
      <sheetData sheetId="14213" refreshError="1"/>
      <sheetData sheetId="14214" refreshError="1"/>
      <sheetData sheetId="14215" refreshError="1"/>
      <sheetData sheetId="14216" refreshError="1"/>
      <sheetData sheetId="14217" refreshError="1"/>
      <sheetData sheetId="14218" refreshError="1"/>
      <sheetData sheetId="14219" refreshError="1"/>
      <sheetData sheetId="14220" refreshError="1"/>
      <sheetData sheetId="14221" refreshError="1"/>
      <sheetData sheetId="14222" refreshError="1"/>
      <sheetData sheetId="14223" refreshError="1"/>
      <sheetData sheetId="14224" refreshError="1"/>
      <sheetData sheetId="14225" refreshError="1"/>
      <sheetData sheetId="14226" refreshError="1"/>
      <sheetData sheetId="14227" refreshError="1"/>
      <sheetData sheetId="14228" refreshError="1"/>
      <sheetData sheetId="14229" refreshError="1"/>
      <sheetData sheetId="14230" refreshError="1"/>
      <sheetData sheetId="14231" refreshError="1"/>
      <sheetData sheetId="14232" refreshError="1"/>
      <sheetData sheetId="14233" refreshError="1"/>
      <sheetData sheetId="14234" refreshError="1"/>
      <sheetData sheetId="14235" refreshError="1"/>
      <sheetData sheetId="14236" refreshError="1"/>
      <sheetData sheetId="14237" refreshError="1"/>
      <sheetData sheetId="14238" refreshError="1"/>
      <sheetData sheetId="14239" refreshError="1"/>
      <sheetData sheetId="14240" refreshError="1"/>
      <sheetData sheetId="14241" refreshError="1"/>
      <sheetData sheetId="14242" refreshError="1"/>
      <sheetData sheetId="14243" refreshError="1"/>
      <sheetData sheetId="14244" refreshError="1"/>
      <sheetData sheetId="14245" refreshError="1"/>
      <sheetData sheetId="14246" refreshError="1"/>
      <sheetData sheetId="14247" refreshError="1"/>
      <sheetData sheetId="14248" refreshError="1"/>
      <sheetData sheetId="14249" refreshError="1"/>
      <sheetData sheetId="14250" refreshError="1"/>
      <sheetData sheetId="14251" refreshError="1"/>
      <sheetData sheetId="14252" refreshError="1"/>
      <sheetData sheetId="14253" refreshError="1"/>
      <sheetData sheetId="14254" refreshError="1"/>
      <sheetData sheetId="14255" refreshError="1"/>
      <sheetData sheetId="14256" refreshError="1"/>
      <sheetData sheetId="14257" refreshError="1"/>
      <sheetData sheetId="14258" refreshError="1"/>
      <sheetData sheetId="14259" refreshError="1"/>
      <sheetData sheetId="14260" refreshError="1"/>
      <sheetData sheetId="14261" refreshError="1"/>
      <sheetData sheetId="14262" refreshError="1"/>
      <sheetData sheetId="14263" refreshError="1"/>
      <sheetData sheetId="14264" refreshError="1"/>
      <sheetData sheetId="14265" refreshError="1"/>
      <sheetData sheetId="14266" refreshError="1"/>
      <sheetData sheetId="14267" refreshError="1"/>
      <sheetData sheetId="14268" refreshError="1"/>
      <sheetData sheetId="14269" refreshError="1"/>
      <sheetData sheetId="14270" refreshError="1"/>
      <sheetData sheetId="14271" refreshError="1"/>
      <sheetData sheetId="14272" refreshError="1"/>
      <sheetData sheetId="14273" refreshError="1"/>
      <sheetData sheetId="14274" refreshError="1"/>
      <sheetData sheetId="14275" refreshError="1"/>
      <sheetData sheetId="14276" refreshError="1"/>
      <sheetData sheetId="14277" refreshError="1"/>
      <sheetData sheetId="14278" refreshError="1"/>
      <sheetData sheetId="14279" refreshError="1"/>
      <sheetData sheetId="14280" refreshError="1"/>
      <sheetData sheetId="14281" refreshError="1"/>
      <sheetData sheetId="14282" refreshError="1"/>
      <sheetData sheetId="14283" refreshError="1"/>
      <sheetData sheetId="14284" refreshError="1"/>
      <sheetData sheetId="14285" refreshError="1"/>
      <sheetData sheetId="14286" refreshError="1"/>
      <sheetData sheetId="14287" refreshError="1"/>
      <sheetData sheetId="14288" refreshError="1"/>
      <sheetData sheetId="14289" refreshError="1"/>
      <sheetData sheetId="14290" refreshError="1"/>
      <sheetData sheetId="14291" refreshError="1"/>
      <sheetData sheetId="14292" refreshError="1"/>
      <sheetData sheetId="14293" refreshError="1"/>
      <sheetData sheetId="14294" refreshError="1"/>
      <sheetData sheetId="14295" refreshError="1"/>
      <sheetData sheetId="14296" refreshError="1"/>
      <sheetData sheetId="14297" refreshError="1"/>
      <sheetData sheetId="14298" refreshError="1"/>
      <sheetData sheetId="14299" refreshError="1"/>
      <sheetData sheetId="14300" refreshError="1"/>
      <sheetData sheetId="14301" refreshError="1"/>
      <sheetData sheetId="14302" refreshError="1"/>
      <sheetData sheetId="14303" refreshError="1"/>
      <sheetData sheetId="14304" refreshError="1"/>
      <sheetData sheetId="14305" refreshError="1"/>
      <sheetData sheetId="14306" refreshError="1"/>
      <sheetData sheetId="14307" refreshError="1"/>
      <sheetData sheetId="14308" refreshError="1"/>
      <sheetData sheetId="14309" refreshError="1"/>
      <sheetData sheetId="14310" refreshError="1"/>
      <sheetData sheetId="14311" refreshError="1"/>
      <sheetData sheetId="14312" refreshError="1"/>
      <sheetData sheetId="14313" refreshError="1"/>
      <sheetData sheetId="14314" refreshError="1"/>
      <sheetData sheetId="14315" refreshError="1"/>
      <sheetData sheetId="14316" refreshError="1"/>
      <sheetData sheetId="14317" refreshError="1"/>
      <sheetData sheetId="14318" refreshError="1"/>
      <sheetData sheetId="14319" refreshError="1"/>
      <sheetData sheetId="14320" refreshError="1"/>
      <sheetData sheetId="14321" refreshError="1"/>
      <sheetData sheetId="14322" refreshError="1"/>
      <sheetData sheetId="14323" refreshError="1"/>
      <sheetData sheetId="14324" refreshError="1"/>
      <sheetData sheetId="14325" refreshError="1"/>
      <sheetData sheetId="14326" refreshError="1"/>
      <sheetData sheetId="14327" refreshError="1"/>
      <sheetData sheetId="14328" refreshError="1"/>
      <sheetData sheetId="14329" refreshError="1"/>
      <sheetData sheetId="14330" refreshError="1"/>
      <sheetData sheetId="14331" refreshError="1"/>
      <sheetData sheetId="14332" refreshError="1"/>
      <sheetData sheetId="14333" refreshError="1"/>
      <sheetData sheetId="14334" refreshError="1"/>
      <sheetData sheetId="14335" refreshError="1"/>
      <sheetData sheetId="14336" refreshError="1"/>
      <sheetData sheetId="14337" refreshError="1"/>
      <sheetData sheetId="14338" refreshError="1"/>
      <sheetData sheetId="14339" refreshError="1"/>
      <sheetData sheetId="14340" refreshError="1"/>
      <sheetData sheetId="14341" refreshError="1"/>
      <sheetData sheetId="14342" refreshError="1"/>
      <sheetData sheetId="14343" refreshError="1"/>
      <sheetData sheetId="14344" refreshError="1"/>
      <sheetData sheetId="14345" refreshError="1"/>
      <sheetData sheetId="14346" refreshError="1"/>
      <sheetData sheetId="14347" refreshError="1"/>
      <sheetData sheetId="14348" refreshError="1"/>
      <sheetData sheetId="14349" refreshError="1"/>
      <sheetData sheetId="14350" refreshError="1"/>
      <sheetData sheetId="14351" refreshError="1"/>
      <sheetData sheetId="14352" refreshError="1"/>
      <sheetData sheetId="14353" refreshError="1"/>
      <sheetData sheetId="14354" refreshError="1"/>
      <sheetData sheetId="14355" refreshError="1"/>
      <sheetData sheetId="14356" refreshError="1"/>
      <sheetData sheetId="14357" refreshError="1"/>
      <sheetData sheetId="14358" refreshError="1"/>
      <sheetData sheetId="14359" refreshError="1"/>
      <sheetData sheetId="14360" refreshError="1"/>
      <sheetData sheetId="14361" refreshError="1"/>
      <sheetData sheetId="14362" refreshError="1"/>
      <sheetData sheetId="14363" refreshError="1"/>
      <sheetData sheetId="14364" refreshError="1"/>
      <sheetData sheetId="14365" refreshError="1"/>
      <sheetData sheetId="14366" refreshError="1"/>
      <sheetData sheetId="14367" refreshError="1"/>
      <sheetData sheetId="14368" refreshError="1"/>
      <sheetData sheetId="14369" refreshError="1"/>
      <sheetData sheetId="14370" refreshError="1"/>
      <sheetData sheetId="14371" refreshError="1"/>
      <sheetData sheetId="14372" refreshError="1"/>
      <sheetData sheetId="14373" refreshError="1"/>
      <sheetData sheetId="14374" refreshError="1"/>
      <sheetData sheetId="14375" refreshError="1"/>
      <sheetData sheetId="14376" refreshError="1"/>
      <sheetData sheetId="14377" refreshError="1"/>
      <sheetData sheetId="14378" refreshError="1"/>
      <sheetData sheetId="14379" refreshError="1"/>
      <sheetData sheetId="14380" refreshError="1"/>
      <sheetData sheetId="14381" refreshError="1"/>
      <sheetData sheetId="14382" refreshError="1"/>
      <sheetData sheetId="14383" refreshError="1"/>
      <sheetData sheetId="14384" refreshError="1"/>
      <sheetData sheetId="14385" refreshError="1"/>
      <sheetData sheetId="14386" refreshError="1"/>
      <sheetData sheetId="14387" refreshError="1"/>
      <sheetData sheetId="14388" refreshError="1"/>
      <sheetData sheetId="14389" refreshError="1"/>
      <sheetData sheetId="14390" refreshError="1"/>
      <sheetData sheetId="14391" refreshError="1"/>
      <sheetData sheetId="14392" refreshError="1"/>
      <sheetData sheetId="14393" refreshError="1"/>
      <sheetData sheetId="14394" refreshError="1"/>
      <sheetData sheetId="14395" refreshError="1"/>
      <sheetData sheetId="14396" refreshError="1"/>
      <sheetData sheetId="14397" refreshError="1"/>
      <sheetData sheetId="14398" refreshError="1"/>
      <sheetData sheetId="14399" refreshError="1"/>
      <sheetData sheetId="14400" refreshError="1"/>
      <sheetData sheetId="14401" refreshError="1"/>
      <sheetData sheetId="14402" refreshError="1"/>
      <sheetData sheetId="14403" refreshError="1"/>
      <sheetData sheetId="14404" refreshError="1"/>
      <sheetData sheetId="14405" refreshError="1"/>
      <sheetData sheetId="14406" refreshError="1"/>
      <sheetData sheetId="14407" refreshError="1"/>
      <sheetData sheetId="14408" refreshError="1"/>
      <sheetData sheetId="14409" refreshError="1"/>
      <sheetData sheetId="14410" refreshError="1"/>
      <sheetData sheetId="14411" refreshError="1"/>
      <sheetData sheetId="14412" refreshError="1"/>
      <sheetData sheetId="14413" refreshError="1"/>
      <sheetData sheetId="14414" refreshError="1"/>
      <sheetData sheetId="14415" refreshError="1"/>
      <sheetData sheetId="14416" refreshError="1"/>
      <sheetData sheetId="14417" refreshError="1"/>
      <sheetData sheetId="14418" refreshError="1"/>
      <sheetData sheetId="14419" refreshError="1"/>
      <sheetData sheetId="14420" refreshError="1"/>
      <sheetData sheetId="14421" refreshError="1"/>
      <sheetData sheetId="14422" refreshError="1"/>
      <sheetData sheetId="14423" refreshError="1"/>
      <sheetData sheetId="14424" refreshError="1"/>
      <sheetData sheetId="14425" refreshError="1"/>
      <sheetData sheetId="14426" refreshError="1"/>
      <sheetData sheetId="14427" refreshError="1"/>
      <sheetData sheetId="14428" refreshError="1"/>
      <sheetData sheetId="14429" refreshError="1"/>
      <sheetData sheetId="14430" refreshError="1"/>
      <sheetData sheetId="14431" refreshError="1"/>
      <sheetData sheetId="14432" refreshError="1"/>
      <sheetData sheetId="14433" refreshError="1"/>
      <sheetData sheetId="14434" refreshError="1"/>
      <sheetData sheetId="14435" refreshError="1"/>
      <sheetData sheetId="14436" refreshError="1"/>
      <sheetData sheetId="14437" refreshError="1"/>
      <sheetData sheetId="14438" refreshError="1"/>
      <sheetData sheetId="14439" refreshError="1"/>
      <sheetData sheetId="14440" refreshError="1"/>
      <sheetData sheetId="14441" refreshError="1"/>
      <sheetData sheetId="14442" refreshError="1"/>
      <sheetData sheetId="14443" refreshError="1"/>
      <sheetData sheetId="14444" refreshError="1"/>
      <sheetData sheetId="14445" refreshError="1"/>
      <sheetData sheetId="14446" refreshError="1"/>
      <sheetData sheetId="14447" refreshError="1"/>
      <sheetData sheetId="14448" refreshError="1"/>
      <sheetData sheetId="14449" refreshError="1"/>
      <sheetData sheetId="14450" refreshError="1"/>
      <sheetData sheetId="14451" refreshError="1"/>
      <sheetData sheetId="14452" refreshError="1"/>
      <sheetData sheetId="14453" refreshError="1"/>
      <sheetData sheetId="14454" refreshError="1"/>
      <sheetData sheetId="14455" refreshError="1"/>
      <sheetData sheetId="14456" refreshError="1"/>
      <sheetData sheetId="14457" refreshError="1"/>
      <sheetData sheetId="14458" refreshError="1"/>
      <sheetData sheetId="14459" refreshError="1"/>
      <sheetData sheetId="14460" refreshError="1"/>
      <sheetData sheetId="14461" refreshError="1"/>
      <sheetData sheetId="14462" refreshError="1"/>
      <sheetData sheetId="14463" refreshError="1"/>
      <sheetData sheetId="14464" refreshError="1"/>
      <sheetData sheetId="14465" refreshError="1"/>
      <sheetData sheetId="14466" refreshError="1"/>
      <sheetData sheetId="14467" refreshError="1"/>
      <sheetData sheetId="14468" refreshError="1"/>
      <sheetData sheetId="14469" refreshError="1"/>
      <sheetData sheetId="14470" refreshError="1"/>
      <sheetData sheetId="14471" refreshError="1"/>
      <sheetData sheetId="14472" refreshError="1"/>
      <sheetData sheetId="14473" refreshError="1"/>
      <sheetData sheetId="14474" refreshError="1"/>
      <sheetData sheetId="14475" refreshError="1"/>
      <sheetData sheetId="14476" refreshError="1"/>
      <sheetData sheetId="14477" refreshError="1"/>
      <sheetData sheetId="14478" refreshError="1"/>
      <sheetData sheetId="14479" refreshError="1"/>
      <sheetData sheetId="14480" refreshError="1"/>
      <sheetData sheetId="14481" refreshError="1"/>
      <sheetData sheetId="14482" refreshError="1"/>
      <sheetData sheetId="14483" refreshError="1"/>
      <sheetData sheetId="14484" refreshError="1"/>
      <sheetData sheetId="14485" refreshError="1"/>
      <sheetData sheetId="14486" refreshError="1"/>
      <sheetData sheetId="14487" refreshError="1"/>
      <sheetData sheetId="14488" refreshError="1"/>
      <sheetData sheetId="14489" refreshError="1"/>
      <sheetData sheetId="14490" refreshError="1"/>
      <sheetData sheetId="14491" refreshError="1"/>
      <sheetData sheetId="14492" refreshError="1"/>
      <sheetData sheetId="14493" refreshError="1"/>
      <sheetData sheetId="14494" refreshError="1"/>
      <sheetData sheetId="14495" refreshError="1"/>
      <sheetData sheetId="14496" refreshError="1"/>
      <sheetData sheetId="14497" refreshError="1"/>
      <sheetData sheetId="14498" refreshError="1"/>
      <sheetData sheetId="14499" refreshError="1"/>
      <sheetData sheetId="14500" refreshError="1"/>
      <sheetData sheetId="14501" refreshError="1"/>
      <sheetData sheetId="14502" refreshError="1"/>
      <sheetData sheetId="14503" refreshError="1"/>
      <sheetData sheetId="14504" refreshError="1"/>
      <sheetData sheetId="14505" refreshError="1"/>
      <sheetData sheetId="14506" refreshError="1"/>
      <sheetData sheetId="14507" refreshError="1"/>
      <sheetData sheetId="14508" refreshError="1"/>
      <sheetData sheetId="14509" refreshError="1"/>
      <sheetData sheetId="14510" refreshError="1"/>
      <sheetData sheetId="14511" refreshError="1"/>
      <sheetData sheetId="14512" refreshError="1"/>
      <sheetData sheetId="14513" refreshError="1"/>
      <sheetData sheetId="14514" refreshError="1"/>
      <sheetData sheetId="14515" refreshError="1"/>
      <sheetData sheetId="14516" refreshError="1"/>
      <sheetData sheetId="14517" refreshError="1"/>
      <sheetData sheetId="14518" refreshError="1"/>
      <sheetData sheetId="14519" refreshError="1"/>
      <sheetData sheetId="14520" refreshError="1"/>
      <sheetData sheetId="14521" refreshError="1"/>
      <sheetData sheetId="14522" refreshError="1"/>
      <sheetData sheetId="14523" refreshError="1"/>
      <sheetData sheetId="14524" refreshError="1"/>
      <sheetData sheetId="14525" refreshError="1"/>
      <sheetData sheetId="14526" refreshError="1"/>
      <sheetData sheetId="14527" refreshError="1"/>
      <sheetData sheetId="14528" refreshError="1"/>
      <sheetData sheetId="14529" refreshError="1"/>
      <sheetData sheetId="14530" refreshError="1"/>
      <sheetData sheetId="14531" refreshError="1"/>
      <sheetData sheetId="14532" refreshError="1"/>
      <sheetData sheetId="14533" refreshError="1"/>
      <sheetData sheetId="14534" refreshError="1"/>
      <sheetData sheetId="14535" refreshError="1"/>
      <sheetData sheetId="14536" refreshError="1"/>
      <sheetData sheetId="14537" refreshError="1"/>
      <sheetData sheetId="14538" refreshError="1"/>
      <sheetData sheetId="14539" refreshError="1"/>
      <sheetData sheetId="14540" refreshError="1"/>
      <sheetData sheetId="14541" refreshError="1"/>
      <sheetData sheetId="14542" refreshError="1"/>
      <sheetData sheetId="14543" refreshError="1"/>
      <sheetData sheetId="14544" refreshError="1"/>
      <sheetData sheetId="14545" refreshError="1"/>
      <sheetData sheetId="14546" refreshError="1"/>
      <sheetData sheetId="14547" refreshError="1"/>
      <sheetData sheetId="14548" refreshError="1"/>
      <sheetData sheetId="14549" refreshError="1"/>
      <sheetData sheetId="14550" refreshError="1"/>
      <sheetData sheetId="14551" refreshError="1"/>
      <sheetData sheetId="14552" refreshError="1"/>
      <sheetData sheetId="14553" refreshError="1"/>
      <sheetData sheetId="14554" refreshError="1"/>
      <sheetData sheetId="14555" refreshError="1"/>
      <sheetData sheetId="14556" refreshError="1"/>
      <sheetData sheetId="14557" refreshError="1"/>
      <sheetData sheetId="14558" refreshError="1"/>
      <sheetData sheetId="14559" refreshError="1"/>
      <sheetData sheetId="14560" refreshError="1"/>
      <sheetData sheetId="14561" refreshError="1"/>
      <sheetData sheetId="14562" refreshError="1"/>
      <sheetData sheetId="14563" refreshError="1"/>
      <sheetData sheetId="14564" refreshError="1"/>
      <sheetData sheetId="14565" refreshError="1"/>
      <sheetData sheetId="14566" refreshError="1"/>
      <sheetData sheetId="14567" refreshError="1"/>
      <sheetData sheetId="14568" refreshError="1"/>
      <sheetData sheetId="14569" refreshError="1"/>
      <sheetData sheetId="14570" refreshError="1"/>
      <sheetData sheetId="14571" refreshError="1"/>
      <sheetData sheetId="14572" refreshError="1"/>
      <sheetData sheetId="14573" refreshError="1"/>
      <sheetData sheetId="14574" refreshError="1"/>
      <sheetData sheetId="14575" refreshError="1"/>
      <sheetData sheetId="14576" refreshError="1"/>
      <sheetData sheetId="14577" refreshError="1"/>
      <sheetData sheetId="14578" refreshError="1"/>
      <sheetData sheetId="14579" refreshError="1"/>
      <sheetData sheetId="14580" refreshError="1"/>
      <sheetData sheetId="14581" refreshError="1"/>
      <sheetData sheetId="14582" refreshError="1"/>
      <sheetData sheetId="14583" refreshError="1"/>
      <sheetData sheetId="14584" refreshError="1"/>
      <sheetData sheetId="14585" refreshError="1"/>
      <sheetData sheetId="14586" refreshError="1"/>
      <sheetData sheetId="14587" refreshError="1"/>
      <sheetData sheetId="14588" refreshError="1"/>
      <sheetData sheetId="14589" refreshError="1"/>
      <sheetData sheetId="14590" refreshError="1"/>
      <sheetData sheetId="14591" refreshError="1"/>
      <sheetData sheetId="14592" refreshError="1"/>
      <sheetData sheetId="14593" refreshError="1"/>
      <sheetData sheetId="14594" refreshError="1"/>
      <sheetData sheetId="14595" refreshError="1"/>
      <sheetData sheetId="14596" refreshError="1"/>
      <sheetData sheetId="14597" refreshError="1"/>
      <sheetData sheetId="14598" refreshError="1"/>
      <sheetData sheetId="14599" refreshError="1"/>
      <sheetData sheetId="14600" refreshError="1"/>
      <sheetData sheetId="14601" refreshError="1"/>
      <sheetData sheetId="14602" refreshError="1"/>
      <sheetData sheetId="14603" refreshError="1"/>
      <sheetData sheetId="14604" refreshError="1"/>
      <sheetData sheetId="14605" refreshError="1"/>
      <sheetData sheetId="14606" refreshError="1"/>
      <sheetData sheetId="14607" refreshError="1"/>
      <sheetData sheetId="14608" refreshError="1"/>
      <sheetData sheetId="14609" refreshError="1"/>
      <sheetData sheetId="14610" refreshError="1"/>
      <sheetData sheetId="14611" refreshError="1"/>
      <sheetData sheetId="14612" refreshError="1"/>
      <sheetData sheetId="14613" refreshError="1"/>
      <sheetData sheetId="14614" refreshError="1"/>
      <sheetData sheetId="14615" refreshError="1"/>
      <sheetData sheetId="14616" refreshError="1"/>
      <sheetData sheetId="14617" refreshError="1"/>
      <sheetData sheetId="14618" refreshError="1"/>
      <sheetData sheetId="14619" refreshError="1"/>
      <sheetData sheetId="14620" refreshError="1"/>
      <sheetData sheetId="14621" refreshError="1"/>
      <sheetData sheetId="14622" refreshError="1"/>
      <sheetData sheetId="14623" refreshError="1"/>
      <sheetData sheetId="14624" refreshError="1"/>
      <sheetData sheetId="14625" refreshError="1"/>
      <sheetData sheetId="14626" refreshError="1"/>
      <sheetData sheetId="14627" refreshError="1"/>
      <sheetData sheetId="14628" refreshError="1"/>
      <sheetData sheetId="14629" refreshError="1"/>
      <sheetData sheetId="14630" refreshError="1"/>
      <sheetData sheetId="14631" refreshError="1"/>
      <sheetData sheetId="14632" refreshError="1"/>
      <sheetData sheetId="14633" refreshError="1"/>
      <sheetData sheetId="14634" refreshError="1"/>
      <sheetData sheetId="14635" refreshError="1"/>
      <sheetData sheetId="14636" refreshError="1"/>
      <sheetData sheetId="14637" refreshError="1"/>
      <sheetData sheetId="14638" refreshError="1"/>
      <sheetData sheetId="14639" refreshError="1"/>
      <sheetData sheetId="14640" refreshError="1"/>
      <sheetData sheetId="14641" refreshError="1"/>
      <sheetData sheetId="14642" refreshError="1"/>
      <sheetData sheetId="14643" refreshError="1"/>
      <sheetData sheetId="14644" refreshError="1"/>
      <sheetData sheetId="14645" refreshError="1"/>
      <sheetData sheetId="14646" refreshError="1"/>
      <sheetData sheetId="14647" refreshError="1"/>
      <sheetData sheetId="14648" refreshError="1"/>
      <sheetData sheetId="14649" refreshError="1"/>
      <sheetData sheetId="14650" refreshError="1"/>
      <sheetData sheetId="14651" refreshError="1"/>
      <sheetData sheetId="14652" refreshError="1"/>
      <sheetData sheetId="14653" refreshError="1"/>
      <sheetData sheetId="14654" refreshError="1"/>
      <sheetData sheetId="14655" refreshError="1"/>
      <sheetData sheetId="14656" refreshError="1"/>
      <sheetData sheetId="14657" refreshError="1"/>
      <sheetData sheetId="14658" refreshError="1"/>
      <sheetData sheetId="14659" refreshError="1"/>
      <sheetData sheetId="14660" refreshError="1"/>
      <sheetData sheetId="14661" refreshError="1"/>
      <sheetData sheetId="14662" refreshError="1"/>
      <sheetData sheetId="14663" refreshError="1"/>
      <sheetData sheetId="14664" refreshError="1"/>
      <sheetData sheetId="14665" refreshError="1"/>
      <sheetData sheetId="14666" refreshError="1"/>
      <sheetData sheetId="14667" refreshError="1"/>
      <sheetData sheetId="14668" refreshError="1"/>
      <sheetData sheetId="14669" refreshError="1"/>
      <sheetData sheetId="14670" refreshError="1"/>
      <sheetData sheetId="14671" refreshError="1"/>
      <sheetData sheetId="14672" refreshError="1"/>
      <sheetData sheetId="14673" refreshError="1"/>
      <sheetData sheetId="14674" refreshError="1"/>
      <sheetData sheetId="14675" refreshError="1"/>
      <sheetData sheetId="14676" refreshError="1"/>
      <sheetData sheetId="14677" refreshError="1"/>
      <sheetData sheetId="14678" refreshError="1"/>
      <sheetData sheetId="14679" refreshError="1"/>
      <sheetData sheetId="14680" refreshError="1"/>
      <sheetData sheetId="14681" refreshError="1"/>
      <sheetData sheetId="14682" refreshError="1"/>
      <sheetData sheetId="14683" refreshError="1"/>
      <sheetData sheetId="14684" refreshError="1"/>
      <sheetData sheetId="14685" refreshError="1"/>
      <sheetData sheetId="14686" refreshError="1"/>
      <sheetData sheetId="14687" refreshError="1"/>
      <sheetData sheetId="14688" refreshError="1"/>
      <sheetData sheetId="14689" refreshError="1"/>
      <sheetData sheetId="14690" refreshError="1"/>
      <sheetData sheetId="14691" refreshError="1"/>
      <sheetData sheetId="14692" refreshError="1"/>
      <sheetData sheetId="14693" refreshError="1"/>
      <sheetData sheetId="14694" refreshError="1"/>
      <sheetData sheetId="14695" refreshError="1"/>
      <sheetData sheetId="14696" refreshError="1"/>
      <sheetData sheetId="14697" refreshError="1"/>
      <sheetData sheetId="14698" refreshError="1"/>
      <sheetData sheetId="14699" refreshError="1"/>
      <sheetData sheetId="14700" refreshError="1"/>
      <sheetData sheetId="14701" refreshError="1"/>
      <sheetData sheetId="14702" refreshError="1"/>
      <sheetData sheetId="14703" refreshError="1"/>
      <sheetData sheetId="14704" refreshError="1"/>
      <sheetData sheetId="14705" refreshError="1"/>
      <sheetData sheetId="14706" refreshError="1"/>
      <sheetData sheetId="14707" refreshError="1"/>
      <sheetData sheetId="14708" refreshError="1"/>
      <sheetData sheetId="14709" refreshError="1"/>
      <sheetData sheetId="14710" refreshError="1"/>
      <sheetData sheetId="14711" refreshError="1"/>
      <sheetData sheetId="14712" refreshError="1"/>
      <sheetData sheetId="14713" refreshError="1"/>
      <sheetData sheetId="14714" refreshError="1"/>
      <sheetData sheetId="14715" refreshError="1"/>
      <sheetData sheetId="14716" refreshError="1"/>
      <sheetData sheetId="14717" refreshError="1"/>
      <sheetData sheetId="14718" refreshError="1"/>
      <sheetData sheetId="14719" refreshError="1"/>
      <sheetData sheetId="14720" refreshError="1"/>
      <sheetData sheetId="14721" refreshError="1"/>
      <sheetData sheetId="14722" refreshError="1"/>
      <sheetData sheetId="14723" refreshError="1"/>
      <sheetData sheetId="14724" refreshError="1"/>
      <sheetData sheetId="14725" refreshError="1"/>
      <sheetData sheetId="14726" refreshError="1"/>
      <sheetData sheetId="14727" refreshError="1"/>
      <sheetData sheetId="14728" refreshError="1"/>
      <sheetData sheetId="14729" refreshError="1"/>
      <sheetData sheetId="14730" refreshError="1"/>
      <sheetData sheetId="14731" refreshError="1"/>
      <sheetData sheetId="14732" refreshError="1"/>
      <sheetData sheetId="14733" refreshError="1"/>
      <sheetData sheetId="14734" refreshError="1"/>
      <sheetData sheetId="14735" refreshError="1"/>
      <sheetData sheetId="14736" refreshError="1"/>
      <sheetData sheetId="14737" refreshError="1"/>
      <sheetData sheetId="14738" refreshError="1"/>
      <sheetData sheetId="14739" refreshError="1"/>
      <sheetData sheetId="14740" refreshError="1"/>
      <sheetData sheetId="14741" refreshError="1"/>
      <sheetData sheetId="14742" refreshError="1"/>
      <sheetData sheetId="14743" refreshError="1"/>
      <sheetData sheetId="14744" refreshError="1"/>
      <sheetData sheetId="14745" refreshError="1"/>
      <sheetData sheetId="14746" refreshError="1"/>
      <sheetData sheetId="14747" refreshError="1"/>
      <sheetData sheetId="14748" refreshError="1"/>
      <sheetData sheetId="14749" refreshError="1"/>
      <sheetData sheetId="14750" refreshError="1"/>
      <sheetData sheetId="14751" refreshError="1"/>
      <sheetData sheetId="14752" refreshError="1"/>
      <sheetData sheetId="14753" refreshError="1"/>
      <sheetData sheetId="14754" refreshError="1"/>
      <sheetData sheetId="14755" refreshError="1"/>
      <sheetData sheetId="14756" refreshError="1"/>
      <sheetData sheetId="14757" refreshError="1"/>
      <sheetData sheetId="14758" refreshError="1"/>
      <sheetData sheetId="14759" refreshError="1"/>
      <sheetData sheetId="14760" refreshError="1"/>
      <sheetData sheetId="14761" refreshError="1"/>
      <sheetData sheetId="14762" refreshError="1"/>
      <sheetData sheetId="14763" refreshError="1"/>
      <sheetData sheetId="14764" refreshError="1"/>
      <sheetData sheetId="14765" refreshError="1"/>
      <sheetData sheetId="14766" refreshError="1"/>
      <sheetData sheetId="14767" refreshError="1"/>
      <sheetData sheetId="14768" refreshError="1"/>
      <sheetData sheetId="14769" refreshError="1"/>
      <sheetData sheetId="14770" refreshError="1"/>
      <sheetData sheetId="14771" refreshError="1"/>
      <sheetData sheetId="14772" refreshError="1"/>
      <sheetData sheetId="14773" refreshError="1"/>
      <sheetData sheetId="14774" refreshError="1"/>
      <sheetData sheetId="14775" refreshError="1"/>
      <sheetData sheetId="14776" refreshError="1"/>
      <sheetData sheetId="14777" refreshError="1"/>
      <sheetData sheetId="14778" refreshError="1"/>
      <sheetData sheetId="14779" refreshError="1"/>
      <sheetData sheetId="14780" refreshError="1"/>
      <sheetData sheetId="14781" refreshError="1"/>
      <sheetData sheetId="14782" refreshError="1"/>
      <sheetData sheetId="14783" refreshError="1"/>
      <sheetData sheetId="14784" refreshError="1"/>
      <sheetData sheetId="14785" refreshError="1"/>
      <sheetData sheetId="14786" refreshError="1"/>
      <sheetData sheetId="14787" refreshError="1"/>
      <sheetData sheetId="14788" refreshError="1"/>
      <sheetData sheetId="14789" refreshError="1"/>
      <sheetData sheetId="14790" refreshError="1"/>
      <sheetData sheetId="14791" refreshError="1"/>
      <sheetData sheetId="14792" refreshError="1"/>
      <sheetData sheetId="14793" refreshError="1"/>
      <sheetData sheetId="14794" refreshError="1"/>
      <sheetData sheetId="14795" refreshError="1"/>
      <sheetData sheetId="14796" refreshError="1"/>
      <sheetData sheetId="14797" refreshError="1"/>
      <sheetData sheetId="14798" refreshError="1"/>
      <sheetData sheetId="14799" refreshError="1"/>
      <sheetData sheetId="14800" refreshError="1"/>
      <sheetData sheetId="14801" refreshError="1"/>
      <sheetData sheetId="14802" refreshError="1"/>
      <sheetData sheetId="14803" refreshError="1"/>
      <sheetData sheetId="14804" refreshError="1"/>
      <sheetData sheetId="14805" refreshError="1"/>
      <sheetData sheetId="14806" refreshError="1"/>
      <sheetData sheetId="14807" refreshError="1"/>
      <sheetData sheetId="14808" refreshError="1"/>
      <sheetData sheetId="14809" refreshError="1"/>
      <sheetData sheetId="14810" refreshError="1"/>
      <sheetData sheetId="14811" refreshError="1"/>
      <sheetData sheetId="14812" refreshError="1"/>
      <sheetData sheetId="14813" refreshError="1"/>
      <sheetData sheetId="14814" refreshError="1"/>
      <sheetData sheetId="14815" refreshError="1"/>
      <sheetData sheetId="14816" refreshError="1"/>
      <sheetData sheetId="14817" refreshError="1"/>
      <sheetData sheetId="14818" refreshError="1"/>
      <sheetData sheetId="14819" refreshError="1"/>
      <sheetData sheetId="14820" refreshError="1"/>
      <sheetData sheetId="14821" refreshError="1"/>
      <sheetData sheetId="14822" refreshError="1"/>
      <sheetData sheetId="14823" refreshError="1"/>
      <sheetData sheetId="14824" refreshError="1"/>
      <sheetData sheetId="14825" refreshError="1"/>
      <sheetData sheetId="14826" refreshError="1"/>
      <sheetData sheetId="14827" refreshError="1"/>
      <sheetData sheetId="14828" refreshError="1"/>
      <sheetData sheetId="14829" refreshError="1"/>
      <sheetData sheetId="14830" refreshError="1"/>
      <sheetData sheetId="14831" refreshError="1"/>
      <sheetData sheetId="14832" refreshError="1"/>
      <sheetData sheetId="14833" refreshError="1"/>
      <sheetData sheetId="14834" refreshError="1"/>
      <sheetData sheetId="14835" refreshError="1"/>
      <sheetData sheetId="14836" refreshError="1"/>
      <sheetData sheetId="14837" refreshError="1"/>
      <sheetData sheetId="14838" refreshError="1"/>
      <sheetData sheetId="14839" refreshError="1"/>
      <sheetData sheetId="14840" refreshError="1"/>
      <sheetData sheetId="14841" refreshError="1"/>
      <sheetData sheetId="14842" refreshError="1"/>
      <sheetData sheetId="14843" refreshError="1"/>
      <sheetData sheetId="14844" refreshError="1"/>
      <sheetData sheetId="14845" refreshError="1"/>
      <sheetData sheetId="14846" refreshError="1"/>
      <sheetData sheetId="14847" refreshError="1"/>
      <sheetData sheetId="14848" refreshError="1"/>
      <sheetData sheetId="14849" refreshError="1"/>
      <sheetData sheetId="14850" refreshError="1"/>
      <sheetData sheetId="14851" refreshError="1"/>
      <sheetData sheetId="14852" refreshError="1"/>
      <sheetData sheetId="14853" refreshError="1"/>
      <sheetData sheetId="14854" refreshError="1"/>
      <sheetData sheetId="14855" refreshError="1"/>
      <sheetData sheetId="14856" refreshError="1"/>
      <sheetData sheetId="14857" refreshError="1"/>
      <sheetData sheetId="14858" refreshError="1"/>
      <sheetData sheetId="14859" refreshError="1"/>
      <sheetData sheetId="14860" refreshError="1"/>
      <sheetData sheetId="14861" refreshError="1"/>
      <sheetData sheetId="14862" refreshError="1"/>
      <sheetData sheetId="14863" refreshError="1"/>
      <sheetData sheetId="14864" refreshError="1"/>
      <sheetData sheetId="14865" refreshError="1"/>
      <sheetData sheetId="14866" refreshError="1"/>
      <sheetData sheetId="14867" refreshError="1"/>
      <sheetData sheetId="14868" refreshError="1"/>
      <sheetData sheetId="14869" refreshError="1"/>
      <sheetData sheetId="14870" refreshError="1"/>
      <sheetData sheetId="14871" refreshError="1"/>
      <sheetData sheetId="14872" refreshError="1"/>
      <sheetData sheetId="14873" refreshError="1"/>
      <sheetData sheetId="14874" refreshError="1"/>
      <sheetData sheetId="14875" refreshError="1"/>
      <sheetData sheetId="14876" refreshError="1"/>
      <sheetData sheetId="14877" refreshError="1"/>
      <sheetData sheetId="14878" refreshError="1"/>
      <sheetData sheetId="14879" refreshError="1"/>
      <sheetData sheetId="14880" refreshError="1"/>
      <sheetData sheetId="14881" refreshError="1"/>
      <sheetData sheetId="14882" refreshError="1"/>
      <sheetData sheetId="14883" refreshError="1"/>
      <sheetData sheetId="14884" refreshError="1"/>
      <sheetData sheetId="14885" refreshError="1"/>
      <sheetData sheetId="14886" refreshError="1"/>
      <sheetData sheetId="14887" refreshError="1"/>
      <sheetData sheetId="14888" refreshError="1"/>
      <sheetData sheetId="14889" refreshError="1"/>
      <sheetData sheetId="14890" refreshError="1"/>
      <sheetData sheetId="14891" refreshError="1"/>
      <sheetData sheetId="14892" refreshError="1"/>
      <sheetData sheetId="14893" refreshError="1"/>
      <sheetData sheetId="14894" refreshError="1"/>
      <sheetData sheetId="14895" refreshError="1"/>
      <sheetData sheetId="14896" refreshError="1"/>
      <sheetData sheetId="14897" refreshError="1"/>
      <sheetData sheetId="14898" refreshError="1"/>
      <sheetData sheetId="14899" refreshError="1"/>
      <sheetData sheetId="14900" refreshError="1"/>
      <sheetData sheetId="14901" refreshError="1"/>
      <sheetData sheetId="14902" refreshError="1"/>
      <sheetData sheetId="14903" refreshError="1"/>
      <sheetData sheetId="14904" refreshError="1"/>
      <sheetData sheetId="14905" refreshError="1"/>
      <sheetData sheetId="14906" refreshError="1"/>
      <sheetData sheetId="14907" refreshError="1"/>
      <sheetData sheetId="14908" refreshError="1"/>
      <sheetData sheetId="14909" refreshError="1"/>
      <sheetData sheetId="14910" refreshError="1"/>
      <sheetData sheetId="14911" refreshError="1"/>
      <sheetData sheetId="14912" refreshError="1"/>
      <sheetData sheetId="14913" refreshError="1"/>
      <sheetData sheetId="14914" refreshError="1"/>
      <sheetData sheetId="14915" refreshError="1"/>
      <sheetData sheetId="14916" refreshError="1"/>
      <sheetData sheetId="14917" refreshError="1"/>
      <sheetData sheetId="14918" refreshError="1"/>
      <sheetData sheetId="14919" refreshError="1"/>
      <sheetData sheetId="14920" refreshError="1"/>
      <sheetData sheetId="14921" refreshError="1"/>
      <sheetData sheetId="14922" refreshError="1"/>
      <sheetData sheetId="14923" refreshError="1"/>
      <sheetData sheetId="14924" refreshError="1"/>
      <sheetData sheetId="14925" refreshError="1"/>
      <sheetData sheetId="14926" refreshError="1"/>
      <sheetData sheetId="14927" refreshError="1"/>
      <sheetData sheetId="14928" refreshError="1"/>
      <sheetData sheetId="14929" refreshError="1"/>
      <sheetData sheetId="14930" refreshError="1"/>
      <sheetData sheetId="14931" refreshError="1"/>
      <sheetData sheetId="14932" refreshError="1"/>
      <sheetData sheetId="14933" refreshError="1"/>
      <sheetData sheetId="14934" refreshError="1"/>
      <sheetData sheetId="14935" refreshError="1"/>
      <sheetData sheetId="14936" refreshError="1"/>
      <sheetData sheetId="14937" refreshError="1"/>
      <sheetData sheetId="14938" refreshError="1"/>
      <sheetData sheetId="14939" refreshError="1"/>
      <sheetData sheetId="14940" refreshError="1"/>
      <sheetData sheetId="14941" refreshError="1"/>
      <sheetData sheetId="14942" refreshError="1"/>
      <sheetData sheetId="14943" refreshError="1"/>
      <sheetData sheetId="14944" refreshError="1"/>
      <sheetData sheetId="14945" refreshError="1"/>
      <sheetData sheetId="14946" refreshError="1"/>
      <sheetData sheetId="14947" refreshError="1"/>
      <sheetData sheetId="14948" refreshError="1"/>
      <sheetData sheetId="14949" refreshError="1"/>
      <sheetData sheetId="14950" refreshError="1"/>
      <sheetData sheetId="14951" refreshError="1"/>
      <sheetData sheetId="14952" refreshError="1"/>
      <sheetData sheetId="14953" refreshError="1"/>
      <sheetData sheetId="14954" refreshError="1"/>
      <sheetData sheetId="14955" refreshError="1"/>
      <sheetData sheetId="14956" refreshError="1"/>
      <sheetData sheetId="14957" refreshError="1"/>
      <sheetData sheetId="14958" refreshError="1"/>
      <sheetData sheetId="14959" refreshError="1"/>
      <sheetData sheetId="14960" refreshError="1"/>
      <sheetData sheetId="14961" refreshError="1"/>
      <sheetData sheetId="14962" refreshError="1"/>
      <sheetData sheetId="14963" refreshError="1"/>
      <sheetData sheetId="14964" refreshError="1"/>
      <sheetData sheetId="14965" refreshError="1"/>
      <sheetData sheetId="14966" refreshError="1"/>
      <sheetData sheetId="14967" refreshError="1"/>
      <sheetData sheetId="14968" refreshError="1"/>
      <sheetData sheetId="14969" refreshError="1"/>
      <sheetData sheetId="14970" refreshError="1"/>
      <sheetData sheetId="14971" refreshError="1"/>
      <sheetData sheetId="14972" refreshError="1"/>
      <sheetData sheetId="14973" refreshError="1"/>
      <sheetData sheetId="14974" refreshError="1"/>
      <sheetData sheetId="14975" refreshError="1"/>
      <sheetData sheetId="14976" refreshError="1"/>
      <sheetData sheetId="14977" refreshError="1"/>
      <sheetData sheetId="14978" refreshError="1"/>
      <sheetData sheetId="14979" refreshError="1"/>
      <sheetData sheetId="14980" refreshError="1"/>
      <sheetData sheetId="14981" refreshError="1"/>
      <sheetData sheetId="14982" refreshError="1"/>
      <sheetData sheetId="14983" refreshError="1"/>
      <sheetData sheetId="14984" refreshError="1"/>
      <sheetData sheetId="14985" refreshError="1"/>
      <sheetData sheetId="14986" refreshError="1"/>
      <sheetData sheetId="14987" refreshError="1"/>
      <sheetData sheetId="14988" refreshError="1"/>
      <sheetData sheetId="14989" refreshError="1"/>
      <sheetData sheetId="14990" refreshError="1"/>
      <sheetData sheetId="14991" refreshError="1"/>
      <sheetData sheetId="14992" refreshError="1"/>
      <sheetData sheetId="14993" refreshError="1"/>
      <sheetData sheetId="14994" refreshError="1"/>
      <sheetData sheetId="14995" refreshError="1"/>
      <sheetData sheetId="14996" refreshError="1"/>
      <sheetData sheetId="14997" refreshError="1"/>
      <sheetData sheetId="14998" refreshError="1"/>
      <sheetData sheetId="14999" refreshError="1"/>
      <sheetData sheetId="15000" refreshError="1"/>
      <sheetData sheetId="15001" refreshError="1"/>
      <sheetData sheetId="15002" refreshError="1"/>
      <sheetData sheetId="15003" refreshError="1"/>
      <sheetData sheetId="15004" refreshError="1"/>
      <sheetData sheetId="15005" refreshError="1"/>
      <sheetData sheetId="15006" refreshError="1"/>
      <sheetData sheetId="15007" refreshError="1"/>
      <sheetData sheetId="15008" refreshError="1"/>
      <sheetData sheetId="15009" refreshError="1"/>
      <sheetData sheetId="15010" refreshError="1"/>
      <sheetData sheetId="15011" refreshError="1"/>
      <sheetData sheetId="15012" refreshError="1"/>
      <sheetData sheetId="15013" refreshError="1"/>
      <sheetData sheetId="15014" refreshError="1"/>
      <sheetData sheetId="15015" refreshError="1"/>
      <sheetData sheetId="15016" refreshError="1"/>
      <sheetData sheetId="15017" refreshError="1"/>
      <sheetData sheetId="15018" refreshError="1"/>
      <sheetData sheetId="15019" refreshError="1"/>
      <sheetData sheetId="15020" refreshError="1"/>
      <sheetData sheetId="15021" refreshError="1"/>
      <sheetData sheetId="15022" refreshError="1"/>
      <sheetData sheetId="15023" refreshError="1"/>
      <sheetData sheetId="15024" refreshError="1"/>
      <sheetData sheetId="15025" refreshError="1"/>
      <sheetData sheetId="15026" refreshError="1"/>
      <sheetData sheetId="15027" refreshError="1"/>
      <sheetData sheetId="15028" refreshError="1"/>
      <sheetData sheetId="15029" refreshError="1"/>
      <sheetData sheetId="15030" refreshError="1"/>
      <sheetData sheetId="15031" refreshError="1"/>
      <sheetData sheetId="15032" refreshError="1"/>
      <sheetData sheetId="15033" refreshError="1"/>
      <sheetData sheetId="15034" refreshError="1"/>
      <sheetData sheetId="15035" refreshError="1"/>
      <sheetData sheetId="15036" refreshError="1"/>
      <sheetData sheetId="15037" refreshError="1"/>
      <sheetData sheetId="15038" refreshError="1"/>
      <sheetData sheetId="15039" refreshError="1"/>
      <sheetData sheetId="15040" refreshError="1"/>
      <sheetData sheetId="15041" refreshError="1"/>
      <sheetData sheetId="15042" refreshError="1"/>
      <sheetData sheetId="15043" refreshError="1"/>
      <sheetData sheetId="15044" refreshError="1"/>
      <sheetData sheetId="15045" refreshError="1"/>
      <sheetData sheetId="15046" refreshError="1"/>
      <sheetData sheetId="15047" refreshError="1"/>
      <sheetData sheetId="15048" refreshError="1"/>
      <sheetData sheetId="15049" refreshError="1"/>
      <sheetData sheetId="15050" refreshError="1"/>
      <sheetData sheetId="15051" refreshError="1"/>
      <sheetData sheetId="15052" refreshError="1"/>
      <sheetData sheetId="15053" refreshError="1"/>
      <sheetData sheetId="15054" refreshError="1"/>
      <sheetData sheetId="15055" refreshError="1"/>
      <sheetData sheetId="15056" refreshError="1"/>
      <sheetData sheetId="15057" refreshError="1"/>
      <sheetData sheetId="15058" refreshError="1"/>
      <sheetData sheetId="15059" refreshError="1"/>
      <sheetData sheetId="15060" refreshError="1"/>
      <sheetData sheetId="15061" refreshError="1"/>
      <sheetData sheetId="15062" refreshError="1"/>
      <sheetData sheetId="15063" refreshError="1"/>
      <sheetData sheetId="15064" refreshError="1"/>
      <sheetData sheetId="15065" refreshError="1"/>
      <sheetData sheetId="15066" refreshError="1"/>
      <sheetData sheetId="15067" refreshError="1"/>
      <sheetData sheetId="15068" refreshError="1"/>
      <sheetData sheetId="15069" refreshError="1"/>
      <sheetData sheetId="15070" refreshError="1"/>
      <sheetData sheetId="15071" refreshError="1"/>
      <sheetData sheetId="15072" refreshError="1"/>
      <sheetData sheetId="15073" refreshError="1"/>
      <sheetData sheetId="15074" refreshError="1"/>
      <sheetData sheetId="15075" refreshError="1"/>
      <sheetData sheetId="15076" refreshError="1"/>
      <sheetData sheetId="15077" refreshError="1"/>
      <sheetData sheetId="15078" refreshError="1"/>
      <sheetData sheetId="15079" refreshError="1"/>
      <sheetData sheetId="15080" refreshError="1"/>
      <sheetData sheetId="15081" refreshError="1"/>
      <sheetData sheetId="15082" refreshError="1"/>
      <sheetData sheetId="15083" refreshError="1"/>
      <sheetData sheetId="15084" refreshError="1"/>
      <sheetData sheetId="15085" refreshError="1"/>
      <sheetData sheetId="15086" refreshError="1"/>
      <sheetData sheetId="15087" refreshError="1"/>
      <sheetData sheetId="15088" refreshError="1"/>
      <sheetData sheetId="15089" refreshError="1"/>
      <sheetData sheetId="15090" refreshError="1"/>
      <sheetData sheetId="15091" refreshError="1"/>
      <sheetData sheetId="15092" refreshError="1"/>
      <sheetData sheetId="15093" refreshError="1"/>
      <sheetData sheetId="15094" refreshError="1"/>
      <sheetData sheetId="15095" refreshError="1"/>
      <sheetData sheetId="15096" refreshError="1"/>
      <sheetData sheetId="15097" refreshError="1"/>
      <sheetData sheetId="15098" refreshError="1"/>
      <sheetData sheetId="15099" refreshError="1"/>
      <sheetData sheetId="15100" refreshError="1"/>
      <sheetData sheetId="15101" refreshError="1"/>
      <sheetData sheetId="15102" refreshError="1"/>
      <sheetData sheetId="15103" refreshError="1"/>
      <sheetData sheetId="15104" refreshError="1"/>
      <sheetData sheetId="15105" refreshError="1"/>
      <sheetData sheetId="15106" refreshError="1"/>
      <sheetData sheetId="15107" refreshError="1"/>
      <sheetData sheetId="15108" refreshError="1"/>
      <sheetData sheetId="15109" refreshError="1"/>
      <sheetData sheetId="15110" refreshError="1"/>
      <sheetData sheetId="15111" refreshError="1"/>
      <sheetData sheetId="15112" refreshError="1"/>
      <sheetData sheetId="15113" refreshError="1"/>
      <sheetData sheetId="15114" refreshError="1"/>
      <sheetData sheetId="15115" refreshError="1"/>
      <sheetData sheetId="15116" refreshError="1"/>
      <sheetData sheetId="15117" refreshError="1"/>
      <sheetData sheetId="15118" refreshError="1"/>
      <sheetData sheetId="15119" refreshError="1"/>
      <sheetData sheetId="15120" refreshError="1"/>
      <sheetData sheetId="15121" refreshError="1"/>
      <sheetData sheetId="15122" refreshError="1"/>
      <sheetData sheetId="15123" refreshError="1"/>
      <sheetData sheetId="15124" refreshError="1"/>
      <sheetData sheetId="15125" refreshError="1"/>
      <sheetData sheetId="15126" refreshError="1"/>
      <sheetData sheetId="15127" refreshError="1"/>
      <sheetData sheetId="15128" refreshError="1"/>
      <sheetData sheetId="15129" refreshError="1"/>
      <sheetData sheetId="15130" refreshError="1"/>
      <sheetData sheetId="15131" refreshError="1"/>
      <sheetData sheetId="15132" refreshError="1"/>
      <sheetData sheetId="15133" refreshError="1"/>
      <sheetData sheetId="15134" refreshError="1"/>
      <sheetData sheetId="15135" refreshError="1"/>
      <sheetData sheetId="15136" refreshError="1"/>
      <sheetData sheetId="15137" refreshError="1"/>
      <sheetData sheetId="15138" refreshError="1"/>
      <sheetData sheetId="15139" refreshError="1"/>
      <sheetData sheetId="15140" refreshError="1"/>
      <sheetData sheetId="15141" refreshError="1"/>
      <sheetData sheetId="15142" refreshError="1"/>
      <sheetData sheetId="15143" refreshError="1"/>
      <sheetData sheetId="15144" refreshError="1"/>
      <sheetData sheetId="15145" refreshError="1"/>
      <sheetData sheetId="15146" refreshError="1"/>
      <sheetData sheetId="15147" refreshError="1"/>
      <sheetData sheetId="15148" refreshError="1"/>
      <sheetData sheetId="15149" refreshError="1"/>
      <sheetData sheetId="15150" refreshError="1"/>
      <sheetData sheetId="15151" refreshError="1"/>
      <sheetData sheetId="15152" refreshError="1"/>
      <sheetData sheetId="15153" refreshError="1"/>
      <sheetData sheetId="15154" refreshError="1"/>
      <sheetData sheetId="15155" refreshError="1"/>
      <sheetData sheetId="15156" refreshError="1"/>
      <sheetData sheetId="15157" refreshError="1"/>
      <sheetData sheetId="15158" refreshError="1"/>
      <sheetData sheetId="15159" refreshError="1"/>
      <sheetData sheetId="15160" refreshError="1"/>
      <sheetData sheetId="15161" refreshError="1"/>
      <sheetData sheetId="15162" refreshError="1"/>
      <sheetData sheetId="15163" refreshError="1"/>
      <sheetData sheetId="15164" refreshError="1"/>
      <sheetData sheetId="15165" refreshError="1"/>
      <sheetData sheetId="15166" refreshError="1"/>
      <sheetData sheetId="15167" refreshError="1"/>
      <sheetData sheetId="15168" refreshError="1"/>
      <sheetData sheetId="15169" refreshError="1"/>
      <sheetData sheetId="15170" refreshError="1"/>
      <sheetData sheetId="15171" refreshError="1"/>
      <sheetData sheetId="15172" refreshError="1"/>
      <sheetData sheetId="15173" refreshError="1"/>
      <sheetData sheetId="15174" refreshError="1"/>
      <sheetData sheetId="15175" refreshError="1"/>
      <sheetData sheetId="15176" refreshError="1"/>
      <sheetData sheetId="15177" refreshError="1"/>
      <sheetData sheetId="15178" refreshError="1"/>
      <sheetData sheetId="15179" refreshError="1"/>
      <sheetData sheetId="15180" refreshError="1"/>
      <sheetData sheetId="15181" refreshError="1"/>
      <sheetData sheetId="15182" refreshError="1"/>
      <sheetData sheetId="15183" refreshError="1"/>
      <sheetData sheetId="15184" refreshError="1"/>
      <sheetData sheetId="15185" refreshError="1"/>
      <sheetData sheetId="15186" refreshError="1"/>
      <sheetData sheetId="15187" refreshError="1"/>
      <sheetData sheetId="15188" refreshError="1"/>
      <sheetData sheetId="15189" refreshError="1"/>
      <sheetData sheetId="15190" refreshError="1"/>
      <sheetData sheetId="15191" refreshError="1"/>
      <sheetData sheetId="15192" refreshError="1"/>
      <sheetData sheetId="15193" refreshError="1"/>
      <sheetData sheetId="15194" refreshError="1"/>
      <sheetData sheetId="15195" refreshError="1"/>
      <sheetData sheetId="15196" refreshError="1"/>
      <sheetData sheetId="15197" refreshError="1"/>
      <sheetData sheetId="15198" refreshError="1"/>
      <sheetData sheetId="15199" refreshError="1"/>
      <sheetData sheetId="15200" refreshError="1"/>
      <sheetData sheetId="15201" refreshError="1"/>
      <sheetData sheetId="15202" refreshError="1"/>
      <sheetData sheetId="15203" refreshError="1"/>
      <sheetData sheetId="15204" refreshError="1"/>
      <sheetData sheetId="15205" refreshError="1"/>
      <sheetData sheetId="15206" refreshError="1"/>
      <sheetData sheetId="15207" refreshError="1"/>
      <sheetData sheetId="15208" refreshError="1"/>
      <sheetData sheetId="15209" refreshError="1"/>
      <sheetData sheetId="15210" refreshError="1"/>
      <sheetData sheetId="15211" refreshError="1"/>
      <sheetData sheetId="15212" refreshError="1"/>
      <sheetData sheetId="15213" refreshError="1"/>
      <sheetData sheetId="15214" refreshError="1"/>
      <sheetData sheetId="15215" refreshError="1"/>
      <sheetData sheetId="15216" refreshError="1"/>
      <sheetData sheetId="15217" refreshError="1"/>
      <sheetData sheetId="15218" refreshError="1"/>
      <sheetData sheetId="15219" refreshError="1"/>
      <sheetData sheetId="15220" refreshError="1"/>
      <sheetData sheetId="15221" refreshError="1"/>
      <sheetData sheetId="15222" refreshError="1"/>
      <sheetData sheetId="15223" refreshError="1"/>
      <sheetData sheetId="15224" refreshError="1"/>
      <sheetData sheetId="15225" refreshError="1"/>
      <sheetData sheetId="15226" refreshError="1"/>
      <sheetData sheetId="15227" refreshError="1"/>
      <sheetData sheetId="15228" refreshError="1"/>
      <sheetData sheetId="15229" refreshError="1"/>
      <sheetData sheetId="15230" refreshError="1"/>
      <sheetData sheetId="15231" refreshError="1"/>
      <sheetData sheetId="15232" refreshError="1"/>
      <sheetData sheetId="15233" refreshError="1"/>
      <sheetData sheetId="15234" refreshError="1"/>
      <sheetData sheetId="15235" refreshError="1"/>
      <sheetData sheetId="15236" refreshError="1"/>
      <sheetData sheetId="15237" refreshError="1"/>
      <sheetData sheetId="15238" refreshError="1"/>
      <sheetData sheetId="15239" refreshError="1"/>
      <sheetData sheetId="15240" refreshError="1"/>
      <sheetData sheetId="15241" refreshError="1"/>
      <sheetData sheetId="15242" refreshError="1"/>
      <sheetData sheetId="15243" refreshError="1"/>
      <sheetData sheetId="15244" refreshError="1"/>
      <sheetData sheetId="15245" refreshError="1"/>
      <sheetData sheetId="15246" refreshError="1"/>
      <sheetData sheetId="15247" refreshError="1"/>
      <sheetData sheetId="15248" refreshError="1"/>
      <sheetData sheetId="15249" refreshError="1"/>
      <sheetData sheetId="15250" refreshError="1"/>
      <sheetData sheetId="15251" refreshError="1"/>
      <sheetData sheetId="15252" refreshError="1"/>
      <sheetData sheetId="15253" refreshError="1"/>
      <sheetData sheetId="15254" refreshError="1"/>
      <sheetData sheetId="15255" refreshError="1"/>
      <sheetData sheetId="15256" refreshError="1"/>
      <sheetData sheetId="15257" refreshError="1"/>
      <sheetData sheetId="15258" refreshError="1"/>
      <sheetData sheetId="15259" refreshError="1"/>
      <sheetData sheetId="15260" refreshError="1"/>
      <sheetData sheetId="15261" refreshError="1"/>
      <sheetData sheetId="15262" refreshError="1"/>
      <sheetData sheetId="15263" refreshError="1"/>
      <sheetData sheetId="15264" refreshError="1"/>
      <sheetData sheetId="15265" refreshError="1"/>
      <sheetData sheetId="15266" refreshError="1"/>
      <sheetData sheetId="15267" refreshError="1"/>
      <sheetData sheetId="15268" refreshError="1"/>
      <sheetData sheetId="15269" refreshError="1"/>
      <sheetData sheetId="15270" refreshError="1"/>
      <sheetData sheetId="15271" refreshError="1"/>
      <sheetData sheetId="15272" refreshError="1"/>
      <sheetData sheetId="15273" refreshError="1"/>
      <sheetData sheetId="15274" refreshError="1"/>
      <sheetData sheetId="15275" refreshError="1"/>
      <sheetData sheetId="15276" refreshError="1"/>
      <sheetData sheetId="15277" refreshError="1"/>
      <sheetData sheetId="15278" refreshError="1"/>
      <sheetData sheetId="15279" refreshError="1"/>
      <sheetData sheetId="15280" refreshError="1"/>
      <sheetData sheetId="15281" refreshError="1"/>
      <sheetData sheetId="15282" refreshError="1"/>
      <sheetData sheetId="15283" refreshError="1"/>
      <sheetData sheetId="15284" refreshError="1"/>
      <sheetData sheetId="15285" refreshError="1"/>
      <sheetData sheetId="15286" refreshError="1"/>
      <sheetData sheetId="15287" refreshError="1"/>
      <sheetData sheetId="15288" refreshError="1"/>
      <sheetData sheetId="15289" refreshError="1"/>
      <sheetData sheetId="15290" refreshError="1"/>
      <sheetData sheetId="15291" refreshError="1"/>
      <sheetData sheetId="15292" refreshError="1"/>
      <sheetData sheetId="15293" refreshError="1"/>
      <sheetData sheetId="15294" refreshError="1"/>
      <sheetData sheetId="15295" refreshError="1"/>
      <sheetData sheetId="15296" refreshError="1"/>
      <sheetData sheetId="15297" refreshError="1"/>
      <sheetData sheetId="15298" refreshError="1"/>
      <sheetData sheetId="15299" refreshError="1"/>
      <sheetData sheetId="15300" refreshError="1"/>
      <sheetData sheetId="15301" refreshError="1"/>
      <sheetData sheetId="15302" refreshError="1"/>
      <sheetData sheetId="15303" refreshError="1"/>
      <sheetData sheetId="15304" refreshError="1"/>
      <sheetData sheetId="15305" refreshError="1"/>
      <sheetData sheetId="15306" refreshError="1"/>
      <sheetData sheetId="15307" refreshError="1"/>
      <sheetData sheetId="15308" refreshError="1"/>
      <sheetData sheetId="15309" refreshError="1"/>
      <sheetData sheetId="15310" refreshError="1"/>
      <sheetData sheetId="15311" refreshError="1"/>
      <sheetData sheetId="15312" refreshError="1"/>
      <sheetData sheetId="15313" refreshError="1"/>
      <sheetData sheetId="15314" refreshError="1"/>
      <sheetData sheetId="15315" refreshError="1"/>
      <sheetData sheetId="15316" refreshError="1"/>
      <sheetData sheetId="15317" refreshError="1"/>
      <sheetData sheetId="15318" refreshError="1"/>
      <sheetData sheetId="15319" refreshError="1"/>
      <sheetData sheetId="15320" refreshError="1"/>
      <sheetData sheetId="15321" refreshError="1"/>
      <sheetData sheetId="15322" refreshError="1"/>
      <sheetData sheetId="15323" refreshError="1"/>
      <sheetData sheetId="15324" refreshError="1"/>
      <sheetData sheetId="15325" refreshError="1"/>
      <sheetData sheetId="15326" refreshError="1"/>
      <sheetData sheetId="15327" refreshError="1"/>
      <sheetData sheetId="15328" refreshError="1"/>
      <sheetData sheetId="15329" refreshError="1"/>
      <sheetData sheetId="15330" refreshError="1"/>
      <sheetData sheetId="15331" refreshError="1"/>
      <sheetData sheetId="15332" refreshError="1"/>
      <sheetData sheetId="15333" refreshError="1"/>
      <sheetData sheetId="15334" refreshError="1"/>
      <sheetData sheetId="15335" refreshError="1"/>
      <sheetData sheetId="15336" refreshError="1"/>
      <sheetData sheetId="15337" refreshError="1"/>
      <sheetData sheetId="15338" refreshError="1"/>
      <sheetData sheetId="15339" refreshError="1"/>
      <sheetData sheetId="15340" refreshError="1"/>
      <sheetData sheetId="15341" refreshError="1"/>
      <sheetData sheetId="15342" refreshError="1"/>
      <sheetData sheetId="15343" refreshError="1"/>
      <sheetData sheetId="15344" refreshError="1"/>
      <sheetData sheetId="15345" refreshError="1"/>
      <sheetData sheetId="15346" refreshError="1"/>
      <sheetData sheetId="15347" refreshError="1"/>
      <sheetData sheetId="15348" refreshError="1"/>
      <sheetData sheetId="15349" refreshError="1"/>
      <sheetData sheetId="15350" refreshError="1"/>
      <sheetData sheetId="15351" refreshError="1"/>
      <sheetData sheetId="15352" refreshError="1"/>
      <sheetData sheetId="15353" refreshError="1"/>
      <sheetData sheetId="15354" refreshError="1"/>
      <sheetData sheetId="15355" refreshError="1"/>
      <sheetData sheetId="15356" refreshError="1"/>
      <sheetData sheetId="15357" refreshError="1"/>
      <sheetData sheetId="15358" refreshError="1"/>
      <sheetData sheetId="15359" refreshError="1"/>
      <sheetData sheetId="15360" refreshError="1"/>
      <sheetData sheetId="15361" refreshError="1"/>
      <sheetData sheetId="15362" refreshError="1"/>
      <sheetData sheetId="15363" refreshError="1"/>
      <sheetData sheetId="15364" refreshError="1"/>
      <sheetData sheetId="15365" refreshError="1"/>
      <sheetData sheetId="15366" refreshError="1"/>
      <sheetData sheetId="15367" refreshError="1"/>
      <sheetData sheetId="15368" refreshError="1"/>
      <sheetData sheetId="15369" refreshError="1"/>
      <sheetData sheetId="15370" refreshError="1"/>
      <sheetData sheetId="15371" refreshError="1"/>
      <sheetData sheetId="15372" refreshError="1"/>
      <sheetData sheetId="15373" refreshError="1"/>
      <sheetData sheetId="15374" refreshError="1"/>
      <sheetData sheetId="15375" refreshError="1"/>
      <sheetData sheetId="15376" refreshError="1"/>
      <sheetData sheetId="15377" refreshError="1"/>
      <sheetData sheetId="15378" refreshError="1"/>
      <sheetData sheetId="15379" refreshError="1"/>
      <sheetData sheetId="15380" refreshError="1"/>
      <sheetData sheetId="15381" refreshError="1"/>
      <sheetData sheetId="15382" refreshError="1"/>
      <sheetData sheetId="15383" refreshError="1"/>
      <sheetData sheetId="15384" refreshError="1"/>
      <sheetData sheetId="15385" refreshError="1"/>
      <sheetData sheetId="15386" refreshError="1"/>
      <sheetData sheetId="15387" refreshError="1"/>
      <sheetData sheetId="15388" refreshError="1"/>
      <sheetData sheetId="15389" refreshError="1"/>
      <sheetData sheetId="15390" refreshError="1"/>
      <sheetData sheetId="15391" refreshError="1"/>
      <sheetData sheetId="15392" refreshError="1"/>
      <sheetData sheetId="15393" refreshError="1"/>
      <sheetData sheetId="15394" refreshError="1"/>
      <sheetData sheetId="15395" refreshError="1"/>
      <sheetData sheetId="15396" refreshError="1"/>
      <sheetData sheetId="15397" refreshError="1"/>
      <sheetData sheetId="15398" refreshError="1"/>
      <sheetData sheetId="15399" refreshError="1"/>
      <sheetData sheetId="15400" refreshError="1"/>
      <sheetData sheetId="15401" refreshError="1"/>
      <sheetData sheetId="15402" refreshError="1"/>
      <sheetData sheetId="15403" refreshError="1"/>
      <sheetData sheetId="15404" refreshError="1"/>
      <sheetData sheetId="15405" refreshError="1"/>
      <sheetData sheetId="15406" refreshError="1"/>
      <sheetData sheetId="15407" refreshError="1"/>
      <sheetData sheetId="15408" refreshError="1"/>
      <sheetData sheetId="15409" refreshError="1"/>
      <sheetData sheetId="15410" refreshError="1"/>
      <sheetData sheetId="15411" refreshError="1"/>
      <sheetData sheetId="15412" refreshError="1"/>
      <sheetData sheetId="15413" refreshError="1"/>
      <sheetData sheetId="15414" refreshError="1"/>
      <sheetData sheetId="15415" refreshError="1"/>
      <sheetData sheetId="15416" refreshError="1"/>
      <sheetData sheetId="15417" refreshError="1"/>
      <sheetData sheetId="15418" refreshError="1"/>
      <sheetData sheetId="15419" refreshError="1"/>
      <sheetData sheetId="15420" refreshError="1"/>
      <sheetData sheetId="15421" refreshError="1"/>
      <sheetData sheetId="15422" refreshError="1"/>
      <sheetData sheetId="15423" refreshError="1"/>
      <sheetData sheetId="15424" refreshError="1"/>
      <sheetData sheetId="15425" refreshError="1"/>
      <sheetData sheetId="15426" refreshError="1"/>
      <sheetData sheetId="15427" refreshError="1"/>
      <sheetData sheetId="15428" refreshError="1"/>
      <sheetData sheetId="15429" refreshError="1"/>
      <sheetData sheetId="15430" refreshError="1"/>
      <sheetData sheetId="15431" refreshError="1"/>
      <sheetData sheetId="15432" refreshError="1"/>
      <sheetData sheetId="15433" refreshError="1"/>
      <sheetData sheetId="15434" refreshError="1"/>
      <sheetData sheetId="15435" refreshError="1"/>
      <sheetData sheetId="15436" refreshError="1"/>
      <sheetData sheetId="15437" refreshError="1"/>
      <sheetData sheetId="15438" refreshError="1"/>
      <sheetData sheetId="15439" refreshError="1"/>
      <sheetData sheetId="15440" refreshError="1"/>
      <sheetData sheetId="15441" refreshError="1"/>
      <sheetData sheetId="15442" refreshError="1"/>
      <sheetData sheetId="15443" refreshError="1"/>
      <sheetData sheetId="15444" refreshError="1"/>
      <sheetData sheetId="15445" refreshError="1"/>
      <sheetData sheetId="15446" refreshError="1"/>
      <sheetData sheetId="15447" refreshError="1"/>
      <sheetData sheetId="15448" refreshError="1"/>
      <sheetData sheetId="15449" refreshError="1"/>
      <sheetData sheetId="15450" refreshError="1"/>
      <sheetData sheetId="15451" refreshError="1"/>
      <sheetData sheetId="15452" refreshError="1"/>
      <sheetData sheetId="15453" refreshError="1"/>
      <sheetData sheetId="15454" refreshError="1"/>
      <sheetData sheetId="15455" refreshError="1"/>
      <sheetData sheetId="15456" refreshError="1"/>
      <sheetData sheetId="15457" refreshError="1"/>
      <sheetData sheetId="15458" refreshError="1"/>
      <sheetData sheetId="15459" refreshError="1"/>
      <sheetData sheetId="15460" refreshError="1"/>
      <sheetData sheetId="15461" refreshError="1"/>
      <sheetData sheetId="15462" refreshError="1"/>
      <sheetData sheetId="15463" refreshError="1"/>
      <sheetData sheetId="15464" refreshError="1"/>
      <sheetData sheetId="15465" refreshError="1"/>
      <sheetData sheetId="15466" refreshError="1"/>
      <sheetData sheetId="15467" refreshError="1"/>
      <sheetData sheetId="15468" refreshError="1"/>
      <sheetData sheetId="15469" refreshError="1"/>
      <sheetData sheetId="15470" refreshError="1"/>
      <sheetData sheetId="15471" refreshError="1"/>
      <sheetData sheetId="15472" refreshError="1"/>
      <sheetData sheetId="15473" refreshError="1"/>
      <sheetData sheetId="15474" refreshError="1"/>
      <sheetData sheetId="15475" refreshError="1"/>
      <sheetData sheetId="15476" refreshError="1"/>
      <sheetData sheetId="15477" refreshError="1"/>
      <sheetData sheetId="15478" refreshError="1"/>
      <sheetData sheetId="15479" refreshError="1"/>
      <sheetData sheetId="15480" refreshError="1"/>
      <sheetData sheetId="15481" refreshError="1"/>
      <sheetData sheetId="15482" refreshError="1"/>
      <sheetData sheetId="15483" refreshError="1"/>
      <sheetData sheetId="15484" refreshError="1"/>
      <sheetData sheetId="15485" refreshError="1"/>
      <sheetData sheetId="15486" refreshError="1"/>
      <sheetData sheetId="15487" refreshError="1"/>
      <sheetData sheetId="15488" refreshError="1"/>
      <sheetData sheetId="15489" refreshError="1"/>
      <sheetData sheetId="15490" refreshError="1"/>
      <sheetData sheetId="15491" refreshError="1"/>
      <sheetData sheetId="15492" refreshError="1"/>
      <sheetData sheetId="15493" refreshError="1"/>
      <sheetData sheetId="15494" refreshError="1"/>
      <sheetData sheetId="15495" refreshError="1"/>
      <sheetData sheetId="15496" refreshError="1"/>
      <sheetData sheetId="15497" refreshError="1"/>
      <sheetData sheetId="15498" refreshError="1"/>
      <sheetData sheetId="15499" refreshError="1"/>
      <sheetData sheetId="15500" refreshError="1"/>
      <sheetData sheetId="15501" refreshError="1"/>
      <sheetData sheetId="15502" refreshError="1"/>
      <sheetData sheetId="15503" refreshError="1"/>
      <sheetData sheetId="15504" refreshError="1"/>
      <sheetData sheetId="15505" refreshError="1"/>
      <sheetData sheetId="15506" refreshError="1"/>
      <sheetData sheetId="15507" refreshError="1"/>
      <sheetData sheetId="15508" refreshError="1"/>
      <sheetData sheetId="15509" refreshError="1"/>
      <sheetData sheetId="15510" refreshError="1"/>
      <sheetData sheetId="15511" refreshError="1"/>
      <sheetData sheetId="15512" refreshError="1"/>
      <sheetData sheetId="15513" refreshError="1"/>
      <sheetData sheetId="15514" refreshError="1"/>
      <sheetData sheetId="15515" refreshError="1"/>
      <sheetData sheetId="15516" refreshError="1"/>
      <sheetData sheetId="15517" refreshError="1"/>
      <sheetData sheetId="15518" refreshError="1"/>
      <sheetData sheetId="15519" refreshError="1"/>
      <sheetData sheetId="15520" refreshError="1"/>
      <sheetData sheetId="15521" refreshError="1"/>
      <sheetData sheetId="15522" refreshError="1"/>
      <sheetData sheetId="15523" refreshError="1"/>
      <sheetData sheetId="15524" refreshError="1"/>
      <sheetData sheetId="15525" refreshError="1"/>
      <sheetData sheetId="15526" refreshError="1"/>
      <sheetData sheetId="15527" refreshError="1"/>
      <sheetData sheetId="15528" refreshError="1"/>
      <sheetData sheetId="15529" refreshError="1"/>
      <sheetData sheetId="15530" refreshError="1"/>
      <sheetData sheetId="15531" refreshError="1"/>
      <sheetData sheetId="15532" refreshError="1"/>
      <sheetData sheetId="15533" refreshError="1"/>
      <sheetData sheetId="15534" refreshError="1"/>
      <sheetData sheetId="15535" refreshError="1"/>
      <sheetData sheetId="15536" refreshError="1"/>
      <sheetData sheetId="15537" refreshError="1"/>
      <sheetData sheetId="15538" refreshError="1"/>
      <sheetData sheetId="15539" refreshError="1"/>
      <sheetData sheetId="15540" refreshError="1"/>
      <sheetData sheetId="15541" refreshError="1"/>
      <sheetData sheetId="15542" refreshError="1"/>
      <sheetData sheetId="15543" refreshError="1"/>
      <sheetData sheetId="15544" refreshError="1"/>
      <sheetData sheetId="15545" refreshError="1"/>
      <sheetData sheetId="15546" refreshError="1"/>
      <sheetData sheetId="15547" refreshError="1"/>
      <sheetData sheetId="15548" refreshError="1"/>
      <sheetData sheetId="15549" refreshError="1"/>
      <sheetData sheetId="15550" refreshError="1"/>
      <sheetData sheetId="15551" refreshError="1"/>
      <sheetData sheetId="15552" refreshError="1"/>
      <sheetData sheetId="15553" refreshError="1"/>
      <sheetData sheetId="15554" refreshError="1"/>
      <sheetData sheetId="15555" refreshError="1"/>
      <sheetData sheetId="15556" refreshError="1"/>
      <sheetData sheetId="15557" refreshError="1"/>
      <sheetData sheetId="15558" refreshError="1"/>
      <sheetData sheetId="15559" refreshError="1"/>
      <sheetData sheetId="15560" refreshError="1"/>
      <sheetData sheetId="15561" refreshError="1"/>
      <sheetData sheetId="15562" refreshError="1"/>
      <sheetData sheetId="15563" refreshError="1"/>
      <sheetData sheetId="15564" refreshError="1"/>
      <sheetData sheetId="15565" refreshError="1"/>
      <sheetData sheetId="15566" refreshError="1"/>
      <sheetData sheetId="15567" refreshError="1"/>
      <sheetData sheetId="15568" refreshError="1"/>
      <sheetData sheetId="15569" refreshError="1"/>
      <sheetData sheetId="15570" refreshError="1"/>
      <sheetData sheetId="15571" refreshError="1"/>
      <sheetData sheetId="15572" refreshError="1"/>
      <sheetData sheetId="15573" refreshError="1"/>
      <sheetData sheetId="15574" refreshError="1"/>
      <sheetData sheetId="15575" refreshError="1"/>
      <sheetData sheetId="15576" refreshError="1"/>
      <sheetData sheetId="15577" refreshError="1"/>
      <sheetData sheetId="15578" refreshError="1"/>
      <sheetData sheetId="15579" refreshError="1"/>
      <sheetData sheetId="15580" refreshError="1"/>
      <sheetData sheetId="15581" refreshError="1"/>
      <sheetData sheetId="15582" refreshError="1"/>
      <sheetData sheetId="15583" refreshError="1"/>
      <sheetData sheetId="15584" refreshError="1"/>
      <sheetData sheetId="15585" refreshError="1"/>
      <sheetData sheetId="15586" refreshError="1"/>
      <sheetData sheetId="15587" refreshError="1"/>
      <sheetData sheetId="15588" refreshError="1"/>
      <sheetData sheetId="15589" refreshError="1"/>
      <sheetData sheetId="15590" refreshError="1"/>
      <sheetData sheetId="15591" refreshError="1"/>
      <sheetData sheetId="15592" refreshError="1"/>
      <sheetData sheetId="15593" refreshError="1"/>
      <sheetData sheetId="15594" refreshError="1"/>
      <sheetData sheetId="15595" refreshError="1"/>
      <sheetData sheetId="15596" refreshError="1"/>
      <sheetData sheetId="15597" refreshError="1"/>
      <sheetData sheetId="15598" refreshError="1"/>
      <sheetData sheetId="15599" refreshError="1"/>
      <sheetData sheetId="15600" refreshError="1"/>
      <sheetData sheetId="15601" refreshError="1"/>
      <sheetData sheetId="15602" refreshError="1"/>
      <sheetData sheetId="15603" refreshError="1"/>
      <sheetData sheetId="15604" refreshError="1"/>
      <sheetData sheetId="15605" refreshError="1"/>
      <sheetData sheetId="15606" refreshError="1"/>
      <sheetData sheetId="15607" refreshError="1"/>
      <sheetData sheetId="15608" refreshError="1"/>
      <sheetData sheetId="15609" refreshError="1"/>
      <sheetData sheetId="15610" refreshError="1"/>
      <sheetData sheetId="15611" refreshError="1"/>
      <sheetData sheetId="15612" refreshError="1"/>
      <sheetData sheetId="15613" refreshError="1"/>
      <sheetData sheetId="15614" refreshError="1"/>
      <sheetData sheetId="15615" refreshError="1"/>
      <sheetData sheetId="15616" refreshError="1"/>
      <sheetData sheetId="15617" refreshError="1"/>
      <sheetData sheetId="15618" refreshError="1"/>
      <sheetData sheetId="15619" refreshError="1"/>
      <sheetData sheetId="15620" refreshError="1"/>
      <sheetData sheetId="15621" refreshError="1"/>
      <sheetData sheetId="15622" refreshError="1"/>
      <sheetData sheetId="15623" refreshError="1"/>
      <sheetData sheetId="15624" refreshError="1"/>
      <sheetData sheetId="15625" refreshError="1"/>
      <sheetData sheetId="15626" refreshError="1"/>
      <sheetData sheetId="15627" refreshError="1"/>
      <sheetData sheetId="15628" refreshError="1"/>
      <sheetData sheetId="15629" refreshError="1"/>
      <sheetData sheetId="15630" refreshError="1"/>
      <sheetData sheetId="15631" refreshError="1"/>
      <sheetData sheetId="15632" refreshError="1"/>
      <sheetData sheetId="15633" refreshError="1"/>
      <sheetData sheetId="15634" refreshError="1"/>
      <sheetData sheetId="15635" refreshError="1"/>
      <sheetData sheetId="15636" refreshError="1"/>
      <sheetData sheetId="15637" refreshError="1"/>
      <sheetData sheetId="15638" refreshError="1"/>
      <sheetData sheetId="15639" refreshError="1"/>
      <sheetData sheetId="15640" refreshError="1"/>
      <sheetData sheetId="15641" refreshError="1"/>
      <sheetData sheetId="15642" refreshError="1"/>
      <sheetData sheetId="15643" refreshError="1"/>
      <sheetData sheetId="15644" refreshError="1"/>
      <sheetData sheetId="15645" refreshError="1"/>
      <sheetData sheetId="15646" refreshError="1"/>
      <sheetData sheetId="15647" refreshError="1"/>
      <sheetData sheetId="15648" refreshError="1"/>
      <sheetData sheetId="15649" refreshError="1"/>
      <sheetData sheetId="15650" refreshError="1"/>
      <sheetData sheetId="15651" refreshError="1"/>
      <sheetData sheetId="15652" refreshError="1"/>
      <sheetData sheetId="15653" refreshError="1"/>
      <sheetData sheetId="15654" refreshError="1"/>
      <sheetData sheetId="15655" refreshError="1"/>
      <sheetData sheetId="15656" refreshError="1"/>
      <sheetData sheetId="15657" refreshError="1"/>
      <sheetData sheetId="15658" refreshError="1"/>
      <sheetData sheetId="15659" refreshError="1"/>
      <sheetData sheetId="15660" refreshError="1"/>
      <sheetData sheetId="15661" refreshError="1"/>
      <sheetData sheetId="15662" refreshError="1"/>
      <sheetData sheetId="15663" refreshError="1"/>
      <sheetData sheetId="15664" refreshError="1"/>
      <sheetData sheetId="15665" refreshError="1"/>
      <sheetData sheetId="15666" refreshError="1"/>
      <sheetData sheetId="15667" refreshError="1"/>
      <sheetData sheetId="15668" refreshError="1"/>
      <sheetData sheetId="15669" refreshError="1"/>
      <sheetData sheetId="15670" refreshError="1"/>
      <sheetData sheetId="15671" refreshError="1"/>
      <sheetData sheetId="15672" refreshError="1"/>
      <sheetData sheetId="15673" refreshError="1"/>
      <sheetData sheetId="15674" refreshError="1"/>
      <sheetData sheetId="15675" refreshError="1"/>
      <sheetData sheetId="15676" refreshError="1"/>
      <sheetData sheetId="15677" refreshError="1"/>
      <sheetData sheetId="15678" refreshError="1"/>
      <sheetData sheetId="15679" refreshError="1"/>
      <sheetData sheetId="15680" refreshError="1"/>
      <sheetData sheetId="15681" refreshError="1"/>
      <sheetData sheetId="15682" refreshError="1"/>
      <sheetData sheetId="15683" refreshError="1"/>
      <sheetData sheetId="15684" refreshError="1"/>
      <sheetData sheetId="15685" refreshError="1"/>
      <sheetData sheetId="15686" refreshError="1"/>
      <sheetData sheetId="15687" refreshError="1"/>
      <sheetData sheetId="15688" refreshError="1"/>
      <sheetData sheetId="15689" refreshError="1"/>
      <sheetData sheetId="15690" refreshError="1"/>
      <sheetData sheetId="15691" refreshError="1"/>
      <sheetData sheetId="15692" refreshError="1"/>
      <sheetData sheetId="15693" refreshError="1"/>
      <sheetData sheetId="15694" refreshError="1"/>
      <sheetData sheetId="15695" refreshError="1"/>
      <sheetData sheetId="15696" refreshError="1"/>
      <sheetData sheetId="15697" refreshError="1"/>
      <sheetData sheetId="15698" refreshError="1"/>
      <sheetData sheetId="15699" refreshError="1"/>
      <sheetData sheetId="15700" refreshError="1"/>
      <sheetData sheetId="15701" refreshError="1"/>
      <sheetData sheetId="15702" refreshError="1"/>
      <sheetData sheetId="15703" refreshError="1"/>
      <sheetData sheetId="15704" refreshError="1"/>
      <sheetData sheetId="15705" refreshError="1"/>
      <sheetData sheetId="15706" refreshError="1"/>
      <sheetData sheetId="15707" refreshError="1"/>
      <sheetData sheetId="15708" refreshError="1"/>
      <sheetData sheetId="15709" refreshError="1"/>
      <sheetData sheetId="15710" refreshError="1"/>
      <sheetData sheetId="15711" refreshError="1"/>
      <sheetData sheetId="15712" refreshError="1"/>
      <sheetData sheetId="15713" refreshError="1"/>
      <sheetData sheetId="15714" refreshError="1"/>
      <sheetData sheetId="15715" refreshError="1"/>
      <sheetData sheetId="15716" refreshError="1"/>
      <sheetData sheetId="15717" refreshError="1"/>
      <sheetData sheetId="15718" refreshError="1"/>
      <sheetData sheetId="15719" refreshError="1"/>
      <sheetData sheetId="15720" refreshError="1"/>
      <sheetData sheetId="15721" refreshError="1"/>
      <sheetData sheetId="15722" refreshError="1"/>
      <sheetData sheetId="15723" refreshError="1"/>
      <sheetData sheetId="15724" refreshError="1"/>
      <sheetData sheetId="15725" refreshError="1"/>
      <sheetData sheetId="15726" refreshError="1"/>
      <sheetData sheetId="15727" refreshError="1"/>
      <sheetData sheetId="15728" refreshError="1"/>
      <sheetData sheetId="15729" refreshError="1"/>
      <sheetData sheetId="15730" refreshError="1"/>
      <sheetData sheetId="15731" refreshError="1"/>
      <sheetData sheetId="15732" refreshError="1"/>
      <sheetData sheetId="15733" refreshError="1"/>
      <sheetData sheetId="15734" refreshError="1"/>
      <sheetData sheetId="15735" refreshError="1"/>
      <sheetData sheetId="15736" refreshError="1"/>
      <sheetData sheetId="15737" refreshError="1"/>
      <sheetData sheetId="15738" refreshError="1"/>
      <sheetData sheetId="15739" refreshError="1"/>
      <sheetData sheetId="15740" refreshError="1"/>
      <sheetData sheetId="15741" refreshError="1"/>
      <sheetData sheetId="15742" refreshError="1"/>
      <sheetData sheetId="15743" refreshError="1"/>
      <sheetData sheetId="15744" refreshError="1"/>
      <sheetData sheetId="15745" refreshError="1"/>
      <sheetData sheetId="15746" refreshError="1"/>
      <sheetData sheetId="15747" refreshError="1"/>
      <sheetData sheetId="15748" refreshError="1"/>
      <sheetData sheetId="15749" refreshError="1"/>
      <sheetData sheetId="15750">
        <row r="1">
          <cell r="A1">
            <v>10000000</v>
          </cell>
        </row>
      </sheetData>
      <sheetData sheetId="15751">
        <row r="1">
          <cell r="B1">
            <v>2</v>
          </cell>
        </row>
      </sheetData>
      <sheetData sheetId="15752">
        <row r="1">
          <cell r="B1">
            <v>2</v>
          </cell>
        </row>
      </sheetData>
      <sheetData sheetId="15753">
        <row r="1">
          <cell r="A1">
            <v>10000000</v>
          </cell>
        </row>
      </sheetData>
      <sheetData sheetId="15754">
        <row r="1">
          <cell r="A1">
            <v>10000000</v>
          </cell>
        </row>
      </sheetData>
      <sheetData sheetId="15755">
        <row r="1">
          <cell r="B1">
            <v>2</v>
          </cell>
        </row>
      </sheetData>
      <sheetData sheetId="15756">
        <row r="1">
          <cell r="B1">
            <v>2</v>
          </cell>
        </row>
      </sheetData>
      <sheetData sheetId="15757">
        <row r="1">
          <cell r="A1">
            <v>1</v>
          </cell>
        </row>
      </sheetData>
      <sheetData sheetId="15758">
        <row r="1">
          <cell r="B1" t="str">
            <v>2</v>
          </cell>
        </row>
      </sheetData>
      <sheetData sheetId="15759">
        <row r="1">
          <cell r="B1">
            <v>2</v>
          </cell>
        </row>
      </sheetData>
      <sheetData sheetId="15760">
        <row r="1">
          <cell r="B1" t="str">
            <v>2</v>
          </cell>
        </row>
      </sheetData>
      <sheetData sheetId="15761">
        <row r="1">
          <cell r="A1">
            <v>1</v>
          </cell>
        </row>
      </sheetData>
      <sheetData sheetId="15762">
        <row r="1">
          <cell r="A1">
            <v>10000000</v>
          </cell>
        </row>
      </sheetData>
      <sheetData sheetId="15763">
        <row r="1">
          <cell r="B1" t="str">
            <v>2</v>
          </cell>
        </row>
      </sheetData>
      <sheetData sheetId="15764">
        <row r="1">
          <cell r="B1">
            <v>2</v>
          </cell>
        </row>
      </sheetData>
      <sheetData sheetId="15765">
        <row r="1">
          <cell r="A1">
            <v>10000000</v>
          </cell>
        </row>
      </sheetData>
      <sheetData sheetId="15766">
        <row r="1">
          <cell r="A1">
            <v>10000000</v>
          </cell>
        </row>
      </sheetData>
      <sheetData sheetId="15767">
        <row r="1">
          <cell r="B1">
            <v>2</v>
          </cell>
        </row>
      </sheetData>
      <sheetData sheetId="15768">
        <row r="1">
          <cell r="B1">
            <v>2</v>
          </cell>
        </row>
      </sheetData>
      <sheetData sheetId="15769">
        <row r="1">
          <cell r="A1">
            <v>10000000</v>
          </cell>
        </row>
      </sheetData>
      <sheetData sheetId="15770"/>
      <sheetData sheetId="15771">
        <row r="1">
          <cell r="B1">
            <v>2</v>
          </cell>
        </row>
      </sheetData>
      <sheetData sheetId="15772">
        <row r="1">
          <cell r="B1">
            <v>2</v>
          </cell>
        </row>
      </sheetData>
      <sheetData sheetId="15773">
        <row r="1">
          <cell r="A1">
            <v>1</v>
          </cell>
        </row>
      </sheetData>
      <sheetData sheetId="15774">
        <row r="1">
          <cell r="A1">
            <v>1</v>
          </cell>
        </row>
      </sheetData>
      <sheetData sheetId="15775">
        <row r="1">
          <cell r="A1">
            <v>1</v>
          </cell>
        </row>
      </sheetData>
      <sheetData sheetId="15776">
        <row r="1">
          <cell r="A1">
            <v>10000000</v>
          </cell>
        </row>
      </sheetData>
      <sheetData sheetId="15777">
        <row r="1">
          <cell r="A1">
            <v>1</v>
          </cell>
        </row>
      </sheetData>
      <sheetData sheetId="15778">
        <row r="1">
          <cell r="B1">
            <v>2</v>
          </cell>
        </row>
      </sheetData>
      <sheetData sheetId="15779"/>
      <sheetData sheetId="15780"/>
      <sheetData sheetId="15781">
        <row r="1">
          <cell r="B1">
            <v>2</v>
          </cell>
        </row>
      </sheetData>
      <sheetData sheetId="15782">
        <row r="1">
          <cell r="B1">
            <v>2</v>
          </cell>
        </row>
      </sheetData>
      <sheetData sheetId="15783">
        <row r="1">
          <cell r="B1">
            <v>2</v>
          </cell>
        </row>
      </sheetData>
      <sheetData sheetId="15784">
        <row r="1">
          <cell r="A1">
            <v>1</v>
          </cell>
        </row>
      </sheetData>
      <sheetData sheetId="15785">
        <row r="1">
          <cell r="B1">
            <v>2</v>
          </cell>
        </row>
      </sheetData>
      <sheetData sheetId="15786">
        <row r="1">
          <cell r="B1">
            <v>2</v>
          </cell>
        </row>
      </sheetData>
      <sheetData sheetId="15787">
        <row r="1">
          <cell r="B1" t="str">
            <v>2</v>
          </cell>
        </row>
      </sheetData>
      <sheetData sheetId="15788"/>
      <sheetData sheetId="15789">
        <row r="1">
          <cell r="B1">
            <v>2</v>
          </cell>
        </row>
      </sheetData>
      <sheetData sheetId="15790" refreshError="1"/>
      <sheetData sheetId="15791" refreshError="1"/>
      <sheetData sheetId="15792" refreshError="1"/>
      <sheetData sheetId="15793" refreshError="1"/>
      <sheetData sheetId="15794" refreshError="1"/>
      <sheetData sheetId="15795" refreshError="1"/>
      <sheetData sheetId="15796" refreshError="1"/>
      <sheetData sheetId="15797" refreshError="1"/>
      <sheetData sheetId="15798" refreshError="1"/>
      <sheetData sheetId="15799" refreshError="1"/>
      <sheetData sheetId="15800" refreshError="1"/>
      <sheetData sheetId="15801" refreshError="1"/>
      <sheetData sheetId="15802"/>
      <sheetData sheetId="15803"/>
      <sheetData sheetId="15804"/>
      <sheetData sheetId="15805"/>
      <sheetData sheetId="15806" refreshError="1"/>
      <sheetData sheetId="15807" refreshError="1"/>
      <sheetData sheetId="15808" refreshError="1"/>
      <sheetData sheetId="15809" refreshError="1"/>
      <sheetData sheetId="15810" refreshError="1"/>
      <sheetData sheetId="15811" refreshError="1"/>
      <sheetData sheetId="15812" refreshError="1"/>
      <sheetData sheetId="15813" refreshError="1"/>
      <sheetData sheetId="15814" refreshError="1"/>
      <sheetData sheetId="15815" refreshError="1"/>
      <sheetData sheetId="15816" refreshError="1"/>
      <sheetData sheetId="15817" refreshError="1"/>
      <sheetData sheetId="15818" refreshError="1"/>
      <sheetData sheetId="15819" refreshError="1"/>
      <sheetData sheetId="15820" refreshError="1"/>
      <sheetData sheetId="15821" refreshError="1"/>
      <sheetData sheetId="15822" refreshError="1"/>
      <sheetData sheetId="15823" refreshError="1"/>
      <sheetData sheetId="15824" refreshError="1"/>
      <sheetData sheetId="15825" refreshError="1"/>
      <sheetData sheetId="15826" refreshError="1"/>
      <sheetData sheetId="15827" refreshError="1"/>
      <sheetData sheetId="15828" refreshError="1"/>
      <sheetData sheetId="15829" refreshError="1"/>
      <sheetData sheetId="15830" refreshError="1"/>
      <sheetData sheetId="15831" refreshError="1"/>
      <sheetData sheetId="15832" refreshError="1"/>
      <sheetData sheetId="15833" refreshError="1"/>
      <sheetData sheetId="15834" refreshError="1"/>
      <sheetData sheetId="15835" refreshError="1"/>
      <sheetData sheetId="15836" refreshError="1"/>
      <sheetData sheetId="15837" refreshError="1"/>
      <sheetData sheetId="15838" refreshError="1"/>
      <sheetData sheetId="15839" refreshError="1"/>
      <sheetData sheetId="15840" refreshError="1"/>
      <sheetData sheetId="15841" refreshError="1"/>
      <sheetData sheetId="15842" refreshError="1"/>
      <sheetData sheetId="15843" refreshError="1"/>
      <sheetData sheetId="15844" refreshError="1"/>
      <sheetData sheetId="15845" refreshError="1"/>
      <sheetData sheetId="15846" refreshError="1"/>
      <sheetData sheetId="15847" refreshError="1"/>
      <sheetData sheetId="15848" refreshError="1"/>
      <sheetData sheetId="15849" refreshError="1"/>
      <sheetData sheetId="15850" refreshError="1"/>
      <sheetData sheetId="15851" refreshError="1"/>
      <sheetData sheetId="15852" refreshError="1"/>
      <sheetData sheetId="15853" refreshError="1"/>
      <sheetData sheetId="15854" refreshError="1"/>
      <sheetData sheetId="15855" refreshError="1"/>
      <sheetData sheetId="15856" refreshError="1"/>
      <sheetData sheetId="15857" refreshError="1"/>
      <sheetData sheetId="15858" refreshError="1"/>
      <sheetData sheetId="15859" refreshError="1"/>
      <sheetData sheetId="15860" refreshError="1"/>
      <sheetData sheetId="15861" refreshError="1"/>
      <sheetData sheetId="15862" refreshError="1"/>
      <sheetData sheetId="15863" refreshError="1"/>
      <sheetData sheetId="15864" refreshError="1"/>
      <sheetData sheetId="15865" refreshError="1"/>
      <sheetData sheetId="15866" refreshError="1"/>
      <sheetData sheetId="15867" refreshError="1"/>
      <sheetData sheetId="15868" refreshError="1"/>
      <sheetData sheetId="15869" refreshError="1"/>
      <sheetData sheetId="15870" refreshError="1"/>
      <sheetData sheetId="15871" refreshError="1"/>
      <sheetData sheetId="15872" refreshError="1"/>
      <sheetData sheetId="15873" refreshError="1"/>
      <sheetData sheetId="15874" refreshError="1"/>
      <sheetData sheetId="15875" refreshError="1"/>
      <sheetData sheetId="15876" refreshError="1"/>
      <sheetData sheetId="15877" refreshError="1"/>
      <sheetData sheetId="15878" refreshError="1"/>
      <sheetData sheetId="15879" refreshError="1"/>
      <sheetData sheetId="15880" refreshError="1"/>
      <sheetData sheetId="15881" refreshError="1"/>
      <sheetData sheetId="15882" refreshError="1"/>
      <sheetData sheetId="15883" refreshError="1"/>
      <sheetData sheetId="15884" refreshError="1"/>
      <sheetData sheetId="15885" refreshError="1"/>
      <sheetData sheetId="15886" refreshError="1"/>
      <sheetData sheetId="15887" refreshError="1"/>
      <sheetData sheetId="15888" refreshError="1"/>
      <sheetData sheetId="15889" refreshError="1"/>
      <sheetData sheetId="15890" refreshError="1"/>
      <sheetData sheetId="15891" refreshError="1"/>
      <sheetData sheetId="15892" refreshError="1"/>
      <sheetData sheetId="15893" refreshError="1"/>
      <sheetData sheetId="15894" refreshError="1"/>
      <sheetData sheetId="15895" refreshError="1"/>
      <sheetData sheetId="15896" refreshError="1"/>
      <sheetData sheetId="15897" refreshError="1"/>
      <sheetData sheetId="15898" refreshError="1"/>
      <sheetData sheetId="15899" refreshError="1"/>
      <sheetData sheetId="15900" refreshError="1"/>
      <sheetData sheetId="15901" refreshError="1"/>
      <sheetData sheetId="15902" refreshError="1"/>
      <sheetData sheetId="15903" refreshError="1"/>
      <sheetData sheetId="15904" refreshError="1"/>
      <sheetData sheetId="15905" refreshError="1"/>
      <sheetData sheetId="15906" refreshError="1"/>
      <sheetData sheetId="15907" refreshError="1"/>
      <sheetData sheetId="15908" refreshError="1"/>
      <sheetData sheetId="15909" refreshError="1"/>
      <sheetData sheetId="15910" refreshError="1"/>
      <sheetData sheetId="15911" refreshError="1"/>
      <sheetData sheetId="15912" refreshError="1"/>
      <sheetData sheetId="15913" refreshError="1"/>
      <sheetData sheetId="15914" refreshError="1"/>
      <sheetData sheetId="15915" refreshError="1"/>
      <sheetData sheetId="15916" refreshError="1"/>
      <sheetData sheetId="15917" refreshError="1"/>
      <sheetData sheetId="15918" refreshError="1"/>
      <sheetData sheetId="15919" refreshError="1"/>
      <sheetData sheetId="15920" refreshError="1"/>
      <sheetData sheetId="15921" refreshError="1"/>
      <sheetData sheetId="15922" refreshError="1"/>
      <sheetData sheetId="15923" refreshError="1"/>
      <sheetData sheetId="15924" refreshError="1"/>
      <sheetData sheetId="15925" refreshError="1"/>
      <sheetData sheetId="15926" refreshError="1"/>
      <sheetData sheetId="15927" refreshError="1"/>
      <sheetData sheetId="15928" refreshError="1"/>
      <sheetData sheetId="15929" refreshError="1"/>
      <sheetData sheetId="15930" refreshError="1"/>
      <sheetData sheetId="15931" refreshError="1"/>
      <sheetData sheetId="15932" refreshError="1"/>
      <sheetData sheetId="15933" refreshError="1"/>
      <sheetData sheetId="15934" refreshError="1"/>
      <sheetData sheetId="15935" refreshError="1"/>
      <sheetData sheetId="15936" refreshError="1"/>
      <sheetData sheetId="15937" refreshError="1"/>
      <sheetData sheetId="15938" refreshError="1"/>
      <sheetData sheetId="15939" refreshError="1"/>
      <sheetData sheetId="15940" refreshError="1"/>
      <sheetData sheetId="15941" refreshError="1"/>
      <sheetData sheetId="15942" refreshError="1"/>
      <sheetData sheetId="15943" refreshError="1"/>
      <sheetData sheetId="15944" refreshError="1"/>
      <sheetData sheetId="15945" refreshError="1"/>
      <sheetData sheetId="15946" refreshError="1"/>
      <sheetData sheetId="15947" refreshError="1"/>
      <sheetData sheetId="15948" refreshError="1"/>
      <sheetData sheetId="15949" refreshError="1"/>
      <sheetData sheetId="15950" refreshError="1"/>
      <sheetData sheetId="15951" refreshError="1"/>
      <sheetData sheetId="15952" refreshError="1"/>
      <sheetData sheetId="15953" refreshError="1"/>
      <sheetData sheetId="15954" refreshError="1"/>
      <sheetData sheetId="15955" refreshError="1"/>
      <sheetData sheetId="15956" refreshError="1"/>
      <sheetData sheetId="15957" refreshError="1"/>
      <sheetData sheetId="15958" refreshError="1"/>
      <sheetData sheetId="15959" refreshError="1"/>
      <sheetData sheetId="15960" refreshError="1"/>
      <sheetData sheetId="15961" refreshError="1"/>
      <sheetData sheetId="15962" refreshError="1"/>
      <sheetData sheetId="15963" refreshError="1"/>
      <sheetData sheetId="15964" refreshError="1"/>
      <sheetData sheetId="15965" refreshError="1"/>
      <sheetData sheetId="15966" refreshError="1"/>
      <sheetData sheetId="15967" refreshError="1"/>
      <sheetData sheetId="15968" refreshError="1"/>
      <sheetData sheetId="15969" refreshError="1"/>
      <sheetData sheetId="15970" refreshError="1"/>
      <sheetData sheetId="15971" refreshError="1"/>
      <sheetData sheetId="15972" refreshError="1"/>
      <sheetData sheetId="15973" refreshError="1"/>
      <sheetData sheetId="15974" refreshError="1"/>
      <sheetData sheetId="15975" refreshError="1"/>
      <sheetData sheetId="15976" refreshError="1"/>
      <sheetData sheetId="15977" refreshError="1"/>
      <sheetData sheetId="15978" refreshError="1"/>
      <sheetData sheetId="15979" refreshError="1"/>
      <sheetData sheetId="15980" refreshError="1"/>
      <sheetData sheetId="15981" refreshError="1"/>
      <sheetData sheetId="15982" refreshError="1"/>
      <sheetData sheetId="15983" refreshError="1"/>
      <sheetData sheetId="15984" refreshError="1"/>
      <sheetData sheetId="15985" refreshError="1"/>
      <sheetData sheetId="15986" refreshError="1"/>
      <sheetData sheetId="15987" refreshError="1"/>
      <sheetData sheetId="15988" refreshError="1"/>
      <sheetData sheetId="15989" refreshError="1"/>
      <sheetData sheetId="15990" refreshError="1"/>
      <sheetData sheetId="15991" refreshError="1"/>
      <sheetData sheetId="15992" refreshError="1"/>
      <sheetData sheetId="15993" refreshError="1"/>
      <sheetData sheetId="15994" refreshError="1"/>
      <sheetData sheetId="15995" refreshError="1"/>
      <sheetData sheetId="15996" refreshError="1"/>
      <sheetData sheetId="15997" refreshError="1"/>
      <sheetData sheetId="15998" refreshError="1"/>
      <sheetData sheetId="15999" refreshError="1"/>
      <sheetData sheetId="16000" refreshError="1"/>
      <sheetData sheetId="16001" refreshError="1"/>
      <sheetData sheetId="16002" refreshError="1"/>
      <sheetData sheetId="16003" refreshError="1"/>
      <sheetData sheetId="16004" refreshError="1"/>
      <sheetData sheetId="16005" refreshError="1"/>
      <sheetData sheetId="16006" refreshError="1"/>
      <sheetData sheetId="16007" refreshError="1"/>
      <sheetData sheetId="16008" refreshError="1"/>
      <sheetData sheetId="16009" refreshError="1"/>
      <sheetData sheetId="16010" refreshError="1"/>
      <sheetData sheetId="16011" refreshError="1"/>
      <sheetData sheetId="16012" refreshError="1"/>
      <sheetData sheetId="16013" refreshError="1"/>
      <sheetData sheetId="16014" refreshError="1"/>
      <sheetData sheetId="16015" refreshError="1"/>
      <sheetData sheetId="16016" refreshError="1"/>
      <sheetData sheetId="16017" refreshError="1"/>
      <sheetData sheetId="16018" refreshError="1"/>
      <sheetData sheetId="16019" refreshError="1"/>
      <sheetData sheetId="16020" refreshError="1"/>
      <sheetData sheetId="16021" refreshError="1"/>
      <sheetData sheetId="16022" refreshError="1"/>
      <sheetData sheetId="16023" refreshError="1"/>
      <sheetData sheetId="16024" refreshError="1"/>
      <sheetData sheetId="16025" refreshError="1"/>
      <sheetData sheetId="16026" refreshError="1"/>
      <sheetData sheetId="16027" refreshError="1"/>
      <sheetData sheetId="16028" refreshError="1"/>
      <sheetData sheetId="16029" refreshError="1"/>
      <sheetData sheetId="16030" refreshError="1"/>
      <sheetData sheetId="16031" refreshError="1"/>
      <sheetData sheetId="16032" refreshError="1"/>
      <sheetData sheetId="16033" refreshError="1"/>
      <sheetData sheetId="16034" refreshError="1"/>
      <sheetData sheetId="16035" refreshError="1"/>
      <sheetData sheetId="16036" refreshError="1"/>
      <sheetData sheetId="16037" refreshError="1"/>
      <sheetData sheetId="16038" refreshError="1"/>
      <sheetData sheetId="16039" refreshError="1"/>
      <sheetData sheetId="16040" refreshError="1"/>
      <sheetData sheetId="16041" refreshError="1"/>
      <sheetData sheetId="16042" refreshError="1"/>
      <sheetData sheetId="16043" refreshError="1"/>
      <sheetData sheetId="16044" refreshError="1"/>
      <sheetData sheetId="16045" refreshError="1"/>
      <sheetData sheetId="16046" refreshError="1"/>
      <sheetData sheetId="16047" refreshError="1"/>
      <sheetData sheetId="16048" refreshError="1"/>
      <sheetData sheetId="16049" refreshError="1"/>
      <sheetData sheetId="16050" refreshError="1"/>
      <sheetData sheetId="16051" refreshError="1"/>
      <sheetData sheetId="16052" refreshError="1"/>
      <sheetData sheetId="16053" refreshError="1"/>
      <sheetData sheetId="16054" refreshError="1"/>
      <sheetData sheetId="16055" refreshError="1"/>
      <sheetData sheetId="16056" refreshError="1"/>
      <sheetData sheetId="16057" refreshError="1"/>
      <sheetData sheetId="16058" refreshError="1"/>
      <sheetData sheetId="16059" refreshError="1"/>
      <sheetData sheetId="16060" refreshError="1"/>
      <sheetData sheetId="16061" refreshError="1"/>
      <sheetData sheetId="16062" refreshError="1"/>
      <sheetData sheetId="16063" refreshError="1"/>
      <sheetData sheetId="16064" refreshError="1"/>
      <sheetData sheetId="16065" refreshError="1"/>
      <sheetData sheetId="16066" refreshError="1"/>
      <sheetData sheetId="16067" refreshError="1"/>
      <sheetData sheetId="16068" refreshError="1"/>
      <sheetData sheetId="16069" refreshError="1"/>
      <sheetData sheetId="16070" refreshError="1"/>
      <sheetData sheetId="16071" refreshError="1"/>
      <sheetData sheetId="16072" refreshError="1"/>
      <sheetData sheetId="16073" refreshError="1"/>
      <sheetData sheetId="16074" refreshError="1"/>
      <sheetData sheetId="16075" refreshError="1"/>
      <sheetData sheetId="16076" refreshError="1"/>
      <sheetData sheetId="16077" refreshError="1"/>
      <sheetData sheetId="16078" refreshError="1"/>
      <sheetData sheetId="16079" refreshError="1"/>
      <sheetData sheetId="16080" refreshError="1"/>
      <sheetData sheetId="16081" refreshError="1"/>
      <sheetData sheetId="16082" refreshError="1"/>
      <sheetData sheetId="16083" refreshError="1"/>
      <sheetData sheetId="16084" refreshError="1"/>
      <sheetData sheetId="16085" refreshError="1"/>
      <sheetData sheetId="16086" refreshError="1"/>
      <sheetData sheetId="16087" refreshError="1"/>
      <sheetData sheetId="16088" refreshError="1"/>
      <sheetData sheetId="16089" refreshError="1"/>
      <sheetData sheetId="16090" refreshError="1"/>
      <sheetData sheetId="16091" refreshError="1"/>
      <sheetData sheetId="16092" refreshError="1"/>
      <sheetData sheetId="16093" refreshError="1"/>
      <sheetData sheetId="16094" refreshError="1"/>
      <sheetData sheetId="16095" refreshError="1"/>
      <sheetData sheetId="16096" refreshError="1"/>
      <sheetData sheetId="16097" refreshError="1"/>
      <sheetData sheetId="16098" refreshError="1"/>
      <sheetData sheetId="16099" refreshError="1"/>
      <sheetData sheetId="16100" refreshError="1"/>
      <sheetData sheetId="16101" refreshError="1"/>
      <sheetData sheetId="16102" refreshError="1"/>
      <sheetData sheetId="16103" refreshError="1"/>
      <sheetData sheetId="16104" refreshError="1"/>
      <sheetData sheetId="16105" refreshError="1"/>
      <sheetData sheetId="16106" refreshError="1"/>
      <sheetData sheetId="16107" refreshError="1"/>
      <sheetData sheetId="16108" refreshError="1"/>
      <sheetData sheetId="16109" refreshError="1"/>
      <sheetData sheetId="16110" refreshError="1"/>
      <sheetData sheetId="16111" refreshError="1"/>
      <sheetData sheetId="16112" refreshError="1"/>
      <sheetData sheetId="16113" refreshError="1"/>
      <sheetData sheetId="16114" refreshError="1"/>
      <sheetData sheetId="16115" refreshError="1"/>
      <sheetData sheetId="16116" refreshError="1"/>
      <sheetData sheetId="16117" refreshError="1"/>
      <sheetData sheetId="16118" refreshError="1"/>
      <sheetData sheetId="16119" refreshError="1"/>
      <sheetData sheetId="16120" refreshError="1"/>
      <sheetData sheetId="16121" refreshError="1"/>
      <sheetData sheetId="16122" refreshError="1"/>
      <sheetData sheetId="16123" refreshError="1"/>
      <sheetData sheetId="16124" refreshError="1"/>
      <sheetData sheetId="16125" refreshError="1"/>
      <sheetData sheetId="16126" refreshError="1"/>
      <sheetData sheetId="16127" refreshError="1"/>
      <sheetData sheetId="16128" refreshError="1"/>
      <sheetData sheetId="16129" refreshError="1"/>
      <sheetData sheetId="16130" refreshError="1"/>
      <sheetData sheetId="16131" refreshError="1"/>
      <sheetData sheetId="16132" refreshError="1"/>
      <sheetData sheetId="16133" refreshError="1"/>
      <sheetData sheetId="16134" refreshError="1"/>
      <sheetData sheetId="16135" refreshError="1"/>
      <sheetData sheetId="16136" refreshError="1"/>
      <sheetData sheetId="16137" refreshError="1"/>
      <sheetData sheetId="16138" refreshError="1"/>
      <sheetData sheetId="16139" refreshError="1"/>
      <sheetData sheetId="16140" refreshError="1"/>
      <sheetData sheetId="16141" refreshError="1"/>
      <sheetData sheetId="16142" refreshError="1"/>
      <sheetData sheetId="16143" refreshError="1"/>
      <sheetData sheetId="16144" refreshError="1"/>
      <sheetData sheetId="16145" refreshError="1"/>
      <sheetData sheetId="16146" refreshError="1"/>
      <sheetData sheetId="16147" refreshError="1"/>
      <sheetData sheetId="16148" refreshError="1"/>
      <sheetData sheetId="16149" refreshError="1"/>
      <sheetData sheetId="16150" refreshError="1"/>
      <sheetData sheetId="16151" refreshError="1"/>
      <sheetData sheetId="16152" refreshError="1"/>
      <sheetData sheetId="16153" refreshError="1"/>
      <sheetData sheetId="16154" refreshError="1"/>
      <sheetData sheetId="16155" refreshError="1"/>
      <sheetData sheetId="16156" refreshError="1"/>
      <sheetData sheetId="16157" refreshError="1"/>
      <sheetData sheetId="16158" refreshError="1"/>
      <sheetData sheetId="16159" refreshError="1"/>
      <sheetData sheetId="16160" refreshError="1"/>
      <sheetData sheetId="16161" refreshError="1"/>
      <sheetData sheetId="16162" refreshError="1"/>
      <sheetData sheetId="16163" refreshError="1"/>
      <sheetData sheetId="16164" refreshError="1"/>
      <sheetData sheetId="16165" refreshError="1"/>
      <sheetData sheetId="16166" refreshError="1"/>
      <sheetData sheetId="16167" refreshError="1"/>
      <sheetData sheetId="16168" refreshError="1"/>
      <sheetData sheetId="16169" refreshError="1"/>
      <sheetData sheetId="16170" refreshError="1"/>
      <sheetData sheetId="16171" refreshError="1"/>
      <sheetData sheetId="16172" refreshError="1"/>
      <sheetData sheetId="16173" refreshError="1"/>
      <sheetData sheetId="16174" refreshError="1"/>
      <sheetData sheetId="16175" refreshError="1"/>
      <sheetData sheetId="16176" refreshError="1"/>
      <sheetData sheetId="16177" refreshError="1"/>
      <sheetData sheetId="16178" refreshError="1"/>
      <sheetData sheetId="16179" refreshError="1"/>
      <sheetData sheetId="16180" refreshError="1"/>
      <sheetData sheetId="16181" refreshError="1"/>
      <sheetData sheetId="16182" refreshError="1"/>
      <sheetData sheetId="16183" refreshError="1"/>
      <sheetData sheetId="16184" refreshError="1"/>
      <sheetData sheetId="16185" refreshError="1"/>
      <sheetData sheetId="16186" refreshError="1"/>
      <sheetData sheetId="16187" refreshError="1"/>
      <sheetData sheetId="16188" refreshError="1"/>
      <sheetData sheetId="16189" refreshError="1"/>
      <sheetData sheetId="16190" refreshError="1"/>
      <sheetData sheetId="16191" refreshError="1"/>
      <sheetData sheetId="16192" refreshError="1"/>
      <sheetData sheetId="16193" refreshError="1"/>
      <sheetData sheetId="16194" refreshError="1"/>
      <sheetData sheetId="16195" refreshError="1"/>
      <sheetData sheetId="16196" refreshError="1"/>
      <sheetData sheetId="16197" refreshError="1"/>
      <sheetData sheetId="16198" refreshError="1"/>
      <sheetData sheetId="16199" refreshError="1"/>
      <sheetData sheetId="16200" refreshError="1"/>
      <sheetData sheetId="16201" refreshError="1"/>
      <sheetData sheetId="16202" refreshError="1"/>
      <sheetData sheetId="16203" refreshError="1"/>
      <sheetData sheetId="16204" refreshError="1"/>
      <sheetData sheetId="16205" refreshError="1"/>
      <sheetData sheetId="16206" refreshError="1"/>
      <sheetData sheetId="16207" refreshError="1"/>
      <sheetData sheetId="16208" refreshError="1"/>
      <sheetData sheetId="16209" refreshError="1"/>
      <sheetData sheetId="16210" refreshError="1"/>
      <sheetData sheetId="16211" refreshError="1"/>
      <sheetData sheetId="16212" refreshError="1"/>
      <sheetData sheetId="16213" refreshError="1"/>
      <sheetData sheetId="16214" refreshError="1"/>
      <sheetData sheetId="16215" refreshError="1"/>
      <sheetData sheetId="16216" refreshError="1"/>
      <sheetData sheetId="16217" refreshError="1"/>
      <sheetData sheetId="16218" refreshError="1"/>
      <sheetData sheetId="16219" refreshError="1"/>
      <sheetData sheetId="16220" refreshError="1"/>
      <sheetData sheetId="16221" refreshError="1"/>
      <sheetData sheetId="16222" refreshError="1"/>
      <sheetData sheetId="16223" refreshError="1"/>
      <sheetData sheetId="16224" refreshError="1"/>
      <sheetData sheetId="16225" refreshError="1"/>
      <sheetData sheetId="16226" refreshError="1"/>
      <sheetData sheetId="16227" refreshError="1"/>
      <sheetData sheetId="16228" refreshError="1"/>
      <sheetData sheetId="16229" refreshError="1"/>
      <sheetData sheetId="16230" refreshError="1"/>
      <sheetData sheetId="16231" refreshError="1"/>
      <sheetData sheetId="16232" refreshError="1"/>
      <sheetData sheetId="16233" refreshError="1"/>
      <sheetData sheetId="16234" refreshError="1"/>
      <sheetData sheetId="16235" refreshError="1"/>
      <sheetData sheetId="16236" refreshError="1"/>
      <sheetData sheetId="16237" refreshError="1"/>
      <sheetData sheetId="16238" refreshError="1"/>
      <sheetData sheetId="16239" refreshError="1"/>
      <sheetData sheetId="16240" refreshError="1"/>
      <sheetData sheetId="16241" refreshError="1"/>
      <sheetData sheetId="16242" refreshError="1"/>
      <sheetData sheetId="16243" refreshError="1"/>
      <sheetData sheetId="16244" refreshError="1"/>
      <sheetData sheetId="16245" refreshError="1"/>
      <sheetData sheetId="16246" refreshError="1"/>
      <sheetData sheetId="16247" refreshError="1"/>
      <sheetData sheetId="16248" refreshError="1"/>
      <sheetData sheetId="16249" refreshError="1"/>
      <sheetData sheetId="16250" refreshError="1"/>
      <sheetData sheetId="16251" refreshError="1"/>
      <sheetData sheetId="16252" refreshError="1"/>
      <sheetData sheetId="16253" refreshError="1"/>
      <sheetData sheetId="16254" refreshError="1"/>
      <sheetData sheetId="16255" refreshError="1"/>
      <sheetData sheetId="16256" refreshError="1"/>
      <sheetData sheetId="16257" refreshError="1"/>
      <sheetData sheetId="16258" refreshError="1"/>
      <sheetData sheetId="16259" refreshError="1"/>
      <sheetData sheetId="16260" refreshError="1"/>
      <sheetData sheetId="16261" refreshError="1"/>
      <sheetData sheetId="16262" refreshError="1"/>
      <sheetData sheetId="16263" refreshError="1"/>
      <sheetData sheetId="16264" refreshError="1"/>
      <sheetData sheetId="16265" refreshError="1"/>
      <sheetData sheetId="16266" refreshError="1"/>
      <sheetData sheetId="16267" refreshError="1"/>
      <sheetData sheetId="16268" refreshError="1"/>
      <sheetData sheetId="16269" refreshError="1"/>
      <sheetData sheetId="16270" refreshError="1"/>
      <sheetData sheetId="16271" refreshError="1"/>
      <sheetData sheetId="16272" refreshError="1"/>
      <sheetData sheetId="16273" refreshError="1"/>
      <sheetData sheetId="16274" refreshError="1"/>
      <sheetData sheetId="16275" refreshError="1"/>
      <sheetData sheetId="16276" refreshError="1"/>
      <sheetData sheetId="16277" refreshError="1"/>
      <sheetData sheetId="16278" refreshError="1"/>
      <sheetData sheetId="16279" refreshError="1"/>
      <sheetData sheetId="16280" refreshError="1"/>
      <sheetData sheetId="16281" refreshError="1"/>
      <sheetData sheetId="16282" refreshError="1"/>
      <sheetData sheetId="16283" refreshError="1"/>
      <sheetData sheetId="16284" refreshError="1"/>
      <sheetData sheetId="16285" refreshError="1"/>
      <sheetData sheetId="16286" refreshError="1"/>
      <sheetData sheetId="16287" refreshError="1"/>
      <sheetData sheetId="16288" refreshError="1"/>
      <sheetData sheetId="16289" refreshError="1"/>
      <sheetData sheetId="16290" refreshError="1"/>
      <sheetData sheetId="16291" refreshError="1"/>
      <sheetData sheetId="16292" refreshError="1"/>
      <sheetData sheetId="16293" refreshError="1"/>
      <sheetData sheetId="16294" refreshError="1"/>
      <sheetData sheetId="16295" refreshError="1"/>
      <sheetData sheetId="16296" refreshError="1"/>
      <sheetData sheetId="16297" refreshError="1"/>
      <sheetData sheetId="16298" refreshError="1"/>
      <sheetData sheetId="16299" refreshError="1"/>
      <sheetData sheetId="16300" refreshError="1"/>
      <sheetData sheetId="16301" refreshError="1"/>
      <sheetData sheetId="16302" refreshError="1"/>
      <sheetData sheetId="16303" refreshError="1"/>
      <sheetData sheetId="16304" refreshError="1"/>
      <sheetData sheetId="16305" refreshError="1"/>
      <sheetData sheetId="16306" refreshError="1"/>
      <sheetData sheetId="16307" refreshError="1"/>
      <sheetData sheetId="16308" refreshError="1"/>
      <sheetData sheetId="16309" refreshError="1"/>
      <sheetData sheetId="16310" refreshError="1"/>
      <sheetData sheetId="16311" refreshError="1"/>
      <sheetData sheetId="16312" refreshError="1"/>
      <sheetData sheetId="16313" refreshError="1"/>
      <sheetData sheetId="16314" refreshError="1"/>
      <sheetData sheetId="16315" refreshError="1"/>
      <sheetData sheetId="16316" refreshError="1"/>
      <sheetData sheetId="16317" refreshError="1"/>
      <sheetData sheetId="16318" refreshError="1"/>
      <sheetData sheetId="16319" refreshError="1"/>
      <sheetData sheetId="16320" refreshError="1"/>
      <sheetData sheetId="16321" refreshError="1"/>
      <sheetData sheetId="16322" refreshError="1"/>
      <sheetData sheetId="16323" refreshError="1"/>
      <sheetData sheetId="16324" refreshError="1"/>
      <sheetData sheetId="16325" refreshError="1"/>
      <sheetData sheetId="16326" refreshError="1"/>
      <sheetData sheetId="16327" refreshError="1"/>
      <sheetData sheetId="16328" refreshError="1"/>
      <sheetData sheetId="16329" refreshError="1"/>
      <sheetData sheetId="16330" refreshError="1"/>
      <sheetData sheetId="16331" refreshError="1"/>
      <sheetData sheetId="16332" refreshError="1"/>
      <sheetData sheetId="16333" refreshError="1"/>
      <sheetData sheetId="16334" refreshError="1"/>
      <sheetData sheetId="16335" refreshError="1"/>
      <sheetData sheetId="16336" refreshError="1"/>
      <sheetData sheetId="16337" refreshError="1"/>
      <sheetData sheetId="16338" refreshError="1"/>
      <sheetData sheetId="16339" refreshError="1"/>
      <sheetData sheetId="16340" refreshError="1"/>
      <sheetData sheetId="16341" refreshError="1"/>
      <sheetData sheetId="16342" refreshError="1"/>
      <sheetData sheetId="16343" refreshError="1"/>
      <sheetData sheetId="16344" refreshError="1"/>
      <sheetData sheetId="16345" refreshError="1"/>
      <sheetData sheetId="16346" refreshError="1"/>
      <sheetData sheetId="16347" refreshError="1"/>
      <sheetData sheetId="16348" refreshError="1"/>
      <sheetData sheetId="16349" refreshError="1"/>
      <sheetData sheetId="16350" refreshError="1"/>
      <sheetData sheetId="16351" refreshError="1"/>
      <sheetData sheetId="16352" refreshError="1"/>
      <sheetData sheetId="16353" refreshError="1"/>
      <sheetData sheetId="16354" refreshError="1"/>
      <sheetData sheetId="16355" refreshError="1"/>
      <sheetData sheetId="16356" refreshError="1"/>
      <sheetData sheetId="16357" refreshError="1"/>
      <sheetData sheetId="16358" refreshError="1"/>
      <sheetData sheetId="16359" refreshError="1"/>
      <sheetData sheetId="16360" refreshError="1"/>
      <sheetData sheetId="16361" refreshError="1"/>
      <sheetData sheetId="16362" refreshError="1"/>
      <sheetData sheetId="16363" refreshError="1"/>
      <sheetData sheetId="16364" refreshError="1"/>
      <sheetData sheetId="16365" refreshError="1"/>
      <sheetData sheetId="16366" refreshError="1"/>
      <sheetData sheetId="16367" refreshError="1"/>
      <sheetData sheetId="16368" refreshError="1"/>
      <sheetData sheetId="16369" refreshError="1"/>
      <sheetData sheetId="16370" refreshError="1"/>
      <sheetData sheetId="16371" refreshError="1"/>
      <sheetData sheetId="16372" refreshError="1"/>
      <sheetData sheetId="16373" refreshError="1"/>
      <sheetData sheetId="16374" refreshError="1"/>
      <sheetData sheetId="16375" refreshError="1"/>
      <sheetData sheetId="16376" refreshError="1"/>
      <sheetData sheetId="16377" refreshError="1"/>
      <sheetData sheetId="16378" refreshError="1"/>
      <sheetData sheetId="16379" refreshError="1"/>
      <sheetData sheetId="16380" refreshError="1"/>
      <sheetData sheetId="16381" refreshError="1"/>
      <sheetData sheetId="16382" refreshError="1"/>
      <sheetData sheetId="16383" refreshError="1"/>
      <sheetData sheetId="16384" refreshError="1"/>
      <sheetData sheetId="16385" refreshError="1"/>
      <sheetData sheetId="16386" refreshError="1"/>
      <sheetData sheetId="16387" refreshError="1"/>
      <sheetData sheetId="16388" refreshError="1"/>
      <sheetData sheetId="16389" refreshError="1"/>
      <sheetData sheetId="16390" refreshError="1"/>
      <sheetData sheetId="16391" refreshError="1"/>
      <sheetData sheetId="16392" refreshError="1"/>
      <sheetData sheetId="16393" refreshError="1"/>
      <sheetData sheetId="16394" refreshError="1"/>
      <sheetData sheetId="16395" refreshError="1"/>
      <sheetData sheetId="16396" refreshError="1"/>
      <sheetData sheetId="16397" refreshError="1"/>
      <sheetData sheetId="16398" refreshError="1"/>
      <sheetData sheetId="16399" refreshError="1"/>
      <sheetData sheetId="16400" refreshError="1"/>
      <sheetData sheetId="16401" refreshError="1"/>
      <sheetData sheetId="16402" refreshError="1"/>
      <sheetData sheetId="16403" refreshError="1"/>
      <sheetData sheetId="16404" refreshError="1"/>
      <sheetData sheetId="16405" refreshError="1"/>
      <sheetData sheetId="16406" refreshError="1"/>
      <sheetData sheetId="16407" refreshError="1"/>
      <sheetData sheetId="16408" refreshError="1"/>
      <sheetData sheetId="16409" refreshError="1"/>
      <sheetData sheetId="16410" refreshError="1"/>
      <sheetData sheetId="16411" refreshError="1"/>
      <sheetData sheetId="16412" refreshError="1"/>
      <sheetData sheetId="16413" refreshError="1"/>
      <sheetData sheetId="16414" refreshError="1"/>
      <sheetData sheetId="16415" refreshError="1"/>
      <sheetData sheetId="16416" refreshError="1"/>
      <sheetData sheetId="16417" refreshError="1"/>
      <sheetData sheetId="16418" refreshError="1"/>
      <sheetData sheetId="16419" refreshError="1"/>
      <sheetData sheetId="16420" refreshError="1"/>
      <sheetData sheetId="16421" refreshError="1"/>
      <sheetData sheetId="16422" refreshError="1"/>
      <sheetData sheetId="16423" refreshError="1"/>
      <sheetData sheetId="16424" refreshError="1"/>
      <sheetData sheetId="16425" refreshError="1"/>
      <sheetData sheetId="16426" refreshError="1"/>
      <sheetData sheetId="16427" refreshError="1"/>
      <sheetData sheetId="16428" refreshError="1"/>
      <sheetData sheetId="16429" refreshError="1"/>
      <sheetData sheetId="16430" refreshError="1"/>
      <sheetData sheetId="16431" refreshError="1"/>
      <sheetData sheetId="16432" refreshError="1"/>
      <sheetData sheetId="16433" refreshError="1"/>
      <sheetData sheetId="16434" refreshError="1"/>
      <sheetData sheetId="16435" refreshError="1"/>
      <sheetData sheetId="16436" refreshError="1"/>
      <sheetData sheetId="16437" refreshError="1"/>
      <sheetData sheetId="16438" refreshError="1"/>
      <sheetData sheetId="16439" refreshError="1"/>
      <sheetData sheetId="16440" refreshError="1"/>
      <sheetData sheetId="16441" refreshError="1"/>
      <sheetData sheetId="16442" refreshError="1"/>
      <sheetData sheetId="16443" refreshError="1"/>
      <sheetData sheetId="16444" refreshError="1"/>
      <sheetData sheetId="16445" refreshError="1"/>
      <sheetData sheetId="16446" refreshError="1"/>
      <sheetData sheetId="16447" refreshError="1"/>
      <sheetData sheetId="16448" refreshError="1"/>
      <sheetData sheetId="16449" refreshError="1"/>
      <sheetData sheetId="16450" refreshError="1"/>
      <sheetData sheetId="16451" refreshError="1"/>
      <sheetData sheetId="16452" refreshError="1"/>
      <sheetData sheetId="16453" refreshError="1"/>
      <sheetData sheetId="16454" refreshError="1"/>
      <sheetData sheetId="16455" refreshError="1"/>
      <sheetData sheetId="16456" refreshError="1"/>
      <sheetData sheetId="16457" refreshError="1"/>
      <sheetData sheetId="16458" refreshError="1"/>
      <sheetData sheetId="16459" refreshError="1"/>
      <sheetData sheetId="16460" refreshError="1"/>
      <sheetData sheetId="16461" refreshError="1"/>
      <sheetData sheetId="16462" refreshError="1"/>
      <sheetData sheetId="16463" refreshError="1"/>
      <sheetData sheetId="16464" refreshError="1"/>
      <sheetData sheetId="16465" refreshError="1"/>
      <sheetData sheetId="16466" refreshError="1"/>
      <sheetData sheetId="16467" refreshError="1"/>
      <sheetData sheetId="16468" refreshError="1"/>
      <sheetData sheetId="16469" refreshError="1"/>
      <sheetData sheetId="16470" refreshError="1"/>
      <sheetData sheetId="16471" refreshError="1"/>
      <sheetData sheetId="16472" refreshError="1"/>
      <sheetData sheetId="16473" refreshError="1"/>
      <sheetData sheetId="16474" refreshError="1"/>
      <sheetData sheetId="16475" refreshError="1"/>
      <sheetData sheetId="16476" refreshError="1"/>
      <sheetData sheetId="16477" refreshError="1"/>
      <sheetData sheetId="16478" refreshError="1"/>
      <sheetData sheetId="16479" refreshError="1"/>
      <sheetData sheetId="16480" refreshError="1"/>
      <sheetData sheetId="16481" refreshError="1"/>
      <sheetData sheetId="16482" refreshError="1"/>
      <sheetData sheetId="16483" refreshError="1"/>
      <sheetData sheetId="16484" refreshError="1"/>
      <sheetData sheetId="16485" refreshError="1"/>
      <sheetData sheetId="16486" refreshError="1"/>
      <sheetData sheetId="16487" refreshError="1"/>
      <sheetData sheetId="16488" refreshError="1"/>
      <sheetData sheetId="16489" refreshError="1"/>
      <sheetData sheetId="16490" refreshError="1"/>
      <sheetData sheetId="16491" refreshError="1"/>
      <sheetData sheetId="16492" refreshError="1"/>
      <sheetData sheetId="16493" refreshError="1"/>
      <sheetData sheetId="16494" refreshError="1"/>
      <sheetData sheetId="16495" refreshError="1"/>
      <sheetData sheetId="16496" refreshError="1"/>
      <sheetData sheetId="16497" refreshError="1"/>
      <sheetData sheetId="16498" refreshError="1"/>
      <sheetData sheetId="16499" refreshError="1"/>
      <sheetData sheetId="16500" refreshError="1"/>
      <sheetData sheetId="16501" refreshError="1"/>
      <sheetData sheetId="16502" refreshError="1"/>
      <sheetData sheetId="16503" refreshError="1"/>
      <sheetData sheetId="16504" refreshError="1"/>
      <sheetData sheetId="16505" refreshError="1"/>
      <sheetData sheetId="16506"/>
      <sheetData sheetId="16507" refreshError="1"/>
      <sheetData sheetId="16508" refreshError="1"/>
      <sheetData sheetId="16509" refreshError="1"/>
      <sheetData sheetId="16510" refreshError="1"/>
      <sheetData sheetId="16511">
        <row r="2">
          <cell r="K2" t="str">
            <v>Month</v>
          </cell>
        </row>
      </sheetData>
      <sheetData sheetId="16512">
        <row r="1">
          <cell r="B1" t="str">
            <v>Id</v>
          </cell>
        </row>
      </sheetData>
      <sheetData sheetId="16513">
        <row r="2">
          <cell r="K2" t="str">
            <v>Month</v>
          </cell>
        </row>
      </sheetData>
      <sheetData sheetId="16514">
        <row r="2">
          <cell r="K2" t="str">
            <v>Month</v>
          </cell>
        </row>
      </sheetData>
      <sheetData sheetId="16515">
        <row r="2">
          <cell r="K2" t="str">
            <v>Month</v>
          </cell>
        </row>
      </sheetData>
      <sheetData sheetId="16516">
        <row r="1">
          <cell r="B1" t="str">
            <v>Id</v>
          </cell>
        </row>
      </sheetData>
      <sheetData sheetId="16517">
        <row r="1">
          <cell r="B1" t="str">
            <v>Data based on 2015-16 Common SSR</v>
          </cell>
        </row>
      </sheetData>
      <sheetData sheetId="16518" refreshError="1"/>
      <sheetData sheetId="16519" refreshError="1"/>
      <sheetData sheetId="16520" refreshError="1"/>
      <sheetData sheetId="16521" refreshError="1"/>
      <sheetData sheetId="16522" refreshError="1"/>
      <sheetData sheetId="16523">
        <row r="2">
          <cell r="K2" t="str">
            <v>Month</v>
          </cell>
        </row>
      </sheetData>
      <sheetData sheetId="16524">
        <row r="1">
          <cell r="B1" t="str">
            <v>Id</v>
          </cell>
        </row>
      </sheetData>
      <sheetData sheetId="16525">
        <row r="1">
          <cell r="B1" t="str">
            <v>Data based on 2015-16 Common SSR</v>
          </cell>
        </row>
      </sheetData>
      <sheetData sheetId="16526">
        <row r="1">
          <cell r="B1" t="str">
            <v>Id</v>
          </cell>
        </row>
      </sheetData>
      <sheetData sheetId="16527">
        <row r="1">
          <cell r="B1" t="str">
            <v>CPWS SCHEME TO                                                            DISTRICT</v>
          </cell>
        </row>
      </sheetData>
      <sheetData sheetId="16528">
        <row r="1">
          <cell r="B1" t="str">
            <v>Id</v>
          </cell>
        </row>
      </sheetData>
      <sheetData sheetId="16529">
        <row r="1">
          <cell r="B1" t="str">
            <v>Data based on 2015-16 Common SSR</v>
          </cell>
        </row>
      </sheetData>
      <sheetData sheetId="16530">
        <row r="1">
          <cell r="B1" t="str">
            <v>Id</v>
          </cell>
        </row>
      </sheetData>
      <sheetData sheetId="16531">
        <row r="1">
          <cell r="B1" t="str">
            <v>CPWS SCHEME TO                                                            DISTRICT</v>
          </cell>
        </row>
      </sheetData>
      <sheetData sheetId="16532">
        <row r="2">
          <cell r="K2" t="str">
            <v>Month</v>
          </cell>
        </row>
      </sheetData>
      <sheetData sheetId="16533">
        <row r="2">
          <cell r="K2" t="str">
            <v>Month</v>
          </cell>
        </row>
      </sheetData>
      <sheetData sheetId="16534">
        <row r="2">
          <cell r="K2" t="str">
            <v>Month</v>
          </cell>
        </row>
      </sheetData>
      <sheetData sheetId="16535">
        <row r="2">
          <cell r="K2" t="str">
            <v>Month</v>
          </cell>
        </row>
      </sheetData>
      <sheetData sheetId="16536">
        <row r="2">
          <cell r="K2" t="str">
            <v>Month</v>
          </cell>
        </row>
      </sheetData>
      <sheetData sheetId="16537">
        <row r="2">
          <cell r="K2" t="str">
            <v>Month</v>
          </cell>
        </row>
      </sheetData>
      <sheetData sheetId="16538">
        <row r="2">
          <cell r="K2" t="str">
            <v>Month</v>
          </cell>
        </row>
      </sheetData>
      <sheetData sheetId="16539">
        <row r="3">
          <cell r="D3">
            <v>0.2</v>
          </cell>
        </row>
      </sheetData>
      <sheetData sheetId="16540"/>
      <sheetData sheetId="16541"/>
      <sheetData sheetId="16542"/>
      <sheetData sheetId="16543"/>
      <sheetData sheetId="16544"/>
      <sheetData sheetId="16545">
        <row r="2">
          <cell r="K2" t="str">
            <v>Month</v>
          </cell>
        </row>
      </sheetData>
      <sheetData sheetId="16546"/>
      <sheetData sheetId="16547"/>
      <sheetData sheetId="16548">
        <row r="3">
          <cell r="D3">
            <v>0.2</v>
          </cell>
        </row>
      </sheetData>
      <sheetData sheetId="16549">
        <row r="2">
          <cell r="K2" t="str">
            <v>Month</v>
          </cell>
        </row>
      </sheetData>
      <sheetData sheetId="16550"/>
      <sheetData sheetId="16551">
        <row r="3">
          <cell r="D3">
            <v>0.2</v>
          </cell>
        </row>
      </sheetData>
      <sheetData sheetId="16552">
        <row r="3">
          <cell r="D3">
            <v>0.2</v>
          </cell>
        </row>
      </sheetData>
      <sheetData sheetId="16553">
        <row r="158">
          <cell r="H158">
            <v>0.14499999999999999</v>
          </cell>
        </row>
      </sheetData>
      <sheetData sheetId="16554"/>
      <sheetData sheetId="16555">
        <row r="3">
          <cell r="D3">
            <v>0.2</v>
          </cell>
        </row>
      </sheetData>
      <sheetData sheetId="16556"/>
      <sheetData sheetId="16557"/>
      <sheetData sheetId="16558"/>
      <sheetData sheetId="16559"/>
      <sheetData sheetId="16560"/>
      <sheetData sheetId="16561"/>
      <sheetData sheetId="16562"/>
      <sheetData sheetId="16563"/>
      <sheetData sheetId="16564"/>
      <sheetData sheetId="16565"/>
      <sheetData sheetId="16566"/>
      <sheetData sheetId="16567"/>
      <sheetData sheetId="16568"/>
      <sheetData sheetId="16569"/>
      <sheetData sheetId="16570"/>
      <sheetData sheetId="16571"/>
      <sheetData sheetId="16572"/>
      <sheetData sheetId="16573"/>
      <sheetData sheetId="16574" refreshError="1"/>
      <sheetData sheetId="16575" refreshError="1"/>
      <sheetData sheetId="16576" refreshError="1"/>
      <sheetData sheetId="16577" refreshError="1"/>
      <sheetData sheetId="16578" refreshError="1"/>
      <sheetData sheetId="16579" refreshError="1"/>
      <sheetData sheetId="16580" refreshError="1"/>
      <sheetData sheetId="16581" refreshError="1"/>
      <sheetData sheetId="16582" refreshError="1"/>
      <sheetData sheetId="16583" refreshError="1"/>
      <sheetData sheetId="16584" refreshError="1"/>
      <sheetData sheetId="16585" refreshError="1"/>
      <sheetData sheetId="16586" refreshError="1"/>
      <sheetData sheetId="16587" refreshError="1"/>
      <sheetData sheetId="16588" refreshError="1"/>
      <sheetData sheetId="16589" refreshError="1"/>
      <sheetData sheetId="16590" refreshError="1"/>
      <sheetData sheetId="16591" refreshError="1"/>
      <sheetData sheetId="16592" refreshError="1"/>
      <sheetData sheetId="16593" refreshError="1"/>
      <sheetData sheetId="16594">
        <row r="158">
          <cell r="H158">
            <v>0.14499999999999999</v>
          </cell>
        </row>
      </sheetData>
      <sheetData sheetId="16595" refreshError="1"/>
      <sheetData sheetId="16596" refreshError="1"/>
      <sheetData sheetId="16597" refreshError="1"/>
      <sheetData sheetId="16598" refreshError="1"/>
      <sheetData sheetId="16599" refreshError="1"/>
      <sheetData sheetId="16600" refreshError="1"/>
      <sheetData sheetId="16601" refreshError="1"/>
      <sheetData sheetId="16602" refreshError="1"/>
      <sheetData sheetId="16603" refreshError="1"/>
      <sheetData sheetId="16604" refreshError="1"/>
      <sheetData sheetId="16605" refreshError="1"/>
      <sheetData sheetId="16606" refreshError="1"/>
      <sheetData sheetId="16607" refreshError="1"/>
      <sheetData sheetId="16608" refreshError="1"/>
      <sheetData sheetId="16609" refreshError="1"/>
      <sheetData sheetId="16610" refreshError="1"/>
      <sheetData sheetId="16611" refreshError="1"/>
      <sheetData sheetId="16612" refreshError="1"/>
      <sheetData sheetId="16613" refreshError="1"/>
      <sheetData sheetId="16614" refreshError="1"/>
      <sheetData sheetId="16615" refreshError="1"/>
      <sheetData sheetId="16616" refreshError="1"/>
      <sheetData sheetId="16617" refreshError="1"/>
      <sheetData sheetId="16618" refreshError="1"/>
      <sheetData sheetId="16619" refreshError="1"/>
      <sheetData sheetId="16620" refreshError="1"/>
      <sheetData sheetId="16621" refreshError="1"/>
      <sheetData sheetId="16622" refreshError="1"/>
      <sheetData sheetId="16623" refreshError="1"/>
      <sheetData sheetId="16624" refreshError="1"/>
      <sheetData sheetId="16625" refreshError="1"/>
      <sheetData sheetId="16626" refreshError="1"/>
      <sheetData sheetId="16627" refreshError="1"/>
      <sheetData sheetId="16628" refreshError="1"/>
      <sheetData sheetId="16629" refreshError="1"/>
      <sheetData sheetId="16630" refreshError="1"/>
      <sheetData sheetId="16631" refreshError="1"/>
      <sheetData sheetId="16632" refreshError="1"/>
      <sheetData sheetId="16633" refreshError="1"/>
      <sheetData sheetId="16634" refreshError="1"/>
      <sheetData sheetId="16635" refreshError="1"/>
      <sheetData sheetId="16636" refreshError="1"/>
      <sheetData sheetId="16637" refreshError="1"/>
      <sheetData sheetId="16638" refreshError="1"/>
      <sheetData sheetId="16639" refreshError="1"/>
      <sheetData sheetId="16640" refreshError="1"/>
      <sheetData sheetId="16641" refreshError="1"/>
      <sheetData sheetId="16642" refreshError="1"/>
      <sheetData sheetId="16643" refreshError="1"/>
      <sheetData sheetId="16644" refreshError="1"/>
      <sheetData sheetId="16645" refreshError="1"/>
      <sheetData sheetId="16646" refreshError="1"/>
      <sheetData sheetId="16647" refreshError="1"/>
      <sheetData sheetId="16648" refreshError="1"/>
      <sheetData sheetId="16649" refreshError="1"/>
      <sheetData sheetId="16650" refreshError="1"/>
      <sheetData sheetId="16651" refreshError="1"/>
      <sheetData sheetId="16652" refreshError="1"/>
      <sheetData sheetId="16653" refreshError="1"/>
      <sheetData sheetId="16654" refreshError="1"/>
      <sheetData sheetId="16655" refreshError="1"/>
      <sheetData sheetId="16656" refreshError="1"/>
      <sheetData sheetId="16657" refreshError="1"/>
      <sheetData sheetId="16658" refreshError="1"/>
      <sheetData sheetId="16659" refreshError="1"/>
      <sheetData sheetId="16660" refreshError="1"/>
      <sheetData sheetId="16661" refreshError="1"/>
      <sheetData sheetId="16662" refreshError="1"/>
      <sheetData sheetId="16663" refreshError="1"/>
      <sheetData sheetId="16664" refreshError="1"/>
      <sheetData sheetId="16665" refreshError="1"/>
      <sheetData sheetId="16666" refreshError="1"/>
      <sheetData sheetId="16667" refreshError="1"/>
      <sheetData sheetId="16668" refreshError="1"/>
      <sheetData sheetId="16669" refreshError="1"/>
      <sheetData sheetId="16670" refreshError="1"/>
      <sheetData sheetId="16671" refreshError="1"/>
      <sheetData sheetId="16672" refreshError="1"/>
      <sheetData sheetId="16673" refreshError="1"/>
      <sheetData sheetId="16674" refreshError="1"/>
      <sheetData sheetId="16675" refreshError="1"/>
      <sheetData sheetId="16676" refreshError="1"/>
      <sheetData sheetId="16677" refreshError="1"/>
      <sheetData sheetId="16678" refreshError="1"/>
      <sheetData sheetId="16679" refreshError="1"/>
      <sheetData sheetId="16680" refreshError="1"/>
      <sheetData sheetId="16681" refreshError="1"/>
      <sheetData sheetId="16682" refreshError="1"/>
      <sheetData sheetId="16683" refreshError="1"/>
      <sheetData sheetId="16684" refreshError="1"/>
      <sheetData sheetId="16685" refreshError="1"/>
      <sheetData sheetId="16686" refreshError="1"/>
      <sheetData sheetId="16687" refreshError="1"/>
      <sheetData sheetId="16688" refreshError="1"/>
      <sheetData sheetId="16689" refreshError="1"/>
      <sheetData sheetId="16690" refreshError="1"/>
      <sheetData sheetId="16691" refreshError="1"/>
      <sheetData sheetId="16692" refreshError="1"/>
      <sheetData sheetId="16693" refreshError="1"/>
      <sheetData sheetId="16694" refreshError="1"/>
      <sheetData sheetId="16695" refreshError="1"/>
      <sheetData sheetId="16696" refreshError="1"/>
      <sheetData sheetId="16697" refreshError="1"/>
      <sheetData sheetId="16698" refreshError="1"/>
      <sheetData sheetId="16699" refreshError="1"/>
      <sheetData sheetId="16700" refreshError="1"/>
      <sheetData sheetId="16701" refreshError="1"/>
      <sheetData sheetId="16702" refreshError="1"/>
      <sheetData sheetId="16703" refreshError="1"/>
      <sheetData sheetId="16704" refreshError="1"/>
      <sheetData sheetId="16705" refreshError="1"/>
      <sheetData sheetId="16706" refreshError="1"/>
      <sheetData sheetId="16707" refreshError="1"/>
      <sheetData sheetId="16708" refreshError="1"/>
      <sheetData sheetId="16709" refreshError="1"/>
      <sheetData sheetId="16710" refreshError="1"/>
      <sheetData sheetId="16711" refreshError="1"/>
      <sheetData sheetId="16712" refreshError="1"/>
      <sheetData sheetId="16713" refreshError="1"/>
      <sheetData sheetId="16714" refreshError="1"/>
      <sheetData sheetId="16715" refreshError="1"/>
      <sheetData sheetId="16716" refreshError="1"/>
      <sheetData sheetId="16717" refreshError="1"/>
      <sheetData sheetId="16718" refreshError="1"/>
      <sheetData sheetId="16719" refreshError="1"/>
      <sheetData sheetId="16720" refreshError="1"/>
      <sheetData sheetId="16721" refreshError="1"/>
      <sheetData sheetId="16722" refreshError="1"/>
      <sheetData sheetId="16723" refreshError="1"/>
      <sheetData sheetId="16724" refreshError="1"/>
      <sheetData sheetId="16725" refreshError="1"/>
      <sheetData sheetId="16726" refreshError="1"/>
      <sheetData sheetId="16727" refreshError="1"/>
      <sheetData sheetId="16728" refreshError="1"/>
      <sheetData sheetId="16729" refreshError="1"/>
      <sheetData sheetId="16730" refreshError="1"/>
      <sheetData sheetId="16731" refreshError="1"/>
      <sheetData sheetId="16732" refreshError="1"/>
      <sheetData sheetId="16733" refreshError="1"/>
      <sheetData sheetId="16734" refreshError="1"/>
      <sheetData sheetId="16735" refreshError="1"/>
      <sheetData sheetId="16736" refreshError="1"/>
      <sheetData sheetId="16737" refreshError="1"/>
      <sheetData sheetId="16738" refreshError="1"/>
      <sheetData sheetId="16739" refreshError="1"/>
      <sheetData sheetId="16740" refreshError="1"/>
      <sheetData sheetId="16741" refreshError="1"/>
      <sheetData sheetId="16742" refreshError="1"/>
      <sheetData sheetId="16743" refreshError="1"/>
      <sheetData sheetId="16744" refreshError="1"/>
      <sheetData sheetId="16745" refreshError="1"/>
      <sheetData sheetId="16746" refreshError="1"/>
      <sheetData sheetId="16747" refreshError="1"/>
      <sheetData sheetId="16748" refreshError="1"/>
      <sheetData sheetId="16749" refreshError="1"/>
      <sheetData sheetId="16750" refreshError="1"/>
      <sheetData sheetId="16751" refreshError="1"/>
      <sheetData sheetId="16752" refreshError="1"/>
      <sheetData sheetId="16753" refreshError="1"/>
      <sheetData sheetId="16754" refreshError="1"/>
      <sheetData sheetId="16755" refreshError="1"/>
      <sheetData sheetId="16756" refreshError="1"/>
      <sheetData sheetId="16757" refreshError="1"/>
      <sheetData sheetId="16758" refreshError="1"/>
      <sheetData sheetId="16759" refreshError="1"/>
      <sheetData sheetId="16760" refreshError="1"/>
      <sheetData sheetId="16761" refreshError="1"/>
      <sheetData sheetId="16762" refreshError="1"/>
      <sheetData sheetId="16763" refreshError="1"/>
      <sheetData sheetId="16764" refreshError="1"/>
      <sheetData sheetId="16765" refreshError="1"/>
      <sheetData sheetId="16766" refreshError="1"/>
      <sheetData sheetId="16767" refreshError="1"/>
      <sheetData sheetId="16768" refreshError="1"/>
      <sheetData sheetId="16769" refreshError="1"/>
      <sheetData sheetId="16770" refreshError="1"/>
      <sheetData sheetId="16771" refreshError="1"/>
      <sheetData sheetId="16772" refreshError="1"/>
      <sheetData sheetId="16773" refreshError="1"/>
      <sheetData sheetId="16774" refreshError="1"/>
      <sheetData sheetId="16775" refreshError="1"/>
      <sheetData sheetId="16776" refreshError="1"/>
      <sheetData sheetId="16777" refreshError="1"/>
      <sheetData sheetId="16778" refreshError="1"/>
      <sheetData sheetId="16779" refreshError="1"/>
      <sheetData sheetId="16780" refreshError="1"/>
      <sheetData sheetId="16781" refreshError="1"/>
      <sheetData sheetId="16782" refreshError="1"/>
      <sheetData sheetId="16783" refreshError="1"/>
      <sheetData sheetId="16784" refreshError="1"/>
      <sheetData sheetId="16785" refreshError="1"/>
      <sheetData sheetId="16786" refreshError="1"/>
      <sheetData sheetId="16787" refreshError="1"/>
      <sheetData sheetId="16788" refreshError="1"/>
      <sheetData sheetId="16789" refreshError="1"/>
      <sheetData sheetId="16790" refreshError="1"/>
      <sheetData sheetId="16791" refreshError="1"/>
      <sheetData sheetId="16792" refreshError="1"/>
      <sheetData sheetId="16793" refreshError="1"/>
      <sheetData sheetId="16794" refreshError="1"/>
      <sheetData sheetId="16795" refreshError="1"/>
      <sheetData sheetId="16796" refreshError="1"/>
      <sheetData sheetId="16797" refreshError="1"/>
      <sheetData sheetId="16798" refreshError="1"/>
      <sheetData sheetId="16799" refreshError="1"/>
      <sheetData sheetId="16800" refreshError="1"/>
      <sheetData sheetId="16801" refreshError="1"/>
      <sheetData sheetId="16802" refreshError="1"/>
      <sheetData sheetId="16803" refreshError="1"/>
      <sheetData sheetId="16804" refreshError="1"/>
      <sheetData sheetId="16805" refreshError="1"/>
      <sheetData sheetId="16806" refreshError="1"/>
      <sheetData sheetId="16807" refreshError="1"/>
      <sheetData sheetId="16808" refreshError="1"/>
      <sheetData sheetId="16809" refreshError="1"/>
      <sheetData sheetId="16810" refreshError="1"/>
      <sheetData sheetId="16811" refreshError="1"/>
      <sheetData sheetId="16812" refreshError="1"/>
      <sheetData sheetId="16813" refreshError="1"/>
      <sheetData sheetId="16814" refreshError="1"/>
      <sheetData sheetId="16815" refreshError="1"/>
      <sheetData sheetId="16816" refreshError="1"/>
      <sheetData sheetId="16817" refreshError="1"/>
      <sheetData sheetId="16818" refreshError="1"/>
      <sheetData sheetId="16819" refreshError="1"/>
      <sheetData sheetId="16820" refreshError="1"/>
      <sheetData sheetId="16821" refreshError="1"/>
      <sheetData sheetId="16822" refreshError="1"/>
      <sheetData sheetId="16823" refreshError="1"/>
      <sheetData sheetId="16824" refreshError="1"/>
      <sheetData sheetId="16825" refreshError="1"/>
      <sheetData sheetId="16826" refreshError="1"/>
      <sheetData sheetId="16827" refreshError="1"/>
      <sheetData sheetId="16828" refreshError="1"/>
      <sheetData sheetId="16829" refreshError="1"/>
      <sheetData sheetId="16830" refreshError="1"/>
      <sheetData sheetId="16831" refreshError="1"/>
      <sheetData sheetId="16832" refreshError="1"/>
      <sheetData sheetId="16833" refreshError="1"/>
      <sheetData sheetId="16834" refreshError="1"/>
      <sheetData sheetId="16835" refreshError="1"/>
      <sheetData sheetId="16836" refreshError="1"/>
      <sheetData sheetId="16837" refreshError="1"/>
      <sheetData sheetId="16838" refreshError="1"/>
      <sheetData sheetId="16839" refreshError="1"/>
      <sheetData sheetId="16840" refreshError="1"/>
      <sheetData sheetId="16841" refreshError="1"/>
      <sheetData sheetId="16842" refreshError="1"/>
      <sheetData sheetId="16843" refreshError="1"/>
      <sheetData sheetId="16844" refreshError="1"/>
      <sheetData sheetId="16845" refreshError="1"/>
      <sheetData sheetId="16846" refreshError="1"/>
      <sheetData sheetId="16847" refreshError="1"/>
      <sheetData sheetId="16848" refreshError="1"/>
      <sheetData sheetId="16849" refreshError="1"/>
      <sheetData sheetId="16850" refreshError="1"/>
      <sheetData sheetId="16851" refreshError="1"/>
      <sheetData sheetId="16852" refreshError="1"/>
      <sheetData sheetId="16853" refreshError="1"/>
      <sheetData sheetId="16854" refreshError="1"/>
      <sheetData sheetId="16855" refreshError="1"/>
      <sheetData sheetId="16856" refreshError="1"/>
      <sheetData sheetId="16857" refreshError="1"/>
      <sheetData sheetId="16858" refreshError="1"/>
      <sheetData sheetId="16859" refreshError="1"/>
      <sheetData sheetId="16860" refreshError="1"/>
      <sheetData sheetId="16861" refreshError="1"/>
      <sheetData sheetId="16862" refreshError="1"/>
      <sheetData sheetId="16863" refreshError="1"/>
      <sheetData sheetId="16864" refreshError="1"/>
      <sheetData sheetId="16865" refreshError="1"/>
      <sheetData sheetId="16866" refreshError="1"/>
      <sheetData sheetId="16867" refreshError="1"/>
      <sheetData sheetId="16868" refreshError="1"/>
      <sheetData sheetId="16869" refreshError="1"/>
      <sheetData sheetId="16870" refreshError="1"/>
      <sheetData sheetId="16871" refreshError="1"/>
      <sheetData sheetId="16872" refreshError="1"/>
      <sheetData sheetId="16873" refreshError="1"/>
      <sheetData sheetId="16874" refreshError="1"/>
      <sheetData sheetId="16875" refreshError="1"/>
      <sheetData sheetId="16876" refreshError="1"/>
      <sheetData sheetId="16877" refreshError="1"/>
      <sheetData sheetId="16878" refreshError="1"/>
      <sheetData sheetId="16879" refreshError="1"/>
      <sheetData sheetId="16880" refreshError="1"/>
      <sheetData sheetId="16881" refreshError="1"/>
      <sheetData sheetId="16882" refreshError="1"/>
      <sheetData sheetId="16883" refreshError="1"/>
      <sheetData sheetId="16884" refreshError="1"/>
      <sheetData sheetId="16885" refreshError="1"/>
      <sheetData sheetId="16886" refreshError="1"/>
      <sheetData sheetId="16887" refreshError="1"/>
      <sheetData sheetId="16888" refreshError="1"/>
      <sheetData sheetId="16889" refreshError="1"/>
      <sheetData sheetId="16890" refreshError="1"/>
      <sheetData sheetId="16891" refreshError="1"/>
      <sheetData sheetId="16892" refreshError="1"/>
      <sheetData sheetId="16893" refreshError="1"/>
      <sheetData sheetId="16894" refreshError="1"/>
      <sheetData sheetId="16895" refreshError="1"/>
      <sheetData sheetId="16896" refreshError="1"/>
      <sheetData sheetId="16897" refreshError="1"/>
      <sheetData sheetId="16898" refreshError="1"/>
      <sheetData sheetId="16899" refreshError="1"/>
      <sheetData sheetId="16900" refreshError="1"/>
      <sheetData sheetId="16901" refreshError="1"/>
      <sheetData sheetId="16902" refreshError="1"/>
      <sheetData sheetId="16903" refreshError="1"/>
      <sheetData sheetId="16904" refreshError="1"/>
      <sheetData sheetId="16905" refreshError="1"/>
      <sheetData sheetId="16906" refreshError="1"/>
      <sheetData sheetId="16907" refreshError="1"/>
      <sheetData sheetId="16908" refreshError="1"/>
      <sheetData sheetId="16909" refreshError="1"/>
      <sheetData sheetId="16910" refreshError="1"/>
      <sheetData sheetId="16911" refreshError="1"/>
      <sheetData sheetId="16912" refreshError="1"/>
      <sheetData sheetId="16913" refreshError="1"/>
      <sheetData sheetId="16914" refreshError="1"/>
      <sheetData sheetId="16915" refreshError="1"/>
      <sheetData sheetId="16916" refreshError="1"/>
      <sheetData sheetId="16917" refreshError="1"/>
      <sheetData sheetId="16918" refreshError="1"/>
      <sheetData sheetId="16919" refreshError="1"/>
      <sheetData sheetId="16920" refreshError="1"/>
      <sheetData sheetId="16921"/>
      <sheetData sheetId="16922"/>
      <sheetData sheetId="16923"/>
      <sheetData sheetId="16924"/>
      <sheetData sheetId="16925"/>
      <sheetData sheetId="16926"/>
      <sheetData sheetId="16927"/>
      <sheetData sheetId="16928">
        <row r="2">
          <cell r="K2" t="str">
            <v>Month</v>
          </cell>
        </row>
      </sheetData>
      <sheetData sheetId="16929"/>
      <sheetData sheetId="16930" refreshError="1"/>
      <sheetData sheetId="16931"/>
      <sheetData sheetId="16932" refreshError="1"/>
      <sheetData sheetId="16933" refreshError="1"/>
      <sheetData sheetId="16934" refreshError="1"/>
      <sheetData sheetId="16935" refreshError="1"/>
      <sheetData sheetId="16936" refreshError="1"/>
      <sheetData sheetId="16937" refreshError="1"/>
      <sheetData sheetId="16938" refreshError="1"/>
      <sheetData sheetId="16939" refreshError="1"/>
      <sheetData sheetId="16940" refreshError="1"/>
      <sheetData sheetId="16941" refreshError="1"/>
      <sheetData sheetId="16942" refreshError="1"/>
      <sheetData sheetId="16943" refreshError="1"/>
      <sheetData sheetId="16944">
        <row r="2">
          <cell r="K2" t="str">
            <v>Month</v>
          </cell>
        </row>
      </sheetData>
      <sheetData sheetId="16945">
        <row r="1">
          <cell r="B1" t="str">
            <v>Id</v>
          </cell>
        </row>
      </sheetData>
      <sheetData sheetId="16946">
        <row r="2">
          <cell r="K2" t="str">
            <v>Month</v>
          </cell>
        </row>
      </sheetData>
      <sheetData sheetId="16947">
        <row r="2">
          <cell r="K2" t="str">
            <v>Month</v>
          </cell>
        </row>
      </sheetData>
      <sheetData sheetId="16948">
        <row r="1">
          <cell r="B1" t="str">
            <v>Id</v>
          </cell>
        </row>
      </sheetData>
      <sheetData sheetId="16949">
        <row r="1">
          <cell r="B1" t="str">
            <v>Id</v>
          </cell>
        </row>
      </sheetData>
      <sheetData sheetId="16950">
        <row r="1">
          <cell r="B1" t="str">
            <v>Id</v>
          </cell>
        </row>
      </sheetData>
      <sheetData sheetId="16951">
        <row r="1">
          <cell r="B1" t="str">
            <v>Id</v>
          </cell>
        </row>
      </sheetData>
      <sheetData sheetId="16952">
        <row r="1">
          <cell r="B1" t="str">
            <v>Id</v>
          </cell>
        </row>
      </sheetData>
      <sheetData sheetId="16953">
        <row r="1">
          <cell r="B1" t="str">
            <v>Id</v>
          </cell>
        </row>
      </sheetData>
      <sheetData sheetId="16954">
        <row r="1">
          <cell r="B1" t="str">
            <v>Id</v>
          </cell>
        </row>
      </sheetData>
      <sheetData sheetId="16955">
        <row r="1">
          <cell r="B1" t="str">
            <v>Id</v>
          </cell>
        </row>
      </sheetData>
      <sheetData sheetId="16956">
        <row r="3">
          <cell r="D3">
            <v>0.2</v>
          </cell>
        </row>
      </sheetData>
      <sheetData sheetId="16957">
        <row r="3">
          <cell r="D3">
            <v>0.2</v>
          </cell>
        </row>
      </sheetData>
      <sheetData sheetId="16958" refreshError="1"/>
      <sheetData sheetId="16959" refreshError="1"/>
      <sheetData sheetId="16960" refreshError="1"/>
      <sheetData sheetId="16961" refreshError="1"/>
      <sheetData sheetId="16962" refreshError="1"/>
      <sheetData sheetId="16963" refreshError="1"/>
      <sheetData sheetId="16964" refreshError="1"/>
      <sheetData sheetId="16965" refreshError="1"/>
      <sheetData sheetId="16966" refreshError="1"/>
      <sheetData sheetId="16967" refreshError="1"/>
      <sheetData sheetId="16968" refreshError="1"/>
      <sheetData sheetId="16969" refreshError="1"/>
      <sheetData sheetId="16970" refreshError="1"/>
      <sheetData sheetId="16971" refreshError="1"/>
      <sheetData sheetId="16972" refreshError="1"/>
      <sheetData sheetId="16973" refreshError="1"/>
      <sheetData sheetId="16974" refreshError="1"/>
      <sheetData sheetId="16975" refreshError="1"/>
      <sheetData sheetId="16976" refreshError="1"/>
      <sheetData sheetId="16977" refreshError="1"/>
      <sheetData sheetId="16978" refreshError="1"/>
      <sheetData sheetId="16979" refreshError="1"/>
      <sheetData sheetId="16980" refreshError="1"/>
      <sheetData sheetId="16981" refreshError="1"/>
      <sheetData sheetId="16982" refreshError="1"/>
      <sheetData sheetId="16983" refreshError="1"/>
      <sheetData sheetId="16984" refreshError="1"/>
      <sheetData sheetId="16985" refreshError="1"/>
      <sheetData sheetId="16986" refreshError="1"/>
      <sheetData sheetId="16987" refreshError="1"/>
      <sheetData sheetId="16988" refreshError="1"/>
      <sheetData sheetId="16989" refreshError="1"/>
      <sheetData sheetId="16990" refreshError="1"/>
      <sheetData sheetId="16991" refreshError="1"/>
      <sheetData sheetId="16992" refreshError="1"/>
      <sheetData sheetId="16993" refreshError="1"/>
      <sheetData sheetId="16994" refreshError="1"/>
      <sheetData sheetId="16995" refreshError="1"/>
      <sheetData sheetId="16996" refreshError="1"/>
      <sheetData sheetId="16997" refreshError="1"/>
      <sheetData sheetId="16998" refreshError="1"/>
      <sheetData sheetId="16999" refreshError="1"/>
      <sheetData sheetId="17000" refreshError="1"/>
      <sheetData sheetId="17001" refreshError="1"/>
      <sheetData sheetId="17002" refreshError="1"/>
      <sheetData sheetId="17003" refreshError="1"/>
      <sheetData sheetId="17004" refreshError="1"/>
      <sheetData sheetId="17005" refreshError="1"/>
      <sheetData sheetId="17006" refreshError="1"/>
      <sheetData sheetId="17007" refreshError="1"/>
      <sheetData sheetId="17008" refreshError="1"/>
      <sheetData sheetId="17009" refreshError="1"/>
      <sheetData sheetId="17010" refreshError="1"/>
      <sheetData sheetId="17011" refreshError="1"/>
      <sheetData sheetId="17012" refreshError="1"/>
      <sheetData sheetId="17013" refreshError="1"/>
      <sheetData sheetId="17014" refreshError="1"/>
      <sheetData sheetId="17015" refreshError="1"/>
      <sheetData sheetId="17016" refreshError="1"/>
      <sheetData sheetId="17017" refreshError="1"/>
      <sheetData sheetId="17018" refreshError="1"/>
      <sheetData sheetId="17019" refreshError="1"/>
      <sheetData sheetId="17020" refreshError="1"/>
      <sheetData sheetId="17021" refreshError="1"/>
      <sheetData sheetId="17022" refreshError="1"/>
      <sheetData sheetId="17023" refreshError="1"/>
      <sheetData sheetId="17024" refreshError="1"/>
      <sheetData sheetId="17025" refreshError="1"/>
      <sheetData sheetId="17026" refreshError="1"/>
      <sheetData sheetId="17027" refreshError="1"/>
      <sheetData sheetId="17028" refreshError="1"/>
      <sheetData sheetId="17029" refreshError="1"/>
      <sheetData sheetId="17030" refreshError="1"/>
      <sheetData sheetId="17031" refreshError="1"/>
      <sheetData sheetId="17032" refreshError="1"/>
      <sheetData sheetId="17033" refreshError="1"/>
      <sheetData sheetId="17034" refreshError="1"/>
      <sheetData sheetId="17035" refreshError="1"/>
      <sheetData sheetId="17036" refreshError="1"/>
      <sheetData sheetId="17037" refreshError="1"/>
      <sheetData sheetId="17038" refreshError="1"/>
      <sheetData sheetId="17039" refreshError="1"/>
      <sheetData sheetId="17040" refreshError="1"/>
      <sheetData sheetId="17041" refreshError="1"/>
      <sheetData sheetId="17042" refreshError="1"/>
      <sheetData sheetId="17043" refreshError="1"/>
      <sheetData sheetId="17044" refreshError="1"/>
      <sheetData sheetId="17045" refreshError="1"/>
      <sheetData sheetId="17046" refreshError="1"/>
      <sheetData sheetId="17047" refreshError="1"/>
      <sheetData sheetId="17048" refreshError="1"/>
      <sheetData sheetId="17049" refreshError="1"/>
      <sheetData sheetId="17050" refreshError="1"/>
      <sheetData sheetId="17051" refreshError="1"/>
      <sheetData sheetId="17052" refreshError="1"/>
      <sheetData sheetId="17053" refreshError="1"/>
      <sheetData sheetId="17054" refreshError="1"/>
      <sheetData sheetId="17055" refreshError="1"/>
      <sheetData sheetId="17056" refreshError="1"/>
      <sheetData sheetId="17057" refreshError="1"/>
      <sheetData sheetId="17058" refreshError="1"/>
      <sheetData sheetId="17059" refreshError="1"/>
      <sheetData sheetId="17060" refreshError="1"/>
      <sheetData sheetId="17061" refreshError="1"/>
      <sheetData sheetId="17062" refreshError="1"/>
      <sheetData sheetId="17063" refreshError="1"/>
      <sheetData sheetId="17064" refreshError="1"/>
      <sheetData sheetId="17065" refreshError="1"/>
      <sheetData sheetId="17066" refreshError="1"/>
      <sheetData sheetId="17067" refreshError="1"/>
      <sheetData sheetId="17068" refreshError="1"/>
      <sheetData sheetId="17069" refreshError="1"/>
      <sheetData sheetId="17070" refreshError="1"/>
      <sheetData sheetId="17071" refreshError="1"/>
      <sheetData sheetId="17072" refreshError="1"/>
      <sheetData sheetId="17073" refreshError="1"/>
      <sheetData sheetId="17074" refreshError="1"/>
      <sheetData sheetId="17075" refreshError="1"/>
      <sheetData sheetId="17076" refreshError="1"/>
      <sheetData sheetId="17077" refreshError="1"/>
      <sheetData sheetId="17078" refreshError="1"/>
      <sheetData sheetId="17079" refreshError="1"/>
      <sheetData sheetId="17080" refreshError="1"/>
      <sheetData sheetId="17081" refreshError="1"/>
      <sheetData sheetId="17082" refreshError="1"/>
      <sheetData sheetId="17083" refreshError="1"/>
      <sheetData sheetId="17084" refreshError="1"/>
      <sheetData sheetId="17085" refreshError="1"/>
      <sheetData sheetId="17086" refreshError="1"/>
      <sheetData sheetId="17087" refreshError="1"/>
      <sheetData sheetId="17088" refreshError="1"/>
      <sheetData sheetId="17089" refreshError="1"/>
      <sheetData sheetId="17090" refreshError="1"/>
      <sheetData sheetId="17091" refreshError="1"/>
      <sheetData sheetId="17092" refreshError="1"/>
      <sheetData sheetId="17093" refreshError="1"/>
      <sheetData sheetId="17094" refreshError="1"/>
      <sheetData sheetId="17095" refreshError="1"/>
      <sheetData sheetId="17096" refreshError="1"/>
      <sheetData sheetId="17097" refreshError="1"/>
      <sheetData sheetId="17098" refreshError="1"/>
      <sheetData sheetId="17099" refreshError="1"/>
      <sheetData sheetId="17100" refreshError="1"/>
      <sheetData sheetId="17101" refreshError="1"/>
      <sheetData sheetId="17102" refreshError="1"/>
      <sheetData sheetId="17103" refreshError="1"/>
      <sheetData sheetId="17104" refreshError="1"/>
      <sheetData sheetId="17105" refreshError="1"/>
      <sheetData sheetId="17106" refreshError="1"/>
      <sheetData sheetId="17107" refreshError="1"/>
      <sheetData sheetId="17108" refreshError="1"/>
      <sheetData sheetId="17109" refreshError="1"/>
      <sheetData sheetId="17110" refreshError="1"/>
      <sheetData sheetId="17111" refreshError="1"/>
      <sheetData sheetId="17112" refreshError="1"/>
      <sheetData sheetId="17113" refreshError="1"/>
      <sheetData sheetId="17114" refreshError="1"/>
      <sheetData sheetId="17115" refreshError="1"/>
      <sheetData sheetId="17116" refreshError="1"/>
      <sheetData sheetId="17117" refreshError="1"/>
      <sheetData sheetId="17118" refreshError="1"/>
      <sheetData sheetId="17119" refreshError="1"/>
      <sheetData sheetId="17120" refreshError="1"/>
      <sheetData sheetId="17121" refreshError="1"/>
      <sheetData sheetId="17122" refreshError="1"/>
      <sheetData sheetId="17123" refreshError="1"/>
      <sheetData sheetId="17124" refreshError="1"/>
      <sheetData sheetId="17125" refreshError="1"/>
      <sheetData sheetId="17126" refreshError="1"/>
      <sheetData sheetId="17127" refreshError="1"/>
      <sheetData sheetId="17128" refreshError="1"/>
      <sheetData sheetId="17129" refreshError="1"/>
      <sheetData sheetId="17130" refreshError="1"/>
      <sheetData sheetId="17131" refreshError="1"/>
      <sheetData sheetId="17132" refreshError="1"/>
      <sheetData sheetId="17133" refreshError="1"/>
      <sheetData sheetId="17134" refreshError="1"/>
      <sheetData sheetId="17135" refreshError="1"/>
      <sheetData sheetId="17136" refreshError="1"/>
      <sheetData sheetId="17137" refreshError="1"/>
      <sheetData sheetId="17138" refreshError="1"/>
      <sheetData sheetId="17139" refreshError="1"/>
      <sheetData sheetId="17140" refreshError="1"/>
      <sheetData sheetId="17141" refreshError="1"/>
      <sheetData sheetId="17142" refreshError="1"/>
      <sheetData sheetId="17143" refreshError="1"/>
      <sheetData sheetId="17144" refreshError="1"/>
      <sheetData sheetId="17145" refreshError="1"/>
      <sheetData sheetId="17146" refreshError="1"/>
      <sheetData sheetId="17147" refreshError="1"/>
      <sheetData sheetId="17148" refreshError="1"/>
      <sheetData sheetId="17149" refreshError="1"/>
      <sheetData sheetId="17150" refreshError="1"/>
      <sheetData sheetId="17151" refreshError="1"/>
      <sheetData sheetId="17152" refreshError="1"/>
      <sheetData sheetId="17153" refreshError="1"/>
      <sheetData sheetId="17154" refreshError="1"/>
      <sheetData sheetId="17155" refreshError="1"/>
      <sheetData sheetId="17156" refreshError="1"/>
      <sheetData sheetId="17157" refreshError="1"/>
      <sheetData sheetId="17158" refreshError="1"/>
      <sheetData sheetId="17159" refreshError="1"/>
      <sheetData sheetId="17160" refreshError="1"/>
      <sheetData sheetId="17161" refreshError="1"/>
      <sheetData sheetId="17162" refreshError="1"/>
      <sheetData sheetId="17163" refreshError="1"/>
      <sheetData sheetId="17164" refreshError="1"/>
      <sheetData sheetId="17165" refreshError="1"/>
      <sheetData sheetId="17166" refreshError="1"/>
      <sheetData sheetId="17167" refreshError="1"/>
      <sheetData sheetId="17168" refreshError="1"/>
      <sheetData sheetId="17169" refreshError="1"/>
      <sheetData sheetId="17170" refreshError="1"/>
      <sheetData sheetId="17171" refreshError="1"/>
      <sheetData sheetId="17172" refreshError="1"/>
      <sheetData sheetId="17173" refreshError="1"/>
      <sheetData sheetId="17174" refreshError="1"/>
      <sheetData sheetId="17175" refreshError="1"/>
      <sheetData sheetId="17176" refreshError="1"/>
      <sheetData sheetId="17177" refreshError="1"/>
      <sheetData sheetId="17178" refreshError="1"/>
      <sheetData sheetId="17179" refreshError="1"/>
      <sheetData sheetId="17180" refreshError="1"/>
      <sheetData sheetId="17181" refreshError="1"/>
      <sheetData sheetId="17182" refreshError="1"/>
      <sheetData sheetId="17183" refreshError="1"/>
      <sheetData sheetId="17184" refreshError="1"/>
      <sheetData sheetId="17185" refreshError="1"/>
      <sheetData sheetId="17186" refreshError="1"/>
      <sheetData sheetId="17187" refreshError="1"/>
      <sheetData sheetId="17188" refreshError="1"/>
      <sheetData sheetId="17189" refreshError="1"/>
      <sheetData sheetId="17190" refreshError="1"/>
      <sheetData sheetId="17191" refreshError="1"/>
      <sheetData sheetId="17192" refreshError="1"/>
      <sheetData sheetId="17193" refreshError="1"/>
      <sheetData sheetId="17194" refreshError="1"/>
      <sheetData sheetId="17195" refreshError="1"/>
      <sheetData sheetId="17196" refreshError="1"/>
      <sheetData sheetId="17197" refreshError="1"/>
      <sheetData sheetId="17198" refreshError="1"/>
      <sheetData sheetId="17199" refreshError="1"/>
      <sheetData sheetId="17200" refreshError="1"/>
      <sheetData sheetId="17201" refreshError="1"/>
      <sheetData sheetId="17202" refreshError="1"/>
      <sheetData sheetId="17203" refreshError="1"/>
      <sheetData sheetId="17204" refreshError="1"/>
      <sheetData sheetId="17205" refreshError="1"/>
      <sheetData sheetId="17206" refreshError="1"/>
      <sheetData sheetId="17207" refreshError="1"/>
      <sheetData sheetId="17208" refreshError="1"/>
      <sheetData sheetId="17209" refreshError="1"/>
      <sheetData sheetId="17210" refreshError="1"/>
      <sheetData sheetId="17211" refreshError="1"/>
      <sheetData sheetId="17212" refreshError="1"/>
      <sheetData sheetId="17213" refreshError="1"/>
      <sheetData sheetId="17214" refreshError="1"/>
      <sheetData sheetId="17215" refreshError="1"/>
      <sheetData sheetId="17216" refreshError="1"/>
      <sheetData sheetId="17217" refreshError="1"/>
      <sheetData sheetId="17218" refreshError="1"/>
      <sheetData sheetId="17219" refreshError="1"/>
      <sheetData sheetId="17220" refreshError="1"/>
      <sheetData sheetId="17221" refreshError="1"/>
      <sheetData sheetId="17222" refreshError="1"/>
      <sheetData sheetId="17223" refreshError="1"/>
      <sheetData sheetId="17224" refreshError="1"/>
      <sheetData sheetId="17225" refreshError="1"/>
      <sheetData sheetId="17226" refreshError="1"/>
      <sheetData sheetId="17227" refreshError="1"/>
      <sheetData sheetId="17228" refreshError="1"/>
      <sheetData sheetId="17229" refreshError="1"/>
      <sheetData sheetId="17230" refreshError="1"/>
      <sheetData sheetId="17231" refreshError="1"/>
      <sheetData sheetId="17232" refreshError="1"/>
      <sheetData sheetId="17233" refreshError="1"/>
      <sheetData sheetId="17234" refreshError="1"/>
      <sheetData sheetId="17235" refreshError="1"/>
      <sheetData sheetId="17236" refreshError="1"/>
      <sheetData sheetId="17237" refreshError="1"/>
      <sheetData sheetId="17238" refreshError="1"/>
      <sheetData sheetId="17239" refreshError="1"/>
      <sheetData sheetId="17240" refreshError="1"/>
      <sheetData sheetId="17241" refreshError="1"/>
      <sheetData sheetId="17242" refreshError="1"/>
      <sheetData sheetId="17243" refreshError="1"/>
      <sheetData sheetId="17244" refreshError="1"/>
      <sheetData sheetId="17245" refreshError="1"/>
      <sheetData sheetId="17246" refreshError="1"/>
      <sheetData sheetId="17247" refreshError="1"/>
      <sheetData sheetId="17248" refreshError="1"/>
      <sheetData sheetId="17249" refreshError="1"/>
      <sheetData sheetId="17250" refreshError="1"/>
      <sheetData sheetId="17251" refreshError="1"/>
      <sheetData sheetId="17252" refreshError="1"/>
      <sheetData sheetId="17253" refreshError="1"/>
      <sheetData sheetId="17254" refreshError="1"/>
      <sheetData sheetId="17255" refreshError="1"/>
      <sheetData sheetId="17256" refreshError="1"/>
      <sheetData sheetId="17257" refreshError="1"/>
      <sheetData sheetId="17258" refreshError="1"/>
      <sheetData sheetId="17259" refreshError="1"/>
      <sheetData sheetId="17260" refreshError="1"/>
      <sheetData sheetId="17261" refreshError="1"/>
      <sheetData sheetId="17262" refreshError="1"/>
      <sheetData sheetId="17263" refreshError="1"/>
      <sheetData sheetId="17264" refreshError="1"/>
      <sheetData sheetId="17265" refreshError="1"/>
      <sheetData sheetId="17266" refreshError="1"/>
      <sheetData sheetId="17267" refreshError="1"/>
      <sheetData sheetId="17268" refreshError="1"/>
      <sheetData sheetId="17269" refreshError="1"/>
      <sheetData sheetId="17270" refreshError="1"/>
      <sheetData sheetId="17271" refreshError="1"/>
      <sheetData sheetId="17272" refreshError="1"/>
      <sheetData sheetId="17273" refreshError="1"/>
      <sheetData sheetId="17274" refreshError="1"/>
      <sheetData sheetId="17275" refreshError="1"/>
      <sheetData sheetId="17276" refreshError="1"/>
      <sheetData sheetId="17277" refreshError="1"/>
      <sheetData sheetId="17278" refreshError="1"/>
      <sheetData sheetId="17279" refreshError="1"/>
      <sheetData sheetId="17280" refreshError="1"/>
      <sheetData sheetId="17281" refreshError="1"/>
      <sheetData sheetId="17282" refreshError="1"/>
      <sheetData sheetId="17283" refreshError="1"/>
      <sheetData sheetId="17284" refreshError="1"/>
      <sheetData sheetId="17285" refreshError="1"/>
      <sheetData sheetId="17286" refreshError="1"/>
      <sheetData sheetId="17287" refreshError="1"/>
      <sheetData sheetId="17288" refreshError="1"/>
      <sheetData sheetId="17289" refreshError="1"/>
      <sheetData sheetId="17290" refreshError="1"/>
      <sheetData sheetId="17291" refreshError="1"/>
      <sheetData sheetId="17292" refreshError="1"/>
      <sheetData sheetId="17293" refreshError="1"/>
      <sheetData sheetId="17294" refreshError="1"/>
      <sheetData sheetId="17295" refreshError="1"/>
      <sheetData sheetId="17296" refreshError="1"/>
      <sheetData sheetId="17297" refreshError="1"/>
      <sheetData sheetId="17298" refreshError="1"/>
      <sheetData sheetId="17299" refreshError="1"/>
      <sheetData sheetId="17300" refreshError="1"/>
      <sheetData sheetId="17301" refreshError="1"/>
      <sheetData sheetId="17302" refreshError="1"/>
      <sheetData sheetId="17303" refreshError="1"/>
      <sheetData sheetId="17304" refreshError="1"/>
      <sheetData sheetId="17305" refreshError="1"/>
      <sheetData sheetId="17306" refreshError="1"/>
      <sheetData sheetId="17307" refreshError="1"/>
      <sheetData sheetId="17308" refreshError="1"/>
      <sheetData sheetId="17309" refreshError="1"/>
      <sheetData sheetId="17310" refreshError="1"/>
      <sheetData sheetId="17311" refreshError="1"/>
      <sheetData sheetId="17312" refreshError="1"/>
      <sheetData sheetId="17313" refreshError="1"/>
      <sheetData sheetId="17314" refreshError="1"/>
      <sheetData sheetId="17315" refreshError="1"/>
      <sheetData sheetId="17316" refreshError="1"/>
      <sheetData sheetId="17317" refreshError="1"/>
      <sheetData sheetId="17318" refreshError="1"/>
      <sheetData sheetId="17319" refreshError="1"/>
      <sheetData sheetId="17320" refreshError="1"/>
      <sheetData sheetId="17321" refreshError="1"/>
      <sheetData sheetId="17322" refreshError="1"/>
      <sheetData sheetId="17323" refreshError="1"/>
      <sheetData sheetId="17324" refreshError="1"/>
      <sheetData sheetId="17325" refreshError="1"/>
      <sheetData sheetId="17326" refreshError="1"/>
      <sheetData sheetId="17327" refreshError="1"/>
      <sheetData sheetId="17328" refreshError="1"/>
      <sheetData sheetId="17329" refreshError="1"/>
      <sheetData sheetId="17330" refreshError="1"/>
      <sheetData sheetId="17331" refreshError="1"/>
      <sheetData sheetId="17332" refreshError="1"/>
      <sheetData sheetId="17333" refreshError="1"/>
      <sheetData sheetId="17334" refreshError="1"/>
      <sheetData sheetId="17335" refreshError="1"/>
      <sheetData sheetId="17336" refreshError="1"/>
      <sheetData sheetId="17337" refreshError="1"/>
      <sheetData sheetId="17338" refreshError="1"/>
      <sheetData sheetId="17339" refreshError="1"/>
      <sheetData sheetId="17340" refreshError="1"/>
      <sheetData sheetId="17341" refreshError="1"/>
      <sheetData sheetId="17342" refreshError="1"/>
      <sheetData sheetId="17343" refreshError="1"/>
      <sheetData sheetId="17344" refreshError="1"/>
      <sheetData sheetId="17345" refreshError="1"/>
      <sheetData sheetId="17346" refreshError="1"/>
      <sheetData sheetId="17347" refreshError="1"/>
      <sheetData sheetId="17348" refreshError="1"/>
      <sheetData sheetId="17349" refreshError="1"/>
      <sheetData sheetId="17350" refreshError="1"/>
      <sheetData sheetId="17351" refreshError="1"/>
      <sheetData sheetId="17352" refreshError="1"/>
      <sheetData sheetId="17353" refreshError="1"/>
      <sheetData sheetId="17354" refreshError="1"/>
      <sheetData sheetId="17355" refreshError="1"/>
      <sheetData sheetId="17356" refreshError="1"/>
      <sheetData sheetId="17357" refreshError="1"/>
      <sheetData sheetId="17358" refreshError="1"/>
      <sheetData sheetId="17359" refreshError="1"/>
      <sheetData sheetId="17360" refreshError="1"/>
      <sheetData sheetId="17361" refreshError="1"/>
      <sheetData sheetId="17362" refreshError="1"/>
      <sheetData sheetId="17363" refreshError="1"/>
      <sheetData sheetId="17364" refreshError="1"/>
      <sheetData sheetId="17365" refreshError="1"/>
      <sheetData sheetId="17366" refreshError="1"/>
      <sheetData sheetId="17367" refreshError="1"/>
      <sheetData sheetId="17368" refreshError="1"/>
      <sheetData sheetId="17369" refreshError="1"/>
      <sheetData sheetId="17370" refreshError="1"/>
      <sheetData sheetId="17371" refreshError="1"/>
      <sheetData sheetId="17372" refreshError="1"/>
      <sheetData sheetId="17373" refreshError="1"/>
      <sheetData sheetId="17374" refreshError="1"/>
      <sheetData sheetId="17375" refreshError="1"/>
      <sheetData sheetId="17376" refreshError="1"/>
      <sheetData sheetId="17377" refreshError="1"/>
      <sheetData sheetId="17378" refreshError="1"/>
      <sheetData sheetId="17379" refreshError="1"/>
      <sheetData sheetId="17380" refreshError="1"/>
      <sheetData sheetId="17381" refreshError="1"/>
      <sheetData sheetId="17382" refreshError="1"/>
      <sheetData sheetId="17383" refreshError="1"/>
      <sheetData sheetId="17384" refreshError="1"/>
      <sheetData sheetId="17385" refreshError="1"/>
      <sheetData sheetId="17386" refreshError="1"/>
      <sheetData sheetId="17387" refreshError="1"/>
      <sheetData sheetId="17388" refreshError="1"/>
      <sheetData sheetId="17389" refreshError="1"/>
      <sheetData sheetId="17390" refreshError="1"/>
      <sheetData sheetId="17391" refreshError="1"/>
      <sheetData sheetId="17392" refreshError="1"/>
      <sheetData sheetId="17393" refreshError="1"/>
      <sheetData sheetId="17394" refreshError="1"/>
      <sheetData sheetId="17395" refreshError="1"/>
      <sheetData sheetId="17396" refreshError="1"/>
      <sheetData sheetId="17397" refreshError="1"/>
      <sheetData sheetId="17398" refreshError="1"/>
      <sheetData sheetId="17399" refreshError="1"/>
      <sheetData sheetId="17400" refreshError="1"/>
      <sheetData sheetId="17401" refreshError="1"/>
      <sheetData sheetId="17402" refreshError="1"/>
      <sheetData sheetId="17403" refreshError="1"/>
      <sheetData sheetId="17404" refreshError="1"/>
      <sheetData sheetId="17405" refreshError="1"/>
      <sheetData sheetId="17406" refreshError="1"/>
      <sheetData sheetId="17407" refreshError="1"/>
      <sheetData sheetId="17408" refreshError="1"/>
      <sheetData sheetId="17409" refreshError="1"/>
      <sheetData sheetId="17410" refreshError="1"/>
      <sheetData sheetId="17411" refreshError="1"/>
      <sheetData sheetId="17412" refreshError="1"/>
      <sheetData sheetId="17413" refreshError="1"/>
      <sheetData sheetId="17414" refreshError="1"/>
      <sheetData sheetId="17415" refreshError="1"/>
      <sheetData sheetId="17416" refreshError="1"/>
      <sheetData sheetId="17417" refreshError="1"/>
      <sheetData sheetId="17418" refreshError="1"/>
      <sheetData sheetId="17419" refreshError="1"/>
      <sheetData sheetId="17420" refreshError="1"/>
      <sheetData sheetId="17421" refreshError="1"/>
      <sheetData sheetId="17422" refreshError="1"/>
      <sheetData sheetId="17423" refreshError="1"/>
      <sheetData sheetId="17424" refreshError="1"/>
      <sheetData sheetId="17425" refreshError="1"/>
      <sheetData sheetId="17426" refreshError="1"/>
      <sheetData sheetId="17427" refreshError="1"/>
      <sheetData sheetId="17428" refreshError="1"/>
      <sheetData sheetId="17429" refreshError="1"/>
      <sheetData sheetId="17430" refreshError="1"/>
      <sheetData sheetId="17431" refreshError="1"/>
      <sheetData sheetId="17432" refreshError="1"/>
      <sheetData sheetId="17433" refreshError="1"/>
      <sheetData sheetId="17434" refreshError="1"/>
      <sheetData sheetId="17435" refreshError="1"/>
      <sheetData sheetId="17436" refreshError="1"/>
      <sheetData sheetId="17437" refreshError="1"/>
      <sheetData sheetId="17438" refreshError="1"/>
      <sheetData sheetId="17439" refreshError="1"/>
      <sheetData sheetId="17440" refreshError="1"/>
      <sheetData sheetId="17441" refreshError="1"/>
      <sheetData sheetId="17442" refreshError="1"/>
      <sheetData sheetId="17443" refreshError="1"/>
      <sheetData sheetId="17444" refreshError="1"/>
      <sheetData sheetId="17445" refreshError="1"/>
      <sheetData sheetId="17446" refreshError="1"/>
      <sheetData sheetId="17447" refreshError="1"/>
      <sheetData sheetId="17448" refreshError="1"/>
      <sheetData sheetId="17449" refreshError="1"/>
      <sheetData sheetId="17450" refreshError="1"/>
      <sheetData sheetId="17451" refreshError="1"/>
      <sheetData sheetId="17452" refreshError="1"/>
      <sheetData sheetId="17453" refreshError="1"/>
      <sheetData sheetId="17454" refreshError="1"/>
      <sheetData sheetId="17455" refreshError="1"/>
      <sheetData sheetId="17456" refreshError="1"/>
      <sheetData sheetId="17457" refreshError="1"/>
      <sheetData sheetId="17458" refreshError="1"/>
      <sheetData sheetId="17459" refreshError="1"/>
      <sheetData sheetId="17460" refreshError="1"/>
      <sheetData sheetId="17461" refreshError="1"/>
      <sheetData sheetId="17462" refreshError="1"/>
      <sheetData sheetId="17463" refreshError="1"/>
      <sheetData sheetId="17464" refreshError="1"/>
      <sheetData sheetId="17465" refreshError="1"/>
      <sheetData sheetId="17466" refreshError="1"/>
      <sheetData sheetId="17467" refreshError="1"/>
      <sheetData sheetId="17468" refreshError="1"/>
      <sheetData sheetId="17469" refreshError="1"/>
      <sheetData sheetId="17470" refreshError="1"/>
      <sheetData sheetId="17471" refreshError="1"/>
      <sheetData sheetId="17472" refreshError="1"/>
      <sheetData sheetId="17473" refreshError="1"/>
      <sheetData sheetId="17474" refreshError="1"/>
      <sheetData sheetId="17475" refreshError="1"/>
      <sheetData sheetId="17476" refreshError="1"/>
      <sheetData sheetId="17477" refreshError="1"/>
      <sheetData sheetId="17478" refreshError="1"/>
      <sheetData sheetId="17479" refreshError="1"/>
      <sheetData sheetId="17480" refreshError="1"/>
      <sheetData sheetId="17481" refreshError="1"/>
      <sheetData sheetId="17482" refreshError="1"/>
      <sheetData sheetId="17483" refreshError="1"/>
      <sheetData sheetId="17484" refreshError="1"/>
      <sheetData sheetId="17485" refreshError="1"/>
      <sheetData sheetId="17486" refreshError="1"/>
      <sheetData sheetId="17487" refreshError="1"/>
      <sheetData sheetId="17488" refreshError="1"/>
      <sheetData sheetId="17489" refreshError="1"/>
      <sheetData sheetId="17490" refreshError="1"/>
      <sheetData sheetId="17491" refreshError="1"/>
      <sheetData sheetId="17492" refreshError="1"/>
      <sheetData sheetId="17493" refreshError="1"/>
      <sheetData sheetId="17494" refreshError="1"/>
      <sheetData sheetId="17495" refreshError="1"/>
      <sheetData sheetId="17496" refreshError="1"/>
      <sheetData sheetId="17497" refreshError="1"/>
      <sheetData sheetId="17498" refreshError="1"/>
      <sheetData sheetId="17499" refreshError="1"/>
      <sheetData sheetId="17500" refreshError="1"/>
      <sheetData sheetId="17501" refreshError="1"/>
      <sheetData sheetId="17502" refreshError="1"/>
      <sheetData sheetId="17503" refreshError="1"/>
      <sheetData sheetId="17504" refreshError="1"/>
      <sheetData sheetId="17505" refreshError="1"/>
      <sheetData sheetId="17506" refreshError="1"/>
      <sheetData sheetId="17507" refreshError="1"/>
      <sheetData sheetId="17508" refreshError="1"/>
      <sheetData sheetId="17509" refreshError="1"/>
      <sheetData sheetId="17510" refreshError="1"/>
      <sheetData sheetId="17511" refreshError="1"/>
      <sheetData sheetId="17512" refreshError="1"/>
      <sheetData sheetId="17513" refreshError="1"/>
      <sheetData sheetId="17514" refreshError="1"/>
      <sheetData sheetId="17515" refreshError="1"/>
      <sheetData sheetId="17516" refreshError="1"/>
      <sheetData sheetId="17517" refreshError="1"/>
      <sheetData sheetId="17518" refreshError="1"/>
      <sheetData sheetId="17519" refreshError="1"/>
      <sheetData sheetId="17520" refreshError="1"/>
      <sheetData sheetId="17521" refreshError="1"/>
      <sheetData sheetId="17522" refreshError="1"/>
      <sheetData sheetId="17523" refreshError="1"/>
      <sheetData sheetId="17524" refreshError="1"/>
      <sheetData sheetId="17525" refreshError="1"/>
      <sheetData sheetId="17526" refreshError="1"/>
      <sheetData sheetId="17527" refreshError="1"/>
      <sheetData sheetId="17528" refreshError="1"/>
      <sheetData sheetId="17529" refreshError="1"/>
      <sheetData sheetId="17530" refreshError="1"/>
      <sheetData sheetId="17531" refreshError="1"/>
      <sheetData sheetId="17532" refreshError="1"/>
      <sheetData sheetId="17533" refreshError="1"/>
      <sheetData sheetId="17534" refreshError="1"/>
      <sheetData sheetId="17535" refreshError="1"/>
      <sheetData sheetId="17536" refreshError="1"/>
      <sheetData sheetId="17537" refreshError="1"/>
      <sheetData sheetId="17538" refreshError="1"/>
      <sheetData sheetId="17539" refreshError="1"/>
      <sheetData sheetId="17540" refreshError="1"/>
      <sheetData sheetId="17541" refreshError="1"/>
      <sheetData sheetId="17542" refreshError="1"/>
      <sheetData sheetId="17543" refreshError="1"/>
      <sheetData sheetId="17544" refreshError="1"/>
      <sheetData sheetId="17545" refreshError="1"/>
      <sheetData sheetId="17546" refreshError="1"/>
      <sheetData sheetId="17547" refreshError="1"/>
      <sheetData sheetId="17548" refreshError="1"/>
      <sheetData sheetId="17549" refreshError="1"/>
      <sheetData sheetId="17550" refreshError="1"/>
      <sheetData sheetId="17551" refreshError="1"/>
      <sheetData sheetId="17552" refreshError="1"/>
      <sheetData sheetId="17553" refreshError="1"/>
      <sheetData sheetId="17554" refreshError="1"/>
      <sheetData sheetId="17555" refreshError="1"/>
      <sheetData sheetId="17556" refreshError="1"/>
      <sheetData sheetId="17557" refreshError="1"/>
      <sheetData sheetId="17558" refreshError="1"/>
      <sheetData sheetId="17559" refreshError="1"/>
      <sheetData sheetId="17560" refreshError="1"/>
      <sheetData sheetId="17561" refreshError="1"/>
      <sheetData sheetId="17562" refreshError="1"/>
      <sheetData sheetId="17563" refreshError="1"/>
      <sheetData sheetId="17564" refreshError="1"/>
      <sheetData sheetId="17565" refreshError="1"/>
      <sheetData sheetId="17566" refreshError="1"/>
      <sheetData sheetId="17567" refreshError="1"/>
      <sheetData sheetId="17568" refreshError="1"/>
      <sheetData sheetId="17569" refreshError="1"/>
      <sheetData sheetId="17570" refreshError="1"/>
      <sheetData sheetId="17571" refreshError="1"/>
      <sheetData sheetId="17572" refreshError="1"/>
      <sheetData sheetId="17573" refreshError="1"/>
      <sheetData sheetId="17574" refreshError="1"/>
      <sheetData sheetId="17575" refreshError="1"/>
      <sheetData sheetId="17576" refreshError="1"/>
      <sheetData sheetId="17577" refreshError="1"/>
      <sheetData sheetId="17578" refreshError="1"/>
      <sheetData sheetId="17579" refreshError="1"/>
      <sheetData sheetId="17580" refreshError="1"/>
      <sheetData sheetId="17581" refreshError="1"/>
      <sheetData sheetId="17582" refreshError="1"/>
      <sheetData sheetId="17583" refreshError="1"/>
      <sheetData sheetId="17584" refreshError="1"/>
      <sheetData sheetId="17585" refreshError="1"/>
      <sheetData sheetId="17586" refreshError="1"/>
      <sheetData sheetId="17587" refreshError="1"/>
      <sheetData sheetId="17588" refreshError="1"/>
      <sheetData sheetId="17589" refreshError="1"/>
      <sheetData sheetId="17590" refreshError="1"/>
      <sheetData sheetId="17591" refreshError="1"/>
      <sheetData sheetId="17592" refreshError="1"/>
      <sheetData sheetId="17593" refreshError="1"/>
      <sheetData sheetId="17594" refreshError="1"/>
      <sheetData sheetId="17595" refreshError="1"/>
      <sheetData sheetId="17596" refreshError="1"/>
      <sheetData sheetId="17597" refreshError="1"/>
      <sheetData sheetId="17598" refreshError="1"/>
      <sheetData sheetId="17599" refreshError="1"/>
      <sheetData sheetId="17600" refreshError="1"/>
      <sheetData sheetId="17601" refreshError="1"/>
      <sheetData sheetId="17602" refreshError="1"/>
      <sheetData sheetId="17603" refreshError="1"/>
      <sheetData sheetId="17604" refreshError="1"/>
      <sheetData sheetId="17605" refreshError="1"/>
      <sheetData sheetId="17606" refreshError="1"/>
      <sheetData sheetId="17607" refreshError="1"/>
      <sheetData sheetId="17608" refreshError="1"/>
      <sheetData sheetId="17609" refreshError="1"/>
      <sheetData sheetId="17610" refreshError="1"/>
      <sheetData sheetId="17611" refreshError="1"/>
      <sheetData sheetId="17612" refreshError="1"/>
      <sheetData sheetId="17613" refreshError="1"/>
      <sheetData sheetId="17614" refreshError="1"/>
      <sheetData sheetId="17615" refreshError="1"/>
      <sheetData sheetId="17616" refreshError="1"/>
      <sheetData sheetId="17617" refreshError="1"/>
      <sheetData sheetId="17618" refreshError="1"/>
      <sheetData sheetId="17619" refreshError="1"/>
      <sheetData sheetId="17620" refreshError="1"/>
      <sheetData sheetId="17621" refreshError="1"/>
      <sheetData sheetId="17622" refreshError="1"/>
      <sheetData sheetId="17623" refreshError="1"/>
      <sheetData sheetId="17624" refreshError="1"/>
      <sheetData sheetId="17625" refreshError="1"/>
      <sheetData sheetId="17626" refreshError="1"/>
      <sheetData sheetId="17627" refreshError="1"/>
      <sheetData sheetId="17628" refreshError="1"/>
      <sheetData sheetId="17629" refreshError="1"/>
      <sheetData sheetId="17630" refreshError="1"/>
      <sheetData sheetId="17631" refreshError="1"/>
      <sheetData sheetId="17632" refreshError="1"/>
      <sheetData sheetId="17633" refreshError="1"/>
      <sheetData sheetId="17634" refreshError="1"/>
      <sheetData sheetId="17635" refreshError="1"/>
      <sheetData sheetId="17636" refreshError="1"/>
      <sheetData sheetId="17637" refreshError="1"/>
      <sheetData sheetId="17638" refreshError="1"/>
      <sheetData sheetId="17639" refreshError="1"/>
      <sheetData sheetId="17640" refreshError="1"/>
      <sheetData sheetId="17641" refreshError="1"/>
      <sheetData sheetId="17642" refreshError="1"/>
      <sheetData sheetId="17643" refreshError="1"/>
      <sheetData sheetId="17644" refreshError="1"/>
      <sheetData sheetId="17645" refreshError="1"/>
      <sheetData sheetId="17646" refreshError="1"/>
      <sheetData sheetId="17647" refreshError="1"/>
      <sheetData sheetId="17648" refreshError="1"/>
      <sheetData sheetId="17649" refreshError="1"/>
      <sheetData sheetId="17650" refreshError="1"/>
      <sheetData sheetId="17651" refreshError="1"/>
      <sheetData sheetId="17652" refreshError="1"/>
      <sheetData sheetId="17653" refreshError="1"/>
      <sheetData sheetId="17654" refreshError="1"/>
      <sheetData sheetId="17655" refreshError="1"/>
      <sheetData sheetId="17656" refreshError="1"/>
      <sheetData sheetId="17657" refreshError="1"/>
      <sheetData sheetId="17658" refreshError="1"/>
      <sheetData sheetId="17659" refreshError="1"/>
      <sheetData sheetId="17660" refreshError="1"/>
      <sheetData sheetId="17661" refreshError="1"/>
      <sheetData sheetId="17662" refreshError="1"/>
      <sheetData sheetId="17663" refreshError="1"/>
      <sheetData sheetId="17664" refreshError="1"/>
      <sheetData sheetId="17665" refreshError="1"/>
      <sheetData sheetId="17666" refreshError="1"/>
      <sheetData sheetId="17667" refreshError="1"/>
      <sheetData sheetId="17668" refreshError="1"/>
      <sheetData sheetId="17669" refreshError="1"/>
      <sheetData sheetId="17670" refreshError="1"/>
      <sheetData sheetId="17671" refreshError="1"/>
      <sheetData sheetId="17672" refreshError="1"/>
      <sheetData sheetId="17673" refreshError="1"/>
      <sheetData sheetId="17674" refreshError="1"/>
      <sheetData sheetId="17675" refreshError="1"/>
      <sheetData sheetId="17676" refreshError="1"/>
      <sheetData sheetId="17677" refreshError="1"/>
      <sheetData sheetId="17678" refreshError="1"/>
      <sheetData sheetId="17679" refreshError="1"/>
      <sheetData sheetId="17680" refreshError="1"/>
      <sheetData sheetId="17681" refreshError="1"/>
      <sheetData sheetId="17682" refreshError="1"/>
      <sheetData sheetId="17683" refreshError="1"/>
      <sheetData sheetId="17684" refreshError="1"/>
      <sheetData sheetId="17685" refreshError="1"/>
      <sheetData sheetId="17686" refreshError="1"/>
      <sheetData sheetId="17687" refreshError="1"/>
      <sheetData sheetId="17688" refreshError="1"/>
      <sheetData sheetId="17689" refreshError="1"/>
      <sheetData sheetId="17690" refreshError="1"/>
      <sheetData sheetId="17691" refreshError="1"/>
      <sheetData sheetId="17692" refreshError="1"/>
      <sheetData sheetId="17693" refreshError="1"/>
      <sheetData sheetId="17694" refreshError="1"/>
      <sheetData sheetId="17695" refreshError="1"/>
      <sheetData sheetId="17696" refreshError="1"/>
      <sheetData sheetId="17697" refreshError="1"/>
      <sheetData sheetId="17698" refreshError="1"/>
      <sheetData sheetId="17699" refreshError="1"/>
      <sheetData sheetId="17700" refreshError="1"/>
      <sheetData sheetId="17701" refreshError="1"/>
      <sheetData sheetId="17702" refreshError="1"/>
      <sheetData sheetId="17703" refreshError="1"/>
      <sheetData sheetId="17704" refreshError="1"/>
      <sheetData sheetId="17705" refreshError="1"/>
      <sheetData sheetId="17706" refreshError="1"/>
      <sheetData sheetId="17707" refreshError="1"/>
      <sheetData sheetId="17708" refreshError="1"/>
      <sheetData sheetId="17709" refreshError="1"/>
      <sheetData sheetId="17710" refreshError="1"/>
      <sheetData sheetId="17711" refreshError="1"/>
      <sheetData sheetId="17712" refreshError="1"/>
      <sheetData sheetId="17713" refreshError="1"/>
      <sheetData sheetId="17714" refreshError="1"/>
      <sheetData sheetId="17715" refreshError="1"/>
      <sheetData sheetId="17716" refreshError="1"/>
      <sheetData sheetId="17717" refreshError="1"/>
      <sheetData sheetId="17718" refreshError="1"/>
      <sheetData sheetId="17719" refreshError="1"/>
      <sheetData sheetId="17720" refreshError="1"/>
      <sheetData sheetId="17721" refreshError="1"/>
      <sheetData sheetId="17722" refreshError="1"/>
      <sheetData sheetId="17723" refreshError="1"/>
      <sheetData sheetId="17724" refreshError="1"/>
      <sheetData sheetId="17725" refreshError="1"/>
      <sheetData sheetId="17726" refreshError="1"/>
      <sheetData sheetId="17727" refreshError="1"/>
      <sheetData sheetId="17728" refreshError="1"/>
      <sheetData sheetId="17729" refreshError="1"/>
      <sheetData sheetId="17730" refreshError="1"/>
      <sheetData sheetId="17731" refreshError="1"/>
      <sheetData sheetId="17732" refreshError="1"/>
      <sheetData sheetId="17733" refreshError="1"/>
      <sheetData sheetId="17734" refreshError="1"/>
      <sheetData sheetId="17735" refreshError="1"/>
      <sheetData sheetId="17736" refreshError="1"/>
      <sheetData sheetId="17737" refreshError="1"/>
      <sheetData sheetId="17738" refreshError="1"/>
      <sheetData sheetId="17739" refreshError="1"/>
      <sheetData sheetId="17740" refreshError="1"/>
      <sheetData sheetId="17741" refreshError="1"/>
      <sheetData sheetId="17742" refreshError="1"/>
      <sheetData sheetId="17743" refreshError="1"/>
      <sheetData sheetId="17744" refreshError="1"/>
      <sheetData sheetId="17745" refreshError="1"/>
      <sheetData sheetId="17746" refreshError="1"/>
      <sheetData sheetId="17747" refreshError="1"/>
      <sheetData sheetId="17748" refreshError="1"/>
      <sheetData sheetId="17749" refreshError="1"/>
      <sheetData sheetId="17750" refreshError="1"/>
      <sheetData sheetId="17751" refreshError="1"/>
      <sheetData sheetId="17752" refreshError="1"/>
      <sheetData sheetId="17753" refreshError="1"/>
      <sheetData sheetId="17754" refreshError="1"/>
      <sheetData sheetId="17755" refreshError="1"/>
      <sheetData sheetId="17756" refreshError="1"/>
      <sheetData sheetId="17757" refreshError="1"/>
      <sheetData sheetId="17758" refreshError="1"/>
      <sheetData sheetId="17759" refreshError="1"/>
      <sheetData sheetId="17760" refreshError="1"/>
      <sheetData sheetId="17761" refreshError="1"/>
      <sheetData sheetId="17762" refreshError="1"/>
      <sheetData sheetId="17763" refreshError="1"/>
      <sheetData sheetId="17764" refreshError="1"/>
      <sheetData sheetId="17765" refreshError="1"/>
      <sheetData sheetId="17766" refreshError="1"/>
      <sheetData sheetId="17767" refreshError="1"/>
      <sheetData sheetId="17768" refreshError="1"/>
      <sheetData sheetId="17769" refreshError="1"/>
      <sheetData sheetId="17770" refreshError="1"/>
      <sheetData sheetId="17771" refreshError="1"/>
      <sheetData sheetId="17772" refreshError="1"/>
      <sheetData sheetId="17773" refreshError="1"/>
      <sheetData sheetId="17774" refreshError="1"/>
      <sheetData sheetId="17775" refreshError="1"/>
      <sheetData sheetId="17776" refreshError="1"/>
      <sheetData sheetId="17777" refreshError="1"/>
      <sheetData sheetId="17778" refreshError="1"/>
      <sheetData sheetId="17779" refreshError="1"/>
      <sheetData sheetId="17780" refreshError="1"/>
      <sheetData sheetId="17781" refreshError="1"/>
      <sheetData sheetId="17782" refreshError="1"/>
      <sheetData sheetId="17783" refreshError="1"/>
      <sheetData sheetId="17784" refreshError="1"/>
      <sheetData sheetId="17785" refreshError="1"/>
      <sheetData sheetId="17786" refreshError="1"/>
      <sheetData sheetId="17787" refreshError="1"/>
      <sheetData sheetId="17788" refreshError="1"/>
      <sheetData sheetId="17789" refreshError="1"/>
      <sheetData sheetId="17790" refreshError="1"/>
      <sheetData sheetId="17791" refreshError="1"/>
      <sheetData sheetId="17792" refreshError="1"/>
      <sheetData sheetId="17793" refreshError="1"/>
      <sheetData sheetId="17794" refreshError="1"/>
      <sheetData sheetId="17795" refreshError="1"/>
      <sheetData sheetId="17796" refreshError="1"/>
      <sheetData sheetId="17797" refreshError="1"/>
      <sheetData sheetId="17798" refreshError="1"/>
      <sheetData sheetId="17799" refreshError="1"/>
      <sheetData sheetId="17800" refreshError="1"/>
      <sheetData sheetId="17801" refreshError="1"/>
      <sheetData sheetId="17802" refreshError="1"/>
      <sheetData sheetId="17803" refreshError="1"/>
      <sheetData sheetId="17804" refreshError="1"/>
      <sheetData sheetId="17805" refreshError="1"/>
      <sheetData sheetId="17806" refreshError="1"/>
      <sheetData sheetId="17807" refreshError="1"/>
      <sheetData sheetId="17808" refreshError="1"/>
      <sheetData sheetId="17809" refreshError="1"/>
      <sheetData sheetId="17810" refreshError="1"/>
      <sheetData sheetId="17811" refreshError="1"/>
      <sheetData sheetId="17812" refreshError="1"/>
      <sheetData sheetId="17813" refreshError="1"/>
      <sheetData sheetId="17814" refreshError="1"/>
      <sheetData sheetId="17815" refreshError="1"/>
      <sheetData sheetId="17816" refreshError="1"/>
      <sheetData sheetId="17817" refreshError="1"/>
      <sheetData sheetId="17818" refreshError="1"/>
      <sheetData sheetId="17819" refreshError="1"/>
      <sheetData sheetId="17820" refreshError="1"/>
      <sheetData sheetId="17821" refreshError="1"/>
      <sheetData sheetId="17822" refreshError="1"/>
      <sheetData sheetId="17823" refreshError="1"/>
      <sheetData sheetId="17824" refreshError="1"/>
      <sheetData sheetId="17825" refreshError="1"/>
      <sheetData sheetId="17826" refreshError="1"/>
      <sheetData sheetId="17827" refreshError="1"/>
      <sheetData sheetId="17828" refreshError="1"/>
      <sheetData sheetId="17829" refreshError="1"/>
      <sheetData sheetId="17830" refreshError="1"/>
      <sheetData sheetId="17831" refreshError="1"/>
      <sheetData sheetId="17832" refreshError="1"/>
      <sheetData sheetId="17833" refreshError="1"/>
      <sheetData sheetId="17834" refreshError="1"/>
      <sheetData sheetId="17835" refreshError="1"/>
      <sheetData sheetId="17836" refreshError="1"/>
      <sheetData sheetId="17837" refreshError="1"/>
      <sheetData sheetId="17838" refreshError="1"/>
      <sheetData sheetId="17839" refreshError="1"/>
      <sheetData sheetId="17840" refreshError="1"/>
      <sheetData sheetId="17841" refreshError="1"/>
      <sheetData sheetId="17842" refreshError="1"/>
      <sheetData sheetId="17843" refreshError="1"/>
      <sheetData sheetId="17844" refreshError="1"/>
      <sheetData sheetId="17845" refreshError="1"/>
      <sheetData sheetId="17846" refreshError="1"/>
      <sheetData sheetId="17847" refreshError="1"/>
      <sheetData sheetId="17848" refreshError="1"/>
      <sheetData sheetId="17849" refreshError="1"/>
      <sheetData sheetId="17850" refreshError="1"/>
      <sheetData sheetId="17851" refreshError="1"/>
      <sheetData sheetId="17852" refreshError="1"/>
      <sheetData sheetId="17853" refreshError="1"/>
      <sheetData sheetId="17854" refreshError="1"/>
      <sheetData sheetId="17855" refreshError="1"/>
      <sheetData sheetId="17856" refreshError="1"/>
      <sheetData sheetId="17857" refreshError="1"/>
      <sheetData sheetId="17858" refreshError="1"/>
      <sheetData sheetId="17859" refreshError="1"/>
      <sheetData sheetId="17860" refreshError="1"/>
      <sheetData sheetId="17861" refreshError="1"/>
      <sheetData sheetId="17862" refreshError="1"/>
      <sheetData sheetId="17863" refreshError="1"/>
      <sheetData sheetId="17864" refreshError="1"/>
      <sheetData sheetId="17865" refreshError="1"/>
      <sheetData sheetId="17866" refreshError="1"/>
      <sheetData sheetId="17867" refreshError="1"/>
      <sheetData sheetId="17868" refreshError="1"/>
      <sheetData sheetId="17869" refreshError="1"/>
      <sheetData sheetId="17870" refreshError="1"/>
      <sheetData sheetId="17871" refreshError="1"/>
      <sheetData sheetId="17872" refreshError="1"/>
      <sheetData sheetId="17873" refreshError="1"/>
      <sheetData sheetId="17874" refreshError="1"/>
      <sheetData sheetId="17875" refreshError="1"/>
      <sheetData sheetId="17876" refreshError="1"/>
      <sheetData sheetId="17877" refreshError="1"/>
      <sheetData sheetId="17878" refreshError="1"/>
      <sheetData sheetId="17879" refreshError="1"/>
      <sheetData sheetId="17880" refreshError="1"/>
      <sheetData sheetId="17881" refreshError="1"/>
      <sheetData sheetId="17882" refreshError="1"/>
      <sheetData sheetId="17883" refreshError="1"/>
      <sheetData sheetId="17884" refreshError="1"/>
      <sheetData sheetId="17885" refreshError="1"/>
      <sheetData sheetId="17886" refreshError="1"/>
      <sheetData sheetId="17887" refreshError="1"/>
      <sheetData sheetId="17888" refreshError="1"/>
      <sheetData sheetId="17889" refreshError="1"/>
      <sheetData sheetId="17890" refreshError="1"/>
      <sheetData sheetId="17891" refreshError="1"/>
      <sheetData sheetId="17892" refreshError="1"/>
      <sheetData sheetId="17893" refreshError="1"/>
      <sheetData sheetId="17894" refreshError="1"/>
      <sheetData sheetId="17895" refreshError="1"/>
      <sheetData sheetId="17896" refreshError="1"/>
      <sheetData sheetId="17897" refreshError="1"/>
      <sheetData sheetId="17898" refreshError="1"/>
      <sheetData sheetId="17899" refreshError="1"/>
      <sheetData sheetId="17900" refreshError="1"/>
      <sheetData sheetId="17901" refreshError="1"/>
      <sheetData sheetId="17902" refreshError="1"/>
      <sheetData sheetId="17903" refreshError="1"/>
      <sheetData sheetId="17904" refreshError="1"/>
      <sheetData sheetId="17905" refreshError="1"/>
      <sheetData sheetId="17906" refreshError="1"/>
      <sheetData sheetId="17907" refreshError="1"/>
      <sheetData sheetId="17908" refreshError="1"/>
      <sheetData sheetId="17909" refreshError="1"/>
      <sheetData sheetId="17910" refreshError="1"/>
      <sheetData sheetId="17911" refreshError="1"/>
      <sheetData sheetId="17912" refreshError="1"/>
      <sheetData sheetId="17913" refreshError="1"/>
      <sheetData sheetId="17914" refreshError="1"/>
      <sheetData sheetId="17915" refreshError="1"/>
      <sheetData sheetId="17916" refreshError="1"/>
      <sheetData sheetId="17917" refreshError="1"/>
      <sheetData sheetId="17918" refreshError="1"/>
      <sheetData sheetId="17919" refreshError="1"/>
      <sheetData sheetId="17920" refreshError="1"/>
      <sheetData sheetId="17921" refreshError="1"/>
      <sheetData sheetId="17922" refreshError="1"/>
      <sheetData sheetId="17923" refreshError="1"/>
      <sheetData sheetId="17924" refreshError="1"/>
      <sheetData sheetId="17925" refreshError="1"/>
      <sheetData sheetId="17926" refreshError="1"/>
      <sheetData sheetId="17927" refreshError="1"/>
      <sheetData sheetId="17928" refreshError="1"/>
      <sheetData sheetId="17929" refreshError="1"/>
      <sheetData sheetId="17930" refreshError="1"/>
      <sheetData sheetId="17931" refreshError="1"/>
      <sheetData sheetId="17932" refreshError="1"/>
      <sheetData sheetId="17933" refreshError="1"/>
      <sheetData sheetId="17934" refreshError="1"/>
      <sheetData sheetId="17935" refreshError="1"/>
      <sheetData sheetId="17936" refreshError="1"/>
      <sheetData sheetId="17937" refreshError="1"/>
      <sheetData sheetId="17938" refreshError="1"/>
      <sheetData sheetId="17939" refreshError="1"/>
      <sheetData sheetId="17940" refreshError="1"/>
      <sheetData sheetId="17941" refreshError="1"/>
      <sheetData sheetId="17942" refreshError="1"/>
      <sheetData sheetId="17943" refreshError="1"/>
      <sheetData sheetId="17944" refreshError="1"/>
      <sheetData sheetId="17945" refreshError="1"/>
      <sheetData sheetId="17946" refreshError="1"/>
      <sheetData sheetId="17947" refreshError="1"/>
      <sheetData sheetId="17948" refreshError="1"/>
      <sheetData sheetId="17949" refreshError="1"/>
      <sheetData sheetId="17950" refreshError="1"/>
      <sheetData sheetId="17951" refreshError="1"/>
      <sheetData sheetId="17952" refreshError="1"/>
      <sheetData sheetId="17953" refreshError="1"/>
      <sheetData sheetId="17954" refreshError="1"/>
      <sheetData sheetId="17955" refreshError="1"/>
      <sheetData sheetId="17956" refreshError="1"/>
      <sheetData sheetId="17957" refreshError="1"/>
      <sheetData sheetId="17958" refreshError="1"/>
      <sheetData sheetId="17959" refreshError="1"/>
      <sheetData sheetId="17960" refreshError="1"/>
      <sheetData sheetId="17961" refreshError="1"/>
      <sheetData sheetId="17962" refreshError="1"/>
      <sheetData sheetId="17963" refreshError="1"/>
      <sheetData sheetId="17964" refreshError="1"/>
      <sheetData sheetId="17965" refreshError="1"/>
      <sheetData sheetId="17966" refreshError="1"/>
      <sheetData sheetId="17967" refreshError="1"/>
      <sheetData sheetId="17968" refreshError="1"/>
      <sheetData sheetId="17969" refreshError="1"/>
      <sheetData sheetId="17970" refreshError="1"/>
      <sheetData sheetId="17971" refreshError="1"/>
      <sheetData sheetId="17972" refreshError="1"/>
      <sheetData sheetId="17973" refreshError="1"/>
      <sheetData sheetId="17974" refreshError="1"/>
      <sheetData sheetId="17975" refreshError="1"/>
      <sheetData sheetId="17976" refreshError="1"/>
      <sheetData sheetId="17977" refreshError="1"/>
      <sheetData sheetId="17978" refreshError="1"/>
      <sheetData sheetId="17979" refreshError="1"/>
      <sheetData sheetId="17980" refreshError="1"/>
      <sheetData sheetId="17981" refreshError="1"/>
      <sheetData sheetId="17982" refreshError="1"/>
      <sheetData sheetId="17983" refreshError="1"/>
      <sheetData sheetId="17984" refreshError="1"/>
      <sheetData sheetId="17985" refreshError="1"/>
      <sheetData sheetId="17986" refreshError="1"/>
      <sheetData sheetId="17987" refreshError="1"/>
      <sheetData sheetId="17988" refreshError="1"/>
      <sheetData sheetId="17989" refreshError="1"/>
      <sheetData sheetId="17990" refreshError="1"/>
      <sheetData sheetId="17991" refreshError="1"/>
      <sheetData sheetId="17992" refreshError="1"/>
      <sheetData sheetId="17993" refreshError="1"/>
      <sheetData sheetId="17994" refreshError="1"/>
      <sheetData sheetId="17995" refreshError="1"/>
      <sheetData sheetId="17996" refreshError="1"/>
      <sheetData sheetId="17997" refreshError="1"/>
      <sheetData sheetId="17998" refreshError="1"/>
      <sheetData sheetId="17999" refreshError="1"/>
      <sheetData sheetId="18000" refreshError="1"/>
      <sheetData sheetId="18001" refreshError="1"/>
      <sheetData sheetId="18002" refreshError="1"/>
      <sheetData sheetId="18003" refreshError="1"/>
      <sheetData sheetId="18004" refreshError="1"/>
      <sheetData sheetId="18005" refreshError="1"/>
      <sheetData sheetId="18006" refreshError="1"/>
      <sheetData sheetId="18007" refreshError="1"/>
      <sheetData sheetId="18008" refreshError="1"/>
      <sheetData sheetId="18009" refreshError="1"/>
      <sheetData sheetId="18010" refreshError="1"/>
      <sheetData sheetId="18011" refreshError="1"/>
      <sheetData sheetId="18012" refreshError="1"/>
      <sheetData sheetId="18013" refreshError="1"/>
      <sheetData sheetId="18014" refreshError="1"/>
      <sheetData sheetId="18015" refreshError="1"/>
      <sheetData sheetId="18016" refreshError="1"/>
      <sheetData sheetId="18017" refreshError="1"/>
      <sheetData sheetId="18018" refreshError="1"/>
      <sheetData sheetId="18019" refreshError="1"/>
      <sheetData sheetId="18020" refreshError="1"/>
      <sheetData sheetId="18021" refreshError="1"/>
      <sheetData sheetId="18022" refreshError="1"/>
      <sheetData sheetId="18023" refreshError="1"/>
      <sheetData sheetId="18024" refreshError="1"/>
      <sheetData sheetId="18025" refreshError="1"/>
      <sheetData sheetId="18026" refreshError="1"/>
      <sheetData sheetId="18027" refreshError="1"/>
      <sheetData sheetId="18028" refreshError="1"/>
      <sheetData sheetId="18029" refreshError="1"/>
      <sheetData sheetId="18030" refreshError="1"/>
      <sheetData sheetId="18031" refreshError="1"/>
      <sheetData sheetId="18032" refreshError="1"/>
      <sheetData sheetId="18033" refreshError="1"/>
      <sheetData sheetId="18034" refreshError="1"/>
      <sheetData sheetId="18035" refreshError="1"/>
      <sheetData sheetId="18036" refreshError="1"/>
      <sheetData sheetId="18037" refreshError="1"/>
      <sheetData sheetId="18038" refreshError="1"/>
      <sheetData sheetId="18039" refreshError="1"/>
      <sheetData sheetId="18040" refreshError="1"/>
      <sheetData sheetId="18041" refreshError="1"/>
      <sheetData sheetId="18042" refreshError="1"/>
      <sheetData sheetId="18043" refreshError="1"/>
      <sheetData sheetId="18044" refreshError="1"/>
      <sheetData sheetId="18045" refreshError="1"/>
      <sheetData sheetId="18046" refreshError="1"/>
      <sheetData sheetId="18047" refreshError="1"/>
      <sheetData sheetId="18048" refreshError="1"/>
      <sheetData sheetId="18049" refreshError="1"/>
      <sheetData sheetId="18050" refreshError="1"/>
      <sheetData sheetId="18051" refreshError="1"/>
      <sheetData sheetId="18052" refreshError="1"/>
      <sheetData sheetId="18053" refreshError="1"/>
      <sheetData sheetId="18054" refreshError="1"/>
      <sheetData sheetId="18055" refreshError="1"/>
      <sheetData sheetId="18056" refreshError="1"/>
      <sheetData sheetId="18057" refreshError="1"/>
      <sheetData sheetId="18058" refreshError="1"/>
      <sheetData sheetId="18059" refreshError="1"/>
      <sheetData sheetId="18060" refreshError="1"/>
      <sheetData sheetId="18061" refreshError="1"/>
      <sheetData sheetId="18062" refreshError="1"/>
      <sheetData sheetId="18063" refreshError="1"/>
      <sheetData sheetId="18064" refreshError="1"/>
      <sheetData sheetId="18065" refreshError="1"/>
      <sheetData sheetId="18066" refreshError="1"/>
      <sheetData sheetId="18067" refreshError="1"/>
      <sheetData sheetId="18068" refreshError="1"/>
      <sheetData sheetId="18069" refreshError="1"/>
      <sheetData sheetId="18070" refreshError="1"/>
      <sheetData sheetId="18071" refreshError="1"/>
      <sheetData sheetId="18072" refreshError="1"/>
      <sheetData sheetId="18073" refreshError="1"/>
      <sheetData sheetId="18074" refreshError="1"/>
      <sheetData sheetId="18075" refreshError="1"/>
      <sheetData sheetId="18076" refreshError="1"/>
      <sheetData sheetId="18077" refreshError="1"/>
      <sheetData sheetId="18078" refreshError="1"/>
      <sheetData sheetId="18079" refreshError="1"/>
      <sheetData sheetId="18080" refreshError="1"/>
      <sheetData sheetId="18081" refreshError="1"/>
      <sheetData sheetId="18082" refreshError="1"/>
      <sheetData sheetId="18083" refreshError="1"/>
      <sheetData sheetId="18084" refreshError="1"/>
      <sheetData sheetId="18085" refreshError="1"/>
      <sheetData sheetId="18086" refreshError="1"/>
      <sheetData sheetId="18087" refreshError="1"/>
      <sheetData sheetId="18088" refreshError="1"/>
      <sheetData sheetId="18089" refreshError="1"/>
      <sheetData sheetId="18090" refreshError="1"/>
      <sheetData sheetId="18091" refreshError="1"/>
      <sheetData sheetId="18092" refreshError="1"/>
      <sheetData sheetId="18093" refreshError="1"/>
      <sheetData sheetId="18094" refreshError="1"/>
      <sheetData sheetId="18095" refreshError="1"/>
      <sheetData sheetId="18096" refreshError="1"/>
      <sheetData sheetId="18097" refreshError="1"/>
      <sheetData sheetId="18098" refreshError="1"/>
      <sheetData sheetId="18099" refreshError="1"/>
      <sheetData sheetId="18100" refreshError="1"/>
      <sheetData sheetId="18101" refreshError="1"/>
      <sheetData sheetId="18102" refreshError="1"/>
      <sheetData sheetId="18103" refreshError="1"/>
      <sheetData sheetId="18104" refreshError="1"/>
      <sheetData sheetId="18105" refreshError="1"/>
      <sheetData sheetId="18106" refreshError="1"/>
      <sheetData sheetId="18107" refreshError="1"/>
      <sheetData sheetId="18108" refreshError="1"/>
      <sheetData sheetId="18109" refreshError="1"/>
      <sheetData sheetId="18110" refreshError="1"/>
      <sheetData sheetId="18111" refreshError="1"/>
      <sheetData sheetId="18112" refreshError="1"/>
      <sheetData sheetId="18113" refreshError="1"/>
      <sheetData sheetId="18114" refreshError="1"/>
      <sheetData sheetId="18115" refreshError="1"/>
      <sheetData sheetId="18116" refreshError="1"/>
      <sheetData sheetId="18117" refreshError="1"/>
      <sheetData sheetId="18118" refreshError="1"/>
      <sheetData sheetId="18119" refreshError="1"/>
      <sheetData sheetId="18120" refreshError="1"/>
      <sheetData sheetId="18121" refreshError="1"/>
      <sheetData sheetId="18122" refreshError="1"/>
      <sheetData sheetId="18123" refreshError="1"/>
      <sheetData sheetId="18124" refreshError="1"/>
      <sheetData sheetId="18125" refreshError="1"/>
      <sheetData sheetId="18126" refreshError="1"/>
      <sheetData sheetId="18127" refreshError="1"/>
      <sheetData sheetId="18128" refreshError="1"/>
      <sheetData sheetId="18129" refreshError="1"/>
      <sheetData sheetId="18130" refreshError="1"/>
      <sheetData sheetId="18131" refreshError="1"/>
      <sheetData sheetId="18132" refreshError="1"/>
      <sheetData sheetId="18133" refreshError="1"/>
      <sheetData sheetId="18134" refreshError="1"/>
      <sheetData sheetId="18135" refreshError="1"/>
      <sheetData sheetId="18136" refreshError="1"/>
      <sheetData sheetId="18137" refreshError="1"/>
      <sheetData sheetId="18138" refreshError="1"/>
      <sheetData sheetId="18139" refreshError="1"/>
      <sheetData sheetId="18140" refreshError="1"/>
      <sheetData sheetId="18141" refreshError="1"/>
      <sheetData sheetId="18142" refreshError="1"/>
      <sheetData sheetId="18143" refreshError="1"/>
      <sheetData sheetId="18144" refreshError="1"/>
      <sheetData sheetId="18145" refreshError="1"/>
      <sheetData sheetId="18146" refreshError="1"/>
      <sheetData sheetId="18147" refreshError="1"/>
      <sheetData sheetId="18148" refreshError="1"/>
      <sheetData sheetId="18149" refreshError="1"/>
      <sheetData sheetId="18150" refreshError="1"/>
      <sheetData sheetId="18151" refreshError="1"/>
      <sheetData sheetId="18152" refreshError="1"/>
      <sheetData sheetId="18153" refreshError="1"/>
      <sheetData sheetId="18154" refreshError="1"/>
      <sheetData sheetId="18155" refreshError="1"/>
      <sheetData sheetId="18156" refreshError="1"/>
      <sheetData sheetId="18157" refreshError="1"/>
      <sheetData sheetId="18158" refreshError="1"/>
      <sheetData sheetId="18159" refreshError="1"/>
      <sheetData sheetId="18160" refreshError="1"/>
      <sheetData sheetId="18161" refreshError="1"/>
      <sheetData sheetId="18162" refreshError="1"/>
      <sheetData sheetId="18163" refreshError="1"/>
      <sheetData sheetId="18164" refreshError="1"/>
      <sheetData sheetId="18165" refreshError="1"/>
      <sheetData sheetId="18166" refreshError="1"/>
      <sheetData sheetId="18167" refreshError="1"/>
      <sheetData sheetId="18168" refreshError="1"/>
      <sheetData sheetId="18169" refreshError="1"/>
      <sheetData sheetId="18170" refreshError="1"/>
      <sheetData sheetId="18171" refreshError="1"/>
      <sheetData sheetId="18172" refreshError="1"/>
      <sheetData sheetId="18173" refreshError="1"/>
      <sheetData sheetId="18174" refreshError="1"/>
      <sheetData sheetId="18175" refreshError="1"/>
      <sheetData sheetId="18176" refreshError="1"/>
      <sheetData sheetId="18177" refreshError="1"/>
      <sheetData sheetId="18178" refreshError="1"/>
      <sheetData sheetId="18179" refreshError="1"/>
      <sheetData sheetId="18180" refreshError="1"/>
      <sheetData sheetId="18181" refreshError="1"/>
      <sheetData sheetId="18182" refreshError="1"/>
      <sheetData sheetId="18183" refreshError="1"/>
      <sheetData sheetId="18184" refreshError="1"/>
      <sheetData sheetId="18185" refreshError="1"/>
      <sheetData sheetId="18186" refreshError="1"/>
      <sheetData sheetId="18187" refreshError="1"/>
      <sheetData sheetId="18188" refreshError="1"/>
      <sheetData sheetId="18189" refreshError="1"/>
      <sheetData sheetId="18190" refreshError="1"/>
      <sheetData sheetId="18191" refreshError="1"/>
      <sheetData sheetId="18192" refreshError="1"/>
      <sheetData sheetId="18193" refreshError="1"/>
      <sheetData sheetId="18194" refreshError="1"/>
      <sheetData sheetId="18195" refreshError="1"/>
      <sheetData sheetId="18196" refreshError="1"/>
      <sheetData sheetId="18197" refreshError="1"/>
      <sheetData sheetId="18198" refreshError="1"/>
      <sheetData sheetId="18199" refreshError="1"/>
      <sheetData sheetId="18200" refreshError="1"/>
      <sheetData sheetId="18201" refreshError="1"/>
      <sheetData sheetId="18202" refreshError="1"/>
      <sheetData sheetId="18203" refreshError="1"/>
      <sheetData sheetId="18204" refreshError="1"/>
      <sheetData sheetId="18205" refreshError="1"/>
      <sheetData sheetId="18206" refreshError="1"/>
      <sheetData sheetId="18207" refreshError="1"/>
      <sheetData sheetId="18208" refreshError="1"/>
      <sheetData sheetId="18209" refreshError="1"/>
      <sheetData sheetId="18210" refreshError="1"/>
      <sheetData sheetId="18211" refreshError="1"/>
      <sheetData sheetId="18212" refreshError="1"/>
      <sheetData sheetId="18213" refreshError="1"/>
      <sheetData sheetId="18214" refreshError="1"/>
      <sheetData sheetId="18215" refreshError="1"/>
      <sheetData sheetId="18216" refreshError="1"/>
      <sheetData sheetId="18217" refreshError="1"/>
      <sheetData sheetId="18218" refreshError="1"/>
      <sheetData sheetId="18219" refreshError="1"/>
      <sheetData sheetId="18220" refreshError="1"/>
      <sheetData sheetId="18221" refreshError="1"/>
      <sheetData sheetId="18222" refreshError="1"/>
      <sheetData sheetId="18223" refreshError="1"/>
      <sheetData sheetId="18224" refreshError="1"/>
      <sheetData sheetId="18225" refreshError="1"/>
      <sheetData sheetId="18226" refreshError="1"/>
      <sheetData sheetId="18227" refreshError="1"/>
      <sheetData sheetId="18228" refreshError="1"/>
      <sheetData sheetId="18229" refreshError="1"/>
      <sheetData sheetId="18230" refreshError="1"/>
      <sheetData sheetId="18231" refreshError="1"/>
      <sheetData sheetId="18232" refreshError="1"/>
      <sheetData sheetId="18233" refreshError="1"/>
      <sheetData sheetId="18234" refreshError="1"/>
      <sheetData sheetId="18235" refreshError="1"/>
      <sheetData sheetId="18236" refreshError="1"/>
      <sheetData sheetId="18237" refreshError="1"/>
      <sheetData sheetId="18238" refreshError="1"/>
      <sheetData sheetId="18239" refreshError="1"/>
      <sheetData sheetId="18240" refreshError="1"/>
      <sheetData sheetId="18241" refreshError="1"/>
      <sheetData sheetId="18242" refreshError="1"/>
      <sheetData sheetId="18243" refreshError="1"/>
      <sheetData sheetId="18244" refreshError="1"/>
      <sheetData sheetId="18245" refreshError="1"/>
      <sheetData sheetId="18246" refreshError="1"/>
      <sheetData sheetId="18247" refreshError="1"/>
      <sheetData sheetId="18248" refreshError="1"/>
      <sheetData sheetId="18249" refreshError="1"/>
      <sheetData sheetId="18250" refreshError="1"/>
      <sheetData sheetId="18251" refreshError="1"/>
      <sheetData sheetId="18252" refreshError="1"/>
      <sheetData sheetId="18253" refreshError="1"/>
      <sheetData sheetId="18254" refreshError="1"/>
      <sheetData sheetId="18255" refreshError="1"/>
      <sheetData sheetId="18256" refreshError="1"/>
      <sheetData sheetId="18257" refreshError="1"/>
      <sheetData sheetId="18258" refreshError="1"/>
      <sheetData sheetId="18259" refreshError="1"/>
      <sheetData sheetId="18260" refreshError="1"/>
      <sheetData sheetId="18261" refreshError="1"/>
      <sheetData sheetId="18262" refreshError="1"/>
      <sheetData sheetId="18263" refreshError="1"/>
      <sheetData sheetId="18264" refreshError="1"/>
      <sheetData sheetId="18265" refreshError="1"/>
      <sheetData sheetId="18266" refreshError="1"/>
      <sheetData sheetId="18267" refreshError="1"/>
      <sheetData sheetId="18268" refreshError="1"/>
      <sheetData sheetId="18269" refreshError="1"/>
      <sheetData sheetId="18270" refreshError="1"/>
      <sheetData sheetId="18271" refreshError="1"/>
      <sheetData sheetId="18272" refreshError="1"/>
      <sheetData sheetId="18273" refreshError="1"/>
      <sheetData sheetId="18274" refreshError="1"/>
      <sheetData sheetId="18275" refreshError="1"/>
      <sheetData sheetId="18276" refreshError="1"/>
      <sheetData sheetId="18277" refreshError="1"/>
      <sheetData sheetId="18278" refreshError="1"/>
      <sheetData sheetId="18279" refreshError="1"/>
      <sheetData sheetId="18280" refreshError="1"/>
      <sheetData sheetId="18281" refreshError="1"/>
      <sheetData sheetId="18282" refreshError="1"/>
      <sheetData sheetId="18283" refreshError="1"/>
      <sheetData sheetId="18284" refreshError="1"/>
      <sheetData sheetId="18285" refreshError="1"/>
      <sheetData sheetId="18286" refreshError="1"/>
      <sheetData sheetId="18287" refreshError="1"/>
      <sheetData sheetId="18288" refreshError="1"/>
      <sheetData sheetId="18289" refreshError="1"/>
      <sheetData sheetId="18290" refreshError="1"/>
      <sheetData sheetId="18291" refreshError="1"/>
      <sheetData sheetId="18292" refreshError="1"/>
      <sheetData sheetId="18293" refreshError="1"/>
      <sheetData sheetId="18294" refreshError="1"/>
      <sheetData sheetId="18295" refreshError="1"/>
      <sheetData sheetId="18296" refreshError="1"/>
      <sheetData sheetId="18297" refreshError="1"/>
      <sheetData sheetId="18298" refreshError="1"/>
      <sheetData sheetId="18299" refreshError="1"/>
      <sheetData sheetId="18300" refreshError="1"/>
      <sheetData sheetId="18301" refreshError="1"/>
      <sheetData sheetId="18302" refreshError="1"/>
      <sheetData sheetId="18303" refreshError="1"/>
      <sheetData sheetId="18304" refreshError="1"/>
      <sheetData sheetId="18305" refreshError="1"/>
      <sheetData sheetId="18306" refreshError="1"/>
      <sheetData sheetId="18307" refreshError="1"/>
      <sheetData sheetId="18308" refreshError="1"/>
      <sheetData sheetId="18309" refreshError="1"/>
      <sheetData sheetId="18310" refreshError="1"/>
      <sheetData sheetId="18311" refreshError="1"/>
      <sheetData sheetId="18312" refreshError="1"/>
      <sheetData sheetId="18313" refreshError="1"/>
      <sheetData sheetId="18314" refreshError="1"/>
      <sheetData sheetId="18315" refreshError="1"/>
      <sheetData sheetId="18316" refreshError="1"/>
      <sheetData sheetId="18317" refreshError="1"/>
      <sheetData sheetId="18318" refreshError="1"/>
      <sheetData sheetId="18319" refreshError="1"/>
      <sheetData sheetId="18320" refreshError="1"/>
      <sheetData sheetId="18321" refreshError="1"/>
      <sheetData sheetId="18322" refreshError="1"/>
      <sheetData sheetId="18323" refreshError="1"/>
      <sheetData sheetId="18324" refreshError="1"/>
      <sheetData sheetId="18325" refreshError="1"/>
      <sheetData sheetId="18326" refreshError="1"/>
      <sheetData sheetId="18327" refreshError="1"/>
      <sheetData sheetId="18328" refreshError="1"/>
      <sheetData sheetId="18329" refreshError="1"/>
      <sheetData sheetId="18330" refreshError="1"/>
      <sheetData sheetId="18331" refreshError="1"/>
      <sheetData sheetId="18332" refreshError="1"/>
      <sheetData sheetId="18333" refreshError="1"/>
      <sheetData sheetId="18334" refreshError="1"/>
      <sheetData sheetId="18335" refreshError="1"/>
      <sheetData sheetId="18336" refreshError="1"/>
      <sheetData sheetId="18337" refreshError="1"/>
      <sheetData sheetId="18338" refreshError="1"/>
      <sheetData sheetId="18339" refreshError="1"/>
      <sheetData sheetId="18340" refreshError="1"/>
      <sheetData sheetId="18341" refreshError="1"/>
      <sheetData sheetId="18342" refreshError="1"/>
      <sheetData sheetId="18343" refreshError="1"/>
      <sheetData sheetId="18344" refreshError="1"/>
      <sheetData sheetId="18345" refreshError="1"/>
      <sheetData sheetId="18346" refreshError="1"/>
      <sheetData sheetId="18347" refreshError="1"/>
      <sheetData sheetId="18348" refreshError="1"/>
      <sheetData sheetId="18349" refreshError="1"/>
      <sheetData sheetId="18350" refreshError="1"/>
      <sheetData sheetId="18351" refreshError="1"/>
      <sheetData sheetId="18352" refreshError="1"/>
      <sheetData sheetId="18353" refreshError="1"/>
      <sheetData sheetId="18354" refreshError="1"/>
      <sheetData sheetId="18355" refreshError="1"/>
      <sheetData sheetId="18356" refreshError="1"/>
      <sheetData sheetId="18357" refreshError="1"/>
      <sheetData sheetId="18358" refreshError="1"/>
      <sheetData sheetId="18359" refreshError="1"/>
      <sheetData sheetId="18360" refreshError="1"/>
      <sheetData sheetId="18361" refreshError="1"/>
      <sheetData sheetId="18362" refreshError="1"/>
      <sheetData sheetId="18363" refreshError="1"/>
      <sheetData sheetId="18364" refreshError="1"/>
      <sheetData sheetId="18365" refreshError="1"/>
      <sheetData sheetId="18366" refreshError="1"/>
      <sheetData sheetId="18367" refreshError="1"/>
      <sheetData sheetId="18368" refreshError="1"/>
      <sheetData sheetId="18369" refreshError="1"/>
      <sheetData sheetId="18370" refreshError="1"/>
      <sheetData sheetId="18371" refreshError="1"/>
      <sheetData sheetId="18372" refreshError="1"/>
      <sheetData sheetId="18373" refreshError="1"/>
      <sheetData sheetId="18374" refreshError="1"/>
      <sheetData sheetId="18375" refreshError="1"/>
      <sheetData sheetId="18376" refreshError="1"/>
      <sheetData sheetId="18377" refreshError="1"/>
      <sheetData sheetId="18378" refreshError="1"/>
      <sheetData sheetId="18379" refreshError="1"/>
      <sheetData sheetId="18380" refreshError="1"/>
      <sheetData sheetId="18381" refreshError="1"/>
      <sheetData sheetId="18382" refreshError="1"/>
      <sheetData sheetId="18383" refreshError="1"/>
      <sheetData sheetId="18384" refreshError="1"/>
      <sheetData sheetId="18385" refreshError="1"/>
      <sheetData sheetId="18386" refreshError="1"/>
      <sheetData sheetId="18387" refreshError="1"/>
      <sheetData sheetId="18388" refreshError="1"/>
      <sheetData sheetId="18389" refreshError="1"/>
      <sheetData sheetId="18390" refreshError="1"/>
      <sheetData sheetId="18391" refreshError="1"/>
      <sheetData sheetId="18392" refreshError="1"/>
      <sheetData sheetId="18393" refreshError="1"/>
      <sheetData sheetId="18394" refreshError="1"/>
      <sheetData sheetId="18395" refreshError="1"/>
      <sheetData sheetId="18396" refreshError="1"/>
      <sheetData sheetId="18397" refreshError="1"/>
      <sheetData sheetId="18398" refreshError="1"/>
      <sheetData sheetId="18399" refreshError="1"/>
      <sheetData sheetId="18400" refreshError="1"/>
      <sheetData sheetId="18401" refreshError="1"/>
      <sheetData sheetId="18402" refreshError="1"/>
      <sheetData sheetId="18403" refreshError="1"/>
      <sheetData sheetId="18404" refreshError="1"/>
      <sheetData sheetId="18405" refreshError="1"/>
      <sheetData sheetId="18406" refreshError="1"/>
      <sheetData sheetId="18407" refreshError="1"/>
      <sheetData sheetId="18408" refreshError="1"/>
      <sheetData sheetId="18409" refreshError="1"/>
      <sheetData sheetId="18410" refreshError="1"/>
      <sheetData sheetId="18411" refreshError="1"/>
      <sheetData sheetId="18412" refreshError="1"/>
      <sheetData sheetId="18413" refreshError="1"/>
      <sheetData sheetId="18414" refreshError="1"/>
      <sheetData sheetId="18415" refreshError="1"/>
      <sheetData sheetId="18416" refreshError="1"/>
      <sheetData sheetId="18417" refreshError="1"/>
      <sheetData sheetId="18418" refreshError="1"/>
      <sheetData sheetId="18419" refreshError="1"/>
      <sheetData sheetId="18420" refreshError="1"/>
      <sheetData sheetId="18421" refreshError="1"/>
      <sheetData sheetId="18422" refreshError="1"/>
      <sheetData sheetId="18423" refreshError="1"/>
      <sheetData sheetId="18424" refreshError="1"/>
      <sheetData sheetId="18425" refreshError="1"/>
      <sheetData sheetId="18426" refreshError="1"/>
      <sheetData sheetId="18427" refreshError="1"/>
      <sheetData sheetId="18428" refreshError="1"/>
      <sheetData sheetId="18429" refreshError="1"/>
      <sheetData sheetId="18430" refreshError="1"/>
      <sheetData sheetId="18431" refreshError="1"/>
      <sheetData sheetId="18432" refreshError="1"/>
      <sheetData sheetId="18433" refreshError="1"/>
      <sheetData sheetId="18434" refreshError="1"/>
      <sheetData sheetId="18435" refreshError="1"/>
      <sheetData sheetId="18436" refreshError="1"/>
      <sheetData sheetId="18437" refreshError="1"/>
      <sheetData sheetId="18438" refreshError="1"/>
      <sheetData sheetId="18439" refreshError="1"/>
      <sheetData sheetId="18440" refreshError="1"/>
      <sheetData sheetId="18441" refreshError="1"/>
      <sheetData sheetId="18442" refreshError="1"/>
      <sheetData sheetId="18443" refreshError="1"/>
      <sheetData sheetId="18444" refreshError="1"/>
      <sheetData sheetId="18445" refreshError="1"/>
      <sheetData sheetId="18446" refreshError="1"/>
      <sheetData sheetId="18447" refreshError="1"/>
      <sheetData sheetId="18448" refreshError="1"/>
      <sheetData sheetId="18449" refreshError="1"/>
      <sheetData sheetId="18450" refreshError="1"/>
      <sheetData sheetId="18451" refreshError="1"/>
      <sheetData sheetId="18452" refreshError="1"/>
      <sheetData sheetId="18453" refreshError="1"/>
      <sheetData sheetId="18454" refreshError="1"/>
      <sheetData sheetId="18455" refreshError="1"/>
      <sheetData sheetId="18456" refreshError="1"/>
      <sheetData sheetId="18457" refreshError="1"/>
      <sheetData sheetId="18458" refreshError="1"/>
      <sheetData sheetId="18459" refreshError="1"/>
      <sheetData sheetId="18460" refreshError="1"/>
      <sheetData sheetId="18461" refreshError="1"/>
      <sheetData sheetId="18462" refreshError="1"/>
      <sheetData sheetId="18463" refreshError="1"/>
      <sheetData sheetId="18464" refreshError="1"/>
      <sheetData sheetId="18465" refreshError="1"/>
      <sheetData sheetId="18466" refreshError="1"/>
      <sheetData sheetId="18467" refreshError="1"/>
      <sheetData sheetId="18468" refreshError="1"/>
      <sheetData sheetId="18469" refreshError="1"/>
      <sheetData sheetId="18470" refreshError="1"/>
      <sheetData sheetId="18471" refreshError="1"/>
      <sheetData sheetId="18472" refreshError="1"/>
      <sheetData sheetId="18473" refreshError="1"/>
      <sheetData sheetId="18474" refreshError="1"/>
      <sheetData sheetId="18475"/>
      <sheetData sheetId="18476"/>
      <sheetData sheetId="18477">
        <row r="1">
          <cell r="B1" t="str">
            <v>The RTW Model</v>
          </cell>
        </row>
      </sheetData>
      <sheetData sheetId="18478"/>
      <sheetData sheetId="18479"/>
      <sheetData sheetId="18480"/>
      <sheetData sheetId="18481"/>
      <sheetData sheetId="18482"/>
      <sheetData sheetId="18483"/>
      <sheetData sheetId="18484"/>
      <sheetData sheetId="18485"/>
      <sheetData sheetId="18486"/>
      <sheetData sheetId="18487"/>
      <sheetData sheetId="18488"/>
      <sheetData sheetId="18489">
        <row r="2">
          <cell r="H2" t="str">
            <v>: PRC 750</v>
          </cell>
        </row>
      </sheetData>
      <sheetData sheetId="18490">
        <row r="247">
          <cell r="F247">
            <v>0</v>
          </cell>
        </row>
      </sheetData>
      <sheetData sheetId="18491">
        <row r="1">
          <cell r="B1" t="str">
            <v>The RTW Model</v>
          </cell>
        </row>
      </sheetData>
      <sheetData sheetId="18492">
        <row r="247">
          <cell r="F247">
            <v>0</v>
          </cell>
        </row>
      </sheetData>
      <sheetData sheetId="18493">
        <row r="247">
          <cell r="F247">
            <v>0</v>
          </cell>
        </row>
      </sheetData>
      <sheetData sheetId="18494">
        <row r="247">
          <cell r="F247">
            <v>0</v>
          </cell>
        </row>
      </sheetData>
      <sheetData sheetId="18495">
        <row r="1">
          <cell r="B1" t="str">
            <v>The RTW Model</v>
          </cell>
        </row>
      </sheetData>
      <sheetData sheetId="18496">
        <row r="247">
          <cell r="F247">
            <v>0</v>
          </cell>
        </row>
      </sheetData>
      <sheetData sheetId="18497"/>
      <sheetData sheetId="18498"/>
      <sheetData sheetId="18499"/>
      <sheetData sheetId="18500" refreshError="1"/>
      <sheetData sheetId="18501" refreshError="1"/>
      <sheetData sheetId="18502" refreshError="1"/>
      <sheetData sheetId="18503" refreshError="1"/>
      <sheetData sheetId="18504" refreshError="1"/>
      <sheetData sheetId="18505"/>
      <sheetData sheetId="18506" refreshError="1"/>
      <sheetData sheetId="18507" refreshError="1"/>
      <sheetData sheetId="18508" refreshError="1"/>
      <sheetData sheetId="18509"/>
      <sheetData sheetId="18510" refreshError="1"/>
      <sheetData sheetId="18511" refreshError="1"/>
      <sheetData sheetId="18512"/>
      <sheetData sheetId="18513" refreshError="1"/>
      <sheetData sheetId="18514" refreshError="1"/>
      <sheetData sheetId="18515" refreshError="1"/>
      <sheetData sheetId="18516" refreshError="1"/>
      <sheetData sheetId="18517" refreshError="1"/>
      <sheetData sheetId="18518" refreshError="1"/>
      <sheetData sheetId="18519" refreshError="1"/>
      <sheetData sheetId="18520" refreshError="1"/>
      <sheetData sheetId="18521" refreshError="1"/>
      <sheetData sheetId="18522"/>
      <sheetData sheetId="18523"/>
      <sheetData sheetId="18524"/>
      <sheetData sheetId="18525">
        <row r="1">
          <cell r="B1" t="str">
            <v>The RTW Model</v>
          </cell>
        </row>
      </sheetData>
      <sheetData sheetId="18526"/>
      <sheetData sheetId="18527"/>
      <sheetData sheetId="18528"/>
      <sheetData sheetId="18529">
        <row r="1">
          <cell r="B1" t="str">
            <v>The RTW Model</v>
          </cell>
        </row>
      </sheetData>
      <sheetData sheetId="18530"/>
      <sheetData sheetId="18531"/>
      <sheetData sheetId="18532"/>
      <sheetData sheetId="18533"/>
      <sheetData sheetId="18534"/>
      <sheetData sheetId="18535"/>
      <sheetData sheetId="18536"/>
      <sheetData sheetId="18537"/>
      <sheetData sheetId="18538"/>
      <sheetData sheetId="18539"/>
      <sheetData sheetId="18540">
        <row r="1">
          <cell r="B1" t="str">
            <v>The RTW Model</v>
          </cell>
        </row>
      </sheetData>
      <sheetData sheetId="18541"/>
      <sheetData sheetId="18542" refreshError="1"/>
      <sheetData sheetId="18543" refreshError="1"/>
      <sheetData sheetId="18544" refreshError="1"/>
      <sheetData sheetId="18545" refreshError="1"/>
      <sheetData sheetId="18546" refreshError="1"/>
      <sheetData sheetId="18547" refreshError="1"/>
      <sheetData sheetId="18548" refreshError="1"/>
      <sheetData sheetId="18549" refreshError="1"/>
      <sheetData sheetId="18550" refreshError="1"/>
      <sheetData sheetId="18551" refreshError="1"/>
      <sheetData sheetId="18552" refreshError="1"/>
      <sheetData sheetId="18553" refreshError="1"/>
      <sheetData sheetId="18554" refreshError="1"/>
      <sheetData sheetId="18555" refreshError="1"/>
      <sheetData sheetId="18556" refreshError="1"/>
      <sheetData sheetId="18557" refreshError="1"/>
      <sheetData sheetId="18558" refreshError="1"/>
      <sheetData sheetId="18559" refreshError="1"/>
      <sheetData sheetId="18560" refreshError="1"/>
      <sheetData sheetId="18561" refreshError="1"/>
      <sheetData sheetId="18562" refreshError="1"/>
      <sheetData sheetId="18563" refreshError="1"/>
      <sheetData sheetId="18564" refreshError="1"/>
      <sheetData sheetId="18565" refreshError="1"/>
      <sheetData sheetId="18566" refreshError="1"/>
      <sheetData sheetId="18567" refreshError="1"/>
      <sheetData sheetId="18568" refreshError="1"/>
      <sheetData sheetId="18569" refreshError="1"/>
      <sheetData sheetId="18570" refreshError="1"/>
      <sheetData sheetId="18571" refreshError="1"/>
      <sheetData sheetId="18572" refreshError="1"/>
      <sheetData sheetId="18573" refreshError="1"/>
      <sheetData sheetId="18574" refreshError="1"/>
      <sheetData sheetId="18575" refreshError="1"/>
      <sheetData sheetId="18576" refreshError="1"/>
      <sheetData sheetId="18577" refreshError="1"/>
      <sheetData sheetId="18578" refreshError="1"/>
      <sheetData sheetId="18579" refreshError="1"/>
      <sheetData sheetId="18580" refreshError="1"/>
      <sheetData sheetId="18581" refreshError="1"/>
      <sheetData sheetId="18582" refreshError="1"/>
      <sheetData sheetId="18583" refreshError="1"/>
      <sheetData sheetId="18584" refreshError="1"/>
      <sheetData sheetId="18585" refreshError="1"/>
      <sheetData sheetId="18586" refreshError="1"/>
      <sheetData sheetId="18587" refreshError="1"/>
      <sheetData sheetId="18588" refreshError="1"/>
      <sheetData sheetId="18589" refreshError="1"/>
      <sheetData sheetId="18590" refreshError="1"/>
      <sheetData sheetId="18591" refreshError="1"/>
      <sheetData sheetId="18592" refreshError="1"/>
      <sheetData sheetId="18593" refreshError="1"/>
      <sheetData sheetId="18594" refreshError="1"/>
      <sheetData sheetId="18595" refreshError="1"/>
      <sheetData sheetId="18596" refreshError="1"/>
      <sheetData sheetId="18597" refreshError="1"/>
      <sheetData sheetId="18598" refreshError="1"/>
      <sheetData sheetId="18599" refreshError="1"/>
      <sheetData sheetId="18600" refreshError="1"/>
      <sheetData sheetId="18601" refreshError="1"/>
      <sheetData sheetId="18602" refreshError="1"/>
      <sheetData sheetId="18603" refreshError="1"/>
      <sheetData sheetId="18604" refreshError="1"/>
      <sheetData sheetId="18605" refreshError="1"/>
      <sheetData sheetId="18606" refreshError="1"/>
      <sheetData sheetId="18607" refreshError="1"/>
      <sheetData sheetId="18608" refreshError="1"/>
      <sheetData sheetId="18609" refreshError="1"/>
      <sheetData sheetId="18610" refreshError="1"/>
      <sheetData sheetId="18611" refreshError="1"/>
      <sheetData sheetId="18612" refreshError="1"/>
      <sheetData sheetId="18613" refreshError="1"/>
      <sheetData sheetId="18614" refreshError="1"/>
      <sheetData sheetId="18615" refreshError="1"/>
      <sheetData sheetId="18616" refreshError="1"/>
      <sheetData sheetId="18617" refreshError="1"/>
      <sheetData sheetId="18618" refreshError="1"/>
      <sheetData sheetId="18619" refreshError="1"/>
      <sheetData sheetId="18620" refreshError="1"/>
      <sheetData sheetId="18621" refreshError="1"/>
      <sheetData sheetId="18622" refreshError="1"/>
      <sheetData sheetId="18623" refreshError="1"/>
      <sheetData sheetId="18624" refreshError="1"/>
      <sheetData sheetId="18625" refreshError="1"/>
      <sheetData sheetId="18626" refreshError="1"/>
      <sheetData sheetId="18627" refreshError="1"/>
      <sheetData sheetId="18628" refreshError="1"/>
      <sheetData sheetId="18629" refreshError="1"/>
      <sheetData sheetId="18630" refreshError="1"/>
      <sheetData sheetId="18631" refreshError="1"/>
      <sheetData sheetId="18632" refreshError="1"/>
      <sheetData sheetId="18633" refreshError="1"/>
      <sheetData sheetId="18634" refreshError="1"/>
      <sheetData sheetId="18635" refreshError="1"/>
      <sheetData sheetId="18636" refreshError="1"/>
      <sheetData sheetId="18637" refreshError="1"/>
      <sheetData sheetId="18638" refreshError="1"/>
      <sheetData sheetId="18639" refreshError="1"/>
      <sheetData sheetId="18640" refreshError="1"/>
      <sheetData sheetId="18641" refreshError="1"/>
      <sheetData sheetId="18642" refreshError="1"/>
      <sheetData sheetId="18643" refreshError="1"/>
      <sheetData sheetId="18644" refreshError="1"/>
      <sheetData sheetId="18645" refreshError="1"/>
      <sheetData sheetId="18646" refreshError="1"/>
      <sheetData sheetId="18647" refreshError="1"/>
      <sheetData sheetId="18648" refreshError="1"/>
      <sheetData sheetId="18649" refreshError="1"/>
      <sheetData sheetId="18650" refreshError="1"/>
      <sheetData sheetId="18651" refreshError="1"/>
      <sheetData sheetId="18652" refreshError="1"/>
      <sheetData sheetId="18653" refreshError="1"/>
      <sheetData sheetId="18654" refreshError="1"/>
      <sheetData sheetId="18655" refreshError="1"/>
      <sheetData sheetId="18656" refreshError="1"/>
      <sheetData sheetId="18657" refreshError="1"/>
      <sheetData sheetId="18658" refreshError="1"/>
      <sheetData sheetId="18659" refreshError="1"/>
      <sheetData sheetId="18660" refreshError="1"/>
      <sheetData sheetId="18661" refreshError="1"/>
      <sheetData sheetId="18662" refreshError="1"/>
      <sheetData sheetId="18663" refreshError="1"/>
      <sheetData sheetId="18664" refreshError="1"/>
      <sheetData sheetId="18665" refreshError="1"/>
      <sheetData sheetId="18666" refreshError="1"/>
      <sheetData sheetId="18667" refreshError="1"/>
      <sheetData sheetId="18668" refreshError="1"/>
      <sheetData sheetId="18669" refreshError="1"/>
      <sheetData sheetId="18670"/>
      <sheetData sheetId="18671" refreshError="1"/>
      <sheetData sheetId="18672" refreshError="1"/>
      <sheetData sheetId="18673" refreshError="1"/>
      <sheetData sheetId="18674" refreshError="1"/>
      <sheetData sheetId="18675" refreshError="1"/>
      <sheetData sheetId="18676" refreshError="1"/>
      <sheetData sheetId="18677" refreshError="1"/>
      <sheetData sheetId="18678" refreshError="1"/>
      <sheetData sheetId="18679" refreshError="1"/>
      <sheetData sheetId="18680" refreshError="1"/>
      <sheetData sheetId="18681" refreshError="1"/>
      <sheetData sheetId="18682" refreshError="1"/>
      <sheetData sheetId="18683" refreshError="1"/>
      <sheetData sheetId="18684" refreshError="1"/>
      <sheetData sheetId="18685" refreshError="1"/>
      <sheetData sheetId="18686" refreshError="1"/>
      <sheetData sheetId="18687" refreshError="1"/>
      <sheetData sheetId="18688" refreshError="1"/>
      <sheetData sheetId="18689" refreshError="1"/>
      <sheetData sheetId="18690" refreshError="1"/>
      <sheetData sheetId="18691" refreshError="1"/>
      <sheetData sheetId="18692" refreshError="1"/>
      <sheetData sheetId="18693" refreshError="1"/>
      <sheetData sheetId="18694" refreshError="1"/>
      <sheetData sheetId="18695" refreshError="1"/>
      <sheetData sheetId="18696" refreshError="1"/>
      <sheetData sheetId="18697" refreshError="1"/>
      <sheetData sheetId="18698" refreshError="1"/>
      <sheetData sheetId="18699" refreshError="1"/>
      <sheetData sheetId="18700" refreshError="1"/>
      <sheetData sheetId="18701"/>
      <sheetData sheetId="18702" refreshError="1"/>
      <sheetData sheetId="18703" refreshError="1"/>
      <sheetData sheetId="18704" refreshError="1"/>
      <sheetData sheetId="18705" refreshError="1"/>
      <sheetData sheetId="18706" refreshError="1"/>
      <sheetData sheetId="18707" refreshError="1"/>
      <sheetData sheetId="18708" refreshError="1"/>
      <sheetData sheetId="18709" refreshError="1"/>
      <sheetData sheetId="18710" refreshError="1"/>
      <sheetData sheetId="18711" refreshError="1"/>
      <sheetData sheetId="18712" refreshError="1"/>
      <sheetData sheetId="18713" refreshError="1"/>
      <sheetData sheetId="18714" refreshError="1"/>
      <sheetData sheetId="18715" refreshError="1"/>
      <sheetData sheetId="18716" refreshError="1"/>
      <sheetData sheetId="18717" refreshError="1"/>
      <sheetData sheetId="18718" refreshError="1"/>
      <sheetData sheetId="18719" refreshError="1"/>
      <sheetData sheetId="18720" refreshError="1"/>
      <sheetData sheetId="18721" refreshError="1"/>
      <sheetData sheetId="18722" refreshError="1"/>
      <sheetData sheetId="18723" refreshError="1"/>
      <sheetData sheetId="18724" refreshError="1"/>
      <sheetData sheetId="18725" refreshError="1"/>
      <sheetData sheetId="18726" refreshError="1"/>
      <sheetData sheetId="18727" refreshError="1"/>
      <sheetData sheetId="18728" refreshError="1"/>
      <sheetData sheetId="18729" refreshError="1"/>
      <sheetData sheetId="18730" refreshError="1"/>
      <sheetData sheetId="18731" refreshError="1"/>
      <sheetData sheetId="18732" refreshError="1"/>
      <sheetData sheetId="18733" refreshError="1"/>
      <sheetData sheetId="18734" refreshError="1"/>
      <sheetData sheetId="18735" refreshError="1"/>
      <sheetData sheetId="18736" refreshError="1"/>
      <sheetData sheetId="18737" refreshError="1"/>
      <sheetData sheetId="18738" refreshError="1"/>
      <sheetData sheetId="18739" refreshError="1"/>
      <sheetData sheetId="18740" refreshError="1"/>
      <sheetData sheetId="18741" refreshError="1"/>
      <sheetData sheetId="18742" refreshError="1"/>
      <sheetData sheetId="18743" refreshError="1"/>
      <sheetData sheetId="18744" refreshError="1"/>
      <sheetData sheetId="18745" refreshError="1"/>
      <sheetData sheetId="18746" refreshError="1"/>
      <sheetData sheetId="18747" refreshError="1"/>
      <sheetData sheetId="18748" refreshError="1"/>
      <sheetData sheetId="18749" refreshError="1"/>
      <sheetData sheetId="18750" refreshError="1"/>
      <sheetData sheetId="18751" refreshError="1"/>
      <sheetData sheetId="18752" refreshError="1"/>
      <sheetData sheetId="18753" refreshError="1"/>
      <sheetData sheetId="18754" refreshError="1"/>
      <sheetData sheetId="18755" refreshError="1"/>
      <sheetData sheetId="18756" refreshError="1"/>
      <sheetData sheetId="18757" refreshError="1"/>
      <sheetData sheetId="18758" refreshError="1"/>
      <sheetData sheetId="18759" refreshError="1"/>
      <sheetData sheetId="18760">
        <row r="1">
          <cell r="B1" t="str">
            <v>The RTW Model</v>
          </cell>
        </row>
      </sheetData>
      <sheetData sheetId="18761"/>
      <sheetData sheetId="18762"/>
      <sheetData sheetId="18763"/>
      <sheetData sheetId="18764"/>
      <sheetData sheetId="18765"/>
      <sheetData sheetId="18766"/>
      <sheetData sheetId="18767" refreshError="1"/>
      <sheetData sheetId="18768" refreshError="1"/>
      <sheetData sheetId="18769" refreshError="1"/>
      <sheetData sheetId="18770" refreshError="1"/>
      <sheetData sheetId="18771" refreshError="1"/>
      <sheetData sheetId="18772" refreshError="1"/>
      <sheetData sheetId="18773" refreshError="1"/>
      <sheetData sheetId="18774" refreshError="1"/>
      <sheetData sheetId="18775" refreshError="1"/>
      <sheetData sheetId="18776" refreshError="1"/>
      <sheetData sheetId="18777" refreshError="1"/>
      <sheetData sheetId="18778" refreshError="1"/>
      <sheetData sheetId="18779" refreshError="1"/>
      <sheetData sheetId="18780" refreshError="1"/>
      <sheetData sheetId="18781" refreshError="1"/>
      <sheetData sheetId="18782" refreshError="1"/>
      <sheetData sheetId="18783" refreshError="1"/>
      <sheetData sheetId="18784" refreshError="1"/>
      <sheetData sheetId="18785" refreshError="1"/>
      <sheetData sheetId="18786" refreshError="1"/>
      <sheetData sheetId="18787" refreshError="1"/>
      <sheetData sheetId="18788" refreshError="1"/>
      <sheetData sheetId="18789" refreshError="1"/>
      <sheetData sheetId="18790" refreshError="1"/>
      <sheetData sheetId="18791" refreshError="1"/>
      <sheetData sheetId="18792" refreshError="1"/>
      <sheetData sheetId="18793" refreshError="1"/>
      <sheetData sheetId="18794" refreshError="1"/>
      <sheetData sheetId="18795" refreshError="1"/>
      <sheetData sheetId="18796" refreshError="1"/>
      <sheetData sheetId="18797" refreshError="1"/>
      <sheetData sheetId="18798" refreshError="1"/>
      <sheetData sheetId="18799" refreshError="1"/>
      <sheetData sheetId="18800" refreshError="1"/>
      <sheetData sheetId="18801" refreshError="1"/>
      <sheetData sheetId="18802" refreshError="1"/>
      <sheetData sheetId="18803" refreshError="1"/>
      <sheetData sheetId="18804" refreshError="1"/>
      <sheetData sheetId="18805" refreshError="1"/>
      <sheetData sheetId="18806" refreshError="1"/>
      <sheetData sheetId="18807" refreshError="1"/>
      <sheetData sheetId="18808" refreshError="1"/>
      <sheetData sheetId="18809" refreshError="1"/>
      <sheetData sheetId="18810" refreshError="1"/>
      <sheetData sheetId="18811" refreshError="1"/>
      <sheetData sheetId="18812" refreshError="1"/>
      <sheetData sheetId="18813" refreshError="1"/>
      <sheetData sheetId="18814" refreshError="1"/>
      <sheetData sheetId="18815" refreshError="1"/>
      <sheetData sheetId="18816" refreshError="1"/>
      <sheetData sheetId="18817" refreshError="1"/>
      <sheetData sheetId="18818" refreshError="1"/>
      <sheetData sheetId="18819" refreshError="1"/>
      <sheetData sheetId="18820" refreshError="1"/>
      <sheetData sheetId="18821" refreshError="1"/>
      <sheetData sheetId="18822" refreshError="1"/>
      <sheetData sheetId="18823" refreshError="1"/>
      <sheetData sheetId="18824" refreshError="1"/>
      <sheetData sheetId="18825" refreshError="1"/>
      <sheetData sheetId="18826" refreshError="1"/>
      <sheetData sheetId="18827" refreshError="1"/>
      <sheetData sheetId="18828" refreshError="1"/>
      <sheetData sheetId="18829" refreshError="1"/>
      <sheetData sheetId="18830" refreshError="1"/>
      <sheetData sheetId="18831" refreshError="1"/>
      <sheetData sheetId="18832" refreshError="1"/>
      <sheetData sheetId="18833" refreshError="1"/>
      <sheetData sheetId="18834" refreshError="1"/>
      <sheetData sheetId="18835" refreshError="1"/>
      <sheetData sheetId="18836" refreshError="1"/>
      <sheetData sheetId="18837" refreshError="1"/>
      <sheetData sheetId="18838" refreshError="1"/>
      <sheetData sheetId="18839" refreshError="1"/>
      <sheetData sheetId="18840" refreshError="1"/>
      <sheetData sheetId="18841" refreshError="1"/>
      <sheetData sheetId="18842" refreshError="1"/>
      <sheetData sheetId="18843" refreshError="1"/>
      <sheetData sheetId="18844" refreshError="1"/>
      <sheetData sheetId="18845" refreshError="1"/>
      <sheetData sheetId="18846" refreshError="1"/>
      <sheetData sheetId="18847" refreshError="1"/>
      <sheetData sheetId="18848" refreshError="1"/>
      <sheetData sheetId="18849" refreshError="1"/>
      <sheetData sheetId="18850" refreshError="1"/>
      <sheetData sheetId="18851" refreshError="1"/>
      <sheetData sheetId="18852" refreshError="1"/>
      <sheetData sheetId="18853" refreshError="1"/>
      <sheetData sheetId="18854" refreshError="1"/>
      <sheetData sheetId="18855" refreshError="1"/>
      <sheetData sheetId="18856" refreshError="1"/>
      <sheetData sheetId="18857" refreshError="1"/>
      <sheetData sheetId="18858" refreshError="1"/>
      <sheetData sheetId="18859" refreshError="1"/>
      <sheetData sheetId="18860" refreshError="1"/>
      <sheetData sheetId="18861" refreshError="1"/>
      <sheetData sheetId="18862" refreshError="1"/>
      <sheetData sheetId="18863" refreshError="1"/>
      <sheetData sheetId="18864" refreshError="1"/>
      <sheetData sheetId="18865" refreshError="1"/>
      <sheetData sheetId="18866" refreshError="1"/>
      <sheetData sheetId="18867" refreshError="1"/>
      <sheetData sheetId="18868" refreshError="1"/>
      <sheetData sheetId="18869" refreshError="1"/>
      <sheetData sheetId="18870" refreshError="1"/>
      <sheetData sheetId="18871" refreshError="1"/>
      <sheetData sheetId="18872" refreshError="1"/>
      <sheetData sheetId="18873" refreshError="1"/>
      <sheetData sheetId="18874" refreshError="1"/>
      <sheetData sheetId="18875" refreshError="1"/>
      <sheetData sheetId="18876" refreshError="1"/>
      <sheetData sheetId="18877" refreshError="1"/>
      <sheetData sheetId="18878" refreshError="1"/>
      <sheetData sheetId="18879"/>
      <sheetData sheetId="18880"/>
      <sheetData sheetId="18881"/>
      <sheetData sheetId="18882">
        <row r="2">
          <cell r="E2">
            <v>41627</v>
          </cell>
        </row>
      </sheetData>
      <sheetData sheetId="18883"/>
      <sheetData sheetId="18884"/>
      <sheetData sheetId="18885">
        <row r="1">
          <cell r="A1" t="str">
            <v xml:space="preserve">   ACT     </v>
          </cell>
        </row>
      </sheetData>
      <sheetData sheetId="18886"/>
      <sheetData sheetId="18887"/>
      <sheetData sheetId="18888"/>
      <sheetData sheetId="18889" refreshError="1"/>
      <sheetData sheetId="18890"/>
      <sheetData sheetId="18891"/>
      <sheetData sheetId="18892">
        <row r="1">
          <cell r="B1" t="str">
            <v>The RTW Model</v>
          </cell>
        </row>
      </sheetData>
      <sheetData sheetId="18893"/>
      <sheetData sheetId="18894"/>
      <sheetData sheetId="18895"/>
      <sheetData sheetId="18896"/>
      <sheetData sheetId="18897"/>
      <sheetData sheetId="18898"/>
      <sheetData sheetId="18899"/>
      <sheetData sheetId="18900" refreshError="1"/>
      <sheetData sheetId="18901" refreshError="1"/>
      <sheetData sheetId="18902" refreshError="1"/>
      <sheetData sheetId="18903" refreshError="1"/>
      <sheetData sheetId="18904" refreshError="1"/>
      <sheetData sheetId="18905" refreshError="1"/>
      <sheetData sheetId="18906" refreshError="1"/>
      <sheetData sheetId="18907" refreshError="1"/>
      <sheetData sheetId="18908" refreshError="1"/>
      <sheetData sheetId="18909" refreshError="1"/>
      <sheetData sheetId="18910" refreshError="1"/>
      <sheetData sheetId="18911" refreshError="1"/>
      <sheetData sheetId="18912" refreshError="1"/>
      <sheetData sheetId="18913" refreshError="1"/>
      <sheetData sheetId="18914" refreshError="1"/>
      <sheetData sheetId="18915" refreshError="1"/>
      <sheetData sheetId="18916" refreshError="1"/>
      <sheetData sheetId="18917" refreshError="1"/>
      <sheetData sheetId="18918" refreshError="1"/>
      <sheetData sheetId="18919" refreshError="1"/>
      <sheetData sheetId="18920" refreshError="1"/>
      <sheetData sheetId="18921" refreshError="1"/>
      <sheetData sheetId="18922" refreshError="1"/>
      <sheetData sheetId="18923" refreshError="1"/>
      <sheetData sheetId="18924" refreshError="1"/>
      <sheetData sheetId="18925" refreshError="1"/>
      <sheetData sheetId="18926" refreshError="1"/>
      <sheetData sheetId="18927" refreshError="1"/>
      <sheetData sheetId="18928" refreshError="1"/>
      <sheetData sheetId="18929" refreshError="1"/>
      <sheetData sheetId="18930" refreshError="1"/>
      <sheetData sheetId="18931" refreshError="1"/>
      <sheetData sheetId="18932" refreshError="1"/>
      <sheetData sheetId="18933" refreshError="1"/>
      <sheetData sheetId="18934" refreshError="1"/>
      <sheetData sheetId="18935" refreshError="1"/>
      <sheetData sheetId="18936" refreshError="1"/>
      <sheetData sheetId="18937" refreshError="1"/>
      <sheetData sheetId="18938" refreshError="1"/>
      <sheetData sheetId="18939" refreshError="1"/>
      <sheetData sheetId="18940" refreshError="1"/>
      <sheetData sheetId="18941" refreshError="1"/>
      <sheetData sheetId="18942" refreshError="1"/>
      <sheetData sheetId="18943" refreshError="1"/>
      <sheetData sheetId="18944" refreshError="1"/>
      <sheetData sheetId="18945" refreshError="1"/>
      <sheetData sheetId="18946" refreshError="1"/>
      <sheetData sheetId="18947" refreshError="1"/>
      <sheetData sheetId="18948" refreshError="1"/>
      <sheetData sheetId="18949" refreshError="1"/>
      <sheetData sheetId="18950" refreshError="1"/>
      <sheetData sheetId="18951" refreshError="1"/>
      <sheetData sheetId="18952" refreshError="1"/>
      <sheetData sheetId="18953" refreshError="1"/>
      <sheetData sheetId="18954" refreshError="1"/>
      <sheetData sheetId="18955" refreshError="1"/>
      <sheetData sheetId="18956" refreshError="1"/>
      <sheetData sheetId="18957" refreshError="1"/>
      <sheetData sheetId="18958" refreshError="1"/>
      <sheetData sheetId="18959" refreshError="1"/>
      <sheetData sheetId="18960" refreshError="1"/>
      <sheetData sheetId="18961" refreshError="1"/>
      <sheetData sheetId="18962" refreshError="1"/>
      <sheetData sheetId="18963" refreshError="1"/>
      <sheetData sheetId="18964" refreshError="1"/>
      <sheetData sheetId="18965" refreshError="1"/>
      <sheetData sheetId="18966" refreshError="1"/>
      <sheetData sheetId="18967" refreshError="1"/>
      <sheetData sheetId="18968" refreshError="1"/>
      <sheetData sheetId="18969" refreshError="1"/>
      <sheetData sheetId="18970" refreshError="1"/>
      <sheetData sheetId="18971" refreshError="1"/>
      <sheetData sheetId="18972" refreshError="1"/>
      <sheetData sheetId="18973" refreshError="1"/>
      <sheetData sheetId="18974" refreshError="1"/>
      <sheetData sheetId="18975" refreshError="1"/>
      <sheetData sheetId="18976" refreshError="1"/>
      <sheetData sheetId="18977" refreshError="1"/>
      <sheetData sheetId="18978" refreshError="1"/>
      <sheetData sheetId="18979" refreshError="1"/>
      <sheetData sheetId="18980" refreshError="1"/>
      <sheetData sheetId="18981" refreshError="1"/>
      <sheetData sheetId="18982" refreshError="1"/>
      <sheetData sheetId="18983" refreshError="1"/>
      <sheetData sheetId="18984" refreshError="1"/>
      <sheetData sheetId="18985" refreshError="1"/>
      <sheetData sheetId="18986" refreshError="1"/>
      <sheetData sheetId="18987" refreshError="1"/>
      <sheetData sheetId="18988" refreshError="1"/>
      <sheetData sheetId="18989" refreshError="1"/>
      <sheetData sheetId="18990" refreshError="1"/>
      <sheetData sheetId="18991" refreshError="1"/>
      <sheetData sheetId="18992" refreshError="1"/>
      <sheetData sheetId="18993" refreshError="1"/>
      <sheetData sheetId="18994" refreshError="1"/>
      <sheetData sheetId="18995" refreshError="1"/>
      <sheetData sheetId="18996" refreshError="1"/>
      <sheetData sheetId="18997" refreshError="1"/>
      <sheetData sheetId="18998" refreshError="1"/>
      <sheetData sheetId="18999" refreshError="1"/>
      <sheetData sheetId="19000" refreshError="1"/>
      <sheetData sheetId="19001" refreshError="1"/>
      <sheetData sheetId="19002" refreshError="1"/>
      <sheetData sheetId="19003" refreshError="1"/>
      <sheetData sheetId="19004" refreshError="1"/>
      <sheetData sheetId="19005" refreshError="1"/>
      <sheetData sheetId="19006" refreshError="1"/>
      <sheetData sheetId="19007" refreshError="1"/>
      <sheetData sheetId="19008" refreshError="1"/>
      <sheetData sheetId="19009" refreshError="1"/>
      <sheetData sheetId="19010" refreshError="1"/>
      <sheetData sheetId="19011" refreshError="1"/>
      <sheetData sheetId="19012" refreshError="1"/>
      <sheetData sheetId="19013" refreshError="1"/>
      <sheetData sheetId="19014" refreshError="1"/>
      <sheetData sheetId="19015" refreshError="1"/>
      <sheetData sheetId="19016" refreshError="1"/>
      <sheetData sheetId="19017" refreshError="1"/>
      <sheetData sheetId="19018" refreshError="1"/>
      <sheetData sheetId="19019" refreshError="1"/>
      <sheetData sheetId="19020" refreshError="1"/>
      <sheetData sheetId="19021" refreshError="1"/>
      <sheetData sheetId="19022" refreshError="1"/>
      <sheetData sheetId="19023" refreshError="1"/>
      <sheetData sheetId="19024" refreshError="1"/>
      <sheetData sheetId="19025" refreshError="1"/>
      <sheetData sheetId="19026" refreshError="1"/>
      <sheetData sheetId="19027" refreshError="1"/>
      <sheetData sheetId="19028" refreshError="1"/>
      <sheetData sheetId="19029" refreshError="1"/>
      <sheetData sheetId="19030" refreshError="1"/>
      <sheetData sheetId="19031" refreshError="1"/>
      <sheetData sheetId="19032" refreshError="1"/>
      <sheetData sheetId="19033" refreshError="1"/>
      <sheetData sheetId="19034" refreshError="1"/>
      <sheetData sheetId="19035" refreshError="1"/>
      <sheetData sheetId="19036" refreshError="1"/>
      <sheetData sheetId="19037" refreshError="1"/>
      <sheetData sheetId="19038" refreshError="1"/>
      <sheetData sheetId="19039" refreshError="1"/>
      <sheetData sheetId="19040" refreshError="1"/>
      <sheetData sheetId="19041" refreshError="1"/>
      <sheetData sheetId="19042" refreshError="1"/>
      <sheetData sheetId="19043" refreshError="1"/>
      <sheetData sheetId="19044" refreshError="1"/>
      <sheetData sheetId="19045" refreshError="1"/>
      <sheetData sheetId="19046" refreshError="1"/>
      <sheetData sheetId="19047" refreshError="1"/>
      <sheetData sheetId="19048" refreshError="1"/>
      <sheetData sheetId="19049" refreshError="1"/>
      <sheetData sheetId="19050" refreshError="1"/>
      <sheetData sheetId="19051" refreshError="1"/>
      <sheetData sheetId="19052" refreshError="1"/>
      <sheetData sheetId="19053" refreshError="1"/>
      <sheetData sheetId="19054" refreshError="1"/>
      <sheetData sheetId="19055" refreshError="1"/>
      <sheetData sheetId="19056" refreshError="1"/>
      <sheetData sheetId="19057" refreshError="1"/>
      <sheetData sheetId="19058" refreshError="1"/>
      <sheetData sheetId="19059" refreshError="1"/>
      <sheetData sheetId="19060" refreshError="1"/>
      <sheetData sheetId="19061" refreshError="1"/>
      <sheetData sheetId="19062" refreshError="1"/>
      <sheetData sheetId="19063" refreshError="1"/>
      <sheetData sheetId="19064" refreshError="1"/>
      <sheetData sheetId="19065" refreshError="1"/>
      <sheetData sheetId="19066" refreshError="1"/>
      <sheetData sheetId="19067" refreshError="1"/>
      <sheetData sheetId="19068" refreshError="1"/>
      <sheetData sheetId="19069" refreshError="1"/>
      <sheetData sheetId="19070" refreshError="1"/>
      <sheetData sheetId="19071" refreshError="1"/>
      <sheetData sheetId="19072" refreshError="1"/>
      <sheetData sheetId="19073" refreshError="1"/>
      <sheetData sheetId="19074" refreshError="1"/>
      <sheetData sheetId="19075" refreshError="1"/>
      <sheetData sheetId="19076" refreshError="1"/>
      <sheetData sheetId="19077" refreshError="1"/>
      <sheetData sheetId="19078" refreshError="1"/>
      <sheetData sheetId="19079" refreshError="1"/>
      <sheetData sheetId="19080" refreshError="1"/>
      <sheetData sheetId="19081" refreshError="1"/>
      <sheetData sheetId="19082" refreshError="1"/>
      <sheetData sheetId="19083" refreshError="1"/>
      <sheetData sheetId="19084" refreshError="1"/>
      <sheetData sheetId="19085" refreshError="1"/>
      <sheetData sheetId="19086" refreshError="1"/>
      <sheetData sheetId="19087" refreshError="1"/>
      <sheetData sheetId="19088" refreshError="1"/>
      <sheetData sheetId="19089" refreshError="1"/>
      <sheetData sheetId="19090" refreshError="1"/>
      <sheetData sheetId="19091" refreshError="1"/>
      <sheetData sheetId="19092" refreshError="1"/>
      <sheetData sheetId="19093" refreshError="1"/>
      <sheetData sheetId="19094" refreshError="1"/>
      <sheetData sheetId="19095" refreshError="1"/>
      <sheetData sheetId="19096" refreshError="1"/>
      <sheetData sheetId="19097" refreshError="1"/>
      <sheetData sheetId="19098" refreshError="1"/>
      <sheetData sheetId="19099" refreshError="1"/>
      <sheetData sheetId="19100" refreshError="1"/>
      <sheetData sheetId="19101" refreshError="1"/>
      <sheetData sheetId="19102" refreshError="1"/>
      <sheetData sheetId="19103" refreshError="1"/>
      <sheetData sheetId="19104" refreshError="1"/>
      <sheetData sheetId="19105" refreshError="1"/>
      <sheetData sheetId="19106" refreshError="1"/>
      <sheetData sheetId="19107" refreshError="1"/>
      <sheetData sheetId="19108" refreshError="1"/>
      <sheetData sheetId="19109" refreshError="1"/>
      <sheetData sheetId="19110" refreshError="1"/>
      <sheetData sheetId="19111" refreshError="1"/>
      <sheetData sheetId="19112" refreshError="1"/>
      <sheetData sheetId="19113" refreshError="1"/>
      <sheetData sheetId="19114" refreshError="1"/>
      <sheetData sheetId="19115" refreshError="1"/>
      <sheetData sheetId="19116" refreshError="1"/>
      <sheetData sheetId="19117" refreshError="1"/>
      <sheetData sheetId="19118" refreshError="1"/>
      <sheetData sheetId="19119" refreshError="1"/>
      <sheetData sheetId="19120" refreshError="1"/>
      <sheetData sheetId="19121" refreshError="1"/>
      <sheetData sheetId="19122" refreshError="1"/>
      <sheetData sheetId="19123" refreshError="1"/>
      <sheetData sheetId="19124" refreshError="1"/>
      <sheetData sheetId="19125" refreshError="1"/>
      <sheetData sheetId="19126" refreshError="1"/>
      <sheetData sheetId="19127" refreshError="1"/>
      <sheetData sheetId="19128" refreshError="1"/>
      <sheetData sheetId="19129" refreshError="1"/>
      <sheetData sheetId="19130" refreshError="1"/>
      <sheetData sheetId="19131" refreshError="1"/>
      <sheetData sheetId="19132" refreshError="1"/>
      <sheetData sheetId="19133" refreshError="1"/>
      <sheetData sheetId="19134" refreshError="1"/>
      <sheetData sheetId="19135" refreshError="1"/>
      <sheetData sheetId="19136" refreshError="1"/>
      <sheetData sheetId="19137" refreshError="1"/>
      <sheetData sheetId="19138" refreshError="1"/>
      <sheetData sheetId="19139" refreshError="1"/>
      <sheetData sheetId="19140" refreshError="1"/>
      <sheetData sheetId="19141" refreshError="1"/>
      <sheetData sheetId="19142" refreshError="1"/>
      <sheetData sheetId="19143" refreshError="1"/>
      <sheetData sheetId="19144" refreshError="1"/>
      <sheetData sheetId="19145" refreshError="1"/>
      <sheetData sheetId="19146" refreshError="1"/>
      <sheetData sheetId="19147" refreshError="1"/>
      <sheetData sheetId="19148" refreshError="1"/>
      <sheetData sheetId="19149" refreshError="1"/>
      <sheetData sheetId="19150" refreshError="1"/>
      <sheetData sheetId="19151" refreshError="1"/>
      <sheetData sheetId="19152" refreshError="1"/>
      <sheetData sheetId="19153" refreshError="1"/>
      <sheetData sheetId="19154" refreshError="1"/>
      <sheetData sheetId="19155" refreshError="1"/>
      <sheetData sheetId="19156" refreshError="1"/>
      <sheetData sheetId="19157" refreshError="1"/>
      <sheetData sheetId="19158" refreshError="1"/>
      <sheetData sheetId="19159" refreshError="1"/>
      <sheetData sheetId="19160" refreshError="1"/>
      <sheetData sheetId="19161" refreshError="1"/>
      <sheetData sheetId="19162" refreshError="1"/>
      <sheetData sheetId="19163" refreshError="1"/>
      <sheetData sheetId="19164" refreshError="1"/>
      <sheetData sheetId="19165" refreshError="1"/>
      <sheetData sheetId="19166"/>
      <sheetData sheetId="19167"/>
      <sheetData sheetId="19168"/>
      <sheetData sheetId="19169"/>
      <sheetData sheetId="19170"/>
      <sheetData sheetId="19171"/>
      <sheetData sheetId="19172"/>
      <sheetData sheetId="19173"/>
      <sheetData sheetId="19174"/>
      <sheetData sheetId="19175">
        <row r="1">
          <cell r="B1" t="str">
            <v>The RTW Model</v>
          </cell>
        </row>
      </sheetData>
      <sheetData sheetId="19176"/>
      <sheetData sheetId="19177"/>
      <sheetData sheetId="19178"/>
      <sheetData sheetId="19179"/>
      <sheetData sheetId="19180"/>
      <sheetData sheetId="19181"/>
      <sheetData sheetId="19182"/>
      <sheetData sheetId="19183"/>
      <sheetData sheetId="19184"/>
      <sheetData sheetId="19185" refreshError="1"/>
      <sheetData sheetId="19186" refreshError="1"/>
      <sheetData sheetId="19187" refreshError="1"/>
      <sheetData sheetId="19188" refreshError="1"/>
      <sheetData sheetId="19189" refreshError="1"/>
      <sheetData sheetId="19190" refreshError="1"/>
      <sheetData sheetId="19191" refreshError="1"/>
      <sheetData sheetId="19192"/>
      <sheetData sheetId="19193" refreshError="1"/>
      <sheetData sheetId="19194" refreshError="1"/>
      <sheetData sheetId="19195" refreshError="1"/>
      <sheetData sheetId="19196" refreshError="1"/>
      <sheetData sheetId="19197" refreshError="1"/>
      <sheetData sheetId="19198" refreshError="1"/>
      <sheetData sheetId="19199" refreshError="1"/>
      <sheetData sheetId="19200" refreshError="1"/>
      <sheetData sheetId="19201" refreshError="1"/>
      <sheetData sheetId="19202" refreshError="1"/>
      <sheetData sheetId="19203" refreshError="1"/>
      <sheetData sheetId="19204" refreshError="1"/>
      <sheetData sheetId="19205" refreshError="1"/>
      <sheetData sheetId="19206"/>
      <sheetData sheetId="19207"/>
      <sheetData sheetId="19208"/>
      <sheetData sheetId="19209">
        <row r="1">
          <cell r="B1" t="str">
            <v>The RTW Model</v>
          </cell>
        </row>
      </sheetData>
      <sheetData sheetId="19210"/>
      <sheetData sheetId="19211"/>
      <sheetData sheetId="19212"/>
      <sheetData sheetId="19213"/>
      <sheetData sheetId="19214"/>
      <sheetData sheetId="19215" refreshError="1"/>
      <sheetData sheetId="19216"/>
      <sheetData sheetId="19217"/>
      <sheetData sheetId="19218" refreshError="1"/>
      <sheetData sheetId="19219" refreshError="1"/>
      <sheetData sheetId="19220" refreshError="1"/>
      <sheetData sheetId="19221" refreshError="1"/>
      <sheetData sheetId="19222" refreshError="1"/>
      <sheetData sheetId="19223" refreshError="1"/>
      <sheetData sheetId="19224" refreshError="1"/>
      <sheetData sheetId="19225" refreshError="1"/>
      <sheetData sheetId="19226" refreshError="1"/>
      <sheetData sheetId="19227" refreshError="1"/>
      <sheetData sheetId="19228" refreshError="1"/>
      <sheetData sheetId="19229" refreshError="1"/>
      <sheetData sheetId="19230" refreshError="1"/>
      <sheetData sheetId="19231" refreshError="1"/>
      <sheetData sheetId="19232" refreshError="1"/>
      <sheetData sheetId="19233" refreshError="1"/>
      <sheetData sheetId="19234" refreshError="1"/>
      <sheetData sheetId="19235" refreshError="1"/>
      <sheetData sheetId="19236" refreshError="1"/>
      <sheetData sheetId="19237" refreshError="1"/>
      <sheetData sheetId="19238" refreshError="1"/>
      <sheetData sheetId="19239" refreshError="1"/>
      <sheetData sheetId="19240" refreshError="1"/>
      <sheetData sheetId="19241" refreshError="1"/>
      <sheetData sheetId="19242" refreshError="1"/>
      <sheetData sheetId="19243" refreshError="1"/>
      <sheetData sheetId="19244" refreshError="1"/>
      <sheetData sheetId="19245" refreshError="1"/>
      <sheetData sheetId="19246" refreshError="1"/>
      <sheetData sheetId="19247" refreshError="1"/>
      <sheetData sheetId="19248" refreshError="1"/>
      <sheetData sheetId="19249" refreshError="1"/>
      <sheetData sheetId="19250"/>
      <sheetData sheetId="19251"/>
      <sheetData sheetId="19252" refreshError="1"/>
      <sheetData sheetId="19253">
        <row r="1">
          <cell r="B1" t="str">
            <v>The RTW Model</v>
          </cell>
        </row>
      </sheetData>
      <sheetData sheetId="19254"/>
      <sheetData sheetId="19255"/>
      <sheetData sheetId="19256"/>
      <sheetData sheetId="19257"/>
      <sheetData sheetId="19258" refreshError="1"/>
      <sheetData sheetId="19259" refreshError="1"/>
      <sheetData sheetId="19260" refreshError="1"/>
      <sheetData sheetId="19261" refreshError="1"/>
      <sheetData sheetId="19262" refreshError="1"/>
      <sheetData sheetId="19263" refreshError="1"/>
      <sheetData sheetId="19264" refreshError="1"/>
      <sheetData sheetId="19265" refreshError="1"/>
      <sheetData sheetId="19266" refreshError="1"/>
      <sheetData sheetId="19267" refreshError="1"/>
      <sheetData sheetId="19268" refreshError="1"/>
      <sheetData sheetId="19269" refreshError="1"/>
      <sheetData sheetId="19270" refreshError="1"/>
      <sheetData sheetId="19271" refreshError="1"/>
      <sheetData sheetId="19272" refreshError="1"/>
      <sheetData sheetId="19273" refreshError="1"/>
      <sheetData sheetId="19274" refreshError="1"/>
      <sheetData sheetId="19275" refreshError="1"/>
      <sheetData sheetId="19276" refreshError="1"/>
      <sheetData sheetId="19277" refreshError="1"/>
      <sheetData sheetId="19278" refreshError="1"/>
      <sheetData sheetId="19279" refreshError="1"/>
      <sheetData sheetId="19280" refreshError="1"/>
      <sheetData sheetId="19281" refreshError="1"/>
      <sheetData sheetId="19282" refreshError="1"/>
      <sheetData sheetId="19283" refreshError="1"/>
      <sheetData sheetId="19284" refreshError="1"/>
      <sheetData sheetId="19285" refreshError="1"/>
      <sheetData sheetId="19286" refreshError="1"/>
      <sheetData sheetId="19287" refreshError="1"/>
      <sheetData sheetId="19288" refreshError="1"/>
      <sheetData sheetId="19289" refreshError="1"/>
      <sheetData sheetId="19290" refreshError="1"/>
      <sheetData sheetId="19291" refreshError="1"/>
      <sheetData sheetId="19292" refreshError="1"/>
      <sheetData sheetId="19293" refreshError="1"/>
      <sheetData sheetId="19294" refreshError="1"/>
      <sheetData sheetId="19295" refreshError="1"/>
      <sheetData sheetId="19296" refreshError="1"/>
      <sheetData sheetId="19297" refreshError="1"/>
      <sheetData sheetId="19298" refreshError="1"/>
      <sheetData sheetId="19299" refreshError="1"/>
      <sheetData sheetId="19300" refreshError="1"/>
      <sheetData sheetId="19301" refreshError="1"/>
      <sheetData sheetId="19302" refreshError="1"/>
      <sheetData sheetId="19303" refreshError="1"/>
      <sheetData sheetId="19304" refreshError="1"/>
      <sheetData sheetId="19305" refreshError="1"/>
      <sheetData sheetId="19306" refreshError="1"/>
      <sheetData sheetId="19307" refreshError="1"/>
      <sheetData sheetId="19308" refreshError="1"/>
      <sheetData sheetId="19309" refreshError="1"/>
      <sheetData sheetId="19310" refreshError="1"/>
      <sheetData sheetId="19311" refreshError="1"/>
      <sheetData sheetId="19312" refreshError="1"/>
      <sheetData sheetId="19313" refreshError="1"/>
      <sheetData sheetId="19314" refreshError="1"/>
      <sheetData sheetId="19315" refreshError="1"/>
      <sheetData sheetId="19316" refreshError="1"/>
      <sheetData sheetId="19317" refreshError="1"/>
      <sheetData sheetId="19318" refreshError="1"/>
      <sheetData sheetId="19319" refreshError="1"/>
      <sheetData sheetId="19320" refreshError="1"/>
      <sheetData sheetId="19321" refreshError="1"/>
      <sheetData sheetId="19322" refreshError="1"/>
      <sheetData sheetId="19323" refreshError="1"/>
      <sheetData sheetId="19324" refreshError="1"/>
      <sheetData sheetId="19325" refreshError="1"/>
      <sheetData sheetId="19326" refreshError="1"/>
      <sheetData sheetId="19327" refreshError="1"/>
      <sheetData sheetId="19328" refreshError="1"/>
      <sheetData sheetId="19329" refreshError="1"/>
      <sheetData sheetId="19330" refreshError="1"/>
      <sheetData sheetId="19331" refreshError="1"/>
      <sheetData sheetId="19332" refreshError="1"/>
      <sheetData sheetId="19333" refreshError="1"/>
      <sheetData sheetId="19334" refreshError="1"/>
      <sheetData sheetId="19335" refreshError="1"/>
      <sheetData sheetId="19336" refreshError="1"/>
      <sheetData sheetId="19337" refreshError="1"/>
      <sheetData sheetId="19338" refreshError="1"/>
      <sheetData sheetId="19339" refreshError="1"/>
      <sheetData sheetId="19340" refreshError="1"/>
      <sheetData sheetId="19341" refreshError="1"/>
      <sheetData sheetId="19342" refreshError="1"/>
      <sheetData sheetId="19343" refreshError="1"/>
      <sheetData sheetId="19344" refreshError="1"/>
      <sheetData sheetId="19345" refreshError="1"/>
      <sheetData sheetId="19346" refreshError="1"/>
      <sheetData sheetId="19347" refreshError="1"/>
      <sheetData sheetId="19348" refreshError="1"/>
      <sheetData sheetId="19349" refreshError="1"/>
      <sheetData sheetId="19350" refreshError="1"/>
      <sheetData sheetId="19351" refreshError="1"/>
      <sheetData sheetId="19352" refreshError="1"/>
      <sheetData sheetId="19353" refreshError="1"/>
      <sheetData sheetId="19354" refreshError="1"/>
      <sheetData sheetId="19355" refreshError="1"/>
      <sheetData sheetId="19356" refreshError="1"/>
      <sheetData sheetId="19357" refreshError="1"/>
      <sheetData sheetId="19358" refreshError="1"/>
      <sheetData sheetId="19359" refreshError="1"/>
      <sheetData sheetId="19360" refreshError="1"/>
      <sheetData sheetId="19361" refreshError="1"/>
      <sheetData sheetId="19362" refreshError="1"/>
      <sheetData sheetId="19363" refreshError="1"/>
      <sheetData sheetId="19364" refreshError="1"/>
      <sheetData sheetId="19365" refreshError="1"/>
      <sheetData sheetId="19366" refreshError="1"/>
      <sheetData sheetId="19367" refreshError="1"/>
      <sheetData sheetId="19368" refreshError="1"/>
      <sheetData sheetId="19369" refreshError="1"/>
      <sheetData sheetId="19370" refreshError="1"/>
      <sheetData sheetId="19371" refreshError="1"/>
      <sheetData sheetId="19372" refreshError="1"/>
      <sheetData sheetId="19373" refreshError="1"/>
      <sheetData sheetId="19374" refreshError="1"/>
      <sheetData sheetId="19375" refreshError="1"/>
      <sheetData sheetId="19376" refreshError="1"/>
      <sheetData sheetId="19377" refreshError="1"/>
      <sheetData sheetId="19378" refreshError="1"/>
      <sheetData sheetId="19379" refreshError="1"/>
      <sheetData sheetId="19380" refreshError="1"/>
      <sheetData sheetId="19381" refreshError="1"/>
      <sheetData sheetId="19382" refreshError="1"/>
      <sheetData sheetId="19383" refreshError="1"/>
      <sheetData sheetId="19384" refreshError="1"/>
      <sheetData sheetId="19385" refreshError="1"/>
      <sheetData sheetId="19386" refreshError="1"/>
      <sheetData sheetId="19387" refreshError="1"/>
      <sheetData sheetId="19388" refreshError="1"/>
      <sheetData sheetId="19389" refreshError="1"/>
      <sheetData sheetId="19390" refreshError="1"/>
      <sheetData sheetId="19391" refreshError="1"/>
      <sheetData sheetId="19392" refreshError="1"/>
      <sheetData sheetId="19393" refreshError="1"/>
      <sheetData sheetId="19394" refreshError="1"/>
      <sheetData sheetId="19395" refreshError="1"/>
      <sheetData sheetId="19396" refreshError="1"/>
      <sheetData sheetId="19397" refreshError="1"/>
      <sheetData sheetId="19398" refreshError="1"/>
      <sheetData sheetId="19399" refreshError="1"/>
      <sheetData sheetId="19400" refreshError="1"/>
      <sheetData sheetId="19401" refreshError="1"/>
      <sheetData sheetId="19402" refreshError="1"/>
      <sheetData sheetId="19403" refreshError="1"/>
      <sheetData sheetId="19404" refreshError="1"/>
      <sheetData sheetId="19405" refreshError="1"/>
      <sheetData sheetId="19406" refreshError="1"/>
      <sheetData sheetId="19407" refreshError="1"/>
      <sheetData sheetId="19408" refreshError="1"/>
      <sheetData sheetId="19409" refreshError="1"/>
      <sheetData sheetId="19410" refreshError="1"/>
      <sheetData sheetId="19411" refreshError="1"/>
      <sheetData sheetId="19412" refreshError="1"/>
      <sheetData sheetId="19413" refreshError="1"/>
      <sheetData sheetId="19414" refreshError="1"/>
      <sheetData sheetId="19415" refreshError="1"/>
      <sheetData sheetId="19416" refreshError="1"/>
      <sheetData sheetId="19417" refreshError="1"/>
      <sheetData sheetId="19418" refreshError="1"/>
      <sheetData sheetId="19419" refreshError="1"/>
      <sheetData sheetId="19420" refreshError="1"/>
      <sheetData sheetId="19421" refreshError="1"/>
      <sheetData sheetId="19422" refreshError="1"/>
      <sheetData sheetId="19423" refreshError="1"/>
      <sheetData sheetId="19424" refreshError="1"/>
      <sheetData sheetId="19425" refreshError="1"/>
      <sheetData sheetId="19426" refreshError="1"/>
      <sheetData sheetId="19427" refreshError="1"/>
      <sheetData sheetId="19428" refreshError="1"/>
      <sheetData sheetId="19429" refreshError="1"/>
      <sheetData sheetId="19430" refreshError="1"/>
      <sheetData sheetId="19431" refreshError="1"/>
      <sheetData sheetId="19432" refreshError="1"/>
      <sheetData sheetId="19433" refreshError="1"/>
      <sheetData sheetId="19434" refreshError="1"/>
      <sheetData sheetId="19435" refreshError="1"/>
      <sheetData sheetId="19436" refreshError="1"/>
      <sheetData sheetId="19437" refreshError="1"/>
      <sheetData sheetId="19438" refreshError="1"/>
      <sheetData sheetId="19439" refreshError="1"/>
      <sheetData sheetId="19440" refreshError="1"/>
      <sheetData sheetId="19441" refreshError="1"/>
      <sheetData sheetId="19442" refreshError="1"/>
      <sheetData sheetId="19443" refreshError="1"/>
      <sheetData sheetId="19444" refreshError="1"/>
      <sheetData sheetId="19445" refreshError="1"/>
      <sheetData sheetId="19446" refreshError="1"/>
      <sheetData sheetId="19447" refreshError="1"/>
      <sheetData sheetId="19448" refreshError="1"/>
      <sheetData sheetId="19449" refreshError="1"/>
      <sheetData sheetId="19450" refreshError="1"/>
      <sheetData sheetId="19451" refreshError="1"/>
      <sheetData sheetId="19452" refreshError="1"/>
      <sheetData sheetId="19453" refreshError="1"/>
      <sheetData sheetId="19454" refreshError="1"/>
      <sheetData sheetId="19455" refreshError="1"/>
      <sheetData sheetId="19456" refreshError="1"/>
      <sheetData sheetId="19457" refreshError="1"/>
      <sheetData sheetId="19458" refreshError="1"/>
      <sheetData sheetId="19459" refreshError="1"/>
      <sheetData sheetId="19460" refreshError="1"/>
      <sheetData sheetId="19461" refreshError="1"/>
      <sheetData sheetId="19462" refreshError="1"/>
      <sheetData sheetId="19463" refreshError="1"/>
      <sheetData sheetId="19464" refreshError="1"/>
      <sheetData sheetId="19465" refreshError="1"/>
      <sheetData sheetId="19466" refreshError="1"/>
      <sheetData sheetId="19467" refreshError="1"/>
      <sheetData sheetId="19468" refreshError="1"/>
      <sheetData sheetId="19469" refreshError="1"/>
      <sheetData sheetId="19470" refreshError="1"/>
      <sheetData sheetId="19471" refreshError="1"/>
      <sheetData sheetId="19472" refreshError="1"/>
      <sheetData sheetId="19473" refreshError="1"/>
      <sheetData sheetId="19474" refreshError="1"/>
      <sheetData sheetId="19475" refreshError="1"/>
      <sheetData sheetId="19476" refreshError="1"/>
      <sheetData sheetId="19477" refreshError="1"/>
      <sheetData sheetId="19478" refreshError="1"/>
      <sheetData sheetId="19479" refreshError="1"/>
      <sheetData sheetId="19480" refreshError="1"/>
      <sheetData sheetId="19481" refreshError="1"/>
      <sheetData sheetId="19482" refreshError="1"/>
      <sheetData sheetId="19483" refreshError="1"/>
      <sheetData sheetId="19484" refreshError="1"/>
      <sheetData sheetId="19485" refreshError="1"/>
      <sheetData sheetId="19486" refreshError="1"/>
      <sheetData sheetId="19487" refreshError="1"/>
      <sheetData sheetId="19488" refreshError="1"/>
      <sheetData sheetId="19489" refreshError="1"/>
      <sheetData sheetId="19490" refreshError="1"/>
      <sheetData sheetId="19491" refreshError="1"/>
      <sheetData sheetId="19492" refreshError="1"/>
      <sheetData sheetId="19493" refreshError="1"/>
      <sheetData sheetId="19494" refreshError="1"/>
      <sheetData sheetId="19495" refreshError="1"/>
      <sheetData sheetId="19496" refreshError="1"/>
      <sheetData sheetId="19497" refreshError="1"/>
      <sheetData sheetId="19498" refreshError="1"/>
      <sheetData sheetId="19499" refreshError="1"/>
      <sheetData sheetId="19500" refreshError="1"/>
      <sheetData sheetId="19501" refreshError="1"/>
      <sheetData sheetId="19502" refreshError="1"/>
      <sheetData sheetId="19503" refreshError="1"/>
      <sheetData sheetId="19504" refreshError="1"/>
      <sheetData sheetId="19505" refreshError="1"/>
      <sheetData sheetId="19506" refreshError="1"/>
      <sheetData sheetId="19507" refreshError="1"/>
      <sheetData sheetId="19508" refreshError="1"/>
      <sheetData sheetId="19509" refreshError="1"/>
      <sheetData sheetId="19510" refreshError="1"/>
      <sheetData sheetId="19511" refreshError="1"/>
      <sheetData sheetId="19512" refreshError="1"/>
      <sheetData sheetId="19513" refreshError="1"/>
      <sheetData sheetId="19514" refreshError="1"/>
      <sheetData sheetId="19515" refreshError="1"/>
      <sheetData sheetId="19516" refreshError="1"/>
      <sheetData sheetId="19517" refreshError="1"/>
      <sheetData sheetId="19518" refreshError="1"/>
      <sheetData sheetId="19519" refreshError="1"/>
      <sheetData sheetId="19520" refreshError="1"/>
      <sheetData sheetId="19521" refreshError="1"/>
      <sheetData sheetId="19522" refreshError="1"/>
      <sheetData sheetId="19523" refreshError="1"/>
      <sheetData sheetId="19524" refreshError="1"/>
      <sheetData sheetId="19525" refreshError="1"/>
      <sheetData sheetId="19526" refreshError="1"/>
      <sheetData sheetId="19527" refreshError="1"/>
      <sheetData sheetId="19528" refreshError="1"/>
      <sheetData sheetId="19529" refreshError="1"/>
      <sheetData sheetId="19530" refreshError="1"/>
      <sheetData sheetId="19531" refreshError="1"/>
      <sheetData sheetId="19532" refreshError="1"/>
      <sheetData sheetId="19533" refreshError="1"/>
      <sheetData sheetId="19534" refreshError="1"/>
      <sheetData sheetId="19535" refreshError="1"/>
      <sheetData sheetId="19536" refreshError="1"/>
      <sheetData sheetId="19537" refreshError="1"/>
      <sheetData sheetId="19538" refreshError="1"/>
      <sheetData sheetId="19539" refreshError="1"/>
      <sheetData sheetId="19540" refreshError="1"/>
      <sheetData sheetId="19541" refreshError="1"/>
      <sheetData sheetId="19542" refreshError="1"/>
      <sheetData sheetId="19543" refreshError="1"/>
      <sheetData sheetId="19544" refreshError="1"/>
      <sheetData sheetId="19545" refreshError="1"/>
      <sheetData sheetId="19546" refreshError="1"/>
      <sheetData sheetId="19547" refreshError="1"/>
      <sheetData sheetId="19548" refreshError="1"/>
      <sheetData sheetId="19549" refreshError="1"/>
      <sheetData sheetId="19550" refreshError="1"/>
      <sheetData sheetId="19551" refreshError="1"/>
      <sheetData sheetId="19552" refreshError="1"/>
      <sheetData sheetId="19553" refreshError="1"/>
      <sheetData sheetId="19554" refreshError="1"/>
      <sheetData sheetId="19555" refreshError="1"/>
      <sheetData sheetId="19556" refreshError="1"/>
      <sheetData sheetId="19557" refreshError="1"/>
      <sheetData sheetId="19558" refreshError="1"/>
      <sheetData sheetId="19559" refreshError="1"/>
      <sheetData sheetId="19560" refreshError="1"/>
      <sheetData sheetId="19561" refreshError="1"/>
      <sheetData sheetId="19562" refreshError="1"/>
      <sheetData sheetId="19563" refreshError="1"/>
      <sheetData sheetId="19564" refreshError="1"/>
      <sheetData sheetId="19565" refreshError="1"/>
      <sheetData sheetId="19566" refreshError="1"/>
      <sheetData sheetId="19567" refreshError="1"/>
      <sheetData sheetId="19568" refreshError="1"/>
      <sheetData sheetId="19569" refreshError="1"/>
      <sheetData sheetId="19570" refreshError="1"/>
      <sheetData sheetId="19571" refreshError="1"/>
      <sheetData sheetId="19572" refreshError="1"/>
      <sheetData sheetId="19573" refreshError="1"/>
      <sheetData sheetId="19574" refreshError="1"/>
      <sheetData sheetId="19575" refreshError="1"/>
      <sheetData sheetId="19576" refreshError="1"/>
      <sheetData sheetId="19577" refreshError="1"/>
      <sheetData sheetId="19578" refreshError="1"/>
      <sheetData sheetId="19579" refreshError="1"/>
      <sheetData sheetId="19580" refreshError="1"/>
      <sheetData sheetId="19581" refreshError="1"/>
      <sheetData sheetId="19582" refreshError="1"/>
      <sheetData sheetId="19583" refreshError="1"/>
      <sheetData sheetId="19584" refreshError="1"/>
      <sheetData sheetId="19585" refreshError="1"/>
      <sheetData sheetId="19586" refreshError="1"/>
      <sheetData sheetId="19587" refreshError="1"/>
      <sheetData sheetId="19588" refreshError="1"/>
      <sheetData sheetId="19589" refreshError="1"/>
      <sheetData sheetId="19590" refreshError="1"/>
      <sheetData sheetId="19591" refreshError="1"/>
      <sheetData sheetId="19592" refreshError="1"/>
      <sheetData sheetId="19593" refreshError="1"/>
      <sheetData sheetId="19594" refreshError="1"/>
      <sheetData sheetId="19595" refreshError="1"/>
      <sheetData sheetId="19596" refreshError="1"/>
      <sheetData sheetId="19597" refreshError="1"/>
      <sheetData sheetId="19598" refreshError="1"/>
      <sheetData sheetId="19599" refreshError="1"/>
      <sheetData sheetId="19600" refreshError="1"/>
      <sheetData sheetId="19601" refreshError="1"/>
      <sheetData sheetId="19602" refreshError="1"/>
      <sheetData sheetId="19603" refreshError="1"/>
      <sheetData sheetId="19604" refreshError="1"/>
      <sheetData sheetId="19605" refreshError="1"/>
      <sheetData sheetId="19606" refreshError="1"/>
      <sheetData sheetId="19607" refreshError="1"/>
      <sheetData sheetId="19608" refreshError="1"/>
      <sheetData sheetId="19609" refreshError="1"/>
      <sheetData sheetId="19610" refreshError="1"/>
      <sheetData sheetId="19611" refreshError="1"/>
      <sheetData sheetId="19612" refreshError="1"/>
      <sheetData sheetId="19613" refreshError="1"/>
      <sheetData sheetId="19614" refreshError="1"/>
      <sheetData sheetId="19615" refreshError="1"/>
      <sheetData sheetId="19616" refreshError="1"/>
      <sheetData sheetId="19617" refreshError="1"/>
      <sheetData sheetId="19618" refreshError="1"/>
      <sheetData sheetId="19619" refreshError="1"/>
      <sheetData sheetId="19620" refreshError="1"/>
      <sheetData sheetId="19621" refreshError="1"/>
      <sheetData sheetId="19622" refreshError="1"/>
      <sheetData sheetId="19623" refreshError="1"/>
      <sheetData sheetId="19624" refreshError="1"/>
      <sheetData sheetId="19625" refreshError="1"/>
      <sheetData sheetId="19626" refreshError="1"/>
      <sheetData sheetId="19627" refreshError="1"/>
      <sheetData sheetId="19628" refreshError="1"/>
      <sheetData sheetId="19629" refreshError="1"/>
      <sheetData sheetId="19630" refreshError="1"/>
      <sheetData sheetId="19631" refreshError="1"/>
      <sheetData sheetId="19632" refreshError="1"/>
      <sheetData sheetId="19633" refreshError="1"/>
      <sheetData sheetId="19634" refreshError="1"/>
      <sheetData sheetId="19635" refreshError="1"/>
      <sheetData sheetId="19636" refreshError="1"/>
      <sheetData sheetId="19637" refreshError="1"/>
      <sheetData sheetId="19638" refreshError="1"/>
      <sheetData sheetId="19639" refreshError="1"/>
      <sheetData sheetId="19640" refreshError="1"/>
      <sheetData sheetId="19641" refreshError="1"/>
      <sheetData sheetId="19642" refreshError="1"/>
      <sheetData sheetId="19643" refreshError="1"/>
      <sheetData sheetId="19644" refreshError="1"/>
      <sheetData sheetId="19645" refreshError="1"/>
      <sheetData sheetId="19646" refreshError="1"/>
      <sheetData sheetId="19647" refreshError="1"/>
      <sheetData sheetId="19648" refreshError="1"/>
      <sheetData sheetId="19649" refreshError="1"/>
      <sheetData sheetId="19650" refreshError="1"/>
      <sheetData sheetId="19651" refreshError="1"/>
      <sheetData sheetId="19652" refreshError="1"/>
      <sheetData sheetId="19653" refreshError="1"/>
      <sheetData sheetId="19654" refreshError="1"/>
      <sheetData sheetId="19655" refreshError="1"/>
      <sheetData sheetId="19656" refreshError="1"/>
      <sheetData sheetId="19657" refreshError="1"/>
      <sheetData sheetId="19658" refreshError="1"/>
      <sheetData sheetId="19659" refreshError="1"/>
      <sheetData sheetId="19660" refreshError="1"/>
      <sheetData sheetId="19661" refreshError="1"/>
      <sheetData sheetId="19662" refreshError="1"/>
      <sheetData sheetId="19663" refreshError="1"/>
      <sheetData sheetId="19664" refreshError="1"/>
      <sheetData sheetId="19665" refreshError="1"/>
      <sheetData sheetId="19666" refreshError="1"/>
      <sheetData sheetId="19667" refreshError="1"/>
      <sheetData sheetId="19668" refreshError="1"/>
      <sheetData sheetId="19669" refreshError="1"/>
      <sheetData sheetId="19670" refreshError="1"/>
      <sheetData sheetId="19671" refreshError="1"/>
      <sheetData sheetId="19672" refreshError="1"/>
      <sheetData sheetId="19673" refreshError="1"/>
      <sheetData sheetId="19674" refreshError="1"/>
      <sheetData sheetId="19675" refreshError="1"/>
      <sheetData sheetId="19676" refreshError="1"/>
      <sheetData sheetId="19677" refreshError="1"/>
      <sheetData sheetId="19678" refreshError="1"/>
      <sheetData sheetId="19679" refreshError="1"/>
      <sheetData sheetId="19680" refreshError="1"/>
      <sheetData sheetId="19681" refreshError="1"/>
      <sheetData sheetId="19682" refreshError="1"/>
      <sheetData sheetId="19683" refreshError="1"/>
      <sheetData sheetId="19684" refreshError="1"/>
      <sheetData sheetId="19685" refreshError="1"/>
      <sheetData sheetId="19686" refreshError="1"/>
      <sheetData sheetId="19687" refreshError="1"/>
      <sheetData sheetId="19688" refreshError="1"/>
      <sheetData sheetId="19689" refreshError="1"/>
      <sheetData sheetId="19690" refreshError="1"/>
      <sheetData sheetId="19691" refreshError="1"/>
      <sheetData sheetId="19692" refreshError="1"/>
      <sheetData sheetId="19693" refreshError="1"/>
      <sheetData sheetId="19694" refreshError="1"/>
      <sheetData sheetId="19695" refreshError="1"/>
      <sheetData sheetId="19696" refreshError="1"/>
      <sheetData sheetId="19697" refreshError="1"/>
      <sheetData sheetId="19698" refreshError="1"/>
      <sheetData sheetId="19699" refreshError="1"/>
      <sheetData sheetId="19700" refreshError="1"/>
      <sheetData sheetId="19701" refreshError="1"/>
      <sheetData sheetId="19702" refreshError="1"/>
      <sheetData sheetId="19703" refreshError="1"/>
      <sheetData sheetId="19704" refreshError="1"/>
      <sheetData sheetId="19705" refreshError="1"/>
      <sheetData sheetId="19706" refreshError="1"/>
      <sheetData sheetId="19707" refreshError="1"/>
      <sheetData sheetId="19708" refreshError="1"/>
      <sheetData sheetId="19709" refreshError="1"/>
      <sheetData sheetId="19710" refreshError="1"/>
      <sheetData sheetId="19711" refreshError="1"/>
      <sheetData sheetId="19712" refreshError="1"/>
      <sheetData sheetId="19713" refreshError="1"/>
      <sheetData sheetId="19714" refreshError="1"/>
      <sheetData sheetId="19715" refreshError="1"/>
      <sheetData sheetId="19716" refreshError="1"/>
      <sheetData sheetId="19717" refreshError="1"/>
      <sheetData sheetId="19718" refreshError="1"/>
      <sheetData sheetId="19719" refreshError="1"/>
      <sheetData sheetId="19720" refreshError="1"/>
      <sheetData sheetId="19721" refreshError="1"/>
      <sheetData sheetId="19722" refreshError="1"/>
      <sheetData sheetId="19723" refreshError="1"/>
      <sheetData sheetId="19724" refreshError="1"/>
      <sheetData sheetId="19725" refreshError="1"/>
      <sheetData sheetId="19726" refreshError="1"/>
      <sheetData sheetId="19727" refreshError="1"/>
      <sheetData sheetId="19728" refreshError="1"/>
      <sheetData sheetId="19729" refreshError="1"/>
      <sheetData sheetId="19730" refreshError="1"/>
      <sheetData sheetId="19731" refreshError="1"/>
      <sheetData sheetId="19732" refreshError="1"/>
      <sheetData sheetId="19733" refreshError="1"/>
      <sheetData sheetId="19734" refreshError="1"/>
      <sheetData sheetId="19735" refreshError="1"/>
      <sheetData sheetId="19736" refreshError="1"/>
      <sheetData sheetId="19737" refreshError="1"/>
      <sheetData sheetId="19738" refreshError="1"/>
      <sheetData sheetId="19739" refreshError="1"/>
      <sheetData sheetId="19740" refreshError="1"/>
      <sheetData sheetId="19741" refreshError="1"/>
      <sheetData sheetId="19742" refreshError="1"/>
      <sheetData sheetId="19743" refreshError="1"/>
      <sheetData sheetId="19744" refreshError="1"/>
      <sheetData sheetId="19745" refreshError="1"/>
      <sheetData sheetId="19746" refreshError="1"/>
      <sheetData sheetId="19747" refreshError="1"/>
      <sheetData sheetId="19748" refreshError="1"/>
      <sheetData sheetId="19749" refreshError="1"/>
      <sheetData sheetId="19750" refreshError="1"/>
      <sheetData sheetId="19751" refreshError="1"/>
      <sheetData sheetId="19752" refreshError="1"/>
      <sheetData sheetId="19753" refreshError="1"/>
      <sheetData sheetId="19754" refreshError="1"/>
      <sheetData sheetId="19755" refreshError="1"/>
      <sheetData sheetId="19756" refreshError="1"/>
      <sheetData sheetId="19757" refreshError="1"/>
      <sheetData sheetId="19758" refreshError="1"/>
      <sheetData sheetId="19759" refreshError="1"/>
      <sheetData sheetId="19760" refreshError="1"/>
      <sheetData sheetId="19761" refreshError="1"/>
      <sheetData sheetId="19762" refreshError="1"/>
      <sheetData sheetId="19763" refreshError="1"/>
      <sheetData sheetId="19764" refreshError="1"/>
      <sheetData sheetId="19765" refreshError="1"/>
      <sheetData sheetId="19766" refreshError="1"/>
      <sheetData sheetId="19767" refreshError="1"/>
      <sheetData sheetId="19768" refreshError="1"/>
      <sheetData sheetId="19769" refreshError="1"/>
      <sheetData sheetId="19770" refreshError="1"/>
      <sheetData sheetId="19771" refreshError="1"/>
      <sheetData sheetId="19772" refreshError="1"/>
      <sheetData sheetId="19773" refreshError="1"/>
      <sheetData sheetId="19774" refreshError="1"/>
      <sheetData sheetId="19775" refreshError="1"/>
      <sheetData sheetId="19776" refreshError="1"/>
      <sheetData sheetId="19777" refreshError="1"/>
      <sheetData sheetId="19778" refreshError="1"/>
      <sheetData sheetId="19779" refreshError="1"/>
      <sheetData sheetId="19780" refreshError="1"/>
      <sheetData sheetId="19781" refreshError="1"/>
      <sheetData sheetId="19782" refreshError="1"/>
      <sheetData sheetId="19783" refreshError="1"/>
      <sheetData sheetId="19784" refreshError="1"/>
      <sheetData sheetId="19785" refreshError="1"/>
      <sheetData sheetId="19786" refreshError="1"/>
      <sheetData sheetId="19787" refreshError="1"/>
      <sheetData sheetId="19788" refreshError="1"/>
      <sheetData sheetId="19789" refreshError="1"/>
      <sheetData sheetId="19790" refreshError="1"/>
      <sheetData sheetId="19791" refreshError="1"/>
      <sheetData sheetId="19792" refreshError="1"/>
      <sheetData sheetId="19793" refreshError="1"/>
      <sheetData sheetId="19794" refreshError="1"/>
      <sheetData sheetId="19795" refreshError="1"/>
      <sheetData sheetId="19796" refreshError="1"/>
      <sheetData sheetId="19797" refreshError="1"/>
      <sheetData sheetId="19798" refreshError="1"/>
      <sheetData sheetId="19799" refreshError="1"/>
      <sheetData sheetId="19800" refreshError="1"/>
      <sheetData sheetId="19801" refreshError="1"/>
      <sheetData sheetId="19802" refreshError="1"/>
      <sheetData sheetId="19803" refreshError="1"/>
      <sheetData sheetId="19804" refreshError="1"/>
      <sheetData sheetId="19805" refreshError="1"/>
      <sheetData sheetId="19806" refreshError="1"/>
      <sheetData sheetId="19807" refreshError="1"/>
      <sheetData sheetId="19808" refreshError="1"/>
      <sheetData sheetId="19809" refreshError="1"/>
      <sheetData sheetId="19810" refreshError="1"/>
      <sheetData sheetId="19811" refreshError="1"/>
      <sheetData sheetId="19812" refreshError="1"/>
      <sheetData sheetId="19813" refreshError="1"/>
      <sheetData sheetId="19814" refreshError="1"/>
      <sheetData sheetId="19815" refreshError="1"/>
      <sheetData sheetId="19816" refreshError="1"/>
      <sheetData sheetId="19817" refreshError="1"/>
      <sheetData sheetId="19818" refreshError="1"/>
      <sheetData sheetId="19819" refreshError="1"/>
      <sheetData sheetId="19820" refreshError="1"/>
      <sheetData sheetId="19821" refreshError="1"/>
      <sheetData sheetId="19822" refreshError="1"/>
      <sheetData sheetId="19823" refreshError="1"/>
      <sheetData sheetId="19824" refreshError="1"/>
      <sheetData sheetId="19825" refreshError="1"/>
      <sheetData sheetId="19826" refreshError="1"/>
      <sheetData sheetId="19827" refreshError="1"/>
      <sheetData sheetId="19828" refreshError="1"/>
      <sheetData sheetId="19829" refreshError="1"/>
      <sheetData sheetId="19830" refreshError="1"/>
      <sheetData sheetId="19831" refreshError="1"/>
      <sheetData sheetId="19832" refreshError="1"/>
      <sheetData sheetId="19833" refreshError="1"/>
      <sheetData sheetId="19834" refreshError="1"/>
      <sheetData sheetId="19835" refreshError="1"/>
      <sheetData sheetId="19836" refreshError="1"/>
      <sheetData sheetId="19837" refreshError="1"/>
      <sheetData sheetId="19838" refreshError="1"/>
      <sheetData sheetId="19839" refreshError="1"/>
      <sheetData sheetId="19840" refreshError="1"/>
      <sheetData sheetId="19841" refreshError="1"/>
      <sheetData sheetId="19842" refreshError="1"/>
      <sheetData sheetId="19843" refreshError="1"/>
      <sheetData sheetId="19844" refreshError="1"/>
      <sheetData sheetId="19845" refreshError="1"/>
      <sheetData sheetId="19846" refreshError="1"/>
      <sheetData sheetId="19847" refreshError="1"/>
      <sheetData sheetId="19848" refreshError="1"/>
      <sheetData sheetId="19849" refreshError="1"/>
      <sheetData sheetId="19850" refreshError="1"/>
      <sheetData sheetId="19851" refreshError="1"/>
      <sheetData sheetId="19852" refreshError="1"/>
      <sheetData sheetId="19853" refreshError="1"/>
      <sheetData sheetId="19854" refreshError="1"/>
      <sheetData sheetId="19855" refreshError="1"/>
      <sheetData sheetId="19856" refreshError="1"/>
      <sheetData sheetId="19857" refreshError="1"/>
      <sheetData sheetId="19858" refreshError="1"/>
      <sheetData sheetId="19859" refreshError="1"/>
      <sheetData sheetId="19860" refreshError="1"/>
      <sheetData sheetId="19861" refreshError="1"/>
      <sheetData sheetId="19862" refreshError="1"/>
      <sheetData sheetId="19863" refreshError="1"/>
      <sheetData sheetId="19864" refreshError="1"/>
      <sheetData sheetId="19865" refreshError="1"/>
      <sheetData sheetId="19866" refreshError="1"/>
      <sheetData sheetId="19867" refreshError="1"/>
      <sheetData sheetId="19868" refreshError="1"/>
      <sheetData sheetId="19869" refreshError="1"/>
      <sheetData sheetId="19870" refreshError="1"/>
      <sheetData sheetId="19871" refreshError="1"/>
      <sheetData sheetId="19872" refreshError="1"/>
      <sheetData sheetId="19873" refreshError="1"/>
      <sheetData sheetId="19874" refreshError="1"/>
      <sheetData sheetId="19875" refreshError="1"/>
      <sheetData sheetId="19876" refreshError="1"/>
      <sheetData sheetId="19877" refreshError="1"/>
      <sheetData sheetId="19878" refreshError="1"/>
      <sheetData sheetId="19879" refreshError="1"/>
      <sheetData sheetId="19880" refreshError="1"/>
      <sheetData sheetId="19881" refreshError="1"/>
      <sheetData sheetId="19882" refreshError="1"/>
      <sheetData sheetId="19883" refreshError="1"/>
      <sheetData sheetId="19884" refreshError="1"/>
      <sheetData sheetId="19885" refreshError="1"/>
      <sheetData sheetId="19886" refreshError="1"/>
      <sheetData sheetId="19887" refreshError="1"/>
      <sheetData sheetId="19888" refreshError="1"/>
      <sheetData sheetId="19889" refreshError="1"/>
      <sheetData sheetId="19890" refreshError="1"/>
      <sheetData sheetId="19891" refreshError="1"/>
      <sheetData sheetId="19892" refreshError="1"/>
      <sheetData sheetId="19893" refreshError="1"/>
      <sheetData sheetId="19894" refreshError="1"/>
      <sheetData sheetId="19895" refreshError="1"/>
      <sheetData sheetId="19896" refreshError="1"/>
      <sheetData sheetId="19897" refreshError="1"/>
      <sheetData sheetId="19898" refreshError="1"/>
      <sheetData sheetId="19899" refreshError="1"/>
      <sheetData sheetId="19900" refreshError="1"/>
      <sheetData sheetId="19901" refreshError="1"/>
      <sheetData sheetId="19902" refreshError="1"/>
      <sheetData sheetId="19903" refreshError="1"/>
      <sheetData sheetId="19904" refreshError="1"/>
      <sheetData sheetId="19905" refreshError="1"/>
      <sheetData sheetId="19906" refreshError="1"/>
      <sheetData sheetId="19907" refreshError="1"/>
      <sheetData sheetId="19908" refreshError="1"/>
      <sheetData sheetId="19909" refreshError="1"/>
      <sheetData sheetId="19910" refreshError="1"/>
      <sheetData sheetId="19911" refreshError="1"/>
      <sheetData sheetId="19912" refreshError="1"/>
      <sheetData sheetId="19913" refreshError="1"/>
      <sheetData sheetId="19914" refreshError="1"/>
      <sheetData sheetId="19915" refreshError="1"/>
      <sheetData sheetId="19916" refreshError="1"/>
      <sheetData sheetId="19917" refreshError="1"/>
      <sheetData sheetId="19918" refreshError="1"/>
      <sheetData sheetId="19919" refreshError="1"/>
      <sheetData sheetId="19920" refreshError="1"/>
      <sheetData sheetId="19921" refreshError="1"/>
      <sheetData sheetId="19922" refreshError="1"/>
      <sheetData sheetId="19923" refreshError="1"/>
      <sheetData sheetId="19924" refreshError="1"/>
      <sheetData sheetId="19925" refreshError="1"/>
      <sheetData sheetId="19926" refreshError="1"/>
      <sheetData sheetId="19927" refreshError="1"/>
      <sheetData sheetId="19928" refreshError="1"/>
      <sheetData sheetId="19929" refreshError="1"/>
      <sheetData sheetId="19930" refreshError="1"/>
      <sheetData sheetId="19931" refreshError="1"/>
      <sheetData sheetId="19932" refreshError="1"/>
      <sheetData sheetId="19933" refreshError="1"/>
      <sheetData sheetId="19934" refreshError="1"/>
      <sheetData sheetId="19935" refreshError="1"/>
      <sheetData sheetId="19936" refreshError="1"/>
      <sheetData sheetId="19937" refreshError="1"/>
      <sheetData sheetId="19938" refreshError="1"/>
      <sheetData sheetId="19939" refreshError="1"/>
      <sheetData sheetId="19940" refreshError="1"/>
      <sheetData sheetId="19941" refreshError="1"/>
      <sheetData sheetId="19942" refreshError="1"/>
      <sheetData sheetId="19943" refreshError="1"/>
      <sheetData sheetId="19944" refreshError="1"/>
      <sheetData sheetId="19945" refreshError="1"/>
      <sheetData sheetId="19946" refreshError="1"/>
      <sheetData sheetId="19947" refreshError="1"/>
      <sheetData sheetId="19948" refreshError="1"/>
      <sheetData sheetId="19949" refreshError="1"/>
      <sheetData sheetId="19950" refreshError="1"/>
      <sheetData sheetId="19951" refreshError="1"/>
      <sheetData sheetId="19952" refreshError="1"/>
      <sheetData sheetId="19953" refreshError="1"/>
      <sheetData sheetId="19954" refreshError="1"/>
      <sheetData sheetId="19955" refreshError="1"/>
      <sheetData sheetId="19956" refreshError="1"/>
      <sheetData sheetId="19957" refreshError="1"/>
      <sheetData sheetId="19958" refreshError="1"/>
      <sheetData sheetId="19959" refreshError="1"/>
      <sheetData sheetId="19960" refreshError="1"/>
      <sheetData sheetId="19961" refreshError="1"/>
      <sheetData sheetId="19962" refreshError="1"/>
      <sheetData sheetId="19963" refreshError="1"/>
      <sheetData sheetId="19964" refreshError="1"/>
      <sheetData sheetId="19965" refreshError="1"/>
      <sheetData sheetId="19966" refreshError="1"/>
      <sheetData sheetId="19967" refreshError="1"/>
      <sheetData sheetId="19968" refreshError="1"/>
      <sheetData sheetId="19969" refreshError="1"/>
      <sheetData sheetId="19970" refreshError="1"/>
      <sheetData sheetId="19971" refreshError="1"/>
      <sheetData sheetId="19972" refreshError="1"/>
      <sheetData sheetId="19973" refreshError="1"/>
      <sheetData sheetId="19974" refreshError="1"/>
      <sheetData sheetId="19975" refreshError="1"/>
      <sheetData sheetId="19976" refreshError="1"/>
      <sheetData sheetId="19977" refreshError="1"/>
      <sheetData sheetId="19978" refreshError="1"/>
      <sheetData sheetId="19979" refreshError="1"/>
      <sheetData sheetId="19980" refreshError="1"/>
      <sheetData sheetId="19981" refreshError="1"/>
      <sheetData sheetId="19982" refreshError="1"/>
      <sheetData sheetId="19983" refreshError="1"/>
      <sheetData sheetId="19984" refreshError="1"/>
      <sheetData sheetId="19985" refreshError="1"/>
      <sheetData sheetId="19986" refreshError="1"/>
      <sheetData sheetId="19987" refreshError="1"/>
      <sheetData sheetId="19988" refreshError="1"/>
      <sheetData sheetId="19989" refreshError="1"/>
      <sheetData sheetId="19990" refreshError="1"/>
      <sheetData sheetId="19991" refreshError="1"/>
      <sheetData sheetId="19992" refreshError="1"/>
      <sheetData sheetId="19993" refreshError="1"/>
      <sheetData sheetId="19994" refreshError="1"/>
      <sheetData sheetId="19995" refreshError="1"/>
      <sheetData sheetId="19996" refreshError="1"/>
      <sheetData sheetId="19997" refreshError="1"/>
      <sheetData sheetId="19998" refreshError="1"/>
      <sheetData sheetId="19999" refreshError="1"/>
      <sheetData sheetId="20000" refreshError="1"/>
      <sheetData sheetId="20001" refreshError="1"/>
      <sheetData sheetId="20002" refreshError="1"/>
      <sheetData sheetId="20003" refreshError="1"/>
      <sheetData sheetId="20004" refreshError="1"/>
      <sheetData sheetId="20005" refreshError="1"/>
      <sheetData sheetId="20006" refreshError="1"/>
      <sheetData sheetId="20007" refreshError="1"/>
      <sheetData sheetId="20008" refreshError="1"/>
      <sheetData sheetId="20009" refreshError="1"/>
      <sheetData sheetId="20010" refreshError="1"/>
      <sheetData sheetId="20011" refreshError="1"/>
      <sheetData sheetId="20012" refreshError="1"/>
      <sheetData sheetId="20013" refreshError="1"/>
      <sheetData sheetId="20014" refreshError="1"/>
      <sheetData sheetId="20015" refreshError="1"/>
      <sheetData sheetId="20016" refreshError="1"/>
      <sheetData sheetId="20017" refreshError="1"/>
      <sheetData sheetId="20018" refreshError="1"/>
      <sheetData sheetId="20019" refreshError="1"/>
      <sheetData sheetId="20020" refreshError="1"/>
      <sheetData sheetId="20021" refreshError="1"/>
      <sheetData sheetId="20022" refreshError="1"/>
      <sheetData sheetId="20023" refreshError="1"/>
      <sheetData sheetId="20024" refreshError="1"/>
      <sheetData sheetId="20025" refreshError="1"/>
      <sheetData sheetId="20026" refreshError="1"/>
      <sheetData sheetId="20027" refreshError="1"/>
      <sheetData sheetId="20028" refreshError="1"/>
      <sheetData sheetId="20029" refreshError="1"/>
      <sheetData sheetId="20030" refreshError="1"/>
      <sheetData sheetId="20031" refreshError="1"/>
      <sheetData sheetId="20032" refreshError="1"/>
      <sheetData sheetId="20033" refreshError="1"/>
      <sheetData sheetId="20034" refreshError="1"/>
      <sheetData sheetId="20035" refreshError="1"/>
      <sheetData sheetId="20036" refreshError="1"/>
      <sheetData sheetId="20037" refreshError="1"/>
      <sheetData sheetId="20038" refreshError="1"/>
      <sheetData sheetId="20039" refreshError="1"/>
      <sheetData sheetId="20040" refreshError="1"/>
      <sheetData sheetId="20041" refreshError="1"/>
      <sheetData sheetId="20042" refreshError="1"/>
      <sheetData sheetId="20043" refreshError="1"/>
      <sheetData sheetId="20044" refreshError="1"/>
      <sheetData sheetId="20045" refreshError="1"/>
      <sheetData sheetId="20046" refreshError="1"/>
      <sheetData sheetId="20047" refreshError="1"/>
      <sheetData sheetId="20048" refreshError="1"/>
      <sheetData sheetId="20049" refreshError="1"/>
      <sheetData sheetId="20050" refreshError="1"/>
      <sheetData sheetId="20051" refreshError="1"/>
      <sheetData sheetId="20052" refreshError="1"/>
      <sheetData sheetId="20053" refreshError="1"/>
      <sheetData sheetId="20054" refreshError="1"/>
      <sheetData sheetId="20055" refreshError="1"/>
      <sheetData sheetId="20056" refreshError="1"/>
      <sheetData sheetId="20057" refreshError="1"/>
      <sheetData sheetId="20058" refreshError="1"/>
      <sheetData sheetId="20059" refreshError="1"/>
      <sheetData sheetId="20060" refreshError="1"/>
      <sheetData sheetId="20061" refreshError="1"/>
      <sheetData sheetId="20062" refreshError="1"/>
      <sheetData sheetId="20063" refreshError="1"/>
      <sheetData sheetId="20064" refreshError="1"/>
      <sheetData sheetId="20065" refreshError="1"/>
      <sheetData sheetId="20066" refreshError="1"/>
      <sheetData sheetId="20067" refreshError="1"/>
      <sheetData sheetId="20068" refreshError="1"/>
      <sheetData sheetId="20069" refreshError="1"/>
      <sheetData sheetId="20070" refreshError="1"/>
      <sheetData sheetId="20071" refreshError="1"/>
      <sheetData sheetId="20072" refreshError="1"/>
      <sheetData sheetId="20073" refreshError="1"/>
      <sheetData sheetId="20074" refreshError="1"/>
      <sheetData sheetId="20075" refreshError="1"/>
      <sheetData sheetId="20076" refreshError="1"/>
      <sheetData sheetId="20077" refreshError="1"/>
      <sheetData sheetId="20078" refreshError="1"/>
      <sheetData sheetId="20079" refreshError="1"/>
      <sheetData sheetId="20080" refreshError="1"/>
      <sheetData sheetId="20081" refreshError="1"/>
      <sheetData sheetId="20082" refreshError="1"/>
      <sheetData sheetId="20083" refreshError="1"/>
      <sheetData sheetId="20084" refreshError="1"/>
      <sheetData sheetId="20085" refreshError="1"/>
      <sheetData sheetId="20086" refreshError="1"/>
      <sheetData sheetId="20087" refreshError="1"/>
      <sheetData sheetId="20088" refreshError="1"/>
      <sheetData sheetId="20089" refreshError="1"/>
      <sheetData sheetId="20090" refreshError="1"/>
      <sheetData sheetId="20091" refreshError="1"/>
      <sheetData sheetId="20092" refreshError="1"/>
      <sheetData sheetId="20093" refreshError="1"/>
      <sheetData sheetId="20094" refreshError="1"/>
      <sheetData sheetId="20095" refreshError="1"/>
      <sheetData sheetId="20096" refreshError="1"/>
      <sheetData sheetId="20097" refreshError="1"/>
      <sheetData sheetId="20098" refreshError="1"/>
      <sheetData sheetId="20099" refreshError="1"/>
      <sheetData sheetId="20100" refreshError="1"/>
      <sheetData sheetId="20101" refreshError="1"/>
      <sheetData sheetId="20102" refreshError="1"/>
      <sheetData sheetId="20103" refreshError="1"/>
      <sheetData sheetId="20104" refreshError="1"/>
      <sheetData sheetId="20105" refreshError="1"/>
      <sheetData sheetId="20106" refreshError="1"/>
      <sheetData sheetId="20107" refreshError="1"/>
      <sheetData sheetId="20108" refreshError="1"/>
      <sheetData sheetId="20109" refreshError="1"/>
      <sheetData sheetId="20110" refreshError="1"/>
      <sheetData sheetId="20111" refreshError="1"/>
      <sheetData sheetId="20112" refreshError="1"/>
      <sheetData sheetId="20113" refreshError="1"/>
      <sheetData sheetId="20114" refreshError="1"/>
      <sheetData sheetId="20115" refreshError="1"/>
      <sheetData sheetId="20116" refreshError="1"/>
      <sheetData sheetId="20117" refreshError="1"/>
      <sheetData sheetId="20118" refreshError="1"/>
      <sheetData sheetId="20119" refreshError="1"/>
      <sheetData sheetId="20120" refreshError="1"/>
      <sheetData sheetId="20121" refreshError="1"/>
      <sheetData sheetId="20122" refreshError="1"/>
      <sheetData sheetId="20123" refreshError="1"/>
      <sheetData sheetId="20124" refreshError="1"/>
      <sheetData sheetId="20125" refreshError="1"/>
      <sheetData sheetId="20126" refreshError="1"/>
      <sheetData sheetId="20127" refreshError="1"/>
      <sheetData sheetId="20128" refreshError="1"/>
      <sheetData sheetId="20129" refreshError="1"/>
      <sheetData sheetId="20130" refreshError="1"/>
      <sheetData sheetId="20131" refreshError="1"/>
      <sheetData sheetId="20132" refreshError="1"/>
      <sheetData sheetId="20133" refreshError="1"/>
      <sheetData sheetId="20134" refreshError="1"/>
      <sheetData sheetId="20135" refreshError="1"/>
      <sheetData sheetId="20136" refreshError="1"/>
      <sheetData sheetId="20137" refreshError="1"/>
      <sheetData sheetId="20138" refreshError="1"/>
      <sheetData sheetId="20139" refreshError="1"/>
      <sheetData sheetId="20140" refreshError="1"/>
      <sheetData sheetId="20141" refreshError="1"/>
      <sheetData sheetId="20142" refreshError="1"/>
      <sheetData sheetId="20143" refreshError="1"/>
      <sheetData sheetId="20144" refreshError="1"/>
      <sheetData sheetId="20145" refreshError="1"/>
      <sheetData sheetId="20146" refreshError="1"/>
      <sheetData sheetId="20147" refreshError="1"/>
      <sheetData sheetId="20148" refreshError="1"/>
      <sheetData sheetId="20149" refreshError="1"/>
      <sheetData sheetId="20150" refreshError="1"/>
      <sheetData sheetId="20151" refreshError="1"/>
      <sheetData sheetId="20152" refreshError="1"/>
      <sheetData sheetId="20153" refreshError="1"/>
      <sheetData sheetId="20154" refreshError="1"/>
      <sheetData sheetId="20155" refreshError="1"/>
      <sheetData sheetId="20156" refreshError="1"/>
      <sheetData sheetId="20157" refreshError="1"/>
      <sheetData sheetId="20158" refreshError="1"/>
      <sheetData sheetId="20159" refreshError="1"/>
      <sheetData sheetId="20160" refreshError="1"/>
      <sheetData sheetId="20161" refreshError="1"/>
      <sheetData sheetId="20162" refreshError="1"/>
      <sheetData sheetId="20163" refreshError="1"/>
      <sheetData sheetId="20164" refreshError="1"/>
      <sheetData sheetId="20165" refreshError="1"/>
      <sheetData sheetId="20166" refreshError="1"/>
      <sheetData sheetId="20167" refreshError="1"/>
      <sheetData sheetId="20168" refreshError="1"/>
      <sheetData sheetId="20169" refreshError="1"/>
      <sheetData sheetId="20170" refreshError="1"/>
      <sheetData sheetId="20171" refreshError="1"/>
      <sheetData sheetId="20172" refreshError="1"/>
      <sheetData sheetId="20173" refreshError="1"/>
      <sheetData sheetId="20174" refreshError="1"/>
      <sheetData sheetId="20175" refreshError="1"/>
      <sheetData sheetId="20176" refreshError="1"/>
      <sheetData sheetId="20177" refreshError="1"/>
      <sheetData sheetId="20178" refreshError="1"/>
      <sheetData sheetId="20179" refreshError="1"/>
      <sheetData sheetId="20180" refreshError="1"/>
      <sheetData sheetId="20181" refreshError="1"/>
      <sheetData sheetId="20182" refreshError="1"/>
      <sheetData sheetId="20183" refreshError="1"/>
      <sheetData sheetId="20184" refreshError="1"/>
      <sheetData sheetId="20185" refreshError="1"/>
      <sheetData sheetId="20186" refreshError="1"/>
      <sheetData sheetId="20187" refreshError="1"/>
      <sheetData sheetId="20188" refreshError="1"/>
      <sheetData sheetId="20189" refreshError="1"/>
      <sheetData sheetId="20190" refreshError="1"/>
      <sheetData sheetId="20191" refreshError="1"/>
      <sheetData sheetId="20192" refreshError="1"/>
      <sheetData sheetId="20193" refreshError="1"/>
      <sheetData sheetId="20194" refreshError="1"/>
      <sheetData sheetId="20195" refreshError="1"/>
      <sheetData sheetId="20196" refreshError="1"/>
      <sheetData sheetId="20197" refreshError="1"/>
      <sheetData sheetId="20198" refreshError="1"/>
      <sheetData sheetId="20199" refreshError="1"/>
      <sheetData sheetId="20200" refreshError="1"/>
      <sheetData sheetId="20201" refreshError="1"/>
      <sheetData sheetId="20202" refreshError="1"/>
      <sheetData sheetId="20203" refreshError="1"/>
      <sheetData sheetId="20204" refreshError="1"/>
      <sheetData sheetId="20205" refreshError="1"/>
      <sheetData sheetId="20206" refreshError="1"/>
      <sheetData sheetId="20207" refreshError="1"/>
      <sheetData sheetId="20208" refreshError="1"/>
      <sheetData sheetId="20209" refreshError="1"/>
      <sheetData sheetId="20210" refreshError="1"/>
      <sheetData sheetId="20211" refreshError="1"/>
      <sheetData sheetId="20212" refreshError="1"/>
      <sheetData sheetId="20213" refreshError="1"/>
      <sheetData sheetId="20214" refreshError="1"/>
      <sheetData sheetId="20215" refreshError="1"/>
      <sheetData sheetId="20216" refreshError="1"/>
      <sheetData sheetId="20217" refreshError="1"/>
      <sheetData sheetId="20218" refreshError="1"/>
      <sheetData sheetId="20219" refreshError="1"/>
      <sheetData sheetId="20220" refreshError="1"/>
      <sheetData sheetId="20221" refreshError="1"/>
      <sheetData sheetId="20222" refreshError="1"/>
      <sheetData sheetId="20223" refreshError="1"/>
      <sheetData sheetId="20224" refreshError="1"/>
      <sheetData sheetId="20225" refreshError="1"/>
      <sheetData sheetId="20226" refreshError="1"/>
      <sheetData sheetId="20227" refreshError="1"/>
      <sheetData sheetId="20228" refreshError="1"/>
      <sheetData sheetId="20229" refreshError="1"/>
      <sheetData sheetId="20230" refreshError="1"/>
      <sheetData sheetId="20231" refreshError="1"/>
      <sheetData sheetId="20232" refreshError="1"/>
      <sheetData sheetId="20233" refreshError="1"/>
      <sheetData sheetId="20234" refreshError="1"/>
      <sheetData sheetId="20235" refreshError="1"/>
      <sheetData sheetId="20236" refreshError="1"/>
      <sheetData sheetId="20237" refreshError="1"/>
      <sheetData sheetId="20238" refreshError="1"/>
      <sheetData sheetId="20239" refreshError="1"/>
      <sheetData sheetId="20240" refreshError="1"/>
      <sheetData sheetId="20241" refreshError="1"/>
      <sheetData sheetId="20242" refreshError="1"/>
      <sheetData sheetId="20243" refreshError="1"/>
      <sheetData sheetId="20244" refreshError="1"/>
      <sheetData sheetId="20245" refreshError="1"/>
      <sheetData sheetId="20246" refreshError="1"/>
      <sheetData sheetId="20247" refreshError="1"/>
      <sheetData sheetId="20248" refreshError="1"/>
      <sheetData sheetId="20249" refreshError="1"/>
      <sheetData sheetId="20250" refreshError="1"/>
      <sheetData sheetId="20251" refreshError="1"/>
      <sheetData sheetId="20252" refreshError="1"/>
      <sheetData sheetId="20253" refreshError="1"/>
      <sheetData sheetId="20254" refreshError="1"/>
      <sheetData sheetId="20255" refreshError="1"/>
      <sheetData sheetId="20256" refreshError="1"/>
      <sheetData sheetId="20257" refreshError="1"/>
      <sheetData sheetId="20258" refreshError="1"/>
      <sheetData sheetId="20259" refreshError="1"/>
      <sheetData sheetId="20260" refreshError="1"/>
      <sheetData sheetId="20261" refreshError="1"/>
      <sheetData sheetId="20262" refreshError="1"/>
      <sheetData sheetId="20263" refreshError="1"/>
      <sheetData sheetId="20264" refreshError="1"/>
      <sheetData sheetId="20265" refreshError="1"/>
      <sheetData sheetId="20266" refreshError="1"/>
      <sheetData sheetId="20267" refreshError="1"/>
      <sheetData sheetId="20268" refreshError="1"/>
      <sheetData sheetId="20269" refreshError="1"/>
      <sheetData sheetId="20270" refreshError="1"/>
      <sheetData sheetId="20271" refreshError="1"/>
      <sheetData sheetId="20272" refreshError="1"/>
      <sheetData sheetId="20273" refreshError="1"/>
      <sheetData sheetId="20274" refreshError="1"/>
      <sheetData sheetId="20275" refreshError="1"/>
      <sheetData sheetId="20276" refreshError="1"/>
      <sheetData sheetId="20277" refreshError="1"/>
      <sheetData sheetId="20278" refreshError="1"/>
      <sheetData sheetId="20279" refreshError="1"/>
      <sheetData sheetId="20280" refreshError="1"/>
      <sheetData sheetId="20281" refreshError="1"/>
      <sheetData sheetId="20282" refreshError="1"/>
      <sheetData sheetId="20283" refreshError="1"/>
      <sheetData sheetId="20284" refreshError="1"/>
      <sheetData sheetId="20285" refreshError="1"/>
      <sheetData sheetId="20286" refreshError="1"/>
      <sheetData sheetId="20287" refreshError="1"/>
      <sheetData sheetId="20288" refreshError="1"/>
      <sheetData sheetId="20289" refreshError="1"/>
      <sheetData sheetId="20290" refreshError="1"/>
      <sheetData sheetId="20291" refreshError="1"/>
      <sheetData sheetId="20292" refreshError="1"/>
      <sheetData sheetId="20293" refreshError="1"/>
      <sheetData sheetId="20294" refreshError="1"/>
      <sheetData sheetId="20295" refreshError="1"/>
      <sheetData sheetId="20296" refreshError="1"/>
      <sheetData sheetId="20297" refreshError="1"/>
      <sheetData sheetId="20298" refreshError="1"/>
      <sheetData sheetId="20299" refreshError="1"/>
      <sheetData sheetId="20300" refreshError="1"/>
      <sheetData sheetId="20301" refreshError="1"/>
      <sheetData sheetId="20302" refreshError="1"/>
      <sheetData sheetId="20303" refreshError="1"/>
      <sheetData sheetId="20304" refreshError="1"/>
      <sheetData sheetId="20305" refreshError="1"/>
      <sheetData sheetId="20306" refreshError="1"/>
      <sheetData sheetId="20307" refreshError="1"/>
      <sheetData sheetId="20308" refreshError="1"/>
      <sheetData sheetId="20309" refreshError="1"/>
      <sheetData sheetId="20310" refreshError="1"/>
      <sheetData sheetId="20311" refreshError="1"/>
      <sheetData sheetId="20312" refreshError="1"/>
      <sheetData sheetId="20313" refreshError="1"/>
      <sheetData sheetId="20314" refreshError="1"/>
      <sheetData sheetId="20315" refreshError="1"/>
      <sheetData sheetId="20316" refreshError="1"/>
      <sheetData sheetId="20317" refreshError="1"/>
      <sheetData sheetId="20318" refreshError="1"/>
      <sheetData sheetId="20319" refreshError="1"/>
      <sheetData sheetId="20320" refreshError="1"/>
      <sheetData sheetId="20321" refreshError="1"/>
      <sheetData sheetId="20322" refreshError="1"/>
      <sheetData sheetId="20323" refreshError="1"/>
      <sheetData sheetId="20324" refreshError="1"/>
      <sheetData sheetId="20325" refreshError="1"/>
      <sheetData sheetId="20326" refreshError="1"/>
      <sheetData sheetId="20327" refreshError="1"/>
      <sheetData sheetId="20328" refreshError="1"/>
      <sheetData sheetId="20329" refreshError="1"/>
      <sheetData sheetId="20330" refreshError="1"/>
      <sheetData sheetId="20331" refreshError="1"/>
      <sheetData sheetId="20332" refreshError="1"/>
      <sheetData sheetId="20333" refreshError="1"/>
      <sheetData sheetId="20334" refreshError="1"/>
      <sheetData sheetId="20335" refreshError="1"/>
      <sheetData sheetId="20336" refreshError="1"/>
      <sheetData sheetId="20337"/>
      <sheetData sheetId="20338"/>
      <sheetData sheetId="20339"/>
      <sheetData sheetId="20340"/>
      <sheetData sheetId="20341"/>
      <sheetData sheetId="20342"/>
      <sheetData sheetId="20343"/>
      <sheetData sheetId="20344" refreshError="1"/>
      <sheetData sheetId="20345" refreshError="1"/>
      <sheetData sheetId="20346" refreshError="1"/>
      <sheetData sheetId="20347" refreshError="1"/>
      <sheetData sheetId="20348" refreshError="1"/>
      <sheetData sheetId="20349" refreshError="1"/>
      <sheetData sheetId="20350" refreshError="1"/>
      <sheetData sheetId="20351" refreshError="1"/>
      <sheetData sheetId="20352" refreshError="1"/>
      <sheetData sheetId="20353" refreshError="1"/>
      <sheetData sheetId="20354" refreshError="1"/>
      <sheetData sheetId="20355" refreshError="1"/>
      <sheetData sheetId="20356" refreshError="1"/>
      <sheetData sheetId="20357" refreshError="1"/>
      <sheetData sheetId="20358" refreshError="1"/>
      <sheetData sheetId="20359" refreshError="1"/>
      <sheetData sheetId="20360" refreshError="1"/>
      <sheetData sheetId="20361" refreshError="1"/>
      <sheetData sheetId="20362" refreshError="1"/>
      <sheetData sheetId="20363" refreshError="1"/>
      <sheetData sheetId="20364" refreshError="1"/>
      <sheetData sheetId="20365" refreshError="1"/>
      <sheetData sheetId="20366" refreshError="1"/>
      <sheetData sheetId="20367" refreshError="1"/>
      <sheetData sheetId="20368" refreshError="1"/>
      <sheetData sheetId="20369" refreshError="1"/>
      <sheetData sheetId="20370" refreshError="1"/>
      <sheetData sheetId="20371" refreshError="1"/>
      <sheetData sheetId="20372" refreshError="1"/>
      <sheetData sheetId="20373" refreshError="1"/>
      <sheetData sheetId="20374" refreshError="1"/>
      <sheetData sheetId="20375" refreshError="1"/>
      <sheetData sheetId="20376" refreshError="1"/>
      <sheetData sheetId="20377" refreshError="1"/>
      <sheetData sheetId="20378" refreshError="1"/>
      <sheetData sheetId="20379" refreshError="1"/>
      <sheetData sheetId="20380" refreshError="1"/>
      <sheetData sheetId="20381" refreshError="1"/>
      <sheetData sheetId="20382"/>
      <sheetData sheetId="20383"/>
      <sheetData sheetId="20384" refreshError="1"/>
      <sheetData sheetId="20385" refreshError="1"/>
      <sheetData sheetId="20386" refreshError="1"/>
      <sheetData sheetId="20387" refreshError="1"/>
      <sheetData sheetId="20388"/>
      <sheetData sheetId="20389"/>
      <sheetData sheetId="20390"/>
      <sheetData sheetId="20391" refreshError="1"/>
      <sheetData sheetId="20392"/>
      <sheetData sheetId="20393"/>
      <sheetData sheetId="20394"/>
      <sheetData sheetId="20395"/>
      <sheetData sheetId="20396"/>
      <sheetData sheetId="20397"/>
      <sheetData sheetId="20398"/>
      <sheetData sheetId="20399"/>
      <sheetData sheetId="20400"/>
      <sheetData sheetId="20401"/>
      <sheetData sheetId="20402"/>
      <sheetData sheetId="20403"/>
      <sheetData sheetId="20404"/>
      <sheetData sheetId="20405"/>
      <sheetData sheetId="20406" refreshError="1"/>
      <sheetData sheetId="20407" refreshError="1"/>
      <sheetData sheetId="20408" refreshError="1"/>
      <sheetData sheetId="20409" refreshError="1"/>
      <sheetData sheetId="20410" refreshError="1"/>
      <sheetData sheetId="20411" refreshError="1"/>
      <sheetData sheetId="20412"/>
      <sheetData sheetId="20413" refreshError="1"/>
      <sheetData sheetId="20414" refreshError="1"/>
      <sheetData sheetId="20415" refreshError="1"/>
      <sheetData sheetId="20416" refreshError="1"/>
      <sheetData sheetId="20417" refreshError="1"/>
      <sheetData sheetId="20418"/>
      <sheetData sheetId="20419"/>
      <sheetData sheetId="20420" refreshError="1"/>
      <sheetData sheetId="20421" refreshError="1"/>
      <sheetData sheetId="20422" refreshError="1"/>
      <sheetData sheetId="20423" refreshError="1"/>
      <sheetData sheetId="20424" refreshError="1"/>
      <sheetData sheetId="20425" refreshError="1"/>
      <sheetData sheetId="20426" refreshError="1"/>
      <sheetData sheetId="20427" refreshError="1"/>
      <sheetData sheetId="20428" refreshError="1"/>
      <sheetData sheetId="20429" refreshError="1"/>
      <sheetData sheetId="20430" refreshError="1"/>
      <sheetData sheetId="20431" refreshError="1"/>
      <sheetData sheetId="20432" refreshError="1"/>
      <sheetData sheetId="20433" refreshError="1"/>
      <sheetData sheetId="20434" refreshError="1"/>
      <sheetData sheetId="20435" refreshError="1"/>
      <sheetData sheetId="20436" refreshError="1"/>
      <sheetData sheetId="20437" refreshError="1"/>
      <sheetData sheetId="20438" refreshError="1"/>
      <sheetData sheetId="20439" refreshError="1"/>
      <sheetData sheetId="20440" refreshError="1"/>
      <sheetData sheetId="20441" refreshError="1"/>
      <sheetData sheetId="20442" refreshError="1"/>
      <sheetData sheetId="20443"/>
      <sheetData sheetId="20444" refreshError="1"/>
      <sheetData sheetId="20445" refreshError="1"/>
      <sheetData sheetId="20446" refreshError="1"/>
      <sheetData sheetId="20447" refreshError="1"/>
      <sheetData sheetId="20448" refreshError="1"/>
      <sheetData sheetId="20449" refreshError="1"/>
      <sheetData sheetId="20450" refreshError="1"/>
      <sheetData sheetId="20451" refreshError="1"/>
      <sheetData sheetId="20452" refreshError="1"/>
      <sheetData sheetId="20453" refreshError="1"/>
      <sheetData sheetId="20454" refreshError="1"/>
      <sheetData sheetId="20455" refreshError="1"/>
      <sheetData sheetId="20456" refreshError="1"/>
      <sheetData sheetId="20457" refreshError="1"/>
      <sheetData sheetId="20458">
        <row r="2">
          <cell r="A2" t="str">
            <v>C.M. 1:1</v>
          </cell>
        </row>
      </sheetData>
      <sheetData sheetId="20459"/>
      <sheetData sheetId="20460"/>
      <sheetData sheetId="20461"/>
      <sheetData sheetId="20462">
        <row r="306">
          <cell r="G306">
            <v>3079.9950000000017</v>
          </cell>
        </row>
      </sheetData>
      <sheetData sheetId="20463"/>
      <sheetData sheetId="20464"/>
      <sheetData sheetId="20465"/>
      <sheetData sheetId="20466"/>
      <sheetData sheetId="20467" refreshError="1"/>
      <sheetData sheetId="20468">
        <row r="306">
          <cell r="G306">
            <v>3079.9950000000017</v>
          </cell>
        </row>
      </sheetData>
      <sheetData sheetId="20469" refreshError="1"/>
      <sheetData sheetId="20470" refreshError="1"/>
      <sheetData sheetId="20471" refreshError="1"/>
      <sheetData sheetId="20472" refreshError="1"/>
      <sheetData sheetId="20473" refreshError="1"/>
      <sheetData sheetId="20474" refreshError="1"/>
      <sheetData sheetId="20475" refreshError="1"/>
      <sheetData sheetId="20476" refreshError="1"/>
      <sheetData sheetId="20477" refreshError="1"/>
      <sheetData sheetId="20478" refreshError="1"/>
      <sheetData sheetId="20479" refreshError="1"/>
      <sheetData sheetId="20480" refreshError="1"/>
      <sheetData sheetId="20481" refreshError="1"/>
      <sheetData sheetId="20482" refreshError="1"/>
      <sheetData sheetId="20483" refreshError="1"/>
      <sheetData sheetId="20484" refreshError="1"/>
      <sheetData sheetId="20485" refreshError="1"/>
      <sheetData sheetId="20486" refreshError="1"/>
      <sheetData sheetId="20487" refreshError="1"/>
      <sheetData sheetId="20488" refreshError="1"/>
      <sheetData sheetId="20489" refreshError="1"/>
      <sheetData sheetId="20490" refreshError="1"/>
      <sheetData sheetId="20491" refreshError="1"/>
      <sheetData sheetId="20492" refreshError="1"/>
      <sheetData sheetId="20493" refreshError="1"/>
      <sheetData sheetId="20494" refreshError="1"/>
      <sheetData sheetId="20495" refreshError="1"/>
      <sheetData sheetId="20496" refreshError="1"/>
      <sheetData sheetId="20497" refreshError="1"/>
      <sheetData sheetId="20498" refreshError="1"/>
      <sheetData sheetId="20499" refreshError="1"/>
      <sheetData sheetId="20500" refreshError="1"/>
      <sheetData sheetId="20501" refreshError="1"/>
      <sheetData sheetId="20502" refreshError="1"/>
      <sheetData sheetId="20503" refreshError="1"/>
      <sheetData sheetId="20504" refreshError="1"/>
      <sheetData sheetId="20505" refreshError="1"/>
      <sheetData sheetId="20506" refreshError="1"/>
      <sheetData sheetId="20507" refreshError="1"/>
      <sheetData sheetId="20508" refreshError="1"/>
      <sheetData sheetId="20509" refreshError="1"/>
      <sheetData sheetId="20510" refreshError="1"/>
      <sheetData sheetId="20511" refreshError="1"/>
      <sheetData sheetId="20512" refreshError="1"/>
      <sheetData sheetId="20513" refreshError="1"/>
      <sheetData sheetId="20514" refreshError="1"/>
      <sheetData sheetId="20515" refreshError="1"/>
      <sheetData sheetId="20516" refreshError="1"/>
      <sheetData sheetId="20517" refreshError="1"/>
      <sheetData sheetId="20518" refreshError="1"/>
      <sheetData sheetId="20519" refreshError="1"/>
      <sheetData sheetId="20520" refreshError="1"/>
      <sheetData sheetId="20521" refreshError="1"/>
      <sheetData sheetId="20522" refreshError="1"/>
      <sheetData sheetId="20523" refreshError="1"/>
      <sheetData sheetId="20524" refreshError="1"/>
      <sheetData sheetId="20525" refreshError="1"/>
      <sheetData sheetId="20526" refreshError="1"/>
      <sheetData sheetId="20527" refreshError="1"/>
      <sheetData sheetId="20528" refreshError="1"/>
      <sheetData sheetId="20529" refreshError="1"/>
      <sheetData sheetId="20530" refreshError="1"/>
      <sheetData sheetId="20531" refreshError="1"/>
      <sheetData sheetId="20532" refreshError="1"/>
      <sheetData sheetId="20533" refreshError="1"/>
      <sheetData sheetId="20534" refreshError="1"/>
      <sheetData sheetId="20535" refreshError="1"/>
      <sheetData sheetId="20536" refreshError="1"/>
      <sheetData sheetId="20537" refreshError="1"/>
      <sheetData sheetId="20538" refreshError="1"/>
      <sheetData sheetId="20539" refreshError="1"/>
      <sheetData sheetId="20540" refreshError="1"/>
      <sheetData sheetId="20541" refreshError="1"/>
      <sheetData sheetId="20542" refreshError="1"/>
      <sheetData sheetId="20543" refreshError="1"/>
      <sheetData sheetId="20544" refreshError="1"/>
      <sheetData sheetId="20545" refreshError="1"/>
      <sheetData sheetId="20546" refreshError="1"/>
      <sheetData sheetId="20547" refreshError="1"/>
      <sheetData sheetId="20548" refreshError="1"/>
      <sheetData sheetId="20549" refreshError="1"/>
      <sheetData sheetId="20550" refreshError="1"/>
      <sheetData sheetId="20551" refreshError="1"/>
      <sheetData sheetId="20552" refreshError="1"/>
      <sheetData sheetId="20553" refreshError="1"/>
      <sheetData sheetId="20554" refreshError="1"/>
      <sheetData sheetId="20555" refreshError="1"/>
      <sheetData sheetId="20556" refreshError="1"/>
      <sheetData sheetId="20557" refreshError="1"/>
      <sheetData sheetId="20558" refreshError="1"/>
      <sheetData sheetId="20559" refreshError="1"/>
      <sheetData sheetId="20560" refreshError="1"/>
      <sheetData sheetId="20561" refreshError="1"/>
      <sheetData sheetId="20562" refreshError="1"/>
      <sheetData sheetId="20563" refreshError="1"/>
      <sheetData sheetId="20564" refreshError="1"/>
      <sheetData sheetId="20565" refreshError="1"/>
      <sheetData sheetId="20566" refreshError="1"/>
      <sheetData sheetId="20567" refreshError="1"/>
      <sheetData sheetId="20568" refreshError="1"/>
      <sheetData sheetId="20569" refreshError="1"/>
      <sheetData sheetId="20570" refreshError="1"/>
      <sheetData sheetId="20571" refreshError="1"/>
      <sheetData sheetId="20572" refreshError="1"/>
      <sheetData sheetId="20573" refreshError="1"/>
      <sheetData sheetId="20574" refreshError="1"/>
      <sheetData sheetId="20575" refreshError="1"/>
      <sheetData sheetId="20576" refreshError="1"/>
      <sheetData sheetId="20577" refreshError="1"/>
      <sheetData sheetId="20578" refreshError="1"/>
      <sheetData sheetId="20579" refreshError="1"/>
      <sheetData sheetId="20580" refreshError="1"/>
      <sheetData sheetId="20581" refreshError="1"/>
      <sheetData sheetId="20582" refreshError="1"/>
      <sheetData sheetId="20583" refreshError="1"/>
      <sheetData sheetId="20584" refreshError="1"/>
      <sheetData sheetId="20585" refreshError="1"/>
      <sheetData sheetId="20586" refreshError="1"/>
      <sheetData sheetId="20587" refreshError="1"/>
      <sheetData sheetId="20588" refreshError="1"/>
      <sheetData sheetId="20589" refreshError="1"/>
      <sheetData sheetId="20590" refreshError="1"/>
      <sheetData sheetId="20591" refreshError="1"/>
      <sheetData sheetId="20592" refreshError="1"/>
      <sheetData sheetId="20593" refreshError="1"/>
      <sheetData sheetId="20594" refreshError="1"/>
      <sheetData sheetId="20595" refreshError="1"/>
      <sheetData sheetId="20596" refreshError="1"/>
      <sheetData sheetId="20597" refreshError="1"/>
      <sheetData sheetId="20598" refreshError="1"/>
      <sheetData sheetId="20599" refreshError="1"/>
      <sheetData sheetId="20600" refreshError="1"/>
      <sheetData sheetId="20601" refreshError="1"/>
      <sheetData sheetId="20602" refreshError="1"/>
      <sheetData sheetId="20603" refreshError="1"/>
      <sheetData sheetId="20604" refreshError="1"/>
      <sheetData sheetId="20605" refreshError="1"/>
      <sheetData sheetId="20606" refreshError="1"/>
      <sheetData sheetId="20607" refreshError="1"/>
      <sheetData sheetId="20608" refreshError="1"/>
      <sheetData sheetId="20609" refreshError="1"/>
      <sheetData sheetId="20610" refreshError="1"/>
      <sheetData sheetId="20611" refreshError="1"/>
      <sheetData sheetId="20612" refreshError="1"/>
      <sheetData sheetId="20613" refreshError="1"/>
      <sheetData sheetId="20614" refreshError="1"/>
      <sheetData sheetId="20615" refreshError="1"/>
      <sheetData sheetId="20616" refreshError="1"/>
      <sheetData sheetId="20617" refreshError="1"/>
      <sheetData sheetId="20618" refreshError="1"/>
      <sheetData sheetId="20619" refreshError="1"/>
      <sheetData sheetId="20620" refreshError="1"/>
      <sheetData sheetId="20621" refreshError="1"/>
      <sheetData sheetId="20622" refreshError="1"/>
      <sheetData sheetId="20623" refreshError="1"/>
      <sheetData sheetId="20624" refreshError="1"/>
      <sheetData sheetId="20625" refreshError="1"/>
      <sheetData sheetId="20626" refreshError="1"/>
      <sheetData sheetId="20627" refreshError="1"/>
      <sheetData sheetId="20628" refreshError="1"/>
      <sheetData sheetId="20629" refreshError="1"/>
      <sheetData sheetId="20630" refreshError="1"/>
      <sheetData sheetId="20631" refreshError="1"/>
      <sheetData sheetId="20632" refreshError="1"/>
      <sheetData sheetId="20633" refreshError="1"/>
      <sheetData sheetId="20634" refreshError="1"/>
      <sheetData sheetId="20635" refreshError="1"/>
      <sheetData sheetId="20636"/>
      <sheetData sheetId="20637" refreshError="1"/>
      <sheetData sheetId="20638" refreshError="1"/>
      <sheetData sheetId="20639" refreshError="1"/>
      <sheetData sheetId="20640" refreshError="1"/>
      <sheetData sheetId="20641" refreshError="1"/>
      <sheetData sheetId="20642" refreshError="1"/>
      <sheetData sheetId="20643" refreshError="1"/>
      <sheetData sheetId="20644" refreshError="1"/>
      <sheetData sheetId="20645" refreshError="1"/>
      <sheetData sheetId="20646" refreshError="1"/>
      <sheetData sheetId="20647" refreshError="1"/>
      <sheetData sheetId="20648" refreshError="1"/>
      <sheetData sheetId="20649" refreshError="1"/>
      <sheetData sheetId="20650" refreshError="1"/>
      <sheetData sheetId="20651" refreshError="1"/>
      <sheetData sheetId="20652" refreshError="1"/>
      <sheetData sheetId="20653" refreshError="1"/>
      <sheetData sheetId="20654" refreshError="1"/>
      <sheetData sheetId="20655" refreshError="1"/>
      <sheetData sheetId="20656" refreshError="1"/>
      <sheetData sheetId="20657" refreshError="1"/>
      <sheetData sheetId="20658" refreshError="1"/>
      <sheetData sheetId="20659" refreshError="1"/>
      <sheetData sheetId="20660" refreshError="1"/>
      <sheetData sheetId="20661" refreshError="1"/>
      <sheetData sheetId="20662" refreshError="1"/>
      <sheetData sheetId="20663" refreshError="1"/>
      <sheetData sheetId="20664" refreshError="1"/>
      <sheetData sheetId="20665" refreshError="1"/>
      <sheetData sheetId="20666" refreshError="1"/>
      <sheetData sheetId="20667" refreshError="1"/>
      <sheetData sheetId="20668" refreshError="1"/>
      <sheetData sheetId="20669" refreshError="1"/>
      <sheetData sheetId="20670" refreshError="1"/>
      <sheetData sheetId="20671" refreshError="1"/>
      <sheetData sheetId="20672" refreshError="1"/>
      <sheetData sheetId="20673" refreshError="1"/>
      <sheetData sheetId="20674" refreshError="1"/>
      <sheetData sheetId="20675">
        <row r="592">
          <cell r="O592">
            <v>0.80825099999999994</v>
          </cell>
        </row>
      </sheetData>
      <sheetData sheetId="20676" refreshError="1"/>
      <sheetData sheetId="20677"/>
      <sheetData sheetId="20678"/>
      <sheetData sheetId="20679" refreshError="1"/>
      <sheetData sheetId="20680" refreshError="1"/>
      <sheetData sheetId="20681" refreshError="1"/>
      <sheetData sheetId="20682" refreshError="1"/>
      <sheetData sheetId="20683" refreshError="1"/>
      <sheetData sheetId="20684" refreshError="1"/>
      <sheetData sheetId="20685" refreshError="1"/>
      <sheetData sheetId="20686" refreshError="1"/>
      <sheetData sheetId="20687" refreshError="1"/>
      <sheetData sheetId="20688" refreshError="1"/>
      <sheetData sheetId="20689" refreshError="1"/>
      <sheetData sheetId="20690" refreshError="1"/>
      <sheetData sheetId="20691" refreshError="1"/>
      <sheetData sheetId="20692" refreshError="1"/>
      <sheetData sheetId="20693" refreshError="1"/>
      <sheetData sheetId="20694"/>
      <sheetData sheetId="20695" refreshError="1"/>
      <sheetData sheetId="20696" refreshError="1"/>
      <sheetData sheetId="20697" refreshError="1"/>
      <sheetData sheetId="20698" refreshError="1"/>
      <sheetData sheetId="20699" refreshError="1"/>
      <sheetData sheetId="20700" refreshError="1"/>
      <sheetData sheetId="20701" refreshError="1"/>
      <sheetData sheetId="20702"/>
      <sheetData sheetId="20703" refreshError="1"/>
      <sheetData sheetId="20704" refreshError="1"/>
      <sheetData sheetId="20705" refreshError="1"/>
      <sheetData sheetId="20706" refreshError="1"/>
      <sheetData sheetId="20707" refreshError="1"/>
      <sheetData sheetId="20708" refreshError="1"/>
      <sheetData sheetId="20709" refreshError="1"/>
      <sheetData sheetId="20710" refreshError="1"/>
      <sheetData sheetId="20711" refreshError="1"/>
      <sheetData sheetId="20712" refreshError="1"/>
      <sheetData sheetId="20713" refreshError="1"/>
      <sheetData sheetId="20714" refreshError="1"/>
      <sheetData sheetId="20715" refreshError="1"/>
      <sheetData sheetId="20716" refreshError="1"/>
      <sheetData sheetId="20717" refreshError="1"/>
      <sheetData sheetId="20718" refreshError="1"/>
      <sheetData sheetId="20719" refreshError="1"/>
      <sheetData sheetId="20720" refreshError="1"/>
      <sheetData sheetId="20721" refreshError="1"/>
      <sheetData sheetId="20722" refreshError="1"/>
      <sheetData sheetId="20723" refreshError="1"/>
      <sheetData sheetId="20724" refreshError="1"/>
      <sheetData sheetId="20725" refreshError="1"/>
      <sheetData sheetId="20726" refreshError="1"/>
      <sheetData sheetId="20727" refreshError="1"/>
      <sheetData sheetId="20728" refreshError="1"/>
      <sheetData sheetId="20729" refreshError="1"/>
      <sheetData sheetId="20730" refreshError="1"/>
      <sheetData sheetId="20731"/>
      <sheetData sheetId="20732"/>
      <sheetData sheetId="20733"/>
      <sheetData sheetId="20734" refreshError="1"/>
      <sheetData sheetId="20735" refreshError="1"/>
      <sheetData sheetId="20736" refreshError="1"/>
      <sheetData sheetId="20737" refreshError="1"/>
      <sheetData sheetId="20738" refreshError="1"/>
      <sheetData sheetId="20739"/>
      <sheetData sheetId="20740">
        <row r="1">
          <cell r="A1" t="str">
            <v>TECNICAS REUNIDAS, S. A.</v>
          </cell>
        </row>
      </sheetData>
      <sheetData sheetId="20741">
        <row r="1">
          <cell r="A1" t="str">
            <v>TECNICAS REUNIDAS, S. A.</v>
          </cell>
        </row>
      </sheetData>
      <sheetData sheetId="20742"/>
      <sheetData sheetId="20743"/>
      <sheetData sheetId="20744"/>
      <sheetData sheetId="20745"/>
      <sheetData sheetId="20746"/>
      <sheetData sheetId="20747"/>
      <sheetData sheetId="20748"/>
      <sheetData sheetId="20749"/>
      <sheetData sheetId="20750"/>
      <sheetData sheetId="20751"/>
      <sheetData sheetId="20752"/>
      <sheetData sheetId="20753">
        <row r="592">
          <cell r="O592">
            <v>0.80825099999999994</v>
          </cell>
        </row>
      </sheetData>
      <sheetData sheetId="20754"/>
      <sheetData sheetId="20755" refreshError="1"/>
      <sheetData sheetId="20756" refreshError="1"/>
      <sheetData sheetId="20757" refreshError="1"/>
      <sheetData sheetId="20758" refreshError="1"/>
      <sheetData sheetId="20759" refreshError="1"/>
      <sheetData sheetId="20760" refreshError="1"/>
      <sheetData sheetId="20761" refreshError="1"/>
      <sheetData sheetId="20762" refreshError="1"/>
      <sheetData sheetId="20763" refreshError="1"/>
      <sheetData sheetId="20764" refreshError="1"/>
      <sheetData sheetId="20765" refreshError="1"/>
      <sheetData sheetId="20766" refreshError="1"/>
      <sheetData sheetId="20767" refreshError="1"/>
      <sheetData sheetId="20768" refreshError="1"/>
      <sheetData sheetId="20769" refreshError="1"/>
      <sheetData sheetId="20770" refreshError="1"/>
      <sheetData sheetId="20771" refreshError="1"/>
      <sheetData sheetId="20772" refreshError="1"/>
      <sheetData sheetId="20773" refreshError="1"/>
      <sheetData sheetId="20774" refreshError="1"/>
      <sheetData sheetId="20775" refreshError="1"/>
      <sheetData sheetId="20776" refreshError="1"/>
      <sheetData sheetId="20777" refreshError="1"/>
      <sheetData sheetId="20778" refreshError="1"/>
      <sheetData sheetId="20779" refreshError="1"/>
      <sheetData sheetId="20780" refreshError="1"/>
      <sheetData sheetId="20781" refreshError="1"/>
      <sheetData sheetId="20782" refreshError="1"/>
      <sheetData sheetId="20783" refreshError="1"/>
      <sheetData sheetId="20784" refreshError="1"/>
      <sheetData sheetId="20785" refreshError="1"/>
      <sheetData sheetId="20786" refreshError="1"/>
      <sheetData sheetId="20787" refreshError="1"/>
      <sheetData sheetId="20788" refreshError="1"/>
      <sheetData sheetId="20789" refreshError="1"/>
      <sheetData sheetId="20790" refreshError="1"/>
      <sheetData sheetId="20791" refreshError="1"/>
      <sheetData sheetId="20792">
        <row r="2">
          <cell r="B2">
            <v>1</v>
          </cell>
        </row>
      </sheetData>
      <sheetData sheetId="20793" refreshError="1"/>
      <sheetData sheetId="20794">
        <row r="2">
          <cell r="B2">
            <v>1</v>
          </cell>
        </row>
      </sheetData>
      <sheetData sheetId="20795">
        <row r="2">
          <cell r="B2">
            <v>1</v>
          </cell>
        </row>
      </sheetData>
      <sheetData sheetId="20796">
        <row r="2">
          <cell r="B2">
            <v>1</v>
          </cell>
        </row>
      </sheetData>
      <sheetData sheetId="20797">
        <row r="2">
          <cell r="B2">
            <v>1</v>
          </cell>
        </row>
      </sheetData>
      <sheetData sheetId="20798">
        <row r="2">
          <cell r="B2">
            <v>1</v>
          </cell>
        </row>
      </sheetData>
      <sheetData sheetId="20799"/>
      <sheetData sheetId="20800"/>
      <sheetData sheetId="20801"/>
      <sheetData sheetId="20802"/>
      <sheetData sheetId="20803"/>
      <sheetData sheetId="20804"/>
      <sheetData sheetId="20805"/>
      <sheetData sheetId="20806"/>
      <sheetData sheetId="20807">
        <row r="592">
          <cell r="O592">
            <v>0.80825099999999994</v>
          </cell>
        </row>
      </sheetData>
      <sheetData sheetId="20808"/>
      <sheetData sheetId="20809"/>
      <sheetData sheetId="20810"/>
      <sheetData sheetId="20811"/>
      <sheetData sheetId="20812"/>
      <sheetData sheetId="20813"/>
      <sheetData sheetId="20814"/>
      <sheetData sheetId="20815"/>
      <sheetData sheetId="20816"/>
      <sheetData sheetId="20817"/>
      <sheetData sheetId="20818">
        <row r="1">
          <cell r="A1" t="str">
            <v>TECNICAS REUNIDAS, S. A.</v>
          </cell>
        </row>
      </sheetData>
      <sheetData sheetId="20819">
        <row r="1">
          <cell r="A1" t="str">
            <v>TECNICAS REUNIDAS, S. A.</v>
          </cell>
        </row>
      </sheetData>
      <sheetData sheetId="20820"/>
      <sheetData sheetId="20821"/>
      <sheetData sheetId="20822"/>
      <sheetData sheetId="20823"/>
      <sheetData sheetId="20824"/>
      <sheetData sheetId="20825"/>
      <sheetData sheetId="20826">
        <row r="2">
          <cell r="B2">
            <v>1</v>
          </cell>
        </row>
      </sheetData>
      <sheetData sheetId="20827"/>
      <sheetData sheetId="20828">
        <row r="2">
          <cell r="B2">
            <v>1</v>
          </cell>
        </row>
      </sheetData>
      <sheetData sheetId="20829">
        <row r="2">
          <cell r="B2">
            <v>1</v>
          </cell>
        </row>
      </sheetData>
      <sheetData sheetId="20830">
        <row r="2">
          <cell r="B2">
            <v>1</v>
          </cell>
        </row>
      </sheetData>
      <sheetData sheetId="20831">
        <row r="2">
          <cell r="B2">
            <v>1</v>
          </cell>
        </row>
      </sheetData>
      <sheetData sheetId="20832">
        <row r="2">
          <cell r="B2">
            <v>1</v>
          </cell>
        </row>
      </sheetData>
      <sheetData sheetId="20833"/>
      <sheetData sheetId="20834"/>
      <sheetData sheetId="20835"/>
      <sheetData sheetId="20836"/>
      <sheetData sheetId="20837"/>
      <sheetData sheetId="20838"/>
      <sheetData sheetId="20839"/>
      <sheetData sheetId="20840"/>
      <sheetData sheetId="20841">
        <row r="592">
          <cell r="O592">
            <v>0.80825099999999994</v>
          </cell>
        </row>
      </sheetData>
      <sheetData sheetId="20842"/>
      <sheetData sheetId="20843"/>
      <sheetData sheetId="20844"/>
      <sheetData sheetId="20845"/>
      <sheetData sheetId="20846"/>
      <sheetData sheetId="20847"/>
      <sheetData sheetId="20848"/>
      <sheetData sheetId="20849"/>
      <sheetData sheetId="20850"/>
      <sheetData sheetId="20851"/>
      <sheetData sheetId="20852"/>
      <sheetData sheetId="20853"/>
      <sheetData sheetId="20854"/>
      <sheetData sheetId="20855"/>
      <sheetData sheetId="20856"/>
      <sheetData sheetId="20857"/>
      <sheetData sheetId="20858"/>
      <sheetData sheetId="20859"/>
      <sheetData sheetId="20860"/>
      <sheetData sheetId="20861"/>
      <sheetData sheetId="20862"/>
      <sheetData sheetId="20863"/>
      <sheetData sheetId="20864" refreshError="1"/>
      <sheetData sheetId="20865" refreshError="1"/>
      <sheetData sheetId="20866" refreshError="1"/>
      <sheetData sheetId="20867" refreshError="1"/>
      <sheetData sheetId="20868" refreshError="1"/>
      <sheetData sheetId="20869" refreshError="1"/>
      <sheetData sheetId="20870" refreshError="1"/>
      <sheetData sheetId="20871" refreshError="1"/>
      <sheetData sheetId="20872" refreshError="1"/>
      <sheetData sheetId="20873" refreshError="1"/>
      <sheetData sheetId="20874" refreshError="1"/>
      <sheetData sheetId="20875" refreshError="1"/>
      <sheetData sheetId="20876" refreshError="1"/>
      <sheetData sheetId="20877" refreshError="1"/>
      <sheetData sheetId="20878" refreshError="1"/>
      <sheetData sheetId="20879" refreshError="1"/>
      <sheetData sheetId="20880" refreshError="1"/>
      <sheetData sheetId="20881" refreshError="1"/>
      <sheetData sheetId="20882" refreshError="1"/>
      <sheetData sheetId="20883" refreshError="1"/>
      <sheetData sheetId="20884" refreshError="1"/>
      <sheetData sheetId="20885" refreshError="1"/>
      <sheetData sheetId="20886" refreshError="1"/>
      <sheetData sheetId="20887" refreshError="1"/>
      <sheetData sheetId="20888" refreshError="1"/>
      <sheetData sheetId="20889" refreshError="1"/>
      <sheetData sheetId="20890" refreshError="1"/>
      <sheetData sheetId="20891" refreshError="1"/>
      <sheetData sheetId="20892" refreshError="1"/>
      <sheetData sheetId="20893" refreshError="1"/>
      <sheetData sheetId="20894" refreshError="1"/>
      <sheetData sheetId="20895" refreshError="1"/>
      <sheetData sheetId="20896" refreshError="1"/>
      <sheetData sheetId="20897" refreshError="1"/>
      <sheetData sheetId="20898" refreshError="1"/>
      <sheetData sheetId="20899" refreshError="1"/>
      <sheetData sheetId="20900" refreshError="1"/>
      <sheetData sheetId="20901" refreshError="1"/>
      <sheetData sheetId="20902" refreshError="1"/>
      <sheetData sheetId="20903" refreshError="1"/>
      <sheetData sheetId="20904" refreshError="1"/>
      <sheetData sheetId="20905" refreshError="1"/>
      <sheetData sheetId="20906" refreshError="1"/>
      <sheetData sheetId="20907" refreshError="1"/>
      <sheetData sheetId="20908" refreshError="1"/>
      <sheetData sheetId="20909" refreshError="1"/>
      <sheetData sheetId="20910" refreshError="1"/>
      <sheetData sheetId="20911" refreshError="1"/>
      <sheetData sheetId="20912" refreshError="1"/>
      <sheetData sheetId="20913" refreshError="1"/>
      <sheetData sheetId="20914" refreshError="1"/>
      <sheetData sheetId="20915" refreshError="1"/>
      <sheetData sheetId="20916" refreshError="1"/>
      <sheetData sheetId="20917" refreshError="1"/>
      <sheetData sheetId="20918" refreshError="1"/>
      <sheetData sheetId="20919" refreshError="1"/>
      <sheetData sheetId="20920" refreshError="1"/>
      <sheetData sheetId="20921" refreshError="1"/>
      <sheetData sheetId="20922" refreshError="1"/>
      <sheetData sheetId="20923" refreshError="1"/>
      <sheetData sheetId="20924" refreshError="1"/>
      <sheetData sheetId="20925" refreshError="1"/>
      <sheetData sheetId="20926" refreshError="1"/>
      <sheetData sheetId="20927" refreshError="1"/>
      <sheetData sheetId="20928" refreshError="1"/>
      <sheetData sheetId="20929" refreshError="1"/>
      <sheetData sheetId="20930" refreshError="1"/>
      <sheetData sheetId="20931" refreshError="1"/>
      <sheetData sheetId="20932" refreshError="1"/>
      <sheetData sheetId="20933" refreshError="1"/>
      <sheetData sheetId="20934" refreshError="1"/>
      <sheetData sheetId="20935" refreshError="1"/>
      <sheetData sheetId="20936" refreshError="1"/>
      <sheetData sheetId="20937" refreshError="1"/>
      <sheetData sheetId="20938" refreshError="1"/>
      <sheetData sheetId="20939" refreshError="1"/>
      <sheetData sheetId="20940" refreshError="1"/>
      <sheetData sheetId="20941"/>
      <sheetData sheetId="20942"/>
      <sheetData sheetId="20943"/>
      <sheetData sheetId="20944"/>
      <sheetData sheetId="20945" refreshError="1"/>
      <sheetData sheetId="20946" refreshError="1"/>
      <sheetData sheetId="20947" refreshError="1"/>
      <sheetData sheetId="20948" refreshError="1"/>
      <sheetData sheetId="20949" refreshError="1"/>
      <sheetData sheetId="20950" refreshError="1"/>
      <sheetData sheetId="20951" refreshError="1"/>
      <sheetData sheetId="20952" refreshError="1"/>
      <sheetData sheetId="20953" refreshError="1"/>
      <sheetData sheetId="20954" refreshError="1"/>
      <sheetData sheetId="20955" refreshError="1"/>
      <sheetData sheetId="20956" refreshError="1"/>
      <sheetData sheetId="20957" refreshError="1"/>
      <sheetData sheetId="20958"/>
      <sheetData sheetId="20959"/>
      <sheetData sheetId="20960"/>
      <sheetData sheetId="20961" refreshError="1"/>
      <sheetData sheetId="20962"/>
      <sheetData sheetId="20963"/>
      <sheetData sheetId="20964"/>
      <sheetData sheetId="20965"/>
      <sheetData sheetId="20966"/>
      <sheetData sheetId="20967"/>
      <sheetData sheetId="20968"/>
      <sheetData sheetId="20969"/>
      <sheetData sheetId="20970"/>
      <sheetData sheetId="20971"/>
      <sheetData sheetId="20972"/>
      <sheetData sheetId="20973"/>
      <sheetData sheetId="20974"/>
      <sheetData sheetId="20975"/>
      <sheetData sheetId="20976"/>
      <sheetData sheetId="20977"/>
      <sheetData sheetId="20978"/>
      <sheetData sheetId="20979"/>
      <sheetData sheetId="20980"/>
      <sheetData sheetId="20981"/>
      <sheetData sheetId="20982"/>
      <sheetData sheetId="20983"/>
      <sheetData sheetId="20984"/>
      <sheetData sheetId="20985"/>
      <sheetData sheetId="20986"/>
      <sheetData sheetId="20987"/>
      <sheetData sheetId="20988"/>
      <sheetData sheetId="20989"/>
      <sheetData sheetId="20990"/>
      <sheetData sheetId="20991"/>
      <sheetData sheetId="20992"/>
      <sheetData sheetId="20993"/>
      <sheetData sheetId="20994"/>
      <sheetData sheetId="20995"/>
      <sheetData sheetId="20996"/>
      <sheetData sheetId="20997"/>
      <sheetData sheetId="20998" refreshError="1"/>
      <sheetData sheetId="20999" refreshError="1"/>
      <sheetData sheetId="21000" refreshError="1"/>
      <sheetData sheetId="21001"/>
      <sheetData sheetId="21002" refreshError="1"/>
      <sheetData sheetId="21003" refreshError="1"/>
      <sheetData sheetId="21004" refreshError="1"/>
      <sheetData sheetId="21005" refreshError="1"/>
      <sheetData sheetId="21006"/>
      <sheetData sheetId="21007"/>
      <sheetData sheetId="21008"/>
      <sheetData sheetId="21009"/>
      <sheetData sheetId="21010"/>
      <sheetData sheetId="21011"/>
      <sheetData sheetId="21012"/>
      <sheetData sheetId="21013"/>
      <sheetData sheetId="21014"/>
      <sheetData sheetId="21015"/>
      <sheetData sheetId="21016"/>
      <sheetData sheetId="21017"/>
      <sheetData sheetId="21018"/>
      <sheetData sheetId="21019"/>
      <sheetData sheetId="21020"/>
      <sheetData sheetId="21021"/>
      <sheetData sheetId="21022"/>
      <sheetData sheetId="21023"/>
      <sheetData sheetId="21024"/>
      <sheetData sheetId="21025"/>
      <sheetData sheetId="21026"/>
      <sheetData sheetId="21027"/>
      <sheetData sheetId="21028"/>
      <sheetData sheetId="21029"/>
      <sheetData sheetId="21030" refreshError="1"/>
      <sheetData sheetId="21031" refreshError="1"/>
      <sheetData sheetId="21032"/>
      <sheetData sheetId="21033" refreshError="1"/>
      <sheetData sheetId="21034" refreshError="1"/>
      <sheetData sheetId="21035" refreshError="1"/>
      <sheetData sheetId="21036" refreshError="1"/>
      <sheetData sheetId="21037"/>
      <sheetData sheetId="21038" refreshError="1"/>
      <sheetData sheetId="21039" refreshError="1"/>
      <sheetData sheetId="21040"/>
      <sheetData sheetId="21041"/>
      <sheetData sheetId="21042"/>
      <sheetData sheetId="21043"/>
      <sheetData sheetId="21044" refreshError="1"/>
      <sheetData sheetId="21045" refreshError="1"/>
      <sheetData sheetId="21046" refreshError="1"/>
      <sheetData sheetId="21047" refreshError="1"/>
      <sheetData sheetId="21048" refreshError="1"/>
      <sheetData sheetId="21049" refreshError="1"/>
      <sheetData sheetId="21050" refreshError="1"/>
      <sheetData sheetId="21051"/>
      <sheetData sheetId="21052"/>
      <sheetData sheetId="21053"/>
      <sheetData sheetId="21054"/>
      <sheetData sheetId="21055" refreshError="1"/>
      <sheetData sheetId="21056" refreshError="1"/>
      <sheetData sheetId="21057" refreshError="1"/>
      <sheetData sheetId="21058" refreshError="1"/>
      <sheetData sheetId="21059"/>
      <sheetData sheetId="21060"/>
      <sheetData sheetId="21061"/>
      <sheetData sheetId="21062"/>
      <sheetData sheetId="21063"/>
      <sheetData sheetId="21064"/>
      <sheetData sheetId="21065"/>
      <sheetData sheetId="21066"/>
      <sheetData sheetId="21067"/>
      <sheetData sheetId="21068"/>
      <sheetData sheetId="21069"/>
      <sheetData sheetId="21070"/>
      <sheetData sheetId="21071"/>
      <sheetData sheetId="21072"/>
      <sheetData sheetId="21073"/>
      <sheetData sheetId="21074"/>
      <sheetData sheetId="21075"/>
      <sheetData sheetId="21076"/>
      <sheetData sheetId="21077"/>
      <sheetData sheetId="21078"/>
      <sheetData sheetId="21079"/>
      <sheetData sheetId="21080"/>
      <sheetData sheetId="21081"/>
      <sheetData sheetId="21082"/>
      <sheetData sheetId="21083"/>
      <sheetData sheetId="21084"/>
      <sheetData sheetId="21085"/>
      <sheetData sheetId="21086"/>
      <sheetData sheetId="21087"/>
      <sheetData sheetId="21088"/>
      <sheetData sheetId="21089"/>
      <sheetData sheetId="21090"/>
      <sheetData sheetId="21091"/>
      <sheetData sheetId="21092"/>
      <sheetData sheetId="21093"/>
      <sheetData sheetId="21094"/>
      <sheetData sheetId="21095"/>
      <sheetData sheetId="21096" refreshError="1"/>
      <sheetData sheetId="21097" refreshError="1"/>
      <sheetData sheetId="21098" refreshError="1"/>
      <sheetData sheetId="21099" refreshError="1"/>
      <sheetData sheetId="21100" refreshError="1"/>
      <sheetData sheetId="21101" refreshError="1"/>
      <sheetData sheetId="21102" refreshError="1"/>
      <sheetData sheetId="21103"/>
      <sheetData sheetId="21104"/>
      <sheetData sheetId="21105"/>
      <sheetData sheetId="21106"/>
      <sheetData sheetId="21107"/>
      <sheetData sheetId="21108"/>
      <sheetData sheetId="21109"/>
      <sheetData sheetId="21110"/>
      <sheetData sheetId="21111"/>
      <sheetData sheetId="21112"/>
      <sheetData sheetId="21113"/>
      <sheetData sheetId="21114"/>
      <sheetData sheetId="21115"/>
      <sheetData sheetId="21116"/>
      <sheetData sheetId="21117"/>
      <sheetData sheetId="21118"/>
      <sheetData sheetId="21119"/>
      <sheetData sheetId="21120"/>
      <sheetData sheetId="21121"/>
      <sheetData sheetId="21122"/>
      <sheetData sheetId="21123"/>
      <sheetData sheetId="21124"/>
      <sheetData sheetId="21125"/>
      <sheetData sheetId="21126"/>
      <sheetData sheetId="21127"/>
      <sheetData sheetId="21128"/>
      <sheetData sheetId="21129"/>
      <sheetData sheetId="21130"/>
      <sheetData sheetId="21131"/>
      <sheetData sheetId="21132"/>
      <sheetData sheetId="21133"/>
      <sheetData sheetId="21134"/>
      <sheetData sheetId="21135"/>
      <sheetData sheetId="21136"/>
      <sheetData sheetId="21137"/>
      <sheetData sheetId="21138"/>
      <sheetData sheetId="21139"/>
      <sheetData sheetId="21140"/>
      <sheetData sheetId="21141"/>
      <sheetData sheetId="21142"/>
      <sheetData sheetId="21143"/>
      <sheetData sheetId="21144"/>
      <sheetData sheetId="21145"/>
      <sheetData sheetId="21146"/>
      <sheetData sheetId="21147"/>
      <sheetData sheetId="21148"/>
      <sheetData sheetId="21149"/>
      <sheetData sheetId="21150"/>
      <sheetData sheetId="21151"/>
      <sheetData sheetId="21152"/>
      <sheetData sheetId="21153"/>
      <sheetData sheetId="21154"/>
      <sheetData sheetId="21155"/>
      <sheetData sheetId="21156" refreshError="1"/>
      <sheetData sheetId="21157" refreshError="1"/>
      <sheetData sheetId="21158" refreshError="1"/>
      <sheetData sheetId="21159" refreshError="1"/>
      <sheetData sheetId="21160" refreshError="1"/>
      <sheetData sheetId="21161" refreshError="1"/>
      <sheetData sheetId="21162" refreshError="1"/>
      <sheetData sheetId="21163" refreshError="1"/>
      <sheetData sheetId="21164" refreshError="1"/>
      <sheetData sheetId="21165" refreshError="1"/>
      <sheetData sheetId="21166" refreshError="1"/>
      <sheetData sheetId="21167" refreshError="1"/>
      <sheetData sheetId="21168" refreshError="1"/>
      <sheetData sheetId="21169" refreshError="1"/>
      <sheetData sheetId="21170" refreshError="1"/>
      <sheetData sheetId="21171" refreshError="1"/>
      <sheetData sheetId="21172" refreshError="1"/>
      <sheetData sheetId="21173" refreshError="1"/>
      <sheetData sheetId="21174"/>
      <sheetData sheetId="21175" refreshError="1"/>
      <sheetData sheetId="21176" refreshError="1"/>
      <sheetData sheetId="21177"/>
      <sheetData sheetId="21178"/>
      <sheetData sheetId="21179"/>
      <sheetData sheetId="21180"/>
      <sheetData sheetId="21181"/>
      <sheetData sheetId="21182"/>
      <sheetData sheetId="21183"/>
      <sheetData sheetId="21184"/>
      <sheetData sheetId="21185"/>
      <sheetData sheetId="21186"/>
      <sheetData sheetId="21187"/>
      <sheetData sheetId="21188"/>
      <sheetData sheetId="21189"/>
      <sheetData sheetId="21190"/>
      <sheetData sheetId="21191" refreshError="1"/>
      <sheetData sheetId="21192" refreshError="1"/>
      <sheetData sheetId="21193" refreshError="1"/>
      <sheetData sheetId="21194" refreshError="1"/>
      <sheetData sheetId="21195" refreshError="1"/>
      <sheetData sheetId="21196" refreshError="1"/>
      <sheetData sheetId="21197" refreshError="1"/>
      <sheetData sheetId="21198" refreshError="1"/>
      <sheetData sheetId="21199"/>
      <sheetData sheetId="21200"/>
      <sheetData sheetId="21201"/>
      <sheetData sheetId="21202"/>
      <sheetData sheetId="21203"/>
      <sheetData sheetId="21204"/>
      <sheetData sheetId="21205"/>
      <sheetData sheetId="21206"/>
      <sheetData sheetId="21207"/>
      <sheetData sheetId="21208"/>
      <sheetData sheetId="21209"/>
      <sheetData sheetId="21210"/>
      <sheetData sheetId="21211"/>
      <sheetData sheetId="21212"/>
      <sheetData sheetId="21213"/>
      <sheetData sheetId="21214"/>
      <sheetData sheetId="21215" refreshError="1"/>
      <sheetData sheetId="21216" refreshError="1"/>
      <sheetData sheetId="21217"/>
      <sheetData sheetId="21218"/>
      <sheetData sheetId="21219" refreshError="1"/>
      <sheetData sheetId="21220" refreshError="1"/>
      <sheetData sheetId="21221" refreshError="1"/>
      <sheetData sheetId="21222" refreshError="1"/>
      <sheetData sheetId="21223" refreshError="1"/>
      <sheetData sheetId="21224" refreshError="1"/>
      <sheetData sheetId="21225" refreshError="1"/>
      <sheetData sheetId="21226" refreshError="1"/>
      <sheetData sheetId="21227" refreshError="1"/>
      <sheetData sheetId="21228" refreshError="1"/>
      <sheetData sheetId="21229" refreshError="1"/>
      <sheetData sheetId="21230" refreshError="1"/>
      <sheetData sheetId="21231" refreshError="1"/>
      <sheetData sheetId="21232" refreshError="1"/>
      <sheetData sheetId="21233" refreshError="1"/>
      <sheetData sheetId="21234" refreshError="1"/>
      <sheetData sheetId="21235" refreshError="1"/>
      <sheetData sheetId="21236"/>
      <sheetData sheetId="21237" refreshError="1"/>
      <sheetData sheetId="21238" refreshError="1"/>
      <sheetData sheetId="21239" refreshError="1"/>
      <sheetData sheetId="21240" refreshError="1"/>
      <sheetData sheetId="21241" refreshError="1"/>
      <sheetData sheetId="21242" refreshError="1"/>
      <sheetData sheetId="21243" refreshError="1"/>
      <sheetData sheetId="21244" refreshError="1"/>
      <sheetData sheetId="21245" refreshError="1"/>
      <sheetData sheetId="21246" refreshError="1"/>
      <sheetData sheetId="21247" refreshError="1"/>
      <sheetData sheetId="21248" refreshError="1"/>
      <sheetData sheetId="21249" refreshError="1"/>
      <sheetData sheetId="21250" refreshError="1"/>
      <sheetData sheetId="21251" refreshError="1"/>
      <sheetData sheetId="21252" refreshError="1"/>
      <sheetData sheetId="21253" refreshError="1"/>
      <sheetData sheetId="21254" refreshError="1"/>
      <sheetData sheetId="21255" refreshError="1"/>
      <sheetData sheetId="21256" refreshError="1"/>
      <sheetData sheetId="21257" refreshError="1"/>
      <sheetData sheetId="21258" refreshError="1"/>
      <sheetData sheetId="21259" refreshError="1"/>
      <sheetData sheetId="21260" refreshError="1"/>
      <sheetData sheetId="21261" refreshError="1"/>
      <sheetData sheetId="21262" refreshError="1"/>
      <sheetData sheetId="21263" refreshError="1"/>
      <sheetData sheetId="21264" refreshError="1"/>
      <sheetData sheetId="21265" refreshError="1"/>
      <sheetData sheetId="21266" refreshError="1"/>
      <sheetData sheetId="21267" refreshError="1"/>
      <sheetData sheetId="21268" refreshError="1"/>
      <sheetData sheetId="21269" refreshError="1"/>
      <sheetData sheetId="21270" refreshError="1"/>
      <sheetData sheetId="21271" refreshError="1"/>
      <sheetData sheetId="21272" refreshError="1"/>
      <sheetData sheetId="21273" refreshError="1"/>
      <sheetData sheetId="21274" refreshError="1"/>
      <sheetData sheetId="21275" refreshError="1"/>
      <sheetData sheetId="21276" refreshError="1"/>
      <sheetData sheetId="21277"/>
      <sheetData sheetId="21278"/>
      <sheetData sheetId="21279"/>
      <sheetData sheetId="21280"/>
      <sheetData sheetId="21281"/>
      <sheetData sheetId="21282"/>
      <sheetData sheetId="21283"/>
      <sheetData sheetId="21284"/>
      <sheetData sheetId="21285" refreshError="1"/>
      <sheetData sheetId="21286" refreshError="1"/>
      <sheetData sheetId="21287"/>
      <sheetData sheetId="21288"/>
      <sheetData sheetId="21289"/>
      <sheetData sheetId="21290"/>
      <sheetData sheetId="21291"/>
      <sheetData sheetId="21292"/>
      <sheetData sheetId="21293"/>
      <sheetData sheetId="21294"/>
      <sheetData sheetId="21295"/>
      <sheetData sheetId="21296"/>
      <sheetData sheetId="21297"/>
      <sheetData sheetId="21298"/>
      <sheetData sheetId="21299"/>
      <sheetData sheetId="21300"/>
      <sheetData sheetId="21301"/>
      <sheetData sheetId="21302"/>
      <sheetData sheetId="21303"/>
      <sheetData sheetId="21304"/>
      <sheetData sheetId="21305"/>
      <sheetData sheetId="21306"/>
      <sheetData sheetId="21307"/>
      <sheetData sheetId="21308"/>
      <sheetData sheetId="21309"/>
      <sheetData sheetId="21310"/>
      <sheetData sheetId="21311"/>
      <sheetData sheetId="21312"/>
      <sheetData sheetId="21313"/>
      <sheetData sheetId="21314"/>
      <sheetData sheetId="21315"/>
      <sheetData sheetId="21316"/>
      <sheetData sheetId="21317"/>
      <sheetData sheetId="21318"/>
      <sheetData sheetId="21319"/>
      <sheetData sheetId="21320"/>
      <sheetData sheetId="21321"/>
      <sheetData sheetId="21322"/>
      <sheetData sheetId="21323"/>
      <sheetData sheetId="21324"/>
      <sheetData sheetId="21325"/>
      <sheetData sheetId="21326"/>
      <sheetData sheetId="21327"/>
      <sheetData sheetId="21328"/>
      <sheetData sheetId="21329"/>
      <sheetData sheetId="21330"/>
      <sheetData sheetId="21331"/>
      <sheetData sheetId="21332"/>
      <sheetData sheetId="21333"/>
      <sheetData sheetId="21334"/>
      <sheetData sheetId="21335"/>
      <sheetData sheetId="21336"/>
      <sheetData sheetId="21337"/>
      <sheetData sheetId="21338"/>
      <sheetData sheetId="21339"/>
      <sheetData sheetId="21340"/>
      <sheetData sheetId="21341"/>
      <sheetData sheetId="21342"/>
      <sheetData sheetId="21343"/>
      <sheetData sheetId="21344"/>
      <sheetData sheetId="21345"/>
      <sheetData sheetId="21346"/>
      <sheetData sheetId="21347" refreshError="1"/>
      <sheetData sheetId="21348"/>
      <sheetData sheetId="21349"/>
      <sheetData sheetId="21350"/>
      <sheetData sheetId="21351"/>
      <sheetData sheetId="21352"/>
      <sheetData sheetId="21353"/>
      <sheetData sheetId="21354"/>
      <sheetData sheetId="21355"/>
      <sheetData sheetId="21356"/>
      <sheetData sheetId="21357"/>
      <sheetData sheetId="21358"/>
      <sheetData sheetId="21359" refreshError="1"/>
      <sheetData sheetId="21360" refreshError="1"/>
      <sheetData sheetId="21361"/>
      <sheetData sheetId="21362" refreshError="1"/>
      <sheetData sheetId="21363" refreshError="1"/>
      <sheetData sheetId="21364" refreshError="1"/>
      <sheetData sheetId="21365"/>
      <sheetData sheetId="21366"/>
      <sheetData sheetId="21367"/>
      <sheetData sheetId="21368"/>
      <sheetData sheetId="21369"/>
      <sheetData sheetId="21370"/>
      <sheetData sheetId="21371"/>
      <sheetData sheetId="21372" refreshError="1"/>
      <sheetData sheetId="21373"/>
      <sheetData sheetId="21374" refreshError="1"/>
      <sheetData sheetId="21375"/>
      <sheetData sheetId="21376"/>
      <sheetData sheetId="21377"/>
      <sheetData sheetId="21378"/>
      <sheetData sheetId="21379"/>
      <sheetData sheetId="21380"/>
      <sheetData sheetId="21381"/>
      <sheetData sheetId="21382"/>
      <sheetData sheetId="21383"/>
      <sheetData sheetId="21384"/>
      <sheetData sheetId="21385"/>
      <sheetData sheetId="21386"/>
      <sheetData sheetId="21387" refreshError="1"/>
      <sheetData sheetId="21388"/>
      <sheetData sheetId="21389"/>
      <sheetData sheetId="21390"/>
      <sheetData sheetId="21391"/>
      <sheetData sheetId="21392"/>
      <sheetData sheetId="21393"/>
      <sheetData sheetId="21394"/>
      <sheetData sheetId="21395"/>
      <sheetData sheetId="21396"/>
      <sheetData sheetId="21397"/>
      <sheetData sheetId="21398"/>
      <sheetData sheetId="21399"/>
      <sheetData sheetId="21400"/>
      <sheetData sheetId="21401"/>
      <sheetData sheetId="21402"/>
      <sheetData sheetId="21403"/>
      <sheetData sheetId="21404"/>
      <sheetData sheetId="21405" refreshError="1"/>
      <sheetData sheetId="21406"/>
      <sheetData sheetId="21407"/>
      <sheetData sheetId="21408"/>
      <sheetData sheetId="21409"/>
      <sheetData sheetId="21410"/>
      <sheetData sheetId="21411"/>
      <sheetData sheetId="21412"/>
      <sheetData sheetId="21413"/>
      <sheetData sheetId="21414"/>
      <sheetData sheetId="21415"/>
      <sheetData sheetId="21416"/>
      <sheetData sheetId="21417"/>
      <sheetData sheetId="21418"/>
      <sheetData sheetId="21419"/>
      <sheetData sheetId="21420"/>
      <sheetData sheetId="21421"/>
      <sheetData sheetId="21422"/>
      <sheetData sheetId="21423"/>
      <sheetData sheetId="21424"/>
      <sheetData sheetId="21425"/>
      <sheetData sheetId="21426"/>
      <sheetData sheetId="21427"/>
      <sheetData sheetId="21428"/>
      <sheetData sheetId="21429"/>
      <sheetData sheetId="21430"/>
      <sheetData sheetId="21431"/>
      <sheetData sheetId="21432"/>
      <sheetData sheetId="21433"/>
      <sheetData sheetId="21434"/>
      <sheetData sheetId="21435"/>
      <sheetData sheetId="21436"/>
      <sheetData sheetId="21437"/>
      <sheetData sheetId="21438"/>
      <sheetData sheetId="21439"/>
      <sheetData sheetId="21440"/>
      <sheetData sheetId="21441"/>
      <sheetData sheetId="21442"/>
      <sheetData sheetId="21443"/>
      <sheetData sheetId="21444"/>
      <sheetData sheetId="21445"/>
      <sheetData sheetId="21446"/>
      <sheetData sheetId="21447"/>
      <sheetData sheetId="21448"/>
      <sheetData sheetId="21449"/>
      <sheetData sheetId="21450"/>
      <sheetData sheetId="21451"/>
      <sheetData sheetId="21452"/>
      <sheetData sheetId="21453"/>
      <sheetData sheetId="21454"/>
      <sheetData sheetId="21455"/>
      <sheetData sheetId="21456"/>
      <sheetData sheetId="21457"/>
      <sheetData sheetId="21458" refreshError="1"/>
      <sheetData sheetId="21459" refreshError="1"/>
      <sheetData sheetId="21460" refreshError="1"/>
      <sheetData sheetId="21461" refreshError="1"/>
      <sheetData sheetId="21462" refreshError="1"/>
      <sheetData sheetId="21463" refreshError="1"/>
      <sheetData sheetId="21464" refreshError="1"/>
      <sheetData sheetId="21465" refreshError="1"/>
      <sheetData sheetId="21466" refreshError="1"/>
      <sheetData sheetId="21467" refreshError="1"/>
      <sheetData sheetId="21468" refreshError="1"/>
      <sheetData sheetId="21469" refreshError="1"/>
      <sheetData sheetId="21470" refreshError="1"/>
      <sheetData sheetId="21471"/>
      <sheetData sheetId="21472"/>
      <sheetData sheetId="21473"/>
      <sheetData sheetId="21474"/>
      <sheetData sheetId="21475"/>
      <sheetData sheetId="21476"/>
      <sheetData sheetId="21477"/>
      <sheetData sheetId="21478"/>
      <sheetData sheetId="21479"/>
      <sheetData sheetId="21480"/>
      <sheetData sheetId="21481"/>
      <sheetData sheetId="21482"/>
      <sheetData sheetId="21483"/>
      <sheetData sheetId="21484"/>
      <sheetData sheetId="21485"/>
      <sheetData sheetId="21486"/>
      <sheetData sheetId="21487" refreshError="1"/>
      <sheetData sheetId="21488"/>
      <sheetData sheetId="21489"/>
      <sheetData sheetId="21490"/>
      <sheetData sheetId="21491"/>
      <sheetData sheetId="21492"/>
      <sheetData sheetId="21493"/>
      <sheetData sheetId="21494"/>
      <sheetData sheetId="21495"/>
      <sheetData sheetId="21496"/>
      <sheetData sheetId="21497"/>
      <sheetData sheetId="21498"/>
      <sheetData sheetId="21499"/>
      <sheetData sheetId="21500"/>
      <sheetData sheetId="21501"/>
      <sheetData sheetId="21502"/>
      <sheetData sheetId="21503"/>
      <sheetData sheetId="21504"/>
      <sheetData sheetId="21505"/>
      <sheetData sheetId="21506"/>
      <sheetData sheetId="21507"/>
      <sheetData sheetId="21508"/>
      <sheetData sheetId="21509"/>
      <sheetData sheetId="21510"/>
      <sheetData sheetId="21511"/>
      <sheetData sheetId="21512"/>
      <sheetData sheetId="21513"/>
      <sheetData sheetId="21514"/>
      <sheetData sheetId="21515"/>
      <sheetData sheetId="21516"/>
      <sheetData sheetId="21517"/>
      <sheetData sheetId="21518"/>
      <sheetData sheetId="21519"/>
      <sheetData sheetId="21520"/>
      <sheetData sheetId="21521"/>
      <sheetData sheetId="21522"/>
      <sheetData sheetId="21523"/>
      <sheetData sheetId="21524"/>
      <sheetData sheetId="21525"/>
      <sheetData sheetId="21526"/>
      <sheetData sheetId="21527"/>
      <sheetData sheetId="21528"/>
      <sheetData sheetId="21529"/>
      <sheetData sheetId="21530"/>
      <sheetData sheetId="21531"/>
      <sheetData sheetId="21532"/>
      <sheetData sheetId="21533" refreshError="1"/>
      <sheetData sheetId="21534"/>
      <sheetData sheetId="21535"/>
      <sheetData sheetId="21536"/>
      <sheetData sheetId="21537"/>
      <sheetData sheetId="21538"/>
      <sheetData sheetId="21539"/>
      <sheetData sheetId="21540"/>
      <sheetData sheetId="21541"/>
      <sheetData sheetId="21542" refreshError="1"/>
      <sheetData sheetId="21543" refreshError="1"/>
      <sheetData sheetId="21544" refreshError="1"/>
      <sheetData sheetId="21545" refreshError="1"/>
      <sheetData sheetId="21546" refreshError="1"/>
      <sheetData sheetId="21547" refreshError="1"/>
      <sheetData sheetId="21548" refreshError="1"/>
      <sheetData sheetId="21549" refreshError="1"/>
      <sheetData sheetId="21550" refreshError="1"/>
      <sheetData sheetId="21551" refreshError="1"/>
      <sheetData sheetId="21552" refreshError="1"/>
      <sheetData sheetId="21553" refreshError="1"/>
      <sheetData sheetId="21554" refreshError="1"/>
      <sheetData sheetId="21555" refreshError="1"/>
      <sheetData sheetId="21556" refreshError="1"/>
      <sheetData sheetId="21557" refreshError="1"/>
      <sheetData sheetId="21558" refreshError="1"/>
      <sheetData sheetId="21559" refreshError="1"/>
      <sheetData sheetId="21560" refreshError="1"/>
      <sheetData sheetId="21561"/>
      <sheetData sheetId="21562" refreshError="1"/>
      <sheetData sheetId="21563" refreshError="1"/>
      <sheetData sheetId="21564" refreshError="1"/>
      <sheetData sheetId="21565" refreshError="1"/>
      <sheetData sheetId="21566" refreshError="1"/>
      <sheetData sheetId="21567"/>
      <sheetData sheetId="21568" refreshError="1"/>
      <sheetData sheetId="21569" refreshError="1"/>
      <sheetData sheetId="21570" refreshError="1"/>
      <sheetData sheetId="21571"/>
      <sheetData sheetId="21572"/>
      <sheetData sheetId="21573" refreshError="1"/>
      <sheetData sheetId="21574"/>
      <sheetData sheetId="21575"/>
      <sheetData sheetId="21576"/>
      <sheetData sheetId="21577"/>
      <sheetData sheetId="21578"/>
      <sheetData sheetId="21579"/>
      <sheetData sheetId="21580"/>
      <sheetData sheetId="21581"/>
      <sheetData sheetId="21582"/>
      <sheetData sheetId="21583"/>
      <sheetData sheetId="21584"/>
      <sheetData sheetId="21585"/>
      <sheetData sheetId="21586"/>
      <sheetData sheetId="21587"/>
      <sheetData sheetId="21588" refreshError="1"/>
      <sheetData sheetId="21589" refreshError="1"/>
      <sheetData sheetId="21590" refreshError="1"/>
      <sheetData sheetId="21591" refreshError="1"/>
      <sheetData sheetId="21592" refreshError="1"/>
      <sheetData sheetId="21593" refreshError="1"/>
      <sheetData sheetId="21594" refreshError="1"/>
      <sheetData sheetId="21595" refreshError="1"/>
      <sheetData sheetId="21596" refreshError="1"/>
      <sheetData sheetId="21597" refreshError="1"/>
      <sheetData sheetId="21598" refreshError="1"/>
      <sheetData sheetId="21599" refreshError="1"/>
      <sheetData sheetId="21600" refreshError="1"/>
      <sheetData sheetId="21601" refreshError="1"/>
      <sheetData sheetId="21602" refreshError="1"/>
      <sheetData sheetId="21603" refreshError="1"/>
      <sheetData sheetId="21604" refreshError="1"/>
      <sheetData sheetId="21605" refreshError="1"/>
      <sheetData sheetId="21606"/>
      <sheetData sheetId="21607"/>
      <sheetData sheetId="21608"/>
      <sheetData sheetId="21609"/>
      <sheetData sheetId="21610"/>
      <sheetData sheetId="21611"/>
      <sheetData sheetId="21612"/>
      <sheetData sheetId="21613"/>
      <sheetData sheetId="21614"/>
      <sheetData sheetId="21615"/>
      <sheetData sheetId="21616"/>
      <sheetData sheetId="21617"/>
      <sheetData sheetId="21618"/>
      <sheetData sheetId="21619"/>
      <sheetData sheetId="21620"/>
      <sheetData sheetId="21621"/>
      <sheetData sheetId="21622"/>
      <sheetData sheetId="21623" refreshError="1"/>
      <sheetData sheetId="21624" refreshError="1"/>
      <sheetData sheetId="21625" refreshError="1"/>
      <sheetData sheetId="21626"/>
      <sheetData sheetId="21627"/>
      <sheetData sheetId="21628"/>
      <sheetData sheetId="21629"/>
      <sheetData sheetId="21630"/>
      <sheetData sheetId="21631"/>
      <sheetData sheetId="21632"/>
      <sheetData sheetId="21633"/>
      <sheetData sheetId="21634"/>
      <sheetData sheetId="21635"/>
      <sheetData sheetId="21636"/>
      <sheetData sheetId="21637"/>
      <sheetData sheetId="21638"/>
      <sheetData sheetId="21639"/>
      <sheetData sheetId="21640"/>
      <sheetData sheetId="21641"/>
      <sheetData sheetId="21642"/>
      <sheetData sheetId="21643"/>
      <sheetData sheetId="21644"/>
      <sheetData sheetId="21645"/>
      <sheetData sheetId="21646"/>
      <sheetData sheetId="21647"/>
      <sheetData sheetId="21648"/>
      <sheetData sheetId="21649"/>
      <sheetData sheetId="21650"/>
      <sheetData sheetId="21651"/>
      <sheetData sheetId="21652"/>
      <sheetData sheetId="21653"/>
      <sheetData sheetId="21654"/>
      <sheetData sheetId="21655"/>
      <sheetData sheetId="21656"/>
      <sheetData sheetId="21657"/>
      <sheetData sheetId="21658"/>
      <sheetData sheetId="21659"/>
      <sheetData sheetId="21660"/>
      <sheetData sheetId="21661"/>
      <sheetData sheetId="21662"/>
      <sheetData sheetId="21663"/>
      <sheetData sheetId="21664"/>
      <sheetData sheetId="21665"/>
      <sheetData sheetId="21666"/>
      <sheetData sheetId="21667"/>
      <sheetData sheetId="21668"/>
      <sheetData sheetId="21669"/>
      <sheetData sheetId="21670"/>
      <sheetData sheetId="21671"/>
      <sheetData sheetId="21672"/>
      <sheetData sheetId="21673"/>
      <sheetData sheetId="21674"/>
      <sheetData sheetId="21675"/>
      <sheetData sheetId="21676"/>
      <sheetData sheetId="21677"/>
      <sheetData sheetId="21678"/>
      <sheetData sheetId="21679"/>
      <sheetData sheetId="21680"/>
      <sheetData sheetId="21681"/>
      <sheetData sheetId="21682"/>
      <sheetData sheetId="21683"/>
      <sheetData sheetId="21684"/>
      <sheetData sheetId="21685"/>
      <sheetData sheetId="21686"/>
      <sheetData sheetId="21687"/>
      <sheetData sheetId="21688"/>
      <sheetData sheetId="21689"/>
      <sheetData sheetId="21690"/>
      <sheetData sheetId="21691"/>
      <sheetData sheetId="21692"/>
      <sheetData sheetId="21693"/>
      <sheetData sheetId="21694"/>
      <sheetData sheetId="21695"/>
      <sheetData sheetId="21696"/>
      <sheetData sheetId="21697"/>
      <sheetData sheetId="21698"/>
      <sheetData sheetId="21699"/>
      <sheetData sheetId="21700"/>
      <sheetData sheetId="21701"/>
      <sheetData sheetId="21702"/>
      <sheetData sheetId="21703"/>
      <sheetData sheetId="21704"/>
      <sheetData sheetId="21705"/>
      <sheetData sheetId="21706"/>
      <sheetData sheetId="21707"/>
      <sheetData sheetId="21708"/>
      <sheetData sheetId="21709"/>
      <sheetData sheetId="21710"/>
      <sheetData sheetId="21711"/>
      <sheetData sheetId="21712"/>
      <sheetData sheetId="21713"/>
      <sheetData sheetId="21714"/>
      <sheetData sheetId="21715"/>
      <sheetData sheetId="21716"/>
      <sheetData sheetId="21717"/>
      <sheetData sheetId="21718"/>
      <sheetData sheetId="21719"/>
      <sheetData sheetId="21720"/>
      <sheetData sheetId="21721"/>
      <sheetData sheetId="21722"/>
      <sheetData sheetId="21723"/>
      <sheetData sheetId="21724"/>
      <sheetData sheetId="21725"/>
      <sheetData sheetId="21726"/>
      <sheetData sheetId="21727"/>
      <sheetData sheetId="21728"/>
      <sheetData sheetId="21729"/>
      <sheetData sheetId="21730"/>
      <sheetData sheetId="21731"/>
      <sheetData sheetId="21732"/>
      <sheetData sheetId="21733"/>
      <sheetData sheetId="21734"/>
      <sheetData sheetId="21735"/>
      <sheetData sheetId="21736"/>
      <sheetData sheetId="21737"/>
      <sheetData sheetId="21738"/>
      <sheetData sheetId="21739"/>
      <sheetData sheetId="21740"/>
      <sheetData sheetId="21741"/>
      <sheetData sheetId="21742"/>
      <sheetData sheetId="21743"/>
      <sheetData sheetId="21744"/>
      <sheetData sheetId="21745"/>
      <sheetData sheetId="21746"/>
      <sheetData sheetId="21747"/>
      <sheetData sheetId="21748"/>
      <sheetData sheetId="21749"/>
      <sheetData sheetId="21750"/>
      <sheetData sheetId="21751"/>
      <sheetData sheetId="21752"/>
      <sheetData sheetId="21753"/>
      <sheetData sheetId="21754"/>
      <sheetData sheetId="21755"/>
      <sheetData sheetId="21756"/>
      <sheetData sheetId="21757"/>
      <sheetData sheetId="21758"/>
      <sheetData sheetId="21759"/>
      <sheetData sheetId="21760"/>
      <sheetData sheetId="21761"/>
      <sheetData sheetId="21762"/>
      <sheetData sheetId="21763"/>
      <sheetData sheetId="21764"/>
      <sheetData sheetId="21765"/>
      <sheetData sheetId="21766"/>
      <sheetData sheetId="21767"/>
      <sheetData sheetId="21768"/>
      <sheetData sheetId="21769"/>
      <sheetData sheetId="21770"/>
      <sheetData sheetId="21771"/>
      <sheetData sheetId="21772"/>
      <sheetData sheetId="21773"/>
      <sheetData sheetId="21774"/>
      <sheetData sheetId="21775"/>
      <sheetData sheetId="21776"/>
      <sheetData sheetId="21777"/>
      <sheetData sheetId="21778"/>
      <sheetData sheetId="21779"/>
      <sheetData sheetId="21780"/>
      <sheetData sheetId="21781"/>
      <sheetData sheetId="21782"/>
      <sheetData sheetId="21783"/>
      <sheetData sheetId="21784"/>
      <sheetData sheetId="21785"/>
      <sheetData sheetId="21786"/>
      <sheetData sheetId="21787"/>
      <sheetData sheetId="21788"/>
      <sheetData sheetId="21789"/>
      <sheetData sheetId="21790"/>
      <sheetData sheetId="21791"/>
      <sheetData sheetId="21792"/>
      <sheetData sheetId="21793"/>
      <sheetData sheetId="21794"/>
      <sheetData sheetId="21795"/>
      <sheetData sheetId="21796"/>
      <sheetData sheetId="21797"/>
      <sheetData sheetId="21798"/>
      <sheetData sheetId="21799"/>
      <sheetData sheetId="21800"/>
      <sheetData sheetId="21801"/>
      <sheetData sheetId="21802"/>
      <sheetData sheetId="21803"/>
      <sheetData sheetId="21804"/>
      <sheetData sheetId="21805"/>
      <sheetData sheetId="21806"/>
      <sheetData sheetId="21807"/>
      <sheetData sheetId="21808"/>
      <sheetData sheetId="21809"/>
      <sheetData sheetId="21810"/>
      <sheetData sheetId="21811"/>
      <sheetData sheetId="21812"/>
      <sheetData sheetId="21813"/>
      <sheetData sheetId="21814"/>
      <sheetData sheetId="21815"/>
      <sheetData sheetId="21816"/>
      <sheetData sheetId="21817"/>
      <sheetData sheetId="21818"/>
      <sheetData sheetId="21819"/>
      <sheetData sheetId="21820"/>
      <sheetData sheetId="21821"/>
      <sheetData sheetId="21822"/>
      <sheetData sheetId="21823"/>
      <sheetData sheetId="21824"/>
      <sheetData sheetId="21825"/>
      <sheetData sheetId="21826"/>
      <sheetData sheetId="21827"/>
      <sheetData sheetId="21828"/>
      <sheetData sheetId="21829"/>
      <sheetData sheetId="21830"/>
      <sheetData sheetId="21831"/>
      <sheetData sheetId="21832"/>
      <sheetData sheetId="21833"/>
      <sheetData sheetId="21834"/>
      <sheetData sheetId="21835"/>
      <sheetData sheetId="21836"/>
      <sheetData sheetId="21837"/>
      <sheetData sheetId="21838"/>
      <sheetData sheetId="21839"/>
      <sheetData sheetId="21840"/>
      <sheetData sheetId="21841"/>
      <sheetData sheetId="21842"/>
      <sheetData sheetId="21843"/>
      <sheetData sheetId="21844"/>
      <sheetData sheetId="21845"/>
      <sheetData sheetId="21846"/>
      <sheetData sheetId="21847"/>
      <sheetData sheetId="21848"/>
      <sheetData sheetId="21849"/>
      <sheetData sheetId="21850"/>
      <sheetData sheetId="21851"/>
      <sheetData sheetId="21852"/>
      <sheetData sheetId="21853"/>
      <sheetData sheetId="21854"/>
      <sheetData sheetId="21855"/>
      <sheetData sheetId="21856"/>
      <sheetData sheetId="21857"/>
      <sheetData sheetId="21858"/>
      <sheetData sheetId="21859"/>
      <sheetData sheetId="21860"/>
      <sheetData sheetId="21861"/>
      <sheetData sheetId="21862"/>
      <sheetData sheetId="21863"/>
      <sheetData sheetId="21864"/>
      <sheetData sheetId="21865"/>
      <sheetData sheetId="21866"/>
      <sheetData sheetId="21867"/>
      <sheetData sheetId="21868"/>
      <sheetData sheetId="21869"/>
      <sheetData sheetId="21870"/>
      <sheetData sheetId="21871"/>
      <sheetData sheetId="21872"/>
      <sheetData sheetId="21873"/>
      <sheetData sheetId="21874"/>
      <sheetData sheetId="21875"/>
      <sheetData sheetId="21876"/>
      <sheetData sheetId="21877"/>
      <sheetData sheetId="21878"/>
      <sheetData sheetId="21879"/>
      <sheetData sheetId="21880"/>
      <sheetData sheetId="21881"/>
      <sheetData sheetId="21882"/>
      <sheetData sheetId="21883"/>
      <sheetData sheetId="21884"/>
      <sheetData sheetId="21885"/>
      <sheetData sheetId="21886"/>
      <sheetData sheetId="21887"/>
      <sheetData sheetId="21888"/>
      <sheetData sheetId="21889"/>
      <sheetData sheetId="21890"/>
      <sheetData sheetId="21891"/>
      <sheetData sheetId="21892"/>
      <sheetData sheetId="21893"/>
      <sheetData sheetId="21894"/>
      <sheetData sheetId="21895"/>
      <sheetData sheetId="21896"/>
      <sheetData sheetId="21897"/>
      <sheetData sheetId="21898"/>
      <sheetData sheetId="21899"/>
      <sheetData sheetId="21900"/>
      <sheetData sheetId="21901"/>
      <sheetData sheetId="21902"/>
      <sheetData sheetId="21903"/>
      <sheetData sheetId="21904"/>
      <sheetData sheetId="21905"/>
      <sheetData sheetId="21906"/>
      <sheetData sheetId="21907"/>
      <sheetData sheetId="21908"/>
      <sheetData sheetId="21909"/>
      <sheetData sheetId="21910"/>
      <sheetData sheetId="21911"/>
      <sheetData sheetId="21912"/>
      <sheetData sheetId="21913"/>
      <sheetData sheetId="21914"/>
      <sheetData sheetId="21915"/>
      <sheetData sheetId="21916"/>
      <sheetData sheetId="21917"/>
      <sheetData sheetId="21918"/>
      <sheetData sheetId="21919"/>
      <sheetData sheetId="21920"/>
      <sheetData sheetId="21921"/>
      <sheetData sheetId="21922"/>
      <sheetData sheetId="21923"/>
      <sheetData sheetId="21924"/>
      <sheetData sheetId="21925"/>
      <sheetData sheetId="21926"/>
      <sheetData sheetId="21927"/>
      <sheetData sheetId="21928"/>
      <sheetData sheetId="21929"/>
      <sheetData sheetId="21930"/>
      <sheetData sheetId="21931"/>
      <sheetData sheetId="21932"/>
      <sheetData sheetId="21933"/>
      <sheetData sheetId="21934"/>
      <sheetData sheetId="21935"/>
      <sheetData sheetId="21936"/>
      <sheetData sheetId="21937"/>
      <sheetData sheetId="21938"/>
      <sheetData sheetId="21939"/>
      <sheetData sheetId="21940"/>
      <sheetData sheetId="21941"/>
      <sheetData sheetId="21942"/>
      <sheetData sheetId="21943"/>
      <sheetData sheetId="21944"/>
      <sheetData sheetId="21945"/>
      <sheetData sheetId="21946"/>
      <sheetData sheetId="21947"/>
      <sheetData sheetId="21948"/>
      <sheetData sheetId="21949"/>
      <sheetData sheetId="21950"/>
      <sheetData sheetId="21951"/>
      <sheetData sheetId="21952"/>
      <sheetData sheetId="21953"/>
      <sheetData sheetId="21954"/>
      <sheetData sheetId="21955"/>
      <sheetData sheetId="21956"/>
      <sheetData sheetId="21957"/>
      <sheetData sheetId="21958"/>
      <sheetData sheetId="21959"/>
      <sheetData sheetId="21960"/>
      <sheetData sheetId="21961"/>
      <sheetData sheetId="21962"/>
      <sheetData sheetId="21963"/>
      <sheetData sheetId="21964"/>
      <sheetData sheetId="21965"/>
      <sheetData sheetId="21966"/>
      <sheetData sheetId="21967"/>
      <sheetData sheetId="21968"/>
      <sheetData sheetId="21969"/>
      <sheetData sheetId="21970"/>
      <sheetData sheetId="21971"/>
      <sheetData sheetId="21972"/>
      <sheetData sheetId="21973"/>
      <sheetData sheetId="21974"/>
      <sheetData sheetId="21975"/>
      <sheetData sheetId="21976"/>
      <sheetData sheetId="21977"/>
      <sheetData sheetId="21978"/>
      <sheetData sheetId="21979"/>
      <sheetData sheetId="21980"/>
      <sheetData sheetId="21981"/>
      <sheetData sheetId="21982"/>
      <sheetData sheetId="21983"/>
      <sheetData sheetId="21984"/>
      <sheetData sheetId="21985"/>
      <sheetData sheetId="21986"/>
      <sheetData sheetId="21987"/>
      <sheetData sheetId="21988"/>
      <sheetData sheetId="21989"/>
      <sheetData sheetId="21990"/>
      <sheetData sheetId="21991"/>
      <sheetData sheetId="21992"/>
      <sheetData sheetId="21993"/>
      <sheetData sheetId="21994"/>
      <sheetData sheetId="21995"/>
      <sheetData sheetId="21996"/>
      <sheetData sheetId="21997"/>
      <sheetData sheetId="21998"/>
      <sheetData sheetId="21999"/>
      <sheetData sheetId="22000"/>
      <sheetData sheetId="22001"/>
      <sheetData sheetId="22002"/>
      <sheetData sheetId="22003"/>
      <sheetData sheetId="22004"/>
      <sheetData sheetId="22005"/>
      <sheetData sheetId="22006"/>
      <sheetData sheetId="22007"/>
      <sheetData sheetId="22008"/>
      <sheetData sheetId="22009"/>
      <sheetData sheetId="22010"/>
      <sheetData sheetId="22011"/>
      <sheetData sheetId="22012"/>
      <sheetData sheetId="22013"/>
      <sheetData sheetId="22014"/>
      <sheetData sheetId="22015"/>
      <sheetData sheetId="22016"/>
      <sheetData sheetId="22017"/>
      <sheetData sheetId="22018"/>
      <sheetData sheetId="22019"/>
      <sheetData sheetId="22020"/>
      <sheetData sheetId="22021"/>
      <sheetData sheetId="22022"/>
      <sheetData sheetId="22023"/>
      <sheetData sheetId="22024"/>
      <sheetData sheetId="22025"/>
      <sheetData sheetId="22026"/>
      <sheetData sheetId="22027"/>
      <sheetData sheetId="22028"/>
      <sheetData sheetId="22029"/>
      <sheetData sheetId="22030"/>
      <sheetData sheetId="22031"/>
      <sheetData sheetId="22032"/>
      <sheetData sheetId="22033"/>
      <sheetData sheetId="22034"/>
      <sheetData sheetId="22035"/>
      <sheetData sheetId="22036"/>
      <sheetData sheetId="22037"/>
      <sheetData sheetId="22038"/>
      <sheetData sheetId="22039"/>
      <sheetData sheetId="22040"/>
      <sheetData sheetId="22041"/>
      <sheetData sheetId="22042"/>
      <sheetData sheetId="22043"/>
      <sheetData sheetId="22044"/>
      <sheetData sheetId="22045"/>
      <sheetData sheetId="22046"/>
      <sheetData sheetId="22047"/>
      <sheetData sheetId="22048"/>
      <sheetData sheetId="22049"/>
      <sheetData sheetId="22050"/>
      <sheetData sheetId="22051"/>
      <sheetData sheetId="22052"/>
      <sheetData sheetId="22053"/>
      <sheetData sheetId="22054"/>
      <sheetData sheetId="22055"/>
      <sheetData sheetId="22056"/>
      <sheetData sheetId="22057"/>
      <sheetData sheetId="22058"/>
      <sheetData sheetId="22059"/>
      <sheetData sheetId="22060"/>
      <sheetData sheetId="22061"/>
      <sheetData sheetId="22062"/>
      <sheetData sheetId="22063"/>
      <sheetData sheetId="22064"/>
      <sheetData sheetId="22065"/>
      <sheetData sheetId="22066"/>
      <sheetData sheetId="22067"/>
      <sheetData sheetId="22068"/>
      <sheetData sheetId="22069"/>
      <sheetData sheetId="22070"/>
      <sheetData sheetId="22071"/>
      <sheetData sheetId="22072"/>
      <sheetData sheetId="22073"/>
      <sheetData sheetId="22074"/>
      <sheetData sheetId="22075"/>
      <sheetData sheetId="22076"/>
      <sheetData sheetId="22077"/>
      <sheetData sheetId="22078"/>
      <sheetData sheetId="22079"/>
      <sheetData sheetId="22080"/>
      <sheetData sheetId="22081"/>
      <sheetData sheetId="22082"/>
      <sheetData sheetId="22083"/>
      <sheetData sheetId="22084"/>
      <sheetData sheetId="22085"/>
      <sheetData sheetId="22086"/>
      <sheetData sheetId="22087"/>
      <sheetData sheetId="22088"/>
      <sheetData sheetId="22089"/>
      <sheetData sheetId="22090"/>
      <sheetData sheetId="22091"/>
      <sheetData sheetId="22092"/>
      <sheetData sheetId="22093"/>
      <sheetData sheetId="22094" refreshError="1"/>
      <sheetData sheetId="22095" refreshError="1"/>
      <sheetData sheetId="22096" refreshError="1"/>
      <sheetData sheetId="22097"/>
      <sheetData sheetId="22098"/>
      <sheetData sheetId="22099"/>
      <sheetData sheetId="22100"/>
      <sheetData sheetId="22101"/>
      <sheetData sheetId="22102"/>
      <sheetData sheetId="22103"/>
      <sheetData sheetId="22104"/>
      <sheetData sheetId="22105"/>
      <sheetData sheetId="22106"/>
      <sheetData sheetId="22107"/>
      <sheetData sheetId="22108"/>
      <sheetData sheetId="22109"/>
      <sheetData sheetId="22110"/>
      <sheetData sheetId="22111"/>
      <sheetData sheetId="22112"/>
      <sheetData sheetId="22113"/>
      <sheetData sheetId="22114"/>
      <sheetData sheetId="22115"/>
      <sheetData sheetId="22116"/>
      <sheetData sheetId="22117"/>
      <sheetData sheetId="22118"/>
      <sheetData sheetId="22119"/>
      <sheetData sheetId="22120"/>
      <sheetData sheetId="22121"/>
      <sheetData sheetId="22122"/>
      <sheetData sheetId="22123"/>
      <sheetData sheetId="22124"/>
      <sheetData sheetId="22125"/>
      <sheetData sheetId="22126"/>
      <sheetData sheetId="22127"/>
      <sheetData sheetId="22128"/>
      <sheetData sheetId="22129"/>
      <sheetData sheetId="22130"/>
      <sheetData sheetId="22131"/>
      <sheetData sheetId="22132"/>
      <sheetData sheetId="22133"/>
      <sheetData sheetId="22134"/>
      <sheetData sheetId="22135"/>
      <sheetData sheetId="22136"/>
      <sheetData sheetId="22137"/>
      <sheetData sheetId="22138"/>
      <sheetData sheetId="22139"/>
      <sheetData sheetId="22140"/>
      <sheetData sheetId="22141"/>
      <sheetData sheetId="22142"/>
      <sheetData sheetId="22143"/>
      <sheetData sheetId="22144"/>
      <sheetData sheetId="22145"/>
      <sheetData sheetId="22146"/>
      <sheetData sheetId="22147"/>
      <sheetData sheetId="22148"/>
      <sheetData sheetId="22149"/>
      <sheetData sheetId="22150"/>
      <sheetData sheetId="22151"/>
      <sheetData sheetId="22152"/>
      <sheetData sheetId="22153"/>
      <sheetData sheetId="22154"/>
      <sheetData sheetId="22155"/>
      <sheetData sheetId="22156"/>
      <sheetData sheetId="22157"/>
      <sheetData sheetId="22158"/>
      <sheetData sheetId="22159"/>
      <sheetData sheetId="22160"/>
      <sheetData sheetId="22161"/>
      <sheetData sheetId="22162"/>
      <sheetData sheetId="22163"/>
      <sheetData sheetId="22164"/>
      <sheetData sheetId="22165"/>
      <sheetData sheetId="22166"/>
      <sheetData sheetId="22167"/>
      <sheetData sheetId="22168"/>
      <sheetData sheetId="22169"/>
      <sheetData sheetId="22170"/>
      <sheetData sheetId="22171"/>
      <sheetData sheetId="22172"/>
      <sheetData sheetId="22173"/>
      <sheetData sheetId="22174"/>
      <sheetData sheetId="22175"/>
      <sheetData sheetId="22176"/>
      <sheetData sheetId="22177"/>
      <sheetData sheetId="22178"/>
      <sheetData sheetId="22179"/>
      <sheetData sheetId="22180"/>
      <sheetData sheetId="22181"/>
      <sheetData sheetId="22182"/>
      <sheetData sheetId="22183"/>
      <sheetData sheetId="22184"/>
      <sheetData sheetId="22185"/>
      <sheetData sheetId="22186"/>
      <sheetData sheetId="22187"/>
      <sheetData sheetId="22188"/>
      <sheetData sheetId="22189"/>
      <sheetData sheetId="22190"/>
      <sheetData sheetId="22191"/>
      <sheetData sheetId="22192"/>
      <sheetData sheetId="22193"/>
      <sheetData sheetId="22194"/>
      <sheetData sheetId="22195"/>
      <sheetData sheetId="22196"/>
      <sheetData sheetId="22197"/>
      <sheetData sheetId="22198"/>
      <sheetData sheetId="22199"/>
      <sheetData sheetId="22200"/>
      <sheetData sheetId="22201"/>
      <sheetData sheetId="22202"/>
      <sheetData sheetId="22203"/>
      <sheetData sheetId="22204"/>
      <sheetData sheetId="22205"/>
      <sheetData sheetId="22206"/>
      <sheetData sheetId="22207"/>
      <sheetData sheetId="22208"/>
      <sheetData sheetId="22209"/>
      <sheetData sheetId="22210"/>
      <sheetData sheetId="22211"/>
      <sheetData sheetId="22212"/>
      <sheetData sheetId="22213"/>
      <sheetData sheetId="22214"/>
      <sheetData sheetId="22215"/>
      <sheetData sheetId="22216"/>
      <sheetData sheetId="22217"/>
      <sheetData sheetId="22218"/>
      <sheetData sheetId="22219"/>
      <sheetData sheetId="22220"/>
      <sheetData sheetId="22221"/>
      <sheetData sheetId="22222"/>
      <sheetData sheetId="22223"/>
      <sheetData sheetId="22224"/>
      <sheetData sheetId="22225"/>
      <sheetData sheetId="22226"/>
      <sheetData sheetId="22227"/>
      <sheetData sheetId="22228"/>
      <sheetData sheetId="22229"/>
      <sheetData sheetId="22230"/>
      <sheetData sheetId="22231"/>
      <sheetData sheetId="22232"/>
      <sheetData sheetId="22233"/>
      <sheetData sheetId="22234"/>
      <sheetData sheetId="22235"/>
      <sheetData sheetId="22236"/>
      <sheetData sheetId="22237"/>
      <sheetData sheetId="22238"/>
      <sheetData sheetId="22239"/>
      <sheetData sheetId="22240"/>
      <sheetData sheetId="22241"/>
      <sheetData sheetId="22242"/>
      <sheetData sheetId="22243"/>
      <sheetData sheetId="22244"/>
      <sheetData sheetId="22245"/>
      <sheetData sheetId="22246"/>
      <sheetData sheetId="22247"/>
      <sheetData sheetId="22248"/>
      <sheetData sheetId="22249" refreshError="1"/>
      <sheetData sheetId="22250" refreshError="1"/>
      <sheetData sheetId="22251" refreshError="1"/>
      <sheetData sheetId="22252" refreshError="1"/>
      <sheetData sheetId="22253" refreshError="1"/>
      <sheetData sheetId="22254" refreshError="1"/>
      <sheetData sheetId="22255" refreshError="1"/>
      <sheetData sheetId="22256" refreshError="1"/>
      <sheetData sheetId="22257" refreshError="1"/>
      <sheetData sheetId="22258" refreshError="1"/>
      <sheetData sheetId="22259"/>
      <sheetData sheetId="22260"/>
      <sheetData sheetId="22261"/>
      <sheetData sheetId="22262"/>
      <sheetData sheetId="22263"/>
      <sheetData sheetId="22264"/>
      <sheetData sheetId="22265"/>
      <sheetData sheetId="22266"/>
      <sheetData sheetId="22267"/>
      <sheetData sheetId="22268"/>
      <sheetData sheetId="22269"/>
      <sheetData sheetId="22270"/>
      <sheetData sheetId="22271"/>
      <sheetData sheetId="22272"/>
      <sheetData sheetId="22273"/>
      <sheetData sheetId="22274"/>
      <sheetData sheetId="22275"/>
      <sheetData sheetId="22276"/>
      <sheetData sheetId="22277"/>
      <sheetData sheetId="22278"/>
      <sheetData sheetId="22279"/>
      <sheetData sheetId="22280"/>
      <sheetData sheetId="22281"/>
      <sheetData sheetId="22282"/>
      <sheetData sheetId="22283"/>
      <sheetData sheetId="22284"/>
      <sheetData sheetId="22285"/>
      <sheetData sheetId="22286"/>
      <sheetData sheetId="22287"/>
      <sheetData sheetId="22288"/>
      <sheetData sheetId="22289"/>
      <sheetData sheetId="22290"/>
      <sheetData sheetId="22291"/>
      <sheetData sheetId="22292"/>
      <sheetData sheetId="22293"/>
      <sheetData sheetId="22294"/>
      <sheetData sheetId="22295"/>
      <sheetData sheetId="22296"/>
      <sheetData sheetId="22297"/>
      <sheetData sheetId="22298"/>
      <sheetData sheetId="22299"/>
      <sheetData sheetId="22300"/>
      <sheetData sheetId="22301"/>
      <sheetData sheetId="22302"/>
      <sheetData sheetId="22303"/>
      <sheetData sheetId="22304"/>
      <sheetData sheetId="22305"/>
      <sheetData sheetId="22306"/>
      <sheetData sheetId="22307"/>
      <sheetData sheetId="22308"/>
      <sheetData sheetId="22309"/>
      <sheetData sheetId="22310"/>
      <sheetData sheetId="22311"/>
      <sheetData sheetId="22312"/>
      <sheetData sheetId="22313"/>
      <sheetData sheetId="22314"/>
      <sheetData sheetId="22315"/>
      <sheetData sheetId="22316"/>
      <sheetData sheetId="22317"/>
      <sheetData sheetId="22318"/>
      <sheetData sheetId="22319"/>
      <sheetData sheetId="22320"/>
      <sheetData sheetId="22321"/>
      <sheetData sheetId="22322"/>
      <sheetData sheetId="22323"/>
      <sheetData sheetId="22324"/>
      <sheetData sheetId="22325"/>
      <sheetData sheetId="22326"/>
      <sheetData sheetId="22327"/>
      <sheetData sheetId="22328"/>
      <sheetData sheetId="22329"/>
      <sheetData sheetId="22330"/>
      <sheetData sheetId="22331"/>
      <sheetData sheetId="22332"/>
      <sheetData sheetId="22333"/>
      <sheetData sheetId="22334"/>
      <sheetData sheetId="22335"/>
      <sheetData sheetId="22336"/>
      <sheetData sheetId="22337"/>
      <sheetData sheetId="22338"/>
      <sheetData sheetId="22339"/>
      <sheetData sheetId="22340"/>
      <sheetData sheetId="22341"/>
      <sheetData sheetId="22342"/>
      <sheetData sheetId="22343"/>
      <sheetData sheetId="22344"/>
      <sheetData sheetId="22345"/>
      <sheetData sheetId="22346"/>
      <sheetData sheetId="22347"/>
      <sheetData sheetId="22348"/>
      <sheetData sheetId="22349"/>
      <sheetData sheetId="22350"/>
      <sheetData sheetId="22351"/>
      <sheetData sheetId="22352"/>
      <sheetData sheetId="22353"/>
      <sheetData sheetId="22354"/>
      <sheetData sheetId="22355"/>
      <sheetData sheetId="22356"/>
      <sheetData sheetId="22357"/>
      <sheetData sheetId="22358"/>
      <sheetData sheetId="22359"/>
      <sheetData sheetId="22360"/>
      <sheetData sheetId="22361"/>
      <sheetData sheetId="22362"/>
      <sheetData sheetId="22363"/>
      <sheetData sheetId="22364"/>
      <sheetData sheetId="22365"/>
      <sheetData sheetId="22366"/>
      <sheetData sheetId="22367"/>
      <sheetData sheetId="22368"/>
      <sheetData sheetId="22369"/>
      <sheetData sheetId="22370"/>
      <sheetData sheetId="22371"/>
      <sheetData sheetId="22372"/>
      <sheetData sheetId="22373"/>
      <sheetData sheetId="22374"/>
      <sheetData sheetId="22375"/>
      <sheetData sheetId="22376"/>
      <sheetData sheetId="22377"/>
      <sheetData sheetId="22378"/>
      <sheetData sheetId="22379"/>
      <sheetData sheetId="22380"/>
      <sheetData sheetId="22381"/>
      <sheetData sheetId="22382"/>
      <sheetData sheetId="22383"/>
      <sheetData sheetId="22384"/>
      <sheetData sheetId="22385"/>
      <sheetData sheetId="22386"/>
      <sheetData sheetId="22387"/>
      <sheetData sheetId="22388"/>
      <sheetData sheetId="22389"/>
      <sheetData sheetId="22390"/>
      <sheetData sheetId="22391"/>
      <sheetData sheetId="22392"/>
      <sheetData sheetId="22393"/>
      <sheetData sheetId="22394"/>
      <sheetData sheetId="22395"/>
      <sheetData sheetId="22396"/>
      <sheetData sheetId="22397"/>
      <sheetData sheetId="22398"/>
      <sheetData sheetId="22399"/>
      <sheetData sheetId="22400"/>
      <sheetData sheetId="22401"/>
      <sheetData sheetId="22402"/>
      <sheetData sheetId="22403"/>
      <sheetData sheetId="22404"/>
      <sheetData sheetId="22405"/>
      <sheetData sheetId="22406"/>
      <sheetData sheetId="22407"/>
      <sheetData sheetId="22408"/>
      <sheetData sheetId="22409"/>
      <sheetData sheetId="22410"/>
      <sheetData sheetId="22411"/>
      <sheetData sheetId="22412"/>
      <sheetData sheetId="22413"/>
      <sheetData sheetId="22414"/>
      <sheetData sheetId="22415"/>
      <sheetData sheetId="22416"/>
      <sheetData sheetId="22417"/>
      <sheetData sheetId="22418"/>
      <sheetData sheetId="22419"/>
      <sheetData sheetId="22420"/>
      <sheetData sheetId="22421"/>
      <sheetData sheetId="22422"/>
      <sheetData sheetId="22423"/>
      <sheetData sheetId="22424"/>
      <sheetData sheetId="22425"/>
      <sheetData sheetId="22426"/>
      <sheetData sheetId="22427"/>
      <sheetData sheetId="22428"/>
      <sheetData sheetId="22429"/>
      <sheetData sheetId="22430"/>
      <sheetData sheetId="22431"/>
      <sheetData sheetId="22432"/>
      <sheetData sheetId="22433"/>
      <sheetData sheetId="22434"/>
      <sheetData sheetId="22435"/>
      <sheetData sheetId="22436"/>
      <sheetData sheetId="22437"/>
      <sheetData sheetId="22438"/>
      <sheetData sheetId="22439"/>
      <sheetData sheetId="22440"/>
      <sheetData sheetId="22441"/>
      <sheetData sheetId="22442"/>
      <sheetData sheetId="22443"/>
      <sheetData sheetId="22444"/>
      <sheetData sheetId="22445"/>
      <sheetData sheetId="22446"/>
      <sheetData sheetId="22447"/>
      <sheetData sheetId="22448"/>
      <sheetData sheetId="22449"/>
      <sheetData sheetId="22450"/>
      <sheetData sheetId="22451"/>
      <sheetData sheetId="22452"/>
      <sheetData sheetId="22453"/>
      <sheetData sheetId="22454"/>
      <sheetData sheetId="22455"/>
      <sheetData sheetId="22456"/>
      <sheetData sheetId="22457"/>
      <sheetData sheetId="22458"/>
      <sheetData sheetId="22459"/>
      <sheetData sheetId="22460"/>
      <sheetData sheetId="22461"/>
      <sheetData sheetId="22462"/>
      <sheetData sheetId="22463"/>
      <sheetData sheetId="22464"/>
      <sheetData sheetId="22465"/>
      <sheetData sheetId="22466"/>
      <sheetData sheetId="22467"/>
      <sheetData sheetId="22468"/>
      <sheetData sheetId="22469"/>
      <sheetData sheetId="22470"/>
      <sheetData sheetId="22471"/>
      <sheetData sheetId="22472"/>
      <sheetData sheetId="22473"/>
      <sheetData sheetId="22474"/>
      <sheetData sheetId="22475"/>
      <sheetData sheetId="22476"/>
      <sheetData sheetId="22477"/>
      <sheetData sheetId="22478"/>
      <sheetData sheetId="22479"/>
      <sheetData sheetId="22480"/>
      <sheetData sheetId="22481"/>
      <sheetData sheetId="22482"/>
      <sheetData sheetId="22483"/>
      <sheetData sheetId="22484"/>
      <sheetData sheetId="22485"/>
      <sheetData sheetId="22486"/>
      <sheetData sheetId="22487"/>
      <sheetData sheetId="22488"/>
      <sheetData sheetId="22489"/>
      <sheetData sheetId="22490"/>
      <sheetData sheetId="22491"/>
      <sheetData sheetId="22492"/>
      <sheetData sheetId="22493"/>
      <sheetData sheetId="22494"/>
      <sheetData sheetId="22495"/>
      <sheetData sheetId="22496"/>
      <sheetData sheetId="22497"/>
      <sheetData sheetId="22498"/>
      <sheetData sheetId="22499"/>
      <sheetData sheetId="22500"/>
      <sheetData sheetId="22501"/>
      <sheetData sheetId="22502"/>
      <sheetData sheetId="22503"/>
      <sheetData sheetId="22504"/>
      <sheetData sheetId="22505"/>
      <sheetData sheetId="22506"/>
      <sheetData sheetId="22507"/>
      <sheetData sheetId="22508"/>
      <sheetData sheetId="22509"/>
      <sheetData sheetId="22510"/>
      <sheetData sheetId="22511"/>
      <sheetData sheetId="22512"/>
      <sheetData sheetId="22513"/>
      <sheetData sheetId="22514"/>
      <sheetData sheetId="22515"/>
      <sheetData sheetId="22516"/>
      <sheetData sheetId="22517"/>
      <sheetData sheetId="22518"/>
      <sheetData sheetId="22519"/>
      <sheetData sheetId="22520"/>
      <sheetData sheetId="22521"/>
      <sheetData sheetId="22522"/>
      <sheetData sheetId="22523"/>
      <sheetData sheetId="22524"/>
      <sheetData sheetId="22525"/>
      <sheetData sheetId="22526"/>
      <sheetData sheetId="22527"/>
      <sheetData sheetId="22528"/>
      <sheetData sheetId="22529"/>
      <sheetData sheetId="22530"/>
      <sheetData sheetId="22531"/>
      <sheetData sheetId="22532"/>
      <sheetData sheetId="22533"/>
      <sheetData sheetId="22534"/>
      <sheetData sheetId="22535"/>
      <sheetData sheetId="22536"/>
      <sheetData sheetId="22537"/>
      <sheetData sheetId="22538"/>
      <sheetData sheetId="22539"/>
      <sheetData sheetId="22540"/>
      <sheetData sheetId="22541"/>
      <sheetData sheetId="22542"/>
      <sheetData sheetId="22543"/>
      <sheetData sheetId="22544"/>
      <sheetData sheetId="22545"/>
      <sheetData sheetId="22546"/>
      <sheetData sheetId="22547"/>
      <sheetData sheetId="22548"/>
      <sheetData sheetId="22549"/>
      <sheetData sheetId="22550"/>
      <sheetData sheetId="22551"/>
      <sheetData sheetId="22552"/>
      <sheetData sheetId="22553"/>
      <sheetData sheetId="22554"/>
      <sheetData sheetId="22555"/>
      <sheetData sheetId="22556"/>
      <sheetData sheetId="22557"/>
      <sheetData sheetId="22558"/>
      <sheetData sheetId="22559"/>
      <sheetData sheetId="22560"/>
      <sheetData sheetId="22561"/>
      <sheetData sheetId="22562"/>
      <sheetData sheetId="22563"/>
      <sheetData sheetId="22564"/>
      <sheetData sheetId="22565"/>
      <sheetData sheetId="22566"/>
      <sheetData sheetId="22567"/>
      <sheetData sheetId="22568"/>
      <sheetData sheetId="22569"/>
      <sheetData sheetId="22570"/>
      <sheetData sheetId="22571"/>
      <sheetData sheetId="22572"/>
      <sheetData sheetId="22573"/>
      <sheetData sheetId="22574"/>
      <sheetData sheetId="22575"/>
      <sheetData sheetId="22576"/>
      <sheetData sheetId="22577"/>
      <sheetData sheetId="22578"/>
      <sheetData sheetId="22579"/>
      <sheetData sheetId="22580"/>
      <sheetData sheetId="22581"/>
      <sheetData sheetId="22582"/>
      <sheetData sheetId="22583"/>
      <sheetData sheetId="22584"/>
      <sheetData sheetId="22585"/>
      <sheetData sheetId="22586"/>
      <sheetData sheetId="22587"/>
      <sheetData sheetId="22588"/>
      <sheetData sheetId="22589"/>
      <sheetData sheetId="22590"/>
      <sheetData sheetId="22591"/>
      <sheetData sheetId="22592"/>
      <sheetData sheetId="22593"/>
      <sheetData sheetId="22594"/>
      <sheetData sheetId="22595"/>
      <sheetData sheetId="22596"/>
      <sheetData sheetId="22597"/>
      <sheetData sheetId="22598"/>
      <sheetData sheetId="22599"/>
      <sheetData sheetId="22600"/>
      <sheetData sheetId="22601"/>
      <sheetData sheetId="22602"/>
      <sheetData sheetId="22603"/>
      <sheetData sheetId="22604"/>
      <sheetData sheetId="22605"/>
      <sheetData sheetId="22606"/>
      <sheetData sheetId="22607"/>
      <sheetData sheetId="22608"/>
      <sheetData sheetId="22609"/>
      <sheetData sheetId="22610"/>
      <sheetData sheetId="22611"/>
      <sheetData sheetId="22612"/>
      <sheetData sheetId="22613"/>
      <sheetData sheetId="22614"/>
      <sheetData sheetId="22615"/>
      <sheetData sheetId="22616"/>
      <sheetData sheetId="22617"/>
      <sheetData sheetId="22618"/>
      <sheetData sheetId="22619"/>
      <sheetData sheetId="22620"/>
      <sheetData sheetId="22621"/>
      <sheetData sheetId="22622"/>
      <sheetData sheetId="22623"/>
      <sheetData sheetId="22624"/>
      <sheetData sheetId="22625"/>
      <sheetData sheetId="22626"/>
      <sheetData sheetId="22627"/>
      <sheetData sheetId="22628"/>
      <sheetData sheetId="22629"/>
      <sheetData sheetId="22630"/>
      <sheetData sheetId="22631"/>
      <sheetData sheetId="22632"/>
      <sheetData sheetId="22633"/>
      <sheetData sheetId="22634"/>
      <sheetData sheetId="22635"/>
      <sheetData sheetId="22636"/>
      <sheetData sheetId="22637"/>
      <sheetData sheetId="22638"/>
      <sheetData sheetId="22639"/>
      <sheetData sheetId="22640"/>
      <sheetData sheetId="22641"/>
      <sheetData sheetId="22642"/>
      <sheetData sheetId="22643"/>
      <sheetData sheetId="22644"/>
      <sheetData sheetId="22645"/>
      <sheetData sheetId="22646"/>
      <sheetData sheetId="22647"/>
      <sheetData sheetId="22648"/>
      <sheetData sheetId="22649"/>
      <sheetData sheetId="22650"/>
      <sheetData sheetId="22651"/>
      <sheetData sheetId="22652"/>
      <sheetData sheetId="22653"/>
      <sheetData sheetId="22654"/>
      <sheetData sheetId="22655"/>
      <sheetData sheetId="22656"/>
      <sheetData sheetId="22657"/>
      <sheetData sheetId="22658"/>
      <sheetData sheetId="22659"/>
      <sheetData sheetId="22660"/>
      <sheetData sheetId="22661"/>
      <sheetData sheetId="22662"/>
      <sheetData sheetId="22663"/>
      <sheetData sheetId="22664"/>
      <sheetData sheetId="22665"/>
      <sheetData sheetId="22666"/>
      <sheetData sheetId="22667"/>
      <sheetData sheetId="22668"/>
      <sheetData sheetId="22669"/>
      <sheetData sheetId="22670"/>
      <sheetData sheetId="22671"/>
      <sheetData sheetId="22672"/>
      <sheetData sheetId="22673"/>
      <sheetData sheetId="22674"/>
      <sheetData sheetId="22675"/>
      <sheetData sheetId="22676"/>
      <sheetData sheetId="22677"/>
      <sheetData sheetId="22678"/>
      <sheetData sheetId="22679"/>
      <sheetData sheetId="22680"/>
      <sheetData sheetId="22681"/>
      <sheetData sheetId="22682"/>
      <sheetData sheetId="22683"/>
      <sheetData sheetId="22684"/>
      <sheetData sheetId="22685"/>
      <sheetData sheetId="22686"/>
      <sheetData sheetId="22687"/>
      <sheetData sheetId="22688"/>
      <sheetData sheetId="22689"/>
      <sheetData sheetId="22690"/>
      <sheetData sheetId="22691"/>
      <sheetData sheetId="22692"/>
      <sheetData sheetId="22693"/>
      <sheetData sheetId="22694"/>
      <sheetData sheetId="22695"/>
      <sheetData sheetId="22696"/>
      <sheetData sheetId="22697"/>
      <sheetData sheetId="22698"/>
      <sheetData sheetId="22699"/>
      <sheetData sheetId="22700"/>
      <sheetData sheetId="22701"/>
      <sheetData sheetId="22702"/>
      <sheetData sheetId="22703"/>
      <sheetData sheetId="22704"/>
      <sheetData sheetId="22705"/>
      <sheetData sheetId="22706"/>
      <sheetData sheetId="22707"/>
      <sheetData sheetId="22708"/>
      <sheetData sheetId="22709"/>
      <sheetData sheetId="22710"/>
      <sheetData sheetId="22711"/>
      <sheetData sheetId="22712"/>
      <sheetData sheetId="22713"/>
      <sheetData sheetId="22714"/>
      <sheetData sheetId="22715"/>
      <sheetData sheetId="22716"/>
      <sheetData sheetId="22717"/>
      <sheetData sheetId="22718"/>
      <sheetData sheetId="22719"/>
      <sheetData sheetId="22720"/>
      <sheetData sheetId="22721"/>
      <sheetData sheetId="22722"/>
      <sheetData sheetId="22723"/>
      <sheetData sheetId="22724"/>
      <sheetData sheetId="22725"/>
      <sheetData sheetId="22726"/>
      <sheetData sheetId="22727"/>
      <sheetData sheetId="22728"/>
      <sheetData sheetId="22729"/>
      <sheetData sheetId="22730"/>
      <sheetData sheetId="22731"/>
      <sheetData sheetId="22732"/>
      <sheetData sheetId="22733"/>
      <sheetData sheetId="22734"/>
      <sheetData sheetId="22735"/>
      <sheetData sheetId="22736"/>
      <sheetData sheetId="22737"/>
      <sheetData sheetId="22738"/>
      <sheetData sheetId="22739"/>
      <sheetData sheetId="22740"/>
      <sheetData sheetId="22741"/>
      <sheetData sheetId="22742"/>
      <sheetData sheetId="22743"/>
      <sheetData sheetId="22744"/>
      <sheetData sheetId="22745"/>
      <sheetData sheetId="22746"/>
      <sheetData sheetId="22747"/>
      <sheetData sheetId="22748"/>
      <sheetData sheetId="22749"/>
      <sheetData sheetId="22750"/>
      <sheetData sheetId="22751"/>
      <sheetData sheetId="22752"/>
      <sheetData sheetId="22753"/>
      <sheetData sheetId="22754"/>
      <sheetData sheetId="22755"/>
      <sheetData sheetId="22756"/>
      <sheetData sheetId="22757"/>
      <sheetData sheetId="22758"/>
      <sheetData sheetId="22759"/>
      <sheetData sheetId="22760"/>
      <sheetData sheetId="22761"/>
      <sheetData sheetId="22762"/>
      <sheetData sheetId="22763"/>
      <sheetData sheetId="22764"/>
      <sheetData sheetId="22765"/>
      <sheetData sheetId="22766"/>
      <sheetData sheetId="22767"/>
      <sheetData sheetId="22768"/>
      <sheetData sheetId="22769"/>
      <sheetData sheetId="22770"/>
      <sheetData sheetId="22771"/>
      <sheetData sheetId="22772"/>
      <sheetData sheetId="22773"/>
      <sheetData sheetId="22774"/>
      <sheetData sheetId="22775"/>
      <sheetData sheetId="22776"/>
      <sheetData sheetId="22777"/>
      <sheetData sheetId="22778"/>
      <sheetData sheetId="22779"/>
      <sheetData sheetId="22780"/>
      <sheetData sheetId="22781"/>
      <sheetData sheetId="22782"/>
      <sheetData sheetId="22783"/>
      <sheetData sheetId="22784"/>
      <sheetData sheetId="22785"/>
      <sheetData sheetId="22786"/>
      <sheetData sheetId="22787"/>
      <sheetData sheetId="22788"/>
      <sheetData sheetId="22789"/>
      <sheetData sheetId="22790"/>
      <sheetData sheetId="22791"/>
      <sheetData sheetId="22792"/>
      <sheetData sheetId="22793"/>
      <sheetData sheetId="22794"/>
      <sheetData sheetId="22795"/>
      <sheetData sheetId="22796"/>
      <sheetData sheetId="22797"/>
      <sheetData sheetId="22798"/>
      <sheetData sheetId="22799"/>
      <sheetData sheetId="22800"/>
      <sheetData sheetId="22801"/>
      <sheetData sheetId="22802"/>
      <sheetData sheetId="22803"/>
      <sheetData sheetId="22804"/>
      <sheetData sheetId="22805"/>
      <sheetData sheetId="22806"/>
      <sheetData sheetId="22807"/>
      <sheetData sheetId="22808"/>
      <sheetData sheetId="22809"/>
      <sheetData sheetId="22810"/>
      <sheetData sheetId="22811"/>
      <sheetData sheetId="22812"/>
      <sheetData sheetId="22813"/>
      <sheetData sheetId="22814"/>
      <sheetData sheetId="22815"/>
      <sheetData sheetId="22816"/>
      <sheetData sheetId="22817"/>
      <sheetData sheetId="22818"/>
      <sheetData sheetId="22819"/>
      <sheetData sheetId="22820"/>
      <sheetData sheetId="22821"/>
      <sheetData sheetId="22822"/>
      <sheetData sheetId="22823"/>
      <sheetData sheetId="22824"/>
      <sheetData sheetId="22825"/>
      <sheetData sheetId="22826"/>
      <sheetData sheetId="22827"/>
      <sheetData sheetId="22828"/>
      <sheetData sheetId="22829"/>
      <sheetData sheetId="22830"/>
      <sheetData sheetId="22831"/>
      <sheetData sheetId="22832"/>
      <sheetData sheetId="22833"/>
      <sheetData sheetId="22834"/>
      <sheetData sheetId="22835"/>
      <sheetData sheetId="22836"/>
      <sheetData sheetId="22837"/>
      <sheetData sheetId="22838"/>
      <sheetData sheetId="22839"/>
      <sheetData sheetId="22840"/>
      <sheetData sheetId="22841"/>
      <sheetData sheetId="22842"/>
      <sheetData sheetId="22843"/>
      <sheetData sheetId="22844"/>
      <sheetData sheetId="22845"/>
      <sheetData sheetId="22846"/>
      <sheetData sheetId="22847"/>
      <sheetData sheetId="22848"/>
      <sheetData sheetId="22849"/>
      <sheetData sheetId="22850"/>
      <sheetData sheetId="22851"/>
      <sheetData sheetId="22852"/>
      <sheetData sheetId="22853"/>
      <sheetData sheetId="22854"/>
      <sheetData sheetId="22855"/>
      <sheetData sheetId="22856"/>
      <sheetData sheetId="22857"/>
      <sheetData sheetId="22858"/>
      <sheetData sheetId="22859"/>
      <sheetData sheetId="22860"/>
      <sheetData sheetId="22861"/>
      <sheetData sheetId="22862"/>
      <sheetData sheetId="22863"/>
      <sheetData sheetId="22864"/>
      <sheetData sheetId="22865"/>
      <sheetData sheetId="22866"/>
      <sheetData sheetId="22867"/>
      <sheetData sheetId="22868"/>
      <sheetData sheetId="22869"/>
      <sheetData sheetId="22870"/>
      <sheetData sheetId="22871"/>
      <sheetData sheetId="22872"/>
      <sheetData sheetId="22873"/>
      <sheetData sheetId="22874"/>
      <sheetData sheetId="22875"/>
      <sheetData sheetId="22876"/>
      <sheetData sheetId="22877"/>
      <sheetData sheetId="22878"/>
      <sheetData sheetId="22879"/>
      <sheetData sheetId="22880"/>
      <sheetData sheetId="22881"/>
      <sheetData sheetId="22882"/>
      <sheetData sheetId="22883"/>
      <sheetData sheetId="22884"/>
      <sheetData sheetId="22885"/>
      <sheetData sheetId="22886"/>
      <sheetData sheetId="22887"/>
      <sheetData sheetId="22888"/>
      <sheetData sheetId="22889"/>
      <sheetData sheetId="22890"/>
      <sheetData sheetId="22891"/>
      <sheetData sheetId="22892"/>
      <sheetData sheetId="22893"/>
      <sheetData sheetId="22894"/>
      <sheetData sheetId="22895"/>
      <sheetData sheetId="22896"/>
      <sheetData sheetId="22897"/>
      <sheetData sheetId="22898"/>
      <sheetData sheetId="22899"/>
      <sheetData sheetId="22900"/>
      <sheetData sheetId="22901"/>
      <sheetData sheetId="22902"/>
      <sheetData sheetId="22903"/>
      <sheetData sheetId="22904"/>
      <sheetData sheetId="22905"/>
      <sheetData sheetId="22906"/>
      <sheetData sheetId="22907"/>
      <sheetData sheetId="22908"/>
      <sheetData sheetId="22909"/>
      <sheetData sheetId="22910"/>
      <sheetData sheetId="22911"/>
      <sheetData sheetId="22912"/>
      <sheetData sheetId="22913"/>
      <sheetData sheetId="22914"/>
      <sheetData sheetId="22915"/>
      <sheetData sheetId="22916"/>
      <sheetData sheetId="22917"/>
      <sheetData sheetId="22918"/>
      <sheetData sheetId="22919"/>
      <sheetData sheetId="22920"/>
      <sheetData sheetId="22921"/>
      <sheetData sheetId="22922"/>
      <sheetData sheetId="22923"/>
      <sheetData sheetId="22924"/>
      <sheetData sheetId="22925"/>
      <sheetData sheetId="22926" refreshError="1"/>
      <sheetData sheetId="22927"/>
      <sheetData sheetId="22928"/>
      <sheetData sheetId="22929"/>
      <sheetData sheetId="22930"/>
      <sheetData sheetId="22931"/>
      <sheetData sheetId="22932"/>
      <sheetData sheetId="22933"/>
      <sheetData sheetId="22934"/>
      <sheetData sheetId="22935"/>
      <sheetData sheetId="22936"/>
      <sheetData sheetId="22937"/>
      <sheetData sheetId="22938"/>
      <sheetData sheetId="22939"/>
      <sheetData sheetId="22940"/>
      <sheetData sheetId="22941"/>
      <sheetData sheetId="22942"/>
      <sheetData sheetId="22943"/>
      <sheetData sheetId="22944"/>
      <sheetData sheetId="22945"/>
      <sheetData sheetId="22946"/>
      <sheetData sheetId="22947"/>
      <sheetData sheetId="22948"/>
      <sheetData sheetId="22949"/>
      <sheetData sheetId="22950"/>
      <sheetData sheetId="22951"/>
      <sheetData sheetId="22952"/>
      <sheetData sheetId="22953"/>
      <sheetData sheetId="22954"/>
      <sheetData sheetId="22955"/>
      <sheetData sheetId="22956"/>
      <sheetData sheetId="22957"/>
      <sheetData sheetId="22958"/>
      <sheetData sheetId="22959"/>
      <sheetData sheetId="22960"/>
      <sheetData sheetId="22961"/>
      <sheetData sheetId="22962"/>
      <sheetData sheetId="22963"/>
      <sheetData sheetId="22964"/>
      <sheetData sheetId="22965"/>
      <sheetData sheetId="22966"/>
      <sheetData sheetId="22967"/>
      <sheetData sheetId="22968"/>
      <sheetData sheetId="22969"/>
      <sheetData sheetId="22970"/>
      <sheetData sheetId="22971"/>
      <sheetData sheetId="22972"/>
      <sheetData sheetId="22973"/>
      <sheetData sheetId="22974"/>
      <sheetData sheetId="22975"/>
      <sheetData sheetId="22976"/>
      <sheetData sheetId="22977"/>
      <sheetData sheetId="22978"/>
      <sheetData sheetId="22979"/>
      <sheetData sheetId="22980"/>
      <sheetData sheetId="22981"/>
      <sheetData sheetId="22982"/>
      <sheetData sheetId="22983"/>
      <sheetData sheetId="22984"/>
      <sheetData sheetId="22985"/>
      <sheetData sheetId="22986"/>
      <sheetData sheetId="22987"/>
      <sheetData sheetId="22988"/>
      <sheetData sheetId="22989"/>
      <sheetData sheetId="22990"/>
      <sheetData sheetId="22991"/>
      <sheetData sheetId="22992"/>
      <sheetData sheetId="22993"/>
      <sheetData sheetId="22994"/>
      <sheetData sheetId="22995"/>
      <sheetData sheetId="22996"/>
      <sheetData sheetId="22997"/>
      <sheetData sheetId="22998"/>
      <sheetData sheetId="22999" refreshError="1"/>
      <sheetData sheetId="23000" refreshError="1"/>
      <sheetData sheetId="23001" refreshError="1"/>
      <sheetData sheetId="23002" refreshError="1"/>
      <sheetData sheetId="23003" refreshError="1"/>
      <sheetData sheetId="23004" refreshError="1"/>
      <sheetData sheetId="23005" refreshError="1"/>
      <sheetData sheetId="23006" refreshError="1"/>
      <sheetData sheetId="23007" refreshError="1"/>
      <sheetData sheetId="23008" refreshError="1"/>
      <sheetData sheetId="23009" refreshError="1"/>
      <sheetData sheetId="23010" refreshError="1"/>
      <sheetData sheetId="23011" refreshError="1"/>
      <sheetData sheetId="23012" refreshError="1"/>
      <sheetData sheetId="23013" refreshError="1"/>
      <sheetData sheetId="23014" refreshError="1"/>
      <sheetData sheetId="23015" refreshError="1"/>
      <sheetData sheetId="23016" refreshError="1"/>
      <sheetData sheetId="23017" refreshError="1"/>
      <sheetData sheetId="23018" refreshError="1"/>
      <sheetData sheetId="23019" refreshError="1"/>
      <sheetData sheetId="23020" refreshError="1"/>
      <sheetData sheetId="23021" refreshError="1"/>
      <sheetData sheetId="23022" refreshError="1"/>
      <sheetData sheetId="23023" refreshError="1"/>
      <sheetData sheetId="23024" refreshError="1"/>
      <sheetData sheetId="23025" refreshError="1"/>
      <sheetData sheetId="23026" refreshError="1"/>
      <sheetData sheetId="23027" refreshError="1"/>
      <sheetData sheetId="23028" refreshError="1"/>
      <sheetData sheetId="23029" refreshError="1"/>
      <sheetData sheetId="23030" refreshError="1"/>
      <sheetData sheetId="23031" refreshError="1"/>
      <sheetData sheetId="23032" refreshError="1"/>
      <sheetData sheetId="23033" refreshError="1"/>
      <sheetData sheetId="23034" refreshError="1"/>
      <sheetData sheetId="23035" refreshError="1"/>
      <sheetData sheetId="23036" refreshError="1"/>
      <sheetData sheetId="23037" refreshError="1"/>
      <sheetData sheetId="23038" refreshError="1"/>
      <sheetData sheetId="23039" refreshError="1"/>
      <sheetData sheetId="23040" refreshError="1"/>
      <sheetData sheetId="23041" refreshError="1"/>
      <sheetData sheetId="23042" refreshError="1"/>
      <sheetData sheetId="23043" refreshError="1"/>
      <sheetData sheetId="23044" refreshError="1"/>
      <sheetData sheetId="23045" refreshError="1"/>
      <sheetData sheetId="23046" refreshError="1"/>
      <sheetData sheetId="23047" refreshError="1"/>
      <sheetData sheetId="23048" refreshError="1"/>
      <sheetData sheetId="23049" refreshError="1"/>
      <sheetData sheetId="23050" refreshError="1"/>
      <sheetData sheetId="23051" refreshError="1"/>
      <sheetData sheetId="23052" refreshError="1"/>
      <sheetData sheetId="23053" refreshError="1"/>
      <sheetData sheetId="23054" refreshError="1"/>
      <sheetData sheetId="23055" refreshError="1"/>
      <sheetData sheetId="23056" refreshError="1"/>
      <sheetData sheetId="23057" refreshError="1"/>
      <sheetData sheetId="23058" refreshError="1"/>
      <sheetData sheetId="23059" refreshError="1"/>
      <sheetData sheetId="23060" refreshError="1"/>
      <sheetData sheetId="23061" refreshError="1"/>
      <sheetData sheetId="23062" refreshError="1"/>
      <sheetData sheetId="23063" refreshError="1"/>
      <sheetData sheetId="23064" refreshError="1"/>
      <sheetData sheetId="23065" refreshError="1"/>
      <sheetData sheetId="23066" refreshError="1"/>
      <sheetData sheetId="23067" refreshError="1"/>
      <sheetData sheetId="23068" refreshError="1"/>
      <sheetData sheetId="23069" refreshError="1"/>
      <sheetData sheetId="23070" refreshError="1"/>
      <sheetData sheetId="23071" refreshError="1"/>
      <sheetData sheetId="23072" refreshError="1"/>
      <sheetData sheetId="23073" refreshError="1"/>
      <sheetData sheetId="23074" refreshError="1"/>
      <sheetData sheetId="23075" refreshError="1"/>
      <sheetData sheetId="23076" refreshError="1"/>
      <sheetData sheetId="23077" refreshError="1"/>
      <sheetData sheetId="23078" refreshError="1"/>
      <sheetData sheetId="23079" refreshError="1"/>
      <sheetData sheetId="23080" refreshError="1"/>
      <sheetData sheetId="23081" refreshError="1"/>
      <sheetData sheetId="23082" refreshError="1"/>
      <sheetData sheetId="23083" refreshError="1"/>
      <sheetData sheetId="23084"/>
      <sheetData sheetId="23085"/>
      <sheetData sheetId="23086"/>
      <sheetData sheetId="23087"/>
      <sheetData sheetId="23088"/>
      <sheetData sheetId="23089"/>
      <sheetData sheetId="23090" refreshError="1"/>
      <sheetData sheetId="23091" refreshError="1"/>
      <sheetData sheetId="23092" refreshError="1"/>
      <sheetData sheetId="23093" refreshError="1"/>
      <sheetData sheetId="23094" refreshError="1"/>
      <sheetData sheetId="23095" refreshError="1"/>
      <sheetData sheetId="23096"/>
      <sheetData sheetId="23097" refreshError="1"/>
      <sheetData sheetId="23098" refreshError="1"/>
      <sheetData sheetId="23099" refreshError="1"/>
      <sheetData sheetId="23100" refreshError="1"/>
      <sheetData sheetId="23101" refreshError="1"/>
      <sheetData sheetId="23102" refreshError="1"/>
      <sheetData sheetId="23103" refreshError="1"/>
      <sheetData sheetId="23104" refreshError="1"/>
      <sheetData sheetId="23105" refreshError="1"/>
      <sheetData sheetId="23106" refreshError="1"/>
      <sheetData sheetId="23107" refreshError="1"/>
      <sheetData sheetId="23108" refreshError="1"/>
      <sheetData sheetId="23109" refreshError="1"/>
      <sheetData sheetId="23110" refreshError="1"/>
      <sheetData sheetId="23111" refreshError="1"/>
      <sheetData sheetId="23112" refreshError="1"/>
      <sheetData sheetId="23113" refreshError="1"/>
      <sheetData sheetId="23114" refreshError="1"/>
      <sheetData sheetId="23115" refreshError="1"/>
      <sheetData sheetId="23116" refreshError="1"/>
      <sheetData sheetId="23117" refreshError="1"/>
      <sheetData sheetId="23118" refreshError="1"/>
      <sheetData sheetId="23119" refreshError="1"/>
      <sheetData sheetId="23120" refreshError="1"/>
      <sheetData sheetId="23121" refreshError="1"/>
      <sheetData sheetId="23122" refreshError="1"/>
      <sheetData sheetId="23123" refreshError="1"/>
      <sheetData sheetId="23124" refreshError="1"/>
      <sheetData sheetId="23125" refreshError="1"/>
      <sheetData sheetId="23126" refreshError="1"/>
      <sheetData sheetId="23127" refreshError="1"/>
      <sheetData sheetId="23128" refreshError="1"/>
      <sheetData sheetId="23129" refreshError="1"/>
      <sheetData sheetId="23130" refreshError="1"/>
      <sheetData sheetId="23131" refreshError="1"/>
      <sheetData sheetId="23132" refreshError="1"/>
      <sheetData sheetId="23133" refreshError="1"/>
      <sheetData sheetId="23134" refreshError="1"/>
      <sheetData sheetId="23135" refreshError="1"/>
      <sheetData sheetId="23136" refreshError="1"/>
      <sheetData sheetId="23137" refreshError="1"/>
      <sheetData sheetId="23138" refreshError="1"/>
      <sheetData sheetId="23139" refreshError="1"/>
      <sheetData sheetId="23140" refreshError="1"/>
      <sheetData sheetId="23141" refreshError="1"/>
      <sheetData sheetId="23142" refreshError="1"/>
      <sheetData sheetId="23143" refreshError="1"/>
      <sheetData sheetId="23144" refreshError="1"/>
      <sheetData sheetId="23145" refreshError="1"/>
      <sheetData sheetId="23146" refreshError="1"/>
      <sheetData sheetId="23147" refreshError="1"/>
      <sheetData sheetId="23148" refreshError="1"/>
      <sheetData sheetId="23149" refreshError="1"/>
      <sheetData sheetId="23150" refreshError="1"/>
      <sheetData sheetId="23151" refreshError="1"/>
      <sheetData sheetId="23152" refreshError="1"/>
      <sheetData sheetId="23153" refreshError="1"/>
      <sheetData sheetId="23154" refreshError="1"/>
      <sheetData sheetId="23155" refreshError="1"/>
      <sheetData sheetId="23156" refreshError="1"/>
      <sheetData sheetId="23157" refreshError="1"/>
      <sheetData sheetId="23158" refreshError="1"/>
      <sheetData sheetId="23159" refreshError="1"/>
      <sheetData sheetId="23160" refreshError="1"/>
      <sheetData sheetId="23161" refreshError="1"/>
      <sheetData sheetId="23162" refreshError="1"/>
      <sheetData sheetId="23163" refreshError="1"/>
      <sheetData sheetId="23164" refreshError="1"/>
      <sheetData sheetId="23165" refreshError="1"/>
      <sheetData sheetId="23166" refreshError="1"/>
      <sheetData sheetId="23167" refreshError="1"/>
      <sheetData sheetId="23168" refreshError="1"/>
      <sheetData sheetId="23169" refreshError="1"/>
      <sheetData sheetId="23170" refreshError="1"/>
      <sheetData sheetId="23171"/>
      <sheetData sheetId="23172"/>
      <sheetData sheetId="23173"/>
      <sheetData sheetId="23174"/>
      <sheetData sheetId="23175" refreshError="1"/>
      <sheetData sheetId="23176" refreshError="1"/>
      <sheetData sheetId="23177" refreshError="1"/>
      <sheetData sheetId="23178" refreshError="1"/>
      <sheetData sheetId="23179" refreshError="1"/>
      <sheetData sheetId="23180" refreshError="1"/>
      <sheetData sheetId="23181" refreshError="1"/>
      <sheetData sheetId="23182" refreshError="1"/>
      <sheetData sheetId="23183" refreshError="1"/>
      <sheetData sheetId="23184" refreshError="1"/>
      <sheetData sheetId="23185" refreshError="1"/>
      <sheetData sheetId="23186" refreshError="1"/>
      <sheetData sheetId="23187" refreshError="1"/>
      <sheetData sheetId="23188" refreshError="1"/>
      <sheetData sheetId="23189" refreshError="1"/>
      <sheetData sheetId="23190" refreshError="1"/>
      <sheetData sheetId="23191" refreshError="1"/>
      <sheetData sheetId="23192" refreshError="1"/>
      <sheetData sheetId="23193" refreshError="1"/>
      <sheetData sheetId="23194" refreshError="1"/>
      <sheetData sheetId="23195" refreshError="1"/>
      <sheetData sheetId="23196" refreshError="1"/>
      <sheetData sheetId="23197" refreshError="1"/>
      <sheetData sheetId="23198" refreshError="1"/>
      <sheetData sheetId="23199" refreshError="1"/>
      <sheetData sheetId="23200" refreshError="1"/>
      <sheetData sheetId="23201" refreshError="1"/>
      <sheetData sheetId="23202" refreshError="1"/>
      <sheetData sheetId="23203" refreshError="1"/>
      <sheetData sheetId="23204" refreshError="1"/>
      <sheetData sheetId="23205" refreshError="1"/>
      <sheetData sheetId="23206" refreshError="1"/>
      <sheetData sheetId="23207" refreshError="1"/>
      <sheetData sheetId="23208" refreshError="1"/>
      <sheetData sheetId="23209" refreshError="1"/>
      <sheetData sheetId="23210" refreshError="1"/>
      <sheetData sheetId="23211" refreshError="1"/>
      <sheetData sheetId="23212" refreshError="1"/>
      <sheetData sheetId="23213" refreshError="1"/>
      <sheetData sheetId="23214" refreshError="1"/>
      <sheetData sheetId="23215" refreshError="1"/>
      <sheetData sheetId="23216" refreshError="1"/>
      <sheetData sheetId="23217" refreshError="1"/>
      <sheetData sheetId="23218" refreshError="1"/>
      <sheetData sheetId="23219" refreshError="1"/>
      <sheetData sheetId="23220" refreshError="1"/>
      <sheetData sheetId="23221" refreshError="1"/>
      <sheetData sheetId="23222" refreshError="1"/>
      <sheetData sheetId="23223" refreshError="1"/>
      <sheetData sheetId="23224" refreshError="1"/>
      <sheetData sheetId="23225" refreshError="1"/>
      <sheetData sheetId="23226" refreshError="1"/>
      <sheetData sheetId="23227" refreshError="1"/>
      <sheetData sheetId="23228" refreshError="1"/>
      <sheetData sheetId="23229" refreshError="1"/>
      <sheetData sheetId="23230" refreshError="1"/>
      <sheetData sheetId="23231" refreshError="1"/>
      <sheetData sheetId="23232" refreshError="1"/>
      <sheetData sheetId="23233" refreshError="1"/>
      <sheetData sheetId="23234" refreshError="1"/>
      <sheetData sheetId="23235" refreshError="1"/>
      <sheetData sheetId="23236" refreshError="1"/>
      <sheetData sheetId="23237" refreshError="1"/>
      <sheetData sheetId="23238" refreshError="1"/>
      <sheetData sheetId="23239" refreshError="1"/>
      <sheetData sheetId="23240" refreshError="1"/>
      <sheetData sheetId="23241" refreshError="1"/>
      <sheetData sheetId="23242" refreshError="1"/>
      <sheetData sheetId="23243" refreshError="1"/>
      <sheetData sheetId="23244" refreshError="1"/>
      <sheetData sheetId="23245" refreshError="1"/>
      <sheetData sheetId="23246" refreshError="1"/>
      <sheetData sheetId="23247" refreshError="1"/>
      <sheetData sheetId="23248" refreshError="1"/>
      <sheetData sheetId="23249" refreshError="1"/>
      <sheetData sheetId="23250" refreshError="1"/>
      <sheetData sheetId="23251" refreshError="1"/>
      <sheetData sheetId="23252" refreshError="1"/>
      <sheetData sheetId="23253" refreshError="1"/>
      <sheetData sheetId="23254" refreshError="1"/>
      <sheetData sheetId="23255" refreshError="1"/>
      <sheetData sheetId="23256" refreshError="1"/>
      <sheetData sheetId="23257" refreshError="1"/>
      <sheetData sheetId="23258" refreshError="1"/>
      <sheetData sheetId="23259" refreshError="1"/>
      <sheetData sheetId="23260" refreshError="1"/>
      <sheetData sheetId="23261" refreshError="1"/>
      <sheetData sheetId="23262" refreshError="1"/>
      <sheetData sheetId="23263"/>
      <sheetData sheetId="23264"/>
      <sheetData sheetId="23265"/>
      <sheetData sheetId="23266"/>
      <sheetData sheetId="23267"/>
      <sheetData sheetId="23268"/>
      <sheetData sheetId="23269"/>
      <sheetData sheetId="23270"/>
      <sheetData sheetId="23271"/>
      <sheetData sheetId="23272"/>
      <sheetData sheetId="23273"/>
      <sheetData sheetId="23274"/>
      <sheetData sheetId="23275"/>
      <sheetData sheetId="23276"/>
      <sheetData sheetId="23277"/>
      <sheetData sheetId="23278"/>
      <sheetData sheetId="23279"/>
      <sheetData sheetId="23280"/>
      <sheetData sheetId="23281"/>
      <sheetData sheetId="23282"/>
      <sheetData sheetId="23283"/>
      <sheetData sheetId="23284"/>
      <sheetData sheetId="23285"/>
      <sheetData sheetId="23286"/>
      <sheetData sheetId="23287"/>
      <sheetData sheetId="23288"/>
      <sheetData sheetId="23289"/>
      <sheetData sheetId="23290"/>
      <sheetData sheetId="23291"/>
      <sheetData sheetId="23292"/>
      <sheetData sheetId="23293"/>
      <sheetData sheetId="23294"/>
      <sheetData sheetId="23295"/>
      <sheetData sheetId="23296"/>
      <sheetData sheetId="23297"/>
      <sheetData sheetId="23298"/>
      <sheetData sheetId="23299"/>
      <sheetData sheetId="23300"/>
      <sheetData sheetId="23301"/>
      <sheetData sheetId="23302"/>
      <sheetData sheetId="23303"/>
      <sheetData sheetId="23304"/>
      <sheetData sheetId="23305"/>
      <sheetData sheetId="23306"/>
      <sheetData sheetId="23307"/>
      <sheetData sheetId="23308"/>
      <sheetData sheetId="23309"/>
      <sheetData sheetId="23310"/>
      <sheetData sheetId="23311"/>
      <sheetData sheetId="23312"/>
      <sheetData sheetId="23313"/>
      <sheetData sheetId="23314"/>
      <sheetData sheetId="23315"/>
      <sheetData sheetId="23316"/>
      <sheetData sheetId="23317"/>
      <sheetData sheetId="23318"/>
      <sheetData sheetId="23319"/>
      <sheetData sheetId="23320"/>
      <sheetData sheetId="23321"/>
      <sheetData sheetId="23322"/>
      <sheetData sheetId="23323"/>
      <sheetData sheetId="23324"/>
      <sheetData sheetId="23325"/>
      <sheetData sheetId="23326"/>
      <sheetData sheetId="23327"/>
      <sheetData sheetId="23328"/>
      <sheetData sheetId="23329"/>
      <sheetData sheetId="23330"/>
      <sheetData sheetId="23331"/>
      <sheetData sheetId="23332"/>
      <sheetData sheetId="23333"/>
      <sheetData sheetId="23334"/>
      <sheetData sheetId="23335"/>
      <sheetData sheetId="23336"/>
      <sheetData sheetId="23337"/>
      <sheetData sheetId="23338"/>
      <sheetData sheetId="23339"/>
      <sheetData sheetId="23340"/>
      <sheetData sheetId="23341"/>
      <sheetData sheetId="23342"/>
      <sheetData sheetId="23343"/>
      <sheetData sheetId="23344"/>
      <sheetData sheetId="23345"/>
      <sheetData sheetId="23346"/>
      <sheetData sheetId="23347"/>
      <sheetData sheetId="23348"/>
      <sheetData sheetId="23349"/>
      <sheetData sheetId="23350"/>
      <sheetData sheetId="23351"/>
      <sheetData sheetId="23352"/>
      <sheetData sheetId="23353"/>
      <sheetData sheetId="23354"/>
      <sheetData sheetId="23355"/>
      <sheetData sheetId="23356"/>
      <sheetData sheetId="23357"/>
      <sheetData sheetId="23358"/>
      <sheetData sheetId="23359"/>
      <sheetData sheetId="23360"/>
      <sheetData sheetId="23361"/>
      <sheetData sheetId="23362"/>
      <sheetData sheetId="23363"/>
      <sheetData sheetId="23364"/>
      <sheetData sheetId="23365"/>
      <sheetData sheetId="23366"/>
      <sheetData sheetId="23367"/>
      <sheetData sheetId="23368"/>
      <sheetData sheetId="23369"/>
      <sheetData sheetId="23370"/>
      <sheetData sheetId="23371"/>
      <sheetData sheetId="23372"/>
      <sheetData sheetId="23373"/>
      <sheetData sheetId="23374"/>
      <sheetData sheetId="23375"/>
      <sheetData sheetId="23376"/>
      <sheetData sheetId="23377"/>
      <sheetData sheetId="23378"/>
      <sheetData sheetId="23379"/>
      <sheetData sheetId="23380"/>
      <sheetData sheetId="23381"/>
      <sheetData sheetId="23382"/>
      <sheetData sheetId="23383"/>
      <sheetData sheetId="23384"/>
      <sheetData sheetId="23385"/>
      <sheetData sheetId="23386"/>
      <sheetData sheetId="23387"/>
      <sheetData sheetId="23388"/>
      <sheetData sheetId="23389"/>
      <sheetData sheetId="23390"/>
      <sheetData sheetId="23391"/>
      <sheetData sheetId="23392"/>
      <sheetData sheetId="23393"/>
      <sheetData sheetId="23394"/>
      <sheetData sheetId="23395"/>
      <sheetData sheetId="23396"/>
      <sheetData sheetId="23397"/>
      <sheetData sheetId="23398"/>
      <sheetData sheetId="23399"/>
      <sheetData sheetId="23400"/>
      <sheetData sheetId="23401"/>
      <sheetData sheetId="23402"/>
      <sheetData sheetId="23403"/>
      <sheetData sheetId="23404"/>
      <sheetData sheetId="23405"/>
      <sheetData sheetId="23406"/>
      <sheetData sheetId="23407"/>
      <sheetData sheetId="23408"/>
      <sheetData sheetId="23409"/>
      <sheetData sheetId="23410"/>
      <sheetData sheetId="23411"/>
      <sheetData sheetId="23412"/>
      <sheetData sheetId="23413"/>
      <sheetData sheetId="23414"/>
      <sheetData sheetId="23415"/>
      <sheetData sheetId="23416"/>
      <sheetData sheetId="23417"/>
      <sheetData sheetId="23418"/>
      <sheetData sheetId="23419"/>
      <sheetData sheetId="23420"/>
      <sheetData sheetId="23421"/>
      <sheetData sheetId="23422"/>
      <sheetData sheetId="23423"/>
      <sheetData sheetId="23424"/>
      <sheetData sheetId="23425"/>
      <sheetData sheetId="23426"/>
      <sheetData sheetId="23427" refreshError="1"/>
      <sheetData sheetId="23428" refreshError="1"/>
      <sheetData sheetId="23429" refreshError="1"/>
      <sheetData sheetId="23430" refreshError="1"/>
      <sheetData sheetId="23431" refreshError="1"/>
      <sheetData sheetId="23432" refreshError="1"/>
      <sheetData sheetId="23433" refreshError="1"/>
      <sheetData sheetId="23434" refreshError="1"/>
      <sheetData sheetId="23435" refreshError="1"/>
      <sheetData sheetId="23436"/>
      <sheetData sheetId="23437" refreshError="1"/>
      <sheetData sheetId="23438" refreshError="1"/>
      <sheetData sheetId="23439" refreshError="1"/>
      <sheetData sheetId="23440" refreshError="1"/>
      <sheetData sheetId="23441" refreshError="1"/>
      <sheetData sheetId="23442" refreshError="1"/>
      <sheetData sheetId="23443" refreshError="1"/>
      <sheetData sheetId="23444" refreshError="1"/>
      <sheetData sheetId="23445" refreshError="1"/>
      <sheetData sheetId="23446" refreshError="1"/>
      <sheetData sheetId="23447" refreshError="1"/>
      <sheetData sheetId="23448" refreshError="1"/>
      <sheetData sheetId="23449" refreshError="1"/>
      <sheetData sheetId="23450" refreshError="1"/>
      <sheetData sheetId="23451" refreshError="1"/>
      <sheetData sheetId="23452" refreshError="1"/>
      <sheetData sheetId="23453" refreshError="1"/>
      <sheetData sheetId="23454" refreshError="1"/>
      <sheetData sheetId="23455" refreshError="1"/>
      <sheetData sheetId="23456" refreshError="1"/>
      <sheetData sheetId="23457" refreshError="1"/>
      <sheetData sheetId="23458" refreshError="1"/>
      <sheetData sheetId="23459" refreshError="1"/>
      <sheetData sheetId="23460" refreshError="1"/>
      <sheetData sheetId="23461" refreshError="1"/>
      <sheetData sheetId="23462" refreshError="1"/>
      <sheetData sheetId="23463" refreshError="1"/>
      <sheetData sheetId="23464" refreshError="1"/>
      <sheetData sheetId="23465" refreshError="1"/>
      <sheetData sheetId="23466" refreshError="1"/>
      <sheetData sheetId="23467" refreshError="1"/>
      <sheetData sheetId="23468" refreshError="1"/>
      <sheetData sheetId="23469" refreshError="1"/>
      <sheetData sheetId="23470" refreshError="1"/>
      <sheetData sheetId="23471" refreshError="1"/>
      <sheetData sheetId="23472" refreshError="1"/>
      <sheetData sheetId="23473" refreshError="1"/>
      <sheetData sheetId="23474" refreshError="1"/>
      <sheetData sheetId="23475" refreshError="1"/>
      <sheetData sheetId="23476" refreshError="1"/>
      <sheetData sheetId="23477" refreshError="1"/>
      <sheetData sheetId="23478" refreshError="1"/>
      <sheetData sheetId="23479" refreshError="1"/>
      <sheetData sheetId="23480" refreshError="1"/>
      <sheetData sheetId="23481" refreshError="1"/>
      <sheetData sheetId="23482" refreshError="1"/>
      <sheetData sheetId="23483" refreshError="1"/>
      <sheetData sheetId="23484" refreshError="1"/>
      <sheetData sheetId="23485" refreshError="1"/>
      <sheetData sheetId="23486" refreshError="1"/>
      <sheetData sheetId="23487" refreshError="1"/>
      <sheetData sheetId="23488" refreshError="1"/>
      <sheetData sheetId="23489" refreshError="1"/>
      <sheetData sheetId="23490" refreshError="1"/>
      <sheetData sheetId="23491" refreshError="1"/>
      <sheetData sheetId="23492" refreshError="1"/>
      <sheetData sheetId="23493" refreshError="1"/>
      <sheetData sheetId="23494" refreshError="1"/>
      <sheetData sheetId="23495" refreshError="1"/>
      <sheetData sheetId="23496" refreshError="1"/>
      <sheetData sheetId="23497" refreshError="1"/>
      <sheetData sheetId="23498" refreshError="1"/>
      <sheetData sheetId="23499" refreshError="1"/>
      <sheetData sheetId="23500" refreshError="1"/>
      <sheetData sheetId="23501" refreshError="1"/>
      <sheetData sheetId="23502" refreshError="1"/>
      <sheetData sheetId="23503" refreshError="1"/>
      <sheetData sheetId="23504" refreshError="1"/>
      <sheetData sheetId="23505" refreshError="1"/>
      <sheetData sheetId="23506" refreshError="1"/>
      <sheetData sheetId="23507" refreshError="1"/>
      <sheetData sheetId="23508" refreshError="1"/>
      <sheetData sheetId="23509" refreshError="1"/>
      <sheetData sheetId="23510" refreshError="1"/>
      <sheetData sheetId="23511" refreshError="1"/>
      <sheetData sheetId="23512" refreshError="1"/>
      <sheetData sheetId="23513" refreshError="1"/>
      <sheetData sheetId="23514" refreshError="1"/>
      <sheetData sheetId="23515" refreshError="1"/>
      <sheetData sheetId="23516" refreshError="1"/>
      <sheetData sheetId="23517" refreshError="1"/>
      <sheetData sheetId="23518" refreshError="1"/>
      <sheetData sheetId="23519" refreshError="1"/>
      <sheetData sheetId="23520" refreshError="1"/>
      <sheetData sheetId="23521" refreshError="1"/>
      <sheetData sheetId="23522" refreshError="1"/>
      <sheetData sheetId="23523" refreshError="1"/>
      <sheetData sheetId="23524" refreshError="1"/>
      <sheetData sheetId="23525" refreshError="1"/>
      <sheetData sheetId="23526" refreshError="1"/>
      <sheetData sheetId="23527" refreshError="1"/>
      <sheetData sheetId="23528" refreshError="1"/>
      <sheetData sheetId="23529" refreshError="1"/>
      <sheetData sheetId="23530" refreshError="1"/>
      <sheetData sheetId="23531" refreshError="1"/>
      <sheetData sheetId="23532" refreshError="1"/>
      <sheetData sheetId="23533" refreshError="1"/>
      <sheetData sheetId="23534" refreshError="1"/>
      <sheetData sheetId="23535" refreshError="1"/>
      <sheetData sheetId="23536" refreshError="1"/>
      <sheetData sheetId="23537"/>
      <sheetData sheetId="23538" refreshError="1"/>
      <sheetData sheetId="23539" refreshError="1"/>
      <sheetData sheetId="23540" refreshError="1"/>
      <sheetData sheetId="23541" refreshError="1"/>
      <sheetData sheetId="23542" refreshError="1"/>
      <sheetData sheetId="23543" refreshError="1"/>
      <sheetData sheetId="23544"/>
      <sheetData sheetId="23545"/>
      <sheetData sheetId="23546"/>
      <sheetData sheetId="23547"/>
      <sheetData sheetId="23548"/>
      <sheetData sheetId="23549"/>
      <sheetData sheetId="23550"/>
      <sheetData sheetId="23551"/>
      <sheetData sheetId="23552" refreshError="1"/>
      <sheetData sheetId="23553" refreshError="1"/>
      <sheetData sheetId="23554" refreshError="1"/>
      <sheetData sheetId="23555" refreshError="1"/>
      <sheetData sheetId="23556" refreshError="1"/>
      <sheetData sheetId="23557" refreshError="1"/>
      <sheetData sheetId="23558" refreshError="1"/>
      <sheetData sheetId="23559" refreshError="1"/>
      <sheetData sheetId="23560" refreshError="1"/>
      <sheetData sheetId="23561" refreshError="1"/>
      <sheetData sheetId="23562" refreshError="1"/>
      <sheetData sheetId="23563" refreshError="1"/>
      <sheetData sheetId="23564" refreshError="1"/>
      <sheetData sheetId="23565" refreshError="1"/>
      <sheetData sheetId="23566" refreshError="1"/>
      <sheetData sheetId="23567" refreshError="1"/>
      <sheetData sheetId="23568" refreshError="1"/>
      <sheetData sheetId="23569" refreshError="1"/>
      <sheetData sheetId="23570" refreshError="1"/>
      <sheetData sheetId="23571" refreshError="1"/>
      <sheetData sheetId="23572" refreshError="1"/>
      <sheetData sheetId="23573" refreshError="1"/>
      <sheetData sheetId="23574" refreshError="1"/>
      <sheetData sheetId="23575" refreshError="1"/>
      <sheetData sheetId="23576" refreshError="1"/>
      <sheetData sheetId="23577" refreshError="1"/>
      <sheetData sheetId="23578" refreshError="1"/>
      <sheetData sheetId="23579"/>
      <sheetData sheetId="23580" refreshError="1"/>
      <sheetData sheetId="23581" refreshError="1"/>
      <sheetData sheetId="23582" refreshError="1"/>
      <sheetData sheetId="23583" refreshError="1"/>
      <sheetData sheetId="23584" refreshError="1"/>
      <sheetData sheetId="23585" refreshError="1"/>
      <sheetData sheetId="23586" refreshError="1"/>
      <sheetData sheetId="23587" refreshError="1"/>
      <sheetData sheetId="23588" refreshError="1"/>
      <sheetData sheetId="23589" refreshError="1"/>
      <sheetData sheetId="23590" refreshError="1"/>
      <sheetData sheetId="23591" refreshError="1"/>
      <sheetData sheetId="23592" refreshError="1"/>
      <sheetData sheetId="23593" refreshError="1"/>
      <sheetData sheetId="23594" refreshError="1"/>
      <sheetData sheetId="23595"/>
      <sheetData sheetId="23596"/>
      <sheetData sheetId="23597"/>
      <sheetData sheetId="23598" refreshError="1"/>
      <sheetData sheetId="23599" refreshError="1"/>
      <sheetData sheetId="23600" refreshError="1"/>
      <sheetData sheetId="23601" refreshError="1"/>
      <sheetData sheetId="23602" refreshError="1"/>
      <sheetData sheetId="23603" refreshError="1"/>
      <sheetData sheetId="23604"/>
      <sheetData sheetId="23605"/>
      <sheetData sheetId="23606"/>
      <sheetData sheetId="23607"/>
      <sheetData sheetId="23608"/>
      <sheetData sheetId="23609" refreshError="1"/>
      <sheetData sheetId="23610" refreshError="1"/>
      <sheetData sheetId="23611" refreshError="1"/>
      <sheetData sheetId="23612" refreshError="1"/>
      <sheetData sheetId="23613" refreshError="1"/>
      <sheetData sheetId="23614" refreshError="1"/>
      <sheetData sheetId="23615" refreshError="1"/>
      <sheetData sheetId="23616" refreshError="1"/>
      <sheetData sheetId="23617" refreshError="1"/>
      <sheetData sheetId="23618" refreshError="1"/>
      <sheetData sheetId="23619" refreshError="1"/>
      <sheetData sheetId="23620" refreshError="1"/>
      <sheetData sheetId="23621" refreshError="1"/>
      <sheetData sheetId="23622" refreshError="1"/>
      <sheetData sheetId="23623" refreshError="1"/>
      <sheetData sheetId="23624" refreshError="1"/>
      <sheetData sheetId="23625" refreshError="1"/>
      <sheetData sheetId="23626" refreshError="1"/>
      <sheetData sheetId="23627" refreshError="1"/>
      <sheetData sheetId="23628" refreshError="1"/>
      <sheetData sheetId="23629" refreshError="1"/>
      <sheetData sheetId="23630" refreshError="1"/>
      <sheetData sheetId="23631" refreshError="1"/>
      <sheetData sheetId="23632" refreshError="1"/>
      <sheetData sheetId="23633" refreshError="1"/>
      <sheetData sheetId="23634" refreshError="1"/>
      <sheetData sheetId="23635" refreshError="1"/>
      <sheetData sheetId="23636" refreshError="1"/>
      <sheetData sheetId="23637" refreshError="1"/>
      <sheetData sheetId="23638" refreshError="1"/>
      <sheetData sheetId="23639" refreshError="1"/>
      <sheetData sheetId="23640" refreshError="1"/>
      <sheetData sheetId="23641" refreshError="1"/>
      <sheetData sheetId="23642" refreshError="1"/>
      <sheetData sheetId="23643" refreshError="1"/>
      <sheetData sheetId="23644" refreshError="1"/>
      <sheetData sheetId="23645" refreshError="1"/>
      <sheetData sheetId="23646" refreshError="1"/>
      <sheetData sheetId="23647" refreshError="1"/>
      <sheetData sheetId="23648" refreshError="1"/>
      <sheetData sheetId="23649" refreshError="1"/>
      <sheetData sheetId="23650" refreshError="1"/>
      <sheetData sheetId="23651" refreshError="1"/>
      <sheetData sheetId="23652" refreshError="1"/>
      <sheetData sheetId="23653" refreshError="1"/>
      <sheetData sheetId="23654" refreshError="1"/>
      <sheetData sheetId="23655" refreshError="1"/>
      <sheetData sheetId="23656" refreshError="1"/>
      <sheetData sheetId="23657" refreshError="1"/>
      <sheetData sheetId="23658" refreshError="1"/>
      <sheetData sheetId="23659" refreshError="1"/>
      <sheetData sheetId="23660" refreshError="1"/>
      <sheetData sheetId="23661" refreshError="1"/>
      <sheetData sheetId="23662" refreshError="1"/>
      <sheetData sheetId="23663" refreshError="1"/>
      <sheetData sheetId="23664" refreshError="1"/>
      <sheetData sheetId="23665" refreshError="1"/>
      <sheetData sheetId="23666" refreshError="1"/>
      <sheetData sheetId="23667" refreshError="1"/>
      <sheetData sheetId="23668" refreshError="1"/>
      <sheetData sheetId="23669" refreshError="1"/>
      <sheetData sheetId="23670" refreshError="1"/>
      <sheetData sheetId="23671" refreshError="1"/>
      <sheetData sheetId="23672" refreshError="1"/>
      <sheetData sheetId="23673" refreshError="1"/>
      <sheetData sheetId="23674" refreshError="1"/>
      <sheetData sheetId="23675" refreshError="1"/>
      <sheetData sheetId="23676" refreshError="1"/>
      <sheetData sheetId="23677" refreshError="1"/>
      <sheetData sheetId="23678" refreshError="1"/>
      <sheetData sheetId="23679" refreshError="1"/>
      <sheetData sheetId="23680" refreshError="1"/>
      <sheetData sheetId="23681" refreshError="1"/>
      <sheetData sheetId="23682" refreshError="1"/>
      <sheetData sheetId="23683" refreshError="1"/>
      <sheetData sheetId="23684" refreshError="1"/>
      <sheetData sheetId="23685" refreshError="1"/>
      <sheetData sheetId="23686" refreshError="1"/>
      <sheetData sheetId="23687" refreshError="1"/>
      <sheetData sheetId="23688" refreshError="1"/>
      <sheetData sheetId="23689" refreshError="1"/>
      <sheetData sheetId="23690" refreshError="1"/>
      <sheetData sheetId="23691" refreshError="1"/>
      <sheetData sheetId="23692" refreshError="1"/>
      <sheetData sheetId="23693" refreshError="1"/>
      <sheetData sheetId="23694" refreshError="1"/>
      <sheetData sheetId="23695" refreshError="1"/>
      <sheetData sheetId="23696" refreshError="1"/>
      <sheetData sheetId="23697" refreshError="1"/>
      <sheetData sheetId="23698" refreshError="1"/>
      <sheetData sheetId="23699" refreshError="1"/>
      <sheetData sheetId="23700" refreshError="1"/>
      <sheetData sheetId="23701" refreshError="1"/>
      <sheetData sheetId="23702" refreshError="1"/>
      <sheetData sheetId="23703" refreshError="1"/>
      <sheetData sheetId="23704" refreshError="1"/>
      <sheetData sheetId="23705" refreshError="1"/>
      <sheetData sheetId="23706" refreshError="1"/>
      <sheetData sheetId="23707" refreshError="1"/>
      <sheetData sheetId="23708" refreshError="1"/>
      <sheetData sheetId="23709" refreshError="1"/>
      <sheetData sheetId="23710" refreshError="1"/>
      <sheetData sheetId="23711" refreshError="1"/>
      <sheetData sheetId="23712" refreshError="1"/>
      <sheetData sheetId="23713" refreshError="1"/>
      <sheetData sheetId="23714" refreshError="1"/>
      <sheetData sheetId="23715" refreshError="1"/>
      <sheetData sheetId="23716" refreshError="1"/>
      <sheetData sheetId="23717" refreshError="1"/>
      <sheetData sheetId="23718" refreshError="1"/>
      <sheetData sheetId="23719" refreshError="1"/>
      <sheetData sheetId="23720" refreshError="1"/>
      <sheetData sheetId="23721" refreshError="1"/>
      <sheetData sheetId="23722" refreshError="1"/>
      <sheetData sheetId="23723" refreshError="1"/>
      <sheetData sheetId="23724" refreshError="1"/>
      <sheetData sheetId="23725" refreshError="1"/>
      <sheetData sheetId="23726" refreshError="1"/>
      <sheetData sheetId="23727" refreshError="1"/>
      <sheetData sheetId="23728" refreshError="1"/>
      <sheetData sheetId="23729" refreshError="1"/>
      <sheetData sheetId="23730" refreshError="1"/>
      <sheetData sheetId="23731" refreshError="1"/>
      <sheetData sheetId="23732" refreshError="1"/>
      <sheetData sheetId="23733" refreshError="1"/>
      <sheetData sheetId="23734" refreshError="1"/>
      <sheetData sheetId="23735" refreshError="1"/>
      <sheetData sheetId="23736" refreshError="1"/>
      <sheetData sheetId="23737" refreshError="1"/>
      <sheetData sheetId="23738" refreshError="1"/>
      <sheetData sheetId="23739" refreshError="1"/>
      <sheetData sheetId="23740" refreshError="1"/>
      <sheetData sheetId="23741" refreshError="1"/>
      <sheetData sheetId="23742" refreshError="1"/>
      <sheetData sheetId="23743" refreshError="1"/>
      <sheetData sheetId="23744" refreshError="1"/>
      <sheetData sheetId="23745" refreshError="1"/>
      <sheetData sheetId="23746" refreshError="1"/>
      <sheetData sheetId="23747" refreshError="1"/>
      <sheetData sheetId="23748" refreshError="1"/>
      <sheetData sheetId="23749" refreshError="1"/>
      <sheetData sheetId="23750" refreshError="1"/>
      <sheetData sheetId="23751" refreshError="1"/>
      <sheetData sheetId="23752" refreshError="1"/>
      <sheetData sheetId="23753" refreshError="1"/>
      <sheetData sheetId="23754" refreshError="1"/>
      <sheetData sheetId="23755" refreshError="1"/>
      <sheetData sheetId="23756" refreshError="1"/>
      <sheetData sheetId="23757" refreshError="1"/>
      <sheetData sheetId="23758" refreshError="1"/>
      <sheetData sheetId="23759" refreshError="1"/>
      <sheetData sheetId="23760" refreshError="1"/>
      <sheetData sheetId="23761" refreshError="1"/>
      <sheetData sheetId="23762" refreshError="1"/>
      <sheetData sheetId="23763" refreshError="1"/>
      <sheetData sheetId="23764" refreshError="1"/>
      <sheetData sheetId="23765" refreshError="1"/>
      <sheetData sheetId="23766" refreshError="1"/>
      <sheetData sheetId="23767" refreshError="1"/>
      <sheetData sheetId="23768" refreshError="1"/>
      <sheetData sheetId="23769" refreshError="1"/>
      <sheetData sheetId="23770" refreshError="1"/>
      <sheetData sheetId="23771" refreshError="1"/>
      <sheetData sheetId="23772" refreshError="1"/>
      <sheetData sheetId="23773" refreshError="1"/>
      <sheetData sheetId="23774" refreshError="1"/>
      <sheetData sheetId="23775" refreshError="1"/>
      <sheetData sheetId="23776" refreshError="1"/>
      <sheetData sheetId="23777" refreshError="1"/>
      <sheetData sheetId="23778" refreshError="1"/>
      <sheetData sheetId="23779" refreshError="1"/>
      <sheetData sheetId="23780" refreshError="1"/>
      <sheetData sheetId="23781" refreshError="1"/>
      <sheetData sheetId="23782" refreshError="1"/>
      <sheetData sheetId="23783" refreshError="1"/>
      <sheetData sheetId="23784" refreshError="1"/>
      <sheetData sheetId="23785"/>
      <sheetData sheetId="23786"/>
      <sheetData sheetId="23787" refreshError="1"/>
      <sheetData sheetId="23788" refreshError="1"/>
      <sheetData sheetId="23789" refreshError="1"/>
      <sheetData sheetId="23790" refreshError="1"/>
      <sheetData sheetId="23791" refreshError="1"/>
      <sheetData sheetId="23792"/>
      <sheetData sheetId="23793">
        <row r="1">
          <cell r="J1" t="str">
            <v>PROFIT=</v>
          </cell>
        </row>
      </sheetData>
      <sheetData sheetId="23794">
        <row r="1">
          <cell r="A1" t="str">
            <v>TECNICAS REUNIDAS, S. A.</v>
          </cell>
        </row>
      </sheetData>
      <sheetData sheetId="23795">
        <row r="1">
          <cell r="A1" t="str">
            <v>TECNICAS REUNIDAS, S. A.</v>
          </cell>
        </row>
      </sheetData>
      <sheetData sheetId="23796">
        <row r="1">
          <cell r="A1" t="str">
            <v>MONTHLY PLANNING</v>
          </cell>
        </row>
      </sheetData>
      <sheetData sheetId="23797">
        <row r="1">
          <cell r="A1" t="str">
            <v>MONTHLY PLANNING</v>
          </cell>
        </row>
      </sheetData>
      <sheetData sheetId="23798">
        <row r="1">
          <cell r="A1" t="str">
            <v>MONTHLY PLANNING</v>
          </cell>
        </row>
      </sheetData>
      <sheetData sheetId="23799">
        <row r="1">
          <cell r="A1" t="str">
            <v>MONTHLY PLANNING</v>
          </cell>
        </row>
      </sheetData>
      <sheetData sheetId="23800" refreshError="1"/>
      <sheetData sheetId="23801" refreshError="1"/>
      <sheetData sheetId="23802" refreshError="1"/>
      <sheetData sheetId="23803" refreshError="1"/>
      <sheetData sheetId="23804" refreshError="1"/>
      <sheetData sheetId="23805" refreshError="1"/>
      <sheetData sheetId="23806" refreshError="1"/>
      <sheetData sheetId="23807" refreshError="1"/>
      <sheetData sheetId="23808" refreshError="1"/>
      <sheetData sheetId="23809" refreshError="1"/>
      <sheetData sheetId="23810" refreshError="1"/>
      <sheetData sheetId="23811" refreshError="1"/>
      <sheetData sheetId="23812" refreshError="1"/>
      <sheetData sheetId="23813" refreshError="1"/>
      <sheetData sheetId="23814"/>
      <sheetData sheetId="23815"/>
      <sheetData sheetId="23816"/>
      <sheetData sheetId="23817"/>
      <sheetData sheetId="23818"/>
      <sheetData sheetId="23819"/>
      <sheetData sheetId="23820"/>
      <sheetData sheetId="23821"/>
      <sheetData sheetId="23822"/>
      <sheetData sheetId="23823"/>
      <sheetData sheetId="23824"/>
      <sheetData sheetId="23825"/>
      <sheetData sheetId="23826"/>
      <sheetData sheetId="23827" refreshError="1"/>
      <sheetData sheetId="23828" refreshError="1"/>
      <sheetData sheetId="23829" refreshError="1"/>
      <sheetData sheetId="23830" refreshError="1"/>
      <sheetData sheetId="23831">
        <row r="1">
          <cell r="A1" t="str">
            <v>MONTHLY PLANNING</v>
          </cell>
        </row>
      </sheetData>
      <sheetData sheetId="23832">
        <row r="1">
          <cell r="A1" t="str">
            <v>MONTHLY PLANNING</v>
          </cell>
        </row>
      </sheetData>
      <sheetData sheetId="23833" refreshError="1"/>
      <sheetData sheetId="23834" refreshError="1"/>
      <sheetData sheetId="23835" refreshError="1"/>
      <sheetData sheetId="23836" refreshError="1"/>
      <sheetData sheetId="23837" refreshError="1"/>
      <sheetData sheetId="23838" refreshError="1"/>
      <sheetData sheetId="23839" refreshError="1"/>
      <sheetData sheetId="23840"/>
      <sheetData sheetId="23841"/>
      <sheetData sheetId="23842" refreshError="1"/>
      <sheetData sheetId="23843"/>
      <sheetData sheetId="23844" refreshError="1"/>
      <sheetData sheetId="23845" refreshError="1"/>
      <sheetData sheetId="23846" refreshError="1"/>
      <sheetData sheetId="23847" refreshError="1"/>
      <sheetData sheetId="23848" refreshError="1"/>
      <sheetData sheetId="23849"/>
      <sheetData sheetId="23850"/>
      <sheetData sheetId="23851"/>
      <sheetData sheetId="23852"/>
      <sheetData sheetId="23853" refreshError="1"/>
      <sheetData sheetId="23854" refreshError="1"/>
      <sheetData sheetId="23855"/>
      <sheetData sheetId="23856"/>
      <sheetData sheetId="23857"/>
      <sheetData sheetId="23858"/>
      <sheetData sheetId="23859"/>
      <sheetData sheetId="23860"/>
      <sheetData sheetId="23861"/>
      <sheetData sheetId="23862"/>
      <sheetData sheetId="23863"/>
      <sheetData sheetId="23864"/>
      <sheetData sheetId="23865"/>
      <sheetData sheetId="23866"/>
      <sheetData sheetId="23867" refreshError="1"/>
      <sheetData sheetId="23868"/>
      <sheetData sheetId="23869" refreshError="1"/>
      <sheetData sheetId="23870" refreshError="1"/>
      <sheetData sheetId="23871" refreshError="1"/>
      <sheetData sheetId="23872">
        <row r="1">
          <cell r="A1" t="str">
            <v>TECNICAS REUNIDAS, S. A.</v>
          </cell>
        </row>
      </sheetData>
      <sheetData sheetId="23873" refreshError="1"/>
      <sheetData sheetId="23874" refreshError="1"/>
      <sheetData sheetId="23875" refreshError="1"/>
      <sheetData sheetId="23876" refreshError="1"/>
      <sheetData sheetId="23877" refreshError="1"/>
      <sheetData sheetId="23878" refreshError="1"/>
      <sheetData sheetId="23879" refreshError="1"/>
      <sheetData sheetId="23880" refreshError="1"/>
      <sheetData sheetId="23881" refreshError="1"/>
      <sheetData sheetId="23882"/>
      <sheetData sheetId="23883"/>
      <sheetData sheetId="23884"/>
      <sheetData sheetId="23885"/>
      <sheetData sheetId="23886">
        <row r="66">
          <cell r="G66">
            <v>0</v>
          </cell>
        </row>
      </sheetData>
      <sheetData sheetId="23887"/>
      <sheetData sheetId="23888"/>
      <sheetData sheetId="23889"/>
      <sheetData sheetId="23890"/>
      <sheetData sheetId="23891"/>
      <sheetData sheetId="23892"/>
      <sheetData sheetId="23893"/>
      <sheetData sheetId="23894"/>
      <sheetData sheetId="23895"/>
      <sheetData sheetId="23896"/>
      <sheetData sheetId="23897"/>
      <sheetData sheetId="23898" refreshError="1"/>
      <sheetData sheetId="23899"/>
      <sheetData sheetId="23900"/>
      <sheetData sheetId="23901">
        <row r="6">
          <cell r="E6">
            <v>247.45000000000002</v>
          </cell>
        </row>
      </sheetData>
      <sheetData sheetId="23902">
        <row r="8">
          <cell r="C8">
            <v>1265.747676</v>
          </cell>
        </row>
      </sheetData>
      <sheetData sheetId="23903"/>
      <sheetData sheetId="23904">
        <row r="3">
          <cell r="F3">
            <v>0.18</v>
          </cell>
        </row>
      </sheetData>
      <sheetData sheetId="23905" refreshError="1"/>
      <sheetData sheetId="23906" refreshError="1"/>
      <sheetData sheetId="23907" refreshError="1"/>
      <sheetData sheetId="23908" refreshError="1"/>
      <sheetData sheetId="23909">
        <row r="4">
          <cell r="C4">
            <v>44865</v>
          </cell>
        </row>
      </sheetData>
      <sheetData sheetId="23910"/>
      <sheetData sheetId="23911"/>
      <sheetData sheetId="23912"/>
      <sheetData sheetId="23913"/>
      <sheetData sheetId="23914"/>
      <sheetData sheetId="23915" refreshError="1"/>
      <sheetData sheetId="23916" refreshError="1"/>
      <sheetData sheetId="23917"/>
      <sheetData sheetId="23918" refreshError="1"/>
      <sheetData sheetId="23919" refreshError="1"/>
      <sheetData sheetId="23920">
        <row r="66">
          <cell r="G66">
            <v>0</v>
          </cell>
        </row>
      </sheetData>
      <sheetData sheetId="23921"/>
      <sheetData sheetId="23922" refreshError="1"/>
      <sheetData sheetId="23923" refreshError="1"/>
      <sheetData sheetId="23924" refreshError="1"/>
      <sheetData sheetId="23925" refreshError="1"/>
      <sheetData sheetId="23926" refreshError="1"/>
      <sheetData sheetId="23927" refreshError="1"/>
      <sheetData sheetId="23928" refreshError="1"/>
      <sheetData sheetId="23929" refreshError="1"/>
      <sheetData sheetId="23930" refreshError="1"/>
      <sheetData sheetId="23931" refreshError="1"/>
      <sheetData sheetId="23932" refreshError="1"/>
      <sheetData sheetId="23933" refreshError="1"/>
      <sheetData sheetId="23934"/>
      <sheetData sheetId="23935">
        <row r="6">
          <cell r="E6">
            <v>247.45000000000002</v>
          </cell>
        </row>
      </sheetData>
      <sheetData sheetId="23936">
        <row r="8">
          <cell r="C8">
            <v>1265.747676</v>
          </cell>
        </row>
      </sheetData>
      <sheetData sheetId="23937"/>
      <sheetData sheetId="23938">
        <row r="3">
          <cell r="F3">
            <v>0.18</v>
          </cell>
        </row>
      </sheetData>
      <sheetData sheetId="23939"/>
      <sheetData sheetId="23940"/>
      <sheetData sheetId="23941"/>
      <sheetData sheetId="23942"/>
      <sheetData sheetId="23943">
        <row r="4">
          <cell r="C4">
            <v>44865</v>
          </cell>
        </row>
      </sheetData>
      <sheetData sheetId="23944"/>
      <sheetData sheetId="23945"/>
      <sheetData sheetId="23946"/>
      <sheetData sheetId="23947"/>
      <sheetData sheetId="23948"/>
      <sheetData sheetId="23949"/>
      <sheetData sheetId="23950" refreshError="1"/>
      <sheetData sheetId="23951"/>
      <sheetData sheetId="23952" refreshError="1"/>
      <sheetData sheetId="23953" refreshError="1"/>
      <sheetData sheetId="23954">
        <row r="66">
          <cell r="G66">
            <v>0</v>
          </cell>
        </row>
      </sheetData>
      <sheetData sheetId="23955"/>
      <sheetData sheetId="23956" refreshError="1"/>
      <sheetData sheetId="23957" refreshError="1"/>
      <sheetData sheetId="23958" refreshError="1"/>
      <sheetData sheetId="23959"/>
      <sheetData sheetId="23960" refreshError="1"/>
      <sheetData sheetId="23961" refreshError="1"/>
      <sheetData sheetId="23962" refreshError="1"/>
      <sheetData sheetId="23963" refreshError="1"/>
      <sheetData sheetId="23964" refreshError="1"/>
      <sheetData sheetId="23965" refreshError="1"/>
      <sheetData sheetId="23966" refreshError="1"/>
      <sheetData sheetId="23967" refreshError="1"/>
      <sheetData sheetId="23968" refreshError="1"/>
      <sheetData sheetId="23969" refreshError="1"/>
      <sheetData sheetId="23970" refreshError="1"/>
      <sheetData sheetId="23971" refreshError="1"/>
      <sheetData sheetId="23972" refreshError="1"/>
      <sheetData sheetId="23973" refreshError="1"/>
      <sheetData sheetId="23974" refreshError="1"/>
      <sheetData sheetId="23975" refreshError="1"/>
      <sheetData sheetId="23976" refreshError="1"/>
      <sheetData sheetId="23977" refreshError="1"/>
      <sheetData sheetId="23978" refreshError="1"/>
      <sheetData sheetId="23979" refreshError="1"/>
      <sheetData sheetId="23980" refreshError="1"/>
      <sheetData sheetId="23981" refreshError="1"/>
      <sheetData sheetId="23982" refreshError="1"/>
      <sheetData sheetId="23983" refreshError="1"/>
      <sheetData sheetId="23984" refreshError="1"/>
      <sheetData sheetId="23985" refreshError="1"/>
      <sheetData sheetId="23986" refreshError="1"/>
      <sheetData sheetId="23987" refreshError="1"/>
      <sheetData sheetId="23988" refreshError="1"/>
      <sheetData sheetId="23989" refreshError="1"/>
      <sheetData sheetId="23990" refreshError="1"/>
      <sheetData sheetId="23991" refreshError="1"/>
      <sheetData sheetId="23992" refreshError="1"/>
      <sheetData sheetId="23993" refreshError="1"/>
      <sheetData sheetId="23994" refreshError="1"/>
      <sheetData sheetId="23995" refreshError="1"/>
      <sheetData sheetId="23996" refreshError="1"/>
      <sheetData sheetId="23997" refreshError="1"/>
      <sheetData sheetId="23998" refreshError="1"/>
      <sheetData sheetId="23999" refreshError="1"/>
      <sheetData sheetId="24000" refreshError="1"/>
      <sheetData sheetId="24001" refreshError="1"/>
      <sheetData sheetId="24002" refreshError="1"/>
      <sheetData sheetId="24003" refreshError="1"/>
      <sheetData sheetId="24004" refreshError="1"/>
      <sheetData sheetId="24005" refreshError="1"/>
      <sheetData sheetId="24006" refreshError="1"/>
      <sheetData sheetId="24007" refreshError="1"/>
      <sheetData sheetId="24008" refreshError="1"/>
      <sheetData sheetId="24009" refreshError="1"/>
      <sheetData sheetId="24010" refreshError="1"/>
      <sheetData sheetId="24011" refreshError="1"/>
      <sheetData sheetId="24012" refreshError="1"/>
      <sheetData sheetId="24013" refreshError="1"/>
      <sheetData sheetId="24014" refreshError="1"/>
      <sheetData sheetId="24015" refreshError="1"/>
      <sheetData sheetId="24016" refreshError="1"/>
      <sheetData sheetId="24017" refreshError="1"/>
      <sheetData sheetId="24018" refreshError="1"/>
      <sheetData sheetId="24019" refreshError="1"/>
      <sheetData sheetId="24020" refreshError="1"/>
      <sheetData sheetId="24021" refreshError="1"/>
      <sheetData sheetId="24022" refreshError="1"/>
      <sheetData sheetId="24023" refreshError="1"/>
      <sheetData sheetId="24024" refreshError="1"/>
      <sheetData sheetId="24025" refreshError="1"/>
      <sheetData sheetId="24026" refreshError="1"/>
      <sheetData sheetId="24027" refreshError="1"/>
      <sheetData sheetId="24028" refreshError="1"/>
      <sheetData sheetId="24029" refreshError="1"/>
      <sheetData sheetId="24030" refreshError="1"/>
      <sheetData sheetId="24031" refreshError="1"/>
      <sheetData sheetId="24032" refreshError="1"/>
      <sheetData sheetId="24033" refreshError="1"/>
      <sheetData sheetId="24034" refreshError="1"/>
      <sheetData sheetId="24035" refreshError="1"/>
      <sheetData sheetId="24036" refreshError="1"/>
      <sheetData sheetId="24037" refreshError="1"/>
      <sheetData sheetId="24038" refreshError="1"/>
      <sheetData sheetId="24039" refreshError="1"/>
      <sheetData sheetId="24040" refreshError="1"/>
      <sheetData sheetId="24041" refreshError="1"/>
      <sheetData sheetId="24042" refreshError="1"/>
      <sheetData sheetId="24043" refreshError="1"/>
      <sheetData sheetId="24044"/>
      <sheetData sheetId="24045"/>
      <sheetData sheetId="24046"/>
      <sheetData sheetId="24047"/>
      <sheetData sheetId="24048"/>
      <sheetData sheetId="24049"/>
      <sheetData sheetId="24050"/>
      <sheetData sheetId="24051"/>
      <sheetData sheetId="24052">
        <row r="9">
          <cell r="C9" t="str">
            <v>Tender</v>
          </cell>
        </row>
      </sheetData>
      <sheetData sheetId="24053"/>
      <sheetData sheetId="24054"/>
      <sheetData sheetId="24055"/>
      <sheetData sheetId="24056"/>
      <sheetData sheetId="24057" refreshError="1"/>
      <sheetData sheetId="24058" refreshError="1"/>
      <sheetData sheetId="24059" refreshError="1"/>
      <sheetData sheetId="24060" refreshError="1"/>
      <sheetData sheetId="24061" refreshError="1"/>
      <sheetData sheetId="24062" refreshError="1"/>
      <sheetData sheetId="24063" refreshError="1"/>
      <sheetData sheetId="24064" refreshError="1"/>
      <sheetData sheetId="24065" refreshError="1"/>
      <sheetData sheetId="24066" refreshError="1"/>
      <sheetData sheetId="24067" refreshError="1"/>
      <sheetData sheetId="24068" refreshError="1"/>
      <sheetData sheetId="24069" refreshError="1"/>
      <sheetData sheetId="24070" refreshError="1"/>
      <sheetData sheetId="24071" refreshError="1"/>
      <sheetData sheetId="24072" refreshError="1"/>
      <sheetData sheetId="24073" refreshError="1"/>
      <sheetData sheetId="24074" refreshError="1"/>
      <sheetData sheetId="24075" refreshError="1"/>
      <sheetData sheetId="24076" refreshError="1"/>
      <sheetData sheetId="24077" refreshError="1"/>
      <sheetData sheetId="24078" refreshError="1"/>
      <sheetData sheetId="24079" refreshError="1"/>
      <sheetData sheetId="24080" refreshError="1"/>
      <sheetData sheetId="24081" refreshError="1"/>
      <sheetData sheetId="24082" refreshError="1"/>
      <sheetData sheetId="24083" refreshError="1"/>
      <sheetData sheetId="24084" refreshError="1"/>
      <sheetData sheetId="24085" refreshError="1"/>
      <sheetData sheetId="24086" refreshError="1"/>
      <sheetData sheetId="24087" refreshError="1"/>
      <sheetData sheetId="24088" refreshError="1"/>
      <sheetData sheetId="24089" refreshError="1"/>
      <sheetData sheetId="24090" refreshError="1"/>
      <sheetData sheetId="24091" refreshError="1"/>
      <sheetData sheetId="24092" refreshError="1"/>
      <sheetData sheetId="24093" refreshError="1"/>
      <sheetData sheetId="24094" refreshError="1"/>
      <sheetData sheetId="24095" refreshError="1"/>
      <sheetData sheetId="24096" refreshError="1"/>
      <sheetData sheetId="24097" refreshError="1"/>
      <sheetData sheetId="24098" refreshError="1"/>
      <sheetData sheetId="24099" refreshError="1"/>
      <sheetData sheetId="24100" refreshError="1"/>
      <sheetData sheetId="24101" refreshError="1"/>
      <sheetData sheetId="24102" refreshError="1"/>
      <sheetData sheetId="24103" refreshError="1"/>
      <sheetData sheetId="24104" refreshError="1"/>
      <sheetData sheetId="24105" refreshError="1"/>
      <sheetData sheetId="24106" refreshError="1"/>
      <sheetData sheetId="24107" refreshError="1"/>
      <sheetData sheetId="24108" refreshError="1"/>
      <sheetData sheetId="24109" refreshError="1"/>
      <sheetData sheetId="24110" refreshError="1"/>
      <sheetData sheetId="24111" refreshError="1"/>
      <sheetData sheetId="24112" refreshError="1"/>
      <sheetData sheetId="24113" refreshError="1"/>
      <sheetData sheetId="24114" refreshError="1"/>
      <sheetData sheetId="24115" refreshError="1"/>
      <sheetData sheetId="24116" refreshError="1"/>
      <sheetData sheetId="24117" refreshError="1"/>
      <sheetData sheetId="24118" refreshError="1"/>
      <sheetData sheetId="24119" refreshError="1"/>
      <sheetData sheetId="24120" refreshError="1"/>
      <sheetData sheetId="24121" refreshError="1"/>
      <sheetData sheetId="24122" refreshError="1"/>
      <sheetData sheetId="24123" refreshError="1"/>
      <sheetData sheetId="24124" refreshError="1"/>
      <sheetData sheetId="24125" refreshError="1"/>
      <sheetData sheetId="24126" refreshError="1"/>
      <sheetData sheetId="24127" refreshError="1"/>
      <sheetData sheetId="24128" refreshError="1"/>
      <sheetData sheetId="24129" refreshError="1"/>
      <sheetData sheetId="24130" refreshError="1"/>
      <sheetData sheetId="24131" refreshError="1"/>
      <sheetData sheetId="24132" refreshError="1"/>
      <sheetData sheetId="24133" refreshError="1"/>
      <sheetData sheetId="24134" refreshError="1"/>
      <sheetData sheetId="24135" refreshError="1"/>
      <sheetData sheetId="24136" refreshError="1"/>
      <sheetData sheetId="24137" refreshError="1"/>
      <sheetData sheetId="24138" refreshError="1"/>
      <sheetData sheetId="24139" refreshError="1"/>
      <sheetData sheetId="24140" refreshError="1"/>
      <sheetData sheetId="24141" refreshError="1"/>
      <sheetData sheetId="24142" refreshError="1"/>
      <sheetData sheetId="24143" refreshError="1"/>
      <sheetData sheetId="24144" refreshError="1"/>
      <sheetData sheetId="24145" refreshError="1"/>
      <sheetData sheetId="24146" refreshError="1"/>
      <sheetData sheetId="24147" refreshError="1"/>
      <sheetData sheetId="24148" refreshError="1"/>
      <sheetData sheetId="24149" refreshError="1"/>
      <sheetData sheetId="24150" refreshError="1"/>
      <sheetData sheetId="24151" refreshError="1"/>
      <sheetData sheetId="24152" refreshError="1"/>
      <sheetData sheetId="24153" refreshError="1"/>
      <sheetData sheetId="24154" refreshError="1"/>
      <sheetData sheetId="24155" refreshError="1"/>
      <sheetData sheetId="24156" refreshError="1"/>
      <sheetData sheetId="24157" refreshError="1"/>
      <sheetData sheetId="24158" refreshError="1"/>
      <sheetData sheetId="24159" refreshError="1"/>
      <sheetData sheetId="24160" refreshError="1"/>
      <sheetData sheetId="24161" refreshError="1"/>
      <sheetData sheetId="24162" refreshError="1"/>
      <sheetData sheetId="24163" refreshError="1"/>
      <sheetData sheetId="24164" refreshError="1"/>
      <sheetData sheetId="24165" refreshError="1"/>
      <sheetData sheetId="24166" refreshError="1"/>
      <sheetData sheetId="24167" refreshError="1"/>
      <sheetData sheetId="24168" refreshError="1"/>
      <sheetData sheetId="24169" refreshError="1"/>
      <sheetData sheetId="24170" refreshError="1"/>
      <sheetData sheetId="24171" refreshError="1"/>
      <sheetData sheetId="24172" refreshError="1"/>
      <sheetData sheetId="24173" refreshError="1"/>
      <sheetData sheetId="24174" refreshError="1"/>
      <sheetData sheetId="24175" refreshError="1"/>
      <sheetData sheetId="24176" refreshError="1"/>
      <sheetData sheetId="24177" refreshError="1"/>
      <sheetData sheetId="24178" refreshError="1"/>
      <sheetData sheetId="24179" refreshError="1"/>
      <sheetData sheetId="24180" refreshError="1"/>
      <sheetData sheetId="24181" refreshError="1"/>
      <sheetData sheetId="24182" refreshError="1"/>
      <sheetData sheetId="24183" refreshError="1"/>
      <sheetData sheetId="24184" refreshError="1"/>
      <sheetData sheetId="24185" refreshError="1"/>
      <sheetData sheetId="24186" refreshError="1"/>
      <sheetData sheetId="24187" refreshError="1"/>
      <sheetData sheetId="24188" refreshError="1"/>
      <sheetData sheetId="24189" refreshError="1"/>
      <sheetData sheetId="24190" refreshError="1"/>
      <sheetData sheetId="24191" refreshError="1"/>
      <sheetData sheetId="24192" refreshError="1"/>
      <sheetData sheetId="24193" refreshError="1"/>
      <sheetData sheetId="24194" refreshError="1"/>
      <sheetData sheetId="24195" refreshError="1"/>
      <sheetData sheetId="24196" refreshError="1"/>
      <sheetData sheetId="24197" refreshError="1"/>
      <sheetData sheetId="24198" refreshError="1"/>
      <sheetData sheetId="24199" refreshError="1"/>
      <sheetData sheetId="24200" refreshError="1"/>
      <sheetData sheetId="24201" refreshError="1"/>
      <sheetData sheetId="24202" refreshError="1"/>
      <sheetData sheetId="24203" refreshError="1"/>
      <sheetData sheetId="24204" refreshError="1"/>
      <sheetData sheetId="24205" refreshError="1"/>
      <sheetData sheetId="24206" refreshError="1"/>
      <sheetData sheetId="24207" refreshError="1"/>
      <sheetData sheetId="24208" refreshError="1"/>
      <sheetData sheetId="24209" refreshError="1"/>
      <sheetData sheetId="24210" refreshError="1"/>
      <sheetData sheetId="24211" refreshError="1"/>
      <sheetData sheetId="24212" refreshError="1"/>
      <sheetData sheetId="24213" refreshError="1"/>
      <sheetData sheetId="24214" refreshError="1"/>
      <sheetData sheetId="24215" refreshError="1"/>
      <sheetData sheetId="24216" refreshError="1"/>
      <sheetData sheetId="24217" refreshError="1"/>
      <sheetData sheetId="24218" refreshError="1"/>
      <sheetData sheetId="24219" refreshError="1"/>
      <sheetData sheetId="24220" refreshError="1"/>
      <sheetData sheetId="24221" refreshError="1"/>
      <sheetData sheetId="24222" refreshError="1"/>
      <sheetData sheetId="24223" refreshError="1"/>
      <sheetData sheetId="24224" refreshError="1"/>
      <sheetData sheetId="24225" refreshError="1"/>
      <sheetData sheetId="24226" refreshError="1"/>
      <sheetData sheetId="24227" refreshError="1"/>
      <sheetData sheetId="24228" refreshError="1"/>
      <sheetData sheetId="24229" refreshError="1"/>
      <sheetData sheetId="24230" refreshError="1"/>
      <sheetData sheetId="24231" refreshError="1"/>
      <sheetData sheetId="24232" refreshError="1"/>
      <sheetData sheetId="24233" refreshError="1"/>
      <sheetData sheetId="24234" refreshError="1"/>
      <sheetData sheetId="24235" refreshError="1"/>
      <sheetData sheetId="24236" refreshError="1"/>
      <sheetData sheetId="24237" refreshError="1"/>
      <sheetData sheetId="24238" refreshError="1"/>
      <sheetData sheetId="24239" refreshError="1"/>
      <sheetData sheetId="24240" refreshError="1"/>
      <sheetData sheetId="24241" refreshError="1"/>
      <sheetData sheetId="24242" refreshError="1"/>
      <sheetData sheetId="24243" refreshError="1"/>
      <sheetData sheetId="24244" refreshError="1"/>
      <sheetData sheetId="24245" refreshError="1"/>
      <sheetData sheetId="24246" refreshError="1"/>
      <sheetData sheetId="24247" refreshError="1"/>
      <sheetData sheetId="24248" refreshError="1"/>
      <sheetData sheetId="24249" refreshError="1"/>
      <sheetData sheetId="24250" refreshError="1"/>
      <sheetData sheetId="24251" refreshError="1"/>
      <sheetData sheetId="24252" refreshError="1"/>
      <sheetData sheetId="24253" refreshError="1"/>
      <sheetData sheetId="24254" refreshError="1"/>
      <sheetData sheetId="24255" refreshError="1"/>
      <sheetData sheetId="24256" refreshError="1"/>
      <sheetData sheetId="24257" refreshError="1"/>
      <sheetData sheetId="24258" refreshError="1"/>
      <sheetData sheetId="24259" refreshError="1"/>
      <sheetData sheetId="24260" refreshError="1"/>
      <sheetData sheetId="24261" refreshError="1"/>
      <sheetData sheetId="24262" refreshError="1"/>
      <sheetData sheetId="24263" refreshError="1"/>
      <sheetData sheetId="24264" refreshError="1"/>
      <sheetData sheetId="24265" refreshError="1"/>
      <sheetData sheetId="24266" refreshError="1"/>
      <sheetData sheetId="24267" refreshError="1"/>
      <sheetData sheetId="24268" refreshError="1"/>
      <sheetData sheetId="24269" refreshError="1"/>
      <sheetData sheetId="24270" refreshError="1"/>
      <sheetData sheetId="24271" refreshError="1"/>
      <sheetData sheetId="24272" refreshError="1"/>
      <sheetData sheetId="24273" refreshError="1"/>
      <sheetData sheetId="24274" refreshError="1"/>
      <sheetData sheetId="24275" refreshError="1"/>
      <sheetData sheetId="24276" refreshError="1"/>
      <sheetData sheetId="24277" refreshError="1"/>
      <sheetData sheetId="24278" refreshError="1"/>
      <sheetData sheetId="24279" refreshError="1"/>
      <sheetData sheetId="24280" refreshError="1"/>
      <sheetData sheetId="24281" refreshError="1"/>
      <sheetData sheetId="24282" refreshError="1"/>
      <sheetData sheetId="24283" refreshError="1"/>
      <sheetData sheetId="24284" refreshError="1"/>
      <sheetData sheetId="24285" refreshError="1"/>
      <sheetData sheetId="24286" refreshError="1"/>
      <sheetData sheetId="24287" refreshError="1"/>
      <sheetData sheetId="24288" refreshError="1"/>
      <sheetData sheetId="24289" refreshError="1"/>
      <sheetData sheetId="24290" refreshError="1"/>
      <sheetData sheetId="24291" refreshError="1"/>
      <sheetData sheetId="24292" refreshError="1"/>
      <sheetData sheetId="24293" refreshError="1"/>
      <sheetData sheetId="24294" refreshError="1"/>
      <sheetData sheetId="24295" refreshError="1"/>
      <sheetData sheetId="24296" refreshError="1"/>
      <sheetData sheetId="24297" refreshError="1"/>
      <sheetData sheetId="24298" refreshError="1"/>
      <sheetData sheetId="24299" refreshError="1"/>
      <sheetData sheetId="24300" refreshError="1"/>
      <sheetData sheetId="24301" refreshError="1"/>
      <sheetData sheetId="24302" refreshError="1"/>
      <sheetData sheetId="24303" refreshError="1"/>
      <sheetData sheetId="24304" refreshError="1"/>
      <sheetData sheetId="24305" refreshError="1"/>
      <sheetData sheetId="24306" refreshError="1"/>
      <sheetData sheetId="24307" refreshError="1"/>
      <sheetData sheetId="24308" refreshError="1"/>
      <sheetData sheetId="24309" refreshError="1"/>
      <sheetData sheetId="24310" refreshError="1"/>
      <sheetData sheetId="24311" refreshError="1"/>
      <sheetData sheetId="24312" refreshError="1"/>
      <sheetData sheetId="24313" refreshError="1"/>
      <sheetData sheetId="24314" refreshError="1"/>
      <sheetData sheetId="24315" refreshError="1"/>
      <sheetData sheetId="24316" refreshError="1"/>
      <sheetData sheetId="24317" refreshError="1"/>
      <sheetData sheetId="24318" refreshError="1"/>
      <sheetData sheetId="24319" refreshError="1"/>
      <sheetData sheetId="24320" refreshError="1"/>
      <sheetData sheetId="24321" refreshError="1"/>
      <sheetData sheetId="24322" refreshError="1"/>
      <sheetData sheetId="24323" refreshError="1"/>
      <sheetData sheetId="24324" refreshError="1"/>
      <sheetData sheetId="24325" refreshError="1"/>
      <sheetData sheetId="24326" refreshError="1"/>
      <sheetData sheetId="24327" refreshError="1"/>
      <sheetData sheetId="24328" refreshError="1"/>
      <sheetData sheetId="24329" refreshError="1"/>
      <sheetData sheetId="24330" refreshError="1"/>
      <sheetData sheetId="24331" refreshError="1"/>
      <sheetData sheetId="24332" refreshError="1"/>
      <sheetData sheetId="24333" refreshError="1"/>
      <sheetData sheetId="24334" refreshError="1"/>
      <sheetData sheetId="24335" refreshError="1"/>
      <sheetData sheetId="24336" refreshError="1"/>
      <sheetData sheetId="24337" refreshError="1"/>
      <sheetData sheetId="24338" refreshError="1"/>
      <sheetData sheetId="24339" refreshError="1"/>
      <sheetData sheetId="24340" refreshError="1"/>
      <sheetData sheetId="24341" refreshError="1"/>
      <sheetData sheetId="24342" refreshError="1"/>
      <sheetData sheetId="24343" refreshError="1"/>
      <sheetData sheetId="24344" refreshError="1"/>
      <sheetData sheetId="24345" refreshError="1"/>
      <sheetData sheetId="24346" refreshError="1"/>
      <sheetData sheetId="24347" refreshError="1"/>
      <sheetData sheetId="24348" refreshError="1"/>
      <sheetData sheetId="24349" refreshError="1"/>
      <sheetData sheetId="24350" refreshError="1"/>
      <sheetData sheetId="24351" refreshError="1"/>
      <sheetData sheetId="24352" refreshError="1"/>
      <sheetData sheetId="24353" refreshError="1"/>
      <sheetData sheetId="24354" refreshError="1"/>
      <sheetData sheetId="24355" refreshError="1"/>
      <sheetData sheetId="24356" refreshError="1"/>
      <sheetData sheetId="24357" refreshError="1"/>
      <sheetData sheetId="24358" refreshError="1"/>
      <sheetData sheetId="24359" refreshError="1"/>
      <sheetData sheetId="24360" refreshError="1"/>
      <sheetData sheetId="24361" refreshError="1"/>
      <sheetData sheetId="24362" refreshError="1"/>
      <sheetData sheetId="24363" refreshError="1"/>
      <sheetData sheetId="24364" refreshError="1"/>
      <sheetData sheetId="24365" refreshError="1"/>
      <sheetData sheetId="24366" refreshError="1"/>
      <sheetData sheetId="24367" refreshError="1"/>
      <sheetData sheetId="24368" refreshError="1"/>
      <sheetData sheetId="24369" refreshError="1"/>
      <sheetData sheetId="24370" refreshError="1"/>
      <sheetData sheetId="24371" refreshError="1"/>
      <sheetData sheetId="24372" refreshError="1"/>
      <sheetData sheetId="24373" refreshError="1"/>
      <sheetData sheetId="24374" refreshError="1"/>
      <sheetData sheetId="24375" refreshError="1"/>
      <sheetData sheetId="24376" refreshError="1"/>
      <sheetData sheetId="24377" refreshError="1"/>
      <sheetData sheetId="24378" refreshError="1"/>
      <sheetData sheetId="24379" refreshError="1"/>
      <sheetData sheetId="24380" refreshError="1"/>
      <sheetData sheetId="24381" refreshError="1"/>
      <sheetData sheetId="24382" refreshError="1"/>
      <sheetData sheetId="24383" refreshError="1"/>
      <sheetData sheetId="24384" refreshError="1"/>
      <sheetData sheetId="24385" refreshError="1"/>
      <sheetData sheetId="24386" refreshError="1"/>
      <sheetData sheetId="24387" refreshError="1"/>
      <sheetData sheetId="24388" refreshError="1"/>
      <sheetData sheetId="24389" refreshError="1"/>
      <sheetData sheetId="24390" refreshError="1"/>
      <sheetData sheetId="24391" refreshError="1"/>
      <sheetData sheetId="24392" refreshError="1"/>
      <sheetData sheetId="24393" refreshError="1"/>
      <sheetData sheetId="24394" refreshError="1"/>
      <sheetData sheetId="24395" refreshError="1"/>
      <sheetData sheetId="24396" refreshError="1"/>
      <sheetData sheetId="24397" refreshError="1"/>
      <sheetData sheetId="24398" refreshError="1"/>
      <sheetData sheetId="24399" refreshError="1"/>
      <sheetData sheetId="24400" refreshError="1"/>
      <sheetData sheetId="24401" refreshError="1"/>
      <sheetData sheetId="24402" refreshError="1"/>
      <sheetData sheetId="24403" refreshError="1"/>
      <sheetData sheetId="24404" refreshError="1"/>
      <sheetData sheetId="24405" refreshError="1"/>
      <sheetData sheetId="24406" refreshError="1"/>
      <sheetData sheetId="24407" refreshError="1"/>
      <sheetData sheetId="24408" refreshError="1"/>
      <sheetData sheetId="24409" refreshError="1"/>
      <sheetData sheetId="24410" refreshError="1"/>
      <sheetData sheetId="24411" refreshError="1"/>
      <sheetData sheetId="24412" refreshError="1"/>
      <sheetData sheetId="24413" refreshError="1"/>
      <sheetData sheetId="24414" refreshError="1"/>
      <sheetData sheetId="24415" refreshError="1"/>
      <sheetData sheetId="24416" refreshError="1"/>
      <sheetData sheetId="24417" refreshError="1"/>
      <sheetData sheetId="24418" refreshError="1"/>
      <sheetData sheetId="24419" refreshError="1"/>
      <sheetData sheetId="24420" refreshError="1"/>
      <sheetData sheetId="24421" refreshError="1"/>
      <sheetData sheetId="24422" refreshError="1"/>
      <sheetData sheetId="24423" refreshError="1"/>
      <sheetData sheetId="24424" refreshError="1"/>
      <sheetData sheetId="24425" refreshError="1"/>
      <sheetData sheetId="24426" refreshError="1"/>
      <sheetData sheetId="24427" refreshError="1"/>
      <sheetData sheetId="24428" refreshError="1"/>
      <sheetData sheetId="24429" refreshError="1"/>
      <sheetData sheetId="24430" refreshError="1"/>
      <sheetData sheetId="24431" refreshError="1"/>
      <sheetData sheetId="24432" refreshError="1"/>
      <sheetData sheetId="24433" refreshError="1"/>
      <sheetData sheetId="24434" refreshError="1"/>
      <sheetData sheetId="24435" refreshError="1"/>
      <sheetData sheetId="24436" refreshError="1"/>
      <sheetData sheetId="24437" refreshError="1"/>
      <sheetData sheetId="24438" refreshError="1"/>
      <sheetData sheetId="24439" refreshError="1"/>
      <sheetData sheetId="24440" refreshError="1"/>
      <sheetData sheetId="24441" refreshError="1"/>
      <sheetData sheetId="24442" refreshError="1"/>
      <sheetData sheetId="24443" refreshError="1"/>
      <sheetData sheetId="24444" refreshError="1"/>
      <sheetData sheetId="24445" refreshError="1"/>
      <sheetData sheetId="24446" refreshError="1"/>
      <sheetData sheetId="24447" refreshError="1"/>
      <sheetData sheetId="24448" refreshError="1"/>
      <sheetData sheetId="24449" refreshError="1"/>
      <sheetData sheetId="24450" refreshError="1"/>
      <sheetData sheetId="24451" refreshError="1"/>
      <sheetData sheetId="24452" refreshError="1"/>
      <sheetData sheetId="24453" refreshError="1"/>
      <sheetData sheetId="24454" refreshError="1"/>
      <sheetData sheetId="24455" refreshError="1"/>
      <sheetData sheetId="24456" refreshError="1"/>
      <sheetData sheetId="24457" refreshError="1"/>
      <sheetData sheetId="24458" refreshError="1"/>
      <sheetData sheetId="24459" refreshError="1"/>
      <sheetData sheetId="24460" refreshError="1"/>
      <sheetData sheetId="24461" refreshError="1"/>
      <sheetData sheetId="24462" refreshError="1"/>
      <sheetData sheetId="24463" refreshError="1"/>
      <sheetData sheetId="24464" refreshError="1"/>
      <sheetData sheetId="24465" refreshError="1"/>
      <sheetData sheetId="24466" refreshError="1"/>
      <sheetData sheetId="24467" refreshError="1"/>
      <sheetData sheetId="24468" refreshError="1"/>
      <sheetData sheetId="24469" refreshError="1"/>
      <sheetData sheetId="24470" refreshError="1"/>
      <sheetData sheetId="24471" refreshError="1"/>
      <sheetData sheetId="24472" refreshError="1"/>
      <sheetData sheetId="24473" refreshError="1"/>
      <sheetData sheetId="24474" refreshError="1"/>
      <sheetData sheetId="24475" refreshError="1"/>
      <sheetData sheetId="24476" refreshError="1"/>
      <sheetData sheetId="24477" refreshError="1"/>
      <sheetData sheetId="24478" refreshError="1"/>
      <sheetData sheetId="24479" refreshError="1"/>
      <sheetData sheetId="24480" refreshError="1"/>
      <sheetData sheetId="24481" refreshError="1"/>
      <sheetData sheetId="24482" refreshError="1"/>
      <sheetData sheetId="24483" refreshError="1"/>
      <sheetData sheetId="24484" refreshError="1"/>
      <sheetData sheetId="24485" refreshError="1"/>
      <sheetData sheetId="24486" refreshError="1"/>
      <sheetData sheetId="24487" refreshError="1"/>
      <sheetData sheetId="24488" refreshError="1"/>
      <sheetData sheetId="24489" refreshError="1"/>
      <sheetData sheetId="24490" refreshError="1"/>
      <sheetData sheetId="24491" refreshError="1"/>
      <sheetData sheetId="24492" refreshError="1"/>
      <sheetData sheetId="24493" refreshError="1"/>
      <sheetData sheetId="24494" refreshError="1"/>
      <sheetData sheetId="24495" refreshError="1"/>
      <sheetData sheetId="24496" refreshError="1"/>
      <sheetData sheetId="24497" refreshError="1"/>
      <sheetData sheetId="24498" refreshError="1"/>
      <sheetData sheetId="24499" refreshError="1"/>
      <sheetData sheetId="24500" refreshError="1"/>
      <sheetData sheetId="24501" refreshError="1"/>
      <sheetData sheetId="24502" refreshError="1"/>
      <sheetData sheetId="24503" refreshError="1"/>
      <sheetData sheetId="24504" refreshError="1"/>
      <sheetData sheetId="24505" refreshError="1"/>
      <sheetData sheetId="24506" refreshError="1"/>
      <sheetData sheetId="24507" refreshError="1"/>
      <sheetData sheetId="24508" refreshError="1"/>
      <sheetData sheetId="24509" refreshError="1"/>
      <sheetData sheetId="24510" refreshError="1"/>
      <sheetData sheetId="24511" refreshError="1"/>
      <sheetData sheetId="24512" refreshError="1"/>
      <sheetData sheetId="24513" refreshError="1"/>
      <sheetData sheetId="24514" refreshError="1"/>
      <sheetData sheetId="24515" refreshError="1"/>
      <sheetData sheetId="24516" refreshError="1"/>
      <sheetData sheetId="24517" refreshError="1"/>
      <sheetData sheetId="24518" refreshError="1"/>
      <sheetData sheetId="24519" refreshError="1"/>
      <sheetData sheetId="24520" refreshError="1"/>
      <sheetData sheetId="24521" refreshError="1"/>
      <sheetData sheetId="24522" refreshError="1"/>
      <sheetData sheetId="24523" refreshError="1"/>
      <sheetData sheetId="24524" refreshError="1"/>
      <sheetData sheetId="24525" refreshError="1"/>
      <sheetData sheetId="24526" refreshError="1"/>
      <sheetData sheetId="24527" refreshError="1"/>
      <sheetData sheetId="24528" refreshError="1"/>
      <sheetData sheetId="24529" refreshError="1"/>
      <sheetData sheetId="24530" refreshError="1"/>
      <sheetData sheetId="24531" refreshError="1"/>
      <sheetData sheetId="24532" refreshError="1"/>
      <sheetData sheetId="24533" refreshError="1"/>
      <sheetData sheetId="24534" refreshError="1"/>
      <sheetData sheetId="24535" refreshError="1"/>
      <sheetData sheetId="24536" refreshError="1"/>
      <sheetData sheetId="24537" refreshError="1"/>
      <sheetData sheetId="24538" refreshError="1"/>
      <sheetData sheetId="24539" refreshError="1"/>
      <sheetData sheetId="24540" refreshError="1"/>
      <sheetData sheetId="24541" refreshError="1"/>
      <sheetData sheetId="24542" refreshError="1"/>
      <sheetData sheetId="24543" refreshError="1"/>
      <sheetData sheetId="24544" refreshError="1"/>
      <sheetData sheetId="24545" refreshError="1"/>
      <sheetData sheetId="24546" refreshError="1"/>
      <sheetData sheetId="24547" refreshError="1"/>
      <sheetData sheetId="24548" refreshError="1"/>
      <sheetData sheetId="24549" refreshError="1"/>
      <sheetData sheetId="24550" refreshError="1"/>
      <sheetData sheetId="24551" refreshError="1"/>
      <sheetData sheetId="24552" refreshError="1"/>
      <sheetData sheetId="24553" refreshError="1"/>
      <sheetData sheetId="24554" refreshError="1"/>
      <sheetData sheetId="24555" refreshError="1"/>
      <sheetData sheetId="24556" refreshError="1"/>
      <sheetData sheetId="24557" refreshError="1"/>
      <sheetData sheetId="24558" refreshError="1"/>
      <sheetData sheetId="24559" refreshError="1"/>
      <sheetData sheetId="24560" refreshError="1"/>
      <sheetData sheetId="24561" refreshError="1"/>
      <sheetData sheetId="24562" refreshError="1"/>
      <sheetData sheetId="24563" refreshError="1"/>
      <sheetData sheetId="24564" refreshError="1"/>
      <sheetData sheetId="24565" refreshError="1"/>
      <sheetData sheetId="24566" refreshError="1"/>
      <sheetData sheetId="24567" refreshError="1"/>
      <sheetData sheetId="24568" refreshError="1"/>
      <sheetData sheetId="24569" refreshError="1"/>
      <sheetData sheetId="24570" refreshError="1"/>
      <sheetData sheetId="24571" refreshError="1"/>
      <sheetData sheetId="24572" refreshError="1"/>
      <sheetData sheetId="24573" refreshError="1"/>
      <sheetData sheetId="24574" refreshError="1"/>
      <sheetData sheetId="24575" refreshError="1"/>
      <sheetData sheetId="24576" refreshError="1"/>
      <sheetData sheetId="24577" refreshError="1"/>
      <sheetData sheetId="24578" refreshError="1"/>
      <sheetData sheetId="24579" refreshError="1"/>
      <sheetData sheetId="24580" refreshError="1"/>
      <sheetData sheetId="24581" refreshError="1"/>
      <sheetData sheetId="24582" refreshError="1"/>
      <sheetData sheetId="24583" refreshError="1"/>
      <sheetData sheetId="24584" refreshError="1"/>
      <sheetData sheetId="24585" refreshError="1"/>
      <sheetData sheetId="24586" refreshError="1"/>
      <sheetData sheetId="24587" refreshError="1"/>
      <sheetData sheetId="24588" refreshError="1"/>
      <sheetData sheetId="24589" refreshError="1"/>
      <sheetData sheetId="24590" refreshError="1"/>
      <sheetData sheetId="24591" refreshError="1"/>
      <sheetData sheetId="24592" refreshError="1"/>
      <sheetData sheetId="24593" refreshError="1"/>
      <sheetData sheetId="24594" refreshError="1"/>
      <sheetData sheetId="24595" refreshError="1"/>
      <sheetData sheetId="24596" refreshError="1"/>
      <sheetData sheetId="24597" refreshError="1"/>
      <sheetData sheetId="24598" refreshError="1"/>
      <sheetData sheetId="24599" refreshError="1"/>
      <sheetData sheetId="24600" refreshError="1"/>
      <sheetData sheetId="24601" refreshError="1"/>
      <sheetData sheetId="24602" refreshError="1"/>
      <sheetData sheetId="24603" refreshError="1"/>
      <sheetData sheetId="24604" refreshError="1"/>
      <sheetData sheetId="24605" refreshError="1"/>
      <sheetData sheetId="24606" refreshError="1"/>
      <sheetData sheetId="24607" refreshError="1"/>
      <sheetData sheetId="24608" refreshError="1"/>
      <sheetData sheetId="24609" refreshError="1"/>
      <sheetData sheetId="24610" refreshError="1"/>
      <sheetData sheetId="24611" refreshError="1"/>
      <sheetData sheetId="24612" refreshError="1"/>
      <sheetData sheetId="24613" refreshError="1"/>
      <sheetData sheetId="24614" refreshError="1"/>
      <sheetData sheetId="24615" refreshError="1"/>
      <sheetData sheetId="24616" refreshError="1"/>
      <sheetData sheetId="24617" refreshError="1"/>
      <sheetData sheetId="24618" refreshError="1"/>
      <sheetData sheetId="24619" refreshError="1"/>
      <sheetData sheetId="24620" refreshError="1"/>
      <sheetData sheetId="24621" refreshError="1"/>
      <sheetData sheetId="24622" refreshError="1"/>
      <sheetData sheetId="24623" refreshError="1"/>
      <sheetData sheetId="24624" refreshError="1"/>
      <sheetData sheetId="24625" refreshError="1"/>
      <sheetData sheetId="24626" refreshError="1"/>
      <sheetData sheetId="24627" refreshError="1"/>
      <sheetData sheetId="24628" refreshError="1"/>
      <sheetData sheetId="24629" refreshError="1"/>
      <sheetData sheetId="24630" refreshError="1"/>
      <sheetData sheetId="24631" refreshError="1"/>
      <sheetData sheetId="24632" refreshError="1"/>
      <sheetData sheetId="24633" refreshError="1"/>
      <sheetData sheetId="24634" refreshError="1"/>
      <sheetData sheetId="24635" refreshError="1"/>
      <sheetData sheetId="24636" refreshError="1"/>
      <sheetData sheetId="24637" refreshError="1"/>
      <sheetData sheetId="24638" refreshError="1"/>
      <sheetData sheetId="24639" refreshError="1"/>
      <sheetData sheetId="24640" refreshError="1"/>
      <sheetData sheetId="24641" refreshError="1"/>
      <sheetData sheetId="24642" refreshError="1"/>
      <sheetData sheetId="24643" refreshError="1"/>
      <sheetData sheetId="24644" refreshError="1"/>
      <sheetData sheetId="24645" refreshError="1"/>
      <sheetData sheetId="24646" refreshError="1"/>
      <sheetData sheetId="24647" refreshError="1"/>
      <sheetData sheetId="24648" refreshError="1"/>
      <sheetData sheetId="24649" refreshError="1"/>
      <sheetData sheetId="24650" refreshError="1"/>
      <sheetData sheetId="24651" refreshError="1"/>
      <sheetData sheetId="24652" refreshError="1"/>
      <sheetData sheetId="24653" refreshError="1"/>
      <sheetData sheetId="24654" refreshError="1"/>
      <sheetData sheetId="24655" refreshError="1"/>
      <sheetData sheetId="24656" refreshError="1"/>
      <sheetData sheetId="24657" refreshError="1"/>
      <sheetData sheetId="24658" refreshError="1"/>
      <sheetData sheetId="24659" refreshError="1"/>
      <sheetData sheetId="24660" refreshError="1"/>
      <sheetData sheetId="24661" refreshError="1"/>
      <sheetData sheetId="24662" refreshError="1"/>
      <sheetData sheetId="24663" refreshError="1"/>
      <sheetData sheetId="24664" refreshError="1"/>
      <sheetData sheetId="24665" refreshError="1"/>
      <sheetData sheetId="24666" refreshError="1"/>
      <sheetData sheetId="24667" refreshError="1"/>
      <sheetData sheetId="24668" refreshError="1"/>
      <sheetData sheetId="24669" refreshError="1"/>
      <sheetData sheetId="24670" refreshError="1"/>
      <sheetData sheetId="24671" refreshError="1"/>
      <sheetData sheetId="24672" refreshError="1"/>
      <sheetData sheetId="24673" refreshError="1"/>
      <sheetData sheetId="24674" refreshError="1"/>
      <sheetData sheetId="24675" refreshError="1"/>
      <sheetData sheetId="24676" refreshError="1"/>
      <sheetData sheetId="24677" refreshError="1"/>
      <sheetData sheetId="24678" refreshError="1"/>
      <sheetData sheetId="24679" refreshError="1"/>
      <sheetData sheetId="24680" refreshError="1"/>
      <sheetData sheetId="24681" refreshError="1"/>
      <sheetData sheetId="24682" refreshError="1"/>
      <sheetData sheetId="24683" refreshError="1"/>
      <sheetData sheetId="24684" refreshError="1"/>
      <sheetData sheetId="24685" refreshError="1"/>
      <sheetData sheetId="24686" refreshError="1"/>
      <sheetData sheetId="24687" refreshError="1"/>
      <sheetData sheetId="24688" refreshError="1"/>
      <sheetData sheetId="24689" refreshError="1"/>
      <sheetData sheetId="24690" refreshError="1"/>
      <sheetData sheetId="24691" refreshError="1"/>
      <sheetData sheetId="24692" refreshError="1"/>
      <sheetData sheetId="24693" refreshError="1"/>
      <sheetData sheetId="24694" refreshError="1"/>
      <sheetData sheetId="24695" refreshError="1"/>
      <sheetData sheetId="24696" refreshError="1"/>
      <sheetData sheetId="24697" refreshError="1"/>
      <sheetData sheetId="24698" refreshError="1"/>
      <sheetData sheetId="24699" refreshError="1"/>
      <sheetData sheetId="24700" refreshError="1"/>
      <sheetData sheetId="24701" refreshError="1"/>
      <sheetData sheetId="24702" refreshError="1"/>
      <sheetData sheetId="24703" refreshError="1"/>
      <sheetData sheetId="24704" refreshError="1"/>
      <sheetData sheetId="24705" refreshError="1"/>
      <sheetData sheetId="24706" refreshError="1"/>
      <sheetData sheetId="24707" refreshError="1"/>
      <sheetData sheetId="24708" refreshError="1"/>
      <sheetData sheetId="24709" refreshError="1"/>
      <sheetData sheetId="24710" refreshError="1"/>
      <sheetData sheetId="24711" refreshError="1"/>
      <sheetData sheetId="24712" refreshError="1"/>
      <sheetData sheetId="24713" refreshError="1"/>
      <sheetData sheetId="24714" refreshError="1"/>
      <sheetData sheetId="24715" refreshError="1"/>
      <sheetData sheetId="24716" refreshError="1"/>
      <sheetData sheetId="24717" refreshError="1"/>
      <sheetData sheetId="24718" refreshError="1"/>
      <sheetData sheetId="24719" refreshError="1"/>
      <sheetData sheetId="24720" refreshError="1"/>
      <sheetData sheetId="24721" refreshError="1"/>
      <sheetData sheetId="24722" refreshError="1"/>
      <sheetData sheetId="24723" refreshError="1"/>
      <sheetData sheetId="24724" refreshError="1"/>
      <sheetData sheetId="24725" refreshError="1"/>
      <sheetData sheetId="24726" refreshError="1"/>
      <sheetData sheetId="24727" refreshError="1"/>
      <sheetData sheetId="24728" refreshError="1"/>
      <sheetData sheetId="24729" refreshError="1"/>
      <sheetData sheetId="24730" refreshError="1"/>
      <sheetData sheetId="24731" refreshError="1"/>
      <sheetData sheetId="24732" refreshError="1"/>
      <sheetData sheetId="24733" refreshError="1"/>
      <sheetData sheetId="24734" refreshError="1"/>
      <sheetData sheetId="24735" refreshError="1"/>
      <sheetData sheetId="24736" refreshError="1"/>
      <sheetData sheetId="24737" refreshError="1"/>
      <sheetData sheetId="24738" refreshError="1"/>
      <sheetData sheetId="24739" refreshError="1"/>
      <sheetData sheetId="24740" refreshError="1"/>
      <sheetData sheetId="24741" refreshError="1"/>
      <sheetData sheetId="24742" refreshError="1"/>
      <sheetData sheetId="24743" refreshError="1"/>
      <sheetData sheetId="24744" refreshError="1"/>
      <sheetData sheetId="24745" refreshError="1"/>
      <sheetData sheetId="24746" refreshError="1"/>
      <sheetData sheetId="24747" refreshError="1"/>
      <sheetData sheetId="24748" refreshError="1"/>
      <sheetData sheetId="24749" refreshError="1"/>
      <sheetData sheetId="24750" refreshError="1"/>
      <sheetData sheetId="24751" refreshError="1"/>
      <sheetData sheetId="24752" refreshError="1"/>
      <sheetData sheetId="24753" refreshError="1"/>
      <sheetData sheetId="24754" refreshError="1"/>
      <sheetData sheetId="24755" refreshError="1"/>
      <sheetData sheetId="24756" refreshError="1"/>
      <sheetData sheetId="24757" refreshError="1"/>
      <sheetData sheetId="24758" refreshError="1"/>
      <sheetData sheetId="24759" refreshError="1"/>
      <sheetData sheetId="24760" refreshError="1"/>
      <sheetData sheetId="24761" refreshError="1"/>
      <sheetData sheetId="24762" refreshError="1"/>
      <sheetData sheetId="24763" refreshError="1"/>
      <sheetData sheetId="24764" refreshError="1"/>
      <sheetData sheetId="24765" refreshError="1"/>
      <sheetData sheetId="24766" refreshError="1"/>
      <sheetData sheetId="24767" refreshError="1"/>
      <sheetData sheetId="24768" refreshError="1"/>
      <sheetData sheetId="24769" refreshError="1"/>
      <sheetData sheetId="24770" refreshError="1"/>
      <sheetData sheetId="24771" refreshError="1"/>
      <sheetData sheetId="24772" refreshError="1"/>
      <sheetData sheetId="24773" refreshError="1"/>
      <sheetData sheetId="24774" refreshError="1"/>
      <sheetData sheetId="24775" refreshError="1"/>
      <sheetData sheetId="24776" refreshError="1"/>
      <sheetData sheetId="24777" refreshError="1"/>
      <sheetData sheetId="24778" refreshError="1"/>
      <sheetData sheetId="24779" refreshError="1"/>
      <sheetData sheetId="24780" refreshError="1"/>
      <sheetData sheetId="24781" refreshError="1"/>
      <sheetData sheetId="24782" refreshError="1"/>
      <sheetData sheetId="24783" refreshError="1"/>
      <sheetData sheetId="24784" refreshError="1"/>
      <sheetData sheetId="24785" refreshError="1"/>
      <sheetData sheetId="24786" refreshError="1"/>
      <sheetData sheetId="24787" refreshError="1"/>
      <sheetData sheetId="24788" refreshError="1"/>
      <sheetData sheetId="24789" refreshError="1"/>
      <sheetData sheetId="24790" refreshError="1"/>
      <sheetData sheetId="24791" refreshError="1"/>
      <sheetData sheetId="24792" refreshError="1"/>
      <sheetData sheetId="24793" refreshError="1"/>
      <sheetData sheetId="24794" refreshError="1"/>
      <sheetData sheetId="24795" refreshError="1"/>
      <sheetData sheetId="24796" refreshError="1"/>
      <sheetData sheetId="24797" refreshError="1"/>
      <sheetData sheetId="24798" refreshError="1"/>
      <sheetData sheetId="24799" refreshError="1"/>
      <sheetData sheetId="24800" refreshError="1"/>
      <sheetData sheetId="24801" refreshError="1"/>
      <sheetData sheetId="24802" refreshError="1"/>
      <sheetData sheetId="24803" refreshError="1"/>
      <sheetData sheetId="24804" refreshError="1"/>
      <sheetData sheetId="24805" refreshError="1"/>
      <sheetData sheetId="24806" refreshError="1"/>
      <sheetData sheetId="24807" refreshError="1"/>
      <sheetData sheetId="24808"/>
      <sheetData sheetId="24809"/>
      <sheetData sheetId="24810"/>
      <sheetData sheetId="24811" refreshError="1"/>
      <sheetData sheetId="24812"/>
      <sheetData sheetId="24813"/>
      <sheetData sheetId="24814"/>
      <sheetData sheetId="24815"/>
      <sheetData sheetId="24816"/>
      <sheetData sheetId="24817"/>
      <sheetData sheetId="24818"/>
      <sheetData sheetId="24819"/>
      <sheetData sheetId="24820"/>
      <sheetData sheetId="24821"/>
      <sheetData sheetId="24822"/>
      <sheetData sheetId="24823" refreshError="1"/>
      <sheetData sheetId="24824"/>
      <sheetData sheetId="24825" refreshError="1"/>
      <sheetData sheetId="24826" refreshError="1"/>
      <sheetData sheetId="24827" refreshError="1"/>
      <sheetData sheetId="24828" refreshError="1"/>
      <sheetData sheetId="24829" refreshError="1"/>
      <sheetData sheetId="24830" refreshError="1"/>
      <sheetData sheetId="24831" refreshError="1"/>
      <sheetData sheetId="24832" refreshError="1"/>
      <sheetData sheetId="24833" refreshError="1"/>
      <sheetData sheetId="24834" refreshError="1"/>
      <sheetData sheetId="24835" refreshError="1"/>
      <sheetData sheetId="24836" refreshError="1"/>
      <sheetData sheetId="24837" refreshError="1"/>
      <sheetData sheetId="24838" refreshError="1"/>
      <sheetData sheetId="24839" refreshError="1"/>
      <sheetData sheetId="24840" refreshError="1"/>
      <sheetData sheetId="24841" refreshError="1"/>
      <sheetData sheetId="24842" refreshError="1"/>
      <sheetData sheetId="24843" refreshError="1"/>
      <sheetData sheetId="24844" refreshError="1"/>
      <sheetData sheetId="24845" refreshError="1"/>
      <sheetData sheetId="24846" refreshError="1"/>
      <sheetData sheetId="24847" refreshError="1"/>
      <sheetData sheetId="24848" refreshError="1"/>
      <sheetData sheetId="24849" refreshError="1"/>
      <sheetData sheetId="24850" refreshError="1"/>
      <sheetData sheetId="24851" refreshError="1"/>
      <sheetData sheetId="24852" refreshError="1"/>
      <sheetData sheetId="24853" refreshError="1"/>
      <sheetData sheetId="24854" refreshError="1"/>
      <sheetData sheetId="24855" refreshError="1"/>
      <sheetData sheetId="24856" refreshError="1"/>
      <sheetData sheetId="24857" refreshError="1"/>
      <sheetData sheetId="24858" refreshError="1"/>
      <sheetData sheetId="24859" refreshError="1"/>
      <sheetData sheetId="24860" refreshError="1"/>
      <sheetData sheetId="24861"/>
      <sheetData sheetId="24862" refreshError="1"/>
      <sheetData sheetId="24863"/>
      <sheetData sheetId="24864"/>
      <sheetData sheetId="24865"/>
      <sheetData sheetId="24866"/>
      <sheetData sheetId="24867"/>
      <sheetData sheetId="24868"/>
      <sheetData sheetId="24869"/>
      <sheetData sheetId="24870" refreshError="1"/>
      <sheetData sheetId="24871" refreshError="1"/>
      <sheetData sheetId="24872" refreshError="1"/>
      <sheetData sheetId="24873"/>
      <sheetData sheetId="24874"/>
      <sheetData sheetId="24875" refreshError="1"/>
      <sheetData sheetId="24876" refreshError="1"/>
      <sheetData sheetId="24877" refreshError="1"/>
      <sheetData sheetId="24878" refreshError="1"/>
      <sheetData sheetId="24879" refreshError="1"/>
      <sheetData sheetId="24880" refreshError="1"/>
      <sheetData sheetId="24881"/>
      <sheetData sheetId="24882"/>
      <sheetData sheetId="24883"/>
      <sheetData sheetId="24884"/>
      <sheetData sheetId="24885"/>
      <sheetData sheetId="24886"/>
      <sheetData sheetId="24887"/>
      <sheetData sheetId="24888"/>
      <sheetData sheetId="24889" refreshError="1"/>
      <sheetData sheetId="24890" refreshError="1"/>
      <sheetData sheetId="24891" refreshError="1"/>
      <sheetData sheetId="24892" refreshError="1"/>
      <sheetData sheetId="24893" refreshError="1"/>
      <sheetData sheetId="24894" refreshError="1"/>
      <sheetData sheetId="24895" refreshError="1"/>
      <sheetData sheetId="24896" refreshError="1"/>
      <sheetData sheetId="24897" refreshError="1"/>
      <sheetData sheetId="24898" refreshError="1"/>
      <sheetData sheetId="24899" refreshError="1"/>
      <sheetData sheetId="24900" refreshError="1"/>
      <sheetData sheetId="24901" refreshError="1"/>
      <sheetData sheetId="24902" refreshError="1"/>
      <sheetData sheetId="24903" refreshError="1"/>
      <sheetData sheetId="24904" refreshError="1"/>
      <sheetData sheetId="24905" refreshError="1"/>
      <sheetData sheetId="24906" refreshError="1"/>
      <sheetData sheetId="24907" refreshError="1"/>
      <sheetData sheetId="24908" refreshError="1"/>
      <sheetData sheetId="24909" refreshError="1"/>
      <sheetData sheetId="24910" refreshError="1"/>
      <sheetData sheetId="24911" refreshError="1"/>
      <sheetData sheetId="24912" refreshError="1"/>
      <sheetData sheetId="24913" refreshError="1"/>
      <sheetData sheetId="24914" refreshError="1"/>
      <sheetData sheetId="24915" refreshError="1"/>
      <sheetData sheetId="24916" refreshError="1"/>
      <sheetData sheetId="24917" refreshError="1"/>
      <sheetData sheetId="24918" refreshError="1"/>
      <sheetData sheetId="24919" refreshError="1"/>
      <sheetData sheetId="24920"/>
      <sheetData sheetId="24921" refreshError="1"/>
      <sheetData sheetId="24922" refreshError="1"/>
      <sheetData sheetId="24923" refreshError="1"/>
      <sheetData sheetId="24924"/>
      <sheetData sheetId="24925">
        <row r="1413">
          <cell r="O1413">
            <v>1.22248</v>
          </cell>
        </row>
      </sheetData>
      <sheetData sheetId="24926" refreshError="1"/>
      <sheetData sheetId="24927" refreshError="1"/>
      <sheetData sheetId="24928"/>
      <sheetData sheetId="24929"/>
      <sheetData sheetId="24930"/>
      <sheetData sheetId="24931"/>
      <sheetData sheetId="24932"/>
      <sheetData sheetId="24933"/>
      <sheetData sheetId="24934"/>
      <sheetData sheetId="24935"/>
      <sheetData sheetId="24936"/>
      <sheetData sheetId="24937"/>
      <sheetData sheetId="24938" refreshError="1"/>
      <sheetData sheetId="24939" refreshError="1"/>
      <sheetData sheetId="24940" refreshError="1"/>
      <sheetData sheetId="24941" refreshError="1"/>
      <sheetData sheetId="24942" refreshError="1"/>
      <sheetData sheetId="24943" refreshError="1"/>
      <sheetData sheetId="24944" refreshError="1"/>
      <sheetData sheetId="24945" refreshError="1"/>
      <sheetData sheetId="24946"/>
      <sheetData sheetId="24947" refreshError="1"/>
      <sheetData sheetId="24948"/>
      <sheetData sheetId="24949" refreshError="1"/>
      <sheetData sheetId="24950" refreshError="1"/>
      <sheetData sheetId="24951" refreshError="1"/>
      <sheetData sheetId="24952" refreshError="1"/>
      <sheetData sheetId="24953" refreshError="1"/>
      <sheetData sheetId="24954" refreshError="1"/>
      <sheetData sheetId="24955" refreshError="1"/>
      <sheetData sheetId="24956" refreshError="1"/>
      <sheetData sheetId="24957"/>
      <sheetData sheetId="24958" refreshError="1"/>
      <sheetData sheetId="24959">
        <row r="1413">
          <cell r="O1413">
            <v>1.22248</v>
          </cell>
        </row>
      </sheetData>
      <sheetData sheetId="24960" refreshError="1"/>
      <sheetData sheetId="24961" refreshError="1"/>
      <sheetData sheetId="24962" refreshError="1"/>
      <sheetData sheetId="24963" refreshError="1"/>
      <sheetData sheetId="24964" refreshError="1"/>
      <sheetData sheetId="24965" refreshError="1"/>
      <sheetData sheetId="24966" refreshError="1"/>
      <sheetData sheetId="24967" refreshError="1"/>
      <sheetData sheetId="24968" refreshError="1"/>
      <sheetData sheetId="24969" refreshError="1"/>
      <sheetData sheetId="24970" refreshError="1"/>
      <sheetData sheetId="24971" refreshError="1"/>
      <sheetData sheetId="24972" refreshError="1"/>
      <sheetData sheetId="24973" refreshError="1"/>
      <sheetData sheetId="24974" refreshError="1"/>
      <sheetData sheetId="24975" refreshError="1"/>
      <sheetData sheetId="24976" refreshError="1"/>
      <sheetData sheetId="24977" refreshError="1"/>
      <sheetData sheetId="24978" refreshError="1"/>
      <sheetData sheetId="24979" refreshError="1"/>
      <sheetData sheetId="24980" refreshError="1"/>
      <sheetData sheetId="24981" refreshError="1"/>
      <sheetData sheetId="24982"/>
      <sheetData sheetId="24983" refreshError="1"/>
      <sheetData sheetId="24984" refreshError="1"/>
      <sheetData sheetId="24985" refreshError="1"/>
      <sheetData sheetId="24986" refreshError="1"/>
      <sheetData sheetId="24987" refreshError="1"/>
      <sheetData sheetId="24988" refreshError="1"/>
      <sheetData sheetId="24989" refreshError="1"/>
      <sheetData sheetId="24990" refreshError="1"/>
      <sheetData sheetId="24991" refreshError="1"/>
      <sheetData sheetId="24992" refreshError="1"/>
      <sheetData sheetId="24993" refreshError="1"/>
      <sheetData sheetId="24994" refreshError="1"/>
      <sheetData sheetId="24995" refreshError="1"/>
      <sheetData sheetId="24996" refreshError="1"/>
      <sheetData sheetId="24997" refreshError="1"/>
      <sheetData sheetId="24998" refreshError="1"/>
      <sheetData sheetId="24999" refreshError="1"/>
      <sheetData sheetId="25000" refreshError="1"/>
      <sheetData sheetId="25001" refreshError="1"/>
      <sheetData sheetId="25002" refreshError="1"/>
      <sheetData sheetId="25003" refreshError="1"/>
      <sheetData sheetId="25004" refreshError="1"/>
      <sheetData sheetId="25005" refreshError="1"/>
      <sheetData sheetId="25006" refreshError="1"/>
      <sheetData sheetId="25007" refreshError="1"/>
      <sheetData sheetId="25008" refreshError="1"/>
      <sheetData sheetId="25009" refreshError="1"/>
      <sheetData sheetId="25010" refreshError="1"/>
      <sheetData sheetId="25011" refreshError="1"/>
      <sheetData sheetId="25012" refreshError="1"/>
      <sheetData sheetId="25013" refreshError="1"/>
      <sheetData sheetId="25014" refreshError="1"/>
      <sheetData sheetId="25015" refreshError="1"/>
      <sheetData sheetId="25016" refreshError="1"/>
      <sheetData sheetId="25017" refreshError="1"/>
      <sheetData sheetId="25018" refreshError="1"/>
      <sheetData sheetId="25019" refreshError="1"/>
      <sheetData sheetId="25020" refreshError="1"/>
      <sheetData sheetId="25021" refreshError="1"/>
      <sheetData sheetId="25022" refreshError="1"/>
      <sheetData sheetId="25023" refreshError="1"/>
      <sheetData sheetId="25024" refreshError="1"/>
      <sheetData sheetId="25025" refreshError="1"/>
      <sheetData sheetId="25026" refreshError="1"/>
      <sheetData sheetId="25027" refreshError="1"/>
      <sheetData sheetId="25028" refreshError="1"/>
      <sheetData sheetId="25029" refreshError="1"/>
      <sheetData sheetId="25030" refreshError="1"/>
      <sheetData sheetId="25031" refreshError="1"/>
      <sheetData sheetId="25032" refreshError="1"/>
      <sheetData sheetId="25033" refreshError="1"/>
      <sheetData sheetId="25034" refreshError="1"/>
      <sheetData sheetId="25035" refreshError="1"/>
      <sheetData sheetId="25036" refreshError="1"/>
      <sheetData sheetId="25037" refreshError="1"/>
      <sheetData sheetId="25038" refreshError="1"/>
      <sheetData sheetId="25039" refreshError="1"/>
      <sheetData sheetId="25040" refreshError="1"/>
      <sheetData sheetId="25041" refreshError="1"/>
      <sheetData sheetId="25042" refreshError="1"/>
      <sheetData sheetId="25043" refreshError="1"/>
      <sheetData sheetId="25044" refreshError="1"/>
      <sheetData sheetId="25045" refreshError="1"/>
      <sheetData sheetId="25046" refreshError="1"/>
      <sheetData sheetId="25047" refreshError="1"/>
      <sheetData sheetId="25048" refreshError="1"/>
      <sheetData sheetId="25049" refreshError="1"/>
      <sheetData sheetId="25050" refreshError="1"/>
      <sheetData sheetId="25051" refreshError="1"/>
      <sheetData sheetId="25052" refreshError="1"/>
      <sheetData sheetId="25053" refreshError="1"/>
      <sheetData sheetId="25054" refreshError="1"/>
      <sheetData sheetId="25055" refreshError="1"/>
      <sheetData sheetId="25056" refreshError="1"/>
      <sheetData sheetId="25057" refreshError="1"/>
      <sheetData sheetId="25058" refreshError="1"/>
      <sheetData sheetId="25059" refreshError="1"/>
      <sheetData sheetId="25060" refreshError="1"/>
      <sheetData sheetId="25061" refreshError="1"/>
      <sheetData sheetId="25062" refreshError="1"/>
      <sheetData sheetId="25063" refreshError="1"/>
      <sheetData sheetId="25064" refreshError="1"/>
      <sheetData sheetId="25065" refreshError="1"/>
      <sheetData sheetId="25066" refreshError="1"/>
      <sheetData sheetId="25067" refreshError="1"/>
      <sheetData sheetId="25068" refreshError="1"/>
      <sheetData sheetId="25069" refreshError="1"/>
      <sheetData sheetId="25070" refreshError="1"/>
      <sheetData sheetId="25071" refreshError="1"/>
      <sheetData sheetId="25072" refreshError="1"/>
      <sheetData sheetId="25073" refreshError="1"/>
      <sheetData sheetId="25074" refreshError="1"/>
      <sheetData sheetId="25075" refreshError="1"/>
      <sheetData sheetId="25076" refreshError="1"/>
      <sheetData sheetId="25077" refreshError="1"/>
      <sheetData sheetId="25078" refreshError="1"/>
      <sheetData sheetId="25079" refreshError="1"/>
      <sheetData sheetId="25080" refreshError="1"/>
      <sheetData sheetId="25081" refreshError="1"/>
      <sheetData sheetId="25082" refreshError="1"/>
      <sheetData sheetId="25083" refreshError="1"/>
      <sheetData sheetId="25084" refreshError="1"/>
      <sheetData sheetId="25085" refreshError="1"/>
      <sheetData sheetId="25086" refreshError="1"/>
      <sheetData sheetId="25087" refreshError="1"/>
      <sheetData sheetId="25088" refreshError="1"/>
      <sheetData sheetId="25089" refreshError="1"/>
      <sheetData sheetId="25090" refreshError="1"/>
      <sheetData sheetId="25091" refreshError="1"/>
      <sheetData sheetId="25092" refreshError="1"/>
      <sheetData sheetId="25093" refreshError="1"/>
      <sheetData sheetId="25094" refreshError="1"/>
      <sheetData sheetId="25095" refreshError="1"/>
      <sheetData sheetId="25096" refreshError="1"/>
      <sheetData sheetId="25097" refreshError="1"/>
      <sheetData sheetId="25098" refreshError="1"/>
      <sheetData sheetId="25099" refreshError="1"/>
      <sheetData sheetId="25100" refreshError="1"/>
      <sheetData sheetId="25101" refreshError="1"/>
      <sheetData sheetId="25102" refreshError="1"/>
      <sheetData sheetId="25103" refreshError="1"/>
      <sheetData sheetId="25104" refreshError="1"/>
      <sheetData sheetId="25105" refreshError="1"/>
      <sheetData sheetId="25106" refreshError="1"/>
      <sheetData sheetId="25107" refreshError="1"/>
      <sheetData sheetId="25108" refreshError="1"/>
      <sheetData sheetId="25109" refreshError="1"/>
      <sheetData sheetId="25110" refreshError="1"/>
      <sheetData sheetId="25111" refreshError="1"/>
      <sheetData sheetId="25112" refreshError="1"/>
      <sheetData sheetId="25113" refreshError="1"/>
      <sheetData sheetId="25114" refreshError="1"/>
      <sheetData sheetId="25115" refreshError="1"/>
      <sheetData sheetId="25116" refreshError="1"/>
      <sheetData sheetId="25117" refreshError="1"/>
      <sheetData sheetId="25118" refreshError="1"/>
      <sheetData sheetId="25119" refreshError="1"/>
      <sheetData sheetId="25120" refreshError="1"/>
      <sheetData sheetId="25121" refreshError="1"/>
      <sheetData sheetId="25122" refreshError="1"/>
      <sheetData sheetId="25123" refreshError="1"/>
      <sheetData sheetId="25124" refreshError="1"/>
      <sheetData sheetId="25125" refreshError="1"/>
      <sheetData sheetId="25126" refreshError="1"/>
      <sheetData sheetId="25127" refreshError="1"/>
      <sheetData sheetId="25128" refreshError="1"/>
      <sheetData sheetId="25129" refreshError="1"/>
      <sheetData sheetId="25130" refreshError="1"/>
      <sheetData sheetId="25131" refreshError="1"/>
      <sheetData sheetId="25132" refreshError="1"/>
      <sheetData sheetId="25133" refreshError="1"/>
      <sheetData sheetId="25134" refreshError="1"/>
      <sheetData sheetId="25135" refreshError="1"/>
      <sheetData sheetId="25136" refreshError="1"/>
      <sheetData sheetId="25137" refreshError="1"/>
      <sheetData sheetId="25138" refreshError="1"/>
      <sheetData sheetId="25139" refreshError="1"/>
      <sheetData sheetId="25140" refreshError="1"/>
      <sheetData sheetId="25141" refreshError="1"/>
      <sheetData sheetId="25142" refreshError="1"/>
      <sheetData sheetId="25143" refreshError="1"/>
      <sheetData sheetId="25144" refreshError="1"/>
      <sheetData sheetId="25145" refreshError="1"/>
      <sheetData sheetId="25146" refreshError="1"/>
      <sheetData sheetId="25147" refreshError="1"/>
      <sheetData sheetId="25148" refreshError="1"/>
      <sheetData sheetId="25149" refreshError="1"/>
      <sheetData sheetId="25150" refreshError="1"/>
      <sheetData sheetId="25151" refreshError="1"/>
      <sheetData sheetId="25152" refreshError="1"/>
      <sheetData sheetId="25153" refreshError="1"/>
      <sheetData sheetId="25154" refreshError="1"/>
      <sheetData sheetId="25155" refreshError="1"/>
      <sheetData sheetId="25156" refreshError="1"/>
      <sheetData sheetId="25157" refreshError="1"/>
      <sheetData sheetId="25158" refreshError="1"/>
      <sheetData sheetId="25159" refreshError="1"/>
      <sheetData sheetId="25160" refreshError="1"/>
      <sheetData sheetId="25161" refreshError="1"/>
      <sheetData sheetId="25162" refreshError="1"/>
      <sheetData sheetId="25163" refreshError="1"/>
      <sheetData sheetId="25164" refreshError="1"/>
      <sheetData sheetId="25165" refreshError="1"/>
      <sheetData sheetId="25166" refreshError="1"/>
      <sheetData sheetId="25167" refreshError="1"/>
      <sheetData sheetId="25168" refreshError="1"/>
      <sheetData sheetId="25169" refreshError="1"/>
      <sheetData sheetId="25170" refreshError="1"/>
      <sheetData sheetId="25171" refreshError="1"/>
      <sheetData sheetId="25172" refreshError="1"/>
      <sheetData sheetId="25173" refreshError="1"/>
      <sheetData sheetId="25174" refreshError="1"/>
      <sheetData sheetId="25175" refreshError="1"/>
      <sheetData sheetId="25176" refreshError="1"/>
      <sheetData sheetId="25177" refreshError="1"/>
      <sheetData sheetId="25178" refreshError="1"/>
      <sheetData sheetId="25179" refreshError="1"/>
      <sheetData sheetId="25180" refreshError="1"/>
      <sheetData sheetId="25181" refreshError="1"/>
      <sheetData sheetId="25182" refreshError="1"/>
      <sheetData sheetId="25183" refreshError="1"/>
      <sheetData sheetId="25184" refreshError="1"/>
      <sheetData sheetId="25185" refreshError="1"/>
      <sheetData sheetId="25186" refreshError="1"/>
      <sheetData sheetId="25187" refreshError="1"/>
      <sheetData sheetId="25188" refreshError="1"/>
      <sheetData sheetId="25189" refreshError="1"/>
      <sheetData sheetId="25190" refreshError="1"/>
      <sheetData sheetId="25191" refreshError="1"/>
      <sheetData sheetId="25192" refreshError="1"/>
      <sheetData sheetId="25193" refreshError="1"/>
      <sheetData sheetId="25194" refreshError="1"/>
      <sheetData sheetId="25195" refreshError="1"/>
      <sheetData sheetId="25196" refreshError="1"/>
      <sheetData sheetId="25197" refreshError="1"/>
      <sheetData sheetId="25198" refreshError="1"/>
      <sheetData sheetId="25199" refreshError="1"/>
      <sheetData sheetId="25200" refreshError="1"/>
      <sheetData sheetId="25201" refreshError="1"/>
      <sheetData sheetId="25202" refreshError="1"/>
      <sheetData sheetId="25203" refreshError="1"/>
      <sheetData sheetId="25204" refreshError="1"/>
      <sheetData sheetId="25205" refreshError="1"/>
      <sheetData sheetId="25206" refreshError="1"/>
      <sheetData sheetId="25207" refreshError="1"/>
      <sheetData sheetId="25208" refreshError="1"/>
      <sheetData sheetId="25209" refreshError="1"/>
      <sheetData sheetId="25210" refreshError="1"/>
      <sheetData sheetId="25211" refreshError="1"/>
      <sheetData sheetId="25212" refreshError="1"/>
      <sheetData sheetId="25213" refreshError="1"/>
      <sheetData sheetId="25214" refreshError="1"/>
      <sheetData sheetId="25215" refreshError="1"/>
      <sheetData sheetId="25216" refreshError="1"/>
      <sheetData sheetId="25217" refreshError="1"/>
      <sheetData sheetId="25218" refreshError="1"/>
      <sheetData sheetId="25219" refreshError="1"/>
      <sheetData sheetId="25220" refreshError="1"/>
      <sheetData sheetId="25221" refreshError="1"/>
      <sheetData sheetId="25222" refreshError="1"/>
      <sheetData sheetId="25223" refreshError="1"/>
      <sheetData sheetId="25224" refreshError="1"/>
      <sheetData sheetId="25225" refreshError="1"/>
      <sheetData sheetId="25226" refreshError="1"/>
      <sheetData sheetId="25227" refreshError="1"/>
      <sheetData sheetId="25228" refreshError="1"/>
      <sheetData sheetId="25229" refreshError="1"/>
      <sheetData sheetId="25230" refreshError="1"/>
      <sheetData sheetId="25231" refreshError="1"/>
      <sheetData sheetId="25232" refreshError="1"/>
      <sheetData sheetId="25233" refreshError="1"/>
      <sheetData sheetId="25234" refreshError="1"/>
      <sheetData sheetId="25235" refreshError="1"/>
      <sheetData sheetId="25236" refreshError="1"/>
      <sheetData sheetId="25237" refreshError="1"/>
      <sheetData sheetId="25238" refreshError="1"/>
      <sheetData sheetId="25239" refreshError="1"/>
      <sheetData sheetId="25240" refreshError="1"/>
      <sheetData sheetId="25241" refreshError="1"/>
      <sheetData sheetId="25242" refreshError="1"/>
      <sheetData sheetId="25243" refreshError="1"/>
      <sheetData sheetId="25244" refreshError="1"/>
      <sheetData sheetId="25245" refreshError="1"/>
      <sheetData sheetId="25246" refreshError="1"/>
      <sheetData sheetId="25247" refreshError="1"/>
      <sheetData sheetId="25248" refreshError="1"/>
      <sheetData sheetId="25249" refreshError="1"/>
      <sheetData sheetId="25250" refreshError="1"/>
      <sheetData sheetId="25251" refreshError="1"/>
      <sheetData sheetId="25252" refreshError="1"/>
      <sheetData sheetId="25253" refreshError="1"/>
      <sheetData sheetId="25254" refreshError="1"/>
      <sheetData sheetId="25255" refreshError="1"/>
      <sheetData sheetId="25256" refreshError="1"/>
      <sheetData sheetId="25257" refreshError="1"/>
      <sheetData sheetId="25258" refreshError="1"/>
      <sheetData sheetId="25259" refreshError="1"/>
      <sheetData sheetId="25260" refreshError="1"/>
      <sheetData sheetId="25261" refreshError="1"/>
      <sheetData sheetId="25262" refreshError="1"/>
      <sheetData sheetId="25263" refreshError="1"/>
      <sheetData sheetId="25264" refreshError="1"/>
      <sheetData sheetId="25265" refreshError="1"/>
      <sheetData sheetId="25266" refreshError="1"/>
      <sheetData sheetId="25267" refreshError="1"/>
      <sheetData sheetId="25268" refreshError="1"/>
      <sheetData sheetId="25269" refreshError="1"/>
      <sheetData sheetId="25270" refreshError="1"/>
      <sheetData sheetId="25271" refreshError="1"/>
      <sheetData sheetId="25272" refreshError="1"/>
      <sheetData sheetId="25273" refreshError="1"/>
      <sheetData sheetId="25274" refreshError="1"/>
      <sheetData sheetId="25275" refreshError="1"/>
      <sheetData sheetId="25276" refreshError="1"/>
      <sheetData sheetId="25277" refreshError="1"/>
      <sheetData sheetId="25278" refreshError="1"/>
      <sheetData sheetId="25279" refreshError="1"/>
      <sheetData sheetId="25280" refreshError="1"/>
      <sheetData sheetId="25281" refreshError="1"/>
      <sheetData sheetId="25282" refreshError="1"/>
      <sheetData sheetId="25283" refreshError="1"/>
      <sheetData sheetId="25284" refreshError="1"/>
      <sheetData sheetId="25285" refreshError="1"/>
      <sheetData sheetId="25286" refreshError="1"/>
      <sheetData sheetId="25287" refreshError="1"/>
      <sheetData sheetId="25288" refreshError="1"/>
      <sheetData sheetId="25289" refreshError="1"/>
      <sheetData sheetId="25290" refreshError="1"/>
      <sheetData sheetId="25291" refreshError="1"/>
      <sheetData sheetId="25292" refreshError="1"/>
      <sheetData sheetId="25293" refreshError="1"/>
      <sheetData sheetId="25294" refreshError="1"/>
      <sheetData sheetId="25295" refreshError="1"/>
      <sheetData sheetId="25296" refreshError="1"/>
      <sheetData sheetId="25297" refreshError="1"/>
      <sheetData sheetId="25298" refreshError="1"/>
      <sheetData sheetId="25299" refreshError="1"/>
      <sheetData sheetId="25300" refreshError="1"/>
      <sheetData sheetId="25301" refreshError="1"/>
      <sheetData sheetId="25302" refreshError="1"/>
      <sheetData sheetId="25303" refreshError="1"/>
      <sheetData sheetId="25304" refreshError="1"/>
      <sheetData sheetId="25305" refreshError="1"/>
      <sheetData sheetId="25306" refreshError="1"/>
      <sheetData sheetId="25307" refreshError="1"/>
      <sheetData sheetId="25308" refreshError="1"/>
      <sheetData sheetId="25309" refreshError="1"/>
      <sheetData sheetId="25310" refreshError="1"/>
      <sheetData sheetId="25311" refreshError="1"/>
      <sheetData sheetId="25312" refreshError="1"/>
      <sheetData sheetId="25313" refreshError="1"/>
      <sheetData sheetId="25314" refreshError="1"/>
      <sheetData sheetId="25315" refreshError="1"/>
      <sheetData sheetId="25316" refreshError="1"/>
      <sheetData sheetId="25317" refreshError="1"/>
      <sheetData sheetId="25318" refreshError="1"/>
      <sheetData sheetId="25319" refreshError="1"/>
      <sheetData sheetId="25320" refreshError="1"/>
      <sheetData sheetId="25321" refreshError="1"/>
      <sheetData sheetId="25322" refreshError="1"/>
      <sheetData sheetId="25323" refreshError="1"/>
      <sheetData sheetId="25324" refreshError="1"/>
      <sheetData sheetId="25325" refreshError="1"/>
      <sheetData sheetId="25326" refreshError="1"/>
      <sheetData sheetId="25327" refreshError="1"/>
      <sheetData sheetId="25328" refreshError="1"/>
      <sheetData sheetId="25329" refreshError="1"/>
      <sheetData sheetId="25330" refreshError="1"/>
      <sheetData sheetId="25331" refreshError="1"/>
      <sheetData sheetId="25332" refreshError="1"/>
      <sheetData sheetId="25333" refreshError="1"/>
      <sheetData sheetId="25334" refreshError="1"/>
      <sheetData sheetId="25335" refreshError="1"/>
      <sheetData sheetId="25336" refreshError="1"/>
      <sheetData sheetId="25337" refreshError="1"/>
      <sheetData sheetId="25338" refreshError="1"/>
      <sheetData sheetId="25339" refreshError="1"/>
      <sheetData sheetId="25340" refreshError="1"/>
      <sheetData sheetId="25341" refreshError="1"/>
      <sheetData sheetId="25342" refreshError="1"/>
      <sheetData sheetId="25343" refreshError="1"/>
      <sheetData sheetId="25344" refreshError="1"/>
      <sheetData sheetId="25345" refreshError="1"/>
      <sheetData sheetId="25346" refreshError="1"/>
      <sheetData sheetId="25347" refreshError="1"/>
      <sheetData sheetId="25348" refreshError="1"/>
      <sheetData sheetId="25349" refreshError="1"/>
      <sheetData sheetId="25350" refreshError="1"/>
      <sheetData sheetId="25351" refreshError="1"/>
      <sheetData sheetId="25352" refreshError="1"/>
      <sheetData sheetId="25353" refreshError="1"/>
      <sheetData sheetId="25354" refreshError="1"/>
      <sheetData sheetId="25355" refreshError="1"/>
      <sheetData sheetId="25356" refreshError="1"/>
      <sheetData sheetId="25357" refreshError="1"/>
      <sheetData sheetId="25358" refreshError="1"/>
      <sheetData sheetId="25359" refreshError="1"/>
      <sheetData sheetId="25360" refreshError="1"/>
      <sheetData sheetId="25361" refreshError="1"/>
      <sheetData sheetId="25362" refreshError="1"/>
      <sheetData sheetId="25363" refreshError="1"/>
      <sheetData sheetId="25364" refreshError="1"/>
      <sheetData sheetId="25365" refreshError="1"/>
      <sheetData sheetId="25366" refreshError="1"/>
      <sheetData sheetId="25367" refreshError="1"/>
      <sheetData sheetId="25368" refreshError="1"/>
      <sheetData sheetId="25369" refreshError="1"/>
      <sheetData sheetId="25370" refreshError="1"/>
      <sheetData sheetId="25371" refreshError="1"/>
      <sheetData sheetId="25372" refreshError="1"/>
      <sheetData sheetId="25373" refreshError="1"/>
      <sheetData sheetId="25374" refreshError="1"/>
      <sheetData sheetId="25375" refreshError="1"/>
      <sheetData sheetId="25376" refreshError="1"/>
      <sheetData sheetId="25377" refreshError="1"/>
      <sheetData sheetId="25378" refreshError="1"/>
      <sheetData sheetId="25379" refreshError="1"/>
      <sheetData sheetId="25380" refreshError="1"/>
      <sheetData sheetId="25381" refreshError="1"/>
      <sheetData sheetId="25382" refreshError="1"/>
      <sheetData sheetId="25383" refreshError="1"/>
      <sheetData sheetId="25384" refreshError="1"/>
      <sheetData sheetId="25385" refreshError="1"/>
      <sheetData sheetId="25386" refreshError="1"/>
      <sheetData sheetId="25387" refreshError="1"/>
      <sheetData sheetId="25388" refreshError="1"/>
      <sheetData sheetId="25389" refreshError="1"/>
      <sheetData sheetId="25390" refreshError="1"/>
      <sheetData sheetId="25391" refreshError="1"/>
      <sheetData sheetId="25392" refreshError="1"/>
      <sheetData sheetId="25393" refreshError="1"/>
      <sheetData sheetId="25394" refreshError="1"/>
      <sheetData sheetId="25395" refreshError="1"/>
      <sheetData sheetId="25396" refreshError="1"/>
      <sheetData sheetId="25397" refreshError="1"/>
      <sheetData sheetId="25398" refreshError="1"/>
      <sheetData sheetId="25399" refreshError="1"/>
      <sheetData sheetId="25400" refreshError="1"/>
      <sheetData sheetId="25401"/>
      <sheetData sheetId="25402"/>
      <sheetData sheetId="25403"/>
      <sheetData sheetId="25404"/>
      <sheetData sheetId="25405"/>
      <sheetData sheetId="25406"/>
      <sheetData sheetId="25407"/>
      <sheetData sheetId="25408"/>
      <sheetData sheetId="25409"/>
      <sheetData sheetId="25410"/>
      <sheetData sheetId="25411" refreshError="1"/>
      <sheetData sheetId="25412" refreshError="1"/>
      <sheetData sheetId="25413" refreshError="1"/>
      <sheetData sheetId="25414" refreshError="1"/>
      <sheetData sheetId="25415" refreshError="1"/>
      <sheetData sheetId="25416"/>
      <sheetData sheetId="25417"/>
      <sheetData sheetId="25418"/>
      <sheetData sheetId="25419"/>
      <sheetData sheetId="25420"/>
      <sheetData sheetId="25421"/>
      <sheetData sheetId="25422"/>
      <sheetData sheetId="25423"/>
      <sheetData sheetId="25424"/>
      <sheetData sheetId="25425"/>
      <sheetData sheetId="25426"/>
      <sheetData sheetId="25427"/>
      <sheetData sheetId="25428"/>
      <sheetData sheetId="25429"/>
      <sheetData sheetId="25430"/>
      <sheetData sheetId="25431"/>
      <sheetData sheetId="25432"/>
      <sheetData sheetId="25433"/>
      <sheetData sheetId="25434"/>
      <sheetData sheetId="25435"/>
      <sheetData sheetId="25436"/>
      <sheetData sheetId="25437"/>
      <sheetData sheetId="25438"/>
      <sheetData sheetId="25439"/>
      <sheetData sheetId="25440"/>
      <sheetData sheetId="25441"/>
      <sheetData sheetId="25442"/>
      <sheetData sheetId="25443"/>
      <sheetData sheetId="25444"/>
      <sheetData sheetId="25445"/>
      <sheetData sheetId="25446"/>
      <sheetData sheetId="25447"/>
      <sheetData sheetId="25448"/>
      <sheetData sheetId="25449"/>
      <sheetData sheetId="25450"/>
      <sheetData sheetId="25451"/>
      <sheetData sheetId="25452"/>
      <sheetData sheetId="25453"/>
      <sheetData sheetId="25454"/>
      <sheetData sheetId="25455"/>
      <sheetData sheetId="25456"/>
      <sheetData sheetId="25457"/>
      <sheetData sheetId="25458"/>
      <sheetData sheetId="25459"/>
      <sheetData sheetId="25460"/>
      <sheetData sheetId="25461"/>
      <sheetData sheetId="25462"/>
      <sheetData sheetId="25463"/>
      <sheetData sheetId="25464"/>
      <sheetData sheetId="25465"/>
      <sheetData sheetId="25466" refreshError="1"/>
      <sheetData sheetId="25467" refreshError="1"/>
      <sheetData sheetId="25468" refreshError="1"/>
      <sheetData sheetId="25469" refreshError="1"/>
      <sheetData sheetId="25470" refreshError="1"/>
      <sheetData sheetId="25471" refreshError="1"/>
      <sheetData sheetId="25472" refreshError="1"/>
      <sheetData sheetId="25473"/>
      <sheetData sheetId="25474"/>
      <sheetData sheetId="25475"/>
      <sheetData sheetId="25476"/>
      <sheetData sheetId="25477"/>
      <sheetData sheetId="25478"/>
      <sheetData sheetId="25479"/>
      <sheetData sheetId="25480"/>
      <sheetData sheetId="25481"/>
      <sheetData sheetId="25482" refreshError="1"/>
      <sheetData sheetId="25483" refreshError="1"/>
      <sheetData sheetId="25484" refreshError="1"/>
      <sheetData sheetId="25485" refreshError="1"/>
      <sheetData sheetId="25486" refreshError="1"/>
      <sheetData sheetId="25487" refreshError="1"/>
      <sheetData sheetId="25488" refreshError="1"/>
      <sheetData sheetId="25489" refreshError="1"/>
      <sheetData sheetId="25490" refreshError="1"/>
      <sheetData sheetId="25491" refreshError="1"/>
      <sheetData sheetId="25492" refreshError="1"/>
      <sheetData sheetId="25493" refreshError="1"/>
      <sheetData sheetId="25494" refreshError="1"/>
      <sheetData sheetId="25495" refreshError="1"/>
      <sheetData sheetId="25496" refreshError="1"/>
      <sheetData sheetId="25497" refreshError="1"/>
      <sheetData sheetId="25498" refreshError="1"/>
      <sheetData sheetId="25499" refreshError="1"/>
      <sheetData sheetId="25500" refreshError="1"/>
      <sheetData sheetId="25501" refreshError="1"/>
      <sheetData sheetId="25502" refreshError="1"/>
      <sheetData sheetId="25503" refreshError="1"/>
      <sheetData sheetId="25504" refreshError="1"/>
      <sheetData sheetId="25505" refreshError="1"/>
      <sheetData sheetId="25506" refreshError="1"/>
      <sheetData sheetId="25507" refreshError="1"/>
      <sheetData sheetId="25508" refreshError="1"/>
      <sheetData sheetId="25509" refreshError="1"/>
      <sheetData sheetId="25510" refreshError="1"/>
      <sheetData sheetId="25511" refreshError="1"/>
      <sheetData sheetId="25512" refreshError="1"/>
      <sheetData sheetId="25513" refreshError="1"/>
      <sheetData sheetId="25514" refreshError="1"/>
      <sheetData sheetId="25515" refreshError="1"/>
      <sheetData sheetId="25516" refreshError="1"/>
      <sheetData sheetId="25517" refreshError="1"/>
      <sheetData sheetId="25518" refreshError="1"/>
      <sheetData sheetId="25519" refreshError="1"/>
      <sheetData sheetId="25520" refreshError="1"/>
      <sheetData sheetId="25521" refreshError="1"/>
      <sheetData sheetId="25522" refreshError="1"/>
      <sheetData sheetId="25523" refreshError="1"/>
      <sheetData sheetId="25524" refreshError="1"/>
      <sheetData sheetId="25525" refreshError="1"/>
      <sheetData sheetId="25526" refreshError="1"/>
      <sheetData sheetId="25527" refreshError="1"/>
      <sheetData sheetId="25528" refreshError="1"/>
      <sheetData sheetId="25529" refreshError="1"/>
      <sheetData sheetId="25530" refreshError="1"/>
      <sheetData sheetId="25531" refreshError="1"/>
      <sheetData sheetId="25532" refreshError="1"/>
      <sheetData sheetId="25533" refreshError="1"/>
      <sheetData sheetId="25534" refreshError="1"/>
      <sheetData sheetId="25535" refreshError="1"/>
      <sheetData sheetId="25536" refreshError="1"/>
      <sheetData sheetId="25537" refreshError="1"/>
      <sheetData sheetId="25538" refreshError="1"/>
      <sheetData sheetId="25539" refreshError="1"/>
      <sheetData sheetId="25540" refreshError="1"/>
      <sheetData sheetId="25541" refreshError="1"/>
      <sheetData sheetId="25542" refreshError="1"/>
      <sheetData sheetId="25543" refreshError="1"/>
      <sheetData sheetId="25544" refreshError="1"/>
      <sheetData sheetId="25545" refreshError="1"/>
      <sheetData sheetId="25546" refreshError="1"/>
      <sheetData sheetId="25547" refreshError="1"/>
      <sheetData sheetId="25548" refreshError="1"/>
      <sheetData sheetId="25549" refreshError="1"/>
      <sheetData sheetId="25550" refreshError="1"/>
      <sheetData sheetId="25551" refreshError="1"/>
      <sheetData sheetId="25552" refreshError="1"/>
      <sheetData sheetId="25553" refreshError="1"/>
      <sheetData sheetId="25554" refreshError="1"/>
      <sheetData sheetId="25555" refreshError="1"/>
      <sheetData sheetId="25556" refreshError="1"/>
      <sheetData sheetId="25557" refreshError="1"/>
      <sheetData sheetId="25558" refreshError="1"/>
      <sheetData sheetId="25559" refreshError="1"/>
      <sheetData sheetId="25560" refreshError="1"/>
      <sheetData sheetId="25561" refreshError="1"/>
      <sheetData sheetId="25562" refreshError="1"/>
      <sheetData sheetId="25563" refreshError="1"/>
      <sheetData sheetId="25564" refreshError="1"/>
      <sheetData sheetId="25565" refreshError="1"/>
      <sheetData sheetId="25566" refreshError="1"/>
      <sheetData sheetId="25567" refreshError="1"/>
      <sheetData sheetId="25568" refreshError="1"/>
      <sheetData sheetId="25569" refreshError="1"/>
      <sheetData sheetId="25570" refreshError="1"/>
      <sheetData sheetId="25571" refreshError="1"/>
      <sheetData sheetId="25572" refreshError="1"/>
      <sheetData sheetId="25573" refreshError="1"/>
      <sheetData sheetId="25574" refreshError="1"/>
      <sheetData sheetId="25575" refreshError="1"/>
      <sheetData sheetId="25576" refreshError="1"/>
      <sheetData sheetId="25577" refreshError="1"/>
      <sheetData sheetId="25578" refreshError="1"/>
      <sheetData sheetId="25579" refreshError="1"/>
      <sheetData sheetId="25580" refreshError="1"/>
      <sheetData sheetId="25581" refreshError="1"/>
      <sheetData sheetId="25582" refreshError="1"/>
      <sheetData sheetId="25583" refreshError="1"/>
      <sheetData sheetId="25584" refreshError="1"/>
      <sheetData sheetId="25585" refreshError="1"/>
      <sheetData sheetId="25586" refreshError="1"/>
      <sheetData sheetId="25587" refreshError="1"/>
      <sheetData sheetId="25588" refreshError="1"/>
      <sheetData sheetId="25589" refreshError="1"/>
      <sheetData sheetId="25590" refreshError="1"/>
      <sheetData sheetId="25591" refreshError="1"/>
      <sheetData sheetId="25592" refreshError="1"/>
      <sheetData sheetId="25593" refreshError="1"/>
      <sheetData sheetId="25594" refreshError="1"/>
      <sheetData sheetId="25595" refreshError="1"/>
      <sheetData sheetId="25596" refreshError="1"/>
      <sheetData sheetId="25597" refreshError="1"/>
      <sheetData sheetId="25598" refreshError="1"/>
      <sheetData sheetId="25599" refreshError="1"/>
      <sheetData sheetId="25600" refreshError="1"/>
      <sheetData sheetId="25601" refreshError="1"/>
      <sheetData sheetId="25602" refreshError="1"/>
      <sheetData sheetId="25603" refreshError="1"/>
      <sheetData sheetId="25604" refreshError="1"/>
      <sheetData sheetId="25605" refreshError="1"/>
      <sheetData sheetId="25606" refreshError="1"/>
      <sheetData sheetId="25607" refreshError="1"/>
      <sheetData sheetId="25608" refreshError="1"/>
      <sheetData sheetId="25609" refreshError="1"/>
      <sheetData sheetId="25610" refreshError="1"/>
      <sheetData sheetId="25611" refreshError="1"/>
      <sheetData sheetId="25612" refreshError="1"/>
      <sheetData sheetId="25613" refreshError="1"/>
      <sheetData sheetId="25614" refreshError="1"/>
      <sheetData sheetId="25615" refreshError="1"/>
      <sheetData sheetId="25616" refreshError="1"/>
      <sheetData sheetId="25617" refreshError="1"/>
      <sheetData sheetId="25618" refreshError="1"/>
      <sheetData sheetId="25619" refreshError="1"/>
      <sheetData sheetId="25620" refreshError="1"/>
      <sheetData sheetId="25621" refreshError="1"/>
      <sheetData sheetId="25622" refreshError="1"/>
      <sheetData sheetId="25623" refreshError="1"/>
      <sheetData sheetId="25624" refreshError="1"/>
      <sheetData sheetId="25625" refreshError="1"/>
      <sheetData sheetId="25626" refreshError="1"/>
      <sheetData sheetId="25627" refreshError="1"/>
      <sheetData sheetId="25628" refreshError="1"/>
      <sheetData sheetId="25629" refreshError="1"/>
      <sheetData sheetId="25630" refreshError="1"/>
      <sheetData sheetId="25631" refreshError="1"/>
      <sheetData sheetId="25632" refreshError="1"/>
      <sheetData sheetId="25633" refreshError="1"/>
      <sheetData sheetId="25634" refreshError="1"/>
      <sheetData sheetId="25635" refreshError="1"/>
      <sheetData sheetId="25636" refreshError="1"/>
      <sheetData sheetId="25637" refreshError="1"/>
      <sheetData sheetId="25638" refreshError="1"/>
      <sheetData sheetId="25639" refreshError="1"/>
      <sheetData sheetId="25640" refreshError="1"/>
      <sheetData sheetId="25641" refreshError="1"/>
      <sheetData sheetId="25642" refreshError="1"/>
      <sheetData sheetId="25643" refreshError="1"/>
      <sheetData sheetId="25644" refreshError="1"/>
      <sheetData sheetId="25645" refreshError="1"/>
      <sheetData sheetId="25646" refreshError="1"/>
      <sheetData sheetId="25647" refreshError="1"/>
      <sheetData sheetId="25648" refreshError="1"/>
      <sheetData sheetId="25649" refreshError="1"/>
      <sheetData sheetId="25650" refreshError="1"/>
      <sheetData sheetId="25651" refreshError="1"/>
      <sheetData sheetId="25652" refreshError="1"/>
      <sheetData sheetId="25653" refreshError="1"/>
      <sheetData sheetId="25654" refreshError="1"/>
      <sheetData sheetId="25655" refreshError="1"/>
      <sheetData sheetId="25656" refreshError="1"/>
      <sheetData sheetId="25657" refreshError="1"/>
      <sheetData sheetId="25658" refreshError="1"/>
      <sheetData sheetId="25659" refreshError="1"/>
      <sheetData sheetId="25660" refreshError="1"/>
      <sheetData sheetId="25661" refreshError="1"/>
      <sheetData sheetId="25662" refreshError="1"/>
      <sheetData sheetId="25663" refreshError="1"/>
      <sheetData sheetId="25664" refreshError="1"/>
      <sheetData sheetId="25665" refreshError="1"/>
      <sheetData sheetId="25666" refreshError="1"/>
      <sheetData sheetId="25667" refreshError="1"/>
      <sheetData sheetId="25668" refreshError="1"/>
      <sheetData sheetId="25669" refreshError="1"/>
      <sheetData sheetId="25670" refreshError="1"/>
      <sheetData sheetId="25671" refreshError="1"/>
      <sheetData sheetId="25672" refreshError="1"/>
      <sheetData sheetId="25673" refreshError="1"/>
      <sheetData sheetId="25674" refreshError="1"/>
      <sheetData sheetId="25675" refreshError="1"/>
      <sheetData sheetId="25676" refreshError="1"/>
      <sheetData sheetId="25677" refreshError="1"/>
      <sheetData sheetId="25678" refreshError="1"/>
      <sheetData sheetId="25679" refreshError="1"/>
      <sheetData sheetId="25680" refreshError="1"/>
      <sheetData sheetId="25681" refreshError="1"/>
      <sheetData sheetId="25682" refreshError="1"/>
      <sheetData sheetId="25683" refreshError="1"/>
      <sheetData sheetId="25684" refreshError="1"/>
      <sheetData sheetId="25685" refreshError="1"/>
      <sheetData sheetId="25686" refreshError="1"/>
      <sheetData sheetId="25687" refreshError="1"/>
      <sheetData sheetId="25688" refreshError="1"/>
      <sheetData sheetId="25689" refreshError="1"/>
      <sheetData sheetId="25690" refreshError="1"/>
      <sheetData sheetId="25691" refreshError="1"/>
      <sheetData sheetId="25692" refreshError="1"/>
      <sheetData sheetId="25693" refreshError="1"/>
      <sheetData sheetId="25694" refreshError="1"/>
      <sheetData sheetId="25695" refreshError="1"/>
      <sheetData sheetId="25696" refreshError="1"/>
      <sheetData sheetId="25697" refreshError="1"/>
      <sheetData sheetId="25698" refreshError="1"/>
      <sheetData sheetId="25699" refreshError="1"/>
      <sheetData sheetId="25700" refreshError="1"/>
      <sheetData sheetId="25701" refreshError="1"/>
      <sheetData sheetId="25702" refreshError="1"/>
      <sheetData sheetId="25703" refreshError="1"/>
      <sheetData sheetId="25704" refreshError="1"/>
      <sheetData sheetId="25705" refreshError="1"/>
      <sheetData sheetId="25706" refreshError="1"/>
      <sheetData sheetId="25707" refreshError="1"/>
      <sheetData sheetId="25708" refreshError="1"/>
      <sheetData sheetId="25709" refreshError="1"/>
      <sheetData sheetId="25710" refreshError="1"/>
      <sheetData sheetId="25711" refreshError="1"/>
      <sheetData sheetId="25712" refreshError="1"/>
      <sheetData sheetId="25713" refreshError="1"/>
      <sheetData sheetId="25714" refreshError="1"/>
      <sheetData sheetId="25715" refreshError="1"/>
      <sheetData sheetId="25716" refreshError="1"/>
      <sheetData sheetId="25717" refreshError="1"/>
      <sheetData sheetId="25718" refreshError="1"/>
      <sheetData sheetId="25719" refreshError="1"/>
      <sheetData sheetId="25720" refreshError="1"/>
      <sheetData sheetId="25721" refreshError="1"/>
      <sheetData sheetId="25722" refreshError="1"/>
      <sheetData sheetId="25723" refreshError="1"/>
      <sheetData sheetId="25724" refreshError="1"/>
      <sheetData sheetId="25725" refreshError="1"/>
      <sheetData sheetId="25726" refreshError="1"/>
      <sheetData sheetId="25727" refreshError="1"/>
      <sheetData sheetId="25728" refreshError="1"/>
      <sheetData sheetId="25729" refreshError="1"/>
      <sheetData sheetId="25730" refreshError="1"/>
      <sheetData sheetId="25731" refreshError="1"/>
      <sheetData sheetId="25732" refreshError="1"/>
      <sheetData sheetId="25733" refreshError="1"/>
      <sheetData sheetId="25734" refreshError="1"/>
      <sheetData sheetId="25735" refreshError="1"/>
      <sheetData sheetId="25736" refreshError="1"/>
      <sheetData sheetId="25737" refreshError="1"/>
      <sheetData sheetId="25738" refreshError="1"/>
      <sheetData sheetId="25739" refreshError="1"/>
      <sheetData sheetId="25740" refreshError="1"/>
      <sheetData sheetId="25741" refreshError="1"/>
      <sheetData sheetId="25742" refreshError="1"/>
      <sheetData sheetId="25743" refreshError="1"/>
      <sheetData sheetId="25744" refreshError="1"/>
      <sheetData sheetId="25745" refreshError="1"/>
      <sheetData sheetId="25746" refreshError="1"/>
      <sheetData sheetId="25747" refreshError="1"/>
      <sheetData sheetId="25748" refreshError="1"/>
      <sheetData sheetId="25749" refreshError="1"/>
      <sheetData sheetId="25750" refreshError="1"/>
      <sheetData sheetId="25751" refreshError="1"/>
      <sheetData sheetId="25752" refreshError="1"/>
      <sheetData sheetId="25753" refreshError="1"/>
      <sheetData sheetId="25754" refreshError="1"/>
      <sheetData sheetId="25755" refreshError="1"/>
      <sheetData sheetId="25756" refreshError="1"/>
      <sheetData sheetId="25757" refreshError="1"/>
      <sheetData sheetId="25758" refreshError="1"/>
      <sheetData sheetId="25759" refreshError="1"/>
      <sheetData sheetId="25760" refreshError="1"/>
      <sheetData sheetId="25761" refreshError="1"/>
      <sheetData sheetId="25762" refreshError="1"/>
      <sheetData sheetId="25763" refreshError="1"/>
      <sheetData sheetId="25764" refreshError="1"/>
      <sheetData sheetId="25765" refreshError="1"/>
      <sheetData sheetId="25766" refreshError="1"/>
      <sheetData sheetId="25767" refreshError="1"/>
      <sheetData sheetId="25768" refreshError="1"/>
      <sheetData sheetId="25769" refreshError="1"/>
      <sheetData sheetId="25770" refreshError="1"/>
      <sheetData sheetId="25771" refreshError="1"/>
      <sheetData sheetId="25772" refreshError="1"/>
      <sheetData sheetId="25773" refreshError="1"/>
      <sheetData sheetId="25774" refreshError="1"/>
      <sheetData sheetId="25775" refreshError="1"/>
      <sheetData sheetId="25776" refreshError="1"/>
      <sheetData sheetId="25777" refreshError="1"/>
      <sheetData sheetId="25778" refreshError="1"/>
      <sheetData sheetId="25779" refreshError="1"/>
      <sheetData sheetId="25780" refreshError="1"/>
      <sheetData sheetId="25781" refreshError="1"/>
      <sheetData sheetId="25782" refreshError="1"/>
      <sheetData sheetId="25783" refreshError="1"/>
      <sheetData sheetId="25784" refreshError="1"/>
      <sheetData sheetId="25785" refreshError="1"/>
      <sheetData sheetId="25786" refreshError="1"/>
      <sheetData sheetId="25787" refreshError="1"/>
      <sheetData sheetId="25788" refreshError="1"/>
      <sheetData sheetId="25789" refreshError="1"/>
      <sheetData sheetId="25790" refreshError="1"/>
      <sheetData sheetId="25791" refreshError="1"/>
      <sheetData sheetId="25792" refreshError="1"/>
      <sheetData sheetId="25793" refreshError="1"/>
      <sheetData sheetId="25794" refreshError="1"/>
      <sheetData sheetId="25795" refreshError="1"/>
      <sheetData sheetId="25796" refreshError="1"/>
      <sheetData sheetId="25797" refreshError="1"/>
      <sheetData sheetId="25798" refreshError="1"/>
      <sheetData sheetId="25799" refreshError="1"/>
      <sheetData sheetId="25800" refreshError="1"/>
      <sheetData sheetId="25801" refreshError="1"/>
      <sheetData sheetId="25802" refreshError="1"/>
      <sheetData sheetId="25803" refreshError="1"/>
      <sheetData sheetId="25804" refreshError="1"/>
      <sheetData sheetId="25805" refreshError="1"/>
      <sheetData sheetId="25806" refreshError="1"/>
      <sheetData sheetId="25807" refreshError="1"/>
      <sheetData sheetId="25808" refreshError="1"/>
      <sheetData sheetId="25809" refreshError="1"/>
      <sheetData sheetId="25810" refreshError="1"/>
      <sheetData sheetId="25811" refreshError="1"/>
      <sheetData sheetId="25812" refreshError="1"/>
      <sheetData sheetId="25813" refreshError="1"/>
      <sheetData sheetId="25814" refreshError="1"/>
      <sheetData sheetId="25815" refreshError="1"/>
      <sheetData sheetId="25816" refreshError="1"/>
      <sheetData sheetId="25817" refreshError="1"/>
      <sheetData sheetId="25818" refreshError="1"/>
      <sheetData sheetId="25819" refreshError="1"/>
      <sheetData sheetId="25820" refreshError="1"/>
      <sheetData sheetId="25821" refreshError="1"/>
      <sheetData sheetId="25822" refreshError="1"/>
      <sheetData sheetId="25823" refreshError="1"/>
      <sheetData sheetId="25824" refreshError="1"/>
      <sheetData sheetId="25825" refreshError="1"/>
      <sheetData sheetId="25826" refreshError="1"/>
      <sheetData sheetId="25827" refreshError="1"/>
      <sheetData sheetId="25828" refreshError="1"/>
      <sheetData sheetId="25829" refreshError="1"/>
      <sheetData sheetId="25830" refreshError="1"/>
      <sheetData sheetId="25831" refreshError="1"/>
      <sheetData sheetId="25832" refreshError="1"/>
      <sheetData sheetId="25833" refreshError="1"/>
      <sheetData sheetId="25834" refreshError="1"/>
      <sheetData sheetId="25835" refreshError="1"/>
      <sheetData sheetId="25836" refreshError="1"/>
      <sheetData sheetId="25837" refreshError="1"/>
      <sheetData sheetId="25838" refreshError="1"/>
      <sheetData sheetId="25839" refreshError="1"/>
      <sheetData sheetId="25840" refreshError="1"/>
      <sheetData sheetId="25841" refreshError="1"/>
      <sheetData sheetId="25842" refreshError="1"/>
      <sheetData sheetId="25843" refreshError="1"/>
      <sheetData sheetId="25844" refreshError="1"/>
      <sheetData sheetId="25845" refreshError="1"/>
      <sheetData sheetId="25846" refreshError="1"/>
      <sheetData sheetId="25847" refreshError="1"/>
      <sheetData sheetId="25848" refreshError="1"/>
      <sheetData sheetId="25849" refreshError="1"/>
      <sheetData sheetId="25850" refreshError="1"/>
      <sheetData sheetId="25851" refreshError="1"/>
      <sheetData sheetId="25852" refreshError="1"/>
      <sheetData sheetId="25853" refreshError="1"/>
      <sheetData sheetId="25854" refreshError="1"/>
      <sheetData sheetId="25855" refreshError="1"/>
      <sheetData sheetId="25856" refreshError="1"/>
      <sheetData sheetId="25857" refreshError="1"/>
      <sheetData sheetId="25858" refreshError="1"/>
      <sheetData sheetId="25859" refreshError="1"/>
      <sheetData sheetId="25860" refreshError="1"/>
      <sheetData sheetId="25861" refreshError="1"/>
      <sheetData sheetId="25862" refreshError="1"/>
      <sheetData sheetId="25863" refreshError="1"/>
      <sheetData sheetId="25864" refreshError="1"/>
      <sheetData sheetId="25865" refreshError="1"/>
      <sheetData sheetId="25866" refreshError="1"/>
      <sheetData sheetId="25867" refreshError="1"/>
      <sheetData sheetId="25868" refreshError="1"/>
      <sheetData sheetId="25869" refreshError="1"/>
      <sheetData sheetId="25870" refreshError="1"/>
      <sheetData sheetId="25871" refreshError="1"/>
      <sheetData sheetId="25872" refreshError="1"/>
      <sheetData sheetId="25873" refreshError="1"/>
      <sheetData sheetId="25874" refreshError="1"/>
      <sheetData sheetId="25875" refreshError="1"/>
      <sheetData sheetId="25876" refreshError="1"/>
      <sheetData sheetId="25877" refreshError="1"/>
      <sheetData sheetId="25878" refreshError="1"/>
      <sheetData sheetId="25879" refreshError="1"/>
      <sheetData sheetId="25880" refreshError="1"/>
      <sheetData sheetId="25881" refreshError="1"/>
      <sheetData sheetId="25882" refreshError="1"/>
      <sheetData sheetId="25883" refreshError="1"/>
      <sheetData sheetId="25884" refreshError="1"/>
      <sheetData sheetId="25885" refreshError="1"/>
      <sheetData sheetId="25886" refreshError="1"/>
      <sheetData sheetId="25887" refreshError="1"/>
      <sheetData sheetId="25888" refreshError="1"/>
      <sheetData sheetId="25889" refreshError="1"/>
      <sheetData sheetId="25890" refreshError="1"/>
      <sheetData sheetId="25891" refreshError="1"/>
      <sheetData sheetId="25892" refreshError="1"/>
      <sheetData sheetId="25893" refreshError="1"/>
      <sheetData sheetId="25894" refreshError="1"/>
      <sheetData sheetId="25895" refreshError="1"/>
      <sheetData sheetId="25896" refreshError="1"/>
      <sheetData sheetId="25897" refreshError="1"/>
      <sheetData sheetId="25898" refreshError="1"/>
      <sheetData sheetId="25899" refreshError="1"/>
      <sheetData sheetId="25900" refreshError="1"/>
      <sheetData sheetId="25901" refreshError="1"/>
      <sheetData sheetId="25902" refreshError="1"/>
      <sheetData sheetId="25903" refreshError="1"/>
      <sheetData sheetId="25904" refreshError="1"/>
      <sheetData sheetId="25905" refreshError="1"/>
      <sheetData sheetId="25906" refreshError="1"/>
      <sheetData sheetId="25907" refreshError="1"/>
      <sheetData sheetId="25908" refreshError="1"/>
      <sheetData sheetId="25909" refreshError="1"/>
      <sheetData sheetId="25910" refreshError="1"/>
      <sheetData sheetId="25911" refreshError="1"/>
      <sheetData sheetId="25912" refreshError="1"/>
      <sheetData sheetId="25913" refreshError="1"/>
      <sheetData sheetId="25914" refreshError="1"/>
      <sheetData sheetId="25915" refreshError="1"/>
      <sheetData sheetId="25916" refreshError="1"/>
      <sheetData sheetId="25917" refreshError="1"/>
      <sheetData sheetId="25918" refreshError="1"/>
      <sheetData sheetId="25919" refreshError="1"/>
      <sheetData sheetId="25920" refreshError="1"/>
      <sheetData sheetId="25921" refreshError="1"/>
      <sheetData sheetId="25922" refreshError="1"/>
      <sheetData sheetId="25923" refreshError="1"/>
      <sheetData sheetId="25924" refreshError="1"/>
      <sheetData sheetId="25925" refreshError="1"/>
      <sheetData sheetId="25926" refreshError="1"/>
      <sheetData sheetId="25927" refreshError="1"/>
      <sheetData sheetId="25928" refreshError="1"/>
      <sheetData sheetId="25929" refreshError="1"/>
      <sheetData sheetId="25930" refreshError="1"/>
      <sheetData sheetId="25931" refreshError="1"/>
      <sheetData sheetId="25932" refreshError="1"/>
      <sheetData sheetId="25933" refreshError="1"/>
      <sheetData sheetId="25934" refreshError="1"/>
      <sheetData sheetId="25935" refreshError="1"/>
      <sheetData sheetId="25936" refreshError="1"/>
      <sheetData sheetId="25937" refreshError="1"/>
      <sheetData sheetId="25938" refreshError="1"/>
      <sheetData sheetId="25939" refreshError="1"/>
      <sheetData sheetId="25940" refreshError="1"/>
      <sheetData sheetId="25941" refreshError="1"/>
      <sheetData sheetId="25942" refreshError="1"/>
      <sheetData sheetId="25943" refreshError="1"/>
      <sheetData sheetId="25944" refreshError="1"/>
      <sheetData sheetId="25945" refreshError="1"/>
      <sheetData sheetId="25946" refreshError="1"/>
      <sheetData sheetId="25947" refreshError="1"/>
      <sheetData sheetId="25948" refreshError="1"/>
      <sheetData sheetId="25949" refreshError="1"/>
      <sheetData sheetId="25950" refreshError="1"/>
      <sheetData sheetId="25951" refreshError="1"/>
      <sheetData sheetId="25952" refreshError="1"/>
      <sheetData sheetId="25953" refreshError="1"/>
      <sheetData sheetId="25954" refreshError="1"/>
      <sheetData sheetId="25955" refreshError="1"/>
      <sheetData sheetId="25956" refreshError="1"/>
      <sheetData sheetId="25957" refreshError="1"/>
      <sheetData sheetId="25958" refreshError="1"/>
      <sheetData sheetId="25959" refreshError="1"/>
      <sheetData sheetId="25960" refreshError="1"/>
      <sheetData sheetId="25961" refreshError="1"/>
      <sheetData sheetId="25962" refreshError="1"/>
      <sheetData sheetId="25963" refreshError="1"/>
      <sheetData sheetId="25964" refreshError="1"/>
      <sheetData sheetId="25965" refreshError="1"/>
      <sheetData sheetId="25966" refreshError="1"/>
      <sheetData sheetId="25967" refreshError="1"/>
      <sheetData sheetId="25968" refreshError="1"/>
      <sheetData sheetId="25969" refreshError="1"/>
      <sheetData sheetId="25970" refreshError="1"/>
      <sheetData sheetId="25971" refreshError="1"/>
      <sheetData sheetId="25972" refreshError="1"/>
      <sheetData sheetId="25973" refreshError="1"/>
      <sheetData sheetId="25974" refreshError="1"/>
      <sheetData sheetId="25975" refreshError="1"/>
      <sheetData sheetId="25976" refreshError="1"/>
      <sheetData sheetId="25977" refreshError="1"/>
      <sheetData sheetId="25978" refreshError="1"/>
      <sheetData sheetId="25979" refreshError="1"/>
      <sheetData sheetId="25980" refreshError="1"/>
      <sheetData sheetId="25981" refreshError="1"/>
      <sheetData sheetId="25982" refreshError="1"/>
      <sheetData sheetId="25983" refreshError="1"/>
      <sheetData sheetId="25984" refreshError="1"/>
      <sheetData sheetId="25985" refreshError="1"/>
      <sheetData sheetId="25986" refreshError="1"/>
      <sheetData sheetId="25987" refreshError="1"/>
      <sheetData sheetId="25988" refreshError="1"/>
      <sheetData sheetId="25989" refreshError="1"/>
      <sheetData sheetId="25990" refreshError="1"/>
      <sheetData sheetId="25991" refreshError="1"/>
      <sheetData sheetId="25992" refreshError="1"/>
      <sheetData sheetId="25993" refreshError="1"/>
      <sheetData sheetId="25994" refreshError="1"/>
      <sheetData sheetId="25995" refreshError="1"/>
      <sheetData sheetId="25996" refreshError="1"/>
      <sheetData sheetId="25997" refreshError="1"/>
      <sheetData sheetId="25998" refreshError="1"/>
      <sheetData sheetId="25999" refreshError="1"/>
      <sheetData sheetId="26000" refreshError="1"/>
      <sheetData sheetId="26001" refreshError="1"/>
      <sheetData sheetId="26002" refreshError="1"/>
      <sheetData sheetId="26003" refreshError="1"/>
      <sheetData sheetId="26004" refreshError="1"/>
      <sheetData sheetId="26005" refreshError="1"/>
      <sheetData sheetId="26006" refreshError="1"/>
      <sheetData sheetId="26007" refreshError="1"/>
      <sheetData sheetId="26008" refreshError="1"/>
      <sheetData sheetId="26009" refreshError="1"/>
      <sheetData sheetId="26010" refreshError="1"/>
      <sheetData sheetId="26011" refreshError="1"/>
      <sheetData sheetId="26012" refreshError="1"/>
      <sheetData sheetId="26013" refreshError="1"/>
      <sheetData sheetId="26014" refreshError="1"/>
      <sheetData sheetId="26015" refreshError="1"/>
      <sheetData sheetId="26016" refreshError="1"/>
      <sheetData sheetId="26017" refreshError="1"/>
      <sheetData sheetId="26018" refreshError="1"/>
      <sheetData sheetId="26019" refreshError="1"/>
      <sheetData sheetId="26020" refreshError="1"/>
      <sheetData sheetId="26021" refreshError="1"/>
      <sheetData sheetId="26022" refreshError="1"/>
      <sheetData sheetId="26023" refreshError="1"/>
      <sheetData sheetId="26024" refreshError="1"/>
      <sheetData sheetId="26025" refreshError="1"/>
      <sheetData sheetId="26026" refreshError="1"/>
      <sheetData sheetId="26027" refreshError="1"/>
      <sheetData sheetId="26028" refreshError="1"/>
      <sheetData sheetId="26029" refreshError="1"/>
      <sheetData sheetId="26030" refreshError="1"/>
      <sheetData sheetId="26031" refreshError="1"/>
      <sheetData sheetId="26032" refreshError="1"/>
      <sheetData sheetId="26033" refreshError="1"/>
      <sheetData sheetId="26034" refreshError="1"/>
      <sheetData sheetId="26035" refreshError="1"/>
      <sheetData sheetId="26036" refreshError="1"/>
      <sheetData sheetId="26037" refreshError="1"/>
      <sheetData sheetId="26038" refreshError="1"/>
      <sheetData sheetId="26039" refreshError="1"/>
      <sheetData sheetId="26040" refreshError="1"/>
      <sheetData sheetId="26041" refreshError="1"/>
      <sheetData sheetId="26042" refreshError="1"/>
      <sheetData sheetId="26043" refreshError="1"/>
      <sheetData sheetId="26044" refreshError="1"/>
      <sheetData sheetId="26045" refreshError="1"/>
      <sheetData sheetId="26046" refreshError="1"/>
      <sheetData sheetId="26047" refreshError="1"/>
      <sheetData sheetId="26048" refreshError="1"/>
      <sheetData sheetId="26049" refreshError="1"/>
      <sheetData sheetId="26050" refreshError="1"/>
      <sheetData sheetId="26051" refreshError="1"/>
      <sheetData sheetId="26052" refreshError="1"/>
      <sheetData sheetId="26053" refreshError="1"/>
      <sheetData sheetId="26054" refreshError="1"/>
      <sheetData sheetId="26055" refreshError="1"/>
      <sheetData sheetId="26056" refreshError="1"/>
      <sheetData sheetId="26057" refreshError="1"/>
      <sheetData sheetId="26058" refreshError="1"/>
      <sheetData sheetId="26059" refreshError="1"/>
      <sheetData sheetId="26060" refreshError="1"/>
      <sheetData sheetId="26061" refreshError="1"/>
      <sheetData sheetId="26062" refreshError="1"/>
      <sheetData sheetId="26063" refreshError="1"/>
      <sheetData sheetId="26064" refreshError="1"/>
      <sheetData sheetId="26065" refreshError="1"/>
      <sheetData sheetId="26066" refreshError="1"/>
      <sheetData sheetId="26067" refreshError="1"/>
      <sheetData sheetId="26068" refreshError="1"/>
      <sheetData sheetId="26069" refreshError="1"/>
      <sheetData sheetId="26070" refreshError="1"/>
      <sheetData sheetId="26071" refreshError="1"/>
      <sheetData sheetId="26072" refreshError="1"/>
      <sheetData sheetId="26073" refreshError="1"/>
      <sheetData sheetId="26074" refreshError="1"/>
      <sheetData sheetId="26075" refreshError="1"/>
      <sheetData sheetId="26076" refreshError="1"/>
      <sheetData sheetId="26077" refreshError="1"/>
      <sheetData sheetId="26078" refreshError="1"/>
      <sheetData sheetId="26079" refreshError="1"/>
      <sheetData sheetId="26080" refreshError="1"/>
      <sheetData sheetId="26081" refreshError="1"/>
      <sheetData sheetId="26082" refreshError="1"/>
      <sheetData sheetId="26083" refreshError="1"/>
      <sheetData sheetId="26084" refreshError="1"/>
      <sheetData sheetId="26085" refreshError="1"/>
      <sheetData sheetId="26086" refreshError="1"/>
      <sheetData sheetId="26087" refreshError="1"/>
      <sheetData sheetId="26088" refreshError="1"/>
      <sheetData sheetId="26089" refreshError="1"/>
      <sheetData sheetId="26090" refreshError="1"/>
      <sheetData sheetId="26091" refreshError="1"/>
      <sheetData sheetId="26092" refreshError="1"/>
      <sheetData sheetId="26093" refreshError="1"/>
      <sheetData sheetId="26094" refreshError="1"/>
      <sheetData sheetId="26095" refreshError="1"/>
      <sheetData sheetId="26096" refreshError="1"/>
      <sheetData sheetId="26097" refreshError="1"/>
      <sheetData sheetId="26098" refreshError="1"/>
      <sheetData sheetId="26099" refreshError="1"/>
      <sheetData sheetId="26100" refreshError="1"/>
      <sheetData sheetId="26101" refreshError="1"/>
      <sheetData sheetId="26102" refreshError="1"/>
      <sheetData sheetId="26103" refreshError="1"/>
      <sheetData sheetId="26104" refreshError="1"/>
      <sheetData sheetId="26105" refreshError="1"/>
      <sheetData sheetId="26106" refreshError="1"/>
      <sheetData sheetId="26107" refreshError="1"/>
      <sheetData sheetId="26108" refreshError="1"/>
      <sheetData sheetId="26109" refreshError="1"/>
      <sheetData sheetId="26110" refreshError="1"/>
      <sheetData sheetId="26111" refreshError="1"/>
      <sheetData sheetId="26112" refreshError="1"/>
      <sheetData sheetId="26113" refreshError="1"/>
      <sheetData sheetId="26114" refreshError="1"/>
      <sheetData sheetId="26115" refreshError="1"/>
      <sheetData sheetId="26116" refreshError="1"/>
      <sheetData sheetId="26117" refreshError="1"/>
      <sheetData sheetId="26118" refreshError="1"/>
      <sheetData sheetId="26119" refreshError="1"/>
      <sheetData sheetId="26120" refreshError="1"/>
      <sheetData sheetId="26121" refreshError="1"/>
      <sheetData sheetId="26122" refreshError="1"/>
      <sheetData sheetId="26123" refreshError="1"/>
      <sheetData sheetId="26124" refreshError="1"/>
      <sheetData sheetId="26125" refreshError="1"/>
      <sheetData sheetId="26126" refreshError="1"/>
      <sheetData sheetId="26127" refreshError="1"/>
      <sheetData sheetId="26128" refreshError="1"/>
      <sheetData sheetId="26129" refreshError="1"/>
      <sheetData sheetId="26130" refreshError="1"/>
      <sheetData sheetId="26131" refreshError="1"/>
      <sheetData sheetId="26132" refreshError="1"/>
      <sheetData sheetId="26133" refreshError="1"/>
      <sheetData sheetId="26134" refreshError="1"/>
      <sheetData sheetId="26135" refreshError="1"/>
      <sheetData sheetId="26136" refreshError="1"/>
      <sheetData sheetId="26137" refreshError="1"/>
      <sheetData sheetId="26138" refreshError="1"/>
      <sheetData sheetId="26139" refreshError="1"/>
      <sheetData sheetId="26140" refreshError="1"/>
      <sheetData sheetId="26141" refreshError="1"/>
      <sheetData sheetId="26142" refreshError="1"/>
      <sheetData sheetId="26143" refreshError="1"/>
      <sheetData sheetId="26144"/>
      <sheetData sheetId="26145">
        <row r="1">
          <cell r="J1" t="str">
            <v>PROFIT=</v>
          </cell>
        </row>
      </sheetData>
      <sheetData sheetId="26146">
        <row r="1">
          <cell r="A1" t="str">
            <v>TECNICAS REUNIDAS, S. A.</v>
          </cell>
        </row>
      </sheetData>
      <sheetData sheetId="26147"/>
      <sheetData sheetId="26148">
        <row r="1">
          <cell r="A1" t="str">
            <v>MONTHLY PLANNING</v>
          </cell>
        </row>
      </sheetData>
      <sheetData sheetId="26149">
        <row r="1">
          <cell r="A1" t="str">
            <v>TECNICAS REUNIDAS, S. A.</v>
          </cell>
        </row>
      </sheetData>
      <sheetData sheetId="26150">
        <row r="1">
          <cell r="A1" t="str">
            <v>MONTHLY PLANNING</v>
          </cell>
        </row>
      </sheetData>
      <sheetData sheetId="26151">
        <row r="1">
          <cell r="A1" t="str">
            <v>MONTHLY PLANNING</v>
          </cell>
        </row>
      </sheetData>
      <sheetData sheetId="26152">
        <row r="1">
          <cell r="A1" t="str">
            <v>MONTHLY PLANNING</v>
          </cell>
        </row>
      </sheetData>
      <sheetData sheetId="26153">
        <row r="1">
          <cell r="A1" t="str">
            <v>TECNICAS REUNIDAS, S. A.</v>
          </cell>
        </row>
      </sheetData>
      <sheetData sheetId="26154" refreshError="1"/>
      <sheetData sheetId="26155" refreshError="1"/>
      <sheetData sheetId="26156" refreshError="1"/>
      <sheetData sheetId="26157" refreshError="1"/>
      <sheetData sheetId="26158" refreshError="1"/>
      <sheetData sheetId="26159" refreshError="1"/>
      <sheetData sheetId="26160" refreshError="1"/>
      <sheetData sheetId="26161" refreshError="1"/>
      <sheetData sheetId="26162" refreshError="1"/>
      <sheetData sheetId="26163" refreshError="1"/>
      <sheetData sheetId="26164" refreshError="1"/>
      <sheetData sheetId="26165" refreshError="1"/>
      <sheetData sheetId="26166" refreshError="1"/>
      <sheetData sheetId="26167" refreshError="1"/>
      <sheetData sheetId="26168" refreshError="1"/>
      <sheetData sheetId="26169" refreshError="1"/>
      <sheetData sheetId="26170" refreshError="1"/>
      <sheetData sheetId="26171" refreshError="1"/>
      <sheetData sheetId="26172" refreshError="1"/>
      <sheetData sheetId="26173" refreshError="1"/>
      <sheetData sheetId="26174" refreshError="1"/>
      <sheetData sheetId="26175" refreshError="1"/>
      <sheetData sheetId="26176" refreshError="1"/>
      <sheetData sheetId="26177" refreshError="1"/>
      <sheetData sheetId="26178" refreshError="1"/>
      <sheetData sheetId="26179" refreshError="1"/>
      <sheetData sheetId="26180" refreshError="1"/>
      <sheetData sheetId="26181" refreshError="1"/>
      <sheetData sheetId="26182" refreshError="1"/>
      <sheetData sheetId="26183" refreshError="1"/>
      <sheetData sheetId="26184" refreshError="1"/>
      <sheetData sheetId="26185" refreshError="1"/>
      <sheetData sheetId="26186" refreshError="1"/>
      <sheetData sheetId="26187" refreshError="1"/>
      <sheetData sheetId="26188" refreshError="1"/>
      <sheetData sheetId="26189" refreshError="1"/>
      <sheetData sheetId="26190" refreshError="1"/>
      <sheetData sheetId="26191" refreshError="1"/>
      <sheetData sheetId="26192" refreshError="1"/>
      <sheetData sheetId="26193" refreshError="1"/>
      <sheetData sheetId="26194" refreshError="1"/>
      <sheetData sheetId="26195" refreshError="1"/>
      <sheetData sheetId="26196" refreshError="1"/>
      <sheetData sheetId="26197" refreshError="1"/>
      <sheetData sheetId="26198" refreshError="1"/>
      <sheetData sheetId="26199" refreshError="1"/>
      <sheetData sheetId="26200" refreshError="1"/>
      <sheetData sheetId="26201" refreshError="1"/>
      <sheetData sheetId="26202" refreshError="1"/>
      <sheetData sheetId="26203" refreshError="1"/>
      <sheetData sheetId="26204" refreshError="1"/>
      <sheetData sheetId="26205" refreshError="1"/>
      <sheetData sheetId="26206" refreshError="1"/>
      <sheetData sheetId="26207" refreshError="1"/>
      <sheetData sheetId="26208" refreshError="1"/>
      <sheetData sheetId="26209" refreshError="1"/>
      <sheetData sheetId="26210" refreshError="1"/>
      <sheetData sheetId="26211" refreshError="1"/>
      <sheetData sheetId="26212" refreshError="1"/>
      <sheetData sheetId="26213" refreshError="1"/>
      <sheetData sheetId="26214" refreshError="1"/>
      <sheetData sheetId="26215" refreshError="1"/>
      <sheetData sheetId="26216" refreshError="1"/>
      <sheetData sheetId="26217" refreshError="1"/>
      <sheetData sheetId="26218" refreshError="1"/>
      <sheetData sheetId="26219" refreshError="1"/>
      <sheetData sheetId="26220" refreshError="1"/>
      <sheetData sheetId="26221" refreshError="1"/>
      <sheetData sheetId="26222" refreshError="1"/>
      <sheetData sheetId="26223" refreshError="1"/>
      <sheetData sheetId="26224" refreshError="1"/>
      <sheetData sheetId="26225" refreshError="1"/>
      <sheetData sheetId="26226" refreshError="1"/>
      <sheetData sheetId="26227" refreshError="1"/>
      <sheetData sheetId="26228" refreshError="1"/>
      <sheetData sheetId="26229" refreshError="1"/>
      <sheetData sheetId="26230" refreshError="1"/>
      <sheetData sheetId="26231" refreshError="1"/>
      <sheetData sheetId="26232" refreshError="1"/>
      <sheetData sheetId="26233" refreshError="1"/>
      <sheetData sheetId="26234" refreshError="1"/>
      <sheetData sheetId="26235" refreshError="1"/>
      <sheetData sheetId="26236" refreshError="1"/>
      <sheetData sheetId="26237" refreshError="1"/>
      <sheetData sheetId="26238" refreshError="1"/>
      <sheetData sheetId="26239" refreshError="1"/>
      <sheetData sheetId="26240" refreshError="1"/>
      <sheetData sheetId="26241" refreshError="1"/>
      <sheetData sheetId="26242" refreshError="1"/>
      <sheetData sheetId="26243" refreshError="1"/>
      <sheetData sheetId="26244" refreshError="1"/>
      <sheetData sheetId="26245" refreshError="1"/>
      <sheetData sheetId="26246" refreshError="1"/>
      <sheetData sheetId="26247" refreshError="1"/>
      <sheetData sheetId="26248" refreshError="1"/>
      <sheetData sheetId="26249" refreshError="1"/>
      <sheetData sheetId="26250" refreshError="1"/>
      <sheetData sheetId="26251" refreshError="1"/>
      <sheetData sheetId="26252" refreshError="1"/>
      <sheetData sheetId="26253" refreshError="1"/>
      <sheetData sheetId="26254" refreshError="1"/>
      <sheetData sheetId="26255" refreshError="1"/>
      <sheetData sheetId="26256" refreshError="1"/>
      <sheetData sheetId="26257" refreshError="1"/>
      <sheetData sheetId="26258" refreshError="1"/>
      <sheetData sheetId="26259" refreshError="1"/>
      <sheetData sheetId="26260" refreshError="1"/>
      <sheetData sheetId="26261" refreshError="1"/>
      <sheetData sheetId="26262" refreshError="1"/>
      <sheetData sheetId="26263" refreshError="1"/>
      <sheetData sheetId="26264" refreshError="1"/>
      <sheetData sheetId="26265" refreshError="1"/>
      <sheetData sheetId="26266" refreshError="1"/>
      <sheetData sheetId="26267" refreshError="1"/>
      <sheetData sheetId="26268" refreshError="1"/>
      <sheetData sheetId="26269" refreshError="1"/>
      <sheetData sheetId="26270" refreshError="1"/>
      <sheetData sheetId="26271" refreshError="1"/>
      <sheetData sheetId="26272" refreshError="1"/>
      <sheetData sheetId="26273" refreshError="1"/>
      <sheetData sheetId="26274" refreshError="1"/>
      <sheetData sheetId="26275" refreshError="1"/>
      <sheetData sheetId="26276" refreshError="1"/>
      <sheetData sheetId="26277" refreshError="1"/>
      <sheetData sheetId="26278" refreshError="1"/>
      <sheetData sheetId="26279" refreshError="1"/>
      <sheetData sheetId="26280" refreshError="1"/>
      <sheetData sheetId="26281" refreshError="1"/>
      <sheetData sheetId="26282" refreshError="1"/>
      <sheetData sheetId="26283" refreshError="1"/>
      <sheetData sheetId="26284" refreshError="1"/>
      <sheetData sheetId="26285" refreshError="1"/>
      <sheetData sheetId="26286" refreshError="1"/>
      <sheetData sheetId="26287" refreshError="1"/>
      <sheetData sheetId="26288" refreshError="1"/>
      <sheetData sheetId="26289" refreshError="1"/>
      <sheetData sheetId="26290" refreshError="1"/>
      <sheetData sheetId="26291" refreshError="1"/>
      <sheetData sheetId="26292" refreshError="1"/>
      <sheetData sheetId="26293" refreshError="1"/>
      <sheetData sheetId="26294" refreshError="1"/>
      <sheetData sheetId="26295" refreshError="1"/>
      <sheetData sheetId="26296" refreshError="1"/>
      <sheetData sheetId="26297" refreshError="1"/>
      <sheetData sheetId="26298" refreshError="1"/>
      <sheetData sheetId="26299" refreshError="1"/>
      <sheetData sheetId="26300" refreshError="1"/>
      <sheetData sheetId="26301" refreshError="1"/>
      <sheetData sheetId="26302" refreshError="1"/>
      <sheetData sheetId="26303" refreshError="1"/>
      <sheetData sheetId="26304" refreshError="1"/>
      <sheetData sheetId="26305" refreshError="1"/>
      <sheetData sheetId="26306" refreshError="1"/>
      <sheetData sheetId="26307" refreshError="1"/>
      <sheetData sheetId="26308" refreshError="1"/>
      <sheetData sheetId="26309" refreshError="1"/>
      <sheetData sheetId="26310" refreshError="1"/>
      <sheetData sheetId="26311" refreshError="1"/>
      <sheetData sheetId="26312" refreshError="1"/>
      <sheetData sheetId="26313" refreshError="1"/>
      <sheetData sheetId="26314" refreshError="1"/>
      <sheetData sheetId="26315" refreshError="1"/>
      <sheetData sheetId="26316" refreshError="1"/>
      <sheetData sheetId="26317" refreshError="1"/>
      <sheetData sheetId="26318" refreshError="1"/>
      <sheetData sheetId="26319" refreshError="1"/>
      <sheetData sheetId="26320" refreshError="1"/>
      <sheetData sheetId="26321" refreshError="1"/>
      <sheetData sheetId="26322" refreshError="1"/>
      <sheetData sheetId="26323" refreshError="1"/>
      <sheetData sheetId="26324" refreshError="1"/>
      <sheetData sheetId="26325" refreshError="1"/>
      <sheetData sheetId="26326" refreshError="1"/>
      <sheetData sheetId="26327" refreshError="1"/>
      <sheetData sheetId="26328" refreshError="1"/>
      <sheetData sheetId="26329" refreshError="1"/>
      <sheetData sheetId="26330" refreshError="1"/>
      <sheetData sheetId="26331" refreshError="1"/>
      <sheetData sheetId="26332" refreshError="1"/>
      <sheetData sheetId="26333" refreshError="1"/>
      <sheetData sheetId="26334" refreshError="1"/>
      <sheetData sheetId="26335" refreshError="1"/>
      <sheetData sheetId="26336" refreshError="1"/>
      <sheetData sheetId="26337" refreshError="1"/>
      <sheetData sheetId="26338" refreshError="1"/>
      <sheetData sheetId="26339" refreshError="1"/>
      <sheetData sheetId="26340" refreshError="1"/>
      <sheetData sheetId="26341" refreshError="1"/>
      <sheetData sheetId="26342" refreshError="1"/>
      <sheetData sheetId="26343" refreshError="1"/>
      <sheetData sheetId="26344" refreshError="1"/>
      <sheetData sheetId="26345" refreshError="1"/>
      <sheetData sheetId="26346" refreshError="1"/>
      <sheetData sheetId="26347" refreshError="1"/>
      <sheetData sheetId="26348" refreshError="1"/>
      <sheetData sheetId="26349" refreshError="1"/>
      <sheetData sheetId="26350" refreshError="1"/>
      <sheetData sheetId="26351" refreshError="1"/>
      <sheetData sheetId="26352" refreshError="1"/>
      <sheetData sheetId="26353" refreshError="1"/>
      <sheetData sheetId="26354" refreshError="1"/>
      <sheetData sheetId="26355" refreshError="1"/>
      <sheetData sheetId="26356" refreshError="1"/>
      <sheetData sheetId="26357" refreshError="1"/>
      <sheetData sheetId="26358" refreshError="1"/>
      <sheetData sheetId="26359" refreshError="1"/>
      <sheetData sheetId="26360" refreshError="1"/>
      <sheetData sheetId="26361" refreshError="1"/>
      <sheetData sheetId="26362" refreshError="1"/>
      <sheetData sheetId="26363" refreshError="1"/>
      <sheetData sheetId="26364" refreshError="1"/>
      <sheetData sheetId="26365" refreshError="1"/>
      <sheetData sheetId="26366" refreshError="1"/>
      <sheetData sheetId="26367" refreshError="1"/>
      <sheetData sheetId="26368" refreshError="1"/>
      <sheetData sheetId="26369" refreshError="1"/>
      <sheetData sheetId="26370" refreshError="1"/>
      <sheetData sheetId="26371" refreshError="1"/>
      <sheetData sheetId="26372" refreshError="1"/>
      <sheetData sheetId="26373" refreshError="1"/>
      <sheetData sheetId="26374" refreshError="1"/>
      <sheetData sheetId="26375" refreshError="1"/>
      <sheetData sheetId="26376" refreshError="1"/>
      <sheetData sheetId="26377" refreshError="1"/>
      <sheetData sheetId="26378" refreshError="1"/>
      <sheetData sheetId="26379" refreshError="1"/>
      <sheetData sheetId="26380" refreshError="1"/>
      <sheetData sheetId="26381" refreshError="1"/>
      <sheetData sheetId="26382" refreshError="1"/>
      <sheetData sheetId="26383" refreshError="1"/>
      <sheetData sheetId="26384" refreshError="1"/>
      <sheetData sheetId="26385" refreshError="1"/>
      <sheetData sheetId="26386" refreshError="1"/>
      <sheetData sheetId="26387" refreshError="1"/>
      <sheetData sheetId="26388" refreshError="1"/>
      <sheetData sheetId="26389" refreshError="1"/>
      <sheetData sheetId="26390" refreshError="1"/>
      <sheetData sheetId="26391" refreshError="1"/>
      <sheetData sheetId="26392" refreshError="1"/>
      <sheetData sheetId="26393" refreshError="1"/>
      <sheetData sheetId="26394" refreshError="1"/>
      <sheetData sheetId="26395" refreshError="1"/>
      <sheetData sheetId="26396" refreshError="1"/>
      <sheetData sheetId="26397" refreshError="1"/>
      <sheetData sheetId="26398" refreshError="1"/>
      <sheetData sheetId="26399" refreshError="1"/>
      <sheetData sheetId="26400" refreshError="1"/>
      <sheetData sheetId="26401" refreshError="1"/>
      <sheetData sheetId="26402" refreshError="1"/>
      <sheetData sheetId="26403" refreshError="1"/>
      <sheetData sheetId="26404" refreshError="1"/>
      <sheetData sheetId="26405" refreshError="1"/>
      <sheetData sheetId="26406" refreshError="1"/>
      <sheetData sheetId="26407" refreshError="1"/>
      <sheetData sheetId="26408" refreshError="1"/>
      <sheetData sheetId="26409" refreshError="1"/>
      <sheetData sheetId="26410" refreshError="1"/>
      <sheetData sheetId="26411" refreshError="1"/>
      <sheetData sheetId="26412" refreshError="1"/>
      <sheetData sheetId="26413" refreshError="1"/>
      <sheetData sheetId="26414" refreshError="1"/>
      <sheetData sheetId="26415" refreshError="1"/>
      <sheetData sheetId="26416" refreshError="1"/>
      <sheetData sheetId="26417" refreshError="1"/>
      <sheetData sheetId="26418" refreshError="1"/>
      <sheetData sheetId="26419" refreshError="1"/>
      <sheetData sheetId="26420" refreshError="1"/>
      <sheetData sheetId="26421" refreshError="1"/>
      <sheetData sheetId="26422" refreshError="1"/>
      <sheetData sheetId="26423" refreshError="1"/>
      <sheetData sheetId="26424" refreshError="1"/>
      <sheetData sheetId="26425" refreshError="1"/>
      <sheetData sheetId="26426" refreshError="1"/>
      <sheetData sheetId="26427" refreshError="1"/>
      <sheetData sheetId="26428" refreshError="1"/>
      <sheetData sheetId="26429" refreshError="1"/>
      <sheetData sheetId="26430" refreshError="1"/>
      <sheetData sheetId="26431" refreshError="1"/>
      <sheetData sheetId="26432" refreshError="1"/>
      <sheetData sheetId="26433" refreshError="1"/>
      <sheetData sheetId="26434" refreshError="1"/>
      <sheetData sheetId="26435" refreshError="1"/>
      <sheetData sheetId="26436" refreshError="1"/>
      <sheetData sheetId="26437" refreshError="1"/>
      <sheetData sheetId="26438" refreshError="1"/>
      <sheetData sheetId="26439" refreshError="1"/>
      <sheetData sheetId="26440" refreshError="1"/>
      <sheetData sheetId="26441" refreshError="1"/>
      <sheetData sheetId="26442" refreshError="1"/>
      <sheetData sheetId="26443" refreshError="1"/>
      <sheetData sheetId="26444" refreshError="1"/>
      <sheetData sheetId="26445" refreshError="1"/>
      <sheetData sheetId="26446" refreshError="1"/>
      <sheetData sheetId="26447" refreshError="1"/>
      <sheetData sheetId="26448" refreshError="1"/>
      <sheetData sheetId="26449" refreshError="1"/>
      <sheetData sheetId="26450" refreshError="1"/>
      <sheetData sheetId="26451" refreshError="1"/>
      <sheetData sheetId="26452" refreshError="1"/>
      <sheetData sheetId="26453" refreshError="1"/>
      <sheetData sheetId="26454" refreshError="1"/>
      <sheetData sheetId="26455" refreshError="1"/>
      <sheetData sheetId="26456" refreshError="1"/>
      <sheetData sheetId="26457" refreshError="1"/>
      <sheetData sheetId="26458" refreshError="1"/>
      <sheetData sheetId="26459" refreshError="1"/>
      <sheetData sheetId="26460" refreshError="1"/>
      <sheetData sheetId="26461" refreshError="1"/>
      <sheetData sheetId="26462" refreshError="1"/>
      <sheetData sheetId="26463" refreshError="1"/>
      <sheetData sheetId="26464" refreshError="1"/>
      <sheetData sheetId="26465" refreshError="1"/>
      <sheetData sheetId="26466" refreshError="1"/>
      <sheetData sheetId="26467" refreshError="1"/>
      <sheetData sheetId="26468" refreshError="1"/>
      <sheetData sheetId="26469" refreshError="1"/>
      <sheetData sheetId="26470" refreshError="1"/>
      <sheetData sheetId="26471" refreshError="1"/>
      <sheetData sheetId="26472" refreshError="1"/>
      <sheetData sheetId="26473" refreshError="1"/>
      <sheetData sheetId="26474" refreshError="1"/>
      <sheetData sheetId="26475" refreshError="1"/>
      <sheetData sheetId="26476" refreshError="1"/>
      <sheetData sheetId="26477" refreshError="1"/>
      <sheetData sheetId="26478" refreshError="1"/>
      <sheetData sheetId="26479" refreshError="1"/>
      <sheetData sheetId="26480" refreshError="1"/>
      <sheetData sheetId="26481" refreshError="1"/>
      <sheetData sheetId="26482" refreshError="1"/>
      <sheetData sheetId="26483" refreshError="1"/>
      <sheetData sheetId="26484" refreshError="1"/>
      <sheetData sheetId="26485" refreshError="1"/>
      <sheetData sheetId="26486" refreshError="1"/>
      <sheetData sheetId="26487" refreshError="1"/>
      <sheetData sheetId="26488" refreshError="1"/>
      <sheetData sheetId="26489" refreshError="1"/>
      <sheetData sheetId="26490" refreshError="1"/>
      <sheetData sheetId="26491" refreshError="1"/>
      <sheetData sheetId="26492" refreshError="1"/>
      <sheetData sheetId="26493" refreshError="1"/>
      <sheetData sheetId="26494" refreshError="1"/>
      <sheetData sheetId="26495" refreshError="1"/>
      <sheetData sheetId="26496" refreshError="1"/>
      <sheetData sheetId="26497" refreshError="1"/>
      <sheetData sheetId="26498" refreshError="1"/>
      <sheetData sheetId="26499" refreshError="1"/>
      <sheetData sheetId="26500" refreshError="1"/>
      <sheetData sheetId="26501" refreshError="1"/>
      <sheetData sheetId="26502" refreshError="1"/>
      <sheetData sheetId="26503" refreshError="1"/>
      <sheetData sheetId="26504" refreshError="1"/>
      <sheetData sheetId="26505" refreshError="1"/>
      <sheetData sheetId="26506" refreshError="1"/>
      <sheetData sheetId="26507" refreshError="1"/>
      <sheetData sheetId="26508" refreshError="1"/>
      <sheetData sheetId="26509" refreshError="1"/>
      <sheetData sheetId="26510" refreshError="1"/>
      <sheetData sheetId="26511" refreshError="1"/>
      <sheetData sheetId="26512" refreshError="1"/>
      <sheetData sheetId="26513" refreshError="1"/>
      <sheetData sheetId="26514" refreshError="1"/>
      <sheetData sheetId="26515" refreshError="1"/>
      <sheetData sheetId="26516" refreshError="1"/>
      <sheetData sheetId="26517" refreshError="1"/>
      <sheetData sheetId="26518" refreshError="1"/>
      <sheetData sheetId="26519" refreshError="1"/>
      <sheetData sheetId="26520" refreshError="1"/>
      <sheetData sheetId="26521" refreshError="1"/>
      <sheetData sheetId="26522" refreshError="1"/>
      <sheetData sheetId="26523" refreshError="1"/>
      <sheetData sheetId="26524" refreshError="1"/>
      <sheetData sheetId="26525" refreshError="1"/>
      <sheetData sheetId="26526" refreshError="1"/>
      <sheetData sheetId="26527" refreshError="1"/>
      <sheetData sheetId="26528" refreshError="1"/>
      <sheetData sheetId="26529" refreshError="1"/>
      <sheetData sheetId="26530" refreshError="1"/>
      <sheetData sheetId="26531" refreshError="1"/>
      <sheetData sheetId="26532" refreshError="1"/>
      <sheetData sheetId="26533" refreshError="1"/>
      <sheetData sheetId="26534" refreshError="1"/>
      <sheetData sheetId="26535" refreshError="1"/>
      <sheetData sheetId="26536" refreshError="1"/>
      <sheetData sheetId="26537" refreshError="1"/>
      <sheetData sheetId="26538" refreshError="1"/>
      <sheetData sheetId="26539" refreshError="1"/>
      <sheetData sheetId="26540" refreshError="1"/>
      <sheetData sheetId="26541" refreshError="1"/>
      <sheetData sheetId="26542" refreshError="1"/>
      <sheetData sheetId="26543" refreshError="1"/>
      <sheetData sheetId="26544" refreshError="1"/>
      <sheetData sheetId="26545" refreshError="1"/>
      <sheetData sheetId="26546" refreshError="1"/>
      <sheetData sheetId="26547" refreshError="1"/>
      <sheetData sheetId="26548" refreshError="1"/>
      <sheetData sheetId="26549" refreshError="1"/>
      <sheetData sheetId="26550" refreshError="1"/>
      <sheetData sheetId="26551" refreshError="1"/>
      <sheetData sheetId="26552" refreshError="1"/>
      <sheetData sheetId="26553" refreshError="1"/>
      <sheetData sheetId="26554" refreshError="1"/>
      <sheetData sheetId="26555" refreshError="1"/>
      <sheetData sheetId="26556" refreshError="1"/>
      <sheetData sheetId="26557" refreshError="1"/>
      <sheetData sheetId="26558" refreshError="1"/>
      <sheetData sheetId="26559" refreshError="1"/>
      <sheetData sheetId="26560" refreshError="1"/>
      <sheetData sheetId="26561" refreshError="1"/>
      <sheetData sheetId="26562" refreshError="1"/>
      <sheetData sheetId="26563" refreshError="1"/>
      <sheetData sheetId="26564" refreshError="1"/>
      <sheetData sheetId="26565" refreshError="1"/>
      <sheetData sheetId="26566" refreshError="1"/>
      <sheetData sheetId="26567" refreshError="1"/>
      <sheetData sheetId="26568" refreshError="1"/>
      <sheetData sheetId="26569" refreshError="1"/>
      <sheetData sheetId="26570" refreshError="1"/>
      <sheetData sheetId="26571" refreshError="1"/>
      <sheetData sheetId="26572" refreshError="1"/>
      <sheetData sheetId="26573" refreshError="1"/>
      <sheetData sheetId="26574" refreshError="1"/>
      <sheetData sheetId="26575" refreshError="1"/>
      <sheetData sheetId="26576" refreshError="1"/>
      <sheetData sheetId="26577" refreshError="1"/>
      <sheetData sheetId="26578" refreshError="1"/>
      <sheetData sheetId="26579" refreshError="1"/>
      <sheetData sheetId="26580" refreshError="1"/>
      <sheetData sheetId="26581" refreshError="1"/>
      <sheetData sheetId="26582" refreshError="1"/>
      <sheetData sheetId="26583" refreshError="1"/>
      <sheetData sheetId="26584" refreshError="1"/>
      <sheetData sheetId="26585" refreshError="1"/>
      <sheetData sheetId="26586" refreshError="1"/>
      <sheetData sheetId="26587" refreshError="1"/>
      <sheetData sheetId="26588" refreshError="1"/>
      <sheetData sheetId="26589" refreshError="1"/>
      <sheetData sheetId="26590" refreshError="1"/>
      <sheetData sheetId="26591" refreshError="1"/>
      <sheetData sheetId="26592" refreshError="1"/>
      <sheetData sheetId="26593" refreshError="1"/>
      <sheetData sheetId="26594" refreshError="1"/>
      <sheetData sheetId="26595" refreshError="1"/>
      <sheetData sheetId="26596" refreshError="1"/>
      <sheetData sheetId="26597" refreshError="1"/>
      <sheetData sheetId="26598" refreshError="1"/>
      <sheetData sheetId="26599" refreshError="1"/>
      <sheetData sheetId="26600" refreshError="1"/>
      <sheetData sheetId="26601" refreshError="1"/>
      <sheetData sheetId="26602" refreshError="1"/>
      <sheetData sheetId="26603" refreshError="1"/>
      <sheetData sheetId="26604" refreshError="1"/>
      <sheetData sheetId="26605" refreshError="1"/>
      <sheetData sheetId="26606" refreshError="1"/>
      <sheetData sheetId="26607" refreshError="1"/>
      <sheetData sheetId="26608" refreshError="1"/>
      <sheetData sheetId="26609" refreshError="1"/>
      <sheetData sheetId="26610" refreshError="1"/>
      <sheetData sheetId="26611" refreshError="1"/>
      <sheetData sheetId="26612" refreshError="1"/>
      <sheetData sheetId="26613" refreshError="1"/>
      <sheetData sheetId="26614" refreshError="1"/>
      <sheetData sheetId="26615" refreshError="1"/>
      <sheetData sheetId="26616" refreshError="1"/>
      <sheetData sheetId="26617" refreshError="1"/>
      <sheetData sheetId="26618" refreshError="1"/>
      <sheetData sheetId="26619" refreshError="1"/>
      <sheetData sheetId="26620" refreshError="1"/>
      <sheetData sheetId="26621" refreshError="1"/>
      <sheetData sheetId="26622" refreshError="1"/>
      <sheetData sheetId="26623" refreshError="1"/>
      <sheetData sheetId="26624" refreshError="1"/>
      <sheetData sheetId="26625" refreshError="1"/>
      <sheetData sheetId="26626" refreshError="1"/>
      <sheetData sheetId="26627" refreshError="1"/>
      <sheetData sheetId="26628" refreshError="1"/>
      <sheetData sheetId="26629" refreshError="1"/>
      <sheetData sheetId="26630" refreshError="1"/>
      <sheetData sheetId="26631" refreshError="1"/>
      <sheetData sheetId="26632" refreshError="1"/>
      <sheetData sheetId="26633" refreshError="1"/>
      <sheetData sheetId="26634" refreshError="1"/>
      <sheetData sheetId="26635" refreshError="1"/>
      <sheetData sheetId="26636" refreshError="1"/>
      <sheetData sheetId="26637" refreshError="1"/>
      <sheetData sheetId="26638" refreshError="1"/>
      <sheetData sheetId="26639" refreshError="1"/>
      <sheetData sheetId="26640" refreshError="1"/>
      <sheetData sheetId="26641" refreshError="1"/>
      <sheetData sheetId="26642" refreshError="1"/>
      <sheetData sheetId="26643" refreshError="1"/>
      <sheetData sheetId="26644" refreshError="1"/>
      <sheetData sheetId="26645" refreshError="1"/>
      <sheetData sheetId="26646" refreshError="1"/>
      <sheetData sheetId="26647" refreshError="1"/>
      <sheetData sheetId="26648" refreshError="1"/>
      <sheetData sheetId="26649" refreshError="1"/>
      <sheetData sheetId="26650" refreshError="1"/>
      <sheetData sheetId="26651" refreshError="1"/>
      <sheetData sheetId="26652" refreshError="1"/>
      <sheetData sheetId="26653" refreshError="1"/>
      <sheetData sheetId="26654" refreshError="1"/>
      <sheetData sheetId="26655" refreshError="1"/>
      <sheetData sheetId="26656" refreshError="1"/>
      <sheetData sheetId="26657" refreshError="1"/>
      <sheetData sheetId="26658" refreshError="1"/>
      <sheetData sheetId="26659" refreshError="1"/>
      <sheetData sheetId="26660" refreshError="1"/>
      <sheetData sheetId="26661" refreshError="1"/>
      <sheetData sheetId="26662" refreshError="1"/>
      <sheetData sheetId="26663" refreshError="1"/>
      <sheetData sheetId="26664" refreshError="1"/>
      <sheetData sheetId="26665" refreshError="1"/>
      <sheetData sheetId="26666" refreshError="1"/>
      <sheetData sheetId="26667" refreshError="1"/>
      <sheetData sheetId="26668" refreshError="1"/>
      <sheetData sheetId="26669" refreshError="1"/>
      <sheetData sheetId="26670" refreshError="1"/>
      <sheetData sheetId="26671" refreshError="1"/>
      <sheetData sheetId="26672" refreshError="1"/>
      <sheetData sheetId="26673" refreshError="1"/>
      <sheetData sheetId="26674" refreshError="1"/>
      <sheetData sheetId="26675" refreshError="1"/>
      <sheetData sheetId="26676" refreshError="1"/>
      <sheetData sheetId="26677" refreshError="1"/>
      <sheetData sheetId="26678" refreshError="1"/>
      <sheetData sheetId="26679" refreshError="1"/>
      <sheetData sheetId="26680" refreshError="1"/>
      <sheetData sheetId="26681" refreshError="1"/>
      <sheetData sheetId="26682" refreshError="1"/>
      <sheetData sheetId="26683" refreshError="1"/>
      <sheetData sheetId="26684" refreshError="1"/>
      <sheetData sheetId="26685" refreshError="1"/>
      <sheetData sheetId="26686" refreshError="1"/>
      <sheetData sheetId="26687" refreshError="1"/>
      <sheetData sheetId="26688" refreshError="1"/>
      <sheetData sheetId="26689" refreshError="1"/>
      <sheetData sheetId="26690" refreshError="1"/>
      <sheetData sheetId="26691" refreshError="1"/>
      <sheetData sheetId="26692" refreshError="1"/>
      <sheetData sheetId="26693" refreshError="1"/>
      <sheetData sheetId="26694" refreshError="1"/>
      <sheetData sheetId="26695" refreshError="1"/>
      <sheetData sheetId="26696" refreshError="1"/>
      <sheetData sheetId="26697" refreshError="1"/>
      <sheetData sheetId="26698" refreshError="1"/>
      <sheetData sheetId="26699" refreshError="1"/>
      <sheetData sheetId="26700" refreshError="1"/>
      <sheetData sheetId="26701" refreshError="1"/>
      <sheetData sheetId="26702" refreshError="1"/>
      <sheetData sheetId="26703" refreshError="1"/>
      <sheetData sheetId="26704" refreshError="1"/>
      <sheetData sheetId="26705" refreshError="1"/>
      <sheetData sheetId="26706" refreshError="1"/>
      <sheetData sheetId="26707" refreshError="1"/>
      <sheetData sheetId="26708" refreshError="1"/>
      <sheetData sheetId="26709" refreshError="1"/>
      <sheetData sheetId="26710" refreshError="1"/>
      <sheetData sheetId="26711" refreshError="1"/>
      <sheetData sheetId="26712" refreshError="1"/>
      <sheetData sheetId="26713" refreshError="1"/>
      <sheetData sheetId="26714" refreshError="1"/>
      <sheetData sheetId="26715" refreshError="1"/>
      <sheetData sheetId="26716" refreshError="1"/>
      <sheetData sheetId="26717" refreshError="1"/>
      <sheetData sheetId="26718" refreshError="1"/>
      <sheetData sheetId="26719" refreshError="1"/>
      <sheetData sheetId="26720" refreshError="1"/>
      <sheetData sheetId="26721" refreshError="1"/>
      <sheetData sheetId="26722" refreshError="1"/>
      <sheetData sheetId="26723" refreshError="1"/>
      <sheetData sheetId="26724" refreshError="1"/>
      <sheetData sheetId="26725" refreshError="1"/>
      <sheetData sheetId="26726" refreshError="1"/>
      <sheetData sheetId="26727" refreshError="1"/>
      <sheetData sheetId="26728" refreshError="1"/>
      <sheetData sheetId="26729" refreshError="1"/>
      <sheetData sheetId="26730" refreshError="1"/>
      <sheetData sheetId="26731" refreshError="1"/>
      <sheetData sheetId="26732" refreshError="1"/>
      <sheetData sheetId="26733" refreshError="1"/>
      <sheetData sheetId="26734" refreshError="1"/>
      <sheetData sheetId="26735" refreshError="1"/>
      <sheetData sheetId="26736" refreshError="1"/>
      <sheetData sheetId="26737" refreshError="1"/>
      <sheetData sheetId="26738" refreshError="1"/>
      <sheetData sheetId="26739" refreshError="1"/>
      <sheetData sheetId="26740" refreshError="1"/>
      <sheetData sheetId="26741" refreshError="1"/>
      <sheetData sheetId="26742" refreshError="1"/>
      <sheetData sheetId="26743" refreshError="1"/>
      <sheetData sheetId="26744" refreshError="1"/>
      <sheetData sheetId="26745" refreshError="1"/>
      <sheetData sheetId="26746" refreshError="1"/>
      <sheetData sheetId="26747" refreshError="1"/>
      <sheetData sheetId="26748" refreshError="1"/>
      <sheetData sheetId="26749" refreshError="1"/>
      <sheetData sheetId="26750" refreshError="1"/>
      <sheetData sheetId="26751" refreshError="1"/>
      <sheetData sheetId="26752" refreshError="1"/>
      <sheetData sheetId="26753" refreshError="1"/>
      <sheetData sheetId="26754" refreshError="1"/>
      <sheetData sheetId="26755" refreshError="1"/>
      <sheetData sheetId="26756" refreshError="1"/>
      <sheetData sheetId="26757" refreshError="1"/>
      <sheetData sheetId="26758" refreshError="1"/>
      <sheetData sheetId="26759" refreshError="1"/>
      <sheetData sheetId="26760" refreshError="1"/>
      <sheetData sheetId="26761" refreshError="1"/>
      <sheetData sheetId="26762" refreshError="1"/>
      <sheetData sheetId="26763" refreshError="1"/>
      <sheetData sheetId="26764" refreshError="1"/>
      <sheetData sheetId="26765" refreshError="1"/>
      <sheetData sheetId="26766" refreshError="1"/>
      <sheetData sheetId="26767" refreshError="1"/>
      <sheetData sheetId="26768" refreshError="1"/>
      <sheetData sheetId="26769" refreshError="1"/>
      <sheetData sheetId="26770" refreshError="1"/>
      <sheetData sheetId="26771" refreshError="1"/>
      <sheetData sheetId="26772" refreshError="1"/>
      <sheetData sheetId="26773" refreshError="1"/>
      <sheetData sheetId="26774" refreshError="1"/>
      <sheetData sheetId="26775" refreshError="1"/>
      <sheetData sheetId="26776" refreshError="1"/>
      <sheetData sheetId="26777" refreshError="1"/>
      <sheetData sheetId="26778" refreshError="1"/>
      <sheetData sheetId="26779" refreshError="1"/>
      <sheetData sheetId="26780" refreshError="1"/>
      <sheetData sheetId="26781" refreshError="1"/>
      <sheetData sheetId="26782" refreshError="1"/>
      <sheetData sheetId="26783" refreshError="1"/>
      <sheetData sheetId="26784" refreshError="1"/>
      <sheetData sheetId="26785" refreshError="1"/>
      <sheetData sheetId="26786" refreshError="1"/>
      <sheetData sheetId="26787" refreshError="1"/>
      <sheetData sheetId="26788" refreshError="1"/>
      <sheetData sheetId="26789" refreshError="1"/>
      <sheetData sheetId="26790" refreshError="1"/>
      <sheetData sheetId="26791" refreshError="1"/>
      <sheetData sheetId="26792" refreshError="1"/>
      <sheetData sheetId="26793" refreshError="1"/>
      <sheetData sheetId="26794" refreshError="1"/>
      <sheetData sheetId="26795" refreshError="1"/>
      <sheetData sheetId="26796" refreshError="1"/>
      <sheetData sheetId="26797" refreshError="1"/>
      <sheetData sheetId="26798" refreshError="1"/>
      <sheetData sheetId="26799" refreshError="1"/>
      <sheetData sheetId="26800" refreshError="1"/>
      <sheetData sheetId="26801" refreshError="1"/>
      <sheetData sheetId="26802" refreshError="1"/>
      <sheetData sheetId="26803" refreshError="1"/>
      <sheetData sheetId="26804" refreshError="1"/>
      <sheetData sheetId="26805" refreshError="1"/>
      <sheetData sheetId="26806" refreshError="1"/>
      <sheetData sheetId="26807" refreshError="1"/>
      <sheetData sheetId="26808" refreshError="1"/>
      <sheetData sheetId="26809" refreshError="1"/>
      <sheetData sheetId="26810" refreshError="1"/>
      <sheetData sheetId="26811" refreshError="1"/>
      <sheetData sheetId="26812" refreshError="1"/>
      <sheetData sheetId="26813" refreshError="1"/>
      <sheetData sheetId="26814" refreshError="1"/>
      <sheetData sheetId="26815" refreshError="1"/>
      <sheetData sheetId="26816" refreshError="1"/>
      <sheetData sheetId="26817" refreshError="1"/>
      <sheetData sheetId="26818" refreshError="1"/>
      <sheetData sheetId="26819" refreshError="1"/>
      <sheetData sheetId="26820" refreshError="1"/>
      <sheetData sheetId="26821" refreshError="1"/>
      <sheetData sheetId="26822" refreshError="1"/>
      <sheetData sheetId="26823" refreshError="1"/>
      <sheetData sheetId="26824"/>
      <sheetData sheetId="26825"/>
      <sheetData sheetId="26826"/>
      <sheetData sheetId="26827"/>
      <sheetData sheetId="26828"/>
      <sheetData sheetId="26829" refreshError="1"/>
      <sheetData sheetId="26830" refreshError="1"/>
      <sheetData sheetId="26831"/>
      <sheetData sheetId="26832"/>
      <sheetData sheetId="26833" refreshError="1"/>
      <sheetData sheetId="26834" refreshError="1"/>
      <sheetData sheetId="26835"/>
      <sheetData sheetId="26836" refreshError="1"/>
      <sheetData sheetId="26837" refreshError="1"/>
      <sheetData sheetId="26838" refreshError="1"/>
      <sheetData sheetId="26839" refreshError="1"/>
      <sheetData sheetId="26840" refreshError="1"/>
      <sheetData sheetId="26841"/>
      <sheetData sheetId="26842"/>
      <sheetData sheetId="26843"/>
      <sheetData sheetId="26844"/>
      <sheetData sheetId="26845"/>
      <sheetData sheetId="26846"/>
      <sheetData sheetId="26847"/>
      <sheetData sheetId="26848"/>
      <sheetData sheetId="26849"/>
      <sheetData sheetId="26850"/>
      <sheetData sheetId="26851"/>
      <sheetData sheetId="26852"/>
      <sheetData sheetId="26853"/>
      <sheetData sheetId="26854"/>
      <sheetData sheetId="26855"/>
      <sheetData sheetId="26856"/>
      <sheetData sheetId="26857"/>
      <sheetData sheetId="26858"/>
      <sheetData sheetId="26859"/>
      <sheetData sheetId="26860"/>
      <sheetData sheetId="26861"/>
      <sheetData sheetId="26862"/>
      <sheetData sheetId="26863"/>
      <sheetData sheetId="26864"/>
      <sheetData sheetId="26865"/>
      <sheetData sheetId="26866"/>
      <sheetData sheetId="26867" refreshError="1"/>
      <sheetData sheetId="26868" refreshError="1"/>
      <sheetData sheetId="26869" refreshError="1"/>
      <sheetData sheetId="26870" refreshError="1"/>
      <sheetData sheetId="26871" refreshError="1"/>
      <sheetData sheetId="26872" refreshError="1"/>
      <sheetData sheetId="26873" refreshError="1"/>
      <sheetData sheetId="26874" refreshError="1"/>
      <sheetData sheetId="26875" refreshError="1"/>
      <sheetData sheetId="26876" refreshError="1"/>
      <sheetData sheetId="26877" refreshError="1"/>
      <sheetData sheetId="26878" refreshError="1"/>
      <sheetData sheetId="26879" refreshError="1"/>
      <sheetData sheetId="26880" refreshError="1"/>
      <sheetData sheetId="26881" refreshError="1"/>
      <sheetData sheetId="26882" refreshError="1"/>
      <sheetData sheetId="26883" refreshError="1"/>
      <sheetData sheetId="26884" refreshError="1"/>
      <sheetData sheetId="26885" refreshError="1"/>
      <sheetData sheetId="26886" refreshError="1"/>
      <sheetData sheetId="26887" refreshError="1"/>
      <sheetData sheetId="26888" refreshError="1"/>
      <sheetData sheetId="26889" refreshError="1"/>
      <sheetData sheetId="26890" refreshError="1"/>
      <sheetData sheetId="26891" refreshError="1"/>
      <sheetData sheetId="26892" refreshError="1"/>
      <sheetData sheetId="26893" refreshError="1"/>
      <sheetData sheetId="26894" refreshError="1"/>
      <sheetData sheetId="26895" refreshError="1"/>
      <sheetData sheetId="26896" refreshError="1"/>
      <sheetData sheetId="26897" refreshError="1"/>
      <sheetData sheetId="26898" refreshError="1"/>
      <sheetData sheetId="26899" refreshError="1"/>
      <sheetData sheetId="26900" refreshError="1"/>
      <sheetData sheetId="26901" refreshError="1"/>
      <sheetData sheetId="26902" refreshError="1"/>
      <sheetData sheetId="26903" refreshError="1"/>
      <sheetData sheetId="26904" refreshError="1"/>
      <sheetData sheetId="26905" refreshError="1"/>
      <sheetData sheetId="26906" refreshError="1"/>
      <sheetData sheetId="26907" refreshError="1"/>
      <sheetData sheetId="26908" refreshError="1"/>
      <sheetData sheetId="26909" refreshError="1"/>
      <sheetData sheetId="26910" refreshError="1"/>
      <sheetData sheetId="26911" refreshError="1"/>
      <sheetData sheetId="26912" refreshError="1"/>
      <sheetData sheetId="26913" refreshError="1"/>
      <sheetData sheetId="26914" refreshError="1"/>
      <sheetData sheetId="26915" refreshError="1"/>
      <sheetData sheetId="26916" refreshError="1"/>
      <sheetData sheetId="26917" refreshError="1"/>
      <sheetData sheetId="26918" refreshError="1"/>
      <sheetData sheetId="26919" refreshError="1"/>
      <sheetData sheetId="26920" refreshError="1"/>
      <sheetData sheetId="26921" refreshError="1"/>
      <sheetData sheetId="26922" refreshError="1"/>
      <sheetData sheetId="26923" refreshError="1"/>
      <sheetData sheetId="26924" refreshError="1"/>
      <sheetData sheetId="26925" refreshError="1"/>
      <sheetData sheetId="26926" refreshError="1"/>
      <sheetData sheetId="26927" refreshError="1"/>
      <sheetData sheetId="26928" refreshError="1"/>
      <sheetData sheetId="26929"/>
      <sheetData sheetId="26930"/>
      <sheetData sheetId="26931"/>
      <sheetData sheetId="26932" refreshError="1"/>
      <sheetData sheetId="26933" refreshError="1"/>
      <sheetData sheetId="26934" refreshError="1"/>
      <sheetData sheetId="26935" refreshError="1"/>
      <sheetData sheetId="26936" refreshError="1"/>
      <sheetData sheetId="26937" refreshError="1"/>
      <sheetData sheetId="26938" refreshError="1"/>
      <sheetData sheetId="26939" refreshError="1"/>
      <sheetData sheetId="26940" refreshError="1"/>
      <sheetData sheetId="26941" refreshError="1"/>
      <sheetData sheetId="26942" refreshError="1"/>
      <sheetData sheetId="26943" refreshError="1"/>
      <sheetData sheetId="26944" refreshError="1"/>
      <sheetData sheetId="26945" refreshError="1"/>
      <sheetData sheetId="26946" refreshError="1"/>
      <sheetData sheetId="26947" refreshError="1"/>
      <sheetData sheetId="26948" refreshError="1"/>
      <sheetData sheetId="26949" refreshError="1"/>
      <sheetData sheetId="26950" refreshError="1"/>
      <sheetData sheetId="26951" refreshError="1"/>
      <sheetData sheetId="26952" refreshError="1"/>
      <sheetData sheetId="26953" refreshError="1"/>
      <sheetData sheetId="26954" refreshError="1"/>
      <sheetData sheetId="26955" refreshError="1"/>
      <sheetData sheetId="26956" refreshError="1"/>
      <sheetData sheetId="26957" refreshError="1"/>
      <sheetData sheetId="26958" refreshError="1"/>
      <sheetData sheetId="26959" refreshError="1"/>
      <sheetData sheetId="26960" refreshError="1"/>
      <sheetData sheetId="26961" refreshError="1"/>
      <sheetData sheetId="26962" refreshError="1"/>
      <sheetData sheetId="26963" refreshError="1"/>
      <sheetData sheetId="26964" refreshError="1"/>
      <sheetData sheetId="26965" refreshError="1"/>
      <sheetData sheetId="26966" refreshError="1"/>
      <sheetData sheetId="26967" refreshError="1"/>
      <sheetData sheetId="26968" refreshError="1"/>
      <sheetData sheetId="26969" refreshError="1"/>
      <sheetData sheetId="26970" refreshError="1"/>
      <sheetData sheetId="26971" refreshError="1"/>
      <sheetData sheetId="26972" refreshError="1"/>
      <sheetData sheetId="26973" refreshError="1"/>
      <sheetData sheetId="26974" refreshError="1"/>
      <sheetData sheetId="26975" refreshError="1"/>
      <sheetData sheetId="26976" refreshError="1"/>
      <sheetData sheetId="26977" refreshError="1"/>
      <sheetData sheetId="26978" refreshError="1"/>
      <sheetData sheetId="26979" refreshError="1"/>
      <sheetData sheetId="26980" refreshError="1"/>
      <sheetData sheetId="26981" refreshError="1"/>
      <sheetData sheetId="26982" refreshError="1"/>
      <sheetData sheetId="26983" refreshError="1"/>
      <sheetData sheetId="26984" refreshError="1"/>
      <sheetData sheetId="26985" refreshError="1"/>
      <sheetData sheetId="26986" refreshError="1"/>
      <sheetData sheetId="26987" refreshError="1"/>
      <sheetData sheetId="26988" refreshError="1"/>
      <sheetData sheetId="26989" refreshError="1"/>
      <sheetData sheetId="26990" refreshError="1"/>
      <sheetData sheetId="26991" refreshError="1"/>
      <sheetData sheetId="26992" refreshError="1"/>
      <sheetData sheetId="26993" refreshError="1"/>
      <sheetData sheetId="26994" refreshError="1"/>
      <sheetData sheetId="26995" refreshError="1"/>
      <sheetData sheetId="26996" refreshError="1"/>
      <sheetData sheetId="26997" refreshError="1"/>
      <sheetData sheetId="26998" refreshError="1"/>
      <sheetData sheetId="26999" refreshError="1"/>
      <sheetData sheetId="27000" refreshError="1"/>
      <sheetData sheetId="27001" refreshError="1"/>
      <sheetData sheetId="27002" refreshError="1"/>
      <sheetData sheetId="27003" refreshError="1"/>
      <sheetData sheetId="27004" refreshError="1"/>
      <sheetData sheetId="27005" refreshError="1"/>
      <sheetData sheetId="27006" refreshError="1"/>
      <sheetData sheetId="27007" refreshError="1"/>
      <sheetData sheetId="27008" refreshError="1"/>
      <sheetData sheetId="27009" refreshError="1"/>
      <sheetData sheetId="27010" refreshError="1"/>
      <sheetData sheetId="27011" refreshError="1"/>
      <sheetData sheetId="27012" refreshError="1"/>
      <sheetData sheetId="27013" refreshError="1"/>
      <sheetData sheetId="27014" refreshError="1"/>
      <sheetData sheetId="27015" refreshError="1"/>
      <sheetData sheetId="27016" refreshError="1"/>
      <sheetData sheetId="27017" refreshError="1"/>
      <sheetData sheetId="27018" refreshError="1"/>
      <sheetData sheetId="27019" refreshError="1"/>
      <sheetData sheetId="27020" refreshError="1"/>
      <sheetData sheetId="27021" refreshError="1"/>
      <sheetData sheetId="27022" refreshError="1"/>
      <sheetData sheetId="27023" refreshError="1"/>
      <sheetData sheetId="27024" refreshError="1"/>
      <sheetData sheetId="27025" refreshError="1"/>
      <sheetData sheetId="27026" refreshError="1"/>
      <sheetData sheetId="27027" refreshError="1"/>
      <sheetData sheetId="27028" refreshError="1"/>
      <sheetData sheetId="27029" refreshError="1"/>
      <sheetData sheetId="27030" refreshError="1"/>
      <sheetData sheetId="27031" refreshError="1"/>
      <sheetData sheetId="27032" refreshError="1"/>
      <sheetData sheetId="27033" refreshError="1"/>
      <sheetData sheetId="27034" refreshError="1"/>
      <sheetData sheetId="27035" refreshError="1"/>
      <sheetData sheetId="27036" refreshError="1"/>
      <sheetData sheetId="27037" refreshError="1"/>
      <sheetData sheetId="27038" refreshError="1"/>
      <sheetData sheetId="27039" refreshError="1"/>
      <sheetData sheetId="27040" refreshError="1"/>
      <sheetData sheetId="27041" refreshError="1"/>
      <sheetData sheetId="27042" refreshError="1"/>
      <sheetData sheetId="27043" refreshError="1"/>
      <sheetData sheetId="27044" refreshError="1"/>
      <sheetData sheetId="27045" refreshError="1"/>
      <sheetData sheetId="27046" refreshError="1"/>
      <sheetData sheetId="27047" refreshError="1"/>
      <sheetData sheetId="27048" refreshError="1"/>
      <sheetData sheetId="27049" refreshError="1"/>
      <sheetData sheetId="27050" refreshError="1"/>
      <sheetData sheetId="27051" refreshError="1"/>
      <sheetData sheetId="27052" refreshError="1"/>
      <sheetData sheetId="27053" refreshError="1"/>
      <sheetData sheetId="27054" refreshError="1"/>
      <sheetData sheetId="27055" refreshError="1"/>
      <sheetData sheetId="27056" refreshError="1"/>
      <sheetData sheetId="27057" refreshError="1"/>
      <sheetData sheetId="27058" refreshError="1"/>
      <sheetData sheetId="27059" refreshError="1"/>
      <sheetData sheetId="27060" refreshError="1"/>
      <sheetData sheetId="27061" refreshError="1"/>
      <sheetData sheetId="27062" refreshError="1"/>
      <sheetData sheetId="27063" refreshError="1"/>
      <sheetData sheetId="27064" refreshError="1"/>
      <sheetData sheetId="27065" refreshError="1"/>
      <sheetData sheetId="27066" refreshError="1"/>
      <sheetData sheetId="27067" refreshError="1"/>
      <sheetData sheetId="27068" refreshError="1"/>
      <sheetData sheetId="27069" refreshError="1"/>
      <sheetData sheetId="27070" refreshError="1"/>
      <sheetData sheetId="27071" refreshError="1"/>
      <sheetData sheetId="27072" refreshError="1"/>
      <sheetData sheetId="27073" refreshError="1"/>
      <sheetData sheetId="27074" refreshError="1"/>
      <sheetData sheetId="27075" refreshError="1"/>
      <sheetData sheetId="27076" refreshError="1"/>
      <sheetData sheetId="27077" refreshError="1"/>
      <sheetData sheetId="27078" refreshError="1"/>
      <sheetData sheetId="27079" refreshError="1"/>
      <sheetData sheetId="27080" refreshError="1"/>
      <sheetData sheetId="27081" refreshError="1"/>
      <sheetData sheetId="27082" refreshError="1"/>
      <sheetData sheetId="27083" refreshError="1"/>
      <sheetData sheetId="27084" refreshError="1"/>
      <sheetData sheetId="27085" refreshError="1"/>
      <sheetData sheetId="27086" refreshError="1"/>
      <sheetData sheetId="27087" refreshError="1"/>
      <sheetData sheetId="27088" refreshError="1"/>
      <sheetData sheetId="27089" refreshError="1"/>
      <sheetData sheetId="27090" refreshError="1"/>
      <sheetData sheetId="27091" refreshError="1"/>
      <sheetData sheetId="27092" refreshError="1"/>
      <sheetData sheetId="27093" refreshError="1"/>
      <sheetData sheetId="27094" refreshError="1"/>
      <sheetData sheetId="27095" refreshError="1"/>
      <sheetData sheetId="27096" refreshError="1"/>
      <sheetData sheetId="27097" refreshError="1"/>
      <sheetData sheetId="27098" refreshError="1"/>
      <sheetData sheetId="27099" refreshError="1"/>
      <sheetData sheetId="27100" refreshError="1"/>
      <sheetData sheetId="27101" refreshError="1"/>
      <sheetData sheetId="27102" refreshError="1"/>
      <sheetData sheetId="27103" refreshError="1"/>
      <sheetData sheetId="27104" refreshError="1"/>
      <sheetData sheetId="27105" refreshError="1"/>
      <sheetData sheetId="27106" refreshError="1"/>
      <sheetData sheetId="27107" refreshError="1"/>
      <sheetData sheetId="27108" refreshError="1"/>
      <sheetData sheetId="27109" refreshError="1"/>
      <sheetData sheetId="27110" refreshError="1"/>
      <sheetData sheetId="27111" refreshError="1"/>
      <sheetData sheetId="27112" refreshError="1"/>
      <sheetData sheetId="27113" refreshError="1"/>
      <sheetData sheetId="27114" refreshError="1"/>
      <sheetData sheetId="27115" refreshError="1"/>
      <sheetData sheetId="27116" refreshError="1"/>
      <sheetData sheetId="27117" refreshError="1"/>
      <sheetData sheetId="27118" refreshError="1"/>
      <sheetData sheetId="27119" refreshError="1"/>
      <sheetData sheetId="27120" refreshError="1"/>
      <sheetData sheetId="27121" refreshError="1"/>
      <sheetData sheetId="27122" refreshError="1"/>
      <sheetData sheetId="27123" refreshError="1"/>
      <sheetData sheetId="27124" refreshError="1"/>
      <sheetData sheetId="27125" refreshError="1"/>
      <sheetData sheetId="27126" refreshError="1"/>
      <sheetData sheetId="27127" refreshError="1"/>
      <sheetData sheetId="27128" refreshError="1"/>
      <sheetData sheetId="27129" refreshError="1"/>
      <sheetData sheetId="27130" refreshError="1"/>
      <sheetData sheetId="27131" refreshError="1"/>
      <sheetData sheetId="27132" refreshError="1"/>
      <sheetData sheetId="27133" refreshError="1"/>
      <sheetData sheetId="27134" refreshError="1"/>
      <sheetData sheetId="27135" refreshError="1"/>
      <sheetData sheetId="27136" refreshError="1"/>
      <sheetData sheetId="27137" refreshError="1"/>
      <sheetData sheetId="27138" refreshError="1"/>
      <sheetData sheetId="27139" refreshError="1"/>
      <sheetData sheetId="27140" refreshError="1"/>
      <sheetData sheetId="27141" refreshError="1"/>
      <sheetData sheetId="27142" refreshError="1"/>
      <sheetData sheetId="27143" refreshError="1"/>
      <sheetData sheetId="27144" refreshError="1"/>
      <sheetData sheetId="27145" refreshError="1"/>
      <sheetData sheetId="27146" refreshError="1"/>
      <sheetData sheetId="27147" refreshError="1"/>
      <sheetData sheetId="27148" refreshError="1"/>
      <sheetData sheetId="27149" refreshError="1"/>
      <sheetData sheetId="27150" refreshError="1"/>
      <sheetData sheetId="27151" refreshError="1"/>
      <sheetData sheetId="27152" refreshError="1"/>
      <sheetData sheetId="27153" refreshError="1"/>
      <sheetData sheetId="27154" refreshError="1"/>
      <sheetData sheetId="27155" refreshError="1"/>
      <sheetData sheetId="27156" refreshError="1"/>
      <sheetData sheetId="27157" refreshError="1"/>
      <sheetData sheetId="27158" refreshError="1"/>
      <sheetData sheetId="27159" refreshError="1"/>
      <sheetData sheetId="27160" refreshError="1"/>
      <sheetData sheetId="27161" refreshError="1"/>
      <sheetData sheetId="27162" refreshError="1"/>
      <sheetData sheetId="27163" refreshError="1"/>
      <sheetData sheetId="27164" refreshError="1"/>
      <sheetData sheetId="27165" refreshError="1"/>
      <sheetData sheetId="27166" refreshError="1"/>
      <sheetData sheetId="27167" refreshError="1"/>
      <sheetData sheetId="27168" refreshError="1"/>
      <sheetData sheetId="27169" refreshError="1"/>
      <sheetData sheetId="27170" refreshError="1"/>
      <sheetData sheetId="27171" refreshError="1"/>
      <sheetData sheetId="27172" refreshError="1"/>
      <sheetData sheetId="27173" refreshError="1"/>
      <sheetData sheetId="27174" refreshError="1"/>
      <sheetData sheetId="27175" refreshError="1"/>
      <sheetData sheetId="27176" refreshError="1"/>
      <sheetData sheetId="27177" refreshError="1"/>
      <sheetData sheetId="27178" refreshError="1"/>
      <sheetData sheetId="27179" refreshError="1"/>
      <sheetData sheetId="27180" refreshError="1"/>
      <sheetData sheetId="27181" refreshError="1"/>
      <sheetData sheetId="27182" refreshError="1"/>
      <sheetData sheetId="27183" refreshError="1"/>
      <sheetData sheetId="27184" refreshError="1"/>
      <sheetData sheetId="27185" refreshError="1"/>
      <sheetData sheetId="27186" refreshError="1"/>
      <sheetData sheetId="27187" refreshError="1"/>
      <sheetData sheetId="27188" refreshError="1"/>
      <sheetData sheetId="27189" refreshError="1"/>
      <sheetData sheetId="27190" refreshError="1"/>
      <sheetData sheetId="27191" refreshError="1"/>
      <sheetData sheetId="27192" refreshError="1"/>
      <sheetData sheetId="27193" refreshError="1"/>
      <sheetData sheetId="27194" refreshError="1"/>
      <sheetData sheetId="27195" refreshError="1"/>
      <sheetData sheetId="27196" refreshError="1"/>
      <sheetData sheetId="27197" refreshError="1"/>
      <sheetData sheetId="27198" refreshError="1"/>
      <sheetData sheetId="27199" refreshError="1"/>
      <sheetData sheetId="27200" refreshError="1"/>
      <sheetData sheetId="27201" refreshError="1"/>
      <sheetData sheetId="27202" refreshError="1"/>
      <sheetData sheetId="27203" refreshError="1"/>
      <sheetData sheetId="27204" refreshError="1"/>
      <sheetData sheetId="27205" refreshError="1"/>
      <sheetData sheetId="27206" refreshError="1"/>
      <sheetData sheetId="27207" refreshError="1"/>
      <sheetData sheetId="27208" refreshError="1"/>
      <sheetData sheetId="27209" refreshError="1"/>
      <sheetData sheetId="27210" refreshError="1"/>
      <sheetData sheetId="27211" refreshError="1"/>
      <sheetData sheetId="27212" refreshError="1"/>
      <sheetData sheetId="27213" refreshError="1"/>
      <sheetData sheetId="27214" refreshError="1"/>
      <sheetData sheetId="27215" refreshError="1"/>
      <sheetData sheetId="27216" refreshError="1"/>
      <sheetData sheetId="27217" refreshError="1"/>
      <sheetData sheetId="27218" refreshError="1"/>
      <sheetData sheetId="27219" refreshError="1"/>
      <sheetData sheetId="27220" refreshError="1"/>
      <sheetData sheetId="27221" refreshError="1"/>
      <sheetData sheetId="27222" refreshError="1"/>
      <sheetData sheetId="27223" refreshError="1"/>
      <sheetData sheetId="27224" refreshError="1"/>
      <sheetData sheetId="27225" refreshError="1"/>
      <sheetData sheetId="27226" refreshError="1"/>
      <sheetData sheetId="27227" refreshError="1"/>
      <sheetData sheetId="27228" refreshError="1"/>
      <sheetData sheetId="27229" refreshError="1"/>
      <sheetData sheetId="27230" refreshError="1"/>
      <sheetData sheetId="27231" refreshError="1"/>
      <sheetData sheetId="27232" refreshError="1"/>
      <sheetData sheetId="27233" refreshError="1"/>
      <sheetData sheetId="27234" refreshError="1"/>
      <sheetData sheetId="27235" refreshError="1"/>
      <sheetData sheetId="27236" refreshError="1"/>
      <sheetData sheetId="27237" refreshError="1"/>
      <sheetData sheetId="27238" refreshError="1"/>
      <sheetData sheetId="27239" refreshError="1"/>
      <sheetData sheetId="27240" refreshError="1"/>
      <sheetData sheetId="27241" refreshError="1"/>
      <sheetData sheetId="27242" refreshError="1"/>
      <sheetData sheetId="27243" refreshError="1"/>
      <sheetData sheetId="27244" refreshError="1"/>
      <sheetData sheetId="27245" refreshError="1"/>
      <sheetData sheetId="27246" refreshError="1"/>
      <sheetData sheetId="27247" refreshError="1"/>
      <sheetData sheetId="27248" refreshError="1"/>
      <sheetData sheetId="27249" refreshError="1"/>
      <sheetData sheetId="27250" refreshError="1"/>
      <sheetData sheetId="27251" refreshError="1"/>
      <sheetData sheetId="27252" refreshError="1"/>
      <sheetData sheetId="27253" refreshError="1"/>
      <sheetData sheetId="27254" refreshError="1"/>
      <sheetData sheetId="27255" refreshError="1"/>
      <sheetData sheetId="27256" refreshError="1"/>
      <sheetData sheetId="27257" refreshError="1"/>
      <sheetData sheetId="27258" refreshError="1"/>
      <sheetData sheetId="27259" refreshError="1"/>
      <sheetData sheetId="27260" refreshError="1"/>
      <sheetData sheetId="27261" refreshError="1"/>
      <sheetData sheetId="27262" refreshError="1"/>
      <sheetData sheetId="27263" refreshError="1"/>
      <sheetData sheetId="27264" refreshError="1"/>
      <sheetData sheetId="27265" refreshError="1"/>
      <sheetData sheetId="27266" refreshError="1"/>
      <sheetData sheetId="27267" refreshError="1"/>
      <sheetData sheetId="27268" refreshError="1"/>
      <sheetData sheetId="27269" refreshError="1"/>
      <sheetData sheetId="27270" refreshError="1"/>
      <sheetData sheetId="27271" refreshError="1"/>
      <sheetData sheetId="27272" refreshError="1"/>
      <sheetData sheetId="27273" refreshError="1"/>
      <sheetData sheetId="27274" refreshError="1"/>
      <sheetData sheetId="27275" refreshError="1"/>
      <sheetData sheetId="27276" refreshError="1"/>
      <sheetData sheetId="27277" refreshError="1"/>
      <sheetData sheetId="27278" refreshError="1"/>
      <sheetData sheetId="27279" refreshError="1"/>
      <sheetData sheetId="27280" refreshError="1"/>
      <sheetData sheetId="27281" refreshError="1"/>
      <sheetData sheetId="27282" refreshError="1"/>
      <sheetData sheetId="27283" refreshError="1"/>
      <sheetData sheetId="27284" refreshError="1"/>
      <sheetData sheetId="27285" refreshError="1"/>
      <sheetData sheetId="27286" refreshError="1"/>
      <sheetData sheetId="27287" refreshError="1"/>
      <sheetData sheetId="27288" refreshError="1"/>
      <sheetData sheetId="27289" refreshError="1"/>
      <sheetData sheetId="27290" refreshError="1"/>
      <sheetData sheetId="27291" refreshError="1"/>
      <sheetData sheetId="27292" refreshError="1"/>
      <sheetData sheetId="27293" refreshError="1"/>
      <sheetData sheetId="27294" refreshError="1"/>
      <sheetData sheetId="27295" refreshError="1"/>
      <sheetData sheetId="27296" refreshError="1"/>
      <sheetData sheetId="27297" refreshError="1"/>
      <sheetData sheetId="27298" refreshError="1"/>
      <sheetData sheetId="27299" refreshError="1"/>
      <sheetData sheetId="27300" refreshError="1"/>
      <sheetData sheetId="27301" refreshError="1"/>
      <sheetData sheetId="27302" refreshError="1"/>
      <sheetData sheetId="27303" refreshError="1"/>
      <sheetData sheetId="27304" refreshError="1"/>
      <sheetData sheetId="27305" refreshError="1"/>
      <sheetData sheetId="27306" refreshError="1"/>
      <sheetData sheetId="27307" refreshError="1"/>
      <sheetData sheetId="27308" refreshError="1"/>
      <sheetData sheetId="27309" refreshError="1"/>
      <sheetData sheetId="27310" refreshError="1"/>
      <sheetData sheetId="27311" refreshError="1"/>
      <sheetData sheetId="27312" refreshError="1"/>
      <sheetData sheetId="27313" refreshError="1"/>
      <sheetData sheetId="27314" refreshError="1"/>
      <sheetData sheetId="27315" refreshError="1"/>
      <sheetData sheetId="27316" refreshError="1"/>
      <sheetData sheetId="27317" refreshError="1"/>
      <sheetData sheetId="27318" refreshError="1"/>
      <sheetData sheetId="27319" refreshError="1"/>
      <sheetData sheetId="27320" refreshError="1"/>
      <sheetData sheetId="27321" refreshError="1"/>
      <sheetData sheetId="27322" refreshError="1"/>
      <sheetData sheetId="27323" refreshError="1"/>
      <sheetData sheetId="27324" refreshError="1"/>
      <sheetData sheetId="27325" refreshError="1"/>
      <sheetData sheetId="27326" refreshError="1"/>
      <sheetData sheetId="27327" refreshError="1"/>
      <sheetData sheetId="27328" refreshError="1"/>
      <sheetData sheetId="27329" refreshError="1"/>
      <sheetData sheetId="27330" refreshError="1"/>
      <sheetData sheetId="27331" refreshError="1"/>
      <sheetData sheetId="27332" refreshError="1"/>
      <sheetData sheetId="27333" refreshError="1"/>
      <sheetData sheetId="27334" refreshError="1"/>
      <sheetData sheetId="27335" refreshError="1"/>
      <sheetData sheetId="27336" refreshError="1"/>
      <sheetData sheetId="27337" refreshError="1"/>
      <sheetData sheetId="27338" refreshError="1"/>
      <sheetData sheetId="27339" refreshError="1"/>
      <sheetData sheetId="27340" refreshError="1"/>
      <sheetData sheetId="27341" refreshError="1"/>
      <sheetData sheetId="27342" refreshError="1"/>
      <sheetData sheetId="27343" refreshError="1"/>
      <sheetData sheetId="27344" refreshError="1"/>
      <sheetData sheetId="27345" refreshError="1"/>
      <sheetData sheetId="27346" refreshError="1"/>
      <sheetData sheetId="27347" refreshError="1"/>
      <sheetData sheetId="27348" refreshError="1"/>
      <sheetData sheetId="27349" refreshError="1"/>
      <sheetData sheetId="27350" refreshError="1"/>
      <sheetData sheetId="27351" refreshError="1"/>
      <sheetData sheetId="27352" refreshError="1"/>
      <sheetData sheetId="27353" refreshError="1"/>
      <sheetData sheetId="27354" refreshError="1"/>
      <sheetData sheetId="27355" refreshError="1"/>
      <sheetData sheetId="27356" refreshError="1"/>
      <sheetData sheetId="27357" refreshError="1"/>
      <sheetData sheetId="27358" refreshError="1"/>
      <sheetData sheetId="27359" refreshError="1"/>
      <sheetData sheetId="27360" refreshError="1"/>
      <sheetData sheetId="27361" refreshError="1"/>
      <sheetData sheetId="27362" refreshError="1"/>
      <sheetData sheetId="27363" refreshError="1"/>
      <sheetData sheetId="27364" refreshError="1"/>
      <sheetData sheetId="27365" refreshError="1"/>
      <sheetData sheetId="27366" refreshError="1"/>
      <sheetData sheetId="27367" refreshError="1"/>
      <sheetData sheetId="27368" refreshError="1"/>
      <sheetData sheetId="27369" refreshError="1"/>
      <sheetData sheetId="27370" refreshError="1"/>
      <sheetData sheetId="27371" refreshError="1"/>
      <sheetData sheetId="27372" refreshError="1"/>
      <sheetData sheetId="27373" refreshError="1"/>
      <sheetData sheetId="27374" refreshError="1"/>
      <sheetData sheetId="27375" refreshError="1"/>
      <sheetData sheetId="27376" refreshError="1"/>
      <sheetData sheetId="27377" refreshError="1"/>
      <sheetData sheetId="27378" refreshError="1"/>
      <sheetData sheetId="27379" refreshError="1"/>
      <sheetData sheetId="27380" refreshError="1"/>
      <sheetData sheetId="27381" refreshError="1"/>
      <sheetData sheetId="27382" refreshError="1"/>
      <sheetData sheetId="27383" refreshError="1"/>
      <sheetData sheetId="27384" refreshError="1"/>
      <sheetData sheetId="27385" refreshError="1"/>
      <sheetData sheetId="27386" refreshError="1"/>
      <sheetData sheetId="27387" refreshError="1"/>
      <sheetData sheetId="27388" refreshError="1"/>
      <sheetData sheetId="27389" refreshError="1"/>
      <sheetData sheetId="27390" refreshError="1"/>
      <sheetData sheetId="27391" refreshError="1"/>
      <sheetData sheetId="27392" refreshError="1"/>
      <sheetData sheetId="27393" refreshError="1"/>
      <sheetData sheetId="27394" refreshError="1"/>
      <sheetData sheetId="27395" refreshError="1"/>
      <sheetData sheetId="27396" refreshError="1"/>
      <sheetData sheetId="27397" refreshError="1"/>
      <sheetData sheetId="27398" refreshError="1"/>
      <sheetData sheetId="27399" refreshError="1"/>
      <sheetData sheetId="27400" refreshError="1"/>
      <sheetData sheetId="27401" refreshError="1"/>
      <sheetData sheetId="27402" refreshError="1"/>
      <sheetData sheetId="27403" refreshError="1"/>
      <sheetData sheetId="27404" refreshError="1"/>
      <sheetData sheetId="27405" refreshError="1"/>
      <sheetData sheetId="27406" refreshError="1"/>
      <sheetData sheetId="27407" refreshError="1"/>
      <sheetData sheetId="27408" refreshError="1"/>
      <sheetData sheetId="27409" refreshError="1"/>
      <sheetData sheetId="27410" refreshError="1"/>
      <sheetData sheetId="27411" refreshError="1"/>
      <sheetData sheetId="27412" refreshError="1"/>
      <sheetData sheetId="27413" refreshError="1"/>
      <sheetData sheetId="27414" refreshError="1"/>
      <sheetData sheetId="27415" refreshError="1"/>
      <sheetData sheetId="27416" refreshError="1"/>
      <sheetData sheetId="27417" refreshError="1"/>
      <sheetData sheetId="27418" refreshError="1"/>
      <sheetData sheetId="27419" refreshError="1"/>
      <sheetData sheetId="27420" refreshError="1"/>
      <sheetData sheetId="27421" refreshError="1"/>
      <sheetData sheetId="27422" refreshError="1"/>
      <sheetData sheetId="27423" refreshError="1"/>
      <sheetData sheetId="27424" refreshError="1"/>
      <sheetData sheetId="27425" refreshError="1"/>
      <sheetData sheetId="27426" refreshError="1"/>
      <sheetData sheetId="27427" refreshError="1"/>
      <sheetData sheetId="27428" refreshError="1"/>
      <sheetData sheetId="27429" refreshError="1"/>
      <sheetData sheetId="27430" refreshError="1"/>
      <sheetData sheetId="27431" refreshError="1"/>
      <sheetData sheetId="27432" refreshError="1"/>
      <sheetData sheetId="27433" refreshError="1"/>
      <sheetData sheetId="27434" refreshError="1"/>
      <sheetData sheetId="27435" refreshError="1"/>
      <sheetData sheetId="27436" refreshError="1"/>
      <sheetData sheetId="27437" refreshError="1"/>
      <sheetData sheetId="27438" refreshError="1"/>
      <sheetData sheetId="27439" refreshError="1"/>
      <sheetData sheetId="27440" refreshError="1"/>
      <sheetData sheetId="27441" refreshError="1"/>
      <sheetData sheetId="27442" refreshError="1"/>
      <sheetData sheetId="27443" refreshError="1"/>
      <sheetData sheetId="27444" refreshError="1"/>
      <sheetData sheetId="27445" refreshError="1"/>
      <sheetData sheetId="27446" refreshError="1"/>
      <sheetData sheetId="27447" refreshError="1"/>
      <sheetData sheetId="27448" refreshError="1"/>
      <sheetData sheetId="27449" refreshError="1"/>
      <sheetData sheetId="27450" refreshError="1"/>
      <sheetData sheetId="27451" refreshError="1"/>
      <sheetData sheetId="27452" refreshError="1"/>
      <sheetData sheetId="27453" refreshError="1"/>
      <sheetData sheetId="27454" refreshError="1"/>
      <sheetData sheetId="27455" refreshError="1"/>
      <sheetData sheetId="27456" refreshError="1"/>
      <sheetData sheetId="27457" refreshError="1"/>
      <sheetData sheetId="27458" refreshError="1"/>
      <sheetData sheetId="27459" refreshError="1"/>
      <sheetData sheetId="27460" refreshError="1"/>
      <sheetData sheetId="27461" refreshError="1"/>
      <sheetData sheetId="27462" refreshError="1"/>
      <sheetData sheetId="27463" refreshError="1"/>
      <sheetData sheetId="27464" refreshError="1"/>
      <sheetData sheetId="27465" refreshError="1"/>
      <sheetData sheetId="27466" refreshError="1"/>
      <sheetData sheetId="27467" refreshError="1"/>
      <sheetData sheetId="27468" refreshError="1"/>
      <sheetData sheetId="27469" refreshError="1"/>
      <sheetData sheetId="27470" refreshError="1"/>
      <sheetData sheetId="27471" refreshError="1"/>
      <sheetData sheetId="27472" refreshError="1"/>
      <sheetData sheetId="27473" refreshError="1"/>
      <sheetData sheetId="27474" refreshError="1"/>
      <sheetData sheetId="27475" refreshError="1"/>
      <sheetData sheetId="27476" refreshError="1"/>
      <sheetData sheetId="27477" refreshError="1"/>
      <sheetData sheetId="27478" refreshError="1"/>
      <sheetData sheetId="27479" refreshError="1"/>
      <sheetData sheetId="27480" refreshError="1"/>
      <sheetData sheetId="27481" refreshError="1"/>
      <sheetData sheetId="27482" refreshError="1"/>
      <sheetData sheetId="27483" refreshError="1"/>
      <sheetData sheetId="27484" refreshError="1"/>
      <sheetData sheetId="27485" refreshError="1"/>
      <sheetData sheetId="27486" refreshError="1"/>
      <sheetData sheetId="27487" refreshError="1"/>
      <sheetData sheetId="27488" refreshError="1"/>
      <sheetData sheetId="27489" refreshError="1"/>
      <sheetData sheetId="27490" refreshError="1"/>
      <sheetData sheetId="27491" refreshError="1"/>
      <sheetData sheetId="27492" refreshError="1"/>
      <sheetData sheetId="27493" refreshError="1"/>
      <sheetData sheetId="27494" refreshError="1"/>
      <sheetData sheetId="27495" refreshError="1"/>
      <sheetData sheetId="27496" refreshError="1"/>
      <sheetData sheetId="27497" refreshError="1"/>
      <sheetData sheetId="27498" refreshError="1"/>
      <sheetData sheetId="27499" refreshError="1"/>
      <sheetData sheetId="27500" refreshError="1"/>
      <sheetData sheetId="27501" refreshError="1"/>
      <sheetData sheetId="27502" refreshError="1"/>
      <sheetData sheetId="27503" refreshError="1"/>
      <sheetData sheetId="27504" refreshError="1"/>
      <sheetData sheetId="27505" refreshError="1"/>
      <sheetData sheetId="27506" refreshError="1"/>
      <sheetData sheetId="27507" refreshError="1"/>
      <sheetData sheetId="27508" refreshError="1"/>
      <sheetData sheetId="27509" refreshError="1"/>
      <sheetData sheetId="27510" refreshError="1"/>
      <sheetData sheetId="27511" refreshError="1"/>
      <sheetData sheetId="27512" refreshError="1"/>
      <sheetData sheetId="27513" refreshError="1"/>
      <sheetData sheetId="27514" refreshError="1"/>
      <sheetData sheetId="27515" refreshError="1"/>
      <sheetData sheetId="27516" refreshError="1"/>
      <sheetData sheetId="27517" refreshError="1"/>
      <sheetData sheetId="27518" refreshError="1"/>
      <sheetData sheetId="27519" refreshError="1"/>
      <sheetData sheetId="27520" refreshError="1"/>
      <sheetData sheetId="27521" refreshError="1"/>
      <sheetData sheetId="27522" refreshError="1"/>
      <sheetData sheetId="27523" refreshError="1"/>
      <sheetData sheetId="27524" refreshError="1"/>
      <sheetData sheetId="27525" refreshError="1"/>
      <sheetData sheetId="27526" refreshError="1"/>
      <sheetData sheetId="27527" refreshError="1"/>
      <sheetData sheetId="27528" refreshError="1"/>
      <sheetData sheetId="27529" refreshError="1"/>
      <sheetData sheetId="27530" refreshError="1"/>
      <sheetData sheetId="27531" refreshError="1"/>
      <sheetData sheetId="27532" refreshError="1"/>
      <sheetData sheetId="27533" refreshError="1"/>
      <sheetData sheetId="27534" refreshError="1"/>
      <sheetData sheetId="27535" refreshError="1"/>
      <sheetData sheetId="27536" refreshError="1"/>
      <sheetData sheetId="27537" refreshError="1"/>
      <sheetData sheetId="27538" refreshError="1"/>
      <sheetData sheetId="27539" refreshError="1"/>
      <sheetData sheetId="27540" refreshError="1"/>
      <sheetData sheetId="27541" refreshError="1"/>
      <sheetData sheetId="27542" refreshError="1"/>
      <sheetData sheetId="27543" refreshError="1"/>
      <sheetData sheetId="27544" refreshError="1"/>
      <sheetData sheetId="27545" refreshError="1"/>
      <sheetData sheetId="27546" refreshError="1"/>
      <sheetData sheetId="27547" refreshError="1"/>
      <sheetData sheetId="27548" refreshError="1"/>
      <sheetData sheetId="27549" refreshError="1"/>
      <sheetData sheetId="27550" refreshError="1"/>
      <sheetData sheetId="27551" refreshError="1"/>
      <sheetData sheetId="27552" refreshError="1"/>
      <sheetData sheetId="27553" refreshError="1"/>
      <sheetData sheetId="27554" refreshError="1"/>
      <sheetData sheetId="27555"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sheetData sheetId="1"/>
      <sheetData sheetId="2">
        <row r="2">
          <cell r="E2" t="str">
            <v>Bhattiprolu</v>
          </cell>
          <cell r="F2" t="str">
            <v>Assistant Engineer</v>
          </cell>
        </row>
        <row r="3">
          <cell r="E3" t="str">
            <v>Cherukupalli</v>
          </cell>
          <cell r="F3" t="str">
            <v>Assistant Executive Engineer</v>
          </cell>
        </row>
        <row r="4">
          <cell r="E4" t="str">
            <v>Nagaram</v>
          </cell>
          <cell r="F4" t="str">
            <v>Assistant Engineer</v>
          </cell>
        </row>
        <row r="5">
          <cell r="E5" t="str">
            <v>Nizampatnam</v>
          </cell>
          <cell r="F5" t="str">
            <v>Assistant Engineer</v>
          </cell>
        </row>
        <row r="6">
          <cell r="E6" t="str">
            <v>Repalle</v>
          </cell>
          <cell r="F6" t="str">
            <v>Assistant Engineer</v>
          </cell>
        </row>
        <row r="7">
          <cell r="E7" t="str">
            <v>Piduguralla</v>
          </cell>
          <cell r="F7" t="str">
            <v>Assistant Engineer</v>
          </cell>
        </row>
        <row r="8">
          <cell r="E8" t="str">
            <v>Machavaram</v>
          </cell>
          <cell r="F8" t="str">
            <v>Assistant Engineer</v>
          </cell>
        </row>
        <row r="9">
          <cell r="E9" t="str">
            <v>Dachepalli</v>
          </cell>
          <cell r="F9" t="str">
            <v>Assistant Engineer</v>
          </cell>
        </row>
        <row r="10">
          <cell r="E10" t="str">
            <v>Gurazala</v>
          </cell>
          <cell r="F10" t="str">
            <v>Assistant Engineer</v>
          </cell>
        </row>
        <row r="11">
          <cell r="E11" t="str">
            <v>Rentachintala</v>
          </cell>
          <cell r="F11" t="str">
            <v>Assistant Engineer</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sheetData sheetId="1"/>
      <sheetData sheetId="2">
        <row r="2">
          <cell r="E2" t="str">
            <v>Bhattiprolu</v>
          </cell>
          <cell r="F2" t="str">
            <v>Assistant Engineer</v>
          </cell>
        </row>
        <row r="3">
          <cell r="E3" t="str">
            <v>Cherukupalli</v>
          </cell>
          <cell r="F3" t="str">
            <v>Assistant Executive Engineer</v>
          </cell>
        </row>
        <row r="4">
          <cell r="E4" t="str">
            <v>Nagaram</v>
          </cell>
          <cell r="F4" t="str">
            <v>Assistant Engineer</v>
          </cell>
        </row>
        <row r="5">
          <cell r="E5" t="str">
            <v>Nizampatnam</v>
          </cell>
          <cell r="F5" t="str">
            <v>Assistant Engineer</v>
          </cell>
        </row>
        <row r="6">
          <cell r="E6" t="str">
            <v>Repalle</v>
          </cell>
          <cell r="F6" t="str">
            <v>Assistant Engineer</v>
          </cell>
        </row>
        <row r="7">
          <cell r="E7" t="str">
            <v>Piduguralla</v>
          </cell>
          <cell r="F7" t="str">
            <v>Assistant Engineer</v>
          </cell>
        </row>
        <row r="8">
          <cell r="E8" t="str">
            <v>Machavaram</v>
          </cell>
          <cell r="F8" t="str">
            <v>Assistant Engineer</v>
          </cell>
        </row>
        <row r="9">
          <cell r="E9" t="str">
            <v>Dachepalli</v>
          </cell>
          <cell r="F9" t="str">
            <v>Assistant Engineer</v>
          </cell>
        </row>
        <row r="10">
          <cell r="E10" t="str">
            <v>Gurazala</v>
          </cell>
          <cell r="F10" t="str">
            <v>Assistant Engineer</v>
          </cell>
        </row>
        <row r="11">
          <cell r="E11" t="str">
            <v>Rentachintala</v>
          </cell>
          <cell r="F11" t="str">
            <v>Assistant Engineer</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general abstract"/>
      <sheetName val="leads"/>
      <sheetName val="lead statement"/>
      <sheetName val="door window calculations"/>
      <sheetName val="door window datas"/>
      <sheetName val="electrification data"/>
      <sheetName val="data"/>
      <sheetName val="data existing_do not delete"/>
      <sheetName val="pipe line sub estimate"/>
      <sheetName val="pipe line data"/>
      <sheetName val="estimate"/>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Sheet1"/>
      <sheetName val="Sheet2"/>
      <sheetName val="Sheet4"/>
      <sheetName val="Sheet5"/>
      <sheetName val="Sheet7"/>
      <sheetName val="Sheet8"/>
      <sheetName val="Sheet9"/>
      <sheetName val="Sheet13"/>
      <sheetName val="Sheet14"/>
      <sheetName val="Sheet15"/>
      <sheetName val="Sheet16"/>
      <sheetName val="Sheet17"/>
      <sheetName val="Sheet18"/>
      <sheetName val="Sheet19"/>
      <sheetName val="Sheet20"/>
      <sheetName val="Sheet21"/>
      <sheetName val="Sheet10"/>
      <sheetName val="Sheet11"/>
      <sheetName val="Sheet12"/>
      <sheetName val="Sheet6"/>
      <sheetName val="Sheet3"/>
    </sheetNames>
    <sheetDataSet>
      <sheetData sheetId="0"/>
      <sheetData sheetId="1"/>
      <sheetData sheetId="2"/>
      <sheetData sheetId="3"/>
      <sheetData sheetId="4"/>
      <sheetData sheetId="5"/>
      <sheetData sheetId="6"/>
      <sheetData sheetId="7"/>
      <sheetData sheetId="8" refreshError="1">
        <row r="2">
          <cell r="I2" t="str">
            <v>Clayey &amp; Loamy soils</v>
          </cell>
        </row>
        <row r="3">
          <cell r="I3" t="str">
            <v>Hard Gravelly soils</v>
          </cell>
        </row>
        <row r="4">
          <cell r="I4" t="str">
            <v>Mixture of Gravel &amp; Soft disintegrated rocky soils</v>
          </cell>
        </row>
        <row r="5">
          <cell r="I5" t="str">
            <v>Soft disintegrated soils removed by pick axes and crow bars</v>
          </cell>
        </row>
        <row r="6">
          <cell r="I6" t="str">
            <v>Stone matrix soils</v>
          </cell>
        </row>
        <row r="7">
          <cell r="I7" t="str">
            <v>Hard disintegrated soils removed by pick axes and crow bars</v>
          </cell>
        </row>
        <row r="8">
          <cell r="I8" t="str">
            <v>Hard disintegrated rock requiring partial blasting</v>
          </cell>
        </row>
        <row r="9">
          <cell r="I9" t="str">
            <v>Soils requiring chiselling,wedging and benching</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general abstract"/>
      <sheetName val="leads"/>
      <sheetName val="lead statement"/>
      <sheetName val="door window calculations"/>
      <sheetName val="door window datas"/>
      <sheetName val="electrification data"/>
      <sheetName val="data"/>
      <sheetName val="data existing_do not delete"/>
      <sheetName val="pipe line sub estimate"/>
      <sheetName val="pipe line data"/>
      <sheetName val="estimate"/>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Sheet1"/>
      <sheetName val="Sheet2"/>
      <sheetName val="Sheet4"/>
      <sheetName val="Sheet5"/>
      <sheetName val="Sheet7"/>
      <sheetName val="Sheet8"/>
      <sheetName val="Sheet9"/>
      <sheetName val="Sheet13"/>
      <sheetName val="Sheet14"/>
      <sheetName val="Sheet15"/>
      <sheetName val="Sheet16"/>
      <sheetName val="Sheet17"/>
      <sheetName val="Sheet18"/>
      <sheetName val="Sheet19"/>
      <sheetName val="Sheet20"/>
      <sheetName val="Sheet21"/>
      <sheetName val="Sheet10"/>
      <sheetName val="Sheet11"/>
      <sheetName val="Sheet12"/>
      <sheetName val="Sheet6"/>
      <sheetName val="Sheet3"/>
    </sheetNames>
    <sheetDataSet>
      <sheetData sheetId="0"/>
      <sheetData sheetId="1"/>
      <sheetData sheetId="2"/>
      <sheetData sheetId="3"/>
      <sheetData sheetId="4"/>
      <sheetData sheetId="5"/>
      <sheetData sheetId="6"/>
      <sheetData sheetId="7"/>
      <sheetData sheetId="8" refreshError="1">
        <row r="2">
          <cell r="I2" t="str">
            <v>Clayey &amp; Loamy soils</v>
          </cell>
        </row>
        <row r="3">
          <cell r="I3" t="str">
            <v>Hard Gravelly soils</v>
          </cell>
        </row>
        <row r="4">
          <cell r="I4" t="str">
            <v>Mixture of Gravel &amp; Soft disintegrated rocky soils</v>
          </cell>
        </row>
        <row r="5">
          <cell r="I5" t="str">
            <v>Soft disintegrated soils removed by pick axes and crow bars</v>
          </cell>
        </row>
        <row r="6">
          <cell r="I6" t="str">
            <v>Stone matrix soils</v>
          </cell>
        </row>
        <row r="7">
          <cell r="I7" t="str">
            <v>Hard disintegrated soils removed by pick axes and crow bars</v>
          </cell>
        </row>
        <row r="8">
          <cell r="I8" t="str">
            <v>Hard disintegrated rock requiring partial blasting</v>
          </cell>
        </row>
        <row r="9">
          <cell r="I9" t="str">
            <v>Soils requiring chiselling,wedging and benching</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2)"/>
      <sheetName val="Check_Slip"/>
      <sheetName val="Misc"/>
      <sheetName val="Data_Base"/>
      <sheetName val="quarry"/>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3">
          <cell r="B3" t="str">
            <v>Light jungle clearance</v>
          </cell>
          <cell r="C3" t="str">
            <v>Clearing light jungle including all labour charges etc. complete</v>
          </cell>
          <cell r="D3">
            <v>2</v>
          </cell>
          <cell r="E3" t="str">
            <v>1 Sqm</v>
          </cell>
        </row>
        <row r="4">
          <cell r="B4" t="str">
            <v>Earth work-Found-BC soils</v>
          </cell>
          <cell r="C4" t="str">
            <v>Earth work excavation and depositing on bank with an initial lead of 10 m and initial lift of 2 m, including seigniorage and labour charges etc. complete- in BC soils as per SS no. 20-B for foundations</v>
          </cell>
          <cell r="D4">
            <v>83.600000000000009</v>
          </cell>
          <cell r="E4" t="str">
            <v>1 Cum</v>
          </cell>
        </row>
        <row r="5">
          <cell r="B5" t="str">
            <v>Earth work-Found-mixed (BC+Sandy)soils</v>
          </cell>
          <cell r="C5" t="str">
            <v>Earth work excavation and depositing on bank with an initial lead of 10 m and initial lift of 2 m, including seigniorage and labour charges etc. complete- in loamy and clayey mixed with sandy soils as per SS no. 20-B for foundations</v>
          </cell>
          <cell r="D5">
            <v>74.2</v>
          </cell>
          <cell r="E5" t="str">
            <v>1 Cum</v>
          </cell>
        </row>
        <row r="6">
          <cell r="B6" t="str">
            <v>Earth work-Pile Found(D/U) (200 mm-3.50 m) -BC soils</v>
          </cell>
          <cell r="C6" t="str">
            <v>Drilling of 200 mm dia bores with necessary equipment with double under reamed bulbs for a depth of 3.50 m.,including all labour charges etc. complete, in BC soils for pile foundations</v>
          </cell>
          <cell r="D6">
            <v>547.6</v>
          </cell>
          <cell r="E6" t="str">
            <v>1 No</v>
          </cell>
        </row>
        <row r="7">
          <cell r="B7" t="str">
            <v>Earth work-Pile Found(D/U) (250 mm-3.50 m) -BC soils</v>
          </cell>
          <cell r="C7" t="str">
            <v>Drilling of 250 mm dia bores with necessary equipment with double under reamed bulbs for a depth of 3.50 m.,including all labour charges etc. complete, in BC soils for pile foundations</v>
          </cell>
          <cell r="D7">
            <v>628.70000000000005</v>
          </cell>
          <cell r="E7" t="str">
            <v>1 No</v>
          </cell>
        </row>
        <row r="8">
          <cell r="B8" t="str">
            <v>Earth work-Pile Found(D/U) (300 mm-3.50 m) -BC soils</v>
          </cell>
          <cell r="C8" t="str">
            <v>Drilling of 300 mm dia bores with necessary equipment with double under reamed bulbs for a depth of 3.50 m.,including all labour charges etc. complete, in BC soils for pile foundations</v>
          </cell>
          <cell r="D8">
            <v>791</v>
          </cell>
          <cell r="E8" t="str">
            <v>1 No</v>
          </cell>
        </row>
        <row r="9">
          <cell r="B9" t="str">
            <v>Earth work-Pile Found(D/U) (375 mm-3.50 m) -BC soils</v>
          </cell>
          <cell r="C9" t="str">
            <v>Drilling of 375 mm dia bores with necessary equipment with double under reamed bulbs for a depth of 3.50 m.,including all labour charges etc. complete, in BC soils for pile foundations</v>
          </cell>
          <cell r="D9">
            <v>1034.3</v>
          </cell>
          <cell r="E9" t="str">
            <v>1 No</v>
          </cell>
        </row>
        <row r="10">
          <cell r="B10" t="str">
            <v>Earth work-Pile Found(S/U) (200 mm-3.50 m) -BC soils</v>
          </cell>
          <cell r="C10" t="str">
            <v>Drilling of 200 mm dia bores with necessary equipment with single under reamed bulbs for a depth of 3.50 m.,including all labour charges etc. complete, in BC soils for pile foundations of compound walls</v>
          </cell>
          <cell r="D10">
            <v>425.90000000000003</v>
          </cell>
          <cell r="E10" t="str">
            <v>1 No</v>
          </cell>
        </row>
        <row r="11">
          <cell r="B11" t="str">
            <v>Earth work-Side earth-BC soil(manual)</v>
          </cell>
          <cell r="C11" t="str">
            <v>Earth work excavation with  an initial lead of 10 m and initial lift of 2 m, including seigniorage and labour charges etc. complete- in BC soils as per SS no. 20-B.</v>
          </cell>
          <cell r="D11">
            <v>62.7</v>
          </cell>
          <cell r="E11" t="str">
            <v>1 Cum</v>
          </cell>
        </row>
        <row r="12">
          <cell r="B12" t="str">
            <v>Earth work-Side earth-mixed(BC+Sandy) soils(manual)</v>
          </cell>
          <cell r="C12" t="str">
            <v>Earth work excavation and depositing on bank with  an initial lead of 10 m and initial lift of 2 m, including seigniorage and labour charges etc. complete- in Mixed(BC+Sandy) soils as per SS no. 20-B.</v>
          </cell>
          <cell r="D12">
            <v>56.400000000000006</v>
          </cell>
          <cell r="E12" t="str">
            <v>1 Cum</v>
          </cell>
        </row>
        <row r="13">
          <cell r="B13" t="str">
            <v>Earth work-Carting-0.50 km-BC soil(manual)</v>
          </cell>
          <cell r="C13" t="str">
            <v>Earth work excavation and carting from a distance of 0.50 km over  an initial lead of 10 m and initial lift of 2 m, including seigniorage and labour charges etc. complete- in BC soils as per SS no. 20-B.</v>
          </cell>
          <cell r="D13">
            <v>117.60000000000001</v>
          </cell>
          <cell r="E13" t="str">
            <v>1 Cum</v>
          </cell>
        </row>
        <row r="14">
          <cell r="B14" t="str">
            <v>Earth work-Carting-0.50 km-mixed(BC+Sandy) soils(manual)</v>
          </cell>
          <cell r="C14" t="str">
            <v>Earth work excavation and carting from a distance of 0.50 km over  an initial lead of 10 m and initial lift of 2 m, including seigniorage and labour charges etc. complete- in Mixed(BC+Sandy) soils as per SS no. 20-B.</v>
          </cell>
          <cell r="D14">
            <v>111.30000000000001</v>
          </cell>
          <cell r="E14" t="str">
            <v>1 Cum</v>
          </cell>
        </row>
        <row r="15">
          <cell r="B15" t="str">
            <v>Earth work-Side earth-All soils(upto SDR) (machine)</v>
          </cell>
          <cell r="C15" t="str">
            <v>Earth work excavation using machinery and depositing on bank within a radius of 5 m. ie cut and dump, including seigniorage, including breaking clods,sectioning and labour charges etc. complete- in all soils(upto SDR and stone matrix) as per SS no. 20-B.</v>
          </cell>
          <cell r="D15">
            <v>38</v>
          </cell>
          <cell r="E15" t="str">
            <v>1 Cum</v>
          </cell>
        </row>
        <row r="16">
          <cell r="B16" t="str">
            <v>Earth work-Carting-0.50 km-All soils(upto SDR) (machine)</v>
          </cell>
          <cell r="C16" t="str">
            <v>Earth work excavation using machinery and carting from a distance of 0.50 km over  an initial lead of 10 m and initial lift of 2 m, including seigniorage, including breaking clods,sectioning and labour charges etc. complete- in all soils(upto SDR and ston</v>
          </cell>
          <cell r="D16">
            <v>92.9</v>
          </cell>
          <cell r="E16" t="str">
            <v>1 Cum</v>
          </cell>
        </row>
        <row r="17">
          <cell r="B17" t="str">
            <v>Filling Sand for Basements/Foundations</v>
          </cell>
          <cell r="C17" t="str">
            <v>Filling with local sand including cost and conveyance of all materials and all labour charges for watering and ramming etc complete</v>
          </cell>
          <cell r="D17">
            <v>190.70000000000002</v>
          </cell>
          <cell r="E17" t="str">
            <v>1 Cum</v>
          </cell>
        </row>
        <row r="18">
          <cell r="B18" t="str">
            <v>Refilling the foundations with excavated earth</v>
          </cell>
          <cell r="C18" t="str">
            <v>Refilling with excavated earth including  all labour charges for watering and ramming etc complete</v>
          </cell>
          <cell r="D18">
            <v>15.600000000000001</v>
          </cell>
          <cell r="E18" t="str">
            <v>1 Cum</v>
          </cell>
        </row>
        <row r="19">
          <cell r="B19" t="str">
            <v>PCC(1:4:8)</v>
          </cell>
          <cell r="C19" t="str">
            <v>C.C.(1:4:8)mix using 40 mm HBG metal including cost and conveyance of all materials and labour charges etc. complete-1cum</v>
          </cell>
          <cell r="D19">
            <v>2361.4</v>
          </cell>
          <cell r="E19" t="str">
            <v>1 Cum</v>
          </cell>
        </row>
        <row r="20">
          <cell r="B20" t="str">
            <v>PCC(1:4:8)-Road levelling</v>
          </cell>
          <cell r="C20" t="str">
            <v>C.C.(1:4:8)mix using 40 mm HBG metal including cost and conveyance of all materials and labour charges etc. complete for road levelling-1cum</v>
          </cell>
          <cell r="D20">
            <v>2510.1000000000004</v>
          </cell>
          <cell r="E20" t="str">
            <v>1 Cum</v>
          </cell>
        </row>
        <row r="21">
          <cell r="B21" t="str">
            <v>VCC(1:3:6)-Basements</v>
          </cell>
          <cell r="C21" t="str">
            <v>V.C.C.(1:3:6)mix using 2/3 of 40 mm HBG metal and 1/3 of 20 mm HBG MC chips  including cost and conveyance of all materials and labour charges etc. complete for Basements-1cum</v>
          </cell>
          <cell r="D21">
            <v>2750.2000000000003</v>
          </cell>
          <cell r="E21" t="str">
            <v>1 Cum</v>
          </cell>
        </row>
        <row r="22">
          <cell r="B22" t="str">
            <v>VCC(1:3:6)-Super Structure</v>
          </cell>
          <cell r="C22" t="str">
            <v>V.C.C.(1:3:6)mix using 2/3 of 40 mm HBG metal and 1/3 of 20 mm HBG MC chips  including cost and conveyance of all materials and labour charges etc. complete for Super structure-1cum</v>
          </cell>
          <cell r="D22">
            <v>3141.2000000000003</v>
          </cell>
          <cell r="E22" t="str">
            <v>1 Cum</v>
          </cell>
        </row>
        <row r="23">
          <cell r="B23" t="str">
            <v>VRCC(1:1.5:3)-Sunshade-0.60m-(75+50)/2.</v>
          </cell>
          <cell r="C23" t="str">
            <v>V.R.C.C.(1:1.5:3) mix using 20 mm MCG metal and 125 micron plastic sheet,including cost and conveyance of all materials and labour charges etc. complete for R.C.C. works.-For sunshade 0.60 m. wide.and 75 mm thick at fixed end and 50 mm thick at free end</v>
          </cell>
          <cell r="D23">
            <v>228.60000000000002</v>
          </cell>
          <cell r="E23" t="str">
            <v>1 RM</v>
          </cell>
        </row>
        <row r="24">
          <cell r="B24" t="str">
            <v>VRCC(1:1.5:3)-T- Beams</v>
          </cell>
          <cell r="C24" t="str">
            <v>V.R.C.C.(1:1.5:3) mix using 20 mm MCG metal including cost and conveyance of all materials and labour charges etc. complete for R.C.C. works.- for T Beams</v>
          </cell>
          <cell r="D24">
            <v>5511.4000000000005</v>
          </cell>
          <cell r="E24" t="str">
            <v>1 Cum</v>
          </cell>
        </row>
        <row r="25">
          <cell r="B25" t="str">
            <v>VRCC(1:1.5:3)-Rect./L- Beams</v>
          </cell>
          <cell r="C25" t="str">
            <v>V.R.C.C.(1:1.5:3) mix using 20 mm MCG metal including cost and conveyance of all materials and labour charges etc. complete for R.C.C. works.For rectangular beams and L Beams.</v>
          </cell>
          <cell r="D25">
            <v>5511.4000000000005</v>
          </cell>
          <cell r="E25" t="str">
            <v>1 Cum</v>
          </cell>
        </row>
        <row r="26">
          <cell r="B26" t="str">
            <v>VRCC(1:1.5:3)-Columns/Pedastals</v>
          </cell>
          <cell r="C26" t="str">
            <v>V.R.C.C.(1:1.5:3) mix using 20 mm MCG metal including cost and conveyance of all materials and labour charges etc. complete for R.C.C. works.-For Columns and Pedestals.</v>
          </cell>
          <cell r="D26">
            <v>5462.5</v>
          </cell>
          <cell r="E26" t="str">
            <v>1 Cum</v>
          </cell>
        </row>
        <row r="27">
          <cell r="B27" t="str">
            <v>VRCC(1:1.5:3)-Templates/Bed Blocks/ Footings</v>
          </cell>
          <cell r="C27" t="str">
            <v>V.R.C.C.(1:1.5:3) mix using 20 mm MCG metal including cost and conveyance of all materials and labour charges etc. complete for R.C.C. works-For Templates, Bed blocks and Footings.</v>
          </cell>
          <cell r="D27">
            <v>4856.2</v>
          </cell>
          <cell r="E27" t="str">
            <v>1 Cum</v>
          </cell>
        </row>
        <row r="28">
          <cell r="B28" t="str">
            <v>VRCC(1:1.5:3)-Lintels/Plinth Beams</v>
          </cell>
          <cell r="C28" t="str">
            <v>V.R.C.C.(1:1.5:3) mix using 20 mm MCG metal including cost and conveyance of all materials and labour charges etc. complete for R.C.C. works.-For Lintels and Plinth Beam.</v>
          </cell>
          <cell r="D28">
            <v>5091.2000000000007</v>
          </cell>
          <cell r="E28" t="str">
            <v>1 Cum</v>
          </cell>
        </row>
        <row r="29">
          <cell r="B29" t="str">
            <v>VRCC(1:1.5:3)-Roof slab-100 mm</v>
          </cell>
          <cell r="C29" t="str">
            <v>V.R.C.C.(1:1.5:3) mix using 20 mm MCG metal and 125 micron plastic sheet,including cost and conveyance of all materials and labour charges etc. complete for R.C.C. works.-For Roof slabs-100 mm thick.</v>
          </cell>
          <cell r="D29">
            <v>570.2700000000001</v>
          </cell>
          <cell r="E29" t="str">
            <v>1 Sqm</v>
          </cell>
        </row>
        <row r="30">
          <cell r="B30" t="str">
            <v>VRCC(1:1.5:3)-Roof slab-110 mm</v>
          </cell>
          <cell r="C30" t="str">
            <v>V.R.C.C.(1:1.5:3) mix using 20 mm MCG metal and 125 micron plastic sheet,including cost and conveyance of all materials and labour charges etc. complete for R.C.C. works.-For Roof slabs-110 mm thick.</v>
          </cell>
          <cell r="D30">
            <v>614.26</v>
          </cell>
          <cell r="E30" t="str">
            <v>1 Sqm</v>
          </cell>
        </row>
        <row r="31">
          <cell r="B31" t="str">
            <v>VRCC(1:1.5:3)-Roof slab-125 mm</v>
          </cell>
          <cell r="C31" t="str">
            <v>V.R.C.C.(1:1.5:3) mix using 20 mm MCG metal and 125 micron plastic sheet,including cost and conveyance of all materials and labour charges etc. complete for R.C.C. works.-For Roof slabs-125 mm thick.</v>
          </cell>
          <cell r="D31">
            <v>680.45</v>
          </cell>
          <cell r="E31" t="str">
            <v>1 Sqm</v>
          </cell>
        </row>
        <row r="32">
          <cell r="B32" t="str">
            <v>VRCC(1:1.5:3)-Roof slab-150 mm</v>
          </cell>
          <cell r="C32" t="str">
            <v>V.R.C.C.(1:1.5:3) mix using 20 mm MCG metaland 125 micron plastic sheet, including cost and conveyance of all materials and labour charges etc. complete for R.C.C. works.-For Roof slabs-150 mm thick.</v>
          </cell>
          <cell r="D32">
            <v>791.11</v>
          </cell>
          <cell r="E32" t="str">
            <v>1 Sqm</v>
          </cell>
        </row>
        <row r="33">
          <cell r="B33" t="str">
            <v>VRCC(1:1.5:3)-Roof slab-75 mm</v>
          </cell>
          <cell r="C33" t="str">
            <v>V.R.C.C.(1:1.5:3) mix using 20 mm MCG metal and 125 micron plastic sheet,including cost and conveyance of all materials and labour charges etc. complete for R.C.C. works.-For Roof slabs-75 mm thick.</v>
          </cell>
          <cell r="D33">
            <v>461.07</v>
          </cell>
          <cell r="E33" t="str">
            <v>1 Sqm</v>
          </cell>
        </row>
        <row r="34">
          <cell r="B34" t="str">
            <v>VCC(1:1.5:3) using 12mm chips</v>
          </cell>
          <cell r="C34" t="str">
            <v xml:space="preserve">V.C.C.(1:1.5:3) mix using 12 mm MCG metal ,including cost and conveyance of all materials and labour charges etc. complete </v>
          </cell>
          <cell r="D34">
            <v>3890.8</v>
          </cell>
          <cell r="E34" t="str">
            <v>1 Cum</v>
          </cell>
        </row>
        <row r="35">
          <cell r="B35" t="str">
            <v>Steel&amp;Fabrication</v>
          </cell>
          <cell r="C35" t="str">
            <v>Cost of steel and fabrication charges including cost of binding wire and all labour charges</v>
          </cell>
          <cell r="D35">
            <v>38.900000000000006</v>
          </cell>
          <cell r="E35" t="str">
            <v>1 Kg</v>
          </cell>
        </row>
        <row r="36">
          <cell r="B36" t="str">
            <v>M.S Iron grills</v>
          </cell>
          <cell r="C36" t="str">
            <v>Cost,supply and fixing of MS/CI grills of any design</v>
          </cell>
          <cell r="D36">
            <v>33.700000000000003</v>
          </cell>
          <cell r="E36" t="str">
            <v>1 Kg</v>
          </cell>
        </row>
        <row r="37">
          <cell r="B37" t="str">
            <v>BM-CM(1:6)-Basement</v>
          </cell>
          <cell r="C37" t="str">
            <v>Brick(2nd class/ground moulded) masonary in cement mortar(1:6), including cost, seigniorage and conveyance of all materials and labour charges etc. complete for basements</v>
          </cell>
          <cell r="D37">
            <v>2261</v>
          </cell>
          <cell r="E37" t="str">
            <v>1 Cum</v>
          </cell>
        </row>
        <row r="38">
          <cell r="B38" t="str">
            <v>BM-CM(1:6)-Super Structure(Ground Floor)</v>
          </cell>
          <cell r="C38" t="str">
            <v xml:space="preserve"> Brick(2nd class/ground moulded) masonary in cement mortar(1:6), including cost, seigniorage and conveyance of all materials and labour charges etc. complete for super structure</v>
          </cell>
          <cell r="D38">
            <v>2298.4</v>
          </cell>
          <cell r="E38" t="str">
            <v>1 Cum</v>
          </cell>
        </row>
        <row r="39">
          <cell r="B39" t="str">
            <v>Plastering-CM(1:3)-12 mm</v>
          </cell>
          <cell r="C39" t="str">
            <v>Plastering with Cement Mortar (1:3) - 12 mm thick, including cost, seigniorage and conveyance of all materials and labour charges etc. complete for ornamental purpose</v>
          </cell>
          <cell r="D39">
            <v>86.320000000000007</v>
          </cell>
          <cell r="E39" t="str">
            <v>1 Sqm</v>
          </cell>
        </row>
        <row r="40">
          <cell r="B40" t="str">
            <v>Acco-Plastering-CM(1:3)-12 mm</v>
          </cell>
          <cell r="C40" t="str">
            <v xml:space="preserve">Accoproof Plastering with Cement Mortar (1:3) - 12 mm thick, and mixing of 3% of accoproof compound,including cost, seigniorage and conveyance of all materials and labour charges etc. complete </v>
          </cell>
          <cell r="D40">
            <v>91.26</v>
          </cell>
          <cell r="E40" t="str">
            <v>1 Sqm</v>
          </cell>
        </row>
        <row r="41">
          <cell r="B41" t="str">
            <v>Plastering-CM(1:4)-12 mm (bearing)</v>
          </cell>
          <cell r="C41" t="str">
            <v>Plastering with Cement Mortar (1:4) - 12 mm thick, including cost, seigniorage and conveyance of all materials and labour charges etc. complete for bearing plastering</v>
          </cell>
          <cell r="D41">
            <v>78.2</v>
          </cell>
          <cell r="E41" t="str">
            <v>1 Sqm</v>
          </cell>
        </row>
        <row r="42">
          <cell r="B42" t="str">
            <v>Plastering-CM(1:5)-12 mm</v>
          </cell>
          <cell r="C42" t="str">
            <v xml:space="preserve">Plastering with Cement Mortar (1:5) - 12 mm thick, including cost, seigniorage and conveyance of all materials and labour charges etc. complete </v>
          </cell>
          <cell r="D42">
            <v>73.320000000000007</v>
          </cell>
          <cell r="E42" t="str">
            <v>1 Sqm</v>
          </cell>
        </row>
        <row r="43">
          <cell r="B43" t="str">
            <v>Plastering-CM(1:5)-20 mm</v>
          </cell>
          <cell r="C43" t="str">
            <v xml:space="preserve">Plastering with Cement Mortar (1:5) - 20 mm thick-for first coat of 12 mm and 2nd coat of 8 mm thick- including cost, seigniorage and conveyance of all materials and labour charges etc. complete </v>
          </cell>
          <cell r="D43">
            <v>140.01000000000002</v>
          </cell>
          <cell r="E43" t="str">
            <v>1 Sqm</v>
          </cell>
        </row>
        <row r="44">
          <cell r="B44" t="str">
            <v>Flooring-CC ( 1:4:8)-100 mm-Top plastering CM ( 1:3) 20 mm</v>
          </cell>
          <cell r="C44" t="str">
            <v xml:space="preserve">Flooring with  PCC(1:4:8) 100 mm thick and top plastering with cement mortar(1:3) 20 mm thick, including cost, seigniorage and conveyance of all materials and labour charges etc. complete </v>
          </cell>
          <cell r="D44">
            <v>288.73</v>
          </cell>
          <cell r="E44" t="str">
            <v>1 Sqm</v>
          </cell>
        </row>
        <row r="45">
          <cell r="B45" t="str">
            <v>Flooring-Napa slab(50 mm)</v>
          </cell>
          <cell r="C45" t="str">
            <v xml:space="preserve">Flooring with Napa/Cuddapah slabs of 50 mm thick over a sand bed of 150 mm thick and pointing with cement mortar 1:3 to the full depth of slabs, including cost, seigniorage and conveyance of all materials and labour charges etc. complete </v>
          </cell>
          <cell r="D45">
            <v>339.02000000000004</v>
          </cell>
          <cell r="E45" t="str">
            <v>1 Sqm</v>
          </cell>
        </row>
        <row r="46">
          <cell r="B46" t="str">
            <v>Flooring-Old Napa slab(50 mm)</v>
          </cell>
          <cell r="C46" t="str">
            <v xml:space="preserve">Flooring with old Napa/Cuddapah slabs of 50 mm thick over a sand bed of 150 mm thick and pointing with cement mortar 1:3 to the full depth of slabs, including cost, seigniorage and conveyance of all materials and labour charges etc. complete </v>
          </cell>
          <cell r="D46">
            <v>202.59</v>
          </cell>
          <cell r="E46" t="str">
            <v>1 Sqm</v>
          </cell>
        </row>
        <row r="47">
          <cell r="B47" t="str">
            <v>Flooring-Polished Black Cuddapah(25.4 mm)</v>
          </cell>
          <cell r="C47" t="str">
            <v>Flooring with polished black Napa/Cuddapah slabs of 25.4 mm thick over a cement concrete bed of PCC(1:4:8) 100 mm thick including bedding with cement mortar(1:3) and pointing with cement  to the full depth of slabs, including cost, seigniorage and conveya</v>
          </cell>
          <cell r="D47">
            <v>555.7700000000001</v>
          </cell>
          <cell r="E47" t="str">
            <v>1 Sqm</v>
          </cell>
        </row>
        <row r="48">
          <cell r="B48" t="str">
            <v xml:space="preserve">Flooring-ceramic tiles (7.3 mm) </v>
          </cell>
          <cell r="C48" t="str">
            <v>Flooring with ceramic tiles of 7.3 mm thick over a cement concrete bed of PCC(1:4:8) 100 mm thick including bedding with cement mortar(1:2) and pointing with white cement  putty, including cost, seigniorage and conveyance of all materials and labour charg</v>
          </cell>
          <cell r="D48">
            <v>745.26</v>
          </cell>
          <cell r="E48" t="str">
            <v>1 Sqm</v>
          </cell>
        </row>
        <row r="49">
          <cell r="B49" t="str">
            <v>Skirting-Polished Black Cuddapah(25.4 mm)</v>
          </cell>
          <cell r="C49" t="str">
            <v xml:space="preserve">Providing polished black cuddapah/napa slab skirting of 25.4 mm thick set in cement mortar(1:3) and pointing with cement to full depth,including cost, seigniorage and conveyance of all materials and labour charges etc. complete </v>
          </cell>
          <cell r="D49">
            <v>319.64</v>
          </cell>
          <cell r="E49" t="str">
            <v>1 Sqm</v>
          </cell>
        </row>
        <row r="50">
          <cell r="B50" t="str">
            <v xml:space="preserve">Skirting-ceramic tiles (7.3 mm) </v>
          </cell>
          <cell r="C50" t="str">
            <v xml:space="preserve">Providing ceramic tiles skirting of 7.3 mm thick set in cement mortar(1:2) and pointing with white cement to full depth,including cost, seigniorage and conveyance of all materials and labour charges etc. complete </v>
          </cell>
          <cell r="D50">
            <v>509.13</v>
          </cell>
          <cell r="E50" t="str">
            <v>1 Sqm</v>
          </cell>
        </row>
        <row r="51">
          <cell r="B51" t="str">
            <v>Flooring-Marble slab -16 to 20mm (0.305mx0.305m)</v>
          </cell>
          <cell r="C51" t="str">
            <v xml:space="preserve">Flooring with marble slab polished 16 mm-20 mm thick average (0.305x0.305 m size) over a  bed of PCC(1:4:8) 100 mm thick including bedding with cement mortar(1:3) and pointing with  cement , including cost, seigniorage and conveyance of all materials and </v>
          </cell>
          <cell r="D51">
            <v>793.31000000000006</v>
          </cell>
          <cell r="E51" t="str">
            <v>1 Sqm</v>
          </cell>
        </row>
        <row r="52">
          <cell r="B52" t="str">
            <v>Flooring-Marble slab -16 to 20mm(0.457m x 0.457 m)/ (0.60mx0.60m)</v>
          </cell>
          <cell r="C52" t="str">
            <v>Flooring with marble slab polished 16 mm-20 mm thick(0.457x0.457/0.60x0.60 m size) over a  bed of PCC(1:4:8) 100 mm thick including bedding with cement mortar(1:3) and pointing with  cement , including cost, seigniorage and conveyance of all materials and</v>
          </cell>
          <cell r="D52">
            <v>885.87000000000012</v>
          </cell>
          <cell r="E52" t="str">
            <v>1 Sqm</v>
          </cell>
        </row>
        <row r="53">
          <cell r="B53" t="str">
            <v>Snowcem(1 prime+2 coats)</v>
          </cell>
          <cell r="C53" t="str">
            <v xml:space="preserve">Painting walls with snowcem or other equal and approved waterproof cement paint two coats over a primary coat,including cost and conveyance of all materials and labour charges etc. complete </v>
          </cell>
          <cell r="D53">
            <v>47.28</v>
          </cell>
          <cell r="E53" t="str">
            <v>1 Sqm</v>
          </cell>
        </row>
        <row r="54">
          <cell r="B54" t="str">
            <v>Snowcem(1 prime+1 coat)</v>
          </cell>
          <cell r="C54" t="str">
            <v xml:space="preserve">Painting walls with snowcem or other equal and approved waterproof cement paint one coat over a primary coat,including cost and conveyance of all materials and labour charges etc. complete </v>
          </cell>
          <cell r="D54">
            <v>37.540000000000006</v>
          </cell>
          <cell r="E54" t="str">
            <v>1 Sqm</v>
          </cell>
        </row>
        <row r="55">
          <cell r="B55" t="str">
            <v>Waterbound-Distemper-     2 coats</v>
          </cell>
          <cell r="C55" t="str">
            <v xml:space="preserve">Distempering the walls with water bound distemper two coats, including cost and conveyance of all materials and labour charges etc. complete </v>
          </cell>
          <cell r="D55">
            <v>34.940000000000005</v>
          </cell>
          <cell r="E55" t="str">
            <v>1 Sqm</v>
          </cell>
        </row>
        <row r="56">
          <cell r="B56" t="str">
            <v>Oilbound-Distemper-          2 coats</v>
          </cell>
          <cell r="C56" t="str">
            <v xml:space="preserve">Distempering the walls with oil bound distemper two coats, including cost and conveyance of all materials and labour charges etc. complete </v>
          </cell>
          <cell r="D56">
            <v>36.36</v>
          </cell>
          <cell r="E56" t="str">
            <v>1 Sqm</v>
          </cell>
        </row>
        <row r="57">
          <cell r="B57" t="str">
            <v>Synthetic enamel(1 prime+ 2 coats)-New Wood</v>
          </cell>
          <cell r="C57" t="str">
            <v xml:space="preserve">Painting new wood work with synthetic enamel paint two coats over a primary coat, including cost and conveyance of all materials and labour charges etc. complete </v>
          </cell>
          <cell r="D57">
            <v>60.56</v>
          </cell>
          <cell r="E57" t="str">
            <v>1 Sqm</v>
          </cell>
        </row>
        <row r="58">
          <cell r="B58" t="str">
            <v>Synthetic enamel(1 prime+ 1 coat)-New wood</v>
          </cell>
          <cell r="C58" t="str">
            <v xml:space="preserve">Painting new wood work with synthetic enamel paint one coat over a primary coat, including cost and conveyance of all materials and labour charges etc. complete </v>
          </cell>
          <cell r="D58">
            <v>44.21</v>
          </cell>
          <cell r="E58" t="str">
            <v>1 Sqm</v>
          </cell>
        </row>
        <row r="59">
          <cell r="B59" t="str">
            <v>Door-Teak wood-1.2x2.1</v>
          </cell>
          <cell r="C59" t="str">
            <v>Supply and fixing of teak wood fully panelled door of size 1.20 x 2.10, including fixing of MS powder coated furniture and including cost and conveyance of all materials and labour charges etc. complete</v>
          </cell>
          <cell r="D59">
            <v>10336.6</v>
          </cell>
          <cell r="E59" t="str">
            <v>1 No</v>
          </cell>
        </row>
        <row r="60">
          <cell r="B60" t="str">
            <v>Door-Teak wood- 1.05x2.0</v>
          </cell>
          <cell r="C60" t="str">
            <v>Supply and fixing of teak wood fully panelled door of size 1.05 x 2.00, including fixing of MS powder coated furniture and including cost and conveyance of all materials and labour charges etc. complete</v>
          </cell>
          <cell r="D60">
            <v>8738.3000000000011</v>
          </cell>
          <cell r="E60" t="str">
            <v>1 No</v>
          </cell>
        </row>
        <row r="61">
          <cell r="B61" t="str">
            <v>Door-Country wood-1.2x2.1</v>
          </cell>
          <cell r="C61" t="str">
            <v>Supply and fixing of Country wood fully panelled door of size 1.20 x 2.10, including fixing of MS powder coated furniture and including cost and conveyance of all materials and labour charges etc. complete</v>
          </cell>
          <cell r="D61">
            <v>4377.4000000000005</v>
          </cell>
          <cell r="E61" t="str">
            <v>1 No</v>
          </cell>
        </row>
        <row r="62">
          <cell r="B62" t="str">
            <v>Door-Country wood- 1.05x2.0</v>
          </cell>
          <cell r="C62" t="str">
            <v>Supply and fixing of Country wood fully panelled door of size 1.05 x 2.00, including fixing of MS powder coated furniture and including cost and conveyance of all materials and labour charges etc. complete</v>
          </cell>
          <cell r="D62">
            <v>3748.1000000000004</v>
          </cell>
          <cell r="E62" t="str">
            <v>1 No</v>
          </cell>
        </row>
        <row r="63">
          <cell r="B63" t="str">
            <v>Window-Teak wood- 0.90x1.35</v>
          </cell>
          <cell r="C63" t="str">
            <v>Supply and fixing of teak wood fully panelled Window of size 0.90 x 1.35, including fixing of MS grill to the frame and MS powder coated furniture and including cost and conveyance of all materials and labour charges etc. complete</v>
          </cell>
          <cell r="D63">
            <v>6102.3</v>
          </cell>
          <cell r="E63" t="str">
            <v>1 No</v>
          </cell>
        </row>
        <row r="64">
          <cell r="B64" t="str">
            <v>Window-Teak wood- 1.50x1.35</v>
          </cell>
          <cell r="C64" t="str">
            <v>Supply and fixing of teak wood fully panelled Window of size 1.50 x 1.35, including fixing of MS grill to the frame and MS powder coated furniture and including cost and conveyance of all materials and labour charges etc. complete</v>
          </cell>
          <cell r="D64">
            <v>9821.6</v>
          </cell>
          <cell r="E64" t="str">
            <v>1 No</v>
          </cell>
        </row>
        <row r="65">
          <cell r="B65" t="str">
            <v>Window-Country wood- 0.90x1.35</v>
          </cell>
          <cell r="C65" t="str">
            <v>Supply and fixing of Country wood fully panelled Window of size 0.90 x 1.35, including fixing of MS grill to the frame and MS powder coated furniture and including cost and conveyance of all materials and labour charges etc. complete</v>
          </cell>
          <cell r="D65">
            <v>2933.8</v>
          </cell>
          <cell r="E65" t="str">
            <v>1 No</v>
          </cell>
        </row>
        <row r="66">
          <cell r="B66" t="str">
            <v>Window-Country wood- 1.50x1.35</v>
          </cell>
          <cell r="C66" t="str">
            <v>Supply and fixing of Country wood fully panelled Window of size 1.50 x 1.35, including fixing of MS grill to the frame and MS powder coated furniture and including cost and conveyance of all materials and labour charges etc. complete</v>
          </cell>
          <cell r="D66">
            <v>4720</v>
          </cell>
          <cell r="E66" t="str">
            <v>1 No</v>
          </cell>
        </row>
        <row r="67">
          <cell r="B67" t="str">
            <v>Cement jali 25 mm thick</v>
          </cell>
          <cell r="C67" t="str">
            <v>Supply and fixing of Cement jali of 25 mm thick including cost,conveyance and fixing charges etc. complete.</v>
          </cell>
          <cell r="D67">
            <v>131.1</v>
          </cell>
          <cell r="E67" t="str">
            <v>1 Sqm</v>
          </cell>
        </row>
        <row r="68">
          <cell r="B68" t="str">
            <v>Cement jali 40 mm thick</v>
          </cell>
          <cell r="C68" t="str">
            <v>Supply and fixing of Cement jali of 40 mm thick including cost,conveyance and fixing charges etc. complete.</v>
          </cell>
          <cell r="D68">
            <v>169.60000000000002</v>
          </cell>
          <cell r="E68" t="str">
            <v>1 Sqm</v>
          </cell>
        </row>
        <row r="69">
          <cell r="B69" t="str">
            <v>Cement jali 50 mm thick</v>
          </cell>
          <cell r="C69" t="str">
            <v>Supply and fixing of Cement jali of 50 mm thick including cost,conveyance and fixing charges etc. complete.</v>
          </cell>
          <cell r="D69">
            <v>232</v>
          </cell>
          <cell r="E69" t="str">
            <v>1 Sqm</v>
          </cell>
        </row>
        <row r="70">
          <cell r="B70" t="str">
            <v>Dismantling Brick Masonary in CM</v>
          </cell>
          <cell r="C70" t="str">
            <v>Dismantling the Brick Masonry in cement mortor and clearing away</v>
          </cell>
          <cell r="D70">
            <v>138.6</v>
          </cell>
          <cell r="E70" t="str">
            <v>1 Cum</v>
          </cell>
        </row>
        <row r="71">
          <cell r="B71" t="str">
            <v>Dismantling the Old CM Plastering</v>
          </cell>
          <cell r="C71" t="str">
            <v>Dismantling the Old Cement Mortor Plastering  and clearing away</v>
          </cell>
          <cell r="D71">
            <v>2.87</v>
          </cell>
          <cell r="E71" t="str">
            <v>1 Sqm</v>
          </cell>
        </row>
        <row r="72">
          <cell r="B72" t="str">
            <v>Dismantling R.C.C.</v>
          </cell>
          <cell r="C72" t="str">
            <v>Dismantling the R.C.C and clearing away</v>
          </cell>
          <cell r="D72">
            <v>1196.9000000000001</v>
          </cell>
          <cell r="E72" t="str">
            <v>1 Cum</v>
          </cell>
        </row>
        <row r="73">
          <cell r="B73" t="str">
            <v>Dismantling Doors &amp; Windows</v>
          </cell>
          <cell r="C73" t="str">
            <v>Removing the Doors &amp; Windows including removal of frame, hinges and fastenings</v>
          </cell>
          <cell r="D73">
            <v>41.2</v>
          </cell>
          <cell r="E73" t="str">
            <v>1 Sqm</v>
          </cell>
        </row>
        <row r="74">
          <cell r="B74" t="str">
            <v>Dismantling Cuddapah slab flooring</v>
          </cell>
          <cell r="C74" t="str">
            <v>Dismantling the Cuddapah slab flooring  and clearing away and carefully satckingmaterials for reuse</v>
          </cell>
          <cell r="D74">
            <v>4.12</v>
          </cell>
          <cell r="E74" t="str">
            <v>1 Sqm</v>
          </cell>
        </row>
        <row r="75">
          <cell r="B75" t="str">
            <v>Dismantling  Wrought and framed timber in roofs</v>
          </cell>
          <cell r="C75" t="str">
            <v>Dismantling the Wrought and framed timber in roofs clearing away and carefully satcking materials for reuse</v>
          </cell>
          <cell r="D75">
            <v>122.30000000000001</v>
          </cell>
          <cell r="E75" t="str">
            <v>1 Cum</v>
          </cell>
        </row>
        <row r="76">
          <cell r="B76" t="str">
            <v>Sand filling-Irrespective of thickness</v>
          </cell>
          <cell r="C76" t="str">
            <v>Construction of sand base including cost, conveyance,seigniorage of local sand and stacking at site to departmental gauge for premeasurements, and spreading the same with hand roller consolidation irrespective of thickness in layers,etc.complete</v>
          </cell>
          <cell r="D76">
            <v>205.20000000000002</v>
          </cell>
          <cell r="E76" t="str">
            <v>1 Cum</v>
          </cell>
        </row>
        <row r="77">
          <cell r="B77" t="str">
            <v>GSB-Irrespective of thickness</v>
          </cell>
          <cell r="C77" t="str">
            <v>Construction of gravel sub base including cost and conveyance of good gravel and filling sand at 2:1 ratio, stacking at site to departmental gauge for pre measurements and spreading the same with hand roller consolidation irrespective of thickness in laye</v>
          </cell>
          <cell r="D77">
            <v>258.8</v>
          </cell>
          <cell r="E77" t="str">
            <v>1 Cum</v>
          </cell>
        </row>
        <row r="78">
          <cell r="B78" t="str">
            <v>GSB-irrespective of thickness (for shoulders)</v>
          </cell>
          <cell r="C78" t="str">
            <v>Construction of gravel sub base including cost and conveyance of good gravel , stacking at site to departmental gauge for pre measurements and spreading the same with hand roller consolidation irrespective of thickness in layers -and  watering ,ncluding a</v>
          </cell>
          <cell r="D78">
            <v>258.8</v>
          </cell>
          <cell r="E78" t="str">
            <v>1 Cum</v>
          </cell>
        </row>
        <row r="79">
          <cell r="B79" t="str">
            <v>GSB-225(loose)/150(compact)</v>
          </cell>
          <cell r="C79" t="str">
            <v>Construction of gravel sub base including cost and conveyance of good gravel and filling sand at 2:1 ratio, stacking at site to departmental gauge for pre measurements for loose thickness of 225 mm to proper camber, watering and consolidation with power r</v>
          </cell>
          <cell r="D79">
            <v>372.40000000000003</v>
          </cell>
          <cell r="E79" t="str">
            <v>1 Cum</v>
          </cell>
        </row>
        <row r="80">
          <cell r="B80" t="str">
            <v>GSB-150(loose)/100(compact)</v>
          </cell>
          <cell r="C80" t="str">
            <v>Construction of gravel sub base including cost and conveyance of good gravel and filling sand at 2:1 ratio, stacking at site to departmental gauge for pre measurements for loose thickness of 150 mm to proper camber, watering and consolidation with power r</v>
          </cell>
          <cell r="D80">
            <v>386.70000000000005</v>
          </cell>
          <cell r="E80" t="str">
            <v>1 Cum</v>
          </cell>
        </row>
        <row r="81">
          <cell r="B81" t="str">
            <v>GSB-112.5(loose)/75(compact)</v>
          </cell>
          <cell r="C81" t="str">
            <v>Construction of gravel sub base including cost and conveyance of good gravel and filling sand at 2:1 ratio, stacking at site to departmental gauge for pre measurements for loose thickness of 112.5 mm to proper camber, watering and consolidation with power</v>
          </cell>
          <cell r="D81">
            <v>377</v>
          </cell>
          <cell r="E81" t="str">
            <v>1 Cum</v>
          </cell>
        </row>
        <row r="82">
          <cell r="B82" t="str">
            <v>GSB-75(loose)/50(compact)</v>
          </cell>
          <cell r="C82" t="str">
            <v>Construction of gravel sub base including cost and conveyance of good gravel and filling sand at 2:1 ratio, stacking at site to departmental gauge for pre measurements for loose thickness of 75 mm to proper camber, watering and consolidation with power ro</v>
          </cell>
          <cell r="D82">
            <v>383.6</v>
          </cell>
          <cell r="E82" t="str">
            <v>1 Cum</v>
          </cell>
        </row>
        <row r="83">
          <cell r="B83" t="str">
            <v>WBM-Gr II-75 mm</v>
          </cell>
          <cell r="C83" t="str">
            <v>Construction of WBM road using Grade II metal(40-65 mm) including stacking the material at work site to departmental gauge for premeasurements and spreading the same to 100 mm loose thick to proper camber, rolling, watering, spreading the screenings of 5-</v>
          </cell>
          <cell r="D83">
            <v>1661.5</v>
          </cell>
          <cell r="E83" t="str">
            <v>1 Cum</v>
          </cell>
        </row>
        <row r="84">
          <cell r="B84" t="str">
            <v xml:space="preserve">Picking old metalled surface (50-100mm)&amp;gravel blindage </v>
          </cell>
          <cell r="C84" t="str">
            <v>Picking old metalled surface (50-100mm), sectioning and blindage with gravel and power roller consolidation.</v>
          </cell>
          <cell r="D84">
            <v>11.39</v>
          </cell>
          <cell r="E84" t="str">
            <v>1 Sqm</v>
          </cell>
        </row>
        <row r="85">
          <cell r="B85" t="str">
            <v>Gravel blindage on existing WBM</v>
          </cell>
          <cell r="C85" t="str">
            <v>Providing  gravel blindage over existing WBM surface including watering and rolling with hand roller.</v>
          </cell>
          <cell r="D85">
            <v>6.63</v>
          </cell>
          <cell r="E85" t="str">
            <v>1 Sqm</v>
          </cell>
        </row>
        <row r="86">
          <cell r="B86" t="str">
            <v>VCC(1:1.5:3)-CC Pavement</v>
          </cell>
          <cell r="C86" t="str">
            <v xml:space="preserve">VCC(!:1.5:3) mix using 2/3 qantity of 20 mm HBG MC chips,1/3 quantity of 12 mm HBG MC chips, using a minimum of 425 kgs of cement, and 125 micron plastic sheet,including cost, conveyance, seigniorage charges of all materials, labour charges etc. complete </v>
          </cell>
          <cell r="D86">
            <v>4105.7</v>
          </cell>
          <cell r="E86" t="str">
            <v>1 Cum</v>
          </cell>
        </row>
        <row r="87">
          <cell r="B87" t="str">
            <v>VCC(1:1.5:3)-CC Pavement(with fly ash)</v>
          </cell>
          <cell r="C87" t="str">
            <v xml:space="preserve">VCC(!:1.5:3) mix using 2/3 qantity of 20 mm HBG MC chips,1/3 quantity of 12 mm HBG MC chips, using a minimum quantity of 361 kgs of cement and 64 kgs of flyash per 1 cum,and 125 micron plastic sheet, including cost, conveyance, seigniorage charges of all </v>
          </cell>
          <cell r="D87">
            <v>3826.1000000000004</v>
          </cell>
          <cell r="E87" t="str">
            <v>1 Cum</v>
          </cell>
        </row>
        <row r="88">
          <cell r="B88" t="str">
            <v>Mastic pad-25.4 mm</v>
          </cell>
          <cell r="C88" t="str">
            <v>Cost,Supply and placing of mastic pad 25.4 mm thick, including all labour charges</v>
          </cell>
          <cell r="D88">
            <v>697.90000000000009</v>
          </cell>
          <cell r="E88" t="str">
            <v>1 Sqm</v>
          </cell>
        </row>
        <row r="89">
          <cell r="B89" t="str">
            <v>Mastic pad-12.7 mm</v>
          </cell>
          <cell r="C89" t="str">
            <v>Cost,Supply and placing of mastic pad 12.7 mm thick, including all labour charges</v>
          </cell>
          <cell r="D89">
            <v>399.40000000000003</v>
          </cell>
          <cell r="E89" t="str">
            <v>1 Sqm</v>
          </cell>
        </row>
        <row r="90">
          <cell r="B90" t="str">
            <v>Tar Sheet</v>
          </cell>
          <cell r="C90" t="str">
            <v>Cost,Supply and placing Asphaltic tar sheet, including all labour charges</v>
          </cell>
          <cell r="D90">
            <v>48.900000000000006</v>
          </cell>
          <cell r="E90" t="str">
            <v>1 Sqm</v>
          </cell>
        </row>
        <row r="91">
          <cell r="B91" t="str">
            <v>150 mm  RCC-NP2  Pipes-2 no/row</v>
          </cell>
          <cell r="C91" t="str">
            <v>150 mm dia RCC-NP2  Pipes-2 no. in a row including cost of pipes,collars, Laying and fixing of RCC hume pipes in position including lifting,aligning etc. complete fixing with collars</v>
          </cell>
          <cell r="D91">
            <v>155.70000000000002</v>
          </cell>
          <cell r="E91" t="str">
            <v>1 Rm</v>
          </cell>
        </row>
        <row r="92">
          <cell r="B92" t="str">
            <v>225 mm  RCC-NP2  Pipes-2 no/row</v>
          </cell>
          <cell r="C92" t="str">
            <v>225 mm dia RCC-NP2  Pipes-2 no. in a row including cost of pipes,collars, Laying and fixing of RCC hume pipes in position including lifting,aligning etc. complete fixing with collars</v>
          </cell>
          <cell r="D92">
            <v>198.20000000000002</v>
          </cell>
          <cell r="E92" t="str">
            <v>1 Rm</v>
          </cell>
        </row>
        <row r="93">
          <cell r="B93" t="str">
            <v>300 mm  RCC-NP2  Pipes-2 no/row</v>
          </cell>
          <cell r="C93" t="str">
            <v>300 mm dia RCC-NP2  Pipes-2 no. in a row including cost of pipes,collars, Laying and fixing of RCC hume pipes in position including lifting,aligning etc. complete fixing with collars</v>
          </cell>
          <cell r="D93">
            <v>300.3</v>
          </cell>
          <cell r="E93" t="str">
            <v>1 Rm</v>
          </cell>
        </row>
        <row r="94">
          <cell r="B94" t="str">
            <v>450 mm  RCC-NP2  Pipes-2 no/row</v>
          </cell>
          <cell r="C94" t="str">
            <v>450 mm dia RCC-NP2  Pipes-2 no. in a row including cost of pipes,collars, Laying and fixing of RCC hume pipes in position including lifting,aligning etc. complete fixing with collars</v>
          </cell>
          <cell r="D94">
            <v>525.4</v>
          </cell>
          <cell r="E94" t="str">
            <v>1 Rm</v>
          </cell>
        </row>
        <row r="95">
          <cell r="B95" t="str">
            <v>600 mm  RCC-NP2  Pipes-2 no/row</v>
          </cell>
          <cell r="C95" t="str">
            <v>600 mm dia RCC-NP2  Pipes-2 no. in a row including cost of pipes,collars, Laying and fixing of RCC hume pipes in position including lifting,aligning etc. complete fixing with collars</v>
          </cell>
          <cell r="D95">
            <v>849</v>
          </cell>
          <cell r="E95" t="str">
            <v>1 Rm</v>
          </cell>
        </row>
        <row r="96">
          <cell r="B96" t="str">
            <v>900 mm  RCC-NP2  Pipes-2 no/row</v>
          </cell>
          <cell r="C96" t="str">
            <v>900 mm dia RCC-NP2  Pipes-2 no. in a row including cost of pipes,collars, Laying and fixing of RCC hume pipes in position including lifting,aligning etc. complete fixing with collars</v>
          </cell>
          <cell r="D96">
            <v>1651.1000000000001</v>
          </cell>
          <cell r="E96" t="str">
            <v>1 Rm</v>
          </cell>
        </row>
        <row r="97">
          <cell r="B97" t="str">
            <v>150 mm  RCC-NP2  Pipes-3 no/row</v>
          </cell>
          <cell r="C97" t="str">
            <v>150 mm dia RCC-NP2  Pipes-3 no. in a row including cost of pipes,collars, Laying and fixing of RCC hume pipes in position including lifting,aligning etc. complete fixing with collars</v>
          </cell>
          <cell r="D97">
            <v>157.60000000000002</v>
          </cell>
          <cell r="E97" t="str">
            <v>1 Rm</v>
          </cell>
        </row>
        <row r="98">
          <cell r="B98" t="str">
            <v>225 mm  RCC-NP2  Pipes-3 no/row</v>
          </cell>
          <cell r="C98" t="str">
            <v>225 mm dia RCC-NP2  Pipes-3 no. in a row including cost of pipes,collars, Laying and fixing of RCC hume pipes in position including lifting,aligning etc. complete fixing with collars</v>
          </cell>
          <cell r="D98">
            <v>200.9</v>
          </cell>
          <cell r="E98" t="str">
            <v>1 Rm</v>
          </cell>
        </row>
        <row r="99">
          <cell r="B99" t="str">
            <v>300 mm  RCC-NP2  Pipes-3 no/row</v>
          </cell>
          <cell r="C99" t="str">
            <v>300 mm dia RCC-NP2  Pipes-3 no. in a row including cost of pipes,collars, Laying and fixing of RCC hume pipes in position including lifting,aligning etc. complete fixing with collars</v>
          </cell>
          <cell r="D99">
            <v>304.2</v>
          </cell>
          <cell r="E99" t="str">
            <v>1 Rm</v>
          </cell>
        </row>
        <row r="100">
          <cell r="B100" t="str">
            <v>450 mm  RCC-NP2  Pipes-3 no/row</v>
          </cell>
          <cell r="C100" t="str">
            <v>450 mm dia RCC-NP2  Pipes-3 no. in a row including cost of pipes,collars, Laying and fixing of RCC hume pipes in position including lifting,aligning etc. complete fixing with collars</v>
          </cell>
          <cell r="D100">
            <v>533.80000000000007</v>
          </cell>
          <cell r="E100" t="str">
            <v>1 Rm</v>
          </cell>
        </row>
        <row r="101">
          <cell r="B101" t="str">
            <v>600 mm  RCC-NP2  Pipes-3 no/row</v>
          </cell>
          <cell r="C101" t="str">
            <v>600 mm dia RCC-NP2  Pipes-3 no. in a row including cost of pipes,collars, Laying and fixing of RCC hume pipes in position including lifting,aligning etc. complete fixing with collars</v>
          </cell>
          <cell r="D101">
            <v>861.7</v>
          </cell>
          <cell r="E101" t="str">
            <v>1 Rm</v>
          </cell>
        </row>
        <row r="102">
          <cell r="B102" t="str">
            <v>900 mm  RCC-NP2  Pipes-3 no/row</v>
          </cell>
          <cell r="C102" t="str">
            <v>900 mm dia RCC-NP2  Pipes-3 no. in a row including cost of pipes,collars, Laying and fixing of RCC hume pipes in position including lifting,aligning etc. complete fixing with collars</v>
          </cell>
          <cell r="D102">
            <v>1679.2</v>
          </cell>
          <cell r="E102" t="str">
            <v>1 Rm</v>
          </cell>
        </row>
        <row r="103">
          <cell r="B103" t="str">
            <v>150 mm  RCC-NP2  Pipes-4 no/row</v>
          </cell>
          <cell r="C103" t="str">
            <v>150 mm dia RCC-NP2  Pipes-4 no. in a row including cost of pipes,collars, Laying and fixing of RCC hume pipes in position including lifting,aligning etc. complete fixing with collars</v>
          </cell>
          <cell r="D103">
            <v>158.60000000000002</v>
          </cell>
          <cell r="E103" t="str">
            <v>1 Rm</v>
          </cell>
        </row>
        <row r="104">
          <cell r="B104" t="str">
            <v>225 mm  RCC-NP2  Pipes-4 no/row</v>
          </cell>
          <cell r="C104" t="str">
            <v>225 mm dia RCC-NP2  Pipes-4 no. in a row including cost of pipes,collars, Laying and fixing of RCC hume pipes in position including lifting,aligning etc. complete fixing with collars</v>
          </cell>
          <cell r="D104">
            <v>202.3</v>
          </cell>
          <cell r="E104" t="str">
            <v>1 Rm</v>
          </cell>
        </row>
        <row r="105">
          <cell r="B105" t="str">
            <v>300 mm  RCC-NP2  Pipes-4 no/row</v>
          </cell>
          <cell r="C105" t="str">
            <v>300 mm dia RCC-NP2  Pipes-4 no. in a row including cost of pipes,collars, Laying and fixing of RCC hume pipes in position including lifting,aligning etc. complete fixing with collars</v>
          </cell>
          <cell r="D105">
            <v>306.2</v>
          </cell>
          <cell r="E105" t="str">
            <v>1 Rm</v>
          </cell>
        </row>
        <row r="106">
          <cell r="B106" t="str">
            <v>450 mm  RCC-NP2  Pipes-4 no/row</v>
          </cell>
          <cell r="C106" t="str">
            <v>450 mm dia RCC-NP2  Pipes-4 no. in a row including cost of pipes,collars, Laying and fixing of RCC hume pipes in position including lifting,aligning etc. complete fixing with collars</v>
          </cell>
          <cell r="D106">
            <v>537.9</v>
          </cell>
          <cell r="E106" t="str">
            <v>1 Rm</v>
          </cell>
        </row>
        <row r="107">
          <cell r="B107" t="str">
            <v>600 mm  RCC-NP2  Pipes-4 no/row</v>
          </cell>
          <cell r="C107" t="str">
            <v>600 mm dia RCC-NP2  Pipes-4 no. in a row including cost of pipes,collars, Laying and fixing of RCC hume pipes in position including lifting,aligning etc. complete fixing with collars</v>
          </cell>
          <cell r="D107">
            <v>868</v>
          </cell>
          <cell r="E107" t="str">
            <v>1 Rm</v>
          </cell>
        </row>
        <row r="108">
          <cell r="B108" t="str">
            <v>900 mm  RCC-NP2  Pipes-4 no/row</v>
          </cell>
          <cell r="C108" t="str">
            <v>900 mm dia RCC-NP2  Pipes-4 no. in a row including cost of pipes,collars, Laying and fixing of RCC hume pipes in position including lifting,aligning etc. complete fixing with collars</v>
          </cell>
          <cell r="D108">
            <v>1693.1000000000001</v>
          </cell>
          <cell r="E108" t="str">
            <v>1 Rm</v>
          </cell>
        </row>
      </sheetData>
      <sheetData sheetId="17"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2)"/>
      <sheetName val="Check_Slip"/>
      <sheetName val="Misc"/>
      <sheetName val="Data_Base"/>
      <sheetName val="quarry"/>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3">
          <cell r="B3" t="str">
            <v>Light jungle clearance</v>
          </cell>
          <cell r="C3" t="str">
            <v>Clearing light jungle including all labour charges etc. complete</v>
          </cell>
          <cell r="D3">
            <v>2</v>
          </cell>
          <cell r="E3" t="str">
            <v>1 Sqm</v>
          </cell>
        </row>
        <row r="4">
          <cell r="B4" t="str">
            <v>Earth work-Found-BC soils</v>
          </cell>
          <cell r="C4" t="str">
            <v>Earth work excavation and depositing on bank with an initial lead of 10 m and initial lift of 2 m, including seigniorage and labour charges etc. complete- in BC soils as per SS no. 20-B for foundations</v>
          </cell>
          <cell r="D4">
            <v>83.600000000000009</v>
          </cell>
          <cell r="E4" t="str">
            <v>1 Cum</v>
          </cell>
        </row>
        <row r="5">
          <cell r="B5" t="str">
            <v>Earth work-Found-mixed (BC+Sandy)soils</v>
          </cell>
          <cell r="C5" t="str">
            <v>Earth work excavation and depositing on bank with an initial lead of 10 m and initial lift of 2 m, including seigniorage and labour charges etc. complete- in loamy and clayey mixed with sandy soils as per SS no. 20-B for foundations</v>
          </cell>
          <cell r="D5">
            <v>74.2</v>
          </cell>
          <cell r="E5" t="str">
            <v>1 Cum</v>
          </cell>
        </row>
        <row r="6">
          <cell r="B6" t="str">
            <v>Earth work-Pile Found(D/U) (200 mm-3.50 m) -BC soils</v>
          </cell>
          <cell r="C6" t="str">
            <v>Drilling of 200 mm dia bores with necessary equipment with double under reamed bulbs for a depth of 3.50 m.,including all labour charges etc. complete, in BC soils for pile foundations</v>
          </cell>
          <cell r="D6">
            <v>547.6</v>
          </cell>
          <cell r="E6" t="str">
            <v>1 No</v>
          </cell>
        </row>
        <row r="7">
          <cell r="B7" t="str">
            <v>Earth work-Pile Found(D/U) (250 mm-3.50 m) -BC soils</v>
          </cell>
          <cell r="C7" t="str">
            <v>Drilling of 250 mm dia bores with necessary equipment with double under reamed bulbs for a depth of 3.50 m.,including all labour charges etc. complete, in BC soils for pile foundations</v>
          </cell>
          <cell r="D7">
            <v>628.70000000000005</v>
          </cell>
          <cell r="E7" t="str">
            <v>1 No</v>
          </cell>
        </row>
        <row r="8">
          <cell r="B8" t="str">
            <v>Earth work-Pile Found(D/U) (300 mm-3.50 m) -BC soils</v>
          </cell>
          <cell r="C8" t="str">
            <v>Drilling of 300 mm dia bores with necessary equipment with double under reamed bulbs for a depth of 3.50 m.,including all labour charges etc. complete, in BC soils for pile foundations</v>
          </cell>
          <cell r="D8">
            <v>791</v>
          </cell>
          <cell r="E8" t="str">
            <v>1 No</v>
          </cell>
        </row>
        <row r="9">
          <cell r="B9" t="str">
            <v>Earth work-Pile Found(D/U) (375 mm-3.50 m) -BC soils</v>
          </cell>
          <cell r="C9" t="str">
            <v>Drilling of 375 mm dia bores with necessary equipment with double under reamed bulbs for a depth of 3.50 m.,including all labour charges etc. complete, in BC soils for pile foundations</v>
          </cell>
          <cell r="D9">
            <v>1034.3</v>
          </cell>
          <cell r="E9" t="str">
            <v>1 No</v>
          </cell>
        </row>
        <row r="10">
          <cell r="B10" t="str">
            <v>Earth work-Pile Found(S/U) (200 mm-3.50 m) -BC soils</v>
          </cell>
          <cell r="C10" t="str">
            <v>Drilling of 200 mm dia bores with necessary equipment with single under reamed bulbs for a depth of 3.50 m.,including all labour charges etc. complete, in BC soils for pile foundations of compound walls</v>
          </cell>
          <cell r="D10">
            <v>425.90000000000003</v>
          </cell>
          <cell r="E10" t="str">
            <v>1 No</v>
          </cell>
        </row>
        <row r="11">
          <cell r="B11" t="str">
            <v>Earth work-Side earth-BC soil(manual)</v>
          </cell>
          <cell r="C11" t="str">
            <v>Earth work excavation with  an initial lead of 10 m and initial lift of 2 m, including seigniorage and labour charges etc. complete- in BC soils as per SS no. 20-B.</v>
          </cell>
          <cell r="D11">
            <v>62.7</v>
          </cell>
          <cell r="E11" t="str">
            <v>1 Cum</v>
          </cell>
        </row>
        <row r="12">
          <cell r="B12" t="str">
            <v>Earth work-Side earth-mixed(BC+Sandy) soils(manual)</v>
          </cell>
          <cell r="C12" t="str">
            <v>Earth work excavation and depositing on bank with  an initial lead of 10 m and initial lift of 2 m, including seigniorage and labour charges etc. complete- in Mixed(BC+Sandy) soils as per SS no. 20-B.</v>
          </cell>
          <cell r="D12">
            <v>56.400000000000006</v>
          </cell>
          <cell r="E12" t="str">
            <v>1 Cum</v>
          </cell>
        </row>
        <row r="13">
          <cell r="B13" t="str">
            <v>Earth work-Carting-0.50 km-BC soil(manual)</v>
          </cell>
          <cell r="C13" t="str">
            <v>Earth work excavation and carting from a distance of 0.50 km over  an initial lead of 10 m and initial lift of 2 m, including seigniorage and labour charges etc. complete- in BC soils as per SS no. 20-B.</v>
          </cell>
          <cell r="D13">
            <v>117.60000000000001</v>
          </cell>
          <cell r="E13" t="str">
            <v>1 Cum</v>
          </cell>
        </row>
        <row r="14">
          <cell r="B14" t="str">
            <v>Earth work-Carting-0.50 km-mixed(BC+Sandy) soils(manual)</v>
          </cell>
          <cell r="C14" t="str">
            <v>Earth work excavation and carting from a distance of 0.50 km over  an initial lead of 10 m and initial lift of 2 m, including seigniorage and labour charges etc. complete- in Mixed(BC+Sandy) soils as per SS no. 20-B.</v>
          </cell>
          <cell r="D14">
            <v>111.30000000000001</v>
          </cell>
          <cell r="E14" t="str">
            <v>1 Cum</v>
          </cell>
        </row>
        <row r="15">
          <cell r="B15" t="str">
            <v>Earth work-Side earth-All soils(upto SDR) (machine)</v>
          </cell>
          <cell r="C15" t="str">
            <v>Earth work excavation using machinery and depositing on bank within a radius of 5 m. ie cut and dump, including seigniorage, including breaking clods,sectioning and labour charges etc. complete- in all soils(upto SDR and stone matrix) as per SS no. 20-B.</v>
          </cell>
          <cell r="D15">
            <v>38</v>
          </cell>
          <cell r="E15" t="str">
            <v>1 Cum</v>
          </cell>
        </row>
        <row r="16">
          <cell r="B16" t="str">
            <v>Earth work-Carting-0.50 km-All soils(upto SDR) (machine)</v>
          </cell>
          <cell r="C16" t="str">
            <v>Earth work excavation using machinery and carting from a distance of 0.50 km over  an initial lead of 10 m and initial lift of 2 m, including seigniorage, including breaking clods,sectioning and labour charges etc. complete- in all soils(upto SDR and ston</v>
          </cell>
          <cell r="D16">
            <v>92.9</v>
          </cell>
          <cell r="E16" t="str">
            <v>1 Cum</v>
          </cell>
        </row>
        <row r="17">
          <cell r="B17" t="str">
            <v>Filling Sand for Basements/Foundations</v>
          </cell>
          <cell r="C17" t="str">
            <v>Filling with local sand including cost and conveyance of all materials and all labour charges for watering and ramming etc complete</v>
          </cell>
          <cell r="D17">
            <v>190.70000000000002</v>
          </cell>
          <cell r="E17" t="str">
            <v>1 Cum</v>
          </cell>
        </row>
        <row r="18">
          <cell r="B18" t="str">
            <v>Refilling the foundations with excavated earth</v>
          </cell>
          <cell r="C18" t="str">
            <v>Refilling with excavated earth including  all labour charges for watering and ramming etc complete</v>
          </cell>
          <cell r="D18">
            <v>15.600000000000001</v>
          </cell>
          <cell r="E18" t="str">
            <v>1 Cum</v>
          </cell>
        </row>
        <row r="19">
          <cell r="B19" t="str">
            <v>PCC(1:4:8)</v>
          </cell>
          <cell r="C19" t="str">
            <v>C.C.(1:4:8)mix using 40 mm HBG metal including cost and conveyance of all materials and labour charges etc. complete-1cum</v>
          </cell>
          <cell r="D19">
            <v>2361.4</v>
          </cell>
          <cell r="E19" t="str">
            <v>1 Cum</v>
          </cell>
        </row>
        <row r="20">
          <cell r="B20" t="str">
            <v>PCC(1:4:8)-Road levelling</v>
          </cell>
          <cell r="C20" t="str">
            <v>C.C.(1:4:8)mix using 40 mm HBG metal including cost and conveyance of all materials and labour charges etc. complete for road levelling-1cum</v>
          </cell>
          <cell r="D20">
            <v>2510.1000000000004</v>
          </cell>
          <cell r="E20" t="str">
            <v>1 Cum</v>
          </cell>
        </row>
        <row r="21">
          <cell r="B21" t="str">
            <v>VCC(1:3:6)-Basements</v>
          </cell>
          <cell r="C21" t="str">
            <v>V.C.C.(1:3:6)mix using 2/3 of 40 mm HBG metal and 1/3 of 20 mm HBG MC chips  including cost and conveyance of all materials and labour charges etc. complete for Basements-1cum</v>
          </cell>
          <cell r="D21">
            <v>2750.2000000000003</v>
          </cell>
          <cell r="E21" t="str">
            <v>1 Cum</v>
          </cell>
        </row>
        <row r="22">
          <cell r="B22" t="str">
            <v>VCC(1:3:6)-Super Structure</v>
          </cell>
          <cell r="C22" t="str">
            <v>V.C.C.(1:3:6)mix using 2/3 of 40 mm HBG metal and 1/3 of 20 mm HBG MC chips  including cost and conveyance of all materials and labour charges etc. complete for Super structure-1cum</v>
          </cell>
          <cell r="D22">
            <v>3141.2000000000003</v>
          </cell>
          <cell r="E22" t="str">
            <v>1 Cum</v>
          </cell>
        </row>
        <row r="23">
          <cell r="B23" t="str">
            <v>VRCC(1:1.5:3)-Sunshade-0.60m-(75+50)/2.</v>
          </cell>
          <cell r="C23" t="str">
            <v>V.R.C.C.(1:1.5:3) mix using 20 mm MCG metal and 125 micron plastic sheet,including cost and conveyance of all materials and labour charges etc. complete for R.C.C. works.-For sunshade 0.60 m. wide.and 75 mm thick at fixed end and 50 mm thick at free end</v>
          </cell>
          <cell r="D23">
            <v>228.60000000000002</v>
          </cell>
          <cell r="E23" t="str">
            <v>1 RM</v>
          </cell>
        </row>
        <row r="24">
          <cell r="B24" t="str">
            <v>VRCC(1:1.5:3)-T- Beams</v>
          </cell>
          <cell r="C24" t="str">
            <v>V.R.C.C.(1:1.5:3) mix using 20 mm MCG metal including cost and conveyance of all materials and labour charges etc. complete for R.C.C. works.- for T Beams</v>
          </cell>
          <cell r="D24">
            <v>5511.4000000000005</v>
          </cell>
          <cell r="E24" t="str">
            <v>1 Cum</v>
          </cell>
        </row>
        <row r="25">
          <cell r="B25" t="str">
            <v>VRCC(1:1.5:3)-Rect./L- Beams</v>
          </cell>
          <cell r="C25" t="str">
            <v>V.R.C.C.(1:1.5:3) mix using 20 mm MCG metal including cost and conveyance of all materials and labour charges etc. complete for R.C.C. works.For rectangular beams and L Beams.</v>
          </cell>
          <cell r="D25">
            <v>5511.4000000000005</v>
          </cell>
          <cell r="E25" t="str">
            <v>1 Cum</v>
          </cell>
        </row>
        <row r="26">
          <cell r="B26" t="str">
            <v>VRCC(1:1.5:3)-Columns/Pedastals</v>
          </cell>
          <cell r="C26" t="str">
            <v>V.R.C.C.(1:1.5:3) mix using 20 mm MCG metal including cost and conveyance of all materials and labour charges etc. complete for R.C.C. works.-For Columns and Pedestals.</v>
          </cell>
          <cell r="D26">
            <v>5462.5</v>
          </cell>
          <cell r="E26" t="str">
            <v>1 Cum</v>
          </cell>
        </row>
        <row r="27">
          <cell r="B27" t="str">
            <v>VRCC(1:1.5:3)-Templates/Bed Blocks/ Footings</v>
          </cell>
          <cell r="C27" t="str">
            <v>V.R.C.C.(1:1.5:3) mix using 20 mm MCG metal including cost and conveyance of all materials and labour charges etc. complete for R.C.C. works-For Templates, Bed blocks and Footings.</v>
          </cell>
          <cell r="D27">
            <v>4856.2</v>
          </cell>
          <cell r="E27" t="str">
            <v>1 Cum</v>
          </cell>
        </row>
        <row r="28">
          <cell r="B28" t="str">
            <v>VRCC(1:1.5:3)-Lintels/Plinth Beams</v>
          </cell>
          <cell r="C28" t="str">
            <v>V.R.C.C.(1:1.5:3) mix using 20 mm MCG metal including cost and conveyance of all materials and labour charges etc. complete for R.C.C. works.-For Lintels and Plinth Beam.</v>
          </cell>
          <cell r="D28">
            <v>5091.2000000000007</v>
          </cell>
          <cell r="E28" t="str">
            <v>1 Cum</v>
          </cell>
        </row>
        <row r="29">
          <cell r="B29" t="str">
            <v>VRCC(1:1.5:3)-Roof slab-100 mm</v>
          </cell>
          <cell r="C29" t="str">
            <v>V.R.C.C.(1:1.5:3) mix using 20 mm MCG metal and 125 micron plastic sheet,including cost and conveyance of all materials and labour charges etc. complete for R.C.C. works.-For Roof slabs-100 mm thick.</v>
          </cell>
          <cell r="D29">
            <v>570.2700000000001</v>
          </cell>
          <cell r="E29" t="str">
            <v>1 Sqm</v>
          </cell>
        </row>
        <row r="30">
          <cell r="B30" t="str">
            <v>VRCC(1:1.5:3)-Roof slab-110 mm</v>
          </cell>
          <cell r="C30" t="str">
            <v>V.R.C.C.(1:1.5:3) mix using 20 mm MCG metal and 125 micron plastic sheet,including cost and conveyance of all materials and labour charges etc. complete for R.C.C. works.-For Roof slabs-110 mm thick.</v>
          </cell>
          <cell r="D30">
            <v>614.26</v>
          </cell>
          <cell r="E30" t="str">
            <v>1 Sqm</v>
          </cell>
        </row>
        <row r="31">
          <cell r="B31" t="str">
            <v>VRCC(1:1.5:3)-Roof slab-125 mm</v>
          </cell>
          <cell r="C31" t="str">
            <v>V.R.C.C.(1:1.5:3) mix using 20 mm MCG metal and 125 micron plastic sheet,including cost and conveyance of all materials and labour charges etc. complete for R.C.C. works.-For Roof slabs-125 mm thick.</v>
          </cell>
          <cell r="D31">
            <v>680.45</v>
          </cell>
          <cell r="E31" t="str">
            <v>1 Sqm</v>
          </cell>
        </row>
        <row r="32">
          <cell r="B32" t="str">
            <v>VRCC(1:1.5:3)-Roof slab-150 mm</v>
          </cell>
          <cell r="C32" t="str">
            <v>V.R.C.C.(1:1.5:3) mix using 20 mm MCG metaland 125 micron plastic sheet, including cost and conveyance of all materials and labour charges etc. complete for R.C.C. works.-For Roof slabs-150 mm thick.</v>
          </cell>
          <cell r="D32">
            <v>791.11</v>
          </cell>
          <cell r="E32" t="str">
            <v>1 Sqm</v>
          </cell>
        </row>
        <row r="33">
          <cell r="B33" t="str">
            <v>VRCC(1:1.5:3)-Roof slab-75 mm</v>
          </cell>
          <cell r="C33" t="str">
            <v>V.R.C.C.(1:1.5:3) mix using 20 mm MCG metal and 125 micron plastic sheet,including cost and conveyance of all materials and labour charges etc. complete for R.C.C. works.-For Roof slabs-75 mm thick.</v>
          </cell>
          <cell r="D33">
            <v>461.07</v>
          </cell>
          <cell r="E33" t="str">
            <v>1 Sqm</v>
          </cell>
        </row>
        <row r="34">
          <cell r="B34" t="str">
            <v>VCC(1:1.5:3) using 12mm chips</v>
          </cell>
          <cell r="C34" t="str">
            <v xml:space="preserve">V.C.C.(1:1.5:3) mix using 12 mm MCG metal ,including cost and conveyance of all materials and labour charges etc. complete </v>
          </cell>
          <cell r="D34">
            <v>3890.8</v>
          </cell>
          <cell r="E34" t="str">
            <v>1 Cum</v>
          </cell>
        </row>
        <row r="35">
          <cell r="B35" t="str">
            <v>Steel&amp;Fabrication</v>
          </cell>
          <cell r="C35" t="str">
            <v>Cost of steel and fabrication charges including cost of binding wire and all labour charges</v>
          </cell>
          <cell r="D35">
            <v>38.900000000000006</v>
          </cell>
          <cell r="E35" t="str">
            <v>1 Kg</v>
          </cell>
        </row>
        <row r="36">
          <cell r="B36" t="str">
            <v>M.S Iron grills</v>
          </cell>
          <cell r="C36" t="str">
            <v>Cost,supply and fixing of MS/CI grills of any design</v>
          </cell>
          <cell r="D36">
            <v>33.700000000000003</v>
          </cell>
          <cell r="E36" t="str">
            <v>1 Kg</v>
          </cell>
        </row>
        <row r="37">
          <cell r="B37" t="str">
            <v>BM-CM(1:6)-Basement</v>
          </cell>
          <cell r="C37" t="str">
            <v>Brick(2nd class/ground moulded) masonary in cement mortar(1:6), including cost, seigniorage and conveyance of all materials and labour charges etc. complete for basements</v>
          </cell>
          <cell r="D37">
            <v>2261</v>
          </cell>
          <cell r="E37" t="str">
            <v>1 Cum</v>
          </cell>
        </row>
        <row r="38">
          <cell r="B38" t="str">
            <v>BM-CM(1:6)-Super Structure(Ground Floor)</v>
          </cell>
          <cell r="C38" t="str">
            <v xml:space="preserve"> Brick(2nd class/ground moulded) masonary in cement mortar(1:6), including cost, seigniorage and conveyance of all materials and labour charges etc. complete for super structure</v>
          </cell>
          <cell r="D38">
            <v>2298.4</v>
          </cell>
          <cell r="E38" t="str">
            <v>1 Cum</v>
          </cell>
        </row>
        <row r="39">
          <cell r="B39" t="str">
            <v>Plastering-CM(1:3)-12 mm</v>
          </cell>
          <cell r="C39" t="str">
            <v>Plastering with Cement Mortar (1:3) - 12 mm thick, including cost, seigniorage and conveyance of all materials and labour charges etc. complete for ornamental purpose</v>
          </cell>
          <cell r="D39">
            <v>86.320000000000007</v>
          </cell>
          <cell r="E39" t="str">
            <v>1 Sqm</v>
          </cell>
        </row>
        <row r="40">
          <cell r="B40" t="str">
            <v>Acco-Plastering-CM(1:3)-12 mm</v>
          </cell>
          <cell r="C40" t="str">
            <v xml:space="preserve">Accoproof Plastering with Cement Mortar (1:3) - 12 mm thick, and mixing of 3% of accoproof compound,including cost, seigniorage and conveyance of all materials and labour charges etc. complete </v>
          </cell>
          <cell r="D40">
            <v>91.26</v>
          </cell>
          <cell r="E40" t="str">
            <v>1 Sqm</v>
          </cell>
        </row>
        <row r="41">
          <cell r="B41" t="str">
            <v>Plastering-CM(1:4)-12 mm (bearing)</v>
          </cell>
          <cell r="C41" t="str">
            <v>Plastering with Cement Mortar (1:4) - 12 mm thick, including cost, seigniorage and conveyance of all materials and labour charges etc. complete for bearing plastering</v>
          </cell>
          <cell r="D41">
            <v>78.2</v>
          </cell>
          <cell r="E41" t="str">
            <v>1 Sqm</v>
          </cell>
        </row>
        <row r="42">
          <cell r="B42" t="str">
            <v>Plastering-CM(1:5)-12 mm</v>
          </cell>
          <cell r="C42" t="str">
            <v xml:space="preserve">Plastering with Cement Mortar (1:5) - 12 mm thick, including cost, seigniorage and conveyance of all materials and labour charges etc. complete </v>
          </cell>
          <cell r="D42">
            <v>73.320000000000007</v>
          </cell>
          <cell r="E42" t="str">
            <v>1 Sqm</v>
          </cell>
        </row>
        <row r="43">
          <cell r="B43" t="str">
            <v>Plastering-CM(1:5)-20 mm</v>
          </cell>
          <cell r="C43" t="str">
            <v xml:space="preserve">Plastering with Cement Mortar (1:5) - 20 mm thick-for first coat of 12 mm and 2nd coat of 8 mm thick- including cost, seigniorage and conveyance of all materials and labour charges etc. complete </v>
          </cell>
          <cell r="D43">
            <v>140.01000000000002</v>
          </cell>
          <cell r="E43" t="str">
            <v>1 Sqm</v>
          </cell>
        </row>
        <row r="44">
          <cell r="B44" t="str">
            <v>Flooring-CC ( 1:4:8)-100 mm-Top plastering CM ( 1:3) 20 mm</v>
          </cell>
          <cell r="C44" t="str">
            <v xml:space="preserve">Flooring with  PCC(1:4:8) 100 mm thick and top plastering with cement mortar(1:3) 20 mm thick, including cost, seigniorage and conveyance of all materials and labour charges etc. complete </v>
          </cell>
          <cell r="D44">
            <v>288.73</v>
          </cell>
          <cell r="E44" t="str">
            <v>1 Sqm</v>
          </cell>
        </row>
        <row r="45">
          <cell r="B45" t="str">
            <v>Flooring-Napa slab(50 mm)</v>
          </cell>
          <cell r="C45" t="str">
            <v xml:space="preserve">Flooring with Napa/Cuddapah slabs of 50 mm thick over a sand bed of 150 mm thick and pointing with cement mortar 1:3 to the full depth of slabs, including cost, seigniorage and conveyance of all materials and labour charges etc. complete </v>
          </cell>
          <cell r="D45">
            <v>339.02000000000004</v>
          </cell>
          <cell r="E45" t="str">
            <v>1 Sqm</v>
          </cell>
        </row>
        <row r="46">
          <cell r="B46" t="str">
            <v>Flooring-Old Napa slab(50 mm)</v>
          </cell>
          <cell r="C46" t="str">
            <v xml:space="preserve">Flooring with old Napa/Cuddapah slabs of 50 mm thick over a sand bed of 150 mm thick and pointing with cement mortar 1:3 to the full depth of slabs, including cost, seigniorage and conveyance of all materials and labour charges etc. complete </v>
          </cell>
          <cell r="D46">
            <v>202.59</v>
          </cell>
          <cell r="E46" t="str">
            <v>1 Sqm</v>
          </cell>
        </row>
        <row r="47">
          <cell r="B47" t="str">
            <v>Flooring-Polished Black Cuddapah(25.4 mm)</v>
          </cell>
          <cell r="C47" t="str">
            <v>Flooring with polished black Napa/Cuddapah slabs of 25.4 mm thick over a cement concrete bed of PCC(1:4:8) 100 mm thick including bedding with cement mortar(1:3) and pointing with cement  to the full depth of slabs, including cost, seigniorage and conveya</v>
          </cell>
          <cell r="D47">
            <v>555.7700000000001</v>
          </cell>
          <cell r="E47" t="str">
            <v>1 Sqm</v>
          </cell>
        </row>
        <row r="48">
          <cell r="B48" t="str">
            <v xml:space="preserve">Flooring-ceramic tiles (7.3 mm) </v>
          </cell>
          <cell r="C48" t="str">
            <v>Flooring with ceramic tiles of 7.3 mm thick over a cement concrete bed of PCC(1:4:8) 100 mm thick including bedding with cement mortar(1:2) and pointing with white cement  putty, including cost, seigniorage and conveyance of all materials and labour charg</v>
          </cell>
          <cell r="D48">
            <v>745.26</v>
          </cell>
          <cell r="E48" t="str">
            <v>1 Sqm</v>
          </cell>
        </row>
        <row r="49">
          <cell r="B49" t="str">
            <v>Skirting-Polished Black Cuddapah(25.4 mm)</v>
          </cell>
          <cell r="C49" t="str">
            <v xml:space="preserve">Providing polished black cuddapah/napa slab skirting of 25.4 mm thick set in cement mortar(1:3) and pointing with cement to full depth,including cost, seigniorage and conveyance of all materials and labour charges etc. complete </v>
          </cell>
          <cell r="D49">
            <v>319.64</v>
          </cell>
          <cell r="E49" t="str">
            <v>1 Sqm</v>
          </cell>
        </row>
        <row r="50">
          <cell r="B50" t="str">
            <v xml:space="preserve">Skirting-ceramic tiles (7.3 mm) </v>
          </cell>
          <cell r="C50" t="str">
            <v xml:space="preserve">Providing ceramic tiles skirting of 7.3 mm thick set in cement mortar(1:2) and pointing with white cement to full depth,including cost, seigniorage and conveyance of all materials and labour charges etc. complete </v>
          </cell>
          <cell r="D50">
            <v>509.13</v>
          </cell>
          <cell r="E50" t="str">
            <v>1 Sqm</v>
          </cell>
        </row>
        <row r="51">
          <cell r="B51" t="str">
            <v>Flooring-Marble slab -16 to 20mm (0.305mx0.305m)</v>
          </cell>
          <cell r="C51" t="str">
            <v xml:space="preserve">Flooring with marble slab polished 16 mm-20 mm thick average (0.305x0.305 m size) over a  bed of PCC(1:4:8) 100 mm thick including bedding with cement mortar(1:3) and pointing with  cement , including cost, seigniorage and conveyance of all materials and </v>
          </cell>
          <cell r="D51">
            <v>793.31000000000006</v>
          </cell>
          <cell r="E51" t="str">
            <v>1 Sqm</v>
          </cell>
        </row>
        <row r="52">
          <cell r="B52" t="str">
            <v>Flooring-Marble slab -16 to 20mm(0.457m x 0.457 m)/ (0.60mx0.60m)</v>
          </cell>
          <cell r="C52" t="str">
            <v>Flooring with marble slab polished 16 mm-20 mm thick(0.457x0.457/0.60x0.60 m size) over a  bed of PCC(1:4:8) 100 mm thick including bedding with cement mortar(1:3) and pointing with  cement , including cost, seigniorage and conveyance of all materials and</v>
          </cell>
          <cell r="D52">
            <v>885.87000000000012</v>
          </cell>
          <cell r="E52" t="str">
            <v>1 Sqm</v>
          </cell>
        </row>
        <row r="53">
          <cell r="B53" t="str">
            <v>Snowcem(1 prime+2 coats)</v>
          </cell>
          <cell r="C53" t="str">
            <v xml:space="preserve">Painting walls with snowcem or other equal and approved waterproof cement paint two coats over a primary coat,including cost and conveyance of all materials and labour charges etc. complete </v>
          </cell>
          <cell r="D53">
            <v>47.28</v>
          </cell>
          <cell r="E53" t="str">
            <v>1 Sqm</v>
          </cell>
        </row>
        <row r="54">
          <cell r="B54" t="str">
            <v>Snowcem(1 prime+1 coat)</v>
          </cell>
          <cell r="C54" t="str">
            <v xml:space="preserve">Painting walls with snowcem or other equal and approved waterproof cement paint one coat over a primary coat,including cost and conveyance of all materials and labour charges etc. complete </v>
          </cell>
          <cell r="D54">
            <v>37.540000000000006</v>
          </cell>
          <cell r="E54" t="str">
            <v>1 Sqm</v>
          </cell>
        </row>
        <row r="55">
          <cell r="B55" t="str">
            <v>Waterbound-Distemper-     2 coats</v>
          </cell>
          <cell r="C55" t="str">
            <v xml:space="preserve">Distempering the walls with water bound distemper two coats, including cost and conveyance of all materials and labour charges etc. complete </v>
          </cell>
          <cell r="D55">
            <v>34.940000000000005</v>
          </cell>
          <cell r="E55" t="str">
            <v>1 Sqm</v>
          </cell>
        </row>
        <row r="56">
          <cell r="B56" t="str">
            <v>Oilbound-Distemper-          2 coats</v>
          </cell>
          <cell r="C56" t="str">
            <v xml:space="preserve">Distempering the walls with oil bound distemper two coats, including cost and conveyance of all materials and labour charges etc. complete </v>
          </cell>
          <cell r="D56">
            <v>36.36</v>
          </cell>
          <cell r="E56" t="str">
            <v>1 Sqm</v>
          </cell>
        </row>
        <row r="57">
          <cell r="B57" t="str">
            <v>Synthetic enamel(1 prime+ 2 coats)-New Wood</v>
          </cell>
          <cell r="C57" t="str">
            <v xml:space="preserve">Painting new wood work with synthetic enamel paint two coats over a primary coat, including cost and conveyance of all materials and labour charges etc. complete </v>
          </cell>
          <cell r="D57">
            <v>60.56</v>
          </cell>
          <cell r="E57" t="str">
            <v>1 Sqm</v>
          </cell>
        </row>
        <row r="58">
          <cell r="B58" t="str">
            <v>Synthetic enamel(1 prime+ 1 coat)-New wood</v>
          </cell>
          <cell r="C58" t="str">
            <v xml:space="preserve">Painting new wood work with synthetic enamel paint one coat over a primary coat, including cost and conveyance of all materials and labour charges etc. complete </v>
          </cell>
          <cell r="D58">
            <v>44.21</v>
          </cell>
          <cell r="E58" t="str">
            <v>1 Sqm</v>
          </cell>
        </row>
        <row r="59">
          <cell r="B59" t="str">
            <v>Door-Teak wood-1.2x2.1</v>
          </cell>
          <cell r="C59" t="str">
            <v>Supply and fixing of teak wood fully panelled door of size 1.20 x 2.10, including fixing of MS powder coated furniture and including cost and conveyance of all materials and labour charges etc. complete</v>
          </cell>
          <cell r="D59">
            <v>10336.6</v>
          </cell>
          <cell r="E59" t="str">
            <v>1 No</v>
          </cell>
        </row>
        <row r="60">
          <cell r="B60" t="str">
            <v>Door-Teak wood- 1.05x2.0</v>
          </cell>
          <cell r="C60" t="str">
            <v>Supply and fixing of teak wood fully panelled door of size 1.05 x 2.00, including fixing of MS powder coated furniture and including cost and conveyance of all materials and labour charges etc. complete</v>
          </cell>
          <cell r="D60">
            <v>8738.3000000000011</v>
          </cell>
          <cell r="E60" t="str">
            <v>1 No</v>
          </cell>
        </row>
        <row r="61">
          <cell r="B61" t="str">
            <v>Door-Country wood-1.2x2.1</v>
          </cell>
          <cell r="C61" t="str">
            <v>Supply and fixing of Country wood fully panelled door of size 1.20 x 2.10, including fixing of MS powder coated furniture and including cost and conveyance of all materials and labour charges etc. complete</v>
          </cell>
          <cell r="D61">
            <v>4377.4000000000005</v>
          </cell>
          <cell r="E61" t="str">
            <v>1 No</v>
          </cell>
        </row>
        <row r="62">
          <cell r="B62" t="str">
            <v>Door-Country wood- 1.05x2.0</v>
          </cell>
          <cell r="C62" t="str">
            <v>Supply and fixing of Country wood fully panelled door of size 1.05 x 2.00, including fixing of MS powder coated furniture and including cost and conveyance of all materials and labour charges etc. complete</v>
          </cell>
          <cell r="D62">
            <v>3748.1000000000004</v>
          </cell>
          <cell r="E62" t="str">
            <v>1 No</v>
          </cell>
        </row>
        <row r="63">
          <cell r="B63" t="str">
            <v>Window-Teak wood- 0.90x1.35</v>
          </cell>
          <cell r="C63" t="str">
            <v>Supply and fixing of teak wood fully panelled Window of size 0.90 x 1.35, including fixing of MS grill to the frame and MS powder coated furniture and including cost and conveyance of all materials and labour charges etc. complete</v>
          </cell>
          <cell r="D63">
            <v>6102.3</v>
          </cell>
          <cell r="E63" t="str">
            <v>1 No</v>
          </cell>
        </row>
        <row r="64">
          <cell r="B64" t="str">
            <v>Window-Teak wood- 1.50x1.35</v>
          </cell>
          <cell r="C64" t="str">
            <v>Supply and fixing of teak wood fully panelled Window of size 1.50 x 1.35, including fixing of MS grill to the frame and MS powder coated furniture and including cost and conveyance of all materials and labour charges etc. complete</v>
          </cell>
          <cell r="D64">
            <v>9821.6</v>
          </cell>
          <cell r="E64" t="str">
            <v>1 No</v>
          </cell>
        </row>
        <row r="65">
          <cell r="B65" t="str">
            <v>Window-Country wood- 0.90x1.35</v>
          </cell>
          <cell r="C65" t="str">
            <v>Supply and fixing of Country wood fully panelled Window of size 0.90 x 1.35, including fixing of MS grill to the frame and MS powder coated furniture and including cost and conveyance of all materials and labour charges etc. complete</v>
          </cell>
          <cell r="D65">
            <v>2933.8</v>
          </cell>
          <cell r="E65" t="str">
            <v>1 No</v>
          </cell>
        </row>
        <row r="66">
          <cell r="B66" t="str">
            <v>Window-Country wood- 1.50x1.35</v>
          </cell>
          <cell r="C66" t="str">
            <v>Supply and fixing of Country wood fully panelled Window of size 1.50 x 1.35, including fixing of MS grill to the frame and MS powder coated furniture and including cost and conveyance of all materials and labour charges etc. complete</v>
          </cell>
          <cell r="D66">
            <v>4720</v>
          </cell>
          <cell r="E66" t="str">
            <v>1 No</v>
          </cell>
        </row>
        <row r="67">
          <cell r="B67" t="str">
            <v>Cement jali 25 mm thick</v>
          </cell>
          <cell r="C67" t="str">
            <v>Supply and fixing of Cement jali of 25 mm thick including cost,conveyance and fixing charges etc. complete.</v>
          </cell>
          <cell r="D67">
            <v>131.1</v>
          </cell>
          <cell r="E67" t="str">
            <v>1 Sqm</v>
          </cell>
        </row>
        <row r="68">
          <cell r="B68" t="str">
            <v>Cement jali 40 mm thick</v>
          </cell>
          <cell r="C68" t="str">
            <v>Supply and fixing of Cement jali of 40 mm thick including cost,conveyance and fixing charges etc. complete.</v>
          </cell>
          <cell r="D68">
            <v>169.60000000000002</v>
          </cell>
          <cell r="E68" t="str">
            <v>1 Sqm</v>
          </cell>
        </row>
        <row r="69">
          <cell r="B69" t="str">
            <v>Cement jali 50 mm thick</v>
          </cell>
          <cell r="C69" t="str">
            <v>Supply and fixing of Cement jali of 50 mm thick including cost,conveyance and fixing charges etc. complete.</v>
          </cell>
          <cell r="D69">
            <v>232</v>
          </cell>
          <cell r="E69" t="str">
            <v>1 Sqm</v>
          </cell>
        </row>
        <row r="70">
          <cell r="B70" t="str">
            <v>Dismantling Brick Masonary in CM</v>
          </cell>
          <cell r="C70" t="str">
            <v>Dismantling the Brick Masonry in cement mortor and clearing away</v>
          </cell>
          <cell r="D70">
            <v>138.6</v>
          </cell>
          <cell r="E70" t="str">
            <v>1 Cum</v>
          </cell>
        </row>
        <row r="71">
          <cell r="B71" t="str">
            <v>Dismantling the Old CM Plastering</v>
          </cell>
          <cell r="C71" t="str">
            <v>Dismantling the Old Cement Mortor Plastering  and clearing away</v>
          </cell>
          <cell r="D71">
            <v>2.87</v>
          </cell>
          <cell r="E71" t="str">
            <v>1 Sqm</v>
          </cell>
        </row>
        <row r="72">
          <cell r="B72" t="str">
            <v>Dismantling R.C.C.</v>
          </cell>
          <cell r="C72" t="str">
            <v>Dismantling the R.C.C and clearing away</v>
          </cell>
          <cell r="D72">
            <v>1196.9000000000001</v>
          </cell>
          <cell r="E72" t="str">
            <v>1 Cum</v>
          </cell>
        </row>
        <row r="73">
          <cell r="B73" t="str">
            <v>Dismantling Doors &amp; Windows</v>
          </cell>
          <cell r="C73" t="str">
            <v>Removing the Doors &amp; Windows including removal of frame, hinges and fastenings</v>
          </cell>
          <cell r="D73">
            <v>41.2</v>
          </cell>
          <cell r="E73" t="str">
            <v>1 Sqm</v>
          </cell>
        </row>
        <row r="74">
          <cell r="B74" t="str">
            <v>Dismantling Cuddapah slab flooring</v>
          </cell>
          <cell r="C74" t="str">
            <v>Dismantling the Cuddapah slab flooring  and clearing away and carefully satckingmaterials for reuse</v>
          </cell>
          <cell r="D74">
            <v>4.12</v>
          </cell>
          <cell r="E74" t="str">
            <v>1 Sqm</v>
          </cell>
        </row>
        <row r="75">
          <cell r="B75" t="str">
            <v>Dismantling  Wrought and framed timber in roofs</v>
          </cell>
          <cell r="C75" t="str">
            <v>Dismantling the Wrought and framed timber in roofs clearing away and carefully satcking materials for reuse</v>
          </cell>
          <cell r="D75">
            <v>122.30000000000001</v>
          </cell>
          <cell r="E75" t="str">
            <v>1 Cum</v>
          </cell>
        </row>
        <row r="76">
          <cell r="B76" t="str">
            <v>Sand filling-Irrespective of thickness</v>
          </cell>
          <cell r="C76" t="str">
            <v>Construction of sand base including cost, conveyance,seigniorage of local sand and stacking at site to departmental gauge for premeasurements, and spreading the same with hand roller consolidation irrespective of thickness in layers,etc.complete</v>
          </cell>
          <cell r="D76">
            <v>205.20000000000002</v>
          </cell>
          <cell r="E76" t="str">
            <v>1 Cum</v>
          </cell>
        </row>
        <row r="77">
          <cell r="B77" t="str">
            <v>GSB-Irrespective of thickness</v>
          </cell>
          <cell r="C77" t="str">
            <v>Construction of gravel sub base including cost and conveyance of good gravel and filling sand at 2:1 ratio, stacking at site to departmental gauge for pre measurements and spreading the same with hand roller consolidation irrespective of thickness in laye</v>
          </cell>
          <cell r="D77">
            <v>258.8</v>
          </cell>
          <cell r="E77" t="str">
            <v>1 Cum</v>
          </cell>
        </row>
        <row r="78">
          <cell r="B78" t="str">
            <v>GSB-irrespective of thickness (for shoulders)</v>
          </cell>
          <cell r="C78" t="str">
            <v>Construction of gravel sub base including cost and conveyance of good gravel , stacking at site to departmental gauge for pre measurements and spreading the same with hand roller consolidation irrespective of thickness in layers -and  watering ,ncluding a</v>
          </cell>
          <cell r="D78">
            <v>258.8</v>
          </cell>
          <cell r="E78" t="str">
            <v>1 Cum</v>
          </cell>
        </row>
        <row r="79">
          <cell r="B79" t="str">
            <v>GSB-225(loose)/150(compact)</v>
          </cell>
          <cell r="C79" t="str">
            <v>Construction of gravel sub base including cost and conveyance of good gravel and filling sand at 2:1 ratio, stacking at site to departmental gauge for pre measurements for loose thickness of 225 mm to proper camber, watering and consolidation with power r</v>
          </cell>
          <cell r="D79">
            <v>372.40000000000003</v>
          </cell>
          <cell r="E79" t="str">
            <v>1 Cum</v>
          </cell>
        </row>
        <row r="80">
          <cell r="B80" t="str">
            <v>GSB-150(loose)/100(compact)</v>
          </cell>
          <cell r="C80" t="str">
            <v>Construction of gravel sub base including cost and conveyance of good gravel and filling sand at 2:1 ratio, stacking at site to departmental gauge for pre measurements for loose thickness of 150 mm to proper camber, watering and consolidation with power r</v>
          </cell>
          <cell r="D80">
            <v>386.70000000000005</v>
          </cell>
          <cell r="E80" t="str">
            <v>1 Cum</v>
          </cell>
        </row>
        <row r="81">
          <cell r="B81" t="str">
            <v>GSB-112.5(loose)/75(compact)</v>
          </cell>
          <cell r="C81" t="str">
            <v>Construction of gravel sub base including cost and conveyance of good gravel and filling sand at 2:1 ratio, stacking at site to departmental gauge for pre measurements for loose thickness of 112.5 mm to proper camber, watering and consolidation with power</v>
          </cell>
          <cell r="D81">
            <v>377</v>
          </cell>
          <cell r="E81" t="str">
            <v>1 Cum</v>
          </cell>
        </row>
        <row r="82">
          <cell r="B82" t="str">
            <v>GSB-75(loose)/50(compact)</v>
          </cell>
          <cell r="C82" t="str">
            <v>Construction of gravel sub base including cost and conveyance of good gravel and filling sand at 2:1 ratio, stacking at site to departmental gauge for pre measurements for loose thickness of 75 mm to proper camber, watering and consolidation with power ro</v>
          </cell>
          <cell r="D82">
            <v>383.6</v>
          </cell>
          <cell r="E82" t="str">
            <v>1 Cum</v>
          </cell>
        </row>
        <row r="83">
          <cell r="B83" t="str">
            <v>WBM-Gr II-75 mm</v>
          </cell>
          <cell r="C83" t="str">
            <v>Construction of WBM road using Grade II metal(40-65 mm) including stacking the material at work site to departmental gauge for premeasurements and spreading the same to 100 mm loose thick to proper camber, rolling, watering, spreading the screenings of 5-</v>
          </cell>
          <cell r="D83">
            <v>1661.5</v>
          </cell>
          <cell r="E83" t="str">
            <v>1 Cum</v>
          </cell>
        </row>
        <row r="84">
          <cell r="B84" t="str">
            <v xml:space="preserve">Picking old metalled surface (50-100mm)&amp;gravel blindage </v>
          </cell>
          <cell r="C84" t="str">
            <v>Picking old metalled surface (50-100mm), sectioning and blindage with gravel and power roller consolidation.</v>
          </cell>
          <cell r="D84">
            <v>11.39</v>
          </cell>
          <cell r="E84" t="str">
            <v>1 Sqm</v>
          </cell>
        </row>
        <row r="85">
          <cell r="B85" t="str">
            <v>Gravel blindage on existing WBM</v>
          </cell>
          <cell r="C85" t="str">
            <v>Providing  gravel blindage over existing WBM surface including watering and rolling with hand roller.</v>
          </cell>
          <cell r="D85">
            <v>6.63</v>
          </cell>
          <cell r="E85" t="str">
            <v>1 Sqm</v>
          </cell>
        </row>
        <row r="86">
          <cell r="B86" t="str">
            <v>VCC(1:1.5:3)-CC Pavement</v>
          </cell>
          <cell r="C86" t="str">
            <v xml:space="preserve">VCC(!:1.5:3) mix using 2/3 qantity of 20 mm HBG MC chips,1/3 quantity of 12 mm HBG MC chips, using a minimum of 425 kgs of cement, and 125 micron plastic sheet,including cost, conveyance, seigniorage charges of all materials, labour charges etc. complete </v>
          </cell>
          <cell r="D86">
            <v>4105.7</v>
          </cell>
          <cell r="E86" t="str">
            <v>1 Cum</v>
          </cell>
        </row>
        <row r="87">
          <cell r="B87" t="str">
            <v>VCC(1:1.5:3)-CC Pavement(with fly ash)</v>
          </cell>
          <cell r="C87" t="str">
            <v xml:space="preserve">VCC(!:1.5:3) mix using 2/3 qantity of 20 mm HBG MC chips,1/3 quantity of 12 mm HBG MC chips, using a minimum quantity of 361 kgs of cement and 64 kgs of flyash per 1 cum,and 125 micron plastic sheet, including cost, conveyance, seigniorage charges of all </v>
          </cell>
          <cell r="D87">
            <v>3826.1000000000004</v>
          </cell>
          <cell r="E87" t="str">
            <v>1 Cum</v>
          </cell>
        </row>
        <row r="88">
          <cell r="B88" t="str">
            <v>Mastic pad-25.4 mm</v>
          </cell>
          <cell r="C88" t="str">
            <v>Cost,Supply and placing of mastic pad 25.4 mm thick, including all labour charges</v>
          </cell>
          <cell r="D88">
            <v>697.90000000000009</v>
          </cell>
          <cell r="E88" t="str">
            <v>1 Sqm</v>
          </cell>
        </row>
        <row r="89">
          <cell r="B89" t="str">
            <v>Mastic pad-12.7 mm</v>
          </cell>
          <cell r="C89" t="str">
            <v>Cost,Supply and placing of mastic pad 12.7 mm thick, including all labour charges</v>
          </cell>
          <cell r="D89">
            <v>399.40000000000003</v>
          </cell>
          <cell r="E89" t="str">
            <v>1 Sqm</v>
          </cell>
        </row>
        <row r="90">
          <cell r="B90" t="str">
            <v>Tar Sheet</v>
          </cell>
          <cell r="C90" t="str">
            <v>Cost,Supply and placing Asphaltic tar sheet, including all labour charges</v>
          </cell>
          <cell r="D90">
            <v>48.900000000000006</v>
          </cell>
          <cell r="E90" t="str">
            <v>1 Sqm</v>
          </cell>
        </row>
        <row r="91">
          <cell r="B91" t="str">
            <v>150 mm  RCC-NP2  Pipes-2 no/row</v>
          </cell>
          <cell r="C91" t="str">
            <v>150 mm dia RCC-NP2  Pipes-2 no. in a row including cost of pipes,collars, Laying and fixing of RCC hume pipes in position including lifting,aligning etc. complete fixing with collars</v>
          </cell>
          <cell r="D91">
            <v>155.70000000000002</v>
          </cell>
          <cell r="E91" t="str">
            <v>1 Rm</v>
          </cell>
        </row>
        <row r="92">
          <cell r="B92" t="str">
            <v>225 mm  RCC-NP2  Pipes-2 no/row</v>
          </cell>
          <cell r="C92" t="str">
            <v>225 mm dia RCC-NP2  Pipes-2 no. in a row including cost of pipes,collars, Laying and fixing of RCC hume pipes in position including lifting,aligning etc. complete fixing with collars</v>
          </cell>
          <cell r="D92">
            <v>198.20000000000002</v>
          </cell>
          <cell r="E92" t="str">
            <v>1 Rm</v>
          </cell>
        </row>
        <row r="93">
          <cell r="B93" t="str">
            <v>300 mm  RCC-NP2  Pipes-2 no/row</v>
          </cell>
          <cell r="C93" t="str">
            <v>300 mm dia RCC-NP2  Pipes-2 no. in a row including cost of pipes,collars, Laying and fixing of RCC hume pipes in position including lifting,aligning etc. complete fixing with collars</v>
          </cell>
          <cell r="D93">
            <v>300.3</v>
          </cell>
          <cell r="E93" t="str">
            <v>1 Rm</v>
          </cell>
        </row>
        <row r="94">
          <cell r="B94" t="str">
            <v>450 mm  RCC-NP2  Pipes-2 no/row</v>
          </cell>
          <cell r="C94" t="str">
            <v>450 mm dia RCC-NP2  Pipes-2 no. in a row including cost of pipes,collars, Laying and fixing of RCC hume pipes in position including lifting,aligning etc. complete fixing with collars</v>
          </cell>
          <cell r="D94">
            <v>525.4</v>
          </cell>
          <cell r="E94" t="str">
            <v>1 Rm</v>
          </cell>
        </row>
        <row r="95">
          <cell r="B95" t="str">
            <v>600 mm  RCC-NP2  Pipes-2 no/row</v>
          </cell>
          <cell r="C95" t="str">
            <v>600 mm dia RCC-NP2  Pipes-2 no. in a row including cost of pipes,collars, Laying and fixing of RCC hume pipes in position including lifting,aligning etc. complete fixing with collars</v>
          </cell>
          <cell r="D95">
            <v>849</v>
          </cell>
          <cell r="E95" t="str">
            <v>1 Rm</v>
          </cell>
        </row>
        <row r="96">
          <cell r="B96" t="str">
            <v>900 mm  RCC-NP2  Pipes-2 no/row</v>
          </cell>
          <cell r="C96" t="str">
            <v>900 mm dia RCC-NP2  Pipes-2 no. in a row including cost of pipes,collars, Laying and fixing of RCC hume pipes in position including lifting,aligning etc. complete fixing with collars</v>
          </cell>
          <cell r="D96">
            <v>1651.1000000000001</v>
          </cell>
          <cell r="E96" t="str">
            <v>1 Rm</v>
          </cell>
        </row>
        <row r="97">
          <cell r="B97" t="str">
            <v>150 mm  RCC-NP2  Pipes-3 no/row</v>
          </cell>
          <cell r="C97" t="str">
            <v>150 mm dia RCC-NP2  Pipes-3 no. in a row including cost of pipes,collars, Laying and fixing of RCC hume pipes in position including lifting,aligning etc. complete fixing with collars</v>
          </cell>
          <cell r="D97">
            <v>157.60000000000002</v>
          </cell>
          <cell r="E97" t="str">
            <v>1 Rm</v>
          </cell>
        </row>
        <row r="98">
          <cell r="B98" t="str">
            <v>225 mm  RCC-NP2  Pipes-3 no/row</v>
          </cell>
          <cell r="C98" t="str">
            <v>225 mm dia RCC-NP2  Pipes-3 no. in a row including cost of pipes,collars, Laying and fixing of RCC hume pipes in position including lifting,aligning etc. complete fixing with collars</v>
          </cell>
          <cell r="D98">
            <v>200.9</v>
          </cell>
          <cell r="E98" t="str">
            <v>1 Rm</v>
          </cell>
        </row>
        <row r="99">
          <cell r="B99" t="str">
            <v>300 mm  RCC-NP2  Pipes-3 no/row</v>
          </cell>
          <cell r="C99" t="str">
            <v>300 mm dia RCC-NP2  Pipes-3 no. in a row including cost of pipes,collars, Laying and fixing of RCC hume pipes in position including lifting,aligning etc. complete fixing with collars</v>
          </cell>
          <cell r="D99">
            <v>304.2</v>
          </cell>
          <cell r="E99" t="str">
            <v>1 Rm</v>
          </cell>
        </row>
        <row r="100">
          <cell r="B100" t="str">
            <v>450 mm  RCC-NP2  Pipes-3 no/row</v>
          </cell>
          <cell r="C100" t="str">
            <v>450 mm dia RCC-NP2  Pipes-3 no. in a row including cost of pipes,collars, Laying and fixing of RCC hume pipes in position including lifting,aligning etc. complete fixing with collars</v>
          </cell>
          <cell r="D100">
            <v>533.80000000000007</v>
          </cell>
          <cell r="E100" t="str">
            <v>1 Rm</v>
          </cell>
        </row>
        <row r="101">
          <cell r="B101" t="str">
            <v>600 mm  RCC-NP2  Pipes-3 no/row</v>
          </cell>
          <cell r="C101" t="str">
            <v>600 mm dia RCC-NP2  Pipes-3 no. in a row including cost of pipes,collars, Laying and fixing of RCC hume pipes in position including lifting,aligning etc. complete fixing with collars</v>
          </cell>
          <cell r="D101">
            <v>861.7</v>
          </cell>
          <cell r="E101" t="str">
            <v>1 Rm</v>
          </cell>
        </row>
        <row r="102">
          <cell r="B102" t="str">
            <v>900 mm  RCC-NP2  Pipes-3 no/row</v>
          </cell>
          <cell r="C102" t="str">
            <v>900 mm dia RCC-NP2  Pipes-3 no. in a row including cost of pipes,collars, Laying and fixing of RCC hume pipes in position including lifting,aligning etc. complete fixing with collars</v>
          </cell>
          <cell r="D102">
            <v>1679.2</v>
          </cell>
          <cell r="E102" t="str">
            <v>1 Rm</v>
          </cell>
        </row>
        <row r="103">
          <cell r="B103" t="str">
            <v>150 mm  RCC-NP2  Pipes-4 no/row</v>
          </cell>
          <cell r="C103" t="str">
            <v>150 mm dia RCC-NP2  Pipes-4 no. in a row including cost of pipes,collars, Laying and fixing of RCC hume pipes in position including lifting,aligning etc. complete fixing with collars</v>
          </cell>
          <cell r="D103">
            <v>158.60000000000002</v>
          </cell>
          <cell r="E103" t="str">
            <v>1 Rm</v>
          </cell>
        </row>
        <row r="104">
          <cell r="B104" t="str">
            <v>225 mm  RCC-NP2  Pipes-4 no/row</v>
          </cell>
          <cell r="C104" t="str">
            <v>225 mm dia RCC-NP2  Pipes-4 no. in a row including cost of pipes,collars, Laying and fixing of RCC hume pipes in position including lifting,aligning etc. complete fixing with collars</v>
          </cell>
          <cell r="D104">
            <v>202.3</v>
          </cell>
          <cell r="E104" t="str">
            <v>1 Rm</v>
          </cell>
        </row>
        <row r="105">
          <cell r="B105" t="str">
            <v>300 mm  RCC-NP2  Pipes-4 no/row</v>
          </cell>
          <cell r="C105" t="str">
            <v>300 mm dia RCC-NP2  Pipes-4 no. in a row including cost of pipes,collars, Laying and fixing of RCC hume pipes in position including lifting,aligning etc. complete fixing with collars</v>
          </cell>
          <cell r="D105">
            <v>306.2</v>
          </cell>
          <cell r="E105" t="str">
            <v>1 Rm</v>
          </cell>
        </row>
        <row r="106">
          <cell r="B106" t="str">
            <v>450 mm  RCC-NP2  Pipes-4 no/row</v>
          </cell>
          <cell r="C106" t="str">
            <v>450 mm dia RCC-NP2  Pipes-4 no. in a row including cost of pipes,collars, Laying and fixing of RCC hume pipes in position including lifting,aligning etc. complete fixing with collars</v>
          </cell>
          <cell r="D106">
            <v>537.9</v>
          </cell>
          <cell r="E106" t="str">
            <v>1 Rm</v>
          </cell>
        </row>
        <row r="107">
          <cell r="B107" t="str">
            <v>600 mm  RCC-NP2  Pipes-4 no/row</v>
          </cell>
          <cell r="C107" t="str">
            <v>600 mm dia RCC-NP2  Pipes-4 no. in a row including cost of pipes,collars, Laying and fixing of RCC hume pipes in position including lifting,aligning etc. complete fixing with collars</v>
          </cell>
          <cell r="D107">
            <v>868</v>
          </cell>
          <cell r="E107" t="str">
            <v>1 Rm</v>
          </cell>
        </row>
        <row r="108">
          <cell r="B108" t="str">
            <v>900 mm  RCC-NP2  Pipes-4 no/row</v>
          </cell>
          <cell r="C108" t="str">
            <v>900 mm dia RCC-NP2  Pipes-4 no. in a row including cost of pipes,collars, Laying and fixing of RCC hume pipes in position including lifting,aligning etc. complete fixing with collars</v>
          </cell>
          <cell r="D108">
            <v>1693.1000000000001</v>
          </cell>
          <cell r="E108" t="str">
            <v>1 Rm</v>
          </cell>
        </row>
      </sheetData>
      <sheetData sheetId="17"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Data"/>
      <sheetName val="Materials"/>
      <sheetName val="Lead statement"/>
      <sheetName val="Conveyance"/>
      <sheetName val="m"/>
      <sheetName val="GA"/>
      <sheetName val="Specification"/>
      <sheetName val="LEAD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MRATES"/>
      <sheetName val="stone"/>
      <sheetName val="Road data"/>
      <sheetName val="Nspt-smp-final-ORIGINAL"/>
      <sheetName val="Labour"/>
      <sheetName val="Lead"/>
      <sheetName val="Note"/>
      <sheetName val="data"/>
      <sheetName val="0000000000000"/>
      <sheetName val="LEADS"/>
      <sheetName val="Summary"/>
      <sheetName val="WITH STACKING CHARGES"/>
      <sheetName val="Specification"/>
      <sheetName val="Data_Renuals"/>
      <sheetName val="Data_Base"/>
      <sheetName val="pvc"/>
      <sheetName val="Road Detail Est."/>
      <sheetName val="ABS"/>
      <sheetName val="pvc-pipe-rates"/>
      <sheetName val="Labour rates"/>
      <sheetName val="m"/>
      <sheetName val="data existing_do not delete"/>
      <sheetName val="Legal Risk Analysis"/>
      <sheetName val="RMR"/>
      <sheetName val="ssr-rates"/>
      <sheetName val="DATA-BASE"/>
      <sheetName val="DATA-ABSTRACT"/>
      <sheetName val="Lead statement"/>
      <sheetName val="Civil Boq"/>
      <sheetName val="Cover-MEstt."/>
      <sheetName val="Table10"/>
      <sheetName val="Table11"/>
      <sheetName val="Table12"/>
      <sheetName val="Data.F8.BTR"/>
      <sheetName val="Material"/>
      <sheetName val="bldg"/>
      <sheetName val="G F  (2)"/>
      <sheetName val="Main sheet"/>
      <sheetName val="Plant &amp;  Machinery"/>
      <sheetName val="SSR 2014-15 Rates"/>
      <sheetName val="Proforma -II "/>
      <sheetName val="sand"/>
      <sheetName val="sectorwise"/>
      <sheetName val="organi synthesis lab"/>
      <sheetName val="t_prsr"/>
      <sheetName val="wh"/>
      <sheetName val="detls"/>
      <sheetName val="SPT vs PHI"/>
      <sheetName val="MTC-estimate"/>
      <sheetName val="Sent NHO"/>
      <sheetName val="quarry"/>
      <sheetName val="Basic Rates"/>
      <sheetName val="Sheet1"/>
      <sheetName val="HDPE"/>
      <sheetName val="maya"/>
      <sheetName val="DATA_PRG"/>
      <sheetName val="Cover Page"/>
      <sheetName val="DI"/>
      <sheetName val="WS Data"/>
      <sheetName val="Table9"/>
      <sheetName val="Calc1"/>
      <sheetName val="moments-table(tri)"/>
      <sheetName val="Outlet Details"/>
      <sheetName val="other rates"/>
      <sheetName val="Part-A"/>
      <sheetName val="Sheet2"/>
      <sheetName val="LEAD S 10-11"/>
      <sheetName val="Levels"/>
      <sheetName val="GF SB Ok "/>
      <sheetName val="Mahendra hills"/>
      <sheetName val="Sorted"/>
      <sheetName val="int-Dia"/>
      <sheetName val="int-Dia-hdpe"/>
      <sheetName val="PUMP_DATA"/>
      <sheetName val="coverpage"/>
      <sheetName val="DATA SHEET"/>
      <sheetName val="mlead"/>
      <sheetName val="W. SUPPLY"/>
      <sheetName val="Cover"/>
      <sheetName val="Estt"/>
      <sheetName val="clvrt_data"/>
      <sheetName val="abs road"/>
      <sheetName val="R_Det"/>
      <sheetName val="Common "/>
      <sheetName val="General"/>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COVER"/>
      <sheetName val="User-Instructions"/>
      <sheetName val="Schedule-A"/>
      <sheetName val="Part-B"/>
      <sheetName val="Memo"/>
      <sheetName val="NF"/>
      <sheetName val="INPUT-SHEET"/>
      <sheetName val="SPR"/>
      <sheetName val="Gen Abs"/>
      <sheetName val="TRAFF-Count-ESAL-Cal"/>
      <sheetName val="SP-72 DESIGN"/>
      <sheetName val="SP-72-CHART"/>
      <sheetName val="CD Abs"/>
      <sheetName val="Det esti"/>
      <sheetName val="Road-furniture"/>
      <sheetName val="Drains"/>
      <sheetName val="Retaining-wall"/>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Seig_Cal"/>
      <sheetName val="temp-ws"/>
      <sheetName val="other rates"/>
      <sheetName val="Hire"/>
      <sheetName val="Conv"/>
      <sheetName val="NP3 pipes"/>
      <sheetName val="NP3 collars"/>
      <sheetName val="MTC-Table"/>
      <sheetName val="Cd-qty-ws-tem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6">
          <cell r="C6">
            <v>11200</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efreshError="1">
        <row r="20">
          <cell r="H20">
            <v>4</v>
          </cell>
        </row>
      </sheetData>
      <sheetData sheetId="1"/>
      <sheetData sheetId="2" refreshError="1"/>
      <sheetData sheetId="3"/>
      <sheetData sheetId="4"/>
      <sheetData sheetId="5"/>
      <sheetData sheetId="6"/>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0">
          <cell r="H20">
            <v>4</v>
          </cell>
        </row>
      </sheetData>
      <sheetData sheetId="1"/>
      <sheetData sheetId="2" refreshError="1"/>
      <sheetData sheetId="3"/>
      <sheetData sheetId="4"/>
      <sheetData sheetId="5"/>
      <sheetData sheetId="6"/>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4">
          <cell r="F4">
            <v>65</v>
          </cell>
        </row>
      </sheetData>
      <sheetData sheetId="5"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r"/>
      <sheetName val="stone"/>
      <sheetName val="index"/>
      <sheetName val="m"/>
      <sheetName val="DATA"/>
      <sheetName val="v"/>
      <sheetName val="sectorwise"/>
      <sheetName val="other rates"/>
      <sheetName val="Road data"/>
      <sheetName val="0000000000000"/>
      <sheetName val="General"/>
      <sheetName val="wh_data_R"/>
      <sheetName val="MRATES"/>
      <sheetName val="Nspt-smp-final-ORIGINAL"/>
      <sheetName val="Specification"/>
      <sheetName val="Letter"/>
      <sheetName val="Usage"/>
      <sheetName val="Note"/>
      <sheetName val="MTC-estimate"/>
      <sheetName val="leads"/>
      <sheetName val="Det Est"/>
      <sheetName val="Sent NHO"/>
      <sheetName val="sand"/>
      <sheetName val="Civil Boq"/>
      <sheetName val="Material"/>
      <sheetName val="Plant &amp;  Machinery"/>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8">
          <cell r="D18">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sheetData>
      <sheetData sheetId="4"/>
      <sheetData sheetId="5"/>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sheetData>
      <sheetData sheetId="4"/>
      <sheetData sheetId="5"/>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XXXXXXX"/>
      <sheetName val="cover-page"/>
      <sheetName val="spe-report"/>
      <sheetName val="GEN-ABST"/>
      <sheetName val="cd-abst"/>
      <sheetName val="sch-B"/>
      <sheetName val="DE"/>
      <sheetName val="CR"/>
      <sheetName val="cc-150m"/>
      <sheetName val="traffic"/>
      <sheetName val="cc-50"/>
      <sheetName val="WC-40M"/>
      <sheetName val="WC-50m "/>
      <sheetName val="4-900mm"/>
      <sheetName val="3-900mm"/>
      <sheetName val="3-600mm"/>
      <sheetName val="2-600mm"/>
      <sheetName val="1-900mm"/>
      <sheetName val="50m-RD"/>
      <sheetName val="data-WC"/>
      <sheetName val="data-600-9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sheetName val="input=pave=design"/>
      <sheetName val="pavement  design"/>
      <sheetName val="LUKUP=TABLE=LEADS (2)"/>
      <sheetName val="Lead"/>
      <sheetName val="data=dummy"/>
      <sheetName val="Data"/>
      <sheetName val="est"/>
      <sheetName val="BT"/>
      <sheetName val="Ins.re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BR  certificate"/>
      <sheetName val="input=pave=design"/>
      <sheetName val="pavement  design"/>
      <sheetName val="LUKUP=TABLE=LEADS (2)"/>
      <sheetName val="Lead"/>
      <sheetName val="data=dummy"/>
      <sheetName val="Data"/>
      <sheetName val="est"/>
      <sheetName val="BT"/>
      <sheetName val="Ins.re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6x4"/>
      <sheetName val="data"/>
      <sheetName val="Lead"/>
      <sheetName val="00000"/>
      <sheetName val="AAAAAAAAAAAAA"/>
      <sheetName val="ew OG"/>
      <sheetName val="ew-DiMs"/>
      <sheetName val="ssr-rates"/>
      <sheetName val="PVC"/>
      <sheetName val="HDPE"/>
      <sheetName val="BWSCP"/>
      <sheetName val="GRP"/>
      <sheetName val="DI"/>
      <sheetName val="PSC"/>
      <sheetName val="AC"/>
      <sheetName val="CI"/>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Labour"/>
      <sheetName val="r"/>
      <sheetName val="data-WC"/>
      <sheetName val="Specification"/>
      <sheetName val="sand"/>
      <sheetName val="stone"/>
      <sheetName val="l"/>
      <sheetName val="v"/>
      <sheetName val="hdpe_basic"/>
      <sheetName val="pvc_basic"/>
      <sheetName val="Plant &amp;  Machinery"/>
      <sheetName val="Sheet2"/>
      <sheetName val="maya"/>
      <sheetName val="index"/>
      <sheetName val="Summary"/>
      <sheetName val="Road Detail Est."/>
      <sheetName val="m"/>
      <sheetName val="WATER-HAMMER"/>
      <sheetName val="Leads Entry"/>
      <sheetName val="Material"/>
      <sheetName val="rdamdata"/>
      <sheetName val="Suppl-data"/>
      <sheetName val="SSR 2014-15 Rates"/>
      <sheetName val="Main sheet"/>
      <sheetName val="Data_Base"/>
      <sheetName val="MRATES"/>
      <sheetName val="data-Bld-17-18"/>
      <sheetName val="Road data"/>
      <sheetName val="General"/>
      <sheetName val="RMR"/>
      <sheetName val="other rates"/>
      <sheetName val="Levels"/>
      <sheetName val="bundqty"/>
      <sheetName val="ESTIMATE"/>
      <sheetName val="data existing_do not delete"/>
      <sheetName val="Cover"/>
      <sheetName val="C-data"/>
      <sheetName val="final abstract"/>
      <sheetName val="Data.F8.BTR"/>
      <sheetName val="Data_Renuals"/>
      <sheetName val="detls"/>
      <sheetName val="Ward areas"/>
      <sheetName val="water-hammar-strenght"/>
      <sheetName val="joinery data"/>
      <sheetName val="1"/>
      <sheetName val="Boppudi data sheet "/>
      <sheetName val="m1"/>
      <sheetName val="DATA-ABSTRACT"/>
      <sheetName val="bar bending"/>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6x4"/>
      <sheetName val="data"/>
      <sheetName val="Lead"/>
      <sheetName val="00000"/>
      <sheetName val="AAAAAAAAAAAAA"/>
      <sheetName val="ew OG"/>
      <sheetName val="ew-DiMs"/>
      <sheetName val="ssr-rates"/>
      <sheetName val="PVC"/>
      <sheetName val="HDPE"/>
      <sheetName val="BWSCP"/>
      <sheetName val="GRP"/>
      <sheetName val="DI"/>
      <sheetName val="PSC"/>
      <sheetName val="AC"/>
      <sheetName val="CI"/>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rates"/>
      <sheetName val="unitratedata"/>
      <sheetName val="ssrdata"/>
      <sheetName val="ssr-rates"/>
      <sheetName val="data"/>
      <sheetName val="bricks"/>
      <sheetName val="stone"/>
      <sheetName val="sand"/>
      <sheetName val="earth"/>
      <sheetName val="Reserve"/>
      <sheetName val="index"/>
      <sheetName val="v"/>
      <sheetName val="0000000000000"/>
      <sheetName val="Data.F8.BTR"/>
      <sheetName val="Road data"/>
      <sheetName val="segments-details"/>
      <sheetName val="Model-ssrData2008"/>
      <sheetName val="Sheet1"/>
      <sheetName val="HDPE"/>
      <sheetName val="DI"/>
      <sheetName val="pvc"/>
      <sheetName val="DATA_PRG"/>
      <sheetName val="Ward areas"/>
      <sheetName val="sluice-PVC"/>
      <sheetName val="Airvalve-HDPE"/>
      <sheetName val="dbl-airvalve-PVC"/>
      <sheetName val="DFjoints"/>
      <sheetName val="VC rate"/>
      <sheetName val="Specification"/>
      <sheetName val="data existing_do not delete"/>
      <sheetName val="Road Detail Est."/>
      <sheetName val="sup dat"/>
      <sheetName val="pvc-pipe-rates"/>
      <sheetName val="id"/>
      <sheetName val="leads"/>
      <sheetName val="Mahesh"/>
      <sheetName val="Raghuveer"/>
      <sheetName val="Sheet2"/>
      <sheetName val="Sheet3"/>
      <sheetName val="RMR"/>
      <sheetName val="t_prsr"/>
      <sheetName val="wh"/>
      <sheetName val="Plant &amp;  Machinery"/>
      <sheetName val="PVC_dia"/>
      <sheetName val="sch"/>
      <sheetName val="hdpe weights"/>
      <sheetName val="PVC weights"/>
      <sheetName val="Lead"/>
      <sheetName val="Sheet1 (2)"/>
      <sheetName val="MRATES"/>
      <sheetName val="m"/>
      <sheetName val="Dormitory"/>
      <sheetName val="l"/>
      <sheetName val="Levels"/>
      <sheetName val="sluice-HDPE"/>
      <sheetName val="sluice-DI upto 1000"/>
      <sheetName val="scour-DI-CI"/>
      <sheetName val="r"/>
      <sheetName val="detls"/>
      <sheetName val="Rate"/>
      <sheetName val="WATER-HAMMER"/>
      <sheetName val="Labour"/>
      <sheetName val="Nspt-smp-final-ORIGINAL"/>
      <sheetName val="Data-ELSR"/>
      <sheetName val="airvalve(AC)"/>
      <sheetName val="Caze Estimate "/>
      <sheetName val="Airvalve-DI"/>
      <sheetName val="Lead statement"/>
      <sheetName val="Publicbuilding"/>
      <sheetName val="input"/>
      <sheetName val="Boq"/>
      <sheetName val="Material"/>
      <sheetName val="Basic Rates"/>
      <sheetName val="CD Data"/>
      <sheetName val="Datas"/>
      <sheetName val="design"/>
      <sheetName val="maya"/>
      <sheetName val="PUMP_DATA"/>
      <sheetName val="hdpe-rates"/>
      <sheetName val="pvc-rates"/>
      <sheetName val="Rates_PVC"/>
      <sheetName val="rdamdata"/>
      <sheetName val="Data_Base"/>
      <sheetName val=" data sheet "/>
      <sheetName val="DFjoints 2.11.17"/>
      <sheetName val="water-hammar-strenght"/>
      <sheetName val="SSR"/>
      <sheetName val="1-Pop Proj"/>
      <sheetName val="Cd"/>
      <sheetName val="Cs"/>
      <sheetName val="CPIPE"/>
      <sheetName val="THK"/>
      <sheetName val="CPIPE 1"/>
      <sheetName val="Main sheet"/>
      <sheetName val="Sorted"/>
      <sheetName val="int-Dia-pvc"/>
      <sheetName val="temp-SDData (2)"/>
      <sheetName val="HS (MVS Akumarru)"/>
      <sheetName val="Legal Risk Analysis"/>
      <sheetName val="data1"/>
      <sheetName val="Longitudinal"/>
      <sheetName val="hdpe_basic"/>
      <sheetName val="clvrt_data"/>
      <sheetName val="pop"/>
      <sheetName val="Rising Main"/>
      <sheetName val="I-CO"/>
      <sheetName val="Hydraulic Design (Pipe)"/>
      <sheetName val="Data-Road "/>
      <sheetName val="other rates"/>
      <sheetName val="Hire"/>
      <sheetName val="IW-SRD-Rect"/>
      <sheetName val="ABS"/>
      <sheetName val="ww-march-02"/>
      <sheetName val="Stem "/>
      <sheetName val="VCRate"/>
      <sheetName val="Air-HDPE"/>
      <sheetName val="VC Rate2"/>
      <sheetName val="Sluice-HDPE-16"/>
      <sheetName val="Sluice-DI-16"/>
      <sheetName val="Sheet5"/>
      <sheetName val="Estt"/>
      <sheetName val="LOCAL RATES"/>
      <sheetName val="Breakdown"/>
      <sheetName val="SUMMARY"/>
      <sheetName val="sluice-HDPE- FINAL"/>
      <sheetName val="kintc-airvalve-BWSC&amp;MS"/>
      <sheetName val="sluice-BWSCP-MS"/>
      <sheetName val="kintc-airvalve-DI"/>
      <sheetName val="sluice-DI"/>
      <sheetName val="Abstract"/>
      <sheetName val="dummy"/>
      <sheetName val="DsnConcept"/>
      <sheetName val="Pile cap"/>
      <sheetName val="HT-INTROD"/>
      <sheetName val="FORM7"/>
      <sheetName val="Stn&amp;bldg Abs"/>
      <sheetName val="cubes_M20"/>
      <sheetName val="E1"/>
      <sheetName val="int-Dia-hdpe"/>
      <sheetName val="PM&amp;GM"/>
      <sheetName val="DATA SHEET"/>
      <sheetName val="mlead"/>
      <sheetName val="abs road"/>
      <sheetName val="Abs_CD_2"/>
      <sheetName val="coverpage"/>
      <sheetName val="road est"/>
      <sheetName val="ECV"/>
      <sheetName val="Cover"/>
      <sheetName val="Detailed"/>
      <sheetName val="lead-st"/>
      <sheetName val="quarry"/>
      <sheetName val="m1"/>
      <sheetName val="ESTIMATE"/>
      <sheetName val="Civil Boq"/>
      <sheetName val="JAWAHAR-hyd-original"/>
      <sheetName val="DATA-BASE"/>
      <sheetName val="DATA-ABSTRACT"/>
      <sheetName val="CF4 (R)"/>
      <sheetName val="IS3370"/>
      <sheetName val="IS456"/>
      <sheetName val="Data 2"/>
      <sheetName val="Chamber"/>
      <sheetName val="Valves"/>
      <sheetName val="MS Rates"/>
      <sheetName val="Data- All"/>
      <sheetName val="PS1"/>
      <sheetName val="MS pipe,flange,Dummy"/>
      <sheetName val="Iocount"/>
      <sheetName val="20kL-design-final"/>
      <sheetName val="HDPE-pipe-rates"/>
      <sheetName val="Data_F8_BTR"/>
      <sheetName val="Road_data"/>
      <sheetName val="Road_Detail_Est_"/>
      <sheetName val="sup_dat"/>
      <sheetName val="Ward_areas"/>
      <sheetName val="VC_rate"/>
      <sheetName val="Plant_&amp;__Machinery"/>
      <sheetName val="hdpe_weights"/>
      <sheetName val="PVC_weights"/>
      <sheetName val="Sheet1_(2)"/>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1997-1998</v>
          </cell>
          <cell r="B1" t="str">
            <v>1998-1999</v>
          </cell>
          <cell r="C1" t="str">
            <v>1999-2000</v>
          </cell>
          <cell r="D1" t="str">
            <v>2000-2001</v>
          </cell>
          <cell r="E1" t="str">
            <v>2001-2002</v>
          </cell>
          <cell r="F1" t="str">
            <v>2002-2003</v>
          </cell>
          <cell r="G1" t="str">
            <v>2003-2004</v>
          </cell>
          <cell r="H1" t="str">
            <v>2004-2005</v>
          </cell>
          <cell r="I1" t="str">
            <v>2005-2006</v>
          </cell>
          <cell r="J1" t="str">
            <v>2006-2007</v>
          </cell>
          <cell r="K1" t="str">
            <v>2007-2008</v>
          </cell>
          <cell r="L1" t="str">
            <v>2008-2009</v>
          </cell>
          <cell r="M1" t="str">
            <v>2009-2010</v>
          </cell>
        </row>
        <row r="2">
          <cell r="A2">
            <v>2</v>
          </cell>
          <cell r="B2">
            <v>3</v>
          </cell>
          <cell r="C2">
            <v>4</v>
          </cell>
          <cell r="D2">
            <v>5</v>
          </cell>
          <cell r="E2">
            <v>6</v>
          </cell>
          <cell r="F2">
            <v>7</v>
          </cell>
          <cell r="G2">
            <v>8</v>
          </cell>
          <cell r="H2">
            <v>9</v>
          </cell>
          <cell r="I2">
            <v>10</v>
          </cell>
          <cell r="J2">
            <v>11</v>
          </cell>
          <cell r="K2">
            <v>12</v>
          </cell>
          <cell r="L2">
            <v>13</v>
          </cell>
          <cell r="M2">
            <v>14</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refreshError="1"/>
      <sheetData sheetId="1" refreshError="1"/>
      <sheetData sheetId="2" refreshError="1"/>
      <sheetData sheetId="3" refreshError="1"/>
      <sheetData sheetId="4" refreshError="1">
        <row r="69">
          <cell r="D69">
            <v>46.8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refreshError="1"/>
      <sheetData sheetId="1" refreshError="1"/>
      <sheetData sheetId="2" refreshError="1"/>
      <sheetData sheetId="3" refreshError="1"/>
      <sheetData sheetId="4" refreshError="1">
        <row r="69">
          <cell r="D69">
            <v>46.8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onnect status"/>
      <sheetName val="Census"/>
      <sheetName val="3 day"/>
      <sheetName val="Hydraulic(3.00) 1vent (2)"/>
      <sheetName val="COVER"/>
      <sheetName val="ave lead (calculation))"/>
      <sheetName val="3m-S1"/>
      <sheetName val="2m-S1"/>
      <sheetName val="Spec Report "/>
      <sheetName val="CBR Cert"/>
      <sheetName val="Inspect Report EE"/>
      <sheetName val="traffic"/>
      <sheetName val="design1"/>
      <sheetName val="design1 (2)"/>
      <sheetName val="Ls 250"/>
      <sheetName val="Ls 200"/>
      <sheetName val="Lead"/>
      <sheetName val="LS"/>
      <sheetName val="CS"/>
      <sheetName val="CS -color"/>
      <sheetName val="Pro-C"/>
      <sheetName val="CS-color les"/>
      <sheetName val="Quarry"/>
      <sheetName val="CD-PC-Data"/>
      <sheetName val="PC1000"/>
      <sheetName val="CC pave"/>
      <sheetName val="Ave lead"/>
      <sheetName val="Data"/>
      <sheetName val="Gen-abs"/>
      <sheetName val="Prof -C "/>
      <sheetName val="prof-B"/>
      <sheetName val="Hydraulic"/>
      <sheetName val="data(MORD)"/>
      <sheetName val="Esti"/>
      <sheetName val="Esti -part -b"/>
      <sheetName val="Data CD"/>
      <sheetName val="Hydraulic(2.00) 1ve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KEY MAP1"/>
      <sheetName val="Input Data"/>
      <sheetName val="Cover (2)"/>
      <sheetName val="NOTE File1"/>
      <sheetName val="GA"/>
      <sheetName val="Road Estimate"/>
      <sheetName val="Road &amp; MTC data "/>
      <sheetName val="Road-furniture "/>
      <sheetName val="RF-Data"/>
      <sheetName val="CD Abs"/>
      <sheetName val="1V 0.9m dia PC "/>
      <sheetName val="1V 1m dia PC"/>
      <sheetName val="2V 1m dia PC"/>
      <sheetName val="3V 1m dia PC"/>
      <sheetName val="Drain "/>
      <sheetName val="Road dam "/>
      <sheetName val="Ret wall"/>
      <sheetName val="seigneorage charges"/>
      <sheetName val="Schedule-A"/>
      <sheetName val="Schedule-A (Part-B)"/>
      <sheetName val="pkg 1 GA "/>
      <sheetName val="Pkg1 Schedule-Final"/>
      <sheetName val="Schedule-A (Part-B) (2)"/>
      <sheetName val="TRAFF-Count-ESAL-Cal"/>
      <sheetName val="SPR"/>
      <sheetName val="IR-P ee"/>
      <sheetName val="IR-P"/>
      <sheetName val="SSR-rates"/>
      <sheetName val="Lead"/>
      <sheetName val="Pipe culvert data"/>
      <sheetName val="Slab-Culverts Data"/>
      <sheetName val="Seigneorage"/>
      <sheetName val="KEY MAP"/>
      <sheetName val="ESAL-result"/>
      <sheetName val="ESAL-calculation "/>
      <sheetName val="ESAL-Data"/>
      <sheetName val="LS_2LS"/>
      <sheetName val="Cover"/>
      <sheetName val="google-map"/>
      <sheetName val="Mtc-Abs"/>
      <sheetName val="MTS Esti"/>
      <sheetName val="Slab Culvert 1V 6m x 2m spa"/>
      <sheetName val="Slab Culvert 2V 6m x 2m spa"/>
      <sheetName val="Slab Culvert 1V 5m x 2m span"/>
      <sheetName val="Road-Marks"/>
      <sheetName val="TENDER-NF"/>
      <sheetName val="NP4 pipes"/>
      <sheetName val="NP4 collars"/>
      <sheetName val="Sheet1"/>
      <sheetName val="not req"/>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Data"/>
      <sheetName val="PLANNING"/>
      <sheetName val="ACHIEVED"/>
      <sheetName val="plan-achieved"/>
      <sheetName val="INPUT SHEET"/>
      <sheetName val="RES-PLANNING"/>
      <sheetName val="SUMMARY"/>
      <sheetName val="Module1"/>
      <sheetName val="Macro1"/>
      <sheetName val="BLK2"/>
      <sheetName val="BLK3"/>
      <sheetName val="UG"/>
      <sheetName val="E &amp; R"/>
      <sheetName val="radar"/>
      <sheetName val="Module2"/>
      <sheetName val="0000000"/>
      <sheetName val="1000000"/>
      <sheetName val="CASHFLOWS"/>
      <sheetName val="Headings"/>
      <sheetName val="Site Dev BOQ"/>
      <sheetName val="boq"/>
      <sheetName val="Manpower Histogram "/>
      <sheetName val="basdat"/>
      <sheetName val="Ex Sum"/>
      <sheetName val="Detail"/>
      <sheetName val=" Graphs"/>
      <sheetName val="Data sheet"/>
      <sheetName val="HDPE"/>
      <sheetName val="DI"/>
      <sheetName val="pvc"/>
      <sheetName val="leads"/>
      <sheetName val="SPECIFICATION"/>
      <sheetName val="1m dia Pipe Culverts"/>
      <sheetName val="Road data"/>
      <sheetName val="Mtc-data"/>
      <sheetName val="Road Furniture-Data"/>
      <sheetName val="Pipe data"/>
      <sheetName val="COMP ABS  "/>
      <sheetName val="COMP EST"/>
      <sheetName val="COMP FUR"/>
      <sheetName val="1m dia Pipe Culverts-P"/>
      <sheetName val="Road dam 30m"/>
      <sheetName val="Sheet2"/>
    </sheetNames>
    <sheetDataSet>
      <sheetData sheetId="0"/>
      <sheetData sheetId="1"/>
      <sheetData sheetId="2"/>
      <sheetData sheetId="3"/>
      <sheetData sheetId="4"/>
      <sheetData sheetId="5">
        <row r="23">
          <cell r="D23">
            <v>0.13614999999999999</v>
          </cell>
          <cell r="H23" t="str">
            <v>Cement, JUN,2022</v>
          </cell>
          <cell r="I23">
            <v>5600</v>
          </cell>
        </row>
        <row r="24">
          <cell r="H24" t="str">
            <v>Steel HYSD Primary producers, JUN,2022</v>
          </cell>
          <cell r="I24">
            <v>67000</v>
          </cell>
        </row>
        <row r="25">
          <cell r="H25" t="str">
            <v>Mild Steel Bars, JUN,2022</v>
          </cell>
          <cell r="I25">
            <v>65000</v>
          </cell>
        </row>
        <row r="26">
          <cell r="H26" t="str">
            <v>6mm M.S. Rods, JUN,2022</v>
          </cell>
          <cell r="I26">
            <v>70000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KEY MAP1"/>
      <sheetName val="Input Data"/>
      <sheetName val="Cover (2)"/>
      <sheetName val="NOTE File1"/>
      <sheetName val="GA"/>
      <sheetName val="Road Estimate"/>
      <sheetName val="Road-furniture "/>
      <sheetName val="Schedule-A"/>
      <sheetName val="Schedule-A (Part-B)"/>
      <sheetName val="pkg 1 GA "/>
      <sheetName val="Pkg1 Schedule-Final"/>
      <sheetName val="Schedule-A (Part-B) (2)"/>
      <sheetName val="TRAFF-Count-ESAL-Cal"/>
      <sheetName val="SPR"/>
      <sheetName val="IR-P ee"/>
      <sheetName val="IR-P"/>
      <sheetName val="SSR-rates"/>
      <sheetName val="Lead"/>
      <sheetName val="Road data"/>
      <sheetName val="Mtc-data"/>
      <sheetName val="Road Furniture-Data"/>
      <sheetName val="CD Abs"/>
      <sheetName val="1m dia Pipe Culverts"/>
      <sheetName val="Pipe data"/>
      <sheetName val="Slab-Culverts Data"/>
      <sheetName val="Seigneorage"/>
      <sheetName val="KEY MAP"/>
      <sheetName val="ESAL-result"/>
      <sheetName val="ESAL-calculation "/>
      <sheetName val="ESAL-Data"/>
      <sheetName val="LS_2LS"/>
      <sheetName val="Cover"/>
      <sheetName val="google-map"/>
      <sheetName val="Mtc-Abs"/>
      <sheetName val="MTS Esti"/>
      <sheetName val="1m dia Pipe Culverts-P"/>
      <sheetName val="Drain "/>
      <sheetName val="Slab Culvert 1V 6m x 2m spa"/>
      <sheetName val="Slab Culvert 2V 6m x 2m spa"/>
      <sheetName val="Ret wall"/>
      <sheetName val="Slab Culvert 1V 5m x 2m span"/>
      <sheetName val="Road dam 30m"/>
      <sheetName val="Road-Marks"/>
      <sheetName val="TENDER-NF"/>
      <sheetName val="NP4 pipes"/>
      <sheetName val="NP4 collars"/>
      <sheetName val="Sheet2"/>
      <sheetName val="Road &amp; MTC data "/>
      <sheetName val="not req"/>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ZoneIII(Pra)"/>
      <sheetName val="ZoneIII(APHB)"/>
      <sheetName val="(NSP)Table111"/>
      <sheetName val="(NSP)Table11"/>
      <sheetName val="ZoneIII(Bang)"/>
      <sheetName val="zonal wise"/>
      <sheetName val="APPENDIX-I"/>
      <sheetName val="Corr-spt"/>
      <sheetName val="Obs-spt"/>
      <sheetName val="SPT vs PHI"/>
      <sheetName val="Indices"/>
      <sheetName val="Concrete"/>
      <sheetName val="reinft"/>
      <sheetName val="glass project concrete"/>
      <sheetName val="glass project reift"/>
      <sheetName val="glass project indices"/>
      <sheetName val="Lab"/>
      <sheetName val="office"/>
      <sheetName val="Material&amp;equipment"/>
      <sheetName val="Boq"/>
      <sheetName val="SBC-BH-1"/>
      <sheetName val="gen"/>
      <sheetName val="SBC-BH 19"/>
      <sheetName val="SBC-BH-16"/>
      <sheetName val="BH-20"/>
      <sheetName val="BH-15"/>
      <sheetName val="BH-14"/>
      <sheetName val="BH-16"/>
      <sheetName val="BH-17"/>
      <sheetName val="sbc-ABH-1"/>
      <sheetName val="ABH-1"/>
      <sheetName val="BH-19"/>
      <sheetName val="BH-1"/>
      <sheetName val="SBC-BH-3"/>
      <sheetName val="BH-3"/>
      <sheetName val="Sheet4"/>
      <sheetName val="Rate Analysis"/>
      <sheetName val="sept-plan"/>
      <sheetName val="Table10"/>
      <sheetName val="Table11"/>
      <sheetName val="Table12"/>
      <sheetName val="Table9"/>
      <sheetName val="Mix Design"/>
      <sheetName val="std-rates"/>
      <sheetName val="Spt-BH"/>
      <sheetName val="Summary 0506"/>
      <sheetName val="Summary 0607- 31.MAR"/>
      <sheetName val="Civil Boq"/>
      <sheetName val="FitOutConfCentre"/>
      <sheetName val="Other"/>
      <sheetName val="Summary"/>
      <sheetName val="#REF!"/>
      <sheetName val="Qty"/>
      <sheetName val="SPT_vs_PHI"/>
      <sheetName val="glass_project_concrete"/>
      <sheetName val="glass_project_reift"/>
      <sheetName val="glass_project_indices"/>
      <sheetName val="Pile cap"/>
      <sheetName val="Sheet1"/>
      <sheetName val="BH 12-11-10-13"/>
      <sheetName val="BH 12-11-10-9"/>
      <sheetName val="BH 36-15-37"/>
      <sheetName val="BH 16-35-25-17"/>
      <sheetName val="BH 35-25-17"/>
      <sheetName val="Sheet1 (2)"/>
      <sheetName val="PRECAST lightconc-II"/>
      <sheetName val="SPT_vs_PHI1"/>
      <sheetName val="glass_project_concrete1"/>
      <sheetName val="glass_project_reift1"/>
      <sheetName val="glass_project_indices1"/>
      <sheetName val="SBC-BH_19"/>
      <sheetName val="Rate_Analysis"/>
      <sheetName val="BH_12-11-10-13"/>
      <sheetName val="BH_12-11-10-9"/>
      <sheetName val="BH_36-15-37"/>
      <sheetName val="BH_16-35-25-17"/>
      <sheetName val="BH_35-25-17"/>
      <sheetName val="Sheet1_(2)"/>
      <sheetName val="d-safe DELUXE"/>
      <sheetName val="RCC,Ret. Wall"/>
      <sheetName val="Form 6"/>
      <sheetName val="PointNo.5"/>
      <sheetName val="Design"/>
      <sheetName val="Fill this out first..."/>
      <sheetName val="LABOUR"/>
      <sheetName val="REVISED4A PROG PERF-SITE 1"/>
      <sheetName val="Legal Risk Analysis"/>
      <sheetName val="BLK2"/>
      <sheetName val="BLK3"/>
      <sheetName val="E &amp; R"/>
      <sheetName val="radar"/>
      <sheetName val="UG"/>
      <sheetName val="Break up Sheet"/>
      <sheetName val="TBAL9697 -group wise  sdpl"/>
      <sheetName val="Abstract Sheet"/>
      <sheetName val="V.O.4 - PCC Qty"/>
      <sheetName val="BOQ (2)"/>
      <sheetName val="Input"/>
      <sheetName val="Activity"/>
      <sheetName val="Staff Acco."/>
      <sheetName val="Crew"/>
      <sheetName val="Piping"/>
      <sheetName val="Pipe Supports"/>
      <sheetName val="BOQ_Direct_selling cost"/>
      <sheetName val="WWR"/>
      <sheetName val="GBW"/>
      <sheetName val="8"/>
      <sheetName val="Load Details-220kV"/>
      <sheetName val="SANJAY PAL"/>
      <sheetName val="P A SELVAM"/>
      <sheetName val="ANSARI "/>
      <sheetName val="abdesh pal"/>
      <sheetName val="sujay bagchi"/>
      <sheetName val="S.K.SINHA BASU"/>
      <sheetName val="NEDUNCHEZHIYAN"/>
      <sheetName val="RAJARAM"/>
      <sheetName val="KRISHNA PRASAD"/>
      <sheetName val="BARATH &amp; CO"/>
      <sheetName val="L B YADAV"/>
      <sheetName val="DEEPAK KUMAR"/>
      <sheetName val="MUKLAL YADAV"/>
      <sheetName val="MADHU SUDHAN"/>
      <sheetName val="SAUD ALAM "/>
      <sheetName val="RAMESH BABU"/>
      <sheetName val="SUKHENDUPAL"/>
      <sheetName val="SAILEN SARKAR"/>
      <sheetName val="elongovan"/>
      <sheetName val="SANJAY JENA1"/>
      <sheetName val="upendra saw "/>
      <sheetName val="ALLOK KUMAR "/>
      <sheetName val="analysis"/>
      <sheetName val="except wiring"/>
      <sheetName val="CABLE DATA"/>
      <sheetName val="Stock-II"/>
      <sheetName val="R20_R30_work"/>
      <sheetName val="Flight-1"/>
      <sheetName val="Publicbuilding"/>
      <sheetName val="FT-05-02IsoBOM"/>
      <sheetName val="final abstract"/>
      <sheetName val="[RecoveredExternalLink3]B_____6"/>
      <sheetName val=""/>
      <sheetName val="Rev S1 Abstract"/>
      <sheetName val="Quantity Abstract"/>
      <sheetName val="Abstract"/>
      <sheetName val="M-Book for Conc"/>
      <sheetName val="M-Book for FW"/>
      <sheetName val="BS1"/>
      <sheetName val="#REF"/>
      <sheetName val="RA"/>
      <sheetName val="11-hsd"/>
      <sheetName val="13-septic"/>
      <sheetName val="7-ug"/>
      <sheetName val="2-utility"/>
      <sheetName val="18-misc"/>
      <sheetName val="5-pipe"/>
      <sheetName val="VCH-SLC"/>
      <sheetName val="Supplier"/>
      <sheetName val="Parapet"/>
      <sheetName val="sheet6"/>
      <sheetName val="RA-markate"/>
      <sheetName val="[RecoveredExternalLink3]B_____7"/>
      <sheetName val="B@__x005f_x0000__x005f_x0004_@_x005f_x0000__x0000"/>
      <sheetName val="Project Budget Worksheet"/>
      <sheetName val="beam-reinft-IIInd floor"/>
      <sheetName val="INPUT SHEET"/>
      <sheetName val="RES-PLANNING"/>
      <sheetName val="Footings"/>
      <sheetName val="Sump"/>
      <sheetName val="COLUMN"/>
      <sheetName val="Summary_0506"/>
      <sheetName val="Summary_0607-_31_MAR"/>
      <sheetName val="Form_6"/>
      <sheetName val="B@_"/>
      <sheetName val="cubes_M20"/>
      <sheetName val="BOQ -II ph 2"/>
      <sheetName val="A-General"/>
      <sheetName val="switch"/>
      <sheetName val="B@___x0004_@_____$__"/>
      <sheetName val="Sheet3"/>
      <sheetName val="Macro1"/>
      <sheetName val="Fee Rate Summary"/>
      <sheetName val="STAFFSCHED "/>
      <sheetName val="SUMM"/>
      <sheetName val="DADAN-1"/>
      <sheetName val="dummy"/>
      <sheetName val="d-safe specs"/>
      <sheetName val="class &amp; category"/>
      <sheetName val="Rein-Final (Ph 1+Ph2)"/>
      <sheetName val="Cost_any"/>
      <sheetName val="Process"/>
      <sheetName val="pt_cw"/>
      <sheetName val="Metso - Forth &amp; Slurry 11.02.10"/>
      <sheetName val="1"/>
      <sheetName val="HDPE"/>
      <sheetName val="DI"/>
      <sheetName val="pvc"/>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RecoveredExternalLink3]B_____2"/>
      <sheetName val="[RecoveredExternalLink3]B_____3"/>
      <sheetName val="[RecoveredExternalLink3]B_____4"/>
      <sheetName val="[RecoveredExternalLink3]B_____5"/>
      <sheetName val="[RecoveredExternalLink3]B____26"/>
      <sheetName val="[RecoveredExternalLink3]B____27"/>
      <sheetName val="r"/>
      <sheetName val="[RecoveredExternalLink3]B_____8"/>
      <sheetName val="[RecoveredExternalLink3]B_____9"/>
      <sheetName val="[RecoveredExternalLink3]B@[_x0000__x0004_@_x0000_"/>
      <sheetName val="[RecoveredExternalLink3]B@[?_x0004_@?"/>
      <sheetName val="leads"/>
      <sheetName val="detls"/>
      <sheetName val="PM"/>
      <sheetName val="com st PM"/>
      <sheetName val="GM"/>
      <sheetName val="comst GM"/>
      <sheetName val="eweljlt"/>
      <sheetName val="pvc_basic"/>
      <sheetName val="hdpe_basic"/>
      <sheetName val="CI"/>
      <sheetName val="G.R.P"/>
      <sheetName val="data"/>
      <sheetName val="Hystmnt (2)"/>
      <sheetName val="title"/>
      <sheetName val="spec"/>
      <sheetName val="need"/>
      <sheetName val="estimate"/>
      <sheetName val="estPM"/>
      <sheetName val="distrib"/>
      <sheetName val="VC99"/>
      <sheetName val="VC96"/>
      <sheetName val="SP"/>
      <sheetName val="Pumproom"/>
      <sheetName val="ltrt"/>
      <sheetName val="pipe_data"/>
      <sheetName val="SPData"/>
      <sheetName val="hs"/>
      <sheetName val="pps"/>
      <sheetName val="map"/>
      <sheetName val="m_est"/>
      <sheetName val="feature"/>
      <sheetName val="glance"/>
      <sheetName val="master"/>
      <sheetName val="exec"/>
      <sheetName val="LBD"/>
      <sheetName val="CR"/>
      <sheetName val="00000"/>
      <sheetName val="AAAAAAAAAAAAA"/>
      <sheetName val="Revised rates(SSR 2014-15)"/>
      <sheetName val="ew OG"/>
      <sheetName val="ew-DiMs"/>
      <sheetName val="AC"/>
      <sheetName val="GRP"/>
      <sheetName val="BWSCP"/>
      <sheetName val="MS data"/>
      <sheetName val="MS "/>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PVC weights"/>
      <sheetName val="PSC -pv"/>
      <sheetName val="GRP-pv"/>
      <sheetName val="index"/>
      <sheetName val="GAJWEL SEC EST"/>
      <sheetName val="MRoad data"/>
      <sheetName val="MRATES"/>
      <sheetName val="AV-HDPE"/>
      <sheetName val="Di_gate-HDPE"/>
      <sheetName val="GA (2)"/>
      <sheetName val="Sheet1 (3)"/>
      <sheetName val="Det.Cum Abst. (3)"/>
      <sheetName val="Det.Cum Abst. (2)"/>
      <sheetName val="Det.Cum Abst. (4)"/>
      <sheetName val="Det.Cum Abst."/>
      <sheetName val="Sheet2 (3)"/>
      <sheetName val="Sheet2 (2)"/>
      <sheetName val="DATA_ENTRY"/>
      <sheetName val="BTLeads"/>
      <sheetName val="RMR"/>
      <sheetName val="Ty.Cross Section"/>
      <sheetName val="UnitRates"/>
      <sheetName val="Report"/>
      <sheetName val="DetEst"/>
      <sheetName val="DetAbsAbs"/>
      <sheetName val="WorkSlip"/>
      <sheetName val="Certificates"/>
      <sheetName val="coverpage"/>
      <sheetName val="DATA_PRG"/>
      <sheetName val="SPECIFICATION"/>
      <sheetName val="COMMUNITY_HALL_ESTT22"/>
      <sheetName val="COMM_HALL_3LAKHS"/>
      <sheetName val="PLAN"/>
      <sheetName val="DATA_TEMP(MC)"/>
      <sheetName val="ms 10 mm"/>
      <sheetName val="ms 8 mm"/>
      <sheetName val="ms 6 mm"/>
      <sheetName val="CPHEEO"/>
      <sheetName val="CPHEEO_Change"/>
      <sheetName val="wh_data"/>
      <sheetName val="wh_data_R"/>
      <sheetName val="Eco_dia_bhopal"/>
      <sheetName val="IWWA"/>
      <sheetName val="economical_auto"/>
      <sheetName val="economical_OFF_manual"/>
      <sheetName val="Sheet9"/>
      <sheetName val="unitratedata"/>
      <sheetName val="ssrdata"/>
      <sheetName val="bricks"/>
      <sheetName val="stone"/>
      <sheetName val="sand"/>
      <sheetName val="earth"/>
      <sheetName val="Reserve"/>
      <sheetName val="Model-ssrData2008"/>
      <sheetName val="Ward areas"/>
      <sheetName val="sluice-PVC"/>
      <sheetName val="Airvalve-HDPE"/>
      <sheetName val="dbl-airvalve-PVC"/>
      <sheetName val="DFjoints"/>
      <sheetName val="VC rate"/>
      <sheetName val="Mahesh"/>
      <sheetName val="Raghuveer"/>
      <sheetName val="t_prsr"/>
      <sheetName val="wh"/>
      <sheetName val="PH"/>
      <sheetName val="Caze Estimate "/>
      <sheetName val="airvalve(AC)"/>
      <sheetName val="Airvalve-DI"/>
      <sheetName val="Airvalve-BWSC&amp;MS"/>
      <sheetName val="sluice-HDPE"/>
      <sheetName val="sluice-DI upto 1000"/>
      <sheetName val="sluice-AC"/>
      <sheetName val="MS-BWSC-GRP-PSC"/>
      <sheetName val="airvalve-AC"/>
      <sheetName val="sluice-PSC"/>
      <sheetName val="sluice-BWSCP-MS above 1000 pipe"/>
      <sheetName val="sluice-GRP"/>
      <sheetName val="scour-DI-CI"/>
      <sheetName val="scour-pvc-hdpe-psc-bwsc"/>
      <sheetName val="NRV(Swing check valve)-DI"/>
      <sheetName val="Data rough"/>
      <sheetName val="Sheet1 rough"/>
      <sheetName val="To Pavan"/>
      <sheetName val="RCC Ladder"/>
      <sheetName val="40-21shakhaji"/>
      <sheetName val="WE-1"/>
      <sheetName val="COMPARE"/>
      <sheetName val="40-21shakhaji DI"/>
      <sheetName val="Supp Data (2)"/>
      <sheetName val="OHBR Datas"/>
      <sheetName val="OHBRs 2nd list"/>
      <sheetName val="150KL-20M Nasarlapally"/>
      <sheetName val="150-20NASARLAPALLY DI"/>
      <sheetName val="60KL-20M KOMATI KUNTA"/>
      <sheetName val="60-20 komati DI"/>
      <sheetName val="40KL-20M Hunreddygudem"/>
      <sheetName val="40KL-20M HUNREDDY COMPARE"/>
      <sheetName val="40-20hunreddy DI"/>
      <sheetName val="40KL-20M MAREPALLY"/>
      <sheetName val="Marepally canal compare"/>
      <sheetName val="40-20marepally DI"/>
      <sheetName val="40KL-20M Nadulamitta"/>
      <sheetName val="40KL-20 M nandulamitta comp"/>
      <sheetName val="40-20nandula DI"/>
      <sheetName val="40KL-21M Parvathipuram"/>
      <sheetName val="40KL-20M PARVATHIPURAM comp"/>
      <sheetName val="40-21parvathi DI"/>
      <sheetName val="40KL-21M Ghantarao camp"/>
      <sheetName val="40KL-21M GANTA RAO compare"/>
      <sheetName val="40-21ganta DI"/>
      <sheetName val="40KL-21M Shakajipuram"/>
      <sheetName val="40KL-21M SHAKHAJI compare"/>
      <sheetName val="40KL-21M RANGONIBAI"/>
      <sheetName val="40-21rangoni DI"/>
      <sheetName val="40KL-21M RANGONI"/>
      <sheetName val="Rangoni DI"/>
      <sheetName val="90KL-18M Kol thanda"/>
      <sheetName val="90KL-18M KOLTHANDA COMPARE"/>
      <sheetName val="90-18kolthanda DI"/>
      <sheetName val="P A Pally"/>
      <sheetName val="40-18PApally DI"/>
      <sheetName val="Tangella thanda"/>
      <sheetName val="Thangella thanda DI"/>
      <sheetName val="Sheet8"/>
      <sheetName val="OHSR Lit 250-15"/>
      <sheetName val="OHSR Lit 90-12"/>
      <sheetName val="RSF_90"/>
      <sheetName val="RSF_95"/>
      <sheetName val="Sump 800"/>
      <sheetName val="Sump-9000"/>
      <sheetName val="sump _1900"/>
      <sheetName val="Sump-15000"/>
      <sheetName val="GLBR 1700"/>
      <sheetName val="PH 8X32"/>
      <sheetName val="GLBR 100"/>
      <sheetName val="SSR"/>
      <sheetName val="CI specials"/>
      <sheetName val="RAM"/>
      <sheetName val="Chap-4"/>
      <sheetName val="PL DI"/>
      <sheetName val="C.Wall"/>
      <sheetName val="IW-SRD-Cir"/>
      <sheetName val="Data- Final  (2)"/>
      <sheetName val="SSR "/>
      <sheetName val="IW-SRD-Rect"/>
      <sheetName val="Quarry chart"/>
      <sheetName val="PH 4X6"/>
      <sheetName val="OHSR Lit 150-15"/>
      <sheetName val="OHSR Lit 120-15"/>
      <sheetName val="OHSR Lit 40-15"/>
      <sheetName val="OHSR Lit 40-12"/>
      <sheetName val="RSF_48"/>
      <sheetName val="VC 2000"/>
      <sheetName val="VC 1500"/>
      <sheetName val="Hyd designs"/>
      <sheetName val="Valve chambers"/>
      <sheetName val="Intakewell-canal"/>
      <sheetName val="Intakewell-SSt"/>
      <sheetName val="SS Tank"/>
      <sheetName val="RSF"/>
      <sheetName val="Pump House"/>
      <sheetName val="WQ"/>
      <sheetName val="GLBR flat"/>
      <sheetName val="GLBR Dome"/>
      <sheetName val="Sump Flat"/>
      <sheetName val="Sump Dome"/>
      <sheetName val="Single column"/>
      <sheetName val="Sump rec"/>
      <sheetName val="C well"/>
      <sheetName val="Shaft type"/>
      <sheetName val="OHBR-Col"/>
      <sheetName val="OHSR Lit"/>
      <sheetName val="VC 80"/>
      <sheetName val="VC 200"/>
      <sheetName val="VC 450"/>
      <sheetName val="VC 600"/>
      <sheetName val="VC 700"/>
      <sheetName val="VC 1000"/>
      <sheetName val="Sheet7"/>
      <sheetName val="Staircase"/>
      <sheetName val="Marriguda-OHBR-21m"/>
      <sheetName val="Cherlagudem-OHBR-21m"/>
      <sheetName val="OHBR Godakondla peak120-6"/>
      <sheetName val="Donipamula-OHBR-18m "/>
      <sheetName val="BPT Lakkineni-40kl-15m  (2)"/>
      <sheetName val="BPT Teratpally-40kl-9m"/>
      <sheetName val="OHBR Narayanapuram-60kl-12m "/>
      <sheetName val="OHBR Narayana down-40kl-12m "/>
      <sheetName val="BPT at survail 40kl-12m "/>
      <sheetName val="BPT Botimeedi-40kl-15m "/>
      <sheetName val=" Nelapatla 40kl-27mts"/>
      <sheetName val=" Varkatpally 40kl-30m shaft"/>
      <sheetName val="Chinakondur-OHBR-21m "/>
      <sheetName val="Tangapally-60 klOHBR-21m  "/>
      <sheetName val="Koyalagudem-OHBR40-21m   "/>
      <sheetName val="Allapu-OHBR40-21m  "/>
      <sheetName val="Mallapur-40kl-15m "/>
      <sheetName val="Dothigudem-OHBR40-21m "/>
      <sheetName val="Ramdas Thanda-OHBR40kl-22m "/>
      <sheetName val="1600KL-GLBR -bhon"/>
      <sheetName val="400kl-ELBR-Gollakonda"/>
      <sheetName val="150kl-ELBR-Gollakonda"/>
      <sheetName val="500-ELBR-Gollakonda "/>
      <sheetName val="100kl-ELBR-Sarampet"/>
      <sheetName val="60kl-ELBR-Anthampet"/>
      <sheetName val="40kl-ELBR-Anthampet"/>
      <sheetName val="120kl-ELBR-Lachammagudem"/>
      <sheetName val="150kl-ELBR-Jangam hill"/>
      <sheetName val="60kl-ELBR-Pallegattu gutta"/>
      <sheetName val="150kl-ELBR-Yellagiri hillock"/>
      <sheetName val="60kl-ELBR-Waddepally gutta"/>
      <sheetName val="CW Batlapally"/>
      <sheetName val="CW Yeragandlapally"/>
      <sheetName val="CW watchya T"/>
      <sheetName val="CW Marribai T "/>
      <sheetName val="CW  Koyalagudem"/>
      <sheetName val="WQ-Yeragandla"/>
      <sheetName val="WQ-Koyalagudem"/>
      <sheetName val="off_batllapally HW"/>
      <sheetName val="1st list Tripuraram-9 OHBRs"/>
      <sheetName val="60_30m"/>
      <sheetName val="60-25m"/>
      <sheetName val="40-20hunreddy"/>
      <sheetName val="40-20nandula"/>
      <sheetName val="40-20parvathi"/>
      <sheetName val="40-20ganta"/>
      <sheetName val="40-21komati"/>
      <sheetName val="40-21rangoni"/>
      <sheetName val="40-21tunga"/>
      <sheetName val="40-25mchinthapally"/>
      <sheetName val="40-25 nainivani"/>
      <sheetName val="40-18PApally"/>
      <sheetName val="40_30mkhanapur"/>
      <sheetName val="40-30iddampa"/>
      <sheetName val="40-30dugge"/>
      <sheetName val="40-30janigani"/>
      <sheetName val="40-30sagarrd"/>
      <sheetName val="40-30kannekal"/>
      <sheetName val="40-30annaram"/>
      <sheetName val="40-30padam"/>
      <sheetName val="90-18kolthanda"/>
      <sheetName val="90-30mthripu"/>
      <sheetName val="200-30waddipatla"/>
      <sheetName val="stair18"/>
      <sheetName val="stair20"/>
      <sheetName val="stair21"/>
      <sheetName val="Staircase-25"/>
      <sheetName val="Staircase-30"/>
      <sheetName val="Staircase-DG"/>
      <sheetName val="300-30m"/>
      <sheetName val="40-21shesha"/>
      <sheetName val="OHBRS-DAta"/>
      <sheetName val="100KL GLBR"/>
      <sheetName val="OHBR-90-20"/>
      <sheetName val="OHBR-25"/>
      <sheetName val="90-30"/>
      <sheetName val="90-25 lt"/>
      <sheetName val="OHSR Lit (2)"/>
      <sheetName val="90KL-18M Kol thanda WE-1"/>
      <sheetName val="OE"/>
      <sheetName val="mpp"/>
      <sheetName val="data_new"/>
      <sheetName val="v"/>
      <sheetName val="l"/>
      <sheetName val="Data.F8.BTR"/>
      <sheetName val="Material"/>
      <sheetName val="Plant &amp;  Machinery"/>
      <sheetName val="LowestRate"/>
      <sheetName val="ElectricalSSR"/>
      <sheetName val="NonSSR"/>
      <sheetName val="137-140"/>
      <sheetName val="141-142"/>
      <sheetName val="Sheet5"/>
      <sheetName val="Lead (Final)"/>
      <sheetName val="F6pave"/>
      <sheetName val="F7hp900"/>
      <sheetName val="F7slb3m"/>
      <sheetName val="F7slb4m"/>
      <sheetName val="F8rate"/>
      <sheetName val="Data for UGD"/>
      <sheetName val="sewer data modi"/>
      <sheetName val="sewer data"/>
      <sheetName val="Data for UGD (2)"/>
      <sheetName val="Data_for_UGD"/>
      <sheetName val="sewer_data_modi"/>
      <sheetName val="sewer_data"/>
      <sheetName val="Data_for_UGD_(2)"/>
      <sheetName val="PART-I (2)"/>
      <sheetName val="ANALY-BOQ"/>
      <sheetName val="ANALYS-LS"/>
      <sheetName val="PART-I"/>
      <sheetName val="I-11"/>
      <sheetName val="I-15"/>
      <sheetName val="sumps"/>
      <sheetName val="GATES(21,22)"/>
      <sheetName val="Bed Class"/>
      <sheetName val="Cd"/>
      <sheetName val="Rates"/>
      <sheetName val="PH data"/>
      <sheetName val="Details (3)"/>
      <sheetName val="Rates-May-14"/>
      <sheetName val="Basement Budget"/>
      <sheetName val="RECAPITULATION"/>
      <sheetName val="B &amp; C - M - ccp"/>
      <sheetName val="Old"/>
      <sheetName val="Materials Cost"/>
      <sheetName val="10. &amp; 11. Rate Code &amp; BQ"/>
      <sheetName val="Main-Material"/>
      <sheetName val="RES STEEL TO"/>
      <sheetName val="SUmmary-RMZ"/>
      <sheetName val="RMZ Summary"/>
      <sheetName val="Site Dev BOQ"/>
      <sheetName val="Costing"/>
      <sheetName val="Staff Forecast spread"/>
      <sheetName val="Fin Sum"/>
      <sheetName val="Field Values"/>
      <sheetName val="Estimate "/>
      <sheetName val="Load Details(B1)"/>
      <sheetName val="Structure Bills Qty"/>
      <sheetName val="Micro"/>
      <sheetName val="Macro"/>
      <sheetName val="Scaff-Rose"/>
      <sheetName val="Builtup Area"/>
      <sheetName val="Headings"/>
      <sheetName val="MASTER_RATE ANALYSIS"/>
      <sheetName val="A"/>
      <sheetName val="Cop -VGN"/>
      <sheetName val="CASHFLOWS"/>
      <sheetName val="dyes"/>
      <sheetName val="UTILITY"/>
      <sheetName val="경비공통"/>
      <sheetName val="S1BOQ"/>
      <sheetName val="2gii"/>
      <sheetName val="Manpower"/>
      <sheetName val="HPL"/>
      <sheetName val="월선수금"/>
      <sheetName val="Materials "/>
      <sheetName val="strand"/>
      <sheetName val="Stress Calculation"/>
      <sheetName val="VIWSCo1"/>
      <sheetName val="IO List"/>
      <sheetName val="MN T.B."/>
      <sheetName val="database"/>
      <sheetName val="Coalmine"/>
      <sheetName val="A1-Continuous"/>
      <sheetName val="starter"/>
      <sheetName val="Preside"/>
      <sheetName val="Summary_Local"/>
      <sheetName val="factor sheet"/>
      <sheetName val="Factor_Sheet"/>
      <sheetName val="Exp."/>
      <sheetName val="Factors"/>
      <sheetName val="INDIGINEOUS ITEMS "/>
      <sheetName val="Config"/>
      <sheetName val="Break Dw"/>
      <sheetName val="MES-SEC"/>
      <sheetName val="Analy_7-10"/>
      <sheetName val="INDORAMA Group June 02"/>
      <sheetName val="Desgn(zone I)"/>
      <sheetName val="PA- Consutant "/>
      <sheetName val="Debits as on 12.04.08"/>
      <sheetName val="THK"/>
      <sheetName val="PART-I_(2)"/>
      <sheetName val="final_abstract"/>
      <sheetName val="INPUT-DATA1"/>
      <sheetName val="Basement_Budget"/>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col-reinft1"/>
      <sheetName val="FORM7"/>
      <sheetName val="Build-up"/>
      <sheetName val="RA 4 Challan Summary "/>
      <sheetName val="p&amp;m"/>
      <sheetName val="Labour productivity"/>
      <sheetName val="labour coeff"/>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ORDER BOOKING"/>
      <sheetName val="Usage"/>
      <sheetName val="Common "/>
      <sheetName val="General"/>
      <sheetName val="[RecoveredExternalLink3]B____10"/>
      <sheetName val="[RecoveredExternalLink3]B____11"/>
      <sheetName val="[RecoveredExternalLink3]B____22"/>
      <sheetName val="[RecoveredExternalLink3]B____23"/>
      <sheetName val="[RecoveredExternalLink3]B____12"/>
      <sheetName val="[RecoveredExternalLink3]B____13"/>
      <sheetName val="[RecoveredExternalLink3]B____16"/>
      <sheetName val="[RecoveredExternalLink3]B____17"/>
      <sheetName val="[RecoveredExternalLink3]B____14"/>
      <sheetName val="[RecoveredExternalLink3]B____15"/>
      <sheetName val="[RecoveredExternalLink3]B____20"/>
      <sheetName val="[RecoveredExternalLink3]B____21"/>
      <sheetName val="[RecoveredExternalLink3]B____18"/>
      <sheetName val="[RecoveredExternalLink3]B____19"/>
      <sheetName val="[RecoveredExternalLink3]B____24"/>
      <sheetName val="[RecoveredExternalLink3]B____25"/>
      <sheetName val="B@[_x0000__x0004_@_x0000__x0000__x0000_:/$_x0000__x0000_"/>
      <sheetName val="B@[?_x0004_@???:/$??"/>
      <sheetName val="B@[_x0004_@:/$"/>
      <sheetName val="B@["/>
      <sheetName val="RF-Data"/>
      <sheetName val="1V 0.9m dia PC "/>
      <sheetName val="1V 1m dia PC"/>
      <sheetName val="2V 1m dia PC"/>
      <sheetName val="3V 1m dia PC"/>
      <sheetName val="Road dam "/>
      <sheetName val="seigneorage charges"/>
      <sheetName val="Pipe culvert data"/>
      <sheetName val="[RecoveredExternalLink3]B____28"/>
      <sheetName val="[RecoveredExternalLink3]B____29"/>
    </sheetNames>
    <sheetDataSet>
      <sheetData sheetId="0" refreshError="1"/>
      <sheetData sheetId="1" refreshError="1"/>
      <sheetData sheetId="2" refreshError="1"/>
      <sheetData sheetId="3" refreshError="1"/>
      <sheetData sheetId="4" refreshError="1"/>
      <sheetData sheetId="5" refreshError="1">
        <row r="24">
          <cell r="D24">
            <v>0.13614999999999999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ow r="6">
          <cell r="J6">
            <v>128.19999999999999</v>
          </cell>
        </row>
      </sheetData>
      <sheetData sheetId="54">
        <row r="13">
          <cell r="Q13">
            <v>80</v>
          </cell>
        </row>
      </sheetData>
      <sheetData sheetId="55"/>
      <sheetData sheetId="56"/>
      <sheetData sheetId="57">
        <row r="14">
          <cell r="G14">
            <v>35.35</v>
          </cell>
        </row>
      </sheetData>
      <sheetData sheetId="58">
        <row r="31">
          <cell r="D31">
            <v>91.08</v>
          </cell>
        </row>
      </sheetData>
      <sheetData sheetId="59">
        <row r="1">
          <cell r="B1" t="str">
            <v>CPWS SCHEME TO                                                            DISTRICT</v>
          </cell>
        </row>
      </sheetData>
      <sheetData sheetId="60">
        <row r="16">
          <cell r="C16">
            <v>73.2</v>
          </cell>
        </row>
      </sheetData>
      <sheetData sheetId="61">
        <row r="1">
          <cell r="A1" t="str">
            <v>1997-1998</v>
          </cell>
        </row>
      </sheetData>
      <sheetData sheetId="62">
        <row r="1">
          <cell r="A1" t="str">
            <v>1997-1998</v>
          </cell>
        </row>
      </sheetData>
      <sheetData sheetId="63">
        <row r="1">
          <cell r="A1" t="str">
            <v>1997-1998</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Input Data"/>
      <sheetName val="NOTE File1"/>
      <sheetName val="Schedule-A"/>
      <sheetName val="Cover (2)"/>
      <sheetName val="TRAFF-Count-ESAL-Cal"/>
      <sheetName val="ESAL-result"/>
      <sheetName val="ESAL-calculation "/>
      <sheetName val="ESAL-Data"/>
      <sheetName val="SPR"/>
      <sheetName val="Cover"/>
      <sheetName val="google-map"/>
      <sheetName val="Inspection Report"/>
      <sheetName val="SPECIFIATION"/>
      <sheetName val="GA"/>
      <sheetName val="COM ABS "/>
      <sheetName val="Road Estimate"/>
      <sheetName val="CD Abs"/>
      <sheetName val="PIPE Culvert"/>
      <sheetName val="Ret wall"/>
      <sheetName val="EXTENSION OF PIPE Culvert"/>
      <sheetName val="2V 1m dia Pipe Culverts"/>
      <sheetName val="Road-furniture "/>
      <sheetName val="RSI-Estt"/>
      <sheetName val="Seigneorage"/>
      <sheetName val="Mtc-Abs"/>
      <sheetName val="MTS Esti"/>
      <sheetName val="Lead"/>
      <sheetName val="Road data"/>
      <sheetName val="Maitainenance data (2)"/>
      <sheetName val="Road Furniture-Data"/>
      <sheetName val="Rumble strip data"/>
      <sheetName val="1V 1m dia Pipe Culverts"/>
      <sheetName val="Sheet1"/>
      <sheetName val="10v_1000_RDVENTS"/>
      <sheetName val="Slab Culvert 1V 6m x 2m spa"/>
      <sheetName val="Schedule-A (Part-B)"/>
      <sheetName val="MTC DAtas"/>
      <sheetName val="Mtc-data"/>
      <sheetName val="Slab Culvert 2V 6m x 2m spa"/>
      <sheetName val="Slab Culvert 1V 5m x 2m span"/>
      <sheetName val="Drain "/>
      <sheetName val="Road dam 30m"/>
      <sheetName val="Pipe data"/>
      <sheetName val="Slab-Culverts Data"/>
      <sheetName val="Road-Marks"/>
      <sheetName val="TENDER-NF"/>
      <sheetName val="SSR-rates"/>
      <sheetName val="NP4 pipes"/>
      <sheetName val="Key Map"/>
      <sheetName val="LS_2LS"/>
      <sheetName val="NP4 collars"/>
      <sheetName val="TEMP-C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2">
          <cell r="F2" t="str">
            <v>Road from R&amp;B Road(3 Statues) to Jagtial R&amp;B Road via Turkashi Colony at Raikal Village &amp; Mandal in Jagtial District</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199">
          <cell r="G199">
            <v>2068.38</v>
          </cell>
        </row>
      </sheetData>
      <sheetData sheetId="47"/>
      <sheetData sheetId="48"/>
      <sheetData sheetId="49"/>
      <sheetData sheetId="50"/>
      <sheetData sheetId="51"/>
      <sheetData sheetId="52"/>
      <sheetData sheetId="53"/>
      <sheetData sheetId="54"/>
      <sheetData sheetId="55"/>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PIPE_CULVERT-MODEL"/>
      <sheetName val="other rates"/>
      <sheetName val="Conv"/>
      <sheetName val="Hire"/>
      <sheetName val="SLAB_CULVERTS-MODEL"/>
      <sheetName val="User-Instructions"/>
      <sheetName val="TRAFF-COUNT"/>
      <sheetName val="CRUST-DETAILS"/>
      <sheetName val="Input"/>
      <sheetName val="PROPOSED_ROAD_ITEMS"/>
      <sheetName val="Cover"/>
      <sheetName val="Gen Abs"/>
      <sheetName val="TEMP-MILAGE"/>
      <sheetName val="Detailed_Road_Estimate-Filter"/>
      <sheetName val="CD-Works-Gen Abs"/>
      <sheetName val="Road_Furniture"/>
      <sheetName val="RSI-ESTT"/>
      <sheetName val="1v_1000_PC"/>
      <sheetName val="2v_1000_PC"/>
      <sheetName val="SC-3"/>
      <sheetName val="Drains"/>
      <sheetName val="MTC-ABS"/>
      <sheetName val="MTC-estimate"/>
      <sheetName val="Periodic_Mtc_Estt"/>
      <sheetName val="Schedule-A-Filter"/>
      <sheetName val="Sei-Charges-Calculations"/>
      <sheetName val="Google-Map"/>
      <sheetName val="Road-NF"/>
      <sheetName val="Gen Abs-2ndNF"/>
      <sheetName val="TS-memo"/>
      <sheetName val="MTC-Table"/>
      <sheetName val="LEAD"/>
      <sheetName val="Data Roads-Filter-1"/>
      <sheetName val="Data New Tech-Filter-2"/>
      <sheetName val="DATA-CD-Filter-3"/>
      <sheetName val="Road Furniture-Data-4"/>
      <sheetName val="Schedule-A (Part-B)"/>
      <sheetName val="temp-calculations"/>
      <sheetName val="1v_600_PC"/>
      <sheetName val="2v_600_PC"/>
      <sheetName val="3v_600_PC"/>
      <sheetName val="1v_900_PC"/>
      <sheetName val="2v_900_PC"/>
      <sheetName val="3v_900_PC"/>
      <sheetName val="3v_1000_PC"/>
      <sheetName val="SC-1"/>
      <sheetName val="SC-2"/>
      <sheetName val="SC-4"/>
      <sheetName val="SC-5"/>
      <sheetName val="SC-6"/>
      <sheetName val="SC-7"/>
      <sheetName val="SC-8"/>
      <sheetName val="SC-9"/>
      <sheetName val="RD_1"/>
      <sheetName val="RD_2"/>
      <sheetName val="RD_3"/>
      <sheetName val="3v_600_RDVENTS"/>
      <sheetName val="3v_900_RDVENTS"/>
      <sheetName val="3v_1000_RDVENTS"/>
      <sheetName val="RCCPipes"/>
      <sheetName val="CC_WC"/>
      <sheetName val="Retaining-wall_1"/>
      <sheetName val="Retaining-wall_2"/>
      <sheetName val="Retaining-wall_3"/>
      <sheetName val="450-mmDia_Pipes_Crossin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row r="8">
          <cell r="C8" t="str">
            <v>Earthwork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excaed suitable material as per Technical Specification 305 MORD / 304 MORTH ,including contractors profit &amp; Over head charges,Seig Charges, Labour Cess, but excluding GST etc,. Complete.. - For Foundations</v>
          </cell>
        </row>
        <row r="212">
          <cell r="G212">
            <v>8836.89</v>
          </cell>
        </row>
        <row r="233">
          <cell r="G233">
            <v>7239.58</v>
          </cell>
        </row>
        <row r="253">
          <cell r="G253">
            <v>3562.33</v>
          </cell>
        </row>
        <row r="613">
          <cell r="C613" t="str">
            <v>Providing and laying boulder apron for bed protection with stone boulders of minimum size and weight as per Table 1300.1, no fragment  weighing less than 25 / 40 kg laid dry complete as per drawing and technical specifications Clause 1301 MORD / 2503 MORTH including contractors profit &amp; Over head charges,Seig Charges, Labour Cess, but excluding GST etc,. Complete. - For Protection Work</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VUP Data"/>
      <sheetName val="temp-calculations"/>
      <sheetName val="IR-P"/>
      <sheetName val="Cover (2)"/>
      <sheetName val="Input Data"/>
      <sheetName val="Comp S (5)"/>
      <sheetName val="Road Comp"/>
      <sheetName val="4v Pipe Comp"/>
      <sheetName val="Road Furniture"/>
      <sheetName val="Cover"/>
      <sheetName val="Inspection Report"/>
      <sheetName val="SPR (2)"/>
      <sheetName val="KEY MAP"/>
      <sheetName val="TRAFF-Count-ESAL-Cal"/>
      <sheetName val="ESAL-result"/>
      <sheetName val="ESAL-calculation "/>
      <sheetName val="ESAL-Data"/>
      <sheetName val="SPR"/>
      <sheetName val="LS_2LS"/>
      <sheetName val="google-map"/>
      <sheetName val="NOTE File1"/>
      <sheetName val="GA"/>
      <sheetName val="Road Estimate"/>
      <sheetName val="4v_1000_PC"/>
      <sheetName val="Lead"/>
      <sheetName val="Road data"/>
      <sheetName val="CD Abs"/>
      <sheetName val="1m dia Pipe Culverts"/>
      <sheetName val="Mtc-Abs"/>
      <sheetName val="MTS Esti"/>
      <sheetName val="Schedule-A"/>
      <sheetName val="Schedule-A (Part-B)"/>
      <sheetName val="Slab-Culverts Data"/>
      <sheetName val="Mtc-data"/>
      <sheetName val="1m dia Pipe Culverts-P"/>
      <sheetName val="Drain "/>
      <sheetName val="Slab Culvert 1V 6m x 2m spa"/>
      <sheetName val="Slab Culvert 2V 6m x 2m spa"/>
      <sheetName val="Ret wall"/>
      <sheetName val="Slab Culvert 1V 5m x 2m span"/>
      <sheetName val="Road dam 30m"/>
      <sheetName val="Pipe data"/>
      <sheetName val="Seigneorage"/>
      <sheetName val="Road-Marks"/>
      <sheetName val="TENDER-NF"/>
      <sheetName val="Road-furniture "/>
      <sheetName val="Road Furniture-Data"/>
      <sheetName val="NP4 pipes"/>
      <sheetName val="NP4 collars"/>
      <sheetName val="SSR-rates"/>
      <sheetName val="KEY MAP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row r="106">
          <cell r="B106" t="str">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ell>
        </row>
      </sheetData>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Contents"/>
      <sheetName val="ES"/>
      <sheetName val="Cert"/>
      <sheetName val="IP"/>
      <sheetName val="Comp stat Ap A (2)"/>
      <sheetName val="Comp stat Br (2)"/>
      <sheetName val="GA Com Sta - VAT &amp; GST"/>
      <sheetName val="GA - VAT &amp; GST"/>
      <sheetName val="cover"/>
      <sheetName val="Sp Report"/>
      <sheetName val="ITW"/>
      <sheetName val="L Rates"/>
      <sheetName val="M Rates"/>
      <sheetName val="C Chrgs"/>
      <sheetName val="LS "/>
      <sheetName val="ML SC Rates "/>
      <sheetName val="SC"/>
      <sheetName val="Sp Report - GST"/>
      <sheetName val="GA - VAT"/>
      <sheetName val="GA Com - VAT"/>
      <sheetName val="GA - GST"/>
      <sheetName val="GA Com Sta - GST"/>
      <sheetName val="Bri Abst"/>
      <sheetName val="Bri estim"/>
      <sheetName val="Appr Abst(A)"/>
      <sheetName val="Appr Est(A)"/>
      <sheetName val="Comp stat Ap A"/>
      <sheetName val="Appr Abst - A"/>
      <sheetName val="Appr Est - A"/>
      <sheetName val="Road Abst"/>
      <sheetName val="Road Est"/>
      <sheetName val="CD Abst"/>
      <sheetName val="1V 1000mm PC"/>
      <sheetName val="2V 1000mm By pass"/>
      <sheetName val="Road furniture"/>
      <sheetName val="Appr Abst - B"/>
      <sheetName val="Appr Est - B"/>
      <sheetName val="S.Cha Br"/>
      <sheetName val="S.Cha Appr"/>
      <sheetName val="Comp stat Br"/>
      <sheetName val="Comp stat Appr"/>
      <sheetName val="Comp stat CD Works"/>
      <sheetName val="Comp stat Road Furniture"/>
      <sheetName val="PAM EMB CAL"/>
      <sheetName val="VEER EMB CAL"/>
      <sheetName val="BRD EWE"/>
      <sheetName val="BBS"/>
      <sheetName val="1_APR DEST"/>
      <sheetName val="2_BRD DEST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54">
          <cell r="B54" t="str">
            <v>Back filling behind Abutments with carted gravel including cost and conveyance and   of all materials to site (Excluding seignorage charges) etc., complete  as per   Clause 710.1.4 of IRC : 78and as per  MoRT&amp;H Specification No. 2200 (4th Revision) and as per Drawing and technical specifications  for finished item of work</v>
          </cell>
        </row>
        <row r="58">
          <cell r="B58" t="str">
            <v>Supply and fixing of Drainage Spouts complete as per drawing and Technical specification No. 2705. (As per Data communicated vide Circular Memo No. D&amp;P/Bridge work estimates/Non SSR Items/rates/2009-1 Dt 13-08-09 of the Chief Engineer (R&amp;B), Designs &amp; Planning wing,) Hyderabad.</v>
          </cell>
        </row>
      </sheetData>
      <sheetData sheetId="24">
        <row r="2">
          <cell r="A2" t="str">
            <v>Name of the Work: Construction of High level bridge on R/F Pamapur to Veera Raghavapur @ 1/58-2/23 Km in Kothakota(M), Mahabubnagar Dist.</v>
          </cell>
        </row>
        <row r="46">
          <cell r="D46" t="str">
            <v>PCC (1:3:6) mix using 40mm size HBG Machine crushed stone aggregate and fine aggregate conforming to table 1000-2 of MoRT&amp;H including cost and conveyance of all materials to site and labour charges for centering, machine mixing, laying,  Vibrating, curing etc., including all other incidental and operational charges of all T&amp;P  (excluding Seignorage charges) etc., complete for finished item of work as per MoRT&amp;H specification 1500,1700,  2100  (4th  Revision) and as directed by the Engineer-in-Charge for foundations for levelling course. - For Abutment, Piers and below approach slab.</v>
          </cell>
        </row>
        <row r="127">
          <cell r="D127" t="str">
            <v>In Abutments</v>
          </cell>
        </row>
        <row r="147">
          <cell r="D147" t="str">
            <v>Asst. Exe. Engineer</v>
          </cell>
        </row>
        <row r="153">
          <cell r="D153" t="str">
            <v>Executive Engineer</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OVER"/>
      <sheetName val="INPUT"/>
      <sheetName val="Sch - A"/>
      <sheetName val="Part B"/>
      <sheetName val="TS Memo"/>
      <sheetName val="Note File"/>
      <sheetName val=" General abs"/>
      <sheetName val="Bridge Est"/>
      <sheetName val="Approaches Est."/>
      <sheetName val="Lead"/>
      <sheetName val="Bridge_data"/>
      <sheetName val="extra datas"/>
      <sheetName val="road dataas"/>
      <sheetName val="Other Rates"/>
      <sheetName val="Working Sheet"/>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093">
          <cell r="B1093" t="str">
            <v>Cost and supply of Mastic pads 20mm thick ilncluding cost and  conveyance of mastic pads to the required soze amd fixing in position etc., complete as directed by the Engineer-in-charge.</v>
          </cell>
        </row>
      </sheetData>
      <sheetData sheetId="13" refreshError="1"/>
      <sheetData sheetId="14" refreshError="1"/>
      <sheetData sheetId="15" refreshError="1"/>
      <sheetData sheetId="16" refreshError="1"/>
      <sheetData sheetId="17"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k-slip"/>
      <sheetName val="B&amp;C"/>
      <sheetName val="69 col"/>
      <sheetName val="SOR"/>
      <sheetName val="Cov"/>
      <sheetName val="Spec"/>
      <sheetName val="Abs"/>
      <sheetName val="Sch"/>
      <sheetName val="EP"/>
      <sheetName val="EA"/>
      <sheetName val="E-W"/>
      <sheetName val="SC"/>
      <sheetName val="DWC"/>
      <sheetName val="DWH"/>
      <sheetName val="DW-2v"/>
      <sheetName val="W1"/>
      <sheetName val="W2"/>
      <sheetName val="HD"/>
      <sheetName val="P1"/>
      <sheetName val="P2"/>
      <sheetName val="P3"/>
      <sheetName val="P4"/>
      <sheetName val="P5"/>
      <sheetName val="P6"/>
      <sheetName val="P7"/>
      <sheetName val="P8"/>
      <sheetName val="P9"/>
      <sheetName val="P10"/>
      <sheetName val="P11"/>
      <sheetName val="P12"/>
      <sheetName val="P13"/>
      <sheetName val="P14"/>
      <sheetName val="P15"/>
      <sheetName val="P16"/>
      <sheetName val="P17"/>
      <sheetName val="P18"/>
      <sheetName val="P19"/>
      <sheetName val="A1"/>
      <sheetName val="A2"/>
      <sheetName val="70R"/>
      <sheetName val="A-Dk"/>
      <sheetName val="A-Gr"/>
    </sheetNames>
    <sheetDataSet>
      <sheetData sheetId="0" refreshError="1"/>
      <sheetData sheetId="1" refreshError="1"/>
      <sheetData sheetId="2" refreshError="1"/>
      <sheetData sheetId="3" refreshError="1">
        <row r="22">
          <cell r="C22">
            <v>6975.51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2">
          <cell r="I2">
            <v>0.3</v>
          </cell>
        </row>
        <row r="88">
          <cell r="H88">
            <v>60</v>
          </cell>
        </row>
        <row r="89">
          <cell r="H89">
            <v>85</v>
          </cell>
        </row>
      </sheetData>
      <sheetData sheetId="38" refreshError="1">
        <row r="3">
          <cell r="E3">
            <v>0.35</v>
          </cell>
        </row>
        <row r="88">
          <cell r="H88">
            <v>60</v>
          </cell>
        </row>
      </sheetData>
      <sheetData sheetId="39" refreshError="1"/>
      <sheetData sheetId="40" refreshError="1"/>
      <sheetData sheetId="41"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INPUT"/>
      <sheetName val="FORMAT-2A"/>
      <sheetName val="COVER"/>
      <sheetName val="TS Memo"/>
      <sheetName val="Note File"/>
      <sheetName val="Gen Abs"/>
      <sheetName val="Bridge estimate"/>
      <sheetName val="mtc abst"/>
      <sheetName val="Protection"/>
      <sheetName val="Data Road Rev"/>
      <sheetName val="Road Furniture-Data"/>
      <sheetName val="DATA-CD "/>
      <sheetName val="Pile well foundation datas"/>
      <sheetName val="600 dia"/>
      <sheetName val="600 dia-12.5m"/>
      <sheetName val="drain"/>
      <sheetName val="retaining wall"/>
      <sheetName val="mtc est 1"/>
      <sheetName val="mtc est 2"/>
      <sheetName val="mtc est 3"/>
      <sheetName val="mtc est 4"/>
      <sheetName val="mtc est 5"/>
      <sheetName val="Data New Tech"/>
      <sheetName val="LEAD"/>
      <sheetName val="other rates"/>
      <sheetName val="Hire"/>
      <sheetName val="Conv"/>
      <sheetName val="RCCPipes"/>
      <sheetName val="1.5 m slab cul"/>
      <sheetName val="3m slab"/>
      <sheetName val="1000 dia_1V CC"/>
      <sheetName val="1000 dia_2V"/>
      <sheetName val="1000 dia_3V CC"/>
      <sheetName val="600 dia_3V CC"/>
      <sheetName val="600 dia_5V CC"/>
      <sheetName val="900 dia_1V"/>
      <sheetName val="900 dia_2V"/>
      <sheetName val="2m slab cul"/>
    </sheetNames>
    <sheetDataSet>
      <sheetData sheetId="0"/>
      <sheetData sheetId="1"/>
      <sheetData sheetId="2">
        <row r="3">
          <cell r="C3" t="str">
            <v>HLB on R/F Gudeballur to Mandipally via Mudumal at 9/0 to 9/2 km</v>
          </cell>
        </row>
        <row r="10">
          <cell r="D10" t="str">
            <v>Mahabubnagar</v>
          </cell>
        </row>
        <row r="11">
          <cell r="D11" t="str">
            <v>Makthal</v>
          </cell>
        </row>
        <row r="12">
          <cell r="D12" t="str">
            <v>SD Makthal</v>
          </cell>
        </row>
      </sheetData>
      <sheetData sheetId="3"/>
      <sheetData sheetId="4"/>
      <sheetData sheetId="5"/>
      <sheetData sheetId="6"/>
      <sheetData sheetId="7"/>
      <sheetData sheetId="8"/>
      <sheetData sheetId="9"/>
      <sheetData sheetId="10"/>
      <sheetData sheetId="11"/>
      <sheetData sheetId="12"/>
      <sheetData sheetId="13">
        <row r="332">
          <cell r="G332">
            <v>5946.5</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showGridLines="0" showRowColHeaders="0" showZeros="0" showOutlineSymbols="0" topLeftCell="B31091" zoomScaleSheetLayoutView="68" workbookViewId="0"/>
  </sheetViews>
  <sheetFormatPr defaultColWidth="9" defaultRowHeight="13.2"/>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showGridLines="0" showRowColHeaders="0" showZeros="0" showOutlineSymbols="0" topLeftCell="B29558" zoomScaleSheetLayoutView="68" workbookViewId="0"/>
  </sheetViews>
  <sheetFormatPr defaultColWidth="9" defaultRowHeight="13.2"/>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theme="6" tint="-0.249977111117893"/>
  </sheetPr>
  <dimension ref="A1:O1482"/>
  <sheetViews>
    <sheetView view="pageBreakPreview" topLeftCell="A648" zoomScale="130" zoomScaleNormal="85" workbookViewId="0">
      <selection activeCell="D699" sqref="D699:F699"/>
    </sheetView>
  </sheetViews>
  <sheetFormatPr defaultColWidth="9.109375" defaultRowHeight="15"/>
  <cols>
    <col min="1" max="1" width="7.44140625" style="1933" customWidth="1"/>
    <col min="2" max="3" width="9.5546875" style="1930" customWidth="1"/>
    <col min="4" max="4" width="9.88671875" style="1930" customWidth="1"/>
    <col min="5" max="5" width="10.88671875" style="1930" customWidth="1"/>
    <col min="6" max="6" width="8.5546875" style="1930" customWidth="1"/>
    <col min="7" max="7" width="10.33203125" style="1930" customWidth="1"/>
    <col min="8" max="8" width="13.5546875" style="1930" customWidth="1"/>
    <col min="9" max="9" width="7.33203125" style="1930" customWidth="1"/>
    <col min="10" max="10" width="13.5546875" style="1934" customWidth="1"/>
    <col min="11" max="11" width="14" style="1930" customWidth="1"/>
    <col min="12" max="14" width="9.109375" style="1930"/>
    <col min="15" max="15" width="18.44140625" style="1930" customWidth="1"/>
    <col min="16" max="16384" width="9.109375" style="1930"/>
  </cols>
  <sheetData>
    <row r="1" spans="1:15" ht="22.5" customHeight="1">
      <c r="B1" s="3225" t="s">
        <v>0</v>
      </c>
      <c r="C1" s="3226"/>
      <c r="D1" s="3226"/>
      <c r="E1" s="3226"/>
      <c r="F1" s="3226"/>
      <c r="G1" s="3226"/>
      <c r="H1" s="3226"/>
      <c r="I1" s="3226"/>
      <c r="J1" s="3226"/>
    </row>
    <row r="2" spans="1:15">
      <c r="B2" s="1935" t="s">
        <v>1</v>
      </c>
      <c r="C2" s="1936"/>
      <c r="D2" s="3293" t="e">
        <f>#REF!</f>
        <v>#REF!</v>
      </c>
      <c r="E2" s="3294"/>
      <c r="F2" s="3294"/>
      <c r="G2" s="3294"/>
      <c r="H2" s="3294"/>
      <c r="I2" s="3294"/>
      <c r="J2" s="3294"/>
    </row>
    <row r="3" spans="1:15" ht="36.75" customHeight="1">
      <c r="B3" s="1937"/>
      <c r="C3" s="1936"/>
      <c r="D3" s="3294"/>
      <c r="E3" s="3294"/>
      <c r="F3" s="3294"/>
      <c r="G3" s="3294"/>
      <c r="H3" s="3294"/>
      <c r="I3" s="3294"/>
      <c r="J3" s="3294"/>
    </row>
    <row r="4" spans="1:15" ht="45" customHeight="1">
      <c r="A4" s="1938" t="s">
        <v>2</v>
      </c>
      <c r="B4" s="3227" t="s">
        <v>3</v>
      </c>
      <c r="C4" s="3227"/>
      <c r="D4" s="3228" t="s">
        <v>4</v>
      </c>
      <c r="E4" s="3228"/>
      <c r="F4" s="3228"/>
      <c r="G4" s="3228"/>
      <c r="H4" s="300" t="s">
        <v>5</v>
      </c>
      <c r="I4" s="300" t="s">
        <v>6</v>
      </c>
      <c r="J4" s="1972" t="s">
        <v>7</v>
      </c>
      <c r="K4" s="1973"/>
    </row>
    <row r="5" spans="1:15">
      <c r="A5" s="3229"/>
      <c r="B5" s="3229"/>
      <c r="C5" s="3229"/>
      <c r="D5" s="3229"/>
      <c r="E5" s="3229"/>
      <c r="F5" s="3229"/>
      <c r="G5" s="3229"/>
      <c r="H5" s="3229"/>
      <c r="I5" s="3229"/>
      <c r="J5" s="3229"/>
    </row>
    <row r="6" spans="1:15" s="1929" customFormat="1" ht="88.5" hidden="1" customHeight="1">
      <c r="A6" s="1939">
        <v>1</v>
      </c>
      <c r="B6" s="3230" t="s">
        <v>8</v>
      </c>
      <c r="C6" s="3231"/>
      <c r="D6" s="3231"/>
      <c r="E6" s="3231"/>
      <c r="F6" s="3231"/>
      <c r="G6" s="3231"/>
      <c r="H6" s="3231"/>
      <c r="I6" s="3231"/>
      <c r="J6" s="3232"/>
    </row>
    <row r="7" spans="1:15" s="1929" customFormat="1" ht="15" hidden="1" customHeight="1">
      <c r="A7" s="1940"/>
      <c r="B7" s="1941"/>
      <c r="C7" s="1941"/>
      <c r="D7" s="3233" t="s">
        <v>9</v>
      </c>
      <c r="E7" s="3233"/>
      <c r="F7" s="3233"/>
      <c r="G7" s="3233"/>
      <c r="H7" s="1941"/>
      <c r="I7" s="1941"/>
      <c r="J7" s="1974"/>
    </row>
    <row r="8" spans="1:15" s="1929" customFormat="1" ht="15" hidden="1" customHeight="1">
      <c r="A8" s="1940"/>
      <c r="B8" s="1943" t="s">
        <v>10</v>
      </c>
      <c r="C8" s="1941"/>
      <c r="E8" s="1944"/>
      <c r="F8" s="1944"/>
      <c r="G8" s="1945"/>
      <c r="H8" s="1941"/>
      <c r="I8" s="1941"/>
      <c r="J8" s="1974"/>
    </row>
    <row r="9" spans="1:15" s="1929" customFormat="1" ht="15" hidden="1" customHeight="1">
      <c r="A9" s="1940"/>
      <c r="B9" s="1943" t="s">
        <v>11</v>
      </c>
      <c r="C9" s="1946"/>
      <c r="E9" s="1944"/>
      <c r="F9" s="1944"/>
      <c r="G9" s="1945"/>
      <c r="H9" s="1941"/>
      <c r="I9" s="1941"/>
      <c r="J9" s="1974"/>
    </row>
    <row r="10" spans="1:15" s="1929" customFormat="1" ht="15" hidden="1" customHeight="1">
      <c r="A10" s="1940"/>
      <c r="B10" s="1941"/>
      <c r="C10" s="1947"/>
      <c r="D10" s="3233" t="s">
        <v>12</v>
      </c>
      <c r="E10" s="3233"/>
      <c r="F10" s="3233"/>
      <c r="G10" s="3233"/>
      <c r="H10" s="1941"/>
      <c r="I10" s="1941"/>
      <c r="J10" s="1974"/>
    </row>
    <row r="11" spans="1:15" s="1929" customFormat="1" ht="15" hidden="1" customHeight="1">
      <c r="A11" s="1940"/>
      <c r="B11" s="1948">
        <v>0.02</v>
      </c>
      <c r="C11" s="1941" t="s">
        <v>13</v>
      </c>
      <c r="D11" s="3234" t="s">
        <v>14</v>
      </c>
      <c r="E11" s="3234"/>
      <c r="F11" s="3234"/>
      <c r="G11" s="3234"/>
      <c r="H11" s="1950">
        <f>'SSR-rates'!$H$58</f>
        <v>490</v>
      </c>
      <c r="I11" s="1956">
        <v>1</v>
      </c>
      <c r="J11" s="1975">
        <f>ROUND(B11*H11,2)</f>
        <v>9.8000000000000007</v>
      </c>
    </row>
    <row r="12" spans="1:15" s="1929" customFormat="1" ht="15" hidden="1" customHeight="1">
      <c r="A12" s="1940"/>
      <c r="B12" s="1948">
        <v>0.25</v>
      </c>
      <c r="C12" s="1941" t="s">
        <v>13</v>
      </c>
      <c r="D12" s="3234" t="s">
        <v>15</v>
      </c>
      <c r="E12" s="3234"/>
      <c r="F12" s="3234"/>
      <c r="G12" s="3234"/>
      <c r="H12" s="1950">
        <f>'SSR-rates'!$H$59</f>
        <v>524</v>
      </c>
      <c r="I12" s="1956">
        <v>1</v>
      </c>
      <c r="J12" s="1975">
        <f>ROUND(B12*H12,2)</f>
        <v>131</v>
      </c>
    </row>
    <row r="13" spans="1:15" s="1929" customFormat="1" ht="15" hidden="1" customHeight="1">
      <c r="A13" s="1940"/>
      <c r="B13" s="1948">
        <v>0.25</v>
      </c>
      <c r="C13" s="1941" t="s">
        <v>13</v>
      </c>
      <c r="D13" s="3234" t="s">
        <v>16</v>
      </c>
      <c r="E13" s="3234"/>
      <c r="F13" s="3234"/>
      <c r="G13" s="3234"/>
      <c r="H13" s="1950">
        <f>'SSR-rates'!$H$60</f>
        <v>490</v>
      </c>
      <c r="I13" s="1956">
        <v>1</v>
      </c>
      <c r="J13" s="1975">
        <f>ROUND(B13*H13,2)</f>
        <v>122.5</v>
      </c>
    </row>
    <row r="14" spans="1:15" s="1929" customFormat="1" ht="15" hidden="1" customHeight="1">
      <c r="A14" s="1940"/>
      <c r="B14" s="1951">
        <f>'Input Data'!$D$23</f>
        <v>0</v>
      </c>
      <c r="C14" s="1937"/>
      <c r="D14" s="1930" t="s">
        <v>17</v>
      </c>
      <c r="E14" s="1930"/>
      <c r="F14" s="1933"/>
      <c r="G14" s="1933"/>
      <c r="H14" s="1950">
        <f>SUM(J11:J13)</f>
        <v>263.3</v>
      </c>
      <c r="I14" s="1965"/>
      <c r="J14" s="1950">
        <f>B14*H14</f>
        <v>0</v>
      </c>
    </row>
    <row r="15" spans="1:15" s="1929" customFormat="1" ht="15" hidden="1" customHeight="1">
      <c r="A15" s="1940"/>
      <c r="B15" s="1946"/>
      <c r="C15" s="1946"/>
      <c r="D15" s="3235" t="s">
        <v>18</v>
      </c>
      <c r="E15" s="3235"/>
      <c r="F15" s="3235"/>
      <c r="G15" s="3235"/>
      <c r="H15" s="1946"/>
      <c r="I15" s="1976" t="s">
        <v>19</v>
      </c>
      <c r="J15" s="1977">
        <f>SUM(J11:J14)</f>
        <v>263.3</v>
      </c>
    </row>
    <row r="16" spans="1:15" s="1929" customFormat="1" ht="15" hidden="1" customHeight="1">
      <c r="A16" s="1940"/>
      <c r="B16" s="1946"/>
      <c r="C16" s="1947"/>
      <c r="D16" s="3233" t="s">
        <v>20</v>
      </c>
      <c r="E16" s="3233"/>
      <c r="F16" s="3233"/>
      <c r="G16" s="3233"/>
      <c r="H16" s="1946"/>
      <c r="I16" s="1946"/>
      <c r="J16" s="1975"/>
      <c r="L16" s="3236" t="s">
        <v>21</v>
      </c>
      <c r="M16" s="3236"/>
      <c r="N16" s="3236"/>
      <c r="O16" s="3236"/>
    </row>
    <row r="17" spans="1:15" s="1929" customFormat="1" ht="15" hidden="1" customHeight="1">
      <c r="A17" s="1940"/>
      <c r="B17" s="1946"/>
      <c r="C17" s="1947"/>
      <c r="D17" s="3236" t="s">
        <v>21</v>
      </c>
      <c r="E17" s="3236"/>
      <c r="F17" s="3236"/>
      <c r="G17" s="3236"/>
      <c r="H17" s="1946"/>
      <c r="I17" s="1946"/>
      <c r="J17" s="1975"/>
      <c r="L17" s="1953"/>
      <c r="M17" s="1953"/>
      <c r="N17" s="1953"/>
      <c r="O17" s="1953"/>
    </row>
    <row r="18" spans="1:15" s="1929" customFormat="1" ht="15" hidden="1" customHeight="1">
      <c r="A18" s="1940"/>
      <c r="B18" s="1946">
        <v>0.67</v>
      </c>
      <c r="C18" s="1947"/>
      <c r="D18" s="3236" t="s">
        <v>22</v>
      </c>
      <c r="E18" s="3236"/>
      <c r="F18" s="3236"/>
      <c r="G18" s="3236"/>
      <c r="H18" s="1946">
        <f>'SSR-rates'!$H$73</f>
        <v>619.5</v>
      </c>
      <c r="I18" s="1946"/>
      <c r="J18" s="1975">
        <f>ROUND(B18*H18,2)</f>
        <v>415.07</v>
      </c>
      <c r="L18" s="3236" t="s">
        <v>22</v>
      </c>
      <c r="M18" s="3236"/>
      <c r="N18" s="3236"/>
      <c r="O18" s="3236"/>
    </row>
    <row r="19" spans="1:15" s="1929" customFormat="1" ht="15" hidden="1" customHeight="1">
      <c r="A19" s="1940"/>
      <c r="B19" s="1948">
        <v>0.27</v>
      </c>
      <c r="C19" s="1941" t="s">
        <v>23</v>
      </c>
      <c r="D19" s="3234" t="s">
        <v>24</v>
      </c>
      <c r="E19" s="3234"/>
      <c r="F19" s="3234"/>
      <c r="G19" s="3234"/>
      <c r="H19" s="1946">
        <f>'SSR-rates'!$H$70</f>
        <v>465</v>
      </c>
      <c r="I19" s="1946">
        <v>1</v>
      </c>
      <c r="J19" s="1975">
        <f>ROUND(B19*H19,2)</f>
        <v>125.55</v>
      </c>
    </row>
    <row r="20" spans="1:15" s="1929" customFormat="1" ht="15" hidden="1" customHeight="1">
      <c r="A20" s="1940"/>
      <c r="B20" s="1946"/>
      <c r="C20" s="1946"/>
      <c r="D20" s="3235" t="s">
        <v>18</v>
      </c>
      <c r="E20" s="3235"/>
      <c r="F20" s="3235"/>
      <c r="G20" s="3235"/>
      <c r="H20" s="1946"/>
      <c r="I20" s="1976" t="s">
        <v>25</v>
      </c>
      <c r="J20" s="1977">
        <f>SUM(J18:J19)</f>
        <v>540.62</v>
      </c>
    </row>
    <row r="21" spans="1:15" s="1929" customFormat="1" ht="15" hidden="1" customHeight="1">
      <c r="A21" s="1940"/>
      <c r="B21" s="1946"/>
      <c r="C21" s="1941"/>
      <c r="D21" s="3233" t="s">
        <v>26</v>
      </c>
      <c r="E21" s="3233"/>
      <c r="F21" s="3233"/>
      <c r="G21" s="3233"/>
      <c r="H21" s="1946"/>
      <c r="I21" s="1946"/>
      <c r="J21" s="1977">
        <f>J15+J20</f>
        <v>803.92000000000007</v>
      </c>
    </row>
    <row r="22" spans="1:15" s="1929" customFormat="1" ht="15" hidden="1" customHeight="1">
      <c r="A22" s="1940"/>
      <c r="B22" s="1946"/>
      <c r="C22" s="1954" t="s">
        <v>27</v>
      </c>
      <c r="D22" s="3233" t="s">
        <v>28</v>
      </c>
      <c r="E22" s="3233"/>
      <c r="F22" s="3233"/>
      <c r="G22" s="3233"/>
      <c r="H22" s="1946"/>
      <c r="I22" s="1946"/>
      <c r="J22" s="1975"/>
    </row>
    <row r="23" spans="1:15" s="1929" customFormat="1" ht="15" hidden="1" customHeight="1">
      <c r="A23" s="1940"/>
      <c r="B23" s="1955">
        <f>'Input Data'!$D$24</f>
        <v>0.13614999999999999</v>
      </c>
      <c r="C23" s="1956"/>
      <c r="D23" s="3233" t="str">
        <f>"Over head charges "&amp;'Input Data'!$D$24*100&amp;"%  on (A) + (B)"</f>
        <v>Over head charges 13.615%  on (A) + (B)</v>
      </c>
      <c r="E23" s="3233"/>
      <c r="F23" s="3233"/>
      <c r="G23" s="3233"/>
      <c r="H23" s="1956">
        <f>J21</f>
        <v>803.92000000000007</v>
      </c>
      <c r="I23" s="1978"/>
      <c r="J23" s="1979">
        <f>H23*B23</f>
        <v>109.45370800000001</v>
      </c>
    </row>
    <row r="24" spans="1:15" s="1929" customFormat="1" ht="15" hidden="1" customHeight="1">
      <c r="A24" s="1940"/>
      <c r="B24" s="1956"/>
      <c r="C24" s="1956"/>
      <c r="D24" s="3233"/>
      <c r="E24" s="3233"/>
      <c r="F24" s="3233"/>
      <c r="G24" s="3233"/>
      <c r="H24" s="1956"/>
      <c r="I24" s="1978"/>
      <c r="J24" s="1979"/>
    </row>
    <row r="25" spans="1:15" s="1929" customFormat="1" ht="15" hidden="1" customHeight="1">
      <c r="A25" s="1940"/>
      <c r="B25" s="1956">
        <v>10</v>
      </c>
      <c r="C25" s="1956" t="s">
        <v>29</v>
      </c>
      <c r="D25" s="3233" t="s">
        <v>30</v>
      </c>
      <c r="E25" s="3233"/>
      <c r="F25" s="3233"/>
      <c r="G25" s="3233"/>
      <c r="H25" s="1956">
        <f>H23+J23</f>
        <v>913.37370800000008</v>
      </c>
      <c r="I25" s="1978"/>
      <c r="J25" s="1979">
        <f>ROUND(B25*H25/100,2)</f>
        <v>91.34</v>
      </c>
    </row>
    <row r="26" spans="1:15" s="1929" customFormat="1" ht="15" hidden="1" customHeight="1">
      <c r="A26" s="1940"/>
      <c r="B26" s="1956"/>
      <c r="C26" s="1956"/>
      <c r="D26" s="3233"/>
      <c r="E26" s="3233"/>
      <c r="F26" s="3233"/>
      <c r="G26" s="3233"/>
      <c r="H26" s="1956"/>
      <c r="I26" s="1978"/>
      <c r="J26" s="1980"/>
    </row>
    <row r="27" spans="1:15" s="1929" customFormat="1" ht="15" hidden="1" customHeight="1">
      <c r="A27" s="1940"/>
      <c r="B27" s="1957">
        <v>1.25</v>
      </c>
      <c r="C27" s="1956" t="s">
        <v>31</v>
      </c>
      <c r="D27" s="3235" t="str">
        <f>CONCATENATE("TOTAL Cost for ",B27,"  ",C27,"  =  (A+B+C+D)",)</f>
        <v>TOTAL Cost for 1.25  cum  =  (A+B+C+D)</v>
      </c>
      <c r="E27" s="3235"/>
      <c r="F27" s="3235"/>
      <c r="G27" s="3235"/>
      <c r="H27" s="1956"/>
      <c r="I27" s="1956"/>
      <c r="J27" s="1979">
        <f>SUM(J21:J25)</f>
        <v>1004.7137080000001</v>
      </c>
    </row>
    <row r="28" spans="1:15" s="1929" customFormat="1" ht="15" hidden="1" customHeight="1">
      <c r="A28" s="1940"/>
      <c r="B28" s="1956"/>
      <c r="C28" s="1956"/>
      <c r="D28" s="3237" t="str">
        <f>CONCATENATE("Rate per  1  ",C27)</f>
        <v>Rate per  1  cum</v>
      </c>
      <c r="E28" s="3237"/>
      <c r="F28" s="3237"/>
      <c r="G28" s="3237"/>
      <c r="H28" s="1956"/>
      <c r="I28" s="1956"/>
      <c r="J28" s="1975">
        <f>J27/B27</f>
        <v>803.77096640000013</v>
      </c>
    </row>
    <row r="29" spans="1:15" s="1929" customFormat="1" ht="15" hidden="1" customHeight="1">
      <c r="A29" s="1940"/>
      <c r="B29" s="1946"/>
      <c r="C29" s="1946"/>
      <c r="D29" s="3233" t="str">
        <f>D28</f>
        <v>Rate per  1  cum</v>
      </c>
      <c r="E29" s="3233"/>
      <c r="F29" s="3233"/>
      <c r="G29" s="3233"/>
      <c r="H29" s="1956"/>
      <c r="I29" s="1956"/>
      <c r="J29" s="1977">
        <f>ROUND(J28,0)</f>
        <v>804</v>
      </c>
    </row>
    <row r="30" spans="1:15" s="1929" customFormat="1" ht="94.5" customHeight="1">
      <c r="A30" s="1959"/>
      <c r="B30" s="3238" t="s">
        <v>32</v>
      </c>
      <c r="C30" s="3238"/>
      <c r="D30" s="3238"/>
      <c r="E30" s="3238"/>
      <c r="F30" s="3238"/>
      <c r="G30" s="3238"/>
      <c r="H30" s="3238"/>
      <c r="I30" s="3238"/>
      <c r="J30" s="3238"/>
    </row>
    <row r="31" spans="1:15" s="1929" customFormat="1" ht="15" customHeight="1">
      <c r="A31" s="1960"/>
      <c r="B31" s="3239" t="s">
        <v>33</v>
      </c>
      <c r="C31" s="3239"/>
      <c r="D31" s="1961"/>
      <c r="E31" s="1961"/>
      <c r="F31" s="1962" t="s">
        <v>34</v>
      </c>
      <c r="G31" s="1961"/>
      <c r="H31" s="1963"/>
      <c r="I31" s="1963"/>
      <c r="J31" s="1981"/>
    </row>
    <row r="32" spans="1:15" s="1929" customFormat="1" ht="15" customHeight="1">
      <c r="A32" s="1960"/>
      <c r="B32" s="3239" t="s">
        <v>35</v>
      </c>
      <c r="C32" s="3239"/>
      <c r="D32" s="3239"/>
      <c r="E32" s="3239"/>
      <c r="F32" s="1961"/>
      <c r="G32" s="1961"/>
      <c r="H32" s="1963"/>
      <c r="I32" s="1963"/>
      <c r="J32" s="1981"/>
    </row>
    <row r="33" spans="1:10" s="1929" customFormat="1" ht="15" customHeight="1">
      <c r="A33" s="1960"/>
      <c r="B33" s="1964" t="s">
        <v>36</v>
      </c>
      <c r="C33" s="1962" t="s">
        <v>37</v>
      </c>
      <c r="D33" s="1930"/>
      <c r="E33" s="1961"/>
      <c r="F33" s="1961"/>
      <c r="G33" s="1961"/>
      <c r="H33" s="1963"/>
      <c r="I33" s="1963"/>
      <c r="J33" s="1981"/>
    </row>
    <row r="34" spans="1:10" s="1929" customFormat="1" ht="15" customHeight="1">
      <c r="A34" s="1960"/>
      <c r="B34" s="1954">
        <v>0.32</v>
      </c>
      <c r="C34" s="1937" t="s">
        <v>38</v>
      </c>
      <c r="D34" s="1933" t="s">
        <v>14</v>
      </c>
      <c r="E34" s="1930"/>
      <c r="F34" s="1933"/>
      <c r="G34" s="1933"/>
      <c r="H34" s="1950">
        <f>'SSR-rates'!$H$58</f>
        <v>490</v>
      </c>
      <c r="I34" s="1965" t="s">
        <v>38</v>
      </c>
      <c r="J34" s="1954">
        <f>ROUND(B34*H34,2)</f>
        <v>156.80000000000001</v>
      </c>
    </row>
    <row r="35" spans="1:10" s="1929" customFormat="1" ht="15.75" customHeight="1">
      <c r="A35" s="1960"/>
      <c r="B35" s="1954">
        <v>8</v>
      </c>
      <c r="C35" s="1937" t="s">
        <v>38</v>
      </c>
      <c r="D35" s="1933" t="s">
        <v>16</v>
      </c>
      <c r="E35" s="1930"/>
      <c r="F35" s="1933"/>
      <c r="G35" s="1933"/>
      <c r="H35" s="1950">
        <f>'SSR-rates'!$H$60</f>
        <v>490</v>
      </c>
      <c r="I35" s="1965" t="s">
        <v>38</v>
      </c>
      <c r="J35" s="1954">
        <f>ROUND(B35*H35,2)</f>
        <v>3920</v>
      </c>
    </row>
    <row r="36" spans="1:10">
      <c r="A36" s="1962"/>
      <c r="B36" s="1951">
        <f>'Input Data'!$D$23</f>
        <v>0</v>
      </c>
      <c r="C36" s="1937"/>
      <c r="D36" s="1930" t="s">
        <v>17</v>
      </c>
      <c r="F36" s="1933"/>
      <c r="G36" s="1933"/>
      <c r="H36" s="1950">
        <f>SUM(J34:J35)</f>
        <v>4076.8</v>
      </c>
      <c r="I36" s="1965"/>
      <c r="J36" s="1950">
        <f>B36*H36</f>
        <v>0</v>
      </c>
    </row>
    <row r="37" spans="1:10" s="1929" customFormat="1" ht="15" customHeight="1">
      <c r="A37" s="1960"/>
      <c r="B37" s="1954"/>
      <c r="C37" s="1937"/>
      <c r="D37" s="1933"/>
      <c r="E37" s="1933"/>
      <c r="F37" s="1933"/>
      <c r="G37" s="1933"/>
      <c r="H37" s="1950"/>
      <c r="I37" s="1965"/>
      <c r="J37" s="1982">
        <f>SUM(J34:J36)</f>
        <v>4076.8</v>
      </c>
    </row>
    <row r="38" spans="1:10" s="1929" customFormat="1" ht="15" customHeight="1">
      <c r="A38" s="1960"/>
      <c r="B38" s="1964" t="s">
        <v>39</v>
      </c>
      <c r="C38" s="1962" t="s">
        <v>40</v>
      </c>
      <c r="D38" s="1930"/>
      <c r="E38" s="1930"/>
      <c r="F38" s="1933"/>
      <c r="G38" s="1933"/>
      <c r="H38" s="1933"/>
      <c r="I38" s="1933"/>
      <c r="J38" s="1983"/>
    </row>
    <row r="39" spans="1:10" ht="34.5" customHeight="1">
      <c r="A39" s="1965"/>
      <c r="B39" s="1966">
        <v>6</v>
      </c>
      <c r="C39" s="1967" t="s">
        <v>41</v>
      </c>
      <c r="D39" s="3240" t="s">
        <v>42</v>
      </c>
      <c r="E39" s="3241"/>
      <c r="F39" s="3241"/>
      <c r="G39" s="3242"/>
      <c r="H39" s="1968">
        <f>'SSR-rates'!$H$64</f>
        <v>3331.2</v>
      </c>
      <c r="I39" s="1968" t="s">
        <v>41</v>
      </c>
      <c r="J39" s="1968">
        <f>ROUND(B39*H39,2)</f>
        <v>19987.2</v>
      </c>
    </row>
    <row r="40" spans="1:10" s="1929" customFormat="1" ht="15" hidden="1" customHeight="1">
      <c r="A40" s="1960"/>
      <c r="B40" s="1966"/>
      <c r="C40" s="1967" t="s">
        <v>31</v>
      </c>
      <c r="D40" s="3243" t="s">
        <v>43</v>
      </c>
      <c r="E40" s="3243"/>
      <c r="F40" s="3243"/>
      <c r="G40" s="3243"/>
      <c r="H40" s="1968">
        <v>13</v>
      </c>
      <c r="I40" s="1968" t="s">
        <v>31</v>
      </c>
      <c r="J40" s="1966">
        <f>ROUND(B40*H40,2)</f>
        <v>0</v>
      </c>
    </row>
    <row r="41" spans="1:10" s="1929" customFormat="1" ht="15" customHeight="1">
      <c r="A41" s="1960"/>
      <c r="B41" s="1954"/>
      <c r="C41" s="1937"/>
      <c r="D41" s="1933"/>
      <c r="E41" s="1930"/>
      <c r="F41" s="1933"/>
      <c r="G41" s="1933"/>
      <c r="H41" s="1950"/>
      <c r="I41" s="1950"/>
      <c r="J41" s="1954"/>
    </row>
    <row r="42" spans="1:10" s="1929" customFormat="1" ht="15" customHeight="1">
      <c r="A42" s="1960"/>
      <c r="B42" s="1964" t="s">
        <v>27</v>
      </c>
      <c r="C42" s="1962" t="s">
        <v>44</v>
      </c>
      <c r="D42" s="1933"/>
      <c r="E42" s="1930"/>
      <c r="F42" s="1933"/>
      <c r="G42" s="1933"/>
      <c r="H42" s="1950"/>
      <c r="I42" s="1950"/>
      <c r="J42" s="1983"/>
    </row>
    <row r="43" spans="1:10" s="1929" customFormat="1" ht="15" customHeight="1">
      <c r="A43" s="1959"/>
      <c r="B43" s="1955">
        <f>'Input Data'!$D$25</f>
        <v>0.19614999999999999</v>
      </c>
      <c r="C43" s="1962" t="str">
        <f>"Over head charges "&amp;'Input Data'!$D$25*100&amp;"%  on (A) + (B)"</f>
        <v>Over head charges 19.615%  on (A) + (B)</v>
      </c>
      <c r="D43" s="1930"/>
      <c r="E43" s="1930"/>
      <c r="F43" s="1930"/>
      <c r="G43" s="1930"/>
      <c r="H43" s="1936">
        <f>J39+J37</f>
        <v>24064</v>
      </c>
      <c r="I43" s="1930"/>
      <c r="J43" s="1954">
        <f>H43*B43</f>
        <v>4720.1535999999996</v>
      </c>
    </row>
    <row r="44" spans="1:10" s="1929" customFormat="1" ht="15" customHeight="1">
      <c r="A44" s="1959"/>
      <c r="B44" s="1964" t="s">
        <v>45</v>
      </c>
      <c r="C44" s="1962" t="s">
        <v>46</v>
      </c>
      <c r="D44" s="1930"/>
      <c r="E44" s="1930"/>
      <c r="F44" s="1930"/>
      <c r="G44" s="1930"/>
      <c r="H44" s="1930"/>
      <c r="I44" s="1930"/>
      <c r="J44" s="1982">
        <f>J37+J40+J41+J43</f>
        <v>8796.9536000000007</v>
      </c>
    </row>
    <row r="45" spans="1:10" s="1929" customFormat="1" ht="15" customHeight="1">
      <c r="A45" s="1960"/>
      <c r="B45" s="1964" t="s">
        <v>47</v>
      </c>
      <c r="C45" s="1962" t="s">
        <v>48</v>
      </c>
      <c r="D45" s="1930"/>
      <c r="E45" s="1930"/>
      <c r="F45" s="1933"/>
      <c r="G45" s="1933"/>
      <c r="H45" s="1933"/>
      <c r="I45" s="1933"/>
      <c r="J45" s="1982">
        <f>J44*10/100</f>
        <v>879.69536000000005</v>
      </c>
    </row>
    <row r="46" spans="1:10" s="1929" customFormat="1" ht="15" customHeight="1">
      <c r="A46" s="1960"/>
      <c r="B46" s="1933"/>
      <c r="C46" s="1933"/>
      <c r="D46" s="1962" t="s">
        <v>49</v>
      </c>
      <c r="E46" s="1930"/>
      <c r="F46" s="1933"/>
      <c r="G46" s="1933"/>
      <c r="H46" s="1933"/>
      <c r="I46" s="1933"/>
      <c r="J46" s="1982">
        <f>SUM(J44:J45)</f>
        <v>9676.6489600000004</v>
      </c>
    </row>
    <row r="47" spans="1:10" s="1929" customFormat="1" ht="15" customHeight="1">
      <c r="A47" s="1959"/>
      <c r="B47" s="1930"/>
      <c r="C47" s="1930"/>
      <c r="D47" s="1930" t="s">
        <v>50</v>
      </c>
      <c r="E47" s="1930"/>
      <c r="F47" s="1930"/>
      <c r="G47" s="1930"/>
      <c r="H47" s="1965"/>
      <c r="I47" s="1965"/>
      <c r="J47" s="1954">
        <f>J46/240</f>
        <v>40.319370666666671</v>
      </c>
    </row>
    <row r="48" spans="1:10" s="1929" customFormat="1" ht="15" hidden="1" customHeight="1">
      <c r="A48" s="1960"/>
      <c r="B48" s="1970"/>
      <c r="C48" s="1970"/>
      <c r="D48" s="1970"/>
      <c r="E48" s="1970"/>
      <c r="F48" s="1970" t="s">
        <v>51</v>
      </c>
      <c r="G48" s="1970"/>
      <c r="H48" s="1970"/>
      <c r="I48" s="1970"/>
      <c r="J48" s="1984"/>
    </row>
    <row r="49" spans="1:10" s="1929" customFormat="1" ht="15" hidden="1" customHeight="1">
      <c r="A49" s="1960"/>
      <c r="B49" s="1970"/>
      <c r="C49" s="1970"/>
      <c r="D49" s="1970"/>
      <c r="E49" s="1970"/>
      <c r="F49" s="1970"/>
      <c r="G49" s="1970"/>
      <c r="H49" s="1970"/>
      <c r="I49" s="1970"/>
      <c r="J49" s="1984">
        <f>SUM(J47:J48)</f>
        <v>40.319370666666671</v>
      </c>
    </row>
    <row r="50" spans="1:10" s="1929" customFormat="1" ht="15" customHeight="1">
      <c r="A50" s="1959"/>
      <c r="B50" s="1930"/>
      <c r="C50" s="1930"/>
      <c r="D50" s="1930" t="s">
        <v>52</v>
      </c>
      <c r="E50" s="1930"/>
      <c r="F50" s="1930"/>
      <c r="G50" s="1930"/>
      <c r="H50" s="1930"/>
      <c r="I50" s="1930"/>
      <c r="J50" s="1985">
        <f>ROUND(J49,0)</f>
        <v>40</v>
      </c>
    </row>
    <row r="51" spans="1:10" s="1929" customFormat="1" ht="15" customHeight="1">
      <c r="A51" s="1959"/>
      <c r="B51" s="1930"/>
      <c r="C51" s="1930"/>
      <c r="D51" s="1930"/>
      <c r="E51" s="1930"/>
      <c r="F51" s="1930"/>
      <c r="G51" s="1930"/>
      <c r="H51" s="1930"/>
      <c r="I51" s="1930"/>
      <c r="J51" s="1986" t="s">
        <v>53</v>
      </c>
    </row>
    <row r="52" spans="1:10" s="1929" customFormat="1" ht="15" customHeight="1">
      <c r="A52" s="1959"/>
      <c r="B52" s="1930"/>
      <c r="C52" s="1930"/>
      <c r="D52" s="1930"/>
      <c r="E52" s="1930"/>
      <c r="F52" s="1930"/>
      <c r="G52" s="1930"/>
      <c r="H52" s="1930"/>
      <c r="I52" s="1930"/>
      <c r="J52" s="1986"/>
    </row>
    <row r="53" spans="1:10" ht="108" customHeight="1">
      <c r="A53" s="1959"/>
      <c r="B53" s="3238" t="s">
        <v>54</v>
      </c>
      <c r="C53" s="3238"/>
      <c r="D53" s="3238"/>
      <c r="E53" s="3238"/>
      <c r="F53" s="3238"/>
      <c r="G53" s="3238"/>
      <c r="H53" s="3238"/>
      <c r="I53" s="3238"/>
      <c r="J53" s="3238"/>
    </row>
    <row r="54" spans="1:10">
      <c r="D54" s="1936" t="s">
        <v>10</v>
      </c>
      <c r="F54" s="1962" t="s">
        <v>55</v>
      </c>
      <c r="J54" s="1930"/>
    </row>
    <row r="55" spans="1:10">
      <c r="D55" s="1936" t="s">
        <v>56</v>
      </c>
      <c r="J55" s="1930"/>
    </row>
    <row r="56" spans="1:10">
      <c r="B56" s="1964" t="s">
        <v>36</v>
      </c>
      <c r="C56" s="1971" t="s">
        <v>37</v>
      </c>
      <c r="J56" s="1930"/>
    </row>
    <row r="57" spans="1:10">
      <c r="B57" s="1954">
        <v>0.86</v>
      </c>
      <c r="C57" s="1933" t="s">
        <v>57</v>
      </c>
      <c r="D57" s="1936" t="s">
        <v>14</v>
      </c>
      <c r="H57" s="1950">
        <f>'SSR-rates'!$H$58</f>
        <v>490</v>
      </c>
      <c r="I57" s="1965" t="s">
        <v>38</v>
      </c>
      <c r="J57" s="1954">
        <f>ROUND(B57*H57,2)</f>
        <v>421.4</v>
      </c>
    </row>
    <row r="58" spans="1:10">
      <c r="B58" s="1954">
        <v>1.5</v>
      </c>
      <c r="C58" s="1933" t="s">
        <v>57</v>
      </c>
      <c r="D58" s="1936" t="s">
        <v>58</v>
      </c>
      <c r="H58" s="1950">
        <f>'SSR-rates'!$H$59</f>
        <v>524</v>
      </c>
      <c r="I58" s="1965" t="s">
        <v>38</v>
      </c>
      <c r="J58" s="1954">
        <f>ROUND(B58*H58,2)</f>
        <v>786</v>
      </c>
    </row>
    <row r="59" spans="1:10">
      <c r="B59" s="1954">
        <v>20</v>
      </c>
      <c r="C59" s="1933" t="s">
        <v>57</v>
      </c>
      <c r="D59" s="1936" t="s">
        <v>59</v>
      </c>
      <c r="H59" s="1950">
        <f>'SSR-rates'!$H$60</f>
        <v>490</v>
      </c>
      <c r="I59" s="1965" t="s">
        <v>38</v>
      </c>
      <c r="J59" s="1954">
        <f>ROUND(B59*H59,2)</f>
        <v>9800</v>
      </c>
    </row>
    <row r="60" spans="1:10">
      <c r="A60" s="1962"/>
      <c r="B60" s="1951">
        <f>'Input Data'!$D$23</f>
        <v>0</v>
      </c>
      <c r="C60" s="1937"/>
      <c r="D60" s="1930" t="s">
        <v>17</v>
      </c>
      <c r="F60" s="1933"/>
      <c r="G60" s="1933"/>
      <c r="H60" s="1950">
        <f>SUM(J57:J59)</f>
        <v>11007.4</v>
      </c>
      <c r="I60" s="1965"/>
      <c r="J60" s="1950">
        <f>B60*H60</f>
        <v>0</v>
      </c>
    </row>
    <row r="61" spans="1:10">
      <c r="B61" s="1954"/>
      <c r="C61" s="1933"/>
      <c r="D61" s="1936" t="s">
        <v>60</v>
      </c>
      <c r="H61" s="1950"/>
      <c r="I61" s="1950"/>
      <c r="J61" s="1954">
        <f>SUM(J57:J60)</f>
        <v>11007.4</v>
      </c>
    </row>
    <row r="62" spans="1:10">
      <c r="B62" s="1964" t="s">
        <v>39</v>
      </c>
      <c r="C62" s="1971" t="s">
        <v>61</v>
      </c>
      <c r="H62" s="1950"/>
      <c r="I62" s="1950"/>
      <c r="J62" s="1950"/>
    </row>
    <row r="63" spans="1:10">
      <c r="B63" s="1954">
        <v>8.1</v>
      </c>
      <c r="C63" s="1933" t="s">
        <v>31</v>
      </c>
      <c r="D63" s="1930" t="s">
        <v>62</v>
      </c>
      <c r="H63" s="1950">
        <f>lead!$J$14</f>
        <v>1590.8641904678079</v>
      </c>
      <c r="I63" s="1950" t="s">
        <v>31</v>
      </c>
      <c r="J63" s="1950">
        <f>ROUND(B63*H63,2)</f>
        <v>12886</v>
      </c>
    </row>
    <row r="64" spans="1:10">
      <c r="B64" s="1954">
        <v>4.05</v>
      </c>
      <c r="C64" s="1933" t="s">
        <v>31</v>
      </c>
      <c r="D64" s="1930" t="s">
        <v>63</v>
      </c>
      <c r="H64" s="1950">
        <f>lead!J16</f>
        <v>1889.8641904678079</v>
      </c>
      <c r="I64" s="1950" t="s">
        <v>31</v>
      </c>
      <c r="J64" s="1950">
        <f>ROUND(B64*H64,2)</f>
        <v>7653.95</v>
      </c>
    </row>
    <row r="65" spans="1:10">
      <c r="B65" s="1954">
        <v>1.35</v>
      </c>
      <c r="C65" s="1933" t="s">
        <v>31</v>
      </c>
      <c r="D65" s="1930" t="s">
        <v>64</v>
      </c>
      <c r="H65" s="1950">
        <f>lead!J18</f>
        <v>1638.8641904678079</v>
      </c>
      <c r="I65" s="1950" t="s">
        <v>31</v>
      </c>
      <c r="J65" s="1950">
        <f>ROUND(B65*H65,2)</f>
        <v>2212.4699999999998</v>
      </c>
    </row>
    <row r="66" spans="1:10">
      <c r="B66" s="1954">
        <v>6.75</v>
      </c>
      <c r="C66" s="1933" t="s">
        <v>31</v>
      </c>
      <c r="D66" s="1936" t="s">
        <v>65</v>
      </c>
      <c r="H66" s="1987">
        <f>lead!J12</f>
        <v>1568.1141904678079</v>
      </c>
      <c r="I66" s="1950" t="s">
        <v>31</v>
      </c>
      <c r="J66" s="1950">
        <f>ROUND(B66*H66,2)</f>
        <v>10584.77</v>
      </c>
    </row>
    <row r="67" spans="1:10">
      <c r="B67" s="1988">
        <v>4.13</v>
      </c>
      <c r="C67" s="1933" t="s">
        <v>66</v>
      </c>
      <c r="D67" s="1936" t="s">
        <v>67</v>
      </c>
      <c r="H67" s="1950">
        <f>'Input Data'!$I$24</f>
        <v>5000</v>
      </c>
      <c r="I67" s="1950" t="s">
        <v>66</v>
      </c>
      <c r="J67" s="1950">
        <f>ROUND(B67*H67,2)</f>
        <v>20650</v>
      </c>
    </row>
    <row r="68" spans="1:10">
      <c r="B68" s="1936"/>
      <c r="D68" s="1936" t="s">
        <v>60</v>
      </c>
      <c r="H68" s="1950"/>
      <c r="I68" s="1950"/>
      <c r="J68" s="1950">
        <f>SUM(J63:J67)</f>
        <v>53987.19</v>
      </c>
    </row>
    <row r="69" spans="1:10">
      <c r="B69" s="1964" t="s">
        <v>27</v>
      </c>
      <c r="C69" s="1971" t="s">
        <v>40</v>
      </c>
      <c r="H69" s="1950"/>
      <c r="I69" s="1950"/>
      <c r="J69" s="1950"/>
    </row>
    <row r="70" spans="1:10">
      <c r="B70" s="1954">
        <v>6</v>
      </c>
      <c r="C70" s="1933" t="s">
        <v>41</v>
      </c>
      <c r="D70" s="1936" t="s">
        <v>68</v>
      </c>
      <c r="H70" s="1950">
        <f>'SSR-rates'!$H$88</f>
        <v>627.6</v>
      </c>
      <c r="I70" s="1950" t="s">
        <v>41</v>
      </c>
      <c r="J70" s="1950">
        <f>ROUND(B70*H70,2)</f>
        <v>3765.6</v>
      </c>
    </row>
    <row r="71" spans="1:10">
      <c r="B71" s="1954">
        <v>6</v>
      </c>
      <c r="C71" s="1933" t="s">
        <v>41</v>
      </c>
      <c r="D71" s="1936" t="s">
        <v>69</v>
      </c>
      <c r="H71" s="1950">
        <f>'SSR-rates'!$H$87</f>
        <v>1237.4000000000001</v>
      </c>
      <c r="I71" s="1950" t="s">
        <v>41</v>
      </c>
      <c r="J71" s="1950">
        <f>ROUND(B71*H71,2)</f>
        <v>7424.4</v>
      </c>
    </row>
    <row r="72" spans="1:10">
      <c r="B72" s="1954"/>
      <c r="C72" s="1933" t="s">
        <v>41</v>
      </c>
      <c r="D72" s="1936" t="s">
        <v>70</v>
      </c>
      <c r="H72" s="1950">
        <f>'SSR-rates'!$H$69</f>
        <v>699</v>
      </c>
      <c r="I72" s="1950" t="s">
        <v>41</v>
      </c>
      <c r="J72" s="1950">
        <f>ROUND(B72*H72,2)</f>
        <v>0</v>
      </c>
    </row>
    <row r="73" spans="1:10">
      <c r="B73" s="1954"/>
      <c r="C73" s="1937"/>
      <c r="D73" s="1936" t="s">
        <v>60</v>
      </c>
      <c r="H73" s="1950"/>
      <c r="I73" s="1950"/>
      <c r="J73" s="1950">
        <f>SUM(J70:J72)</f>
        <v>11190</v>
      </c>
    </row>
    <row r="74" spans="1:10">
      <c r="B74" s="1964" t="s">
        <v>45</v>
      </c>
      <c r="C74" s="1971" t="s">
        <v>71</v>
      </c>
      <c r="H74" s="1950"/>
      <c r="I74" s="1950"/>
      <c r="J74" s="1950"/>
    </row>
    <row r="75" spans="1:10">
      <c r="B75" s="1936"/>
      <c r="C75" s="1933" t="s">
        <v>29</v>
      </c>
      <c r="D75" s="1930" t="s">
        <v>72</v>
      </c>
      <c r="H75" s="1950">
        <f>J61+J68+J73</f>
        <v>76184.59</v>
      </c>
      <c r="I75" s="1965" t="s">
        <v>73</v>
      </c>
      <c r="J75" s="1950">
        <f>H75*B75</f>
        <v>0</v>
      </c>
    </row>
    <row r="76" spans="1:10">
      <c r="A76" s="1962"/>
      <c r="B76" s="1964" t="s">
        <v>47</v>
      </c>
      <c r="C76" s="1962" t="s">
        <v>74</v>
      </c>
      <c r="F76" s="1933"/>
      <c r="G76" s="1933"/>
      <c r="H76" s="1933"/>
      <c r="I76" s="1933"/>
      <c r="J76" s="1990"/>
    </row>
    <row r="77" spans="1:10">
      <c r="A77" s="1962"/>
      <c r="B77" s="1955">
        <f>'Input Data'!$D$25</f>
        <v>0.19614999999999999</v>
      </c>
      <c r="C77" s="3244" t="s">
        <v>75</v>
      </c>
      <c r="D77" s="3245"/>
      <c r="E77" s="3245"/>
      <c r="F77" s="3245"/>
      <c r="G77" s="3246"/>
      <c r="H77" s="1937">
        <f>J75+J73+J68+J61</f>
        <v>76184.59</v>
      </c>
      <c r="I77" s="1933"/>
      <c r="J77" s="1950">
        <f>H77*B77</f>
        <v>14943.607328499998</v>
      </c>
    </row>
    <row r="78" spans="1:10">
      <c r="A78" s="1962"/>
      <c r="B78" s="1964" t="s">
        <v>76</v>
      </c>
      <c r="C78" s="1962" t="s">
        <v>77</v>
      </c>
      <c r="F78" s="1933"/>
      <c r="G78" s="1933"/>
      <c r="H78" s="1933"/>
      <c r="I78" s="1933"/>
      <c r="J78" s="1990">
        <f>J61+J68+J73+J75+J77</f>
        <v>91128.197328499999</v>
      </c>
    </row>
    <row r="79" spans="1:10">
      <c r="A79" s="1962"/>
      <c r="B79" s="1964" t="s">
        <v>78</v>
      </c>
      <c r="C79" s="1962" t="s">
        <v>79</v>
      </c>
      <c r="F79" s="1933"/>
      <c r="G79" s="1933"/>
      <c r="H79" s="1933"/>
      <c r="I79" s="1933"/>
      <c r="J79" s="1990">
        <f>J78*10/100</f>
        <v>9112.8197328499991</v>
      </c>
    </row>
    <row r="80" spans="1:10">
      <c r="B80" s="1954"/>
      <c r="C80" s="1933"/>
      <c r="D80" s="1971" t="s">
        <v>80</v>
      </c>
      <c r="H80" s="1950"/>
      <c r="I80" s="1950"/>
      <c r="J80" s="1990">
        <f>SUM(J78:J79)</f>
        <v>100241.01706134999</v>
      </c>
    </row>
    <row r="81" spans="1:10">
      <c r="B81" s="1954"/>
      <c r="C81" s="1933"/>
      <c r="D81" s="1936" t="s">
        <v>81</v>
      </c>
      <c r="H81" s="1950"/>
      <c r="I81" s="1950"/>
      <c r="J81" s="1950">
        <f>ROUND(J80/15,2)</f>
        <v>6682.73</v>
      </c>
    </row>
    <row r="82" spans="1:10">
      <c r="D82" s="1936" t="s">
        <v>52</v>
      </c>
      <c r="H82" s="1950"/>
      <c r="I82" s="1950"/>
      <c r="J82" s="1991">
        <f>ROUND(J81,0)</f>
        <v>6683</v>
      </c>
    </row>
    <row r="83" spans="1:10">
      <c r="D83" s="1936"/>
      <c r="H83" s="1950"/>
      <c r="I83" s="1950"/>
      <c r="J83" s="1990" t="s">
        <v>53</v>
      </c>
    </row>
    <row r="84" spans="1:10">
      <c r="D84" s="1936"/>
      <c r="H84" s="1950"/>
      <c r="I84" s="1950"/>
      <c r="J84" s="1990"/>
    </row>
    <row r="85" spans="1:10" ht="69.75" customHeight="1">
      <c r="A85" s="1959"/>
      <c r="B85" s="3238" t="s">
        <v>82</v>
      </c>
      <c r="C85" s="3238"/>
      <c r="D85" s="3238"/>
      <c r="E85" s="3238"/>
      <c r="F85" s="3238"/>
      <c r="G85" s="3238"/>
      <c r="H85" s="3238"/>
      <c r="I85" s="3238"/>
      <c r="J85" s="3238"/>
    </row>
    <row r="86" spans="1:10">
      <c r="D86" s="1936" t="s">
        <v>10</v>
      </c>
      <c r="F86" s="1962" t="s">
        <v>83</v>
      </c>
      <c r="J86" s="1930"/>
    </row>
    <row r="87" spans="1:10">
      <c r="D87" s="1936" t="s">
        <v>84</v>
      </c>
      <c r="J87" s="1930"/>
    </row>
    <row r="88" spans="1:10">
      <c r="B88" s="1964" t="s">
        <v>36</v>
      </c>
      <c r="C88" s="1971" t="s">
        <v>37</v>
      </c>
      <c r="J88" s="1930"/>
    </row>
    <row r="89" spans="1:10">
      <c r="B89" s="1954">
        <v>0.28000000000000003</v>
      </c>
      <c r="C89" s="1933" t="s">
        <v>57</v>
      </c>
      <c r="D89" s="1936" t="s">
        <v>14</v>
      </c>
      <c r="H89" s="1950">
        <f>'SSR-rates'!$H$58</f>
        <v>490</v>
      </c>
      <c r="I89" s="1965" t="s">
        <v>38</v>
      </c>
      <c r="J89" s="1950">
        <f>ROUND(B89*H89,2)</f>
        <v>137.19999999999999</v>
      </c>
    </row>
    <row r="90" spans="1:10">
      <c r="B90" s="1954">
        <v>7</v>
      </c>
      <c r="C90" s="1933" t="s">
        <v>57</v>
      </c>
      <c r="D90" s="1936" t="s">
        <v>59</v>
      </c>
      <c r="H90" s="1950">
        <f>'SSR-rates'!$H$60</f>
        <v>490</v>
      </c>
      <c r="I90" s="1965" t="s">
        <v>38</v>
      </c>
      <c r="J90" s="1950">
        <f>ROUND(B90*H90,2)</f>
        <v>3430</v>
      </c>
    </row>
    <row r="91" spans="1:10">
      <c r="A91" s="1962"/>
      <c r="B91" s="1951">
        <f>'Input Data'!$D$23</f>
        <v>0</v>
      </c>
      <c r="C91" s="1937"/>
      <c r="D91" s="1930" t="s">
        <v>17</v>
      </c>
      <c r="F91" s="1933"/>
      <c r="G91" s="1933"/>
      <c r="H91" s="1950">
        <f>SUM(J89:$J$90)</f>
        <v>3567.2</v>
      </c>
      <c r="I91" s="1965"/>
      <c r="J91" s="1950">
        <f>B91*H91</f>
        <v>0</v>
      </c>
    </row>
    <row r="92" spans="1:10" ht="13.5" customHeight="1">
      <c r="B92" s="1936" t="s">
        <v>85</v>
      </c>
      <c r="D92" s="1936" t="s">
        <v>60</v>
      </c>
      <c r="H92" s="1950"/>
      <c r="I92" s="1965"/>
      <c r="J92" s="1950">
        <f>SUM(J89:J91)</f>
        <v>3567.2</v>
      </c>
    </row>
    <row r="93" spans="1:10" hidden="1">
      <c r="B93" s="1936"/>
      <c r="D93" s="1936"/>
      <c r="H93" s="1950"/>
      <c r="I93" s="1950"/>
      <c r="J93" s="1950"/>
    </row>
    <row r="94" spans="1:10">
      <c r="B94" s="1964" t="s">
        <v>39</v>
      </c>
      <c r="C94" s="1971" t="s">
        <v>61</v>
      </c>
      <c r="H94" s="1950"/>
      <c r="I94" s="1950"/>
      <c r="J94" s="1950"/>
    </row>
    <row r="95" spans="1:10">
      <c r="B95" s="1954">
        <v>12</v>
      </c>
      <c r="C95" s="1933" t="s">
        <v>31</v>
      </c>
      <c r="D95" s="1936" t="s">
        <v>86</v>
      </c>
      <c r="H95" s="1950">
        <f>lead!$J$34</f>
        <v>250.09052501870349</v>
      </c>
      <c r="I95" s="1950" t="s">
        <v>31</v>
      </c>
      <c r="J95" s="1950">
        <f>ROUND(B95*H95,2)</f>
        <v>3001.09</v>
      </c>
    </row>
    <row r="96" spans="1:10">
      <c r="B96" s="1936"/>
      <c r="D96" s="1936" t="s">
        <v>60</v>
      </c>
      <c r="H96" s="1950"/>
      <c r="I96" s="1950"/>
      <c r="J96" s="1950">
        <f>SUM(J95:J95)</f>
        <v>3001.09</v>
      </c>
    </row>
    <row r="97" spans="1:11">
      <c r="B97" s="1964" t="s">
        <v>87</v>
      </c>
      <c r="C97" s="1971" t="s">
        <v>40</v>
      </c>
      <c r="H97" s="1950"/>
      <c r="I97" s="1950"/>
      <c r="J97" s="1950"/>
    </row>
    <row r="98" spans="1:11" ht="30" customHeight="1">
      <c r="B98" s="1954">
        <v>2.5</v>
      </c>
      <c r="C98" s="1933" t="s">
        <v>41</v>
      </c>
      <c r="D98" s="3247" t="s">
        <v>88</v>
      </c>
      <c r="E98" s="3248"/>
      <c r="F98" s="3248"/>
      <c r="G98" s="3249"/>
      <c r="H98" s="1950">
        <f>'SSR-rates'!$H$91</f>
        <v>54</v>
      </c>
      <c r="I98" s="1950" t="s">
        <v>41</v>
      </c>
      <c r="J98" s="1950">
        <f>ROUND(B98*H98,2)</f>
        <v>135</v>
      </c>
    </row>
    <row r="99" spans="1:11">
      <c r="B99" s="1954">
        <v>0.05</v>
      </c>
      <c r="C99" s="1933" t="s">
        <v>41</v>
      </c>
      <c r="D99" s="1936" t="s">
        <v>70</v>
      </c>
      <c r="H99" s="1950">
        <f>'SSR-rates'!$H$69</f>
        <v>699</v>
      </c>
      <c r="I99" s="1950" t="s">
        <v>41</v>
      </c>
      <c r="J99" s="1950">
        <f>ROUND(B99*H99,2)</f>
        <v>34.950000000000003</v>
      </c>
    </row>
    <row r="100" spans="1:11">
      <c r="B100" s="1954"/>
      <c r="C100" s="1933"/>
      <c r="D100" s="1936" t="s">
        <v>60</v>
      </c>
      <c r="H100" s="1950"/>
      <c r="I100" s="1950"/>
      <c r="J100" s="1950">
        <f>SUM(J98:J99)</f>
        <v>169.95</v>
      </c>
    </row>
    <row r="101" spans="1:11">
      <c r="A101" s="1962"/>
      <c r="B101" s="1964" t="s">
        <v>45</v>
      </c>
      <c r="C101" s="1962" t="s">
        <v>44</v>
      </c>
      <c r="F101" s="1933"/>
      <c r="G101" s="1933"/>
      <c r="H101" s="1933"/>
      <c r="I101" s="1933"/>
      <c r="J101" s="1990"/>
    </row>
    <row r="102" spans="1:11" ht="34.5" customHeight="1">
      <c r="A102" s="1962"/>
      <c r="B102" s="1955">
        <f>'Input Data'!$D$25</f>
        <v>0.19614999999999999</v>
      </c>
      <c r="C102" s="3247" t="str">
        <f>"Over head charges "&amp;'Input Data'!$D$25*100&amp;"%  on (A) + (B)+(C)"</f>
        <v>Over head charges 19.615%  on (A) + (B)+(C)</v>
      </c>
      <c r="D102" s="3248"/>
      <c r="E102" s="3248"/>
      <c r="F102" s="3248"/>
      <c r="G102" s="3249"/>
      <c r="H102" s="1937">
        <f>J100+J96+J92</f>
        <v>6738.24</v>
      </c>
      <c r="I102" s="1933"/>
      <c r="J102" s="1950">
        <f>H102*B102</f>
        <v>1321.7057759999998</v>
      </c>
    </row>
    <row r="103" spans="1:11">
      <c r="A103" s="1962"/>
      <c r="B103" s="1964" t="s">
        <v>47</v>
      </c>
      <c r="C103" s="1962" t="s">
        <v>89</v>
      </c>
      <c r="F103" s="1933"/>
      <c r="G103" s="1933"/>
      <c r="H103" s="1933"/>
      <c r="I103" s="1933"/>
      <c r="J103" s="1990">
        <f>J92+J96+J100+J102</f>
        <v>8059.9457759999996</v>
      </c>
    </row>
    <row r="104" spans="1:11">
      <c r="A104" s="1962"/>
      <c r="B104" s="1964" t="s">
        <v>76</v>
      </c>
      <c r="C104" s="1962" t="s">
        <v>90</v>
      </c>
      <c r="F104" s="1933"/>
      <c r="G104" s="1933"/>
      <c r="H104" s="1933"/>
      <c r="I104" s="1933"/>
      <c r="J104" s="1990">
        <f>J103*10/100</f>
        <v>805.99457759999996</v>
      </c>
    </row>
    <row r="105" spans="1:11">
      <c r="B105" s="1954"/>
      <c r="C105" s="1933"/>
      <c r="D105" s="1971" t="s">
        <v>91</v>
      </c>
      <c r="H105" s="1950"/>
      <c r="I105" s="1950"/>
      <c r="J105" s="1990">
        <f>SUM(J103:J104)</f>
        <v>8865.9403535999991</v>
      </c>
    </row>
    <row r="106" spans="1:11">
      <c r="B106" s="1954"/>
      <c r="C106" s="1933"/>
      <c r="D106" s="1936" t="s">
        <v>50</v>
      </c>
      <c r="H106" s="1950"/>
      <c r="I106" s="1950"/>
      <c r="J106" s="1950">
        <f>J105/10</f>
        <v>886.59403535999991</v>
      </c>
    </row>
    <row r="107" spans="1:11">
      <c r="D107" s="1936" t="s">
        <v>52</v>
      </c>
      <c r="H107" s="1950"/>
      <c r="I107" s="1950"/>
      <c r="J107" s="1991">
        <f>ROUND(J106,0)</f>
        <v>887</v>
      </c>
      <c r="K107" s="1930">
        <v>512</v>
      </c>
    </row>
    <row r="108" spans="1:11">
      <c r="D108" s="1936"/>
      <c r="H108" s="1950"/>
      <c r="I108" s="1950"/>
      <c r="J108" s="1990" t="s">
        <v>53</v>
      </c>
    </row>
    <row r="109" spans="1:11">
      <c r="D109" s="1936"/>
      <c r="H109" s="1950"/>
      <c r="I109" s="1950"/>
      <c r="J109" s="1990"/>
    </row>
    <row r="110" spans="1:11" ht="120" customHeight="1">
      <c r="A110" s="1959"/>
      <c r="B110" s="3238" t="s">
        <v>92</v>
      </c>
      <c r="C110" s="3238"/>
      <c r="D110" s="3238"/>
      <c r="E110" s="3238"/>
      <c r="F110" s="3238"/>
      <c r="G110" s="3238"/>
      <c r="H110" s="3238"/>
      <c r="I110" s="3238"/>
      <c r="J110" s="3238"/>
    </row>
    <row r="111" spans="1:11">
      <c r="D111" s="1936" t="s">
        <v>10</v>
      </c>
      <c r="F111" s="1962" t="s">
        <v>93</v>
      </c>
      <c r="J111" s="1930"/>
    </row>
    <row r="112" spans="1:11">
      <c r="D112" s="1936" t="s">
        <v>56</v>
      </c>
      <c r="J112" s="1930"/>
    </row>
    <row r="113" spans="1:13">
      <c r="B113" s="1964" t="s">
        <v>36</v>
      </c>
      <c r="C113" s="1971" t="s">
        <v>37</v>
      </c>
      <c r="J113" s="1930"/>
    </row>
    <row r="114" spans="1:13">
      <c r="B114" s="1954">
        <v>0.86</v>
      </c>
      <c r="C114" s="1933" t="s">
        <v>57</v>
      </c>
      <c r="D114" s="1936" t="s">
        <v>14</v>
      </c>
      <c r="H114" s="1950">
        <f>'SSR-rates'!$H$58</f>
        <v>490</v>
      </c>
      <c r="I114" s="1965" t="s">
        <v>38</v>
      </c>
      <c r="J114" s="1954">
        <f>ROUND(B114*H114,2)</f>
        <v>421.4</v>
      </c>
      <c r="K114" s="1936"/>
    </row>
    <row r="115" spans="1:13">
      <c r="B115" s="1954">
        <v>1.5</v>
      </c>
      <c r="C115" s="1933" t="s">
        <v>57</v>
      </c>
      <c r="D115" s="1936" t="s">
        <v>58</v>
      </c>
      <c r="H115" s="1950">
        <f>'SSR-rates'!$H$59</f>
        <v>524</v>
      </c>
      <c r="I115" s="1965" t="s">
        <v>38</v>
      </c>
      <c r="J115" s="1954">
        <f>ROUND(B115*H115,2)</f>
        <v>786</v>
      </c>
    </row>
    <row r="116" spans="1:13">
      <c r="B116" s="1954">
        <v>20</v>
      </c>
      <c r="C116" s="1933" t="s">
        <v>57</v>
      </c>
      <c r="D116" s="1936" t="s">
        <v>59</v>
      </c>
      <c r="H116" s="1950">
        <f>'SSR-rates'!$H$60</f>
        <v>490</v>
      </c>
      <c r="I116" s="1965" t="s">
        <v>38</v>
      </c>
      <c r="J116" s="1954">
        <f>ROUND(B116*H116,2)</f>
        <v>9800</v>
      </c>
    </row>
    <row r="117" spans="1:13">
      <c r="A117" s="1962"/>
      <c r="B117" s="1951">
        <f>'Input Data'!$D$23</f>
        <v>0</v>
      </c>
      <c r="C117" s="1937"/>
      <c r="D117" s="1930" t="s">
        <v>17</v>
      </c>
      <c r="F117" s="1933"/>
      <c r="G117" s="1933"/>
      <c r="H117" s="1950">
        <f>SUM(J114:J116)</f>
        <v>11007.4</v>
      </c>
      <c r="I117" s="1965"/>
      <c r="J117" s="1950">
        <f>B117*H117</f>
        <v>0</v>
      </c>
    </row>
    <row r="118" spans="1:13" ht="15" customHeight="1">
      <c r="B118" s="1954"/>
      <c r="D118" s="1936" t="s">
        <v>60</v>
      </c>
      <c r="H118" s="1950"/>
      <c r="I118" s="1950"/>
      <c r="J118" s="1954">
        <f>SUM(J114:J117)</f>
        <v>11007.4</v>
      </c>
    </row>
    <row r="119" spans="1:13">
      <c r="B119" s="1964" t="s">
        <v>39</v>
      </c>
      <c r="C119" s="1971" t="s">
        <v>61</v>
      </c>
      <c r="H119" s="1950"/>
      <c r="I119" s="1950"/>
      <c r="J119" s="1950"/>
    </row>
    <row r="120" spans="1:13">
      <c r="B120" s="1954">
        <v>5.4</v>
      </c>
      <c r="C120" s="1933" t="s">
        <v>31</v>
      </c>
      <c r="D120" s="1936" t="s">
        <v>62</v>
      </c>
      <c r="H120" s="1950">
        <f>lead!$J$14</f>
        <v>1590.8641904678079</v>
      </c>
      <c r="I120" s="1950" t="s">
        <v>31</v>
      </c>
      <c r="J120" s="1950">
        <f>ROUND(B120*H120,2)</f>
        <v>8590.67</v>
      </c>
      <c r="K120" s="1930">
        <v>5.16</v>
      </c>
      <c r="L120" s="1930">
        <v>5.4</v>
      </c>
      <c r="M120" s="1930">
        <v>1139.82456140351</v>
      </c>
    </row>
    <row r="121" spans="1:13" ht="15" customHeight="1">
      <c r="B121" s="1954">
        <v>5.4</v>
      </c>
      <c r="C121" s="1933" t="s">
        <v>31</v>
      </c>
      <c r="D121" s="1930" t="s">
        <v>63</v>
      </c>
      <c r="H121" s="1950">
        <f>lead!$J$16</f>
        <v>1889.8641904678079</v>
      </c>
      <c r="I121" s="1950" t="s">
        <v>31</v>
      </c>
      <c r="J121" s="1950">
        <f>ROUND(B121*H121,2)</f>
        <v>10205.27</v>
      </c>
      <c r="L121" s="1930">
        <v>5.4</v>
      </c>
      <c r="M121" s="1930">
        <v>1659.82456140351</v>
      </c>
    </row>
    <row r="122" spans="1:13" ht="15" customHeight="1">
      <c r="B122" s="1954">
        <v>2.7</v>
      </c>
      <c r="C122" s="1933" t="s">
        <v>31</v>
      </c>
      <c r="D122" s="1930" t="s">
        <v>64</v>
      </c>
      <c r="H122" s="1950">
        <f>lead!$J$18</f>
        <v>1638.8641904678079</v>
      </c>
      <c r="I122" s="1950" t="s">
        <v>31</v>
      </c>
      <c r="J122" s="1950">
        <f>ROUND(B122*H122,2)</f>
        <v>4424.93</v>
      </c>
      <c r="L122" s="1930">
        <v>2.7</v>
      </c>
      <c r="M122" s="1930">
        <v>1229.82456140351</v>
      </c>
    </row>
    <row r="123" spans="1:13" ht="15" customHeight="1">
      <c r="B123" s="1954">
        <v>6.75</v>
      </c>
      <c r="C123" s="1933" t="s">
        <v>31</v>
      </c>
      <c r="D123" s="1936" t="s">
        <v>65</v>
      </c>
      <c r="H123" s="1950">
        <f>lead!J12</f>
        <v>1568.1141904678079</v>
      </c>
      <c r="I123" s="1950" t="s">
        <v>31</v>
      </c>
      <c r="J123" s="1950">
        <f>ROUND(B123*H123,2)</f>
        <v>10584.77</v>
      </c>
      <c r="L123" s="1930">
        <v>6.75</v>
      </c>
      <c r="M123" s="1930">
        <v>1207.0087719298201</v>
      </c>
    </row>
    <row r="124" spans="1:13" ht="15" customHeight="1">
      <c r="B124" s="1954">
        <v>5.16</v>
      </c>
      <c r="C124" s="1933" t="s">
        <v>66</v>
      </c>
      <c r="D124" s="1936" t="s">
        <v>67</v>
      </c>
      <c r="H124" s="1950">
        <f>lead!$J$36</f>
        <v>5000</v>
      </c>
      <c r="I124" s="1950" t="s">
        <v>66</v>
      </c>
      <c r="J124" s="1950">
        <f>ROUND(B124*H124,2)</f>
        <v>25800</v>
      </c>
      <c r="L124" s="1930">
        <v>5.16</v>
      </c>
      <c r="M124" s="1930">
        <v>6300</v>
      </c>
    </row>
    <row r="125" spans="1:13">
      <c r="B125" s="1954"/>
      <c r="C125" s="1937"/>
      <c r="D125" s="1936" t="s">
        <v>60</v>
      </c>
      <c r="H125" s="1950"/>
      <c r="I125" s="1950"/>
      <c r="J125" s="1950">
        <f>SUM(J120:J124)</f>
        <v>59605.64</v>
      </c>
    </row>
    <row r="126" spans="1:13">
      <c r="B126" s="1964" t="s">
        <v>94</v>
      </c>
      <c r="C126" s="1971" t="s">
        <v>40</v>
      </c>
      <c r="H126" s="1950"/>
      <c r="I126" s="1950"/>
      <c r="J126" s="1950"/>
    </row>
    <row r="127" spans="1:13">
      <c r="B127" s="1954">
        <v>6</v>
      </c>
      <c r="C127" s="1933" t="s">
        <v>41</v>
      </c>
      <c r="D127" s="1936" t="s">
        <v>68</v>
      </c>
      <c r="H127" s="1950">
        <f>'SSR-rates'!$H$88</f>
        <v>627.6</v>
      </c>
      <c r="I127" s="1950" t="s">
        <v>41</v>
      </c>
      <c r="J127" s="1950">
        <f>ROUND(B127*H127,2)</f>
        <v>3765.6</v>
      </c>
    </row>
    <row r="128" spans="1:13">
      <c r="B128" s="1954">
        <v>6</v>
      </c>
      <c r="C128" s="1933" t="s">
        <v>41</v>
      </c>
      <c r="D128" s="1936" t="s">
        <v>69</v>
      </c>
      <c r="H128" s="1950">
        <f>'SSR-rates'!$H$87</f>
        <v>1237.4000000000001</v>
      </c>
      <c r="I128" s="1950" t="s">
        <v>41</v>
      </c>
      <c r="J128" s="1950">
        <f>ROUND(B128*H128,2)</f>
        <v>7424.4</v>
      </c>
    </row>
    <row r="129" spans="1:10">
      <c r="B129" s="1954"/>
      <c r="C129" s="1937"/>
      <c r="D129" s="1936" t="s">
        <v>60</v>
      </c>
      <c r="H129" s="1950"/>
      <c r="I129" s="1950"/>
      <c r="J129" s="1950">
        <f>SUM(J127:J128)</f>
        <v>11190</v>
      </c>
    </row>
    <row r="130" spans="1:10">
      <c r="A130" s="1962"/>
      <c r="B130" s="1964" t="s">
        <v>45</v>
      </c>
      <c r="C130" s="1962" t="s">
        <v>95</v>
      </c>
      <c r="F130" s="1933"/>
      <c r="G130" s="1933"/>
      <c r="H130" s="1933"/>
      <c r="I130" s="1933"/>
      <c r="J130" s="1990"/>
    </row>
    <row r="131" spans="1:10">
      <c r="A131" s="1962"/>
      <c r="B131" s="1954">
        <v>4</v>
      </c>
      <c r="C131" s="1937" t="s">
        <v>29</v>
      </c>
      <c r="D131" s="1936" t="s">
        <v>96</v>
      </c>
      <c r="F131" s="1933"/>
      <c r="G131" s="1933"/>
      <c r="H131" s="1933"/>
      <c r="I131" s="1933"/>
      <c r="J131" s="1950">
        <f>ROUND((J118+J125+J129)*B131/100,2)</f>
        <v>3272.12</v>
      </c>
    </row>
    <row r="132" spans="1:10">
      <c r="A132" s="1962"/>
      <c r="B132" s="1964" t="s">
        <v>47</v>
      </c>
      <c r="C132" s="1962" t="s">
        <v>97</v>
      </c>
      <c r="F132" s="1933"/>
      <c r="G132" s="1933"/>
      <c r="H132" s="1933"/>
      <c r="I132" s="1933"/>
      <c r="J132" s="1990"/>
    </row>
    <row r="133" spans="1:10">
      <c r="A133" s="1962"/>
      <c r="B133" s="1992">
        <f>'Input Data'!$D$25</f>
        <v>0.19614999999999999</v>
      </c>
      <c r="C133" s="1937"/>
      <c r="D133" s="1936" t="str">
        <f>"Over head charges "&amp;'Input Data'!$D$25*100&amp;"%  on (A) + (B)"</f>
        <v>Over head charges 19.615%  on (A) + (B)</v>
      </c>
      <c r="F133" s="1933"/>
      <c r="G133" s="1933"/>
      <c r="H133" s="1937">
        <f>J131+J129+J125+J118</f>
        <v>85075.159999999989</v>
      </c>
      <c r="I133" s="1933"/>
      <c r="J133" s="1950">
        <f>H133*B133</f>
        <v>16687.492633999998</v>
      </c>
    </row>
    <row r="134" spans="1:10">
      <c r="A134" s="1962"/>
      <c r="B134" s="1964" t="s">
        <v>76</v>
      </c>
      <c r="C134" s="1962" t="s">
        <v>89</v>
      </c>
      <c r="F134" s="1933"/>
      <c r="G134" s="1933"/>
      <c r="H134" s="1933"/>
      <c r="I134" s="1933"/>
      <c r="J134" s="1990">
        <f>J118+J125+J129+J133+J131</f>
        <v>101762.65263399998</v>
      </c>
    </row>
    <row r="135" spans="1:10">
      <c r="A135" s="1962"/>
      <c r="B135" s="1964" t="s">
        <v>78</v>
      </c>
      <c r="C135" s="1962" t="s">
        <v>90</v>
      </c>
      <c r="F135" s="1933"/>
      <c r="G135" s="1933"/>
      <c r="H135" s="1933"/>
      <c r="I135" s="1933"/>
      <c r="J135" s="1990">
        <f>J134*10/100</f>
        <v>10176.265263399999</v>
      </c>
    </row>
    <row r="136" spans="1:10">
      <c r="B136" s="1954"/>
      <c r="C136" s="1933"/>
      <c r="D136" s="1971" t="s">
        <v>98</v>
      </c>
      <c r="H136" s="1950"/>
      <c r="I136" s="1950"/>
      <c r="J136" s="1990">
        <f>SUM(J134:J135)</f>
        <v>111938.91789739998</v>
      </c>
    </row>
    <row r="137" spans="1:10">
      <c r="B137" s="1954"/>
      <c r="C137" s="1933"/>
      <c r="D137" s="1936" t="s">
        <v>81</v>
      </c>
      <c r="H137" s="1950"/>
      <c r="I137" s="1950"/>
      <c r="J137" s="1950">
        <f>ROUND(J136/15,2)</f>
        <v>7462.59</v>
      </c>
    </row>
    <row r="138" spans="1:10">
      <c r="D138" s="1936" t="s">
        <v>52</v>
      </c>
      <c r="H138" s="1950"/>
      <c r="I138" s="1950"/>
      <c r="J138" s="1991">
        <f>ROUND(J137,0)</f>
        <v>7463</v>
      </c>
    </row>
    <row r="139" spans="1:10">
      <c r="D139" s="1936"/>
      <c r="H139" s="1950"/>
      <c r="I139" s="1950"/>
      <c r="J139" s="1990" t="s">
        <v>53</v>
      </c>
    </row>
    <row r="140" spans="1:10" ht="108" hidden="1" customHeight="1">
      <c r="A140" s="1959">
        <v>3</v>
      </c>
      <c r="B140" s="3238" t="s">
        <v>99</v>
      </c>
      <c r="C140" s="3238"/>
      <c r="D140" s="3238"/>
      <c r="E140" s="3238"/>
      <c r="F140" s="3238"/>
      <c r="G140" s="3238"/>
      <c r="H140" s="3238"/>
      <c r="I140" s="3238"/>
      <c r="J140" s="3238"/>
    </row>
    <row r="141" spans="1:10" hidden="1">
      <c r="D141" s="1936" t="s">
        <v>10</v>
      </c>
      <c r="F141" s="1962" t="s">
        <v>100</v>
      </c>
      <c r="J141" s="1930"/>
    </row>
    <row r="142" spans="1:10" hidden="1">
      <c r="D142" s="1936" t="s">
        <v>56</v>
      </c>
      <c r="J142" s="1930"/>
    </row>
    <row r="143" spans="1:10" hidden="1">
      <c r="B143" s="1964" t="s">
        <v>36</v>
      </c>
      <c r="C143" s="1971" t="s">
        <v>37</v>
      </c>
      <c r="J143" s="1930"/>
    </row>
    <row r="144" spans="1:10" hidden="1">
      <c r="B144" s="1954">
        <v>0.64</v>
      </c>
      <c r="C144" s="1933" t="s">
        <v>57</v>
      </c>
      <c r="D144" s="1936" t="s">
        <v>14</v>
      </c>
      <c r="H144" s="1950">
        <f>'SSR-rates'!$H$58</f>
        <v>490</v>
      </c>
      <c r="I144" s="1965" t="s">
        <v>38</v>
      </c>
      <c r="J144" s="1954">
        <f>ROUND(B144*H144,2)</f>
        <v>313.60000000000002</v>
      </c>
    </row>
    <row r="145" spans="1:10" hidden="1">
      <c r="B145" s="1954">
        <v>1</v>
      </c>
      <c r="C145" s="1933" t="s">
        <v>57</v>
      </c>
      <c r="D145" s="1936" t="s">
        <v>58</v>
      </c>
      <c r="H145" s="1950">
        <f>'SSR-rates'!$H$59</f>
        <v>524</v>
      </c>
      <c r="I145" s="1965" t="s">
        <v>38</v>
      </c>
      <c r="J145" s="1954">
        <f>ROUND(B145*H145,2)</f>
        <v>524</v>
      </c>
    </row>
    <row r="146" spans="1:10" hidden="1">
      <c r="B146" s="1954">
        <v>15</v>
      </c>
      <c r="C146" s="1933" t="s">
        <v>57</v>
      </c>
      <c r="D146" s="1936" t="s">
        <v>59</v>
      </c>
      <c r="H146" s="1950">
        <f>'SSR-rates'!$H$60</f>
        <v>490</v>
      </c>
      <c r="I146" s="1965" t="s">
        <v>38</v>
      </c>
      <c r="J146" s="1954">
        <f>ROUND(B146*H146,2)</f>
        <v>7350</v>
      </c>
    </row>
    <row r="147" spans="1:10" hidden="1">
      <c r="A147" s="1962"/>
      <c r="B147" s="1951">
        <f>'Input Data'!$D$23</f>
        <v>0</v>
      </c>
      <c r="C147" s="1937"/>
      <c r="D147" s="1930" t="s">
        <v>17</v>
      </c>
      <c r="F147" s="1933"/>
      <c r="G147" s="1933"/>
      <c r="H147" s="1950">
        <f>SUM(J144:J146)</f>
        <v>8187.6</v>
      </c>
      <c r="I147" s="1965"/>
      <c r="J147" s="1950">
        <f>B147*H147</f>
        <v>0</v>
      </c>
    </row>
    <row r="148" spans="1:10" hidden="1">
      <c r="B148" s="1954"/>
      <c r="C148" s="1933"/>
      <c r="D148" s="1936" t="s">
        <v>60</v>
      </c>
      <c r="H148" s="1950"/>
      <c r="I148" s="1950"/>
      <c r="J148" s="1954">
        <f>SUM(J144:J147)</f>
        <v>8187.6</v>
      </c>
    </row>
    <row r="149" spans="1:10" hidden="1">
      <c r="B149" s="1964" t="s">
        <v>39</v>
      </c>
      <c r="C149" s="1971" t="s">
        <v>61</v>
      </c>
      <c r="H149" s="1950"/>
      <c r="I149" s="1950"/>
      <c r="J149" s="1950"/>
    </row>
    <row r="150" spans="1:10" hidden="1">
      <c r="B150" s="1954">
        <v>13.5</v>
      </c>
      <c r="C150" s="1933" t="s">
        <v>31</v>
      </c>
      <c r="D150" s="1930" t="s">
        <v>62</v>
      </c>
      <c r="H150" s="1950">
        <f>lead!$J$14</f>
        <v>1590.8641904678079</v>
      </c>
      <c r="I150" s="1950" t="s">
        <v>31</v>
      </c>
      <c r="J150" s="1950">
        <f>ROUND(B150*H150,2)</f>
        <v>21476.67</v>
      </c>
    </row>
    <row r="151" spans="1:10" hidden="1">
      <c r="B151" s="1954">
        <v>6.75</v>
      </c>
      <c r="C151" s="1933" t="s">
        <v>31</v>
      </c>
      <c r="D151" s="1936" t="s">
        <v>65</v>
      </c>
      <c r="H151" s="1987">
        <f>lead!J12</f>
        <v>1568.1141904678079</v>
      </c>
      <c r="I151" s="1950" t="s">
        <v>31</v>
      </c>
      <c r="J151" s="1950">
        <f>ROUND(B151*H151,2)</f>
        <v>10584.77</v>
      </c>
    </row>
    <row r="152" spans="1:10" hidden="1">
      <c r="B152" s="1988">
        <v>3.45</v>
      </c>
      <c r="C152" s="1933" t="s">
        <v>66</v>
      </c>
      <c r="D152" s="1936" t="s">
        <v>67</v>
      </c>
      <c r="H152" s="1950">
        <f>'Input Data'!$I$24</f>
        <v>5000</v>
      </c>
      <c r="I152" s="1950" t="s">
        <v>66</v>
      </c>
      <c r="J152" s="1950">
        <f>ROUND(B152*H152,2)</f>
        <v>17250</v>
      </c>
    </row>
    <row r="153" spans="1:10" hidden="1">
      <c r="B153" s="1936"/>
      <c r="D153" s="1936" t="s">
        <v>60</v>
      </c>
      <c r="H153" s="1950"/>
      <c r="I153" s="1950"/>
      <c r="J153" s="1950">
        <f>SUM(J150:J152)</f>
        <v>49311.44</v>
      </c>
    </row>
    <row r="154" spans="1:10" hidden="1">
      <c r="B154" s="1964" t="s">
        <v>27</v>
      </c>
      <c r="C154" s="1971" t="s">
        <v>40</v>
      </c>
      <c r="H154" s="1950"/>
      <c r="I154" s="1950"/>
      <c r="J154" s="1950"/>
    </row>
    <row r="155" spans="1:10" hidden="1">
      <c r="B155" s="1954">
        <v>6</v>
      </c>
      <c r="C155" s="1933" t="s">
        <v>41</v>
      </c>
      <c r="D155" s="1936" t="s">
        <v>68</v>
      </c>
      <c r="H155" s="1950">
        <f>'SSR-rates'!$H$88</f>
        <v>627.6</v>
      </c>
      <c r="I155" s="1950" t="s">
        <v>41</v>
      </c>
      <c r="J155" s="1950">
        <f>ROUND(B155*H155,2)</f>
        <v>3765.6</v>
      </c>
    </row>
    <row r="156" spans="1:10" hidden="1">
      <c r="B156" s="1954">
        <v>6</v>
      </c>
      <c r="C156" s="1933" t="s">
        <v>41</v>
      </c>
      <c r="D156" s="1936" t="s">
        <v>69</v>
      </c>
      <c r="H156" s="1950">
        <f>'SSR-rates'!$H$87</f>
        <v>1237.4000000000001</v>
      </c>
      <c r="I156" s="1950" t="s">
        <v>41</v>
      </c>
      <c r="J156" s="1950">
        <f>ROUND(B156*H156,2)</f>
        <v>7424.4</v>
      </c>
    </row>
    <row r="157" spans="1:10" hidden="1">
      <c r="B157" s="1954">
        <v>2</v>
      </c>
      <c r="C157" s="1933" t="s">
        <v>41</v>
      </c>
      <c r="D157" s="1936" t="s">
        <v>70</v>
      </c>
      <c r="H157" s="1950">
        <f>'SSR-rates'!$H$69</f>
        <v>699</v>
      </c>
      <c r="I157" s="1950" t="s">
        <v>41</v>
      </c>
      <c r="J157" s="1950">
        <f>ROUND(B157*H157,2)</f>
        <v>1398</v>
      </c>
    </row>
    <row r="158" spans="1:10" hidden="1">
      <c r="B158" s="1954"/>
      <c r="C158" s="1937"/>
      <c r="D158" s="1936" t="s">
        <v>60</v>
      </c>
      <c r="H158" s="1950"/>
      <c r="I158" s="1950"/>
      <c r="J158" s="1950">
        <f>SUM(J155:J157)</f>
        <v>12588</v>
      </c>
    </row>
    <row r="159" spans="1:10" hidden="1">
      <c r="B159" s="1964" t="s">
        <v>45</v>
      </c>
      <c r="C159" s="1971" t="s">
        <v>71</v>
      </c>
      <c r="H159" s="1950"/>
      <c r="I159" s="1950"/>
      <c r="J159" s="1950"/>
    </row>
    <row r="160" spans="1:10" hidden="1">
      <c r="B160" s="1936"/>
      <c r="C160" s="1933" t="s">
        <v>29</v>
      </c>
      <c r="D160" s="1930" t="s">
        <v>72</v>
      </c>
      <c r="H160" s="1950">
        <f>J148+J153+J158</f>
        <v>70087.040000000008</v>
      </c>
      <c r="I160" s="1965" t="s">
        <v>73</v>
      </c>
      <c r="J160" s="1950"/>
    </row>
    <row r="161" spans="1:10" hidden="1">
      <c r="A161" s="1962"/>
      <c r="B161" s="1964" t="s">
        <v>47</v>
      </c>
      <c r="C161" s="1962" t="s">
        <v>74</v>
      </c>
      <c r="F161" s="1933"/>
      <c r="G161" s="1933"/>
      <c r="H161" s="1933"/>
      <c r="I161" s="1933"/>
      <c r="J161" s="1990"/>
    </row>
    <row r="162" spans="1:10" hidden="1">
      <c r="A162" s="1962"/>
      <c r="B162" s="1955">
        <f>'Input Data'!$D$25</f>
        <v>0.19614999999999999</v>
      </c>
      <c r="C162" s="3244" t="s">
        <v>75</v>
      </c>
      <c r="D162" s="3245"/>
      <c r="E162" s="3245"/>
      <c r="F162" s="3245"/>
      <c r="G162" s="3246"/>
      <c r="H162" s="1937">
        <f>J160+J158+J153+J148</f>
        <v>70087.040000000008</v>
      </c>
      <c r="I162" s="1933"/>
      <c r="J162" s="1950">
        <f>H162*B162</f>
        <v>13747.572896000001</v>
      </c>
    </row>
    <row r="163" spans="1:10" hidden="1">
      <c r="A163" s="1962"/>
      <c r="B163" s="1964" t="s">
        <v>76</v>
      </c>
      <c r="C163" s="1962" t="s">
        <v>77</v>
      </c>
      <c r="F163" s="1933"/>
      <c r="G163" s="1933"/>
      <c r="H163" s="1933"/>
      <c r="I163" s="1933"/>
      <c r="J163" s="1990">
        <f>J148+J153+J158+J160+J162</f>
        <v>83834.612896000006</v>
      </c>
    </row>
    <row r="164" spans="1:10" hidden="1">
      <c r="A164" s="1962"/>
      <c r="B164" s="1964" t="s">
        <v>78</v>
      </c>
      <c r="C164" s="1962" t="s">
        <v>79</v>
      </c>
      <c r="F164" s="1933"/>
      <c r="G164" s="1933"/>
      <c r="H164" s="1933"/>
      <c r="I164" s="1933"/>
      <c r="J164" s="1990">
        <f>J163*10/100</f>
        <v>8383.4612896000017</v>
      </c>
    </row>
    <row r="165" spans="1:10" hidden="1">
      <c r="B165" s="1954"/>
      <c r="C165" s="1933"/>
      <c r="D165" s="1971" t="s">
        <v>80</v>
      </c>
      <c r="H165" s="1950"/>
      <c r="I165" s="1950"/>
      <c r="J165" s="1990">
        <f>SUM(J163:J164)</f>
        <v>92218.07418560001</v>
      </c>
    </row>
    <row r="166" spans="1:10" hidden="1">
      <c r="B166" s="1954"/>
      <c r="C166" s="1933"/>
      <c r="D166" s="1936" t="s">
        <v>81</v>
      </c>
      <c r="H166" s="1950"/>
      <c r="I166" s="1950"/>
      <c r="J166" s="1950">
        <f>ROUND(J165/15,2)</f>
        <v>6147.87</v>
      </c>
    </row>
    <row r="167" spans="1:10" hidden="1">
      <c r="D167" s="1936" t="s">
        <v>52</v>
      </c>
      <c r="H167" s="1950"/>
      <c r="I167" s="1950"/>
      <c r="J167" s="1991">
        <f>ROUND(J166,0)</f>
        <v>6148</v>
      </c>
    </row>
    <row r="168" spans="1:10" hidden="1">
      <c r="D168" s="1936"/>
      <c r="H168" s="1950"/>
      <c r="I168" s="1950"/>
      <c r="J168" s="1990" t="s">
        <v>53</v>
      </c>
    </row>
    <row r="169" spans="1:10" hidden="1">
      <c r="D169" s="1936"/>
      <c r="H169" s="1950"/>
      <c r="I169" s="1950"/>
      <c r="J169" s="1990"/>
    </row>
    <row r="170" spans="1:10">
      <c r="D170" s="1936"/>
      <c r="H170" s="1950"/>
      <c r="I170" s="1950"/>
      <c r="J170" s="1990"/>
    </row>
    <row r="171" spans="1:10" s="1931" customFormat="1" ht="117" customHeight="1">
      <c r="A171" s="1993"/>
      <c r="B171" s="3250" t="s">
        <v>101</v>
      </c>
      <c r="C171" s="3250"/>
      <c r="D171" s="3250"/>
      <c r="E171" s="3250"/>
      <c r="F171" s="3250"/>
      <c r="G171" s="3250"/>
      <c r="H171" s="3250"/>
      <c r="I171" s="3250"/>
      <c r="J171" s="3250"/>
    </row>
    <row r="172" spans="1:10" s="1931" customFormat="1" ht="15.6">
      <c r="A172" s="1994"/>
      <c r="D172" s="1995" t="s">
        <v>102</v>
      </c>
      <c r="F172" s="1996" t="s">
        <v>103</v>
      </c>
    </row>
    <row r="173" spans="1:10" s="1931" customFormat="1">
      <c r="A173" s="1994"/>
      <c r="D173" s="1995" t="s">
        <v>104</v>
      </c>
    </row>
    <row r="174" spans="1:10" s="1931" customFormat="1" ht="15.6">
      <c r="A174" s="1994"/>
      <c r="D174" s="1997" t="s">
        <v>105</v>
      </c>
    </row>
    <row r="175" spans="1:10" s="1931" customFormat="1" ht="15.6">
      <c r="A175" s="1994"/>
      <c r="B175" s="1998" t="s">
        <v>36</v>
      </c>
      <c r="C175" s="1999" t="s">
        <v>37</v>
      </c>
    </row>
    <row r="176" spans="1:10" s="1931" customFormat="1">
      <c r="A176" s="1994"/>
      <c r="B176" s="2000">
        <v>0.18</v>
      </c>
      <c r="C176" s="1994" t="s">
        <v>106</v>
      </c>
      <c r="D176" s="1995" t="s">
        <v>14</v>
      </c>
      <c r="H176" s="2001">
        <f>'SSR-rates'!$H$58</f>
        <v>490</v>
      </c>
      <c r="I176" s="2005" t="s">
        <v>38</v>
      </c>
      <c r="J176" s="2001">
        <f>ROUND(B176*H176,2)</f>
        <v>88.2</v>
      </c>
    </row>
    <row r="177" spans="1:12" s="1931" customFormat="1">
      <c r="A177" s="1994"/>
      <c r="B177" s="2000">
        <v>0.5</v>
      </c>
      <c r="C177" s="1994" t="s">
        <v>106</v>
      </c>
      <c r="D177" s="1995" t="s">
        <v>58</v>
      </c>
      <c r="H177" s="2001">
        <f>'SSR-rates'!$H$59</f>
        <v>524</v>
      </c>
      <c r="I177" s="2005" t="s">
        <v>38</v>
      </c>
      <c r="J177" s="2001">
        <f>ROUND(B177*H177,2)</f>
        <v>262</v>
      </c>
    </row>
    <row r="178" spans="1:12" s="1931" customFormat="1">
      <c r="A178" s="1994"/>
      <c r="B178" s="2000">
        <v>4</v>
      </c>
      <c r="C178" s="1994" t="s">
        <v>106</v>
      </c>
      <c r="D178" s="1995" t="s">
        <v>59</v>
      </c>
      <c r="H178" s="2001">
        <f>'SSR-rates'!$H$60</f>
        <v>490</v>
      </c>
      <c r="I178" s="2005" t="s">
        <v>38</v>
      </c>
      <c r="J178" s="2001">
        <f>ROUND(B178*H178,2)</f>
        <v>1960</v>
      </c>
    </row>
    <row r="179" spans="1:12" s="1931" customFormat="1" ht="15.6">
      <c r="A179" s="1996"/>
      <c r="B179" s="2002">
        <f>'Input Data'!$D$23</f>
        <v>0</v>
      </c>
      <c r="C179" s="2003"/>
      <c r="D179" s="1931" t="s">
        <v>17</v>
      </c>
      <c r="F179" s="1994"/>
      <c r="G179" s="1994"/>
      <c r="H179" s="2001">
        <f>SUM(J176:J178)</f>
        <v>2310.1999999999998</v>
      </c>
      <c r="I179" s="2005"/>
      <c r="J179" s="2001">
        <f>B179*H179</f>
        <v>0</v>
      </c>
    </row>
    <row r="180" spans="1:12" s="1931" customFormat="1">
      <c r="A180" s="1994"/>
      <c r="B180" s="2000"/>
      <c r="D180" s="1995" t="s">
        <v>60</v>
      </c>
      <c r="H180" s="2001"/>
      <c r="I180" s="2001"/>
      <c r="J180" s="2001">
        <f>SUM(J176:J179)</f>
        <v>2310.1999999999998</v>
      </c>
    </row>
    <row r="181" spans="1:12" s="1931" customFormat="1" ht="15.6">
      <c r="A181" s="1994"/>
      <c r="B181" s="1998" t="s">
        <v>39</v>
      </c>
      <c r="C181" s="1999" t="s">
        <v>61</v>
      </c>
      <c r="H181" s="2001"/>
      <c r="I181" s="2001"/>
      <c r="J181" s="2001"/>
    </row>
    <row r="182" spans="1:12" s="1931" customFormat="1">
      <c r="A182" s="1994"/>
      <c r="B182" s="2000">
        <v>12.5</v>
      </c>
      <c r="C182" s="1994" t="s">
        <v>107</v>
      </c>
      <c r="D182" s="1995" t="s">
        <v>108</v>
      </c>
      <c r="H182" s="2001">
        <f>lead!$J$44</f>
        <v>11330.080326981471</v>
      </c>
      <c r="I182" s="2001" t="s">
        <v>107</v>
      </c>
      <c r="J182" s="2001">
        <f>ROUND(B182*H182,2)</f>
        <v>141626</v>
      </c>
    </row>
    <row r="183" spans="1:12" s="1931" customFormat="1">
      <c r="A183" s="1994"/>
      <c r="B183" s="2000"/>
      <c r="C183" s="2003"/>
      <c r="D183" s="1995" t="s">
        <v>60</v>
      </c>
      <c r="H183" s="2001"/>
      <c r="I183" s="2001"/>
      <c r="J183" s="2001">
        <f>SUM(J182:J182)</f>
        <v>141626</v>
      </c>
    </row>
    <row r="184" spans="1:12" s="1931" customFormat="1" ht="15.6">
      <c r="A184" s="1996"/>
      <c r="B184" s="1998" t="s">
        <v>27</v>
      </c>
      <c r="C184" s="1996" t="s">
        <v>109</v>
      </c>
      <c r="F184" s="1994"/>
      <c r="G184" s="1994"/>
      <c r="H184" s="1994"/>
      <c r="I184" s="1994"/>
      <c r="J184" s="2006"/>
    </row>
    <row r="185" spans="1:12" s="1931" customFormat="1" ht="15.6">
      <c r="A185" s="1996"/>
      <c r="B185" s="2004">
        <f>'Input Data'!$D$25</f>
        <v>0.19614999999999999</v>
      </c>
      <c r="C185" s="2003"/>
      <c r="D185" s="1995" t="str">
        <f>"Over head charges "&amp;'Input Data'!$D$25*100&amp;"%  on (A) + (B)"</f>
        <v>Over head charges 19.615%  on (A) + (B)</v>
      </c>
      <c r="F185" s="1994"/>
      <c r="G185" s="1994"/>
      <c r="H185" s="2003">
        <f>J183+J180</f>
        <v>143936.20000000001</v>
      </c>
      <c r="I185" s="1994"/>
      <c r="J185" s="2001">
        <f>H185*B185</f>
        <v>28233.085630000001</v>
      </c>
    </row>
    <row r="186" spans="1:12" s="1931" customFormat="1" ht="15.6">
      <c r="A186" s="1996"/>
      <c r="B186" s="1998" t="s">
        <v>45</v>
      </c>
      <c r="C186" s="1996" t="s">
        <v>46</v>
      </c>
      <c r="F186" s="1994"/>
      <c r="G186" s="1994"/>
      <c r="H186" s="1994"/>
      <c r="I186" s="1994"/>
      <c r="J186" s="2006">
        <f>J180+J183+J185</f>
        <v>172169.28563</v>
      </c>
    </row>
    <row r="187" spans="1:12" s="1931" customFormat="1" ht="15.6">
      <c r="A187" s="1996"/>
      <c r="B187" s="1998" t="s">
        <v>47</v>
      </c>
      <c r="C187" s="1996" t="s">
        <v>48</v>
      </c>
      <c r="F187" s="1994"/>
      <c r="G187" s="1994"/>
      <c r="H187" s="1994"/>
      <c r="I187" s="1994"/>
      <c r="J187" s="2006">
        <f>J186*10/100</f>
        <v>17216.928563000001</v>
      </c>
    </row>
    <row r="188" spans="1:12" s="1931" customFormat="1" ht="15.6">
      <c r="A188" s="1994"/>
      <c r="B188" s="2000"/>
      <c r="C188" s="1994"/>
      <c r="D188" s="1999" t="s">
        <v>110</v>
      </c>
      <c r="H188" s="2001"/>
      <c r="I188" s="2001"/>
      <c r="J188" s="2006">
        <f>SUM(J186:J187)</f>
        <v>189386.21419299999</v>
      </c>
    </row>
    <row r="189" spans="1:12" s="1931" customFormat="1">
      <c r="A189" s="1994"/>
      <c r="B189" s="2000"/>
      <c r="C189" s="1994"/>
      <c r="D189" s="1995" t="s">
        <v>111</v>
      </c>
      <c r="H189" s="2001"/>
      <c r="I189" s="2001"/>
      <c r="J189" s="2001">
        <f>ROUND(J188/12.5,2)</f>
        <v>15150.9</v>
      </c>
    </row>
    <row r="190" spans="1:12" s="1931" customFormat="1" ht="15.6">
      <c r="A190" s="1994"/>
      <c r="D190" s="1995" t="s">
        <v>52</v>
      </c>
      <c r="H190" s="2001"/>
      <c r="I190" s="2001"/>
      <c r="J190" s="2007">
        <f>ROUND(J189,0)</f>
        <v>15151</v>
      </c>
      <c r="K190" s="1931">
        <v>10089</v>
      </c>
      <c r="L190" s="1931">
        <f>J190*2</f>
        <v>30302</v>
      </c>
    </row>
    <row r="191" spans="1:12" s="1931" customFormat="1" ht="15.6">
      <c r="A191" s="1994"/>
      <c r="D191" s="1995"/>
      <c r="H191" s="2001"/>
      <c r="I191" s="2001"/>
      <c r="J191" s="2006" t="s">
        <v>112</v>
      </c>
    </row>
    <row r="192" spans="1:12" s="1931" customFormat="1" ht="15.6">
      <c r="A192" s="1994"/>
      <c r="D192" s="1995"/>
      <c r="H192" s="2001"/>
      <c r="I192" s="2001"/>
      <c r="J192" s="2006"/>
    </row>
    <row r="193" spans="1:10" ht="62.25" customHeight="1">
      <c r="A193" s="1959"/>
      <c r="B193" s="3238" t="s">
        <v>113</v>
      </c>
      <c r="C193" s="3238"/>
      <c r="D193" s="3238"/>
      <c r="E193" s="3238"/>
      <c r="F193" s="3238"/>
      <c r="G193" s="3238"/>
      <c r="H193" s="3238"/>
      <c r="I193" s="3238"/>
      <c r="J193" s="3238"/>
    </row>
    <row r="194" spans="1:10">
      <c r="D194" s="1936" t="s">
        <v>10</v>
      </c>
      <c r="F194" s="1962" t="s">
        <v>114</v>
      </c>
      <c r="J194" s="1930"/>
    </row>
    <row r="195" spans="1:10">
      <c r="D195" s="1936" t="s">
        <v>115</v>
      </c>
      <c r="J195" s="1930"/>
    </row>
    <row r="196" spans="1:10">
      <c r="B196" s="1964" t="s">
        <v>36</v>
      </c>
      <c r="C196" s="1971" t="s">
        <v>37</v>
      </c>
      <c r="J196" s="1930"/>
    </row>
    <row r="197" spans="1:10">
      <c r="B197" s="1954">
        <v>0.05</v>
      </c>
      <c r="C197" s="1933" t="s">
        <v>57</v>
      </c>
      <c r="D197" s="1936" t="s">
        <v>14</v>
      </c>
      <c r="H197" s="1950">
        <f>'SSR-rates'!H$58</f>
        <v>490</v>
      </c>
      <c r="I197" s="1965" t="s">
        <v>38</v>
      </c>
      <c r="J197" s="1950">
        <f>ROUND(B197*H197,2)</f>
        <v>24.5</v>
      </c>
    </row>
    <row r="198" spans="1:10">
      <c r="B198" s="1954">
        <v>0.25</v>
      </c>
      <c r="C198" s="1933" t="s">
        <v>57</v>
      </c>
      <c r="D198" s="1936" t="s">
        <v>15</v>
      </c>
      <c r="H198" s="1950">
        <f>'SSR-rates'!H59</f>
        <v>524</v>
      </c>
      <c r="I198" s="1965" t="s">
        <v>38</v>
      </c>
      <c r="J198" s="1950">
        <f>ROUND(B198*H198,2)</f>
        <v>131</v>
      </c>
    </row>
    <row r="199" spans="1:10">
      <c r="B199" s="1954">
        <v>1</v>
      </c>
      <c r="C199" s="1933" t="s">
        <v>57</v>
      </c>
      <c r="D199" s="1936" t="s">
        <v>59</v>
      </c>
      <c r="H199" s="1950">
        <f>'SSR-rates'!H$60</f>
        <v>490</v>
      </c>
      <c r="I199" s="1965" t="s">
        <v>38</v>
      </c>
      <c r="J199" s="1950">
        <f>ROUND(B199*H199,2)</f>
        <v>490</v>
      </c>
    </row>
    <row r="200" spans="1:10">
      <c r="A200" s="1962"/>
      <c r="B200" s="1951">
        <f>'Input Data'!$D$23</f>
        <v>0</v>
      </c>
      <c r="C200" s="1937"/>
      <c r="D200" s="1930" t="s">
        <v>17</v>
      </c>
      <c r="F200" s="1933"/>
      <c r="G200" s="1933"/>
      <c r="H200" s="1950">
        <f>SUM(J197:J199)</f>
        <v>645.5</v>
      </c>
      <c r="I200" s="1965"/>
      <c r="J200" s="1950">
        <f>B200*H200</f>
        <v>0</v>
      </c>
    </row>
    <row r="201" spans="1:10">
      <c r="B201" s="1936" t="s">
        <v>85</v>
      </c>
      <c r="D201" s="1936" t="s">
        <v>60</v>
      </c>
      <c r="H201" s="1950"/>
      <c r="I201" s="1965"/>
      <c r="J201" s="1950">
        <f>SUM(J197:J200)</f>
        <v>645.5</v>
      </c>
    </row>
    <row r="202" spans="1:10">
      <c r="B202" s="1936"/>
      <c r="D202" s="1936"/>
      <c r="H202" s="1950"/>
      <c r="I202" s="1950"/>
      <c r="J202" s="1950"/>
    </row>
    <row r="203" spans="1:10">
      <c r="B203" s="1964" t="s">
        <v>39</v>
      </c>
      <c r="C203" s="1971" t="s">
        <v>61</v>
      </c>
      <c r="H203" s="1950"/>
      <c r="I203" s="1950"/>
      <c r="J203" s="1950"/>
    </row>
    <row r="204" spans="1:10">
      <c r="B204" s="1954">
        <v>1.2</v>
      </c>
      <c r="C204" s="1933" t="s">
        <v>31</v>
      </c>
      <c r="D204" s="1936" t="s">
        <v>86</v>
      </c>
      <c r="H204" s="1950">
        <f>lead!J$34</f>
        <v>250.09052501870349</v>
      </c>
      <c r="I204" s="1950" t="s">
        <v>31</v>
      </c>
      <c r="J204" s="1950">
        <f>ROUND(B204*H204,2)</f>
        <v>300.11</v>
      </c>
    </row>
    <row r="205" spans="1:10">
      <c r="B205" s="1936"/>
      <c r="D205" s="1936" t="s">
        <v>60</v>
      </c>
      <c r="H205" s="1950"/>
      <c r="I205" s="1950"/>
      <c r="J205" s="1950">
        <f>SUM(J204:J204)</f>
        <v>300.11</v>
      </c>
    </row>
    <row r="206" spans="1:10">
      <c r="A206" s="1962"/>
      <c r="B206" s="1964" t="s">
        <v>27</v>
      </c>
      <c r="C206" s="1962" t="s">
        <v>74</v>
      </c>
      <c r="F206" s="1933"/>
      <c r="G206" s="1933"/>
      <c r="H206" s="1933"/>
      <c r="I206" s="1933"/>
      <c r="J206" s="1990"/>
    </row>
    <row r="207" spans="1:10" ht="27.75" customHeight="1">
      <c r="A207" s="1962"/>
      <c r="B207" s="1955">
        <f>'Input Data'!$D$25</f>
        <v>0.19614999999999999</v>
      </c>
      <c r="C207" s="3247" t="str">
        <f>"Over head charges "&amp;'Input Data'!$D$25*100&amp;"%  on (A) + (B)"</f>
        <v>Over head charges 19.615%  on (A) + (B)</v>
      </c>
      <c r="D207" s="3248"/>
      <c r="E207" s="3248"/>
      <c r="F207" s="3248"/>
      <c r="G207" s="3249"/>
      <c r="H207" s="1937">
        <f>J205+J201</f>
        <v>945.61</v>
      </c>
      <c r="I207" s="1933"/>
      <c r="J207" s="1950">
        <f>H207*B207</f>
        <v>185.4814015</v>
      </c>
    </row>
    <row r="208" spans="1:10">
      <c r="A208" s="1962"/>
      <c r="B208" s="1964" t="s">
        <v>47</v>
      </c>
      <c r="C208" s="1962" t="s">
        <v>89</v>
      </c>
      <c r="F208" s="1933"/>
      <c r="G208" s="1933"/>
      <c r="H208" s="1933"/>
      <c r="I208" s="1933"/>
      <c r="J208" s="1990">
        <f>J201+J205+J207</f>
        <v>1131.0914015000001</v>
      </c>
    </row>
    <row r="209" spans="1:10">
      <c r="A209" s="1962"/>
      <c r="B209" s="1964" t="s">
        <v>76</v>
      </c>
      <c r="C209" s="1962" t="s">
        <v>90</v>
      </c>
      <c r="F209" s="1933"/>
      <c r="G209" s="1933"/>
      <c r="H209" s="1933"/>
      <c r="I209" s="1933"/>
      <c r="J209" s="1990">
        <f>J208*10/100</f>
        <v>113.10914015</v>
      </c>
    </row>
    <row r="210" spans="1:10">
      <c r="B210" s="1954"/>
      <c r="C210" s="1933"/>
      <c r="D210" s="1971" t="s">
        <v>91</v>
      </c>
      <c r="H210" s="1950"/>
      <c r="I210" s="1950"/>
      <c r="J210" s="1990">
        <f>SUM(J208:J209)</f>
        <v>1244.2005416500001</v>
      </c>
    </row>
    <row r="211" spans="1:10">
      <c r="B211" s="1954"/>
      <c r="C211" s="1933"/>
      <c r="D211" s="1936" t="s">
        <v>50</v>
      </c>
      <c r="H211" s="1950"/>
      <c r="I211" s="1950"/>
      <c r="J211" s="1950">
        <f>J210</f>
        <v>1244.2005416500001</v>
      </c>
    </row>
    <row r="212" spans="1:10">
      <c r="D212" s="1936" t="s">
        <v>52</v>
      </c>
      <c r="H212" s="1950"/>
      <c r="I212" s="1950"/>
      <c r="J212" s="1991">
        <f>ROUND(J211,0)</f>
        <v>1244</v>
      </c>
    </row>
    <row r="213" spans="1:10">
      <c r="D213" s="1936"/>
      <c r="H213" s="1950"/>
      <c r="I213" s="1950"/>
      <c r="J213" s="1990" t="s">
        <v>53</v>
      </c>
    </row>
    <row r="214" spans="1:10">
      <c r="D214" s="1936"/>
      <c r="H214" s="1950"/>
      <c r="I214" s="1950"/>
      <c r="J214" s="1990"/>
    </row>
    <row r="215" spans="1:10" ht="82.5" customHeight="1">
      <c r="A215" s="2008"/>
      <c r="B215" s="3238" t="s">
        <v>116</v>
      </c>
      <c r="C215" s="3238"/>
      <c r="D215" s="3238"/>
      <c r="E215" s="3238"/>
      <c r="F215" s="3238"/>
      <c r="G215" s="3238"/>
      <c r="H215" s="3238"/>
      <c r="I215" s="3238"/>
      <c r="J215" s="3238"/>
    </row>
    <row r="216" spans="1:10">
      <c r="D216" s="1936" t="s">
        <v>10</v>
      </c>
      <c r="F216" s="1962" t="s">
        <v>117</v>
      </c>
      <c r="J216" s="1930"/>
    </row>
    <row r="217" spans="1:10">
      <c r="D217" s="1936" t="s">
        <v>115</v>
      </c>
      <c r="J217" s="1930"/>
    </row>
    <row r="218" spans="1:10">
      <c r="B218" s="1964" t="s">
        <v>36</v>
      </c>
      <c r="C218" s="1971" t="s">
        <v>37</v>
      </c>
      <c r="J218" s="1930"/>
    </row>
    <row r="219" spans="1:10">
      <c r="B219" s="1954">
        <v>0.04</v>
      </c>
      <c r="C219" s="1933" t="s">
        <v>57</v>
      </c>
      <c r="D219" s="1936" t="s">
        <v>14</v>
      </c>
      <c r="H219" s="1950">
        <f>'SSR-rates'!H$58</f>
        <v>490</v>
      </c>
      <c r="I219" s="1965" t="s">
        <v>38</v>
      </c>
      <c r="J219" s="1950">
        <f>ROUND(B219*H219,2)</f>
        <v>19.600000000000001</v>
      </c>
    </row>
    <row r="220" spans="1:10">
      <c r="B220" s="1954">
        <v>0.35</v>
      </c>
      <c r="C220" s="1933" t="s">
        <v>57</v>
      </c>
      <c r="D220" s="1936" t="s">
        <v>58</v>
      </c>
      <c r="H220" s="1950">
        <f>'SSR-rates'!H$59</f>
        <v>524</v>
      </c>
      <c r="I220" s="1965" t="s">
        <v>38</v>
      </c>
      <c r="J220" s="1950">
        <f>ROUND(B220*H220,2)</f>
        <v>183.4</v>
      </c>
    </row>
    <row r="221" spans="1:10">
      <c r="B221" s="1954">
        <v>0.75</v>
      </c>
      <c r="C221" s="1933" t="s">
        <v>57</v>
      </c>
      <c r="D221" s="1936" t="s">
        <v>59</v>
      </c>
      <c r="H221" s="1950">
        <f>'SSR-rates'!H$60</f>
        <v>490</v>
      </c>
      <c r="I221" s="1965" t="s">
        <v>38</v>
      </c>
      <c r="J221" s="1950">
        <f>ROUND(B221*H221,2)</f>
        <v>367.5</v>
      </c>
    </row>
    <row r="222" spans="1:10">
      <c r="A222" s="1962"/>
      <c r="B222" s="1951">
        <f>'Input Data'!$D$23</f>
        <v>0</v>
      </c>
      <c r="C222" s="1937"/>
      <c r="D222" s="1930" t="s">
        <v>17</v>
      </c>
      <c r="F222" s="1933"/>
      <c r="G222" s="1933"/>
      <c r="H222" s="1950">
        <f>SUM(J219:J221)</f>
        <v>570.5</v>
      </c>
      <c r="I222" s="1965"/>
      <c r="J222" s="1950">
        <f>B222*H222</f>
        <v>0</v>
      </c>
    </row>
    <row r="223" spans="1:10">
      <c r="B223" s="1936" t="s">
        <v>85</v>
      </c>
      <c r="D223" s="1936" t="s">
        <v>60</v>
      </c>
      <c r="H223" s="1950"/>
      <c r="I223" s="1965"/>
      <c r="J223" s="1950">
        <f>SUM(J219:J222)</f>
        <v>570.5</v>
      </c>
    </row>
    <row r="224" spans="1:10">
      <c r="B224" s="1936"/>
      <c r="D224" s="1936"/>
      <c r="H224" s="1950"/>
      <c r="I224" s="1950"/>
      <c r="J224" s="1950"/>
    </row>
    <row r="225" spans="1:10">
      <c r="B225" s="1964" t="s">
        <v>39</v>
      </c>
      <c r="C225" s="1971" t="s">
        <v>61</v>
      </c>
      <c r="H225" s="1950"/>
      <c r="I225" s="1950"/>
      <c r="J225" s="1950"/>
    </row>
    <row r="226" spans="1:10">
      <c r="B226" s="1954">
        <v>1</v>
      </c>
      <c r="C226" s="1933" t="s">
        <v>31</v>
      </c>
      <c r="D226" s="1936" t="s">
        <v>118</v>
      </c>
      <c r="H226" s="1950">
        <f>lead!J$23</f>
        <v>954.86419046780804</v>
      </c>
      <c r="I226" s="1950" t="s">
        <v>31</v>
      </c>
      <c r="J226" s="1950">
        <f>ROUND(B226*H226,2)</f>
        <v>954.86</v>
      </c>
    </row>
    <row r="227" spans="1:10">
      <c r="B227" s="1954">
        <v>0.2</v>
      </c>
      <c r="C227" s="1933" t="s">
        <v>31</v>
      </c>
      <c r="D227" s="1936" t="s">
        <v>119</v>
      </c>
      <c r="H227" s="1950">
        <f>lead!J$25</f>
        <v>725.86419046780804</v>
      </c>
      <c r="I227" s="1950" t="s">
        <v>31</v>
      </c>
      <c r="J227" s="1950">
        <f>ROUND(B227*H227,2)</f>
        <v>145.16999999999999</v>
      </c>
    </row>
    <row r="228" spans="1:10">
      <c r="B228" s="1936"/>
      <c r="D228" s="1936" t="s">
        <v>60</v>
      </c>
      <c r="H228" s="1950"/>
      <c r="I228" s="1950"/>
      <c r="J228" s="1950">
        <f>SUM(J226:J227)</f>
        <v>1100.03</v>
      </c>
    </row>
    <row r="229" spans="1:10">
      <c r="A229" s="1962"/>
      <c r="B229" s="1964" t="s">
        <v>45</v>
      </c>
      <c r="C229" s="1962" t="s">
        <v>97</v>
      </c>
      <c r="F229" s="1933"/>
      <c r="G229" s="1933"/>
      <c r="H229" s="1933"/>
      <c r="I229" s="1933"/>
      <c r="J229" s="1990"/>
    </row>
    <row r="230" spans="1:10" ht="25.5" customHeight="1">
      <c r="A230" s="1962"/>
      <c r="B230" s="1955">
        <f>'Input Data'!$D$25</f>
        <v>0.19614999999999999</v>
      </c>
      <c r="C230" s="3247" t="str">
        <f>"Over head charges "&amp;'Input Data'!$D$25*100&amp;"%  on (A) + (B)+(C)+(D)"</f>
        <v>Over head charges 19.615%  on (A) + (B)+(C)+(D)</v>
      </c>
      <c r="D230" s="3248"/>
      <c r="E230" s="3248"/>
      <c r="F230" s="3248"/>
      <c r="G230" s="3249"/>
      <c r="H230" s="1937">
        <f>J228+J223</f>
        <v>1670.53</v>
      </c>
      <c r="I230" s="1933"/>
      <c r="J230" s="1950">
        <f>H230*B230</f>
        <v>327.67445949999995</v>
      </c>
    </row>
    <row r="231" spans="1:10">
      <c r="A231" s="1962"/>
      <c r="B231" s="1964" t="s">
        <v>47</v>
      </c>
      <c r="C231" s="1962" t="s">
        <v>89</v>
      </c>
      <c r="F231" s="1933"/>
      <c r="G231" s="1933"/>
      <c r="H231" s="1933"/>
      <c r="I231" s="1933"/>
      <c r="J231" s="1990">
        <f>J223+J228+J230</f>
        <v>1998.2044595</v>
      </c>
    </row>
    <row r="232" spans="1:10">
      <c r="A232" s="1962"/>
      <c r="B232" s="1964" t="s">
        <v>76</v>
      </c>
      <c r="C232" s="1962" t="s">
        <v>90</v>
      </c>
      <c r="F232" s="1933"/>
      <c r="G232" s="1933"/>
      <c r="H232" s="1933"/>
      <c r="I232" s="1933"/>
      <c r="J232" s="1990">
        <f>J231*10/100</f>
        <v>199.82044594999999</v>
      </c>
    </row>
    <row r="233" spans="1:10">
      <c r="B233" s="1954"/>
      <c r="C233" s="1933"/>
      <c r="D233" s="1971" t="s">
        <v>120</v>
      </c>
      <c r="H233" s="1950"/>
      <c r="I233" s="1950"/>
      <c r="J233" s="1990">
        <f>SUM(J231:J232)</f>
        <v>2198.02490545</v>
      </c>
    </row>
    <row r="234" spans="1:10">
      <c r="D234" s="1936" t="s">
        <v>52</v>
      </c>
      <c r="H234" s="1950"/>
      <c r="I234" s="1950"/>
      <c r="J234" s="1991">
        <f>ROUND(J233,0)</f>
        <v>2198</v>
      </c>
    </row>
    <row r="235" spans="1:10">
      <c r="D235" s="1936"/>
      <c r="H235" s="1950"/>
      <c r="I235" s="1950"/>
      <c r="J235" s="1991"/>
    </row>
    <row r="236" spans="1:10" ht="113.25" customHeight="1">
      <c r="A236" s="1959"/>
      <c r="B236" s="3238" t="s">
        <v>121</v>
      </c>
      <c r="C236" s="3238"/>
      <c r="D236" s="3238"/>
      <c r="E236" s="3238"/>
      <c r="F236" s="3238"/>
      <c r="G236" s="3238"/>
      <c r="H236" s="3238"/>
      <c r="I236" s="3238"/>
      <c r="J236" s="3238"/>
    </row>
    <row r="237" spans="1:10">
      <c r="A237" s="1962"/>
      <c r="B237" s="3239" t="s">
        <v>33</v>
      </c>
      <c r="C237" s="3239"/>
      <c r="D237" s="1961"/>
      <c r="E237" s="1961"/>
      <c r="F237" s="1961"/>
      <c r="G237" s="1961"/>
      <c r="H237" s="1963"/>
      <c r="I237" s="1963"/>
      <c r="J237" s="1963"/>
    </row>
    <row r="238" spans="1:10">
      <c r="A238" s="1962"/>
      <c r="B238" s="3239" t="s">
        <v>122</v>
      </c>
      <c r="C238" s="3239"/>
      <c r="D238" s="3239"/>
      <c r="E238" s="3239"/>
      <c r="F238" s="1962" t="s">
        <v>123</v>
      </c>
      <c r="G238" s="1961"/>
      <c r="H238" s="1963"/>
      <c r="I238" s="1963"/>
      <c r="J238" s="1963"/>
    </row>
    <row r="239" spans="1:10">
      <c r="A239" s="1962"/>
      <c r="B239" s="1964" t="s">
        <v>36</v>
      </c>
      <c r="C239" s="1962" t="s">
        <v>37</v>
      </c>
      <c r="D239" s="1961"/>
      <c r="E239" s="1961"/>
      <c r="F239" s="1961"/>
      <c r="G239" s="1961"/>
      <c r="H239" s="1963"/>
      <c r="I239" s="1963"/>
      <c r="J239" s="1963"/>
    </row>
    <row r="240" spans="1:10">
      <c r="A240" s="1962"/>
      <c r="B240" s="1965">
        <v>0.04</v>
      </c>
      <c r="C240" s="1937" t="s">
        <v>38</v>
      </c>
      <c r="D240" s="1961"/>
      <c r="E240" s="1933" t="s">
        <v>14</v>
      </c>
      <c r="F240" s="1961"/>
      <c r="G240" s="1961"/>
      <c r="H240" s="1950">
        <f>'SSR-rates'!$H$58</f>
        <v>490</v>
      </c>
      <c r="I240" s="1965" t="s">
        <v>38</v>
      </c>
      <c r="J240" s="1950">
        <f>ROUND(B240*H240,2)</f>
        <v>19.600000000000001</v>
      </c>
    </row>
    <row r="241" spans="1:10">
      <c r="A241" s="1962"/>
      <c r="B241" s="1950">
        <v>0.35</v>
      </c>
      <c r="C241" s="1937" t="s">
        <v>38</v>
      </c>
      <c r="D241" s="1933"/>
      <c r="E241" s="1933" t="s">
        <v>58</v>
      </c>
      <c r="F241" s="1933"/>
      <c r="G241" s="1933"/>
      <c r="H241" s="1950">
        <f>'SSR-rates'!H59</f>
        <v>524</v>
      </c>
      <c r="I241" s="1965" t="s">
        <v>38</v>
      </c>
      <c r="J241" s="1950">
        <f>ROUND(B241*H241,2)</f>
        <v>183.4</v>
      </c>
    </row>
    <row r="242" spans="1:10">
      <c r="A242" s="1962"/>
      <c r="B242" s="1950">
        <v>0.75</v>
      </c>
      <c r="C242" s="1937" t="s">
        <v>38</v>
      </c>
      <c r="D242" s="1933"/>
      <c r="E242" s="1933" t="s">
        <v>124</v>
      </c>
      <c r="F242" s="1933"/>
      <c r="G242" s="1933"/>
      <c r="H242" s="1950">
        <f>'SSR-rates'!$H$60</f>
        <v>490</v>
      </c>
      <c r="I242" s="1965" t="s">
        <v>38</v>
      </c>
      <c r="J242" s="1950">
        <f>ROUND(B242*H242,2)</f>
        <v>367.5</v>
      </c>
    </row>
    <row r="243" spans="1:10" ht="15.75" customHeight="1">
      <c r="A243" s="1962"/>
      <c r="B243" s="1951">
        <f>'Input Data'!$D$23</f>
        <v>0</v>
      </c>
      <c r="C243" s="1937"/>
      <c r="D243" s="1930" t="s">
        <v>17</v>
      </c>
      <c r="F243" s="1933"/>
      <c r="G243" s="1933"/>
      <c r="H243" s="1950">
        <f>SUM(J240:J242)</f>
        <v>570.5</v>
      </c>
      <c r="I243" s="1965"/>
      <c r="J243" s="1950">
        <f>B243*H243</f>
        <v>0</v>
      </c>
    </row>
    <row r="244" spans="1:10">
      <c r="A244" s="1962"/>
      <c r="B244" s="1950"/>
      <c r="C244" s="1937"/>
      <c r="D244" s="1933"/>
      <c r="E244" s="1933"/>
      <c r="F244" s="1933"/>
      <c r="G244" s="1933"/>
      <c r="H244" s="1950"/>
      <c r="I244" s="1965"/>
      <c r="J244" s="1950">
        <f>SUM(J240:J243)</f>
        <v>570.5</v>
      </c>
    </row>
    <row r="245" spans="1:10">
      <c r="A245" s="1962"/>
      <c r="B245" s="1964" t="s">
        <v>39</v>
      </c>
      <c r="C245" s="1962" t="s">
        <v>61</v>
      </c>
      <c r="F245" s="1933"/>
      <c r="G245" s="1933"/>
      <c r="H245" s="1933"/>
      <c r="I245" s="1933"/>
      <c r="J245" s="1930"/>
    </row>
    <row r="246" spans="1:10">
      <c r="A246" s="1962"/>
      <c r="B246" s="1968">
        <v>1</v>
      </c>
      <c r="C246" s="1967" t="s">
        <v>31</v>
      </c>
      <c r="D246" s="3243" t="s">
        <v>118</v>
      </c>
      <c r="E246" s="3243"/>
      <c r="F246" s="3243"/>
      <c r="G246" s="3243"/>
      <c r="H246" s="1968">
        <f>lead!J23</f>
        <v>954.86419046780804</v>
      </c>
      <c r="I246" s="1968" t="s">
        <v>31</v>
      </c>
      <c r="J246" s="1968">
        <f>ROUND(B246*H246,2)</f>
        <v>954.86</v>
      </c>
    </row>
    <row r="247" spans="1:10">
      <c r="A247" s="1962"/>
      <c r="B247" s="1968">
        <v>0.2</v>
      </c>
      <c r="C247" s="1967"/>
      <c r="D247" s="1933" t="s">
        <v>125</v>
      </c>
      <c r="E247" s="1969"/>
      <c r="F247" s="1969"/>
      <c r="G247" s="1969"/>
      <c r="H247" s="1968">
        <f>lead!J25</f>
        <v>725.86419046780804</v>
      </c>
      <c r="I247" s="1968"/>
      <c r="J247" s="1968">
        <f>ROUND(B247*H247,2)</f>
        <v>145.16999999999999</v>
      </c>
    </row>
    <row r="248" spans="1:10">
      <c r="A248" s="1962"/>
      <c r="B248" s="1968"/>
      <c r="C248" s="1967"/>
      <c r="D248" s="1969"/>
      <c r="E248" s="1969"/>
      <c r="F248" s="1969"/>
      <c r="G248" s="1969"/>
      <c r="H248" s="1968"/>
      <c r="I248" s="1968"/>
      <c r="J248" s="1968">
        <f>SUM(J246:J247)</f>
        <v>1100.03</v>
      </c>
    </row>
    <row r="249" spans="1:10">
      <c r="A249" s="1962"/>
      <c r="B249" s="1950"/>
      <c r="C249" s="1937"/>
      <c r="D249" s="1933"/>
      <c r="F249" s="1933"/>
      <c r="G249" s="1933"/>
      <c r="H249" s="1950"/>
      <c r="I249" s="1950"/>
      <c r="J249" s="1930"/>
    </row>
    <row r="250" spans="1:10">
      <c r="B250" s="1955">
        <f>'Input Data'!$D$25</f>
        <v>0.19614999999999999</v>
      </c>
      <c r="C250" s="1933" t="str">
        <f>"Over head charges "&amp;'Input Data'!$D$25*100&amp;"%  on (A) + (B)"</f>
        <v>Over head charges 19.615%  on (A) + (B)</v>
      </c>
      <c r="H250" s="1936">
        <f>J248+J244</f>
        <v>1670.53</v>
      </c>
      <c r="J250" s="1950">
        <f>H250*B250</f>
        <v>327.67445949999995</v>
      </c>
    </row>
    <row r="251" spans="1:10">
      <c r="A251" s="1962"/>
      <c r="B251" s="1964" t="s">
        <v>45</v>
      </c>
      <c r="C251" s="1933" t="s">
        <v>46</v>
      </c>
      <c r="F251" s="1933"/>
      <c r="G251" s="1933"/>
      <c r="H251" s="1933"/>
      <c r="I251" s="1933"/>
      <c r="J251" s="1990">
        <f>J244+J248+J250</f>
        <v>1998.2044595</v>
      </c>
    </row>
    <row r="252" spans="1:10">
      <c r="A252" s="1962"/>
      <c r="B252" s="1964" t="s">
        <v>47</v>
      </c>
      <c r="C252" s="1933" t="s">
        <v>48</v>
      </c>
      <c r="D252" s="1933"/>
      <c r="F252" s="1933"/>
      <c r="G252" s="1933"/>
      <c r="H252" s="1933"/>
      <c r="I252" s="1933"/>
      <c r="J252" s="1990">
        <f>J251*10/100</f>
        <v>199.82044594999999</v>
      </c>
    </row>
    <row r="253" spans="1:10">
      <c r="A253" s="1962"/>
      <c r="B253" s="1933"/>
      <c r="C253" s="1933" t="s">
        <v>126</v>
      </c>
      <c r="D253" s="1933"/>
      <c r="F253" s="1933"/>
      <c r="G253" s="1933"/>
      <c r="H253" s="1933"/>
      <c r="I253" s="1933"/>
      <c r="J253" s="1990">
        <f>SUM(J251:J252)</f>
        <v>2198.02490545</v>
      </c>
    </row>
    <row r="254" spans="1:10">
      <c r="A254" s="1962"/>
      <c r="B254" s="1933"/>
      <c r="C254" s="1933" t="s">
        <v>127</v>
      </c>
      <c r="D254" s="1933"/>
      <c r="F254" s="1933"/>
      <c r="G254" s="1933"/>
      <c r="H254" s="1933"/>
      <c r="I254" s="1933"/>
      <c r="J254" s="1950">
        <f>J253/1</f>
        <v>2198.02490545</v>
      </c>
    </row>
    <row r="255" spans="1:10">
      <c r="A255" s="1962"/>
      <c r="B255" s="1950"/>
      <c r="C255" s="1937"/>
      <c r="D255" s="3251" t="s">
        <v>128</v>
      </c>
      <c r="E255" s="3252"/>
      <c r="F255" s="1936"/>
      <c r="G255" s="1936"/>
      <c r="H255" s="1954"/>
      <c r="I255" s="1936"/>
      <c r="J255" s="1991">
        <f>ROUND(J254,0)</f>
        <v>2198</v>
      </c>
    </row>
    <row r="256" spans="1:10">
      <c r="A256" s="1962"/>
      <c r="B256" s="1950"/>
      <c r="C256" s="1937"/>
      <c r="D256" s="2009"/>
      <c r="F256" s="1936"/>
      <c r="G256" s="1936"/>
      <c r="H256" s="1954"/>
      <c r="I256" s="1936"/>
      <c r="J256" s="1990" t="s">
        <v>129</v>
      </c>
    </row>
    <row r="257" spans="1:10">
      <c r="A257" s="1962"/>
      <c r="B257" s="1950"/>
      <c r="C257" s="1937"/>
      <c r="D257" s="2009"/>
      <c r="F257" s="1936"/>
      <c r="G257" s="1936"/>
      <c r="H257" s="1954"/>
      <c r="I257" s="1936"/>
      <c r="J257" s="1990"/>
    </row>
    <row r="258" spans="1:10" ht="62.25" customHeight="1">
      <c r="A258" s="1959"/>
      <c r="B258" s="3238" t="e">
        <f>#REF!</f>
        <v>#REF!</v>
      </c>
      <c r="C258" s="3238"/>
      <c r="D258" s="3238"/>
      <c r="E258" s="3238"/>
      <c r="F258" s="3238"/>
      <c r="G258" s="3238"/>
      <c r="H258" s="3238"/>
      <c r="I258" s="3238"/>
      <c r="J258" s="3238"/>
    </row>
    <row r="259" spans="1:10">
      <c r="D259" s="1936" t="s">
        <v>130</v>
      </c>
      <c r="F259" s="1962" t="s">
        <v>131</v>
      </c>
      <c r="J259" s="1930"/>
    </row>
    <row r="260" spans="1:10">
      <c r="D260" s="1936" t="s">
        <v>132</v>
      </c>
      <c r="J260" s="1930"/>
    </row>
    <row r="261" spans="1:10">
      <c r="B261" s="1964" t="s">
        <v>36</v>
      </c>
      <c r="C261" s="1971" t="s">
        <v>37</v>
      </c>
      <c r="J261" s="1930"/>
    </row>
    <row r="262" spans="1:10">
      <c r="B262" s="1954">
        <v>0.12</v>
      </c>
      <c r="C262" s="1933" t="s">
        <v>57</v>
      </c>
      <c r="D262" s="1936" t="s">
        <v>14</v>
      </c>
      <c r="H262" s="1950">
        <f>'SSR-rates'!H$58</f>
        <v>490</v>
      </c>
      <c r="I262" s="1965" t="s">
        <v>38</v>
      </c>
      <c r="J262" s="1950">
        <f>ROUND(B262*H262,2)</f>
        <v>58.8</v>
      </c>
    </row>
    <row r="263" spans="1:10">
      <c r="B263" s="1954">
        <v>2</v>
      </c>
      <c r="C263" s="1933" t="s">
        <v>57</v>
      </c>
      <c r="D263" s="1936" t="s">
        <v>133</v>
      </c>
      <c r="H263" s="1950">
        <f>'SSR-rates'!H113</f>
        <v>625</v>
      </c>
      <c r="I263" s="1965" t="s">
        <v>38</v>
      </c>
      <c r="J263" s="1950">
        <f>ROUND(B263*H263,2)</f>
        <v>1250</v>
      </c>
    </row>
    <row r="264" spans="1:10">
      <c r="B264" s="1954">
        <v>1</v>
      </c>
      <c r="C264" s="1933" t="s">
        <v>57</v>
      </c>
      <c r="D264" s="1936" t="s">
        <v>59</v>
      </c>
      <c r="H264" s="1950">
        <f>'SSR-rates'!H$60</f>
        <v>490</v>
      </c>
      <c r="I264" s="1965" t="s">
        <v>38</v>
      </c>
      <c r="J264" s="1950">
        <f>ROUND(B264*H264,2)</f>
        <v>490</v>
      </c>
    </row>
    <row r="265" spans="1:10">
      <c r="A265" s="1962"/>
      <c r="B265" s="1951">
        <f>'Input Data'!$D$23</f>
        <v>0</v>
      </c>
      <c r="C265" s="1937"/>
      <c r="D265" s="1930" t="s">
        <v>17</v>
      </c>
      <c r="F265" s="1933"/>
      <c r="G265" s="1933"/>
      <c r="H265" s="1950">
        <f>SUM(J262:J264)</f>
        <v>1798.8</v>
      </c>
      <c r="I265" s="1965"/>
      <c r="J265" s="1950">
        <f>B265*H265</f>
        <v>0</v>
      </c>
    </row>
    <row r="266" spans="1:10">
      <c r="B266" s="1936" t="s">
        <v>85</v>
      </c>
      <c r="D266" s="1936" t="s">
        <v>60</v>
      </c>
      <c r="H266" s="1950"/>
      <c r="I266" s="1965"/>
      <c r="J266" s="1950">
        <f>SUM(J262:J265)</f>
        <v>1798.8</v>
      </c>
    </row>
    <row r="267" spans="1:10">
      <c r="B267" s="1936"/>
      <c r="D267" s="1936"/>
      <c r="H267" s="1950"/>
      <c r="I267" s="1950"/>
      <c r="J267" s="1950"/>
    </row>
    <row r="268" spans="1:10">
      <c r="B268" s="1964" t="s">
        <v>39</v>
      </c>
      <c r="C268" s="1971" t="s">
        <v>61</v>
      </c>
      <c r="H268" s="1950"/>
      <c r="I268" s="1950"/>
      <c r="J268" s="1950"/>
    </row>
    <row r="269" spans="1:10">
      <c r="B269" s="1954">
        <v>6</v>
      </c>
      <c r="C269" s="1933" t="s">
        <v>31</v>
      </c>
      <c r="D269" s="1936" t="s">
        <v>134</v>
      </c>
      <c r="H269" s="1950">
        <v>240</v>
      </c>
      <c r="I269" s="1950" t="s">
        <v>31</v>
      </c>
      <c r="J269" s="1950">
        <f>ROUND(B269*H269,2)</f>
        <v>1440</v>
      </c>
    </row>
    <row r="270" spans="1:10">
      <c r="B270" s="1936"/>
      <c r="D270" s="1936" t="s">
        <v>60</v>
      </c>
      <c r="H270" s="1950"/>
      <c r="I270" s="1950"/>
      <c r="J270" s="1950">
        <f>SUM(J269:J269)</f>
        <v>1440</v>
      </c>
    </row>
    <row r="271" spans="1:10">
      <c r="A271" s="1962"/>
      <c r="B271" s="1964" t="s">
        <v>27</v>
      </c>
      <c r="C271" s="1962" t="s">
        <v>74</v>
      </c>
      <c r="F271" s="1933"/>
      <c r="G271" s="1933"/>
      <c r="H271" s="1933"/>
      <c r="I271" s="1933"/>
      <c r="J271" s="1990"/>
    </row>
    <row r="272" spans="1:10" ht="27.75" customHeight="1">
      <c r="A272" s="1962"/>
      <c r="B272" s="1955">
        <f>'Input Data'!$D$25</f>
        <v>0.19614999999999999</v>
      </c>
      <c r="C272" s="3247" t="str">
        <f>"Over head charges "&amp;'Input Data'!$D$25*100&amp;"%  on (A) + (B)"</f>
        <v>Over head charges 19.615%  on (A) + (B)</v>
      </c>
      <c r="D272" s="3248"/>
      <c r="E272" s="3248"/>
      <c r="F272" s="3248"/>
      <c r="G272" s="3249"/>
      <c r="H272" s="1937">
        <f>J270+J266</f>
        <v>3238.8</v>
      </c>
      <c r="I272" s="1933"/>
      <c r="J272" s="1950">
        <f>H272*B272</f>
        <v>635.29061999999999</v>
      </c>
    </row>
    <row r="273" spans="1:10">
      <c r="A273" s="1962"/>
      <c r="B273" s="1964" t="s">
        <v>47</v>
      </c>
      <c r="C273" s="1962" t="s">
        <v>89</v>
      </c>
      <c r="F273" s="1933"/>
      <c r="G273" s="1933"/>
      <c r="H273" s="1933"/>
      <c r="I273" s="1933"/>
      <c r="J273" s="1990">
        <f>J266+J270+J272</f>
        <v>3874.0906199999999</v>
      </c>
    </row>
    <row r="274" spans="1:10">
      <c r="A274" s="1962"/>
      <c r="B274" s="1964" t="s">
        <v>76</v>
      </c>
      <c r="C274" s="1962" t="s">
        <v>90</v>
      </c>
      <c r="F274" s="1933"/>
      <c r="G274" s="1933"/>
      <c r="H274" s="1933"/>
      <c r="I274" s="1933"/>
      <c r="J274" s="1990">
        <f>J273*10/100</f>
        <v>387.40906199999995</v>
      </c>
    </row>
    <row r="275" spans="1:10">
      <c r="B275" s="1954"/>
      <c r="C275" s="1933"/>
      <c r="D275" s="1971" t="s">
        <v>135</v>
      </c>
      <c r="H275" s="1950"/>
      <c r="I275" s="1950"/>
      <c r="J275" s="1990">
        <f>SUM(J273:J274)</f>
        <v>4261.4996819999997</v>
      </c>
    </row>
    <row r="276" spans="1:10">
      <c r="B276" s="1954"/>
      <c r="C276" s="1933"/>
      <c r="D276" s="1936" t="s">
        <v>136</v>
      </c>
      <c r="H276" s="1950"/>
      <c r="I276" s="1950"/>
      <c r="J276" s="1950">
        <f>J275/40</f>
        <v>106.53749205</v>
      </c>
    </row>
    <row r="277" spans="1:10">
      <c r="D277" s="1936" t="s">
        <v>52</v>
      </c>
      <c r="H277" s="1950"/>
      <c r="I277" s="1950"/>
      <c r="J277" s="1991">
        <f>ROUND(J276,0)</f>
        <v>107</v>
      </c>
    </row>
    <row r="278" spans="1:10">
      <c r="D278" s="1936"/>
      <c r="H278" s="1950"/>
      <c r="I278" s="1950"/>
      <c r="J278" s="1990" t="s">
        <v>137</v>
      </c>
    </row>
    <row r="279" spans="1:10">
      <c r="D279" s="1936"/>
      <c r="H279" s="1950"/>
      <c r="I279" s="1950"/>
      <c r="J279" s="1990"/>
    </row>
    <row r="280" spans="1:10">
      <c r="A280" s="2010"/>
      <c r="B280" s="2011"/>
      <c r="C280" s="2011"/>
      <c r="D280" s="2012"/>
      <c r="E280" s="2011"/>
      <c r="F280" s="2011"/>
      <c r="G280" s="2011"/>
      <c r="H280" s="2013"/>
      <c r="I280" s="2013"/>
      <c r="J280" s="2014"/>
    </row>
    <row r="281" spans="1:10" ht="69.75" customHeight="1">
      <c r="A281" s="1959"/>
      <c r="B281" s="3238" t="s">
        <v>138</v>
      </c>
      <c r="C281" s="3238"/>
      <c r="D281" s="3238"/>
      <c r="E281" s="3238"/>
      <c r="F281" s="3238"/>
      <c r="G281" s="3238"/>
      <c r="H281" s="3238"/>
      <c r="I281" s="3238"/>
      <c r="J281" s="3238"/>
    </row>
    <row r="282" spans="1:10">
      <c r="D282" s="1936" t="s">
        <v>10</v>
      </c>
      <c r="F282" s="1962" t="s">
        <v>83</v>
      </c>
      <c r="J282" s="1930"/>
    </row>
    <row r="283" spans="1:10">
      <c r="D283" s="1936" t="s">
        <v>84</v>
      </c>
      <c r="J283" s="1930"/>
    </row>
    <row r="284" spans="1:10">
      <c r="B284" s="1964" t="s">
        <v>36</v>
      </c>
      <c r="C284" s="1971" t="s">
        <v>37</v>
      </c>
      <c r="J284" s="1930"/>
    </row>
    <row r="285" spans="1:10">
      <c r="B285" s="1954">
        <v>0.28000000000000003</v>
      </c>
      <c r="C285" s="1933" t="s">
        <v>57</v>
      </c>
      <c r="D285" s="1936" t="s">
        <v>14</v>
      </c>
      <c r="H285" s="1950">
        <f>'SSR-rates'!$H$58</f>
        <v>490</v>
      </c>
      <c r="I285" s="1965" t="s">
        <v>38</v>
      </c>
      <c r="J285" s="1950">
        <f>ROUND(B285*H285,2)</f>
        <v>137.19999999999999</v>
      </c>
    </row>
    <row r="286" spans="1:10">
      <c r="B286" s="1954">
        <v>7</v>
      </c>
      <c r="C286" s="1933" t="s">
        <v>57</v>
      </c>
      <c r="D286" s="1936" t="s">
        <v>59</v>
      </c>
      <c r="H286" s="1950">
        <f>'SSR-rates'!$H$60</f>
        <v>490</v>
      </c>
      <c r="I286" s="1965" t="s">
        <v>38</v>
      </c>
      <c r="J286" s="1950">
        <f>ROUND(B286*H286,2)</f>
        <v>3430</v>
      </c>
    </row>
    <row r="287" spans="1:10">
      <c r="A287" s="1962"/>
      <c r="B287" s="1951">
        <f>'Input Data'!$D$23</f>
        <v>0</v>
      </c>
      <c r="C287" s="1937"/>
      <c r="D287" s="1930" t="s">
        <v>17</v>
      </c>
      <c r="F287" s="1933"/>
      <c r="G287" s="1933"/>
      <c r="H287" s="1950">
        <f>SUM(J$90:$J285)</f>
        <v>1578132.5881793099</v>
      </c>
      <c r="I287" s="1965"/>
      <c r="J287" s="1950">
        <f>B287*H287</f>
        <v>0</v>
      </c>
    </row>
    <row r="288" spans="1:10" ht="13.5" customHeight="1">
      <c r="B288" s="1936" t="s">
        <v>85</v>
      </c>
      <c r="D288" s="1936" t="s">
        <v>60</v>
      </c>
      <c r="H288" s="1950"/>
      <c r="I288" s="1965"/>
      <c r="J288" s="1950">
        <f>SUM(J285:J287)</f>
        <v>3567.2</v>
      </c>
    </row>
    <row r="289" spans="1:11" hidden="1">
      <c r="B289" s="1936"/>
      <c r="D289" s="1936"/>
      <c r="H289" s="1950"/>
      <c r="I289" s="1950"/>
      <c r="J289" s="1950"/>
    </row>
    <row r="290" spans="1:11">
      <c r="B290" s="1964" t="s">
        <v>39</v>
      </c>
      <c r="C290" s="1971" t="s">
        <v>61</v>
      </c>
      <c r="H290" s="1950"/>
      <c r="I290" s="1950"/>
      <c r="J290" s="1950"/>
    </row>
    <row r="291" spans="1:11">
      <c r="B291" s="1954">
        <v>12</v>
      </c>
      <c r="C291" s="1933" t="s">
        <v>31</v>
      </c>
      <c r="D291" s="1936" t="s">
        <v>86</v>
      </c>
      <c r="H291" s="1950">
        <f>lead!$J$34</f>
        <v>250.09052501870349</v>
      </c>
      <c r="I291" s="1950" t="s">
        <v>31</v>
      </c>
      <c r="J291" s="1950">
        <f>ROUND(B291*H291,2)</f>
        <v>3001.09</v>
      </c>
    </row>
    <row r="292" spans="1:11">
      <c r="B292" s="1936"/>
      <c r="D292" s="1936" t="s">
        <v>60</v>
      </c>
      <c r="H292" s="1950"/>
      <c r="I292" s="1950"/>
      <c r="J292" s="1950">
        <f>SUM(J291:J291)</f>
        <v>3001.09</v>
      </c>
    </row>
    <row r="293" spans="1:11">
      <c r="B293" s="1964" t="s">
        <v>87</v>
      </c>
      <c r="C293" s="1971" t="s">
        <v>40</v>
      </c>
      <c r="H293" s="1950"/>
      <c r="I293" s="1950"/>
      <c r="J293" s="1950"/>
    </row>
    <row r="294" spans="1:11" ht="30" customHeight="1">
      <c r="B294" s="1954">
        <v>2.5</v>
      </c>
      <c r="C294" s="1933" t="s">
        <v>41</v>
      </c>
      <c r="D294" s="3247" t="s">
        <v>88</v>
      </c>
      <c r="E294" s="3248"/>
      <c r="F294" s="3248"/>
      <c r="G294" s="3249"/>
      <c r="H294" s="1950">
        <f>'SSR-rates'!$H$91</f>
        <v>54</v>
      </c>
      <c r="I294" s="1950" t="s">
        <v>41</v>
      </c>
      <c r="J294" s="1950">
        <f>ROUND(B294*H294,2)</f>
        <v>135</v>
      </c>
    </row>
    <row r="295" spans="1:11">
      <c r="B295" s="1954">
        <v>0.05</v>
      </c>
      <c r="C295" s="1933" t="s">
        <v>41</v>
      </c>
      <c r="D295" s="1936" t="s">
        <v>70</v>
      </c>
      <c r="H295" s="1950">
        <f>'SSR-rates'!$H$69</f>
        <v>699</v>
      </c>
      <c r="I295" s="1950" t="s">
        <v>41</v>
      </c>
      <c r="J295" s="1950">
        <f>ROUND(B295*H295,2)</f>
        <v>34.950000000000003</v>
      </c>
    </row>
    <row r="296" spans="1:11">
      <c r="B296" s="1954"/>
      <c r="C296" s="1933"/>
      <c r="D296" s="1936" t="s">
        <v>60</v>
      </c>
      <c r="H296" s="1950"/>
      <c r="I296" s="1950"/>
      <c r="J296" s="1950">
        <f>SUM(J294:J295)</f>
        <v>169.95</v>
      </c>
    </row>
    <row r="297" spans="1:11">
      <c r="A297" s="1962"/>
      <c r="B297" s="1964" t="s">
        <v>45</v>
      </c>
      <c r="C297" s="1962" t="s">
        <v>44</v>
      </c>
      <c r="F297" s="1933"/>
      <c r="G297" s="1933"/>
      <c r="H297" s="1933"/>
      <c r="I297" s="1933"/>
      <c r="J297" s="1990"/>
    </row>
    <row r="298" spans="1:11" ht="34.5" customHeight="1">
      <c r="A298" s="1962"/>
      <c r="B298" s="1955">
        <f>'Input Data'!$D$25</f>
        <v>0.19614999999999999</v>
      </c>
      <c r="C298" s="3247" t="str">
        <f>"Over head charges "&amp;'Input Data'!$D$25*100&amp;"%  on (A) + (B)+(C)"</f>
        <v>Over head charges 19.615%  on (A) + (B)+(C)</v>
      </c>
      <c r="D298" s="3248"/>
      <c r="E298" s="3248"/>
      <c r="F298" s="3248"/>
      <c r="G298" s="3249"/>
      <c r="H298" s="1937">
        <f>J296+J292+J288</f>
        <v>6738.24</v>
      </c>
      <c r="I298" s="1933"/>
      <c r="J298" s="1950">
        <f>H298*B298</f>
        <v>1321.7057759999998</v>
      </c>
    </row>
    <row r="299" spans="1:11">
      <c r="A299" s="1962"/>
      <c r="B299" s="1964" t="s">
        <v>47</v>
      </c>
      <c r="C299" s="1962" t="s">
        <v>89</v>
      </c>
      <c r="F299" s="1933"/>
      <c r="G299" s="1933"/>
      <c r="H299" s="1933"/>
      <c r="I299" s="1933"/>
      <c r="J299" s="1990">
        <f>J288+J292+J296+J298</f>
        <v>8059.9457759999996</v>
      </c>
    </row>
    <row r="300" spans="1:11">
      <c r="A300" s="1962"/>
      <c r="B300" s="1964" t="s">
        <v>76</v>
      </c>
      <c r="C300" s="1962" t="s">
        <v>90</v>
      </c>
      <c r="F300" s="1933"/>
      <c r="G300" s="1933"/>
      <c r="H300" s="1933"/>
      <c r="I300" s="1933"/>
      <c r="J300" s="1990">
        <f>J299*10/100</f>
        <v>805.99457759999996</v>
      </c>
    </row>
    <row r="301" spans="1:11">
      <c r="B301" s="1954"/>
      <c r="C301" s="1933"/>
      <c r="D301" s="1971" t="s">
        <v>91</v>
      </c>
      <c r="H301" s="1950"/>
      <c r="I301" s="1950"/>
      <c r="J301" s="1990">
        <f>SUM(J299:J300)</f>
        <v>8865.9403535999991</v>
      </c>
    </row>
    <row r="302" spans="1:11">
      <c r="B302" s="1954"/>
      <c r="C302" s="1933"/>
      <c r="D302" s="1936" t="s">
        <v>50</v>
      </c>
      <c r="H302" s="1950"/>
      <c r="I302" s="1950"/>
      <c r="J302" s="1950">
        <f>J301/10</f>
        <v>886.59403535999991</v>
      </c>
    </row>
    <row r="303" spans="1:11">
      <c r="D303" s="1936" t="s">
        <v>52</v>
      </c>
      <c r="H303" s="1950"/>
      <c r="I303" s="1950"/>
      <c r="J303" s="1991">
        <f>ROUND(J302,0)</f>
        <v>887</v>
      </c>
      <c r="K303" s="1930">
        <v>512</v>
      </c>
    </row>
    <row r="304" spans="1:11">
      <c r="D304" s="1936"/>
      <c r="H304" s="1950"/>
      <c r="I304" s="1950"/>
      <c r="J304" s="1990" t="s">
        <v>53</v>
      </c>
    </row>
    <row r="305" spans="1:10">
      <c r="D305" s="1936"/>
      <c r="H305" s="1950"/>
      <c r="I305" s="1950"/>
      <c r="J305" s="1990"/>
    </row>
    <row r="306" spans="1:10" ht="138.75" customHeight="1">
      <c r="A306" s="1959"/>
      <c r="B306" s="3238" t="s">
        <v>139</v>
      </c>
      <c r="C306" s="3238"/>
      <c r="D306" s="3238"/>
      <c r="E306" s="3238"/>
      <c r="F306" s="3238"/>
      <c r="G306" s="3238"/>
      <c r="H306" s="3238"/>
      <c r="I306" s="3238"/>
      <c r="J306" s="3238"/>
    </row>
    <row r="307" spans="1:10" ht="16.5" customHeight="1">
      <c r="D307" s="1936" t="s">
        <v>10</v>
      </c>
      <c r="F307" s="1962" t="s">
        <v>140</v>
      </c>
      <c r="J307" s="1930"/>
    </row>
    <row r="308" spans="1:10" ht="16.5" customHeight="1">
      <c r="D308" s="1936" t="s">
        <v>84</v>
      </c>
      <c r="J308" s="1930"/>
    </row>
    <row r="309" spans="1:10" ht="18.75" customHeight="1">
      <c r="B309" s="1964" t="s">
        <v>36</v>
      </c>
      <c r="C309" s="1971" t="s">
        <v>37</v>
      </c>
      <c r="J309" s="1930"/>
    </row>
    <row r="310" spans="1:10" ht="18.75" customHeight="1">
      <c r="B310" s="1954">
        <v>0.32</v>
      </c>
      <c r="C310" s="1933" t="s">
        <v>57</v>
      </c>
      <c r="D310" s="1936" t="s">
        <v>14</v>
      </c>
      <c r="H310" s="1950">
        <f>'SSR-rates'!H58</f>
        <v>490</v>
      </c>
      <c r="I310" s="1965" t="s">
        <v>38</v>
      </c>
      <c r="J310" s="1954">
        <f>ROUND(B310*H310,2)</f>
        <v>156.80000000000001</v>
      </c>
    </row>
    <row r="311" spans="1:10">
      <c r="B311" s="1954">
        <v>7</v>
      </c>
      <c r="C311" s="1933" t="s">
        <v>57</v>
      </c>
      <c r="D311" s="1936" t="s">
        <v>59</v>
      </c>
      <c r="H311" s="1950">
        <f>'SSR-rates'!H60</f>
        <v>490</v>
      </c>
      <c r="I311" s="1965" t="s">
        <v>38</v>
      </c>
      <c r="J311" s="1954">
        <f>ROUND(B311*H311,2)</f>
        <v>3430</v>
      </c>
    </row>
    <row r="312" spans="1:10">
      <c r="B312" s="1954">
        <v>1</v>
      </c>
      <c r="C312" s="1933" t="s">
        <v>57</v>
      </c>
      <c r="D312" s="1936" t="s">
        <v>59</v>
      </c>
      <c r="E312" s="1930" t="s">
        <v>141</v>
      </c>
      <c r="H312" s="1950">
        <f>'SSR-rates'!$H$59</f>
        <v>524</v>
      </c>
      <c r="I312" s="1965" t="s">
        <v>38</v>
      </c>
      <c r="J312" s="1954">
        <f>ROUND(B312*H312,2)</f>
        <v>524</v>
      </c>
    </row>
    <row r="313" spans="1:10">
      <c r="A313" s="1962"/>
      <c r="B313" s="1951">
        <f>'Input Data'!$D$23</f>
        <v>0</v>
      </c>
      <c r="C313" s="1937"/>
      <c r="D313" s="1930" t="s">
        <v>17</v>
      </c>
      <c r="F313" s="1933"/>
      <c r="G313" s="1933"/>
      <c r="H313" s="1950">
        <f>SUM(J310:J312)</f>
        <v>4110.8</v>
      </c>
      <c r="I313" s="1965"/>
      <c r="J313" s="1950">
        <f>B313*H313</f>
        <v>0</v>
      </c>
    </row>
    <row r="314" spans="1:10">
      <c r="B314" s="1954"/>
      <c r="D314" s="1936" t="s">
        <v>60</v>
      </c>
      <c r="H314" s="1950"/>
      <c r="I314" s="1950"/>
      <c r="J314" s="1954">
        <f>SUM(J310:J313)</f>
        <v>4110.8</v>
      </c>
    </row>
    <row r="315" spans="1:10" ht="18.75" customHeight="1">
      <c r="B315" s="1964" t="s">
        <v>39</v>
      </c>
      <c r="C315" s="1971" t="s">
        <v>61</v>
      </c>
      <c r="H315" s="1950"/>
      <c r="I315" s="1950"/>
      <c r="J315" s="1950"/>
    </row>
    <row r="316" spans="1:10" ht="18.75" customHeight="1">
      <c r="B316" s="1954">
        <v>6</v>
      </c>
      <c r="C316" s="1933" t="s">
        <v>31</v>
      </c>
      <c r="D316" s="1936" t="s">
        <v>142</v>
      </c>
      <c r="H316" s="1950">
        <f>lead!J26</f>
        <v>881.86419046780804</v>
      </c>
      <c r="I316" s="1950" t="s">
        <v>31</v>
      </c>
      <c r="J316" s="1950">
        <f>ROUND(B316*H316,2)</f>
        <v>5291.19</v>
      </c>
    </row>
    <row r="317" spans="1:10">
      <c r="B317" s="1954">
        <v>6</v>
      </c>
      <c r="C317" s="1933" t="s">
        <v>31</v>
      </c>
      <c r="D317" s="1936" t="s">
        <v>143</v>
      </c>
      <c r="H317" s="1950">
        <f>lead!J20</f>
        <v>1590.8641904678079</v>
      </c>
      <c r="I317" s="1950" t="s">
        <v>31</v>
      </c>
      <c r="J317" s="1950">
        <f>ROUND(B317*H317,2)</f>
        <v>9545.19</v>
      </c>
    </row>
    <row r="318" spans="1:10">
      <c r="B318" s="1954"/>
      <c r="C318" s="1937"/>
      <c r="D318" s="1936" t="s">
        <v>60</v>
      </c>
      <c r="H318" s="1950"/>
      <c r="I318" s="1950"/>
      <c r="J318" s="1950">
        <f>SUM(J316:J317)</f>
        <v>14836.380000000001</v>
      </c>
    </row>
    <row r="319" spans="1:10">
      <c r="B319" s="1964" t="s">
        <v>87</v>
      </c>
      <c r="C319" s="1971" t="s">
        <v>40</v>
      </c>
      <c r="H319" s="1950"/>
      <c r="I319" s="1950"/>
      <c r="J319" s="1950"/>
    </row>
    <row r="320" spans="1:10">
      <c r="B320" s="1954">
        <v>0.06</v>
      </c>
      <c r="C320" s="1933" t="s">
        <v>41</v>
      </c>
      <c r="D320" s="1936" t="s">
        <v>70</v>
      </c>
      <c r="H320" s="1950">
        <f>'SSR-rates'!H69</f>
        <v>699</v>
      </c>
      <c r="I320" s="1950" t="s">
        <v>41</v>
      </c>
      <c r="J320" s="1950">
        <f>ROUND(B320*H320,2)</f>
        <v>41.94</v>
      </c>
    </row>
    <row r="321" spans="1:11">
      <c r="B321" s="1954"/>
      <c r="C321" s="1937"/>
      <c r="D321" s="1936" t="s">
        <v>60</v>
      </c>
      <c r="H321" s="1950"/>
      <c r="I321" s="1950"/>
      <c r="J321" s="1950">
        <f>SUM(J320:J320)</f>
        <v>41.94</v>
      </c>
    </row>
    <row r="322" spans="1:11">
      <c r="A322" s="1962"/>
      <c r="B322" s="1964" t="s">
        <v>45</v>
      </c>
      <c r="C322" s="1962" t="s">
        <v>144</v>
      </c>
      <c r="F322" s="1933"/>
      <c r="G322" s="1933"/>
      <c r="H322" s="1933"/>
      <c r="I322" s="1933"/>
      <c r="J322" s="1990"/>
    </row>
    <row r="323" spans="1:11" ht="27.75" customHeight="1">
      <c r="A323" s="1962"/>
      <c r="B323" s="1955">
        <f>'Input Data'!$D$25</f>
        <v>0.19614999999999999</v>
      </c>
      <c r="C323" s="3247" t="str">
        <f>"Over head charges "&amp;'Input Data'!$D$25*100&amp;"%  on (A) + (B)"</f>
        <v>Over head charges 19.615%  on (A) + (B)</v>
      </c>
      <c r="D323" s="3248"/>
      <c r="E323" s="3248"/>
      <c r="F323" s="3248"/>
      <c r="G323" s="3249"/>
      <c r="H323" s="1937">
        <f>J321+J318+J314</f>
        <v>18989.120000000003</v>
      </c>
      <c r="I323" s="1933"/>
      <c r="J323" s="1950">
        <f>H323*B323</f>
        <v>3724.7158880000002</v>
      </c>
    </row>
    <row r="324" spans="1:11">
      <c r="A324" s="1962"/>
      <c r="B324" s="1964" t="s">
        <v>47</v>
      </c>
      <c r="C324" s="1962" t="s">
        <v>89</v>
      </c>
      <c r="F324" s="1933"/>
      <c r="G324" s="1933"/>
      <c r="H324" s="1933"/>
      <c r="I324" s="1933"/>
      <c r="J324" s="1990">
        <f>J314+J318+J321+J323</f>
        <v>22713.835887999998</v>
      </c>
    </row>
    <row r="325" spans="1:11">
      <c r="A325" s="1962"/>
      <c r="B325" s="1964" t="s">
        <v>76</v>
      </c>
      <c r="C325" s="1962" t="s">
        <v>90</v>
      </c>
      <c r="F325" s="1933"/>
      <c r="G325" s="1933"/>
      <c r="H325" s="1933"/>
      <c r="I325" s="1933"/>
      <c r="J325" s="1990">
        <f>J324*10/100</f>
        <v>2271.3835887999999</v>
      </c>
    </row>
    <row r="326" spans="1:11">
      <c r="B326" s="1954"/>
      <c r="C326" s="1933"/>
      <c r="D326" s="1971" t="s">
        <v>98</v>
      </c>
      <c r="H326" s="1950"/>
      <c r="I326" s="1950"/>
      <c r="J326" s="1990">
        <f>SUM(J324:J325)</f>
        <v>24985.219476799997</v>
      </c>
    </row>
    <row r="327" spans="1:11">
      <c r="B327" s="1954"/>
      <c r="C327" s="1933"/>
      <c r="D327" s="1936" t="s">
        <v>81</v>
      </c>
      <c r="H327" s="1950"/>
      <c r="I327" s="1950"/>
      <c r="J327" s="1950">
        <f>ROUND(J326/10,2)</f>
        <v>2498.52</v>
      </c>
    </row>
    <row r="328" spans="1:11">
      <c r="D328" s="1936" t="s">
        <v>52</v>
      </c>
      <c r="H328" s="1950"/>
      <c r="I328" s="1950"/>
      <c r="J328" s="1991">
        <f>ROUND(J327,0)</f>
        <v>2499</v>
      </c>
      <c r="K328" s="1930">
        <v>1199</v>
      </c>
    </row>
    <row r="329" spans="1:11">
      <c r="D329" s="1936"/>
      <c r="H329" s="1950"/>
      <c r="I329" s="1950"/>
      <c r="J329" s="1990" t="s">
        <v>53</v>
      </c>
    </row>
    <row r="330" spans="1:11">
      <c r="D330" s="1936"/>
      <c r="H330" s="1950"/>
      <c r="I330" s="1950"/>
      <c r="J330" s="1990"/>
    </row>
    <row r="331" spans="1:11" ht="116.25" customHeight="1">
      <c r="A331" s="1959"/>
      <c r="B331" s="3238" t="s">
        <v>145</v>
      </c>
      <c r="C331" s="3238"/>
      <c r="D331" s="3238"/>
      <c r="E331" s="3238"/>
      <c r="F331" s="3238"/>
      <c r="G331" s="3238"/>
      <c r="H331" s="3238"/>
      <c r="I331" s="3238"/>
      <c r="J331" s="3238"/>
    </row>
    <row r="332" spans="1:11">
      <c r="D332" s="1936" t="s">
        <v>10</v>
      </c>
      <c r="F332" s="1962" t="s">
        <v>55</v>
      </c>
      <c r="J332" s="1930"/>
    </row>
    <row r="333" spans="1:11">
      <c r="D333" s="1936" t="s">
        <v>56</v>
      </c>
      <c r="J333" s="1930"/>
    </row>
    <row r="334" spans="1:11">
      <c r="B334" s="1964" t="s">
        <v>36</v>
      </c>
      <c r="C334" s="1971" t="s">
        <v>37</v>
      </c>
      <c r="J334" s="1930"/>
    </row>
    <row r="335" spans="1:11">
      <c r="B335" s="1954">
        <v>0.86</v>
      </c>
      <c r="C335" s="1933" t="s">
        <v>57</v>
      </c>
      <c r="D335" s="1936" t="s">
        <v>14</v>
      </c>
      <c r="H335" s="1950">
        <f>'SSR-rates'!$H$58</f>
        <v>490</v>
      </c>
      <c r="I335" s="1965" t="s">
        <v>38</v>
      </c>
      <c r="J335" s="1954">
        <f>ROUND(B335*H335,2)</f>
        <v>421.4</v>
      </c>
      <c r="K335" s="1936"/>
    </row>
    <row r="336" spans="1:11">
      <c r="B336" s="1954">
        <v>1.5</v>
      </c>
      <c r="C336" s="1933" t="s">
        <v>57</v>
      </c>
      <c r="D336" s="1936" t="s">
        <v>58</v>
      </c>
      <c r="H336" s="1950">
        <f>'SSR-rates'!$H$59</f>
        <v>524</v>
      </c>
      <c r="I336" s="1965" t="s">
        <v>38</v>
      </c>
      <c r="J336" s="1954">
        <f>ROUND(B336*H336,2)</f>
        <v>786</v>
      </c>
    </row>
    <row r="337" spans="1:10">
      <c r="B337" s="1954">
        <v>20</v>
      </c>
      <c r="C337" s="1933" t="s">
        <v>57</v>
      </c>
      <c r="D337" s="1936" t="s">
        <v>59</v>
      </c>
      <c r="H337" s="1950">
        <f>'SSR-rates'!$H$60</f>
        <v>490</v>
      </c>
      <c r="I337" s="1965" t="s">
        <v>38</v>
      </c>
      <c r="J337" s="1954">
        <f>ROUND(B337*H337,2)</f>
        <v>9800</v>
      </c>
    </row>
    <row r="338" spans="1:10">
      <c r="A338" s="1962"/>
      <c r="B338" s="1951">
        <f>'Input Data'!$D$23</f>
        <v>0</v>
      </c>
      <c r="C338" s="1937"/>
      <c r="D338" s="1930" t="s">
        <v>17</v>
      </c>
      <c r="F338" s="1933"/>
      <c r="G338" s="1933"/>
      <c r="H338" s="1950">
        <f>SUM(J336:J337)</f>
        <v>10586</v>
      </c>
      <c r="I338" s="1965"/>
      <c r="J338" s="1950">
        <f>B338*H338</f>
        <v>0</v>
      </c>
    </row>
    <row r="339" spans="1:10" ht="15" customHeight="1">
      <c r="B339" s="1954"/>
      <c r="D339" s="1936" t="s">
        <v>60</v>
      </c>
      <c r="H339" s="1950"/>
      <c r="I339" s="1950"/>
      <c r="J339" s="1954">
        <f>SUM(J335:J338)</f>
        <v>11007.4</v>
      </c>
    </row>
    <row r="340" spans="1:10">
      <c r="B340" s="1964" t="s">
        <v>39</v>
      </c>
      <c r="C340" s="1971" t="s">
        <v>61</v>
      </c>
      <c r="H340" s="1950"/>
      <c r="I340" s="1950"/>
      <c r="J340" s="1950"/>
    </row>
    <row r="341" spans="1:10">
      <c r="B341" s="1954">
        <v>8.1</v>
      </c>
      <c r="C341" s="1933" t="s">
        <v>31</v>
      </c>
      <c r="D341" s="1936" t="s">
        <v>62</v>
      </c>
      <c r="H341" s="1950">
        <f>lead!$J$14</f>
        <v>1590.8641904678079</v>
      </c>
      <c r="I341" s="1950" t="s">
        <v>31</v>
      </c>
      <c r="J341" s="1950">
        <f>ROUND(B341*H341,2)</f>
        <v>12886</v>
      </c>
    </row>
    <row r="342" spans="1:10" ht="15" customHeight="1">
      <c r="B342" s="1954">
        <v>4.05</v>
      </c>
      <c r="C342" s="1933" t="s">
        <v>31</v>
      </c>
      <c r="D342" s="1930" t="s">
        <v>63</v>
      </c>
      <c r="H342" s="1950">
        <f>lead!$J$16</f>
        <v>1889.8641904678079</v>
      </c>
      <c r="I342" s="1950" t="s">
        <v>31</v>
      </c>
      <c r="J342" s="1950">
        <f>ROUND(B342*H342,2)</f>
        <v>7653.95</v>
      </c>
    </row>
    <row r="343" spans="1:10" ht="15" customHeight="1">
      <c r="B343" s="1954">
        <v>1.35</v>
      </c>
      <c r="C343" s="1933" t="s">
        <v>31</v>
      </c>
      <c r="D343" s="1930" t="s">
        <v>64</v>
      </c>
      <c r="H343" s="1950">
        <f>lead!$J$18</f>
        <v>1638.8641904678079</v>
      </c>
      <c r="I343" s="1950" t="s">
        <v>31</v>
      </c>
      <c r="J343" s="1950">
        <f>ROUND(B343*H343,2)</f>
        <v>2212.4699999999998</v>
      </c>
    </row>
    <row r="344" spans="1:10" ht="15" customHeight="1">
      <c r="B344" s="1954">
        <v>6.75</v>
      </c>
      <c r="C344" s="1933" t="s">
        <v>31</v>
      </c>
      <c r="D344" s="1936" t="s">
        <v>65</v>
      </c>
      <c r="H344" s="1950">
        <f>lead!J12</f>
        <v>1568.1141904678079</v>
      </c>
      <c r="I344" s="1950" t="s">
        <v>31</v>
      </c>
      <c r="J344" s="1950">
        <f>ROUND(B344*H344,2)</f>
        <v>10584.77</v>
      </c>
    </row>
    <row r="345" spans="1:10" ht="15" customHeight="1">
      <c r="B345" s="1954">
        <v>4.13</v>
      </c>
      <c r="C345" s="1933" t="s">
        <v>66</v>
      </c>
      <c r="D345" s="1936" t="s">
        <v>67</v>
      </c>
      <c r="H345" s="1950">
        <f>lead!$J$36</f>
        <v>5000</v>
      </c>
      <c r="I345" s="1950" t="s">
        <v>66</v>
      </c>
      <c r="J345" s="1950">
        <f>ROUND(B345*H345,2)</f>
        <v>20650</v>
      </c>
    </row>
    <row r="346" spans="1:10">
      <c r="B346" s="1954"/>
      <c r="C346" s="1937"/>
      <c r="D346" s="1936" t="s">
        <v>60</v>
      </c>
      <c r="H346" s="1950"/>
      <c r="I346" s="1950"/>
      <c r="J346" s="1950">
        <f>SUM(J341:J345)</f>
        <v>53987.19</v>
      </c>
    </row>
    <row r="347" spans="1:10">
      <c r="B347" s="1964" t="s">
        <v>87</v>
      </c>
      <c r="C347" s="1971" t="s">
        <v>40</v>
      </c>
      <c r="H347" s="1950"/>
      <c r="I347" s="1950"/>
      <c r="J347" s="1950"/>
    </row>
    <row r="348" spans="1:10">
      <c r="B348" s="1954">
        <v>6</v>
      </c>
      <c r="C348" s="1933" t="s">
        <v>41</v>
      </c>
      <c r="D348" s="1936" t="s">
        <v>68</v>
      </c>
      <c r="H348" s="1950">
        <f>'SSR-rates'!$H$88</f>
        <v>627.6</v>
      </c>
      <c r="I348" s="1950" t="s">
        <v>41</v>
      </c>
      <c r="J348" s="1950">
        <f>ROUND(B348*H348,2)</f>
        <v>3765.6</v>
      </c>
    </row>
    <row r="349" spans="1:10">
      <c r="B349" s="1954">
        <v>6</v>
      </c>
      <c r="C349" s="1933" t="s">
        <v>41</v>
      </c>
      <c r="D349" s="1936" t="s">
        <v>69</v>
      </c>
      <c r="H349" s="1950">
        <f>'SSR-rates'!$H$87</f>
        <v>1237.4000000000001</v>
      </c>
      <c r="I349" s="1950" t="s">
        <v>41</v>
      </c>
      <c r="J349" s="1950">
        <f>ROUND(B349*H349,2)</f>
        <v>7424.4</v>
      </c>
    </row>
    <row r="350" spans="1:10">
      <c r="B350" s="1954"/>
      <c r="C350" s="1937"/>
      <c r="D350" s="1936" t="s">
        <v>60</v>
      </c>
      <c r="H350" s="1950"/>
      <c r="I350" s="1950"/>
      <c r="J350" s="1950">
        <f>SUM(J348:J349)</f>
        <v>11190</v>
      </c>
    </row>
    <row r="351" spans="1:10">
      <c r="A351" s="1962"/>
      <c r="B351" s="1964" t="s">
        <v>45</v>
      </c>
      <c r="C351" s="1962" t="s">
        <v>95</v>
      </c>
      <c r="F351" s="1933"/>
      <c r="G351" s="1933"/>
      <c r="H351" s="1933"/>
      <c r="I351" s="1933"/>
      <c r="J351" s="1990"/>
    </row>
    <row r="352" spans="1:10">
      <c r="A352" s="1962"/>
      <c r="B352" s="1954">
        <v>4</v>
      </c>
      <c r="C352" s="1937" t="s">
        <v>29</v>
      </c>
      <c r="D352" s="1936" t="s">
        <v>146</v>
      </c>
      <c r="F352" s="1933"/>
      <c r="G352" s="1933"/>
      <c r="H352" s="1933"/>
      <c r="I352" s="1933"/>
      <c r="J352" s="1950">
        <f>ROUND((J339+J346+J350)*B352/100,2)</f>
        <v>3047.38</v>
      </c>
    </row>
    <row r="353" spans="1:10">
      <c r="A353" s="1962"/>
      <c r="B353" s="1964" t="s">
        <v>47</v>
      </c>
      <c r="C353" s="1962" t="s">
        <v>44</v>
      </c>
      <c r="F353" s="1933"/>
      <c r="G353" s="1933"/>
      <c r="H353" s="1933"/>
      <c r="I353" s="1933"/>
      <c r="J353" s="1990"/>
    </row>
    <row r="354" spans="1:10" ht="27.75" customHeight="1">
      <c r="A354" s="1962"/>
      <c r="B354" s="1955">
        <f>'Input Data'!$D$25</f>
        <v>0.19614999999999999</v>
      </c>
      <c r="C354" s="3247" t="str">
        <f>"Over head charges "&amp;'Input Data'!$D$25*100&amp;"%  on (A) + (B)"</f>
        <v>Over head charges 19.615%  on (A) + (B)</v>
      </c>
      <c r="D354" s="3248"/>
      <c r="E354" s="3248"/>
      <c r="F354" s="3248"/>
      <c r="G354" s="3249"/>
      <c r="H354" s="1937">
        <f>J352+J350+J346+J339</f>
        <v>79231.97</v>
      </c>
      <c r="I354" s="1933"/>
      <c r="J354" s="1950">
        <f>H354*B354</f>
        <v>15541.350915499999</v>
      </c>
    </row>
    <row r="355" spans="1:10">
      <c r="A355" s="1962"/>
      <c r="B355" s="1964" t="s">
        <v>76</v>
      </c>
      <c r="C355" s="1962" t="s">
        <v>89</v>
      </c>
      <c r="F355" s="1933"/>
      <c r="G355" s="1933"/>
      <c r="H355" s="1933"/>
      <c r="I355" s="1933"/>
      <c r="J355" s="1990">
        <f>J339+J346+J350+J354+J352</f>
        <v>94773.320915499993</v>
      </c>
    </row>
    <row r="356" spans="1:10">
      <c r="A356" s="1962"/>
      <c r="B356" s="1964" t="s">
        <v>78</v>
      </c>
      <c r="C356" s="1962" t="s">
        <v>90</v>
      </c>
      <c r="F356" s="1933"/>
      <c r="G356" s="1933"/>
      <c r="H356" s="1933"/>
      <c r="I356" s="1933"/>
      <c r="J356" s="1990">
        <f>J355*10/100</f>
        <v>9477.3320915499989</v>
      </c>
    </row>
    <row r="357" spans="1:10">
      <c r="B357" s="1954"/>
      <c r="C357" s="1933"/>
      <c r="D357" s="1971" t="s">
        <v>98</v>
      </c>
      <c r="H357" s="1950"/>
      <c r="I357" s="1950"/>
      <c r="J357" s="1990">
        <f>SUM(J355:J356)</f>
        <v>104250.65300704999</v>
      </c>
    </row>
    <row r="358" spans="1:10">
      <c r="B358" s="1954"/>
      <c r="C358" s="1933"/>
      <c r="D358" s="1936" t="s">
        <v>81</v>
      </c>
      <c r="H358" s="1950"/>
      <c r="I358" s="1950"/>
      <c r="J358" s="1950">
        <f>ROUND(J357/15,2)</f>
        <v>6950.04</v>
      </c>
    </row>
    <row r="359" spans="1:10">
      <c r="D359" s="1936" t="s">
        <v>52</v>
      </c>
      <c r="H359" s="1950"/>
      <c r="I359" s="1950"/>
      <c r="J359" s="1991">
        <f>ROUND(J358,0)</f>
        <v>6950</v>
      </c>
    </row>
    <row r="360" spans="1:10">
      <c r="D360" s="1936"/>
      <c r="H360" s="1950"/>
      <c r="I360" s="1950"/>
      <c r="J360" s="1990" t="s">
        <v>53</v>
      </c>
    </row>
    <row r="361" spans="1:10" ht="117.75" customHeight="1">
      <c r="A361" s="1959"/>
      <c r="B361" s="3238" t="s">
        <v>147</v>
      </c>
      <c r="C361" s="3238"/>
      <c r="D361" s="3238"/>
      <c r="E361" s="3238"/>
      <c r="F361" s="3238"/>
      <c r="G361" s="3238"/>
      <c r="H361" s="3238"/>
      <c r="I361" s="3238"/>
      <c r="J361" s="3238"/>
    </row>
    <row r="362" spans="1:10">
      <c r="D362" s="1936" t="s">
        <v>10</v>
      </c>
      <c r="F362" s="1962" t="s">
        <v>148</v>
      </c>
      <c r="J362" s="1930"/>
    </row>
    <row r="363" spans="1:10">
      <c r="D363" s="1936" t="s">
        <v>56</v>
      </c>
      <c r="J363" s="1930"/>
    </row>
    <row r="364" spans="1:10">
      <c r="B364" s="1964" t="s">
        <v>36</v>
      </c>
      <c r="C364" s="1971" t="s">
        <v>37</v>
      </c>
      <c r="J364" s="1930"/>
    </row>
    <row r="365" spans="1:10">
      <c r="B365" s="1954">
        <v>0.86</v>
      </c>
      <c r="C365" s="1933" t="s">
        <v>57</v>
      </c>
      <c r="D365" s="1936" t="s">
        <v>14</v>
      </c>
      <c r="H365" s="1950">
        <f>'SSR-rates'!H$58</f>
        <v>490</v>
      </c>
      <c r="I365" s="1965" t="s">
        <v>38</v>
      </c>
      <c r="J365" s="1954">
        <f>ROUND(B365*H365,2)</f>
        <v>421.4</v>
      </c>
    </row>
    <row r="366" spans="1:10">
      <c r="B366" s="1954">
        <v>1.5</v>
      </c>
      <c r="C366" s="1933" t="s">
        <v>57</v>
      </c>
      <c r="D366" s="1936" t="s">
        <v>58</v>
      </c>
      <c r="H366" s="1950">
        <f>'SSR-rates'!H$59</f>
        <v>524</v>
      </c>
      <c r="I366" s="1965" t="s">
        <v>38</v>
      </c>
      <c r="J366" s="1954">
        <f>ROUND(B366*H366,2)</f>
        <v>786</v>
      </c>
    </row>
    <row r="367" spans="1:10">
      <c r="B367" s="1954">
        <v>20</v>
      </c>
      <c r="C367" s="1933" t="s">
        <v>57</v>
      </c>
      <c r="D367" s="1936" t="s">
        <v>59</v>
      </c>
      <c r="H367" s="1950">
        <f>'SSR-rates'!H$60</f>
        <v>490</v>
      </c>
      <c r="I367" s="1965" t="s">
        <v>38</v>
      </c>
      <c r="J367" s="1954">
        <f>ROUND(B367*H367,2)</f>
        <v>9800</v>
      </c>
    </row>
    <row r="368" spans="1:10">
      <c r="A368" s="1962"/>
      <c r="B368" s="1951">
        <f>'Input Data'!$D$23</f>
        <v>0</v>
      </c>
      <c r="C368" s="1937"/>
      <c r="D368" s="1930" t="s">
        <v>17</v>
      </c>
      <c r="F368" s="1933"/>
      <c r="G368" s="1933"/>
      <c r="H368" s="1950">
        <f>SUM(J365:J367)</f>
        <v>11007.4</v>
      </c>
      <c r="I368" s="1965"/>
      <c r="J368" s="1950">
        <f>B368*H368</f>
        <v>0</v>
      </c>
    </row>
    <row r="369" spans="1:10">
      <c r="B369" s="1954"/>
      <c r="D369" s="1936" t="s">
        <v>60</v>
      </c>
      <c r="H369" s="1950"/>
      <c r="I369" s="1950"/>
      <c r="J369" s="1954">
        <f>SUM(J365:J368)</f>
        <v>11007.4</v>
      </c>
    </row>
    <row r="370" spans="1:10">
      <c r="B370" s="1964" t="s">
        <v>39</v>
      </c>
      <c r="C370" s="1971" t="s">
        <v>61</v>
      </c>
      <c r="H370" s="1950"/>
      <c r="I370" s="1950"/>
      <c r="J370" s="1950"/>
    </row>
    <row r="371" spans="1:10">
      <c r="B371" s="1954">
        <v>8.1</v>
      </c>
      <c r="C371" s="1933" t="s">
        <v>31</v>
      </c>
      <c r="D371" s="1936" t="s">
        <v>62</v>
      </c>
      <c r="H371" s="1950">
        <f>lead!$J$14</f>
        <v>1590.8641904678079</v>
      </c>
      <c r="I371" s="1950" t="s">
        <v>31</v>
      </c>
      <c r="J371" s="1950">
        <f>ROUND(B371*H371,2)</f>
        <v>12886</v>
      </c>
    </row>
    <row r="372" spans="1:10">
      <c r="B372" s="1954">
        <v>4.05</v>
      </c>
      <c r="C372" s="1933" t="s">
        <v>31</v>
      </c>
      <c r="D372" s="1930" t="s">
        <v>63</v>
      </c>
      <c r="H372" s="1950">
        <f>lead!$J$16</f>
        <v>1889.8641904678079</v>
      </c>
      <c r="I372" s="1950" t="s">
        <v>31</v>
      </c>
      <c r="J372" s="1950">
        <f>ROUND(B372*H372,2)</f>
        <v>7653.95</v>
      </c>
    </row>
    <row r="373" spans="1:10">
      <c r="B373" s="1954">
        <v>1.35</v>
      </c>
      <c r="C373" s="1933" t="s">
        <v>31</v>
      </c>
      <c r="D373" s="1930" t="s">
        <v>64</v>
      </c>
      <c r="H373" s="1950">
        <f>lead!$J$18</f>
        <v>1638.8641904678079</v>
      </c>
      <c r="I373" s="1950" t="s">
        <v>31</v>
      </c>
      <c r="J373" s="1950">
        <f>ROUND(B373*H373,2)</f>
        <v>2212.4699999999998</v>
      </c>
    </row>
    <row r="374" spans="1:10">
      <c r="B374" s="1954">
        <v>6.75</v>
      </c>
      <c r="C374" s="1933" t="s">
        <v>31</v>
      </c>
      <c r="D374" s="1936" t="s">
        <v>65</v>
      </c>
      <c r="H374" s="1950">
        <f>lead!J12</f>
        <v>1568.1141904678079</v>
      </c>
      <c r="I374" s="1950" t="s">
        <v>31</v>
      </c>
      <c r="J374" s="1950">
        <f>ROUND(B374*H374,2)</f>
        <v>10584.77</v>
      </c>
    </row>
    <row r="375" spans="1:10">
      <c r="B375" s="1954">
        <v>4.13</v>
      </c>
      <c r="C375" s="1933" t="s">
        <v>66</v>
      </c>
      <c r="D375" s="1936" t="s">
        <v>67</v>
      </c>
      <c r="H375" s="1950">
        <f>lead!$J$36</f>
        <v>5000</v>
      </c>
      <c r="I375" s="1950" t="s">
        <v>66</v>
      </c>
      <c r="J375" s="1950">
        <f>ROUND(B375*H375,2)</f>
        <v>20650</v>
      </c>
    </row>
    <row r="376" spans="1:10">
      <c r="B376" s="1954"/>
      <c r="C376" s="1937"/>
      <c r="D376" s="1936" t="s">
        <v>60</v>
      </c>
      <c r="H376" s="1950"/>
      <c r="I376" s="1950"/>
      <c r="J376" s="1950">
        <f>SUM(J371:J375)</f>
        <v>53987.19</v>
      </c>
    </row>
    <row r="377" spans="1:10">
      <c r="B377" s="1964" t="s">
        <v>87</v>
      </c>
      <c r="C377" s="1971" t="s">
        <v>40</v>
      </c>
      <c r="H377" s="1950"/>
      <c r="I377" s="1950"/>
      <c r="J377" s="1950"/>
    </row>
    <row r="378" spans="1:10">
      <c r="B378" s="1954">
        <v>6</v>
      </c>
      <c r="C378" s="1933" t="s">
        <v>41</v>
      </c>
      <c r="D378" s="1936" t="s">
        <v>68</v>
      </c>
      <c r="H378" s="1950">
        <f>'SSR-rates'!$H$88</f>
        <v>627.6</v>
      </c>
      <c r="I378" s="1950" t="s">
        <v>41</v>
      </c>
      <c r="J378" s="1950">
        <f>ROUND(B378*H378,2)</f>
        <v>3765.6</v>
      </c>
    </row>
    <row r="379" spans="1:10">
      <c r="B379" s="1954">
        <v>6</v>
      </c>
      <c r="C379" s="1933" t="s">
        <v>41</v>
      </c>
      <c r="D379" s="1936" t="s">
        <v>69</v>
      </c>
      <c r="H379" s="1950">
        <f>'SSR-rates'!$H$87</f>
        <v>1237.4000000000001</v>
      </c>
      <c r="I379" s="1950" t="s">
        <v>41</v>
      </c>
      <c r="J379" s="1950">
        <f>ROUND(B379*H379,2)</f>
        <v>7424.4</v>
      </c>
    </row>
    <row r="380" spans="1:10">
      <c r="B380" s="1954"/>
      <c r="C380" s="1937"/>
      <c r="D380" s="1936" t="s">
        <v>60</v>
      </c>
      <c r="H380" s="1950"/>
      <c r="I380" s="1950"/>
      <c r="J380" s="1950">
        <f>SUM(J378:J379)</f>
        <v>11190</v>
      </c>
    </row>
    <row r="381" spans="1:10">
      <c r="A381" s="1962"/>
      <c r="B381" s="1964" t="s">
        <v>45</v>
      </c>
      <c r="C381" s="1962" t="s">
        <v>149</v>
      </c>
      <c r="F381" s="1933"/>
      <c r="G381" s="1933"/>
      <c r="H381" s="1933"/>
      <c r="I381" s="1933"/>
      <c r="J381" s="1990"/>
    </row>
    <row r="382" spans="1:10">
      <c r="A382" s="1962"/>
      <c r="B382" s="1954">
        <v>10</v>
      </c>
      <c r="C382" s="1937" t="s">
        <v>29</v>
      </c>
      <c r="D382" s="1936" t="s">
        <v>146</v>
      </c>
      <c r="F382" s="1933"/>
      <c r="G382" s="1933"/>
      <c r="H382" s="1933"/>
      <c r="I382" s="1933"/>
      <c r="J382" s="1950">
        <f>ROUND((J369+J376+J380)*B382/100,2)</f>
        <v>7618.46</v>
      </c>
    </row>
    <row r="383" spans="1:10">
      <c r="A383" s="1962"/>
      <c r="B383" s="1964" t="s">
        <v>47</v>
      </c>
      <c r="C383" s="1962" t="s">
        <v>74</v>
      </c>
      <c r="F383" s="1933"/>
      <c r="G383" s="1933"/>
      <c r="H383" s="1933"/>
      <c r="I383" s="1933"/>
      <c r="J383" s="1990"/>
    </row>
    <row r="384" spans="1:10" ht="30.75" customHeight="1">
      <c r="A384" s="1962"/>
      <c r="B384" s="1955">
        <f>'Input Data'!$D$25</f>
        <v>0.19614999999999999</v>
      </c>
      <c r="C384" s="3247" t="str">
        <f>"Over head charges "&amp;'Input Data'!$D$25*100&amp;"%  on (A) + (B)+(C)+(D)"</f>
        <v>Over head charges 19.615%  on (A) + (B)+(C)+(D)</v>
      </c>
      <c r="D384" s="3248"/>
      <c r="E384" s="3248"/>
      <c r="F384" s="3248"/>
      <c r="G384" s="3249"/>
      <c r="H384" s="1937">
        <f>J382+J380+J376+J369</f>
        <v>83803.049999999988</v>
      </c>
      <c r="I384" s="1933"/>
      <c r="J384" s="1950">
        <f>H384*B384</f>
        <v>16437.968257499997</v>
      </c>
    </row>
    <row r="385" spans="1:11">
      <c r="A385" s="1962"/>
      <c r="B385" s="1964" t="s">
        <v>76</v>
      </c>
      <c r="C385" s="1962" t="s">
        <v>89</v>
      </c>
      <c r="F385" s="1933"/>
      <c r="G385" s="1933"/>
      <c r="H385" s="1933"/>
      <c r="I385" s="1933"/>
      <c r="J385" s="1990">
        <f>J369+J376+J380+J384+J382</f>
        <v>100241.01825750001</v>
      </c>
    </row>
    <row r="386" spans="1:11">
      <c r="A386" s="1962"/>
      <c r="B386" s="1964" t="s">
        <v>78</v>
      </c>
      <c r="C386" s="1962" t="s">
        <v>90</v>
      </c>
      <c r="F386" s="1933"/>
      <c r="G386" s="1933"/>
      <c r="H386" s="1933"/>
      <c r="I386" s="1933"/>
      <c r="J386" s="1990">
        <f>J385*10/100</f>
        <v>10024.101825750002</v>
      </c>
    </row>
    <row r="387" spans="1:11">
      <c r="B387" s="1954"/>
      <c r="C387" s="1933"/>
      <c r="D387" s="1971" t="s">
        <v>98</v>
      </c>
      <c r="H387" s="1950"/>
      <c r="I387" s="1950"/>
      <c r="J387" s="1990">
        <f>SUM(J385:J386)</f>
        <v>110265.12008325</v>
      </c>
    </row>
    <row r="388" spans="1:11">
      <c r="B388" s="1954"/>
      <c r="C388" s="1933"/>
      <c r="D388" s="1936" t="s">
        <v>81</v>
      </c>
      <c r="H388" s="1950"/>
      <c r="I388" s="1950"/>
      <c r="J388" s="1950">
        <f>ROUND(J387/15,2)</f>
        <v>7351.01</v>
      </c>
    </row>
    <row r="389" spans="1:11">
      <c r="D389" s="1936" t="s">
        <v>52</v>
      </c>
      <c r="H389" s="1950"/>
      <c r="I389" s="1950"/>
      <c r="J389" s="1991">
        <f>ROUND(J388,0)</f>
        <v>7351</v>
      </c>
    </row>
    <row r="390" spans="1:11">
      <c r="D390" s="1936"/>
      <c r="H390" s="1950"/>
      <c r="I390" s="1950"/>
      <c r="J390" s="1990" t="s">
        <v>53</v>
      </c>
    </row>
    <row r="391" spans="1:11" ht="106.5" customHeight="1">
      <c r="A391" s="1959"/>
      <c r="B391" s="3238" t="s">
        <v>150</v>
      </c>
      <c r="C391" s="3238"/>
      <c r="D391" s="3238"/>
      <c r="E391" s="3238"/>
      <c r="F391" s="3238"/>
      <c r="G391" s="3238"/>
      <c r="H391" s="3238"/>
      <c r="I391" s="3238"/>
      <c r="J391" s="3238"/>
    </row>
    <row r="392" spans="1:11">
      <c r="D392" s="1936" t="s">
        <v>10</v>
      </c>
      <c r="F392" s="1962" t="s">
        <v>151</v>
      </c>
      <c r="J392" s="1930"/>
    </row>
    <row r="393" spans="1:11">
      <c r="D393" s="1936" t="s">
        <v>56</v>
      </c>
      <c r="J393" s="1930"/>
    </row>
    <row r="394" spans="1:11">
      <c r="B394" s="1964" t="s">
        <v>36</v>
      </c>
      <c r="C394" s="1971" t="s">
        <v>37</v>
      </c>
      <c r="J394" s="1930"/>
    </row>
    <row r="395" spans="1:11">
      <c r="B395" s="1954">
        <v>0.86</v>
      </c>
      <c r="C395" s="1933" t="s">
        <v>57</v>
      </c>
      <c r="D395" s="1936" t="s">
        <v>14</v>
      </c>
      <c r="H395" s="1950">
        <f>'SSR-rates'!$H$58</f>
        <v>490</v>
      </c>
      <c r="I395" s="1965" t="s">
        <v>38</v>
      </c>
      <c r="J395" s="1954">
        <f>ROUND(B395*H395,2)</f>
        <v>421.4</v>
      </c>
      <c r="K395" s="1936"/>
    </row>
    <row r="396" spans="1:11">
      <c r="B396" s="1954">
        <v>1.5</v>
      </c>
      <c r="C396" s="1933" t="s">
        <v>57</v>
      </c>
      <c r="D396" s="1936" t="s">
        <v>58</v>
      </c>
      <c r="H396" s="1950">
        <f>'SSR-rates'!$H$59</f>
        <v>524</v>
      </c>
      <c r="I396" s="1965" t="s">
        <v>38</v>
      </c>
      <c r="J396" s="1954">
        <f>ROUND(B396*H396,2)</f>
        <v>786</v>
      </c>
    </row>
    <row r="397" spans="1:11">
      <c r="B397" s="1954">
        <v>20</v>
      </c>
      <c r="C397" s="1933" t="s">
        <v>57</v>
      </c>
      <c r="D397" s="1936" t="s">
        <v>59</v>
      </c>
      <c r="H397" s="1950">
        <f>'SSR-rates'!$H$60</f>
        <v>490</v>
      </c>
      <c r="I397" s="1965" t="s">
        <v>38</v>
      </c>
      <c r="J397" s="1954">
        <f>ROUND(B397*H397,2)</f>
        <v>9800</v>
      </c>
    </row>
    <row r="398" spans="1:11">
      <c r="A398" s="1962"/>
      <c r="B398" s="1951">
        <f>'Input Data'!$D$23</f>
        <v>0</v>
      </c>
      <c r="C398" s="1937"/>
      <c r="D398" s="1930" t="s">
        <v>17</v>
      </c>
      <c r="F398" s="1933"/>
      <c r="G398" s="1933"/>
      <c r="H398" s="1950">
        <f>SUM(J395:J397)</f>
        <v>11007.4</v>
      </c>
      <c r="I398" s="1965"/>
      <c r="J398" s="1950">
        <f>B398*H398</f>
        <v>0</v>
      </c>
    </row>
    <row r="399" spans="1:11" ht="15" customHeight="1">
      <c r="B399" s="1954"/>
      <c r="D399" s="1936" t="s">
        <v>60</v>
      </c>
      <c r="H399" s="1950"/>
      <c r="I399" s="1950"/>
      <c r="J399" s="1954">
        <f>SUM(J395:J398)</f>
        <v>11007.4</v>
      </c>
    </row>
    <row r="400" spans="1:11">
      <c r="B400" s="1964" t="s">
        <v>39</v>
      </c>
      <c r="C400" s="1971" t="s">
        <v>61</v>
      </c>
      <c r="H400" s="1950"/>
      <c r="I400" s="1950"/>
      <c r="J400" s="1950"/>
    </row>
    <row r="401" spans="1:13">
      <c r="B401" s="1954">
        <v>0</v>
      </c>
      <c r="C401" s="1933" t="s">
        <v>31</v>
      </c>
      <c r="D401" s="1936" t="s">
        <v>62</v>
      </c>
      <c r="H401" s="1950">
        <f>lead!$J$14</f>
        <v>1590.8641904678079</v>
      </c>
      <c r="I401" s="1950" t="s">
        <v>31</v>
      </c>
      <c r="J401" s="1950">
        <f>ROUND(B401*H401,2)</f>
        <v>0</v>
      </c>
      <c r="K401" s="1930">
        <v>5.16</v>
      </c>
      <c r="L401" s="1930">
        <v>5.4</v>
      </c>
      <c r="M401" s="1930">
        <v>1139.82456140351</v>
      </c>
    </row>
    <row r="402" spans="1:13" ht="15" customHeight="1">
      <c r="B402" s="1954">
        <v>8.1</v>
      </c>
      <c r="C402" s="1933" t="s">
        <v>31</v>
      </c>
      <c r="D402" s="1930" t="s">
        <v>63</v>
      </c>
      <c r="H402" s="1950">
        <f>lead!$J$16</f>
        <v>1889.8641904678079</v>
      </c>
      <c r="I402" s="1950" t="s">
        <v>31</v>
      </c>
      <c r="J402" s="1950">
        <f>ROUND(B402*H402,2)</f>
        <v>15307.9</v>
      </c>
      <c r="L402" s="1930">
        <v>5.4</v>
      </c>
      <c r="M402" s="1930">
        <v>1659.82456140351</v>
      </c>
    </row>
    <row r="403" spans="1:13" ht="15" customHeight="1">
      <c r="B403" s="1954">
        <v>5.4</v>
      </c>
      <c r="C403" s="1933" t="s">
        <v>31</v>
      </c>
      <c r="D403" s="1930" t="s">
        <v>64</v>
      </c>
      <c r="H403" s="1950">
        <f>lead!$J$18</f>
        <v>1638.8641904678079</v>
      </c>
      <c r="I403" s="1950" t="s">
        <v>31</v>
      </c>
      <c r="J403" s="1950">
        <f>ROUND(B403*H403,2)</f>
        <v>8849.8700000000008</v>
      </c>
      <c r="L403" s="1930">
        <v>2.7</v>
      </c>
      <c r="M403" s="1930">
        <v>1229.82456140351</v>
      </c>
    </row>
    <row r="404" spans="1:13" ht="15" customHeight="1">
      <c r="B404" s="1954">
        <v>6.75</v>
      </c>
      <c r="C404" s="1933" t="s">
        <v>31</v>
      </c>
      <c r="D404" s="1936" t="s">
        <v>65</v>
      </c>
      <c r="H404" s="1950">
        <f>lead!J12</f>
        <v>1568.1141904678079</v>
      </c>
      <c r="I404" s="1950" t="s">
        <v>31</v>
      </c>
      <c r="J404" s="1950">
        <f>ROUND(B404*H404,2)</f>
        <v>10584.77</v>
      </c>
      <c r="L404" s="1930">
        <v>6.75</v>
      </c>
      <c r="M404" s="1930">
        <v>1207.0087719298201</v>
      </c>
    </row>
    <row r="405" spans="1:13" ht="15" customHeight="1">
      <c r="B405" s="1954">
        <v>5.12</v>
      </c>
      <c r="C405" s="1933" t="s">
        <v>66</v>
      </c>
      <c r="D405" s="1936" t="s">
        <v>67</v>
      </c>
      <c r="H405" s="1950">
        <f>lead!$J$36</f>
        <v>5000</v>
      </c>
      <c r="I405" s="1950" t="s">
        <v>66</v>
      </c>
      <c r="J405" s="1950">
        <f>ROUND(B405*H405,2)</f>
        <v>25600</v>
      </c>
      <c r="L405" s="1930">
        <v>5.16</v>
      </c>
      <c r="M405" s="1930">
        <v>6300</v>
      </c>
    </row>
    <row r="406" spans="1:13">
      <c r="B406" s="1954"/>
      <c r="C406" s="1937"/>
      <c r="D406" s="1936" t="s">
        <v>60</v>
      </c>
      <c r="H406" s="1950"/>
      <c r="I406" s="1950"/>
      <c r="J406" s="1950">
        <f>SUM(J401:J405)</f>
        <v>60342.54</v>
      </c>
    </row>
    <row r="407" spans="1:13">
      <c r="B407" s="1964" t="s">
        <v>94</v>
      </c>
      <c r="C407" s="1971" t="s">
        <v>40</v>
      </c>
      <c r="H407" s="1950"/>
      <c r="I407" s="1950"/>
      <c r="J407" s="1950"/>
    </row>
    <row r="408" spans="1:13">
      <c r="B408" s="1954">
        <v>6</v>
      </c>
      <c r="C408" s="1933" t="s">
        <v>41</v>
      </c>
      <c r="D408" s="1936" t="s">
        <v>68</v>
      </c>
      <c r="H408" s="1950">
        <f>'SSR-rates'!$H$88</f>
        <v>627.6</v>
      </c>
      <c r="I408" s="1950" t="s">
        <v>41</v>
      </c>
      <c r="J408" s="1950">
        <f>ROUND(B408*H408,2)</f>
        <v>3765.6</v>
      </c>
    </row>
    <row r="409" spans="1:13">
      <c r="B409" s="1954">
        <v>6</v>
      </c>
      <c r="C409" s="1933" t="s">
        <v>41</v>
      </c>
      <c r="D409" s="1936" t="s">
        <v>69</v>
      </c>
      <c r="H409" s="1950">
        <f>'SSR-rates'!$H$87</f>
        <v>1237.4000000000001</v>
      </c>
      <c r="I409" s="1950" t="s">
        <v>41</v>
      </c>
      <c r="J409" s="1950">
        <f>ROUND(B409*H409,2)</f>
        <v>7424.4</v>
      </c>
    </row>
    <row r="410" spans="1:13">
      <c r="B410" s="1954"/>
      <c r="C410" s="1937"/>
      <c r="D410" s="1936" t="s">
        <v>60</v>
      </c>
      <c r="H410" s="1950"/>
      <c r="I410" s="1950"/>
      <c r="J410" s="1950">
        <f>SUM(J408:J409)</f>
        <v>11190</v>
      </c>
    </row>
    <row r="411" spans="1:13">
      <c r="A411" s="1962"/>
      <c r="B411" s="1964" t="s">
        <v>45</v>
      </c>
      <c r="C411" s="1962" t="s">
        <v>152</v>
      </c>
      <c r="F411" s="1933"/>
      <c r="G411" s="1933"/>
      <c r="H411" s="1933"/>
      <c r="I411" s="1933"/>
      <c r="J411" s="1990"/>
    </row>
    <row r="412" spans="1:13">
      <c r="A412" s="1962"/>
      <c r="B412" s="1954">
        <v>10</v>
      </c>
      <c r="C412" s="1937" t="s">
        <v>29</v>
      </c>
      <c r="D412" s="1936" t="s">
        <v>146</v>
      </c>
      <c r="F412" s="1933"/>
      <c r="G412" s="1933"/>
      <c r="H412" s="1933"/>
      <c r="I412" s="1933"/>
      <c r="J412" s="1950">
        <f>ROUND((J399+J406+J410)*B412/100,2)</f>
        <v>8253.99</v>
      </c>
    </row>
    <row r="413" spans="1:13">
      <c r="A413" s="1962"/>
      <c r="B413" s="1964" t="s">
        <v>47</v>
      </c>
      <c r="C413" s="1962" t="s">
        <v>74</v>
      </c>
      <c r="F413" s="1933"/>
      <c r="G413" s="1933"/>
      <c r="H413" s="1933"/>
      <c r="I413" s="1933"/>
      <c r="J413" s="1990"/>
    </row>
    <row r="414" spans="1:13">
      <c r="A414" s="1962"/>
      <c r="B414" s="1992">
        <f>'Input Data'!$D$25</f>
        <v>0.19614999999999999</v>
      </c>
      <c r="C414" s="1937"/>
      <c r="D414" s="1936" t="str">
        <f>"Over head charges "&amp;'Input Data'!$D$25*100&amp;"%  on (A) + (B)"</f>
        <v>Over head charges 19.615%  on (A) + (B)</v>
      </c>
      <c r="F414" s="1933"/>
      <c r="G414" s="1933"/>
      <c r="H414" s="1937">
        <f>J412+J410+J406+J399</f>
        <v>90793.93</v>
      </c>
      <c r="I414" s="1933"/>
      <c r="J414" s="1950">
        <f>H414*B414</f>
        <v>17809.229369499997</v>
      </c>
    </row>
    <row r="415" spans="1:13">
      <c r="A415" s="1962"/>
      <c r="B415" s="1964" t="s">
        <v>76</v>
      </c>
      <c r="C415" s="1962" t="s">
        <v>89</v>
      </c>
      <c r="F415" s="1933"/>
      <c r="G415" s="1933"/>
      <c r="H415" s="1933"/>
      <c r="I415" s="1933"/>
      <c r="J415" s="1990">
        <f>J399+J406+J410+J414+J412</f>
        <v>108603.1593695</v>
      </c>
    </row>
    <row r="416" spans="1:13">
      <c r="A416" s="1962"/>
      <c r="B416" s="1964" t="s">
        <v>78</v>
      </c>
      <c r="C416" s="1962" t="s">
        <v>90</v>
      </c>
      <c r="F416" s="1933"/>
      <c r="G416" s="1933"/>
      <c r="H416" s="1933"/>
      <c r="I416" s="1933"/>
      <c r="J416" s="1990">
        <f>J415*10/100</f>
        <v>10860.315936950001</v>
      </c>
    </row>
    <row r="417" spans="1:13">
      <c r="B417" s="1954"/>
      <c r="C417" s="1933"/>
      <c r="D417" s="1971" t="s">
        <v>98</v>
      </c>
      <c r="H417" s="1950"/>
      <c r="I417" s="1950"/>
      <c r="J417" s="1990">
        <f>SUM(J415:J416)</f>
        <v>119463.47530645001</v>
      </c>
    </row>
    <row r="418" spans="1:13">
      <c r="B418" s="1954"/>
      <c r="C418" s="1933"/>
      <c r="D418" s="1936" t="s">
        <v>81</v>
      </c>
      <c r="H418" s="1950"/>
      <c r="I418" s="1950"/>
      <c r="J418" s="1950">
        <f>ROUND(J417/15,2)</f>
        <v>7964.23</v>
      </c>
    </row>
    <row r="419" spans="1:13">
      <c r="D419" s="1936" t="s">
        <v>52</v>
      </c>
      <c r="H419" s="1950"/>
      <c r="I419" s="1950"/>
      <c r="J419" s="1991">
        <f>ROUND(J418,0)</f>
        <v>7964</v>
      </c>
    </row>
    <row r="420" spans="1:13">
      <c r="D420" s="1936"/>
      <c r="H420" s="1950"/>
      <c r="I420" s="1950"/>
      <c r="J420" s="1990" t="s">
        <v>53</v>
      </c>
    </row>
    <row r="421" spans="1:13" ht="106.5" customHeight="1">
      <c r="A421" s="1959"/>
      <c r="B421" s="3238" t="s">
        <v>153</v>
      </c>
      <c r="C421" s="3238"/>
      <c r="D421" s="3238"/>
      <c r="E421" s="3238"/>
      <c r="F421" s="3238"/>
      <c r="G421" s="3238"/>
      <c r="H421" s="3238"/>
      <c r="I421" s="3238"/>
      <c r="J421" s="3238"/>
    </row>
    <row r="422" spans="1:13">
      <c r="D422" s="1936" t="s">
        <v>10</v>
      </c>
      <c r="F422" s="1962" t="s">
        <v>151</v>
      </c>
      <c r="J422" s="1930"/>
    </row>
    <row r="423" spans="1:13">
      <c r="D423" s="1936" t="s">
        <v>56</v>
      </c>
      <c r="J423" s="1930"/>
    </row>
    <row r="424" spans="1:13">
      <c r="B424" s="1964" t="s">
        <v>36</v>
      </c>
      <c r="C424" s="1971" t="s">
        <v>37</v>
      </c>
      <c r="J424" s="1930"/>
    </row>
    <row r="425" spans="1:13">
      <c r="B425" s="1954">
        <v>0.86</v>
      </c>
      <c r="C425" s="1933" t="s">
        <v>57</v>
      </c>
      <c r="D425" s="1936" t="s">
        <v>14</v>
      </c>
      <c r="H425" s="1950">
        <f>'SSR-rates'!$H$58</f>
        <v>490</v>
      </c>
      <c r="I425" s="1965" t="s">
        <v>38</v>
      </c>
      <c r="J425" s="1954">
        <f>ROUND(B425*H425,2)</f>
        <v>421.4</v>
      </c>
      <c r="K425" s="1936"/>
    </row>
    <row r="426" spans="1:13">
      <c r="B426" s="1954">
        <v>1.5</v>
      </c>
      <c r="C426" s="1933" t="s">
        <v>57</v>
      </c>
      <c r="D426" s="1936" t="s">
        <v>58</v>
      </c>
      <c r="H426" s="1950">
        <f>'SSR-rates'!$H$59</f>
        <v>524</v>
      </c>
      <c r="I426" s="1965" t="s">
        <v>38</v>
      </c>
      <c r="J426" s="1954">
        <f>ROUND(B426*H426,2)</f>
        <v>786</v>
      </c>
    </row>
    <row r="427" spans="1:13">
      <c r="B427" s="1954">
        <v>20</v>
      </c>
      <c r="C427" s="1933" t="s">
        <v>57</v>
      </c>
      <c r="D427" s="1936" t="s">
        <v>59</v>
      </c>
      <c r="H427" s="1950">
        <f>'SSR-rates'!$H$60</f>
        <v>490</v>
      </c>
      <c r="I427" s="1965" t="s">
        <v>38</v>
      </c>
      <c r="J427" s="1954">
        <f>ROUND(B427*H427,2)</f>
        <v>9800</v>
      </c>
    </row>
    <row r="428" spans="1:13">
      <c r="A428" s="1962"/>
      <c r="B428" s="1951">
        <f>'Input Data'!$D$23</f>
        <v>0</v>
      </c>
      <c r="C428" s="1937"/>
      <c r="D428" s="1930" t="s">
        <v>17</v>
      </c>
      <c r="F428" s="1933"/>
      <c r="G428" s="1933"/>
      <c r="H428" s="1950">
        <f>SUM(J425:J427)</f>
        <v>11007.4</v>
      </c>
      <c r="I428" s="1965"/>
      <c r="J428" s="1950">
        <f>B428*H428</f>
        <v>0</v>
      </c>
    </row>
    <row r="429" spans="1:13" ht="15" customHeight="1">
      <c r="B429" s="1954"/>
      <c r="D429" s="1936" t="s">
        <v>60</v>
      </c>
      <c r="H429" s="1950"/>
      <c r="I429" s="1950"/>
      <c r="J429" s="1954">
        <f>SUM(J425:J428)</f>
        <v>11007.4</v>
      </c>
    </row>
    <row r="430" spans="1:13">
      <c r="B430" s="1964" t="s">
        <v>39</v>
      </c>
      <c r="C430" s="1971" t="s">
        <v>61</v>
      </c>
      <c r="H430" s="1950"/>
      <c r="I430" s="1950"/>
      <c r="J430" s="1950"/>
    </row>
    <row r="431" spans="1:13">
      <c r="B431" s="1954">
        <v>0</v>
      </c>
      <c r="C431" s="1933" t="s">
        <v>31</v>
      </c>
      <c r="D431" s="1936" t="s">
        <v>62</v>
      </c>
      <c r="H431" s="1950">
        <f>lead!$J$14</f>
        <v>1590.8641904678079</v>
      </c>
      <c r="I431" s="1950" t="s">
        <v>31</v>
      </c>
      <c r="J431" s="1950">
        <f>ROUND(B431*H431,2)</f>
        <v>0</v>
      </c>
      <c r="K431" s="1930">
        <v>5.16</v>
      </c>
      <c r="L431" s="1930">
        <v>5.4</v>
      </c>
      <c r="M431" s="1930">
        <v>1139.82456140351</v>
      </c>
    </row>
    <row r="432" spans="1:13" ht="15" customHeight="1">
      <c r="B432" s="1954">
        <v>8.1</v>
      </c>
      <c r="C432" s="1933" t="s">
        <v>31</v>
      </c>
      <c r="D432" s="1930" t="s">
        <v>63</v>
      </c>
      <c r="H432" s="1950">
        <f>lead!$J$16</f>
        <v>1889.8641904678079</v>
      </c>
      <c r="I432" s="1950" t="s">
        <v>31</v>
      </c>
      <c r="J432" s="1950">
        <f>ROUND(B432*H432,2)</f>
        <v>15307.9</v>
      </c>
      <c r="L432" s="1930">
        <v>5.4</v>
      </c>
      <c r="M432" s="1930">
        <v>1659.82456140351</v>
      </c>
    </row>
    <row r="433" spans="1:13" ht="15" customHeight="1">
      <c r="B433" s="1954">
        <v>5.4</v>
      </c>
      <c r="C433" s="1933" t="s">
        <v>31</v>
      </c>
      <c r="D433" s="1930" t="s">
        <v>64</v>
      </c>
      <c r="H433" s="1950">
        <f>lead!$J$18</f>
        <v>1638.8641904678079</v>
      </c>
      <c r="I433" s="1950" t="s">
        <v>31</v>
      </c>
      <c r="J433" s="1950">
        <f>ROUND(B433*H433,2)</f>
        <v>8849.8700000000008</v>
      </c>
      <c r="L433" s="1930">
        <v>2.7</v>
      </c>
      <c r="M433" s="1930">
        <v>1229.82456140351</v>
      </c>
    </row>
    <row r="434" spans="1:13" ht="15" customHeight="1">
      <c r="B434" s="1954">
        <v>6.75</v>
      </c>
      <c r="C434" s="1933" t="s">
        <v>31</v>
      </c>
      <c r="D434" s="1936" t="s">
        <v>65</v>
      </c>
      <c r="H434" s="1950">
        <f>lead!J12</f>
        <v>1568.1141904678079</v>
      </c>
      <c r="I434" s="1950" t="s">
        <v>31</v>
      </c>
      <c r="J434" s="1950">
        <f>ROUND(B434*H434,2)</f>
        <v>10584.77</v>
      </c>
      <c r="L434" s="1930">
        <v>6.75</v>
      </c>
      <c r="M434" s="1930">
        <v>1207.0087719298201</v>
      </c>
    </row>
    <row r="435" spans="1:13" ht="15" customHeight="1">
      <c r="B435" s="1954">
        <v>5.12</v>
      </c>
      <c r="C435" s="1933" t="s">
        <v>66</v>
      </c>
      <c r="D435" s="1936" t="s">
        <v>67</v>
      </c>
      <c r="H435" s="1950">
        <f>lead!$J$36</f>
        <v>5000</v>
      </c>
      <c r="I435" s="1950" t="s">
        <v>66</v>
      </c>
      <c r="J435" s="1950">
        <f>ROUND(B435*H435,2)</f>
        <v>25600</v>
      </c>
      <c r="L435" s="1930">
        <v>5.16</v>
      </c>
      <c r="M435" s="1930">
        <v>6300</v>
      </c>
    </row>
    <row r="436" spans="1:13">
      <c r="B436" s="1954"/>
      <c r="C436" s="1937"/>
      <c r="D436" s="1936" t="s">
        <v>60</v>
      </c>
      <c r="H436" s="1950"/>
      <c r="I436" s="1950"/>
      <c r="J436" s="1950">
        <f>SUM(J431:J435)</f>
        <v>60342.54</v>
      </c>
    </row>
    <row r="437" spans="1:13">
      <c r="B437" s="1964" t="s">
        <v>94</v>
      </c>
      <c r="C437" s="1971" t="s">
        <v>40</v>
      </c>
      <c r="H437" s="1950"/>
      <c r="I437" s="1950"/>
      <c r="J437" s="1950"/>
    </row>
    <row r="438" spans="1:13">
      <c r="B438" s="1954">
        <v>6</v>
      </c>
      <c r="C438" s="1933" t="s">
        <v>41</v>
      </c>
      <c r="D438" s="1936" t="s">
        <v>68</v>
      </c>
      <c r="H438" s="1950">
        <f>'SSR-rates'!$H$88</f>
        <v>627.6</v>
      </c>
      <c r="I438" s="1950" t="s">
        <v>41</v>
      </c>
      <c r="J438" s="1950">
        <f>ROUND(B438*H438,2)</f>
        <v>3765.6</v>
      </c>
    </row>
    <row r="439" spans="1:13">
      <c r="B439" s="1954">
        <v>6</v>
      </c>
      <c r="C439" s="1933" t="s">
        <v>41</v>
      </c>
      <c r="D439" s="1936" t="s">
        <v>69</v>
      </c>
      <c r="H439" s="1950">
        <f>'SSR-rates'!$H$87</f>
        <v>1237.4000000000001</v>
      </c>
      <c r="I439" s="1950" t="s">
        <v>41</v>
      </c>
      <c r="J439" s="1950">
        <f>ROUND(B439*H439,2)</f>
        <v>7424.4</v>
      </c>
    </row>
    <row r="440" spans="1:13">
      <c r="B440" s="1954"/>
      <c r="C440" s="1937"/>
      <c r="D440" s="1936" t="s">
        <v>60</v>
      </c>
      <c r="H440" s="1950"/>
      <c r="I440" s="1950"/>
      <c r="J440" s="1950">
        <f>SUM(J438:J439)</f>
        <v>11190</v>
      </c>
    </row>
    <row r="441" spans="1:13">
      <c r="A441" s="1962"/>
      <c r="B441" s="1964" t="s">
        <v>45</v>
      </c>
      <c r="C441" s="1962" t="s">
        <v>152</v>
      </c>
      <c r="F441" s="1933"/>
      <c r="G441" s="1933"/>
      <c r="H441" s="1933"/>
      <c r="I441" s="1933"/>
      <c r="J441" s="1990"/>
    </row>
    <row r="442" spans="1:13">
      <c r="A442" s="1962"/>
      <c r="B442" s="1954">
        <v>20</v>
      </c>
      <c r="C442" s="1937" t="s">
        <v>29</v>
      </c>
      <c r="D442" s="1936" t="s">
        <v>146</v>
      </c>
      <c r="F442" s="1933"/>
      <c r="G442" s="1933"/>
      <c r="H442" s="1933"/>
      <c r="I442" s="1933"/>
      <c r="J442" s="1950">
        <f>ROUND((J429+J436+J440)*B442/100,2)</f>
        <v>16507.990000000002</v>
      </c>
    </row>
    <row r="443" spans="1:13">
      <c r="A443" s="1962"/>
      <c r="B443" s="1964" t="s">
        <v>47</v>
      </c>
      <c r="C443" s="1962" t="s">
        <v>74</v>
      </c>
      <c r="F443" s="1933"/>
      <c r="G443" s="1933"/>
      <c r="H443" s="1933"/>
      <c r="I443" s="1933"/>
      <c r="J443" s="1990"/>
    </row>
    <row r="444" spans="1:13">
      <c r="A444" s="1962"/>
      <c r="B444" s="1992">
        <f>'Input Data'!$D$25</f>
        <v>0.19614999999999999</v>
      </c>
      <c r="C444" s="1937"/>
      <c r="D444" s="1936" t="str">
        <f>"Over head charges "&amp;'Input Data'!$D$25*100&amp;"%  on (A) + (B)"</f>
        <v>Over head charges 19.615%  on (A) + (B)</v>
      </c>
      <c r="F444" s="1933"/>
      <c r="G444" s="1933"/>
      <c r="H444" s="1937">
        <f>J442+J440+J436+J429</f>
        <v>99047.93</v>
      </c>
      <c r="I444" s="1933"/>
      <c r="J444" s="1950">
        <f>H444*B444</f>
        <v>19428.251469499999</v>
      </c>
    </row>
    <row r="445" spans="1:13">
      <c r="A445" s="1962"/>
      <c r="B445" s="1964" t="s">
        <v>76</v>
      </c>
      <c r="C445" s="1962" t="s">
        <v>89</v>
      </c>
      <c r="F445" s="1933"/>
      <c r="G445" s="1933"/>
      <c r="H445" s="1933"/>
      <c r="I445" s="1933"/>
      <c r="J445" s="1990">
        <f>J429+J436+J440+J444+J442</f>
        <v>118476.18146950001</v>
      </c>
    </row>
    <row r="446" spans="1:13">
      <c r="A446" s="1962"/>
      <c r="B446" s="1964" t="s">
        <v>78</v>
      </c>
      <c r="C446" s="1962" t="s">
        <v>90</v>
      </c>
      <c r="F446" s="1933"/>
      <c r="G446" s="1933"/>
      <c r="H446" s="1933"/>
      <c r="I446" s="1933"/>
      <c r="J446" s="1990">
        <f>J445*10/100</f>
        <v>11847.618146950002</v>
      </c>
    </row>
    <row r="447" spans="1:13">
      <c r="B447" s="1954"/>
      <c r="C447" s="1933"/>
      <c r="D447" s="1971" t="s">
        <v>98</v>
      </c>
      <c r="H447" s="1950"/>
      <c r="I447" s="1950"/>
      <c r="J447" s="1990">
        <f>SUM(J445:J446)</f>
        <v>130323.79961645001</v>
      </c>
    </row>
    <row r="448" spans="1:13">
      <c r="B448" s="1954"/>
      <c r="C448" s="1933"/>
      <c r="D448" s="1936" t="s">
        <v>81</v>
      </c>
      <c r="H448" s="1950"/>
      <c r="I448" s="1950"/>
      <c r="J448" s="1950">
        <f>ROUND(J447/15,2)</f>
        <v>8688.25</v>
      </c>
    </row>
    <row r="449" spans="1:10">
      <c r="D449" s="1936" t="s">
        <v>52</v>
      </c>
      <c r="H449" s="1950"/>
      <c r="I449" s="1950"/>
      <c r="J449" s="1991">
        <f>ROUND(J448,0)</f>
        <v>8688</v>
      </c>
    </row>
    <row r="450" spans="1:10">
      <c r="D450" s="1936"/>
      <c r="H450" s="1950"/>
      <c r="I450" s="1950"/>
      <c r="J450" s="1990" t="s">
        <v>53</v>
      </c>
    </row>
    <row r="451" spans="1:10" ht="125.25" customHeight="1">
      <c r="A451" s="2008"/>
      <c r="B451" s="3238" t="s">
        <v>154</v>
      </c>
      <c r="C451" s="3238"/>
      <c r="D451" s="3238"/>
      <c r="E451" s="3238"/>
      <c r="F451" s="3238"/>
      <c r="G451" s="3238"/>
      <c r="H451" s="3238"/>
      <c r="I451" s="3238"/>
      <c r="J451" s="3238"/>
    </row>
    <row r="452" spans="1:10">
      <c r="D452" s="1936" t="s">
        <v>10</v>
      </c>
      <c r="F452" s="1962" t="s">
        <v>155</v>
      </c>
      <c r="J452" s="1930"/>
    </row>
    <row r="453" spans="1:10">
      <c r="D453" s="1936" t="s">
        <v>56</v>
      </c>
      <c r="J453" s="1930"/>
    </row>
    <row r="454" spans="1:10">
      <c r="B454" s="1964" t="s">
        <v>36</v>
      </c>
      <c r="C454" s="1971" t="s">
        <v>37</v>
      </c>
      <c r="J454" s="1930"/>
    </row>
    <row r="455" spans="1:10">
      <c r="B455" s="1954">
        <v>0.86</v>
      </c>
      <c r="C455" s="1933" t="s">
        <v>57</v>
      </c>
      <c r="D455" s="1936" t="s">
        <v>156</v>
      </c>
      <c r="H455" s="1950">
        <f>'SSR-rates'!H$58</f>
        <v>490</v>
      </c>
      <c r="I455" s="1965" t="s">
        <v>38</v>
      </c>
      <c r="J455" s="1954">
        <f>ROUND(B455*H455,2)</f>
        <v>421.4</v>
      </c>
    </row>
    <row r="456" spans="1:10">
      <c r="B456" s="1954">
        <v>1.5</v>
      </c>
      <c r="C456" s="1933" t="s">
        <v>57</v>
      </c>
      <c r="D456" s="1936" t="s">
        <v>58</v>
      </c>
      <c r="H456" s="1950">
        <f>'SSR-rates'!H$59</f>
        <v>524</v>
      </c>
      <c r="I456" s="1965" t="s">
        <v>38</v>
      </c>
      <c r="J456" s="1954">
        <f>ROUND(B456*H456,2)</f>
        <v>786</v>
      </c>
    </row>
    <row r="457" spans="1:10">
      <c r="B457" s="1954">
        <v>20</v>
      </c>
      <c r="C457" s="1933" t="s">
        <v>57</v>
      </c>
      <c r="D457" s="1936" t="s">
        <v>59</v>
      </c>
      <c r="H457" s="1950">
        <f>'SSR-rates'!H$60</f>
        <v>490</v>
      </c>
      <c r="I457" s="1965" t="s">
        <v>38</v>
      </c>
      <c r="J457" s="1954">
        <f>ROUND(B457*H457,2)</f>
        <v>9800</v>
      </c>
    </row>
    <row r="458" spans="1:10">
      <c r="A458" s="1962"/>
      <c r="B458" s="1951">
        <f>'Input Data'!$D$23</f>
        <v>0</v>
      </c>
      <c r="C458" s="1937"/>
      <c r="D458" s="1930" t="s">
        <v>17</v>
      </c>
      <c r="F458" s="1933"/>
      <c r="G458" s="1933"/>
      <c r="H458" s="1950">
        <f>SUM(J456:J457)</f>
        <v>10586</v>
      </c>
      <c r="I458" s="1965"/>
      <c r="J458" s="1950">
        <f>B458*H458</f>
        <v>0</v>
      </c>
    </row>
    <row r="459" spans="1:10">
      <c r="B459" s="1954"/>
      <c r="C459" s="1933"/>
      <c r="D459" s="1936" t="s">
        <v>60</v>
      </c>
      <c r="H459" s="1950"/>
      <c r="I459" s="1950"/>
      <c r="J459" s="1954">
        <f>SUM(J455:J458)</f>
        <v>11007.4</v>
      </c>
    </row>
    <row r="460" spans="1:10">
      <c r="B460" s="1964" t="s">
        <v>39</v>
      </c>
      <c r="C460" s="1971" t="s">
        <v>61</v>
      </c>
      <c r="H460" s="1950"/>
      <c r="I460" s="1950"/>
      <c r="J460" s="1950"/>
    </row>
    <row r="461" spans="1:10">
      <c r="B461" s="1954">
        <v>8.1</v>
      </c>
      <c r="C461" s="1933" t="s">
        <v>31</v>
      </c>
      <c r="D461" s="1930" t="s">
        <v>63</v>
      </c>
      <c r="H461" s="1950">
        <f>lead!$J$16</f>
        <v>1889.8641904678079</v>
      </c>
      <c r="I461" s="1950" t="s">
        <v>31</v>
      </c>
      <c r="J461" s="1950">
        <f>ROUND(B461*H461,2)</f>
        <v>15307.9</v>
      </c>
    </row>
    <row r="462" spans="1:10">
      <c r="B462" s="1954">
        <v>5.4</v>
      </c>
      <c r="C462" s="1933" t="s">
        <v>31</v>
      </c>
      <c r="D462" s="1930" t="s">
        <v>64</v>
      </c>
      <c r="H462" s="1950">
        <f>lead!$J$18</f>
        <v>1638.8641904678079</v>
      </c>
      <c r="I462" s="1950" t="s">
        <v>31</v>
      </c>
      <c r="J462" s="1950">
        <f>ROUND(B462*H462,2)</f>
        <v>8849.8700000000008</v>
      </c>
    </row>
    <row r="463" spans="1:10">
      <c r="B463" s="1954">
        <v>6.75</v>
      </c>
      <c r="C463" s="1933" t="s">
        <v>31</v>
      </c>
      <c r="D463" s="1936" t="s">
        <v>65</v>
      </c>
      <c r="H463" s="1950">
        <f>lead!J12</f>
        <v>1568.1141904678079</v>
      </c>
      <c r="I463" s="1950" t="s">
        <v>31</v>
      </c>
      <c r="J463" s="1950">
        <f>ROUND(B463*H463,2)</f>
        <v>10584.77</v>
      </c>
    </row>
    <row r="464" spans="1:10">
      <c r="B464" s="2015">
        <v>6.05</v>
      </c>
      <c r="C464" s="1933" t="s">
        <v>66</v>
      </c>
      <c r="D464" s="1936" t="s">
        <v>67</v>
      </c>
      <c r="H464" s="1950">
        <f>lead!$J$36</f>
        <v>5000</v>
      </c>
      <c r="I464" s="1950" t="s">
        <v>66</v>
      </c>
      <c r="J464" s="1950">
        <f>ROUND(B464*H464,2)</f>
        <v>30250</v>
      </c>
    </row>
    <row r="465" spans="1:10">
      <c r="B465" s="1936"/>
      <c r="D465" s="1936" t="s">
        <v>60</v>
      </c>
      <c r="H465" s="1950"/>
      <c r="I465" s="1950"/>
      <c r="J465" s="1950">
        <f>SUM(J461:J464)</f>
        <v>64992.54</v>
      </c>
    </row>
    <row r="466" spans="1:10">
      <c r="B466" s="1964" t="s">
        <v>27</v>
      </c>
      <c r="C466" s="1971" t="s">
        <v>40</v>
      </c>
      <c r="H466" s="1950"/>
      <c r="I466" s="1950"/>
      <c r="J466" s="1950"/>
    </row>
    <row r="467" spans="1:10">
      <c r="B467" s="1954">
        <v>6</v>
      </c>
      <c r="C467" s="1933" t="s">
        <v>41</v>
      </c>
      <c r="D467" s="1936" t="s">
        <v>68</v>
      </c>
      <c r="H467" s="1950">
        <f>'SSR-rates'!$H$88</f>
        <v>627.6</v>
      </c>
      <c r="I467" s="1950" t="s">
        <v>41</v>
      </c>
      <c r="J467" s="1950">
        <f>ROUND(B467*H467,2)</f>
        <v>3765.6</v>
      </c>
    </row>
    <row r="468" spans="1:10">
      <c r="B468" s="1954">
        <v>6</v>
      </c>
      <c r="C468" s="1933" t="s">
        <v>41</v>
      </c>
      <c r="D468" s="1936" t="s">
        <v>69</v>
      </c>
      <c r="H468" s="1950">
        <f>'SSR-rates'!$H$87</f>
        <v>1237.4000000000001</v>
      </c>
      <c r="I468" s="1950" t="s">
        <v>41</v>
      </c>
      <c r="J468" s="1950">
        <f>ROUND(B468*H468,2)</f>
        <v>7424.4</v>
      </c>
    </row>
    <row r="469" spans="1:10">
      <c r="B469" s="1954"/>
      <c r="C469" s="1937"/>
      <c r="D469" s="1936" t="s">
        <v>60</v>
      </c>
      <c r="H469" s="1950"/>
      <c r="I469" s="1950"/>
      <c r="J469" s="1950">
        <f>SUM(J467:J468)</f>
        <v>11190</v>
      </c>
    </row>
    <row r="470" spans="1:10">
      <c r="B470" s="1964" t="s">
        <v>45</v>
      </c>
      <c r="C470" s="1971" t="s">
        <v>71</v>
      </c>
      <c r="H470" s="1950"/>
      <c r="I470" s="1950"/>
      <c r="J470" s="1950"/>
    </row>
    <row r="471" spans="1:10">
      <c r="B471" s="1936">
        <v>3.75</v>
      </c>
      <c r="C471" s="1933" t="s">
        <v>29</v>
      </c>
      <c r="D471" s="1930" t="s">
        <v>157</v>
      </c>
      <c r="H471" s="1950">
        <f>J459+J465+J469</f>
        <v>87189.94</v>
      </c>
      <c r="I471" s="1965" t="s">
        <v>73</v>
      </c>
      <c r="J471" s="1950">
        <f>ROUND(B471*H471/100,2)</f>
        <v>3269.62</v>
      </c>
    </row>
    <row r="472" spans="1:10">
      <c r="A472" s="1962"/>
      <c r="B472" s="1964" t="s">
        <v>47</v>
      </c>
      <c r="C472" s="1962" t="s">
        <v>74</v>
      </c>
      <c r="F472" s="1933"/>
      <c r="G472" s="1933"/>
      <c r="H472" s="1933"/>
      <c r="I472" s="1933"/>
      <c r="J472" s="1990"/>
    </row>
    <row r="473" spans="1:10">
      <c r="A473" s="1962"/>
      <c r="B473" s="1955">
        <f>'Input Data'!$D$25</f>
        <v>0.19614999999999999</v>
      </c>
      <c r="C473" s="3247" t="str">
        <f>"Over head charges "&amp;'Input Data'!$D$25*100&amp;"%  on (A) + (B)+(C)+(D)"</f>
        <v>Over head charges 19.615%  on (A) + (B)+(C)+(D)</v>
      </c>
      <c r="D473" s="3248"/>
      <c r="E473" s="3248"/>
      <c r="F473" s="3248"/>
      <c r="G473" s="3249"/>
      <c r="H473" s="1937">
        <f>J471+J469+J465+J459</f>
        <v>90459.56</v>
      </c>
      <c r="I473" s="1933"/>
      <c r="J473" s="1950">
        <f>H473*B473</f>
        <v>17743.642693999998</v>
      </c>
    </row>
    <row r="474" spans="1:10">
      <c r="A474" s="1962"/>
      <c r="B474" s="1964" t="s">
        <v>76</v>
      </c>
      <c r="C474" s="1962" t="s">
        <v>77</v>
      </c>
      <c r="F474" s="1933"/>
      <c r="G474" s="1933"/>
      <c r="H474" s="1933"/>
      <c r="I474" s="1933"/>
      <c r="J474" s="1990">
        <f>J459+J465+J469+J471+J473</f>
        <v>108203.20269399999</v>
      </c>
    </row>
    <row r="475" spans="1:10">
      <c r="A475" s="1962"/>
      <c r="B475" s="1964" t="s">
        <v>78</v>
      </c>
      <c r="C475" s="1962" t="s">
        <v>79</v>
      </c>
      <c r="F475" s="1933"/>
      <c r="G475" s="1933"/>
      <c r="H475" s="1933"/>
      <c r="I475" s="1933"/>
      <c r="J475" s="1990">
        <f>J474*10/100</f>
        <v>10820.320269399999</v>
      </c>
    </row>
    <row r="476" spans="1:10">
      <c r="B476" s="1954"/>
      <c r="C476" s="1933"/>
      <c r="D476" s="1971" t="s">
        <v>158</v>
      </c>
      <c r="H476" s="1950"/>
      <c r="I476" s="1950"/>
      <c r="J476" s="1990">
        <f>SUM(J474:J475)</f>
        <v>119023.5229634</v>
      </c>
    </row>
    <row r="477" spans="1:10">
      <c r="B477" s="1954"/>
      <c r="C477" s="1933"/>
      <c r="D477" s="1936" t="s">
        <v>81</v>
      </c>
      <c r="H477" s="1950"/>
      <c r="I477" s="1950"/>
      <c r="J477" s="1950">
        <f>ROUND(J476/15,2)</f>
        <v>7934.9</v>
      </c>
    </row>
    <row r="478" spans="1:10">
      <c r="D478" s="1936" t="s">
        <v>52</v>
      </c>
      <c r="H478" s="1950"/>
      <c r="I478" s="1950"/>
      <c r="J478" s="1991">
        <f>ROUND(J477,0)</f>
        <v>7935</v>
      </c>
    </row>
    <row r="479" spans="1:10">
      <c r="D479" s="1936"/>
      <c r="H479" s="1950"/>
      <c r="I479" s="1950"/>
      <c r="J479" s="1990" t="s">
        <v>53</v>
      </c>
    </row>
    <row r="480" spans="1:10" ht="125.25" customHeight="1">
      <c r="A480" s="2008"/>
      <c r="B480" s="3238" t="s">
        <v>159</v>
      </c>
      <c r="C480" s="3238"/>
      <c r="D480" s="3238"/>
      <c r="E480" s="3238"/>
      <c r="F480" s="3238"/>
      <c r="G480" s="3238"/>
      <c r="H480" s="3238"/>
      <c r="I480" s="3238"/>
      <c r="J480" s="3238"/>
    </row>
    <row r="481" spans="1:10">
      <c r="D481" s="1936" t="s">
        <v>10</v>
      </c>
      <c r="F481" s="1962" t="s">
        <v>160</v>
      </c>
      <c r="J481" s="1930"/>
    </row>
    <row r="482" spans="1:10">
      <c r="D482" s="1936" t="s">
        <v>56</v>
      </c>
      <c r="J482" s="1930"/>
    </row>
    <row r="483" spans="1:10">
      <c r="B483" s="1964" t="s">
        <v>36</v>
      </c>
      <c r="C483" s="1971" t="s">
        <v>37</v>
      </c>
      <c r="J483" s="1930"/>
    </row>
    <row r="484" spans="1:10">
      <c r="B484" s="1954">
        <v>0.9</v>
      </c>
      <c r="C484" s="1933" t="s">
        <v>57</v>
      </c>
      <c r="D484" s="1936" t="s">
        <v>156</v>
      </c>
      <c r="H484" s="1950">
        <f>'SSR-rates'!H$58</f>
        <v>490</v>
      </c>
      <c r="I484" s="1965" t="s">
        <v>38</v>
      </c>
      <c r="J484" s="1954">
        <f>ROUND(B484*H484,2)</f>
        <v>441</v>
      </c>
    </row>
    <row r="485" spans="1:10">
      <c r="B485" s="1954">
        <v>1.5</v>
      </c>
      <c r="C485" s="1933" t="s">
        <v>57</v>
      </c>
      <c r="D485" s="1936" t="s">
        <v>58</v>
      </c>
      <c r="H485" s="1950">
        <f>'SSR-rates'!H$59</f>
        <v>524</v>
      </c>
      <c r="I485" s="1965" t="s">
        <v>38</v>
      </c>
      <c r="J485" s="1954">
        <f>ROUND(B485*H485,2)</f>
        <v>786</v>
      </c>
    </row>
    <row r="486" spans="1:10">
      <c r="B486" s="1954">
        <v>21</v>
      </c>
      <c r="C486" s="1933" t="s">
        <v>57</v>
      </c>
      <c r="D486" s="1936" t="s">
        <v>59</v>
      </c>
      <c r="H486" s="1950">
        <f>'SSR-rates'!H$60</f>
        <v>490</v>
      </c>
      <c r="I486" s="1965" t="s">
        <v>38</v>
      </c>
      <c r="J486" s="1954">
        <f>ROUND(B486*H486,2)</f>
        <v>10290</v>
      </c>
    </row>
    <row r="487" spans="1:10">
      <c r="B487" s="1954"/>
      <c r="C487" s="1933"/>
      <c r="D487" s="1936"/>
      <c r="H487" s="1950"/>
      <c r="I487" s="1965"/>
      <c r="J487" s="1954"/>
    </row>
    <row r="488" spans="1:10">
      <c r="A488" s="1962"/>
      <c r="B488" s="1951">
        <f>'Input Data'!$D$23</f>
        <v>0</v>
      </c>
      <c r="C488" s="1937"/>
      <c r="D488" s="1930" t="s">
        <v>17</v>
      </c>
      <c r="F488" s="1933"/>
      <c r="G488" s="1933"/>
      <c r="H488" s="1950">
        <f>SUM(J485:J486)</f>
        <v>11076</v>
      </c>
      <c r="I488" s="1965"/>
      <c r="J488" s="1950">
        <f>B488*H488</f>
        <v>0</v>
      </c>
    </row>
    <row r="489" spans="1:10">
      <c r="B489" s="1954"/>
      <c r="C489" s="1933"/>
      <c r="D489" s="1936" t="s">
        <v>60</v>
      </c>
      <c r="H489" s="1950"/>
      <c r="I489" s="1950"/>
      <c r="J489" s="1954">
        <f>SUM(J484:J488)</f>
        <v>11517</v>
      </c>
    </row>
    <row r="490" spans="1:10">
      <c r="B490" s="1964" t="s">
        <v>39</v>
      </c>
      <c r="C490" s="1971" t="s">
        <v>61</v>
      </c>
      <c r="H490" s="1950"/>
      <c r="I490" s="1950"/>
      <c r="J490" s="1950"/>
    </row>
    <row r="491" spans="1:10">
      <c r="B491" s="1954">
        <v>8.1</v>
      </c>
      <c r="C491" s="1933" t="s">
        <v>31</v>
      </c>
      <c r="D491" s="1930" t="s">
        <v>63</v>
      </c>
      <c r="H491" s="1950">
        <f>lead!$J$16</f>
        <v>1889.8641904678079</v>
      </c>
      <c r="I491" s="1950" t="s">
        <v>31</v>
      </c>
      <c r="J491" s="1950">
        <f>ROUND(B491*H491,2)</f>
        <v>15307.9</v>
      </c>
    </row>
    <row r="492" spans="1:10">
      <c r="B492" s="1954">
        <v>5.4</v>
      </c>
      <c r="C492" s="1933" t="s">
        <v>31</v>
      </c>
      <c r="D492" s="1930" t="s">
        <v>64</v>
      </c>
      <c r="H492" s="1950">
        <f>lead!$J$18</f>
        <v>1638.8641904678079</v>
      </c>
      <c r="I492" s="1950" t="s">
        <v>31</v>
      </c>
      <c r="J492" s="1950">
        <f>ROUND(B492*H492,2)</f>
        <v>8849.8700000000008</v>
      </c>
    </row>
    <row r="493" spans="1:10">
      <c r="B493" s="1954">
        <v>6.75</v>
      </c>
      <c r="C493" s="1933" t="s">
        <v>31</v>
      </c>
      <c r="D493" s="1936" t="s">
        <v>65</v>
      </c>
      <c r="H493" s="1950">
        <f>lead!J12</f>
        <v>1568.1141904678079</v>
      </c>
      <c r="I493" s="1950" t="s">
        <v>31</v>
      </c>
      <c r="J493" s="1950">
        <f>ROUND(B493*H493,2)</f>
        <v>10584.77</v>
      </c>
    </row>
    <row r="494" spans="1:10">
      <c r="B494" s="2015">
        <v>6.1</v>
      </c>
      <c r="C494" s="1933" t="s">
        <v>66</v>
      </c>
      <c r="D494" s="1936" t="s">
        <v>67</v>
      </c>
      <c r="H494" s="1950">
        <f>lead!$J$36</f>
        <v>5000</v>
      </c>
      <c r="I494" s="1950" t="s">
        <v>66</v>
      </c>
      <c r="J494" s="1950">
        <f>ROUND(B494*H494,2)</f>
        <v>30500</v>
      </c>
    </row>
    <row r="495" spans="1:10">
      <c r="B495" s="1936"/>
      <c r="D495" s="1936" t="s">
        <v>60</v>
      </c>
      <c r="H495" s="1950"/>
      <c r="I495" s="1950"/>
      <c r="J495" s="1950">
        <f>SUM(J491:J494)</f>
        <v>65242.54</v>
      </c>
    </row>
    <row r="496" spans="1:10">
      <c r="B496" s="1964" t="s">
        <v>27</v>
      </c>
      <c r="C496" s="1971" t="s">
        <v>40</v>
      </c>
      <c r="H496" s="1950"/>
      <c r="I496" s="1950"/>
      <c r="J496" s="1950"/>
    </row>
    <row r="497" spans="1:10">
      <c r="B497" s="1954">
        <v>6</v>
      </c>
      <c r="C497" s="1933" t="s">
        <v>41</v>
      </c>
      <c r="D497" s="1936" t="s">
        <v>68</v>
      </c>
      <c r="H497" s="1950">
        <f>'SSR-rates'!$H$88</f>
        <v>627.6</v>
      </c>
      <c r="I497" s="1950" t="s">
        <v>41</v>
      </c>
      <c r="J497" s="1950">
        <f>ROUND(B497*H497,2)</f>
        <v>3765.6</v>
      </c>
    </row>
    <row r="498" spans="1:10">
      <c r="B498" s="1954">
        <v>6</v>
      </c>
      <c r="C498" s="1933" t="s">
        <v>41</v>
      </c>
      <c r="D498" s="1936" t="s">
        <v>69</v>
      </c>
      <c r="H498" s="1950">
        <f>'SSR-rates'!$H$87</f>
        <v>1237.4000000000001</v>
      </c>
      <c r="I498" s="1950" t="s">
        <v>41</v>
      </c>
      <c r="J498" s="1950">
        <f>ROUND(B498*H498,2)</f>
        <v>7424.4</v>
      </c>
    </row>
    <row r="499" spans="1:10">
      <c r="B499" s="1954"/>
      <c r="C499" s="1937"/>
      <c r="D499" s="1936" t="s">
        <v>60</v>
      </c>
      <c r="H499" s="1950"/>
      <c r="I499" s="1950"/>
      <c r="J499" s="1950">
        <f>SUM(J497:J498)</f>
        <v>11190</v>
      </c>
    </row>
    <row r="500" spans="1:10">
      <c r="B500" s="1964" t="s">
        <v>45</v>
      </c>
      <c r="C500" s="1971" t="s">
        <v>71</v>
      </c>
      <c r="H500" s="1950"/>
      <c r="I500" s="1950"/>
      <c r="J500" s="1950"/>
    </row>
    <row r="501" spans="1:10">
      <c r="B501" s="1936"/>
      <c r="C501" s="1933" t="s">
        <v>29</v>
      </c>
      <c r="D501" s="1930" t="s">
        <v>161</v>
      </c>
      <c r="H501" s="1950">
        <f>J489+J495+J499</f>
        <v>87949.540000000008</v>
      </c>
      <c r="I501" s="1965" t="s">
        <v>73</v>
      </c>
      <c r="J501" s="1950">
        <f>ROUND(B501*H501/100,2)</f>
        <v>0</v>
      </c>
    </row>
    <row r="502" spans="1:10">
      <c r="A502" s="1962"/>
      <c r="B502" s="1964" t="s">
        <v>47</v>
      </c>
      <c r="C502" s="1962" t="s">
        <v>74</v>
      </c>
      <c r="F502" s="1933"/>
      <c r="G502" s="1933"/>
      <c r="H502" s="1933"/>
      <c r="I502" s="1933"/>
      <c r="J502" s="1990"/>
    </row>
    <row r="503" spans="1:10">
      <c r="A503" s="1962"/>
      <c r="B503" s="1955"/>
      <c r="C503" s="3247" t="str">
        <f>"Over head charges "&amp;'Input Data'!$D$25*100&amp;"%  on (A) + (B)+(C)+(D)"</f>
        <v>Over head charges 19.615%  on (A) + (B)+(C)+(D)</v>
      </c>
      <c r="D503" s="3248"/>
      <c r="E503" s="3248"/>
      <c r="F503" s="3248"/>
      <c r="G503" s="3249"/>
      <c r="H503" s="1937">
        <f>J501+J499+J495+J489</f>
        <v>87949.540000000008</v>
      </c>
      <c r="I503" s="1933"/>
      <c r="J503" s="1950">
        <f>H503*B503</f>
        <v>0</v>
      </c>
    </row>
    <row r="504" spans="1:10">
      <c r="A504" s="1962"/>
      <c r="B504" s="1964" t="s">
        <v>76</v>
      </c>
      <c r="C504" s="1962" t="s">
        <v>77</v>
      </c>
      <c r="F504" s="1933"/>
      <c r="G504" s="1933"/>
      <c r="H504" s="1933"/>
      <c r="I504" s="1933"/>
      <c r="J504" s="1990">
        <f>J489+J495+J499+J501+J503</f>
        <v>87949.540000000008</v>
      </c>
    </row>
    <row r="505" spans="1:10">
      <c r="A505" s="1962"/>
      <c r="B505" s="1964" t="s">
        <v>78</v>
      </c>
      <c r="C505" s="1962" t="s">
        <v>79</v>
      </c>
      <c r="F505" s="1933"/>
      <c r="G505" s="1933"/>
      <c r="H505" s="1933"/>
      <c r="I505" s="1933"/>
      <c r="J505" s="1990">
        <f>J504*10/100</f>
        <v>8794.9540000000015</v>
      </c>
    </row>
    <row r="506" spans="1:10">
      <c r="B506" s="1954"/>
      <c r="C506" s="1933"/>
      <c r="D506" s="1971" t="s">
        <v>158</v>
      </c>
      <c r="H506" s="1950"/>
      <c r="I506" s="1950"/>
      <c r="J506" s="2019">
        <f>SUM(J504:J505)</f>
        <v>96744.494000000006</v>
      </c>
    </row>
    <row r="507" spans="1:10">
      <c r="B507" s="1954"/>
      <c r="C507" s="1933"/>
      <c r="D507" s="1936" t="s">
        <v>81</v>
      </c>
      <c r="H507" s="1950"/>
      <c r="I507" s="1950"/>
      <c r="J507" s="1950">
        <f>ROUND(J506/15,2)</f>
        <v>6449.63</v>
      </c>
    </row>
    <row r="508" spans="1:10">
      <c r="D508" s="1936" t="s">
        <v>52</v>
      </c>
      <c r="H508" s="1950"/>
      <c r="I508" s="1950"/>
      <c r="J508" s="1991">
        <f>ROUND(J507,0)</f>
        <v>6450</v>
      </c>
    </row>
    <row r="509" spans="1:10">
      <c r="D509" s="1936"/>
      <c r="H509" s="1950"/>
      <c r="I509" s="1950"/>
      <c r="J509" s="1990" t="s">
        <v>53</v>
      </c>
    </row>
    <row r="510" spans="1:10">
      <c r="B510" s="2016"/>
      <c r="C510" s="2017" t="s">
        <v>162</v>
      </c>
      <c r="D510" s="2018"/>
      <c r="E510" s="2017"/>
      <c r="F510" s="2017"/>
      <c r="G510" s="2017"/>
      <c r="H510" s="1989"/>
      <c r="I510" s="1989"/>
      <c r="J510" s="2020"/>
    </row>
    <row r="511" spans="1:10">
      <c r="B511" s="2016"/>
      <c r="C511" s="2017" t="s">
        <v>115</v>
      </c>
      <c r="D511" s="2018"/>
      <c r="E511" s="2017"/>
      <c r="F511" s="2017"/>
      <c r="G511" s="2017"/>
      <c r="H511" s="1989"/>
      <c r="I511" s="1989"/>
      <c r="J511" s="2020"/>
    </row>
    <row r="512" spans="1:10">
      <c r="B512" s="1964" t="s">
        <v>39</v>
      </c>
      <c r="C512" s="1971" t="s">
        <v>61</v>
      </c>
      <c r="H512" s="1950"/>
      <c r="I512" s="1950"/>
      <c r="J512" s="1950"/>
    </row>
    <row r="513" spans="1:10">
      <c r="B513" s="1954">
        <v>1</v>
      </c>
      <c r="C513" s="1933" t="s">
        <v>31</v>
      </c>
      <c r="D513" s="1930" t="s">
        <v>163</v>
      </c>
      <c r="H513" s="1950">
        <f>J508</f>
        <v>6450</v>
      </c>
      <c r="I513" s="1950" t="s">
        <v>31</v>
      </c>
      <c r="J513" s="1950">
        <f>ROUND(B513*H513,2)</f>
        <v>6450</v>
      </c>
    </row>
    <row r="514" spans="1:10">
      <c r="B514" s="1954">
        <v>7.4999999999999997E-2</v>
      </c>
      <c r="C514" s="1933" t="s">
        <v>31</v>
      </c>
      <c r="D514" s="1937" t="s">
        <v>164</v>
      </c>
      <c r="H514" s="1950">
        <f>lead!J37</f>
        <v>49000</v>
      </c>
      <c r="I514" s="1950" t="s">
        <v>31</v>
      </c>
      <c r="J514" s="1950"/>
    </row>
    <row r="515" spans="1:10">
      <c r="B515" s="1954"/>
      <c r="C515" s="1933"/>
      <c r="D515" s="1937"/>
      <c r="H515" s="1950"/>
      <c r="I515" s="1950"/>
      <c r="J515" s="1950">
        <f>SUM(J513:J514)</f>
        <v>6450</v>
      </c>
    </row>
    <row r="516" spans="1:10">
      <c r="B516" s="1964" t="s">
        <v>39</v>
      </c>
      <c r="C516" s="1971" t="s">
        <v>37</v>
      </c>
      <c r="D516" s="1937"/>
      <c r="H516" s="1950"/>
      <c r="I516" s="1950"/>
      <c r="J516" s="1950"/>
    </row>
    <row r="517" spans="1:10">
      <c r="B517" s="1954">
        <v>0.15</v>
      </c>
      <c r="C517" s="1933" t="s">
        <v>38</v>
      </c>
      <c r="D517" s="1936" t="s">
        <v>165</v>
      </c>
      <c r="H517" s="1950">
        <f>H486</f>
        <v>490</v>
      </c>
      <c r="I517" s="1950" t="s">
        <v>31</v>
      </c>
      <c r="J517" s="1950">
        <f>ROUND(B517*H517,2)</f>
        <v>73.5</v>
      </c>
    </row>
    <row r="518" spans="1:10">
      <c r="B518" s="2016"/>
      <c r="C518" s="2017"/>
      <c r="D518" s="2018"/>
      <c r="E518" s="2017"/>
      <c r="F518" s="2017"/>
      <c r="G518" s="2017"/>
      <c r="H518" s="1989"/>
      <c r="I518" s="1989"/>
      <c r="J518" s="2020"/>
    </row>
    <row r="519" spans="1:10">
      <c r="A519" s="1962"/>
      <c r="B519" s="1964" t="s">
        <v>47</v>
      </c>
      <c r="C519" s="1962" t="s">
        <v>74</v>
      </c>
      <c r="F519" s="1933"/>
      <c r="G519" s="1933"/>
      <c r="H519" s="1933"/>
      <c r="I519" s="1933"/>
      <c r="J519" s="1990"/>
    </row>
    <row r="520" spans="1:10">
      <c r="A520" s="1962"/>
      <c r="B520" s="1955">
        <v>0.05</v>
      </c>
      <c r="C520" s="3247" t="str">
        <f>"Over head charges "&amp;'Input Data'!$D$25*100&amp;"%  on (A) + (B)+(C)+(D)"</f>
        <v>Over head charges 19.615%  on (A) + (B)+(C)+(D)</v>
      </c>
      <c r="D520" s="3248"/>
      <c r="E520" s="3248"/>
      <c r="F520" s="3248"/>
      <c r="G520" s="3249"/>
      <c r="H520" s="1937">
        <f>J515+J517</f>
        <v>6523.5</v>
      </c>
      <c r="I520" s="1933"/>
      <c r="J520" s="1950">
        <f>H520*B520</f>
        <v>326.17500000000001</v>
      </c>
    </row>
    <row r="521" spans="1:10">
      <c r="B521" s="2016"/>
      <c r="C521" s="2017"/>
      <c r="D521" s="2018"/>
      <c r="E521" s="2017"/>
      <c r="F521" s="2017"/>
      <c r="G521" s="2017"/>
      <c r="H521" s="1989"/>
      <c r="I521" s="1989"/>
      <c r="J521" s="2020">
        <f>J515+J517+J520</f>
        <v>6849.6750000000002</v>
      </c>
    </row>
    <row r="522" spans="1:10">
      <c r="B522" s="2016"/>
      <c r="C522" s="2017"/>
      <c r="D522" s="2018"/>
      <c r="E522" s="2017"/>
      <c r="F522" s="2017"/>
      <c r="G522" s="2017"/>
      <c r="H522" s="1989"/>
      <c r="I522" s="1989"/>
      <c r="J522" s="2020"/>
    </row>
    <row r="523" spans="1:10">
      <c r="B523" s="2016"/>
      <c r="C523" s="2017"/>
      <c r="D523" s="2018"/>
      <c r="E523" s="2017"/>
      <c r="F523" s="2017"/>
      <c r="G523" s="2017"/>
      <c r="H523" s="1989"/>
      <c r="I523" s="1989"/>
      <c r="J523" s="2020"/>
    </row>
    <row r="524" spans="1:10">
      <c r="B524" s="2016"/>
      <c r="C524" s="2017"/>
      <c r="D524" s="2018"/>
      <c r="E524" s="2017"/>
      <c r="F524" s="2017"/>
      <c r="G524" s="2017"/>
      <c r="H524" s="1989"/>
      <c r="I524" s="1989"/>
      <c r="J524" s="2020"/>
    </row>
    <row r="525" spans="1:10">
      <c r="B525" s="2016"/>
      <c r="C525" s="2017"/>
      <c r="D525" s="2018"/>
      <c r="E525" s="2017"/>
      <c r="F525" s="2017"/>
      <c r="G525" s="2017"/>
      <c r="H525" s="1989"/>
      <c r="I525" s="1989"/>
      <c r="J525" s="2020"/>
    </row>
    <row r="526" spans="1:10" s="1931" customFormat="1" ht="52.5" hidden="1" customHeight="1">
      <c r="A526" s="1994">
        <v>10</v>
      </c>
      <c r="B526" s="3253" t="s">
        <v>166</v>
      </c>
      <c r="C526" s="3254"/>
      <c r="D526" s="3254"/>
      <c r="E526" s="3254"/>
      <c r="F526" s="3254"/>
      <c r="G526" s="3254"/>
      <c r="H526" s="3254"/>
      <c r="I526" s="3254"/>
      <c r="J526" s="3255"/>
    </row>
    <row r="527" spans="1:10" s="1931" customFormat="1" hidden="1">
      <c r="A527" s="1994"/>
      <c r="B527" s="2005"/>
      <c r="C527" s="2003" t="s">
        <v>130</v>
      </c>
    </row>
    <row r="528" spans="1:10" s="1931" customFormat="1" ht="15.6" hidden="1">
      <c r="A528" s="1994"/>
      <c r="B528" s="2005"/>
      <c r="C528" s="2003" t="s">
        <v>167</v>
      </c>
      <c r="H528" s="1931" t="s">
        <v>130</v>
      </c>
      <c r="J528" s="2006">
        <v>991</v>
      </c>
    </row>
    <row r="529" spans="1:10" s="1931" customFormat="1" ht="15.6" hidden="1">
      <c r="A529" s="1994"/>
      <c r="B529" s="2005"/>
      <c r="C529" s="2003"/>
      <c r="J529" s="2006"/>
    </row>
    <row r="530" spans="1:10" s="1931" customFormat="1" ht="15.6" hidden="1">
      <c r="A530" s="1994"/>
      <c r="B530" s="2005"/>
      <c r="C530" s="2003"/>
      <c r="J530" s="2006"/>
    </row>
    <row r="531" spans="1:10" ht="125.25" customHeight="1">
      <c r="A531" s="2008"/>
      <c r="B531" s="3238" t="s">
        <v>168</v>
      </c>
      <c r="C531" s="3238"/>
      <c r="D531" s="3238"/>
      <c r="E531" s="3238"/>
      <c r="F531" s="3238"/>
      <c r="G531" s="3238"/>
      <c r="H531" s="3238"/>
      <c r="I531" s="3238"/>
      <c r="J531" s="3238"/>
    </row>
    <row r="532" spans="1:10">
      <c r="D532" s="1936" t="s">
        <v>10</v>
      </c>
      <c r="F532" s="1962" t="s">
        <v>169</v>
      </c>
      <c r="J532" s="1930"/>
    </row>
    <row r="533" spans="1:10">
      <c r="D533" s="1936" t="s">
        <v>170</v>
      </c>
      <c r="J533" s="1930"/>
    </row>
    <row r="534" spans="1:10">
      <c r="B534" s="1964" t="s">
        <v>36</v>
      </c>
      <c r="C534" s="1971" t="s">
        <v>37</v>
      </c>
      <c r="J534" s="1930"/>
    </row>
    <row r="535" spans="1:10">
      <c r="B535" s="1954">
        <v>0.84</v>
      </c>
      <c r="C535" s="1933" t="s">
        <v>57</v>
      </c>
      <c r="D535" s="1936" t="s">
        <v>156</v>
      </c>
      <c r="H535" s="1950">
        <f>'SSR-rates'!H$58</f>
        <v>490</v>
      </c>
      <c r="I535" s="1965" t="s">
        <v>38</v>
      </c>
      <c r="J535" s="1954">
        <f>ROUND(B535*H535,2)</f>
        <v>411.6</v>
      </c>
    </row>
    <row r="536" spans="1:10">
      <c r="B536" s="1954">
        <v>3</v>
      </c>
      <c r="C536" s="1933" t="s">
        <v>57</v>
      </c>
      <c r="D536" s="1936" t="s">
        <v>58</v>
      </c>
      <c r="H536" s="1950">
        <f>'SSR-rates'!H$59</f>
        <v>524</v>
      </c>
      <c r="I536" s="1965" t="s">
        <v>38</v>
      </c>
      <c r="J536" s="1954">
        <f>ROUND(B536*H536,2)</f>
        <v>1572</v>
      </c>
    </row>
    <row r="537" spans="1:10">
      <c r="B537" s="1954">
        <v>18</v>
      </c>
      <c r="C537" s="1933" t="s">
        <v>57</v>
      </c>
      <c r="D537" s="1936" t="s">
        <v>59</v>
      </c>
      <c r="H537" s="1950">
        <f>'SSR-rates'!H$60</f>
        <v>490</v>
      </c>
      <c r="I537" s="1965" t="s">
        <v>38</v>
      </c>
      <c r="J537" s="1954">
        <f>ROUND(B537*H537,2)</f>
        <v>8820</v>
      </c>
    </row>
    <row r="538" spans="1:10">
      <c r="A538" s="1962"/>
      <c r="B538" s="1951">
        <f>'Input Data'!$D$23</f>
        <v>0</v>
      </c>
      <c r="C538" s="1937"/>
      <c r="D538" s="1930" t="s">
        <v>17</v>
      </c>
      <c r="F538" s="1933"/>
      <c r="G538" s="1933"/>
      <c r="H538" s="1950">
        <f>SUM(J536:J537)</f>
        <v>10392</v>
      </c>
      <c r="I538" s="1965"/>
      <c r="J538" s="1950">
        <f>B538*H538</f>
        <v>0</v>
      </c>
    </row>
    <row r="539" spans="1:10">
      <c r="B539" s="1954"/>
      <c r="C539" s="1933"/>
      <c r="D539" s="1936" t="s">
        <v>60</v>
      </c>
      <c r="H539" s="1950"/>
      <c r="I539" s="1950"/>
      <c r="J539" s="1954">
        <f>SUM(J535:J538)</f>
        <v>10803.6</v>
      </c>
    </row>
    <row r="540" spans="1:10">
      <c r="B540" s="1964" t="s">
        <v>39</v>
      </c>
      <c r="C540" s="1971" t="s">
        <v>61</v>
      </c>
      <c r="H540" s="1950"/>
      <c r="I540" s="1950"/>
      <c r="J540" s="1950"/>
    </row>
    <row r="541" spans="1:10">
      <c r="B541" s="1954">
        <v>64.8</v>
      </c>
      <c r="C541" s="1933" t="s">
        <v>31</v>
      </c>
      <c r="D541" s="1930" t="s">
        <v>63</v>
      </c>
      <c r="H541" s="1950">
        <f>lead!$J$16</f>
        <v>1889.8641904678079</v>
      </c>
      <c r="I541" s="1950" t="s">
        <v>31</v>
      </c>
      <c r="J541" s="1950">
        <f>ROUND(B541*H541,2)</f>
        <v>122463.2</v>
      </c>
    </row>
    <row r="542" spans="1:10">
      <c r="B542" s="1954">
        <v>43.2</v>
      </c>
      <c r="C542" s="1933" t="s">
        <v>31</v>
      </c>
      <c r="D542" s="1930" t="s">
        <v>64</v>
      </c>
      <c r="H542" s="1950">
        <f>lead!$J$18</f>
        <v>1638.8641904678079</v>
      </c>
      <c r="I542" s="1950" t="s">
        <v>31</v>
      </c>
      <c r="J542" s="1950">
        <f>ROUND(B542*H542,2)</f>
        <v>70798.929999999993</v>
      </c>
    </row>
    <row r="543" spans="1:10">
      <c r="B543" s="1954">
        <v>54</v>
      </c>
      <c r="C543" s="1933" t="s">
        <v>31</v>
      </c>
      <c r="D543" s="1936" t="s">
        <v>65</v>
      </c>
      <c r="H543" s="1950">
        <f>lead!J12</f>
        <v>1568.1141904678079</v>
      </c>
      <c r="I543" s="1950" t="s">
        <v>31</v>
      </c>
      <c r="J543" s="1950">
        <f>ROUND(B543*H543,2)</f>
        <v>84678.17</v>
      </c>
    </row>
    <row r="544" spans="1:10">
      <c r="B544" s="2015">
        <v>48.38</v>
      </c>
      <c r="C544" s="1933" t="s">
        <v>66</v>
      </c>
      <c r="D544" s="1936" t="s">
        <v>67</v>
      </c>
      <c r="H544" s="1950">
        <f>lead!$J$36</f>
        <v>5000</v>
      </c>
      <c r="I544" s="1950" t="s">
        <v>66</v>
      </c>
      <c r="J544" s="1950">
        <f>ROUND(B544*H544,2)</f>
        <v>241900</v>
      </c>
    </row>
    <row r="545" spans="1:10">
      <c r="B545" s="1936"/>
      <c r="D545" s="1936" t="s">
        <v>60</v>
      </c>
      <c r="H545" s="1950"/>
      <c r="I545" s="1950"/>
      <c r="J545" s="1950">
        <f>SUM(J541:J544)</f>
        <v>519840.3</v>
      </c>
    </row>
    <row r="546" spans="1:10">
      <c r="B546" s="1964" t="s">
        <v>27</v>
      </c>
      <c r="C546" s="1971" t="s">
        <v>40</v>
      </c>
      <c r="H546" s="1950"/>
      <c r="I546" s="1950"/>
      <c r="J546" s="1950"/>
    </row>
    <row r="547" spans="1:10">
      <c r="B547" s="1954">
        <v>6</v>
      </c>
      <c r="C547" s="1933" t="s">
        <v>41</v>
      </c>
      <c r="D547" s="1930" t="s">
        <v>171</v>
      </c>
      <c r="H547" s="1950">
        <f>'SSR-rates'!$H$100</f>
        <v>1205.8</v>
      </c>
      <c r="I547" s="1950" t="s">
        <v>41</v>
      </c>
      <c r="J547" s="1950">
        <f t="shared" ref="J547:J552" si="0">ROUND(B547*H547,2)</f>
        <v>7234.8</v>
      </c>
    </row>
    <row r="548" spans="1:10">
      <c r="B548" s="1954">
        <v>6</v>
      </c>
      <c r="C548" s="1933" t="s">
        <v>41</v>
      </c>
      <c r="D548" s="1930" t="s">
        <v>172</v>
      </c>
      <c r="H548" s="1950">
        <f>'SSR-rates'!$H$102</f>
        <v>1261</v>
      </c>
      <c r="I548" s="1950" t="s">
        <v>41</v>
      </c>
      <c r="J548" s="1950">
        <f t="shared" si="0"/>
        <v>7566</v>
      </c>
    </row>
    <row r="549" spans="1:10">
      <c r="B549" s="1954">
        <v>6</v>
      </c>
      <c r="C549" s="1933" t="s">
        <v>41</v>
      </c>
      <c r="D549" s="1930" t="s">
        <v>173</v>
      </c>
      <c r="H549" s="1950">
        <f>'SSR-rates'!$H$65</f>
        <v>1844</v>
      </c>
      <c r="I549" s="1950" t="s">
        <v>41</v>
      </c>
      <c r="J549" s="1950">
        <f t="shared" si="0"/>
        <v>11064</v>
      </c>
    </row>
    <row r="550" spans="1:10">
      <c r="B550" s="1954">
        <v>15</v>
      </c>
      <c r="C550" s="1933" t="s">
        <v>41</v>
      </c>
      <c r="D550" s="1930" t="s">
        <v>174</v>
      </c>
      <c r="H550" s="1950">
        <f>'SSR-rates'!$H$104</f>
        <v>2532.4</v>
      </c>
      <c r="I550" s="1950" t="s">
        <v>41</v>
      </c>
      <c r="J550" s="1950">
        <f t="shared" si="0"/>
        <v>37986</v>
      </c>
    </row>
    <row r="551" spans="1:10">
      <c r="B551" s="1988">
        <v>300</v>
      </c>
      <c r="C551" s="2021" t="s">
        <v>175</v>
      </c>
      <c r="D551" s="3256" t="s">
        <v>176</v>
      </c>
      <c r="E551" s="3256"/>
      <c r="F551" s="3256"/>
      <c r="G551" s="3256"/>
      <c r="H551" s="1987">
        <v>0</v>
      </c>
      <c r="I551" s="1950" t="s">
        <v>175</v>
      </c>
      <c r="J551" s="1950">
        <f t="shared" si="0"/>
        <v>0</v>
      </c>
    </row>
    <row r="552" spans="1:10">
      <c r="B552" s="1954">
        <v>6</v>
      </c>
      <c r="C552" s="1933" t="s">
        <v>41</v>
      </c>
      <c r="D552" s="1936" t="s">
        <v>177</v>
      </c>
      <c r="H552" s="1950">
        <f>'SSR-rates'!H$106</f>
        <v>899</v>
      </c>
      <c r="I552" s="1950" t="s">
        <v>41</v>
      </c>
      <c r="J552" s="1950">
        <f t="shared" si="0"/>
        <v>5394</v>
      </c>
    </row>
    <row r="553" spans="1:10">
      <c r="B553" s="1954"/>
      <c r="C553" s="1937"/>
      <c r="D553" s="1936" t="s">
        <v>60</v>
      </c>
      <c r="H553" s="1950"/>
      <c r="I553" s="1950"/>
      <c r="J553" s="1950">
        <f>SUM(J547:J552)</f>
        <v>69244.800000000003</v>
      </c>
    </row>
    <row r="554" spans="1:10">
      <c r="B554" s="1964" t="s">
        <v>45</v>
      </c>
      <c r="C554" s="1971" t="s">
        <v>71</v>
      </c>
      <c r="H554" s="1950"/>
      <c r="I554" s="1950"/>
      <c r="J554" s="1950"/>
    </row>
    <row r="555" spans="1:10">
      <c r="B555" s="1936">
        <v>3.75</v>
      </c>
      <c r="C555" s="1933" t="s">
        <v>29</v>
      </c>
      <c r="D555" s="1930" t="s">
        <v>157</v>
      </c>
      <c r="H555" s="1950">
        <f>J539+J545+J553</f>
        <v>599888.70000000007</v>
      </c>
      <c r="I555" s="1965" t="s">
        <v>73</v>
      </c>
      <c r="J555" s="1950">
        <f>ROUND(B555*H555/100,2)</f>
        <v>22495.83</v>
      </c>
    </row>
    <row r="556" spans="1:10">
      <c r="A556" s="1962"/>
      <c r="B556" s="1964" t="s">
        <v>47</v>
      </c>
      <c r="C556" s="1962" t="s">
        <v>74</v>
      </c>
      <c r="F556" s="1933"/>
      <c r="G556" s="1933"/>
      <c r="H556" s="1933"/>
      <c r="I556" s="1933"/>
      <c r="J556" s="1990"/>
    </row>
    <row r="557" spans="1:10">
      <c r="A557" s="1962"/>
      <c r="B557" s="1955">
        <f>'Input Data'!$D$25</f>
        <v>0.19614999999999999</v>
      </c>
      <c r="C557" s="3247" t="str">
        <f>"Over head charges "&amp;'Input Data'!$D$25*100&amp;"%  on (A) + (B)+(C)+(D)"</f>
        <v>Over head charges 19.615%  on (A) + (B)+(C)+(D)</v>
      </c>
      <c r="D557" s="3248"/>
      <c r="E557" s="3248"/>
      <c r="F557" s="3248"/>
      <c r="G557" s="3249"/>
      <c r="H557" s="1937">
        <f>J555+J553+J545+J539</f>
        <v>622384.52999999991</v>
      </c>
      <c r="I557" s="1933"/>
      <c r="J557" s="1950">
        <f>H557*B557</f>
        <v>122080.72555949997</v>
      </c>
    </row>
    <row r="558" spans="1:10">
      <c r="A558" s="1962"/>
      <c r="B558" s="1964" t="s">
        <v>76</v>
      </c>
      <c r="C558" s="1962" t="s">
        <v>77</v>
      </c>
      <c r="F558" s="1933"/>
      <c r="G558" s="1933"/>
      <c r="H558" s="1933"/>
      <c r="I558" s="1933"/>
      <c r="J558" s="1990">
        <f>J539+J545+J553+J555+J557</f>
        <v>744465.25555949996</v>
      </c>
    </row>
    <row r="559" spans="1:10">
      <c r="A559" s="1962"/>
      <c r="B559" s="1964" t="s">
        <v>78</v>
      </c>
      <c r="C559" s="1962" t="s">
        <v>79</v>
      </c>
      <c r="F559" s="1933"/>
      <c r="G559" s="1933"/>
      <c r="H559" s="1933"/>
      <c r="I559" s="1933"/>
      <c r="J559" s="1990">
        <f>J558*10/100</f>
        <v>74446.525555949993</v>
      </c>
    </row>
    <row r="560" spans="1:10">
      <c r="B560" s="1954"/>
      <c r="C560" s="1933"/>
      <c r="D560" s="1971" t="s">
        <v>158</v>
      </c>
      <c r="H560" s="1950"/>
      <c r="I560" s="1950"/>
      <c r="J560" s="1990">
        <f>SUM(J558:J559)</f>
        <v>818911.78111544997</v>
      </c>
    </row>
    <row r="561" spans="1:10">
      <c r="B561" s="1954"/>
      <c r="C561" s="1933"/>
      <c r="D561" s="1936" t="s">
        <v>81</v>
      </c>
      <c r="H561" s="1950"/>
      <c r="I561" s="1950"/>
      <c r="J561" s="1950">
        <f>ROUND(J560/120,2)</f>
        <v>6824.26</v>
      </c>
    </row>
    <row r="562" spans="1:10">
      <c r="D562" s="1936" t="s">
        <v>52</v>
      </c>
      <c r="H562" s="1950"/>
      <c r="I562" s="1950"/>
      <c r="J562" s="1991">
        <f>ROUND(J561,0)</f>
        <v>6824</v>
      </c>
    </row>
    <row r="563" spans="1:10">
      <c r="D563" s="1936"/>
      <c r="H563" s="1950"/>
      <c r="I563" s="1950"/>
      <c r="J563" s="1990" t="s">
        <v>53</v>
      </c>
    </row>
    <row r="564" spans="1:10" ht="125.25" customHeight="1">
      <c r="A564" s="2008"/>
      <c r="B564" s="3238" t="s">
        <v>178</v>
      </c>
      <c r="C564" s="3238"/>
      <c r="D564" s="3238"/>
      <c r="E564" s="3238"/>
      <c r="F564" s="3238"/>
      <c r="G564" s="3238"/>
      <c r="H564" s="3238"/>
      <c r="I564" s="3238"/>
      <c r="J564" s="3238"/>
    </row>
    <row r="565" spans="1:10">
      <c r="D565" s="1936" t="s">
        <v>10</v>
      </c>
      <c r="F565" s="1962" t="s">
        <v>179</v>
      </c>
      <c r="J565" s="1930"/>
    </row>
    <row r="566" spans="1:10">
      <c r="D566" s="1936" t="s">
        <v>170</v>
      </c>
      <c r="J566" s="1930"/>
    </row>
    <row r="567" spans="1:10">
      <c r="B567" s="1964" t="s">
        <v>36</v>
      </c>
      <c r="C567" s="1971" t="s">
        <v>37</v>
      </c>
      <c r="J567" s="1930"/>
    </row>
    <row r="568" spans="1:10">
      <c r="B568" s="1954">
        <v>0.84</v>
      </c>
      <c r="C568" s="1933" t="s">
        <v>57</v>
      </c>
      <c r="D568" s="1936" t="s">
        <v>156</v>
      </c>
      <c r="H568" s="1950">
        <f>'SSR-rates'!H$58</f>
        <v>490</v>
      </c>
      <c r="I568" s="1965" t="s">
        <v>38</v>
      </c>
      <c r="J568" s="1954">
        <f>ROUND(B568*H568,2)</f>
        <v>411.6</v>
      </c>
    </row>
    <row r="569" spans="1:10">
      <c r="B569" s="1954">
        <v>3</v>
      </c>
      <c r="C569" s="1933" t="s">
        <v>57</v>
      </c>
      <c r="D569" s="1936" t="s">
        <v>58</v>
      </c>
      <c r="H569" s="1950">
        <f>'SSR-rates'!H$59</f>
        <v>524</v>
      </c>
      <c r="I569" s="1965" t="s">
        <v>38</v>
      </c>
      <c r="J569" s="1954">
        <f>ROUND(B569*H569,2)</f>
        <v>1572</v>
      </c>
    </row>
    <row r="570" spans="1:10">
      <c r="B570" s="1954">
        <v>18</v>
      </c>
      <c r="C570" s="1933" t="s">
        <v>57</v>
      </c>
      <c r="D570" s="1936" t="s">
        <v>59</v>
      </c>
      <c r="H570" s="1950">
        <f>'SSR-rates'!H$60</f>
        <v>490</v>
      </c>
      <c r="I570" s="1965" t="s">
        <v>38</v>
      </c>
      <c r="J570" s="1954">
        <f>ROUND(B570*H570,2)</f>
        <v>8820</v>
      </c>
    </row>
    <row r="571" spans="1:10">
      <c r="A571" s="1962"/>
      <c r="B571" s="1951">
        <f>'Input Data'!$D$23</f>
        <v>0</v>
      </c>
      <c r="C571" s="1937"/>
      <c r="D571" s="1930" t="s">
        <v>17</v>
      </c>
      <c r="F571" s="1933"/>
      <c r="G571" s="1933"/>
      <c r="H571" s="1950">
        <f>SUM(J569:J570)</f>
        <v>10392</v>
      </c>
      <c r="I571" s="1965"/>
      <c r="J571" s="1950">
        <f>B571*H571</f>
        <v>0</v>
      </c>
    </row>
    <row r="572" spans="1:10">
      <c r="B572" s="1954"/>
      <c r="C572" s="1933"/>
      <c r="D572" s="1936" t="s">
        <v>60</v>
      </c>
      <c r="H572" s="1950"/>
      <c r="I572" s="1950"/>
      <c r="J572" s="1954">
        <f>SUM(J568:J571)</f>
        <v>10803.6</v>
      </c>
    </row>
    <row r="573" spans="1:10">
      <c r="B573" s="1964" t="s">
        <v>39</v>
      </c>
      <c r="C573" s="1971" t="s">
        <v>61</v>
      </c>
      <c r="H573" s="1950"/>
      <c r="I573" s="1950"/>
      <c r="J573" s="1950"/>
    </row>
    <row r="574" spans="1:10">
      <c r="B574" s="1954">
        <v>64.8</v>
      </c>
      <c r="C574" s="1933" t="s">
        <v>31</v>
      </c>
      <c r="D574" s="1930" t="s">
        <v>63</v>
      </c>
      <c r="H574" s="1950">
        <f>lead!$J$16</f>
        <v>1889.8641904678079</v>
      </c>
      <c r="I574" s="1950" t="s">
        <v>31</v>
      </c>
      <c r="J574" s="1950">
        <f>ROUND(B574*H574,2)</f>
        <v>122463.2</v>
      </c>
    </row>
    <row r="575" spans="1:10">
      <c r="B575" s="1954">
        <v>43.2</v>
      </c>
      <c r="C575" s="1933" t="s">
        <v>31</v>
      </c>
      <c r="D575" s="1930" t="s">
        <v>64</v>
      </c>
      <c r="H575" s="1950">
        <f>lead!$J$18</f>
        <v>1638.8641904678079</v>
      </c>
      <c r="I575" s="1950" t="s">
        <v>31</v>
      </c>
      <c r="J575" s="1950">
        <f>ROUND(B575*H575,2)</f>
        <v>70798.929999999993</v>
      </c>
    </row>
    <row r="576" spans="1:10">
      <c r="B576" s="1954">
        <v>54</v>
      </c>
      <c r="C576" s="1933" t="s">
        <v>31</v>
      </c>
      <c r="D576" s="1936" t="s">
        <v>65</v>
      </c>
      <c r="H576" s="1950">
        <f>lead!J12</f>
        <v>1568.1141904678079</v>
      </c>
      <c r="I576" s="1950" t="s">
        <v>31</v>
      </c>
      <c r="J576" s="1950">
        <f>ROUND(B576*H576,2)</f>
        <v>84678.17</v>
      </c>
    </row>
    <row r="577" spans="1:10">
      <c r="B577" s="2015">
        <v>48.38</v>
      </c>
      <c r="C577" s="1933" t="s">
        <v>66</v>
      </c>
      <c r="D577" s="1936" t="s">
        <v>67</v>
      </c>
      <c r="H577" s="1950">
        <f>lead!$J$36</f>
        <v>5000</v>
      </c>
      <c r="I577" s="1950" t="s">
        <v>66</v>
      </c>
      <c r="J577" s="1950">
        <f>ROUND(B577*H577,2)</f>
        <v>241900</v>
      </c>
    </row>
    <row r="578" spans="1:10">
      <c r="B578" s="1936"/>
      <c r="D578" s="1936" t="s">
        <v>60</v>
      </c>
      <c r="H578" s="1950"/>
      <c r="I578" s="1950"/>
      <c r="J578" s="1950">
        <f>SUM(J574:J577)</f>
        <v>519840.3</v>
      </c>
    </row>
    <row r="579" spans="1:10">
      <c r="B579" s="1964" t="s">
        <v>27</v>
      </c>
      <c r="C579" s="1971" t="s">
        <v>40</v>
      </c>
      <c r="H579" s="1950"/>
      <c r="I579" s="1950"/>
      <c r="J579" s="1950"/>
    </row>
    <row r="580" spans="1:10">
      <c r="B580" s="1954">
        <v>6</v>
      </c>
      <c r="C580" s="1933" t="s">
        <v>41</v>
      </c>
      <c r="D580" s="1930" t="s">
        <v>171</v>
      </c>
      <c r="H580" s="1950">
        <f>'SSR-rates'!$H$100</f>
        <v>1205.8</v>
      </c>
      <c r="I580" s="1950" t="s">
        <v>41</v>
      </c>
      <c r="J580" s="1950">
        <f t="shared" ref="J580:J585" si="1">ROUND(B580*H580,2)</f>
        <v>7234.8</v>
      </c>
    </row>
    <row r="581" spans="1:10">
      <c r="B581" s="1954">
        <v>6</v>
      </c>
      <c r="C581" s="1933" t="s">
        <v>41</v>
      </c>
      <c r="D581" s="1930" t="s">
        <v>172</v>
      </c>
      <c r="H581" s="1950">
        <f>'SSR-rates'!$H$102</f>
        <v>1261</v>
      </c>
      <c r="I581" s="1950" t="s">
        <v>41</v>
      </c>
      <c r="J581" s="1950">
        <f t="shared" si="1"/>
        <v>7566</v>
      </c>
    </row>
    <row r="582" spans="1:10">
      <c r="B582" s="1954">
        <v>6</v>
      </c>
      <c r="C582" s="1933" t="s">
        <v>41</v>
      </c>
      <c r="D582" s="1930" t="s">
        <v>173</v>
      </c>
      <c r="H582" s="1950">
        <f>'SSR-rates'!$H$65</f>
        <v>1844</v>
      </c>
      <c r="I582" s="1950" t="s">
        <v>41</v>
      </c>
      <c r="J582" s="1950">
        <f t="shared" si="1"/>
        <v>11064</v>
      </c>
    </row>
    <row r="583" spans="1:10">
      <c r="B583" s="1954">
        <v>15</v>
      </c>
      <c r="C583" s="1933" t="s">
        <v>41</v>
      </c>
      <c r="D583" s="1930" t="s">
        <v>174</v>
      </c>
      <c r="H583" s="1950">
        <f>'SSR-rates'!$H$104</f>
        <v>2532.4</v>
      </c>
      <c r="I583" s="1950" t="s">
        <v>41</v>
      </c>
      <c r="J583" s="1950">
        <f t="shared" si="1"/>
        <v>37986</v>
      </c>
    </row>
    <row r="584" spans="1:10">
      <c r="B584" s="1954">
        <v>300</v>
      </c>
      <c r="C584" s="1933" t="s">
        <v>180</v>
      </c>
      <c r="D584" s="3257" t="s">
        <v>176</v>
      </c>
      <c r="E584" s="3257"/>
      <c r="F584" s="3257"/>
      <c r="G584" s="3257"/>
      <c r="H584" s="1950">
        <v>0</v>
      </c>
      <c r="I584" s="1950" t="s">
        <v>41</v>
      </c>
      <c r="J584" s="1950">
        <f t="shared" si="1"/>
        <v>0</v>
      </c>
    </row>
    <row r="585" spans="1:10">
      <c r="B585" s="1954">
        <v>6</v>
      </c>
      <c r="C585" s="1933" t="s">
        <v>41</v>
      </c>
      <c r="D585" s="1936" t="s">
        <v>177</v>
      </c>
      <c r="H585" s="1950">
        <f>'SSR-rates'!H$106</f>
        <v>899</v>
      </c>
      <c r="I585" s="1950" t="s">
        <v>41</v>
      </c>
      <c r="J585" s="1950">
        <f t="shared" si="1"/>
        <v>5394</v>
      </c>
    </row>
    <row r="586" spans="1:10">
      <c r="B586" s="1954"/>
      <c r="C586" s="1937"/>
      <c r="D586" s="1936" t="s">
        <v>60</v>
      </c>
      <c r="H586" s="1950"/>
      <c r="I586" s="1950"/>
      <c r="J586" s="1950">
        <f>SUM(J580:J585)</f>
        <v>69244.800000000003</v>
      </c>
    </row>
    <row r="587" spans="1:10">
      <c r="B587" s="1964" t="s">
        <v>45</v>
      </c>
      <c r="C587" s="1971" t="s">
        <v>71</v>
      </c>
      <c r="H587" s="1950"/>
      <c r="I587" s="1950"/>
      <c r="J587" s="1950"/>
    </row>
    <row r="588" spans="1:10">
      <c r="B588" s="1936">
        <v>10</v>
      </c>
      <c r="C588" s="1933" t="s">
        <v>29</v>
      </c>
      <c r="D588" s="1930" t="s">
        <v>181</v>
      </c>
      <c r="H588" s="1950">
        <f>J572+J578+J586</f>
        <v>599888.70000000007</v>
      </c>
      <c r="I588" s="1965" t="s">
        <v>73</v>
      </c>
      <c r="J588" s="1950">
        <f>ROUND(B588*H588/100,2)</f>
        <v>59988.87</v>
      </c>
    </row>
    <row r="589" spans="1:10">
      <c r="A589" s="1962"/>
      <c r="B589" s="1964" t="s">
        <v>47</v>
      </c>
      <c r="C589" s="1962" t="s">
        <v>97</v>
      </c>
      <c r="F589" s="1933"/>
      <c r="G589" s="1933"/>
      <c r="H589" s="1933"/>
      <c r="I589" s="1933"/>
      <c r="J589" s="1990"/>
    </row>
    <row r="590" spans="1:10" ht="36" customHeight="1">
      <c r="A590" s="1962"/>
      <c r="B590" s="1955">
        <f>'Input Data'!$D$25</f>
        <v>0.19614999999999999</v>
      </c>
      <c r="C590" s="3247" t="str">
        <f>"Over head charges "&amp;'Input Data'!$D$25*100&amp;"%  on (A) + (B)+(C)+(D)"</f>
        <v>Over head charges 19.615%  on (A) + (B)+(C)+(D)</v>
      </c>
      <c r="D590" s="3248"/>
      <c r="E590" s="3248"/>
      <c r="F590" s="3248"/>
      <c r="G590" s="3249"/>
      <c r="H590" s="1937">
        <f>J588+J586+J578+J572</f>
        <v>659877.56999999995</v>
      </c>
      <c r="I590" s="1933"/>
      <c r="J590" s="1950">
        <f>H590*B590</f>
        <v>129434.98535549999</v>
      </c>
    </row>
    <row r="591" spans="1:10">
      <c r="A591" s="1962"/>
      <c r="B591" s="1964" t="s">
        <v>76</v>
      </c>
      <c r="C591" s="1962" t="s">
        <v>77</v>
      </c>
      <c r="F591" s="1933"/>
      <c r="G591" s="1933"/>
      <c r="H591" s="1933"/>
      <c r="I591" s="1933"/>
      <c r="J591" s="1990">
        <f>J572+J578+J586+J588+J590</f>
        <v>789312.55535550008</v>
      </c>
    </row>
    <row r="592" spans="1:10">
      <c r="A592" s="1962"/>
      <c r="B592" s="1964" t="s">
        <v>78</v>
      </c>
      <c r="C592" s="1962" t="s">
        <v>79</v>
      </c>
      <c r="F592" s="1933"/>
      <c r="G592" s="1933"/>
      <c r="H592" s="1933"/>
      <c r="I592" s="1933"/>
      <c r="J592" s="1990">
        <f>J591*10/100</f>
        <v>78931.255535550008</v>
      </c>
    </row>
    <row r="593" spans="1:10">
      <c r="B593" s="1954"/>
      <c r="C593" s="1933"/>
      <c r="D593" s="1971" t="s">
        <v>158</v>
      </c>
      <c r="H593" s="1950"/>
      <c r="I593" s="1950"/>
      <c r="J593" s="1990">
        <f>SUM(J591:J592)</f>
        <v>868243.81089105015</v>
      </c>
    </row>
    <row r="594" spans="1:10">
      <c r="B594" s="1954"/>
      <c r="C594" s="1933"/>
      <c r="D594" s="1936" t="s">
        <v>81</v>
      </c>
      <c r="H594" s="1950"/>
      <c r="I594" s="1950"/>
      <c r="J594" s="1950">
        <f>ROUND(J593/120,2)</f>
        <v>7235.37</v>
      </c>
    </row>
    <row r="595" spans="1:10">
      <c r="D595" s="1936" t="s">
        <v>52</v>
      </c>
      <c r="H595" s="1950"/>
      <c r="I595" s="1950"/>
      <c r="J595" s="1991">
        <f>ROUND(J594,0)</f>
        <v>7235</v>
      </c>
    </row>
    <row r="596" spans="1:10">
      <c r="D596" s="1936"/>
      <c r="H596" s="1950"/>
      <c r="I596" s="1950"/>
      <c r="J596" s="1990" t="s">
        <v>53</v>
      </c>
    </row>
    <row r="597" spans="1:10" ht="125.25" customHeight="1">
      <c r="A597" s="2008"/>
      <c r="B597" s="3238" t="s">
        <v>182</v>
      </c>
      <c r="C597" s="3238"/>
      <c r="D597" s="3238"/>
      <c r="E597" s="3238"/>
      <c r="F597" s="3238"/>
      <c r="G597" s="3238"/>
      <c r="H597" s="3238"/>
      <c r="I597" s="3238"/>
      <c r="J597" s="3238"/>
    </row>
    <row r="598" spans="1:10">
      <c r="D598" s="1936" t="s">
        <v>10</v>
      </c>
      <c r="F598" s="1962" t="s">
        <v>183</v>
      </c>
      <c r="J598" s="1930"/>
    </row>
    <row r="599" spans="1:10">
      <c r="D599" s="1936" t="s">
        <v>170</v>
      </c>
      <c r="J599" s="1930"/>
    </row>
    <row r="600" spans="1:10">
      <c r="B600" s="1964" t="s">
        <v>36</v>
      </c>
      <c r="C600" s="1971" t="s">
        <v>37</v>
      </c>
      <c r="J600" s="1930"/>
    </row>
    <row r="601" spans="1:10">
      <c r="B601" s="1954">
        <v>0.84</v>
      </c>
      <c r="C601" s="1933" t="s">
        <v>57</v>
      </c>
      <c r="D601" s="1936" t="s">
        <v>156</v>
      </c>
      <c r="H601" s="1950">
        <f>'SSR-rates'!H$58</f>
        <v>490</v>
      </c>
      <c r="I601" s="1965" t="s">
        <v>38</v>
      </c>
      <c r="J601" s="1954">
        <f>ROUND(B601*H601,2)</f>
        <v>411.6</v>
      </c>
    </row>
    <row r="602" spans="1:10">
      <c r="B602" s="1954">
        <v>3</v>
      </c>
      <c r="C602" s="1933" t="s">
        <v>57</v>
      </c>
      <c r="D602" s="1936" t="s">
        <v>58</v>
      </c>
      <c r="H602" s="1950">
        <f>'SSR-rates'!H$59</f>
        <v>524</v>
      </c>
      <c r="I602" s="1965" t="s">
        <v>38</v>
      </c>
      <c r="J602" s="1954">
        <f>ROUND(B602*H602,2)</f>
        <v>1572</v>
      </c>
    </row>
    <row r="603" spans="1:10">
      <c r="B603" s="1954">
        <v>18</v>
      </c>
      <c r="C603" s="1933" t="s">
        <v>57</v>
      </c>
      <c r="D603" s="1936" t="s">
        <v>59</v>
      </c>
      <c r="H603" s="1950">
        <f>'SSR-rates'!H$60</f>
        <v>490</v>
      </c>
      <c r="I603" s="1965" t="s">
        <v>38</v>
      </c>
      <c r="J603" s="1954">
        <f>ROUND(B603*H603,2)</f>
        <v>8820</v>
      </c>
    </row>
    <row r="604" spans="1:10">
      <c r="A604" s="1962"/>
      <c r="B604" s="1951">
        <f>'Input Data'!$D$23</f>
        <v>0</v>
      </c>
      <c r="C604" s="1937"/>
      <c r="D604" s="1930" t="s">
        <v>17</v>
      </c>
      <c r="F604" s="1933"/>
      <c r="G604" s="1933"/>
      <c r="H604" s="1950">
        <f>SUM(J602:J603)</f>
        <v>10392</v>
      </c>
      <c r="I604" s="1965"/>
      <c r="J604" s="1950">
        <f>B604*H604</f>
        <v>0</v>
      </c>
    </row>
    <row r="605" spans="1:10">
      <c r="B605" s="1954"/>
      <c r="C605" s="1933"/>
      <c r="D605" s="1936" t="s">
        <v>60</v>
      </c>
      <c r="H605" s="1950"/>
      <c r="I605" s="1950"/>
      <c r="J605" s="1954">
        <f>SUM(J601:J604)</f>
        <v>10803.6</v>
      </c>
    </row>
    <row r="606" spans="1:10">
      <c r="B606" s="1964" t="s">
        <v>39</v>
      </c>
      <c r="C606" s="1971" t="s">
        <v>61</v>
      </c>
      <c r="H606" s="1950"/>
      <c r="I606" s="1950"/>
      <c r="J606" s="1950"/>
    </row>
    <row r="607" spans="1:10">
      <c r="B607" s="1954">
        <v>64.8</v>
      </c>
      <c r="C607" s="1933" t="s">
        <v>31</v>
      </c>
      <c r="D607" s="1930" t="s">
        <v>63</v>
      </c>
      <c r="H607" s="1950">
        <f>lead!J$16</f>
        <v>1889.8641904678079</v>
      </c>
      <c r="I607" s="1950" t="s">
        <v>31</v>
      </c>
      <c r="J607" s="1950">
        <f>ROUND(B607*H607,2)</f>
        <v>122463.2</v>
      </c>
    </row>
    <row r="608" spans="1:10">
      <c r="B608" s="1954">
        <v>43.2</v>
      </c>
      <c r="C608" s="1933" t="s">
        <v>31</v>
      </c>
      <c r="D608" s="1930" t="s">
        <v>64</v>
      </c>
      <c r="H608" s="1950">
        <f>lead!J$18</f>
        <v>1638.8641904678079</v>
      </c>
      <c r="I608" s="1950" t="s">
        <v>31</v>
      </c>
      <c r="J608" s="1950">
        <f>ROUND(B608*H608,2)</f>
        <v>70798.929999999993</v>
      </c>
    </row>
    <row r="609" spans="1:10">
      <c r="B609" s="1954">
        <v>54.2</v>
      </c>
      <c r="C609" s="1933" t="s">
        <v>31</v>
      </c>
      <c r="D609" s="1936" t="s">
        <v>65</v>
      </c>
      <c r="H609" s="1950">
        <f>lead!J12</f>
        <v>1568.1141904678079</v>
      </c>
      <c r="I609" s="1950" t="s">
        <v>31</v>
      </c>
      <c r="J609" s="1950">
        <f>ROUND(B609*H609,2)</f>
        <v>84991.79</v>
      </c>
    </row>
    <row r="610" spans="1:10">
      <c r="B610" s="2015">
        <v>47.95</v>
      </c>
      <c r="C610" s="1933" t="s">
        <v>66</v>
      </c>
      <c r="D610" s="1936" t="s">
        <v>67</v>
      </c>
      <c r="H610" s="1950">
        <f>lead!J$36</f>
        <v>5000</v>
      </c>
      <c r="I610" s="1950" t="s">
        <v>66</v>
      </c>
      <c r="J610" s="1950">
        <f>ROUND(B610*H610,2)</f>
        <v>239750</v>
      </c>
    </row>
    <row r="611" spans="1:10">
      <c r="B611" s="1936"/>
      <c r="D611" s="1936" t="s">
        <v>60</v>
      </c>
      <c r="H611" s="1950"/>
      <c r="I611" s="1950"/>
      <c r="J611" s="1950">
        <f>SUM(J607:J610)</f>
        <v>518003.92</v>
      </c>
    </row>
    <row r="612" spans="1:10">
      <c r="B612" s="1964" t="s">
        <v>27</v>
      </c>
      <c r="C612" s="1971" t="s">
        <v>40</v>
      </c>
      <c r="H612" s="1950"/>
      <c r="I612" s="1950"/>
      <c r="J612" s="1950"/>
    </row>
    <row r="613" spans="1:10">
      <c r="B613" s="1954">
        <v>6</v>
      </c>
      <c r="C613" s="1933" t="s">
        <v>41</v>
      </c>
      <c r="D613" s="1930" t="s">
        <v>171</v>
      </c>
      <c r="H613" s="1950">
        <f>'SSR-rates'!H$100</f>
        <v>1205.8</v>
      </c>
      <c r="I613" s="1950" t="s">
        <v>41</v>
      </c>
      <c r="J613" s="1950">
        <f t="shared" ref="J613:J618" si="2">ROUND(B613*H613,2)</f>
        <v>7234.8</v>
      </c>
    </row>
    <row r="614" spans="1:10">
      <c r="B614" s="1954">
        <v>6</v>
      </c>
      <c r="C614" s="1933" t="s">
        <v>41</v>
      </c>
      <c r="D614" s="1930" t="s">
        <v>172</v>
      </c>
      <c r="H614" s="1950">
        <f>'SSR-rates'!H$102</f>
        <v>1261</v>
      </c>
      <c r="I614" s="1950" t="s">
        <v>41</v>
      </c>
      <c r="J614" s="1950">
        <f t="shared" si="2"/>
        <v>7566</v>
      </c>
    </row>
    <row r="615" spans="1:10">
      <c r="B615" s="1954">
        <v>6</v>
      </c>
      <c r="C615" s="1933" t="s">
        <v>41</v>
      </c>
      <c r="D615" s="1930" t="s">
        <v>173</v>
      </c>
      <c r="H615" s="1950">
        <f>'SSR-rates'!H$65</f>
        <v>1844</v>
      </c>
      <c r="I615" s="1950" t="s">
        <v>41</v>
      </c>
      <c r="J615" s="1950">
        <f t="shared" si="2"/>
        <v>11064</v>
      </c>
    </row>
    <row r="616" spans="1:10">
      <c r="B616" s="1954">
        <v>15</v>
      </c>
      <c r="C616" s="1933" t="s">
        <v>41</v>
      </c>
      <c r="D616" s="1930" t="s">
        <v>174</v>
      </c>
      <c r="H616" s="1950">
        <f>'SSR-rates'!H$104</f>
        <v>2532.4</v>
      </c>
      <c r="I616" s="1950" t="s">
        <v>41</v>
      </c>
      <c r="J616" s="1950">
        <f t="shared" si="2"/>
        <v>37986</v>
      </c>
    </row>
    <row r="617" spans="1:10">
      <c r="B617" s="1954">
        <v>300</v>
      </c>
      <c r="C617" s="1933" t="s">
        <v>180</v>
      </c>
      <c r="D617" s="3257" t="s">
        <v>176</v>
      </c>
      <c r="E617" s="3257"/>
      <c r="F617" s="3257"/>
      <c r="G617" s="3257"/>
      <c r="H617" s="1950">
        <v>0</v>
      </c>
      <c r="I617" s="1950" t="s">
        <v>41</v>
      </c>
      <c r="J617" s="1950">
        <f t="shared" si="2"/>
        <v>0</v>
      </c>
    </row>
    <row r="618" spans="1:10">
      <c r="B618" s="1954">
        <v>6</v>
      </c>
      <c r="C618" s="1933" t="s">
        <v>41</v>
      </c>
      <c r="D618" s="1936" t="s">
        <v>177</v>
      </c>
      <c r="H618" s="1950">
        <f>'SSR-rates'!H$106</f>
        <v>899</v>
      </c>
      <c r="I618" s="1950" t="s">
        <v>41</v>
      </c>
      <c r="J618" s="1950">
        <f t="shared" si="2"/>
        <v>5394</v>
      </c>
    </row>
    <row r="619" spans="1:10">
      <c r="B619" s="1954"/>
      <c r="C619" s="1937"/>
      <c r="D619" s="1936" t="s">
        <v>60</v>
      </c>
      <c r="H619" s="1950"/>
      <c r="I619" s="1950"/>
      <c r="J619" s="1950">
        <f>SUM(J613:J618)</f>
        <v>69244.800000000003</v>
      </c>
    </row>
    <row r="620" spans="1:10">
      <c r="B620" s="1964" t="s">
        <v>45</v>
      </c>
      <c r="C620" s="1971" t="s">
        <v>71</v>
      </c>
      <c r="H620" s="1950"/>
      <c r="I620" s="1950"/>
      <c r="J620" s="1950"/>
    </row>
    <row r="621" spans="1:10">
      <c r="B621" s="1936">
        <v>20</v>
      </c>
      <c r="C621" s="1933" t="s">
        <v>29</v>
      </c>
      <c r="D621" s="1930" t="s">
        <v>161</v>
      </c>
      <c r="H621" s="1950">
        <f>J605+J611+J619</f>
        <v>598052.32000000007</v>
      </c>
      <c r="I621" s="1965" t="s">
        <v>73</v>
      </c>
      <c r="J621" s="1950">
        <f>ROUND(B621*H621/100,2)</f>
        <v>119610.46</v>
      </c>
    </row>
    <row r="622" spans="1:10">
      <c r="A622" s="1962"/>
      <c r="B622" s="1964" t="s">
        <v>47</v>
      </c>
      <c r="C622" s="1962" t="s">
        <v>97</v>
      </c>
      <c r="F622" s="1933"/>
      <c r="G622" s="1933"/>
      <c r="H622" s="1933"/>
      <c r="I622" s="1933"/>
      <c r="J622" s="1990"/>
    </row>
    <row r="623" spans="1:10" ht="27" customHeight="1">
      <c r="A623" s="1962"/>
      <c r="B623" s="1955">
        <f>'Input Data'!$D$25</f>
        <v>0.19614999999999999</v>
      </c>
      <c r="C623" s="3247" t="str">
        <f>"Over head charges "&amp;'Input Data'!$D$25*100&amp;"%  on (A) + (B)+(C)+(D)"</f>
        <v>Over head charges 19.615%  on (A) + (B)+(C)+(D)</v>
      </c>
      <c r="D623" s="3248"/>
      <c r="E623" s="3248"/>
      <c r="F623" s="3248"/>
      <c r="G623" s="3249"/>
      <c r="H623" s="1937">
        <f>J621+J619+J611+J605</f>
        <v>717662.77999999991</v>
      </c>
      <c r="I623" s="1933"/>
      <c r="J623" s="1950">
        <f>H623*B623</f>
        <v>140769.55429699997</v>
      </c>
    </row>
    <row r="624" spans="1:10">
      <c r="A624" s="1962"/>
      <c r="B624" s="1964" t="s">
        <v>76</v>
      </c>
      <c r="C624" s="1962" t="s">
        <v>77</v>
      </c>
      <c r="F624" s="1933"/>
      <c r="G624" s="1933"/>
      <c r="H624" s="1933"/>
      <c r="I624" s="1933"/>
      <c r="J624" s="1990">
        <f>J605+J611+J619+J621+J623</f>
        <v>858432.33429699996</v>
      </c>
    </row>
    <row r="625" spans="1:10">
      <c r="A625" s="1962"/>
      <c r="B625" s="1964" t="s">
        <v>78</v>
      </c>
      <c r="C625" s="1962" t="s">
        <v>79</v>
      </c>
      <c r="F625" s="1933"/>
      <c r="G625" s="1933"/>
      <c r="H625" s="1933"/>
      <c r="I625" s="1933"/>
      <c r="J625" s="1990">
        <f>J624*10/100</f>
        <v>85843.233429699991</v>
      </c>
    </row>
    <row r="626" spans="1:10">
      <c r="B626" s="1954"/>
      <c r="C626" s="1933"/>
      <c r="D626" s="1971" t="s">
        <v>158</v>
      </c>
      <c r="H626" s="1950"/>
      <c r="I626" s="1950"/>
      <c r="J626" s="1990">
        <f>SUM(J624:J625)</f>
        <v>944275.56772669998</v>
      </c>
    </row>
    <row r="627" spans="1:10">
      <c r="B627" s="1954"/>
      <c r="C627" s="1933"/>
      <c r="D627" s="1936" t="s">
        <v>81</v>
      </c>
      <c r="H627" s="1950"/>
      <c r="I627" s="1950"/>
      <c r="J627" s="1950">
        <f>ROUND(J626/120,2)</f>
        <v>7868.96</v>
      </c>
    </row>
    <row r="628" spans="1:10">
      <c r="D628" s="1936" t="s">
        <v>52</v>
      </c>
      <c r="H628" s="1950"/>
      <c r="I628" s="1950"/>
      <c r="J628" s="1991">
        <f>ROUND(J627,0)</f>
        <v>7869</v>
      </c>
    </row>
    <row r="629" spans="1:10">
      <c r="D629" s="1936"/>
      <c r="H629" s="1950"/>
      <c r="I629" s="1950"/>
      <c r="J629" s="1990" t="s">
        <v>53</v>
      </c>
    </row>
    <row r="631" spans="1:10" ht="141" customHeight="1">
      <c r="A631" s="1959"/>
      <c r="B631" s="3258" t="s">
        <v>184</v>
      </c>
      <c r="C631" s="3258"/>
      <c r="D631" s="3258"/>
      <c r="E631" s="3258"/>
      <c r="F631" s="3258"/>
      <c r="G631" s="3258"/>
      <c r="H631" s="3258"/>
      <c r="I631" s="3258"/>
      <c r="J631" s="3258"/>
    </row>
    <row r="632" spans="1:10">
      <c r="A632" s="2022"/>
      <c r="B632" s="1941"/>
      <c r="C632" s="1941"/>
      <c r="D632" s="3259" t="s">
        <v>185</v>
      </c>
      <c r="E632" s="3259"/>
      <c r="F632" s="3259"/>
      <c r="G632" s="3259"/>
      <c r="H632" s="1941"/>
      <c r="I632" s="1941"/>
      <c r="J632" s="1974"/>
    </row>
    <row r="633" spans="1:10">
      <c r="A633" s="2022"/>
      <c r="B633" s="1941"/>
      <c r="C633" s="1941"/>
      <c r="D633" s="3260" t="s">
        <v>186</v>
      </c>
      <c r="E633" s="3260"/>
      <c r="F633" s="3260"/>
      <c r="G633" s="3260"/>
      <c r="H633" s="1941"/>
      <c r="I633" s="1941"/>
      <c r="J633" s="1974"/>
    </row>
    <row r="634" spans="1:10">
      <c r="A634" s="2022"/>
      <c r="B634" s="1941"/>
      <c r="C634" s="1946"/>
      <c r="D634" s="3260" t="s">
        <v>187</v>
      </c>
      <c r="E634" s="3260"/>
      <c r="F634" s="3260"/>
      <c r="G634" s="3260"/>
      <c r="H634" s="1941"/>
      <c r="I634" s="1941"/>
      <c r="J634" s="1974"/>
    </row>
    <row r="635" spans="1:10">
      <c r="A635" s="2022"/>
      <c r="B635" s="1941"/>
      <c r="C635" s="1947"/>
      <c r="D635" s="3233" t="s">
        <v>12</v>
      </c>
      <c r="E635" s="3233"/>
      <c r="F635" s="3233"/>
      <c r="G635" s="3233"/>
      <c r="H635" s="1941"/>
      <c r="I635" s="1941"/>
      <c r="J635" s="1974"/>
    </row>
    <row r="636" spans="1:10">
      <c r="A636" s="2022"/>
      <c r="B636" s="1946">
        <v>0.4</v>
      </c>
      <c r="C636" s="2024" t="s">
        <v>13</v>
      </c>
      <c r="D636" s="3234" t="s">
        <v>14</v>
      </c>
      <c r="E636" s="3234"/>
      <c r="F636" s="3234"/>
      <c r="G636" s="3234"/>
      <c r="H636" s="1956">
        <f>'SSR-rates'!$H$58</f>
        <v>490</v>
      </c>
      <c r="I636" s="1946">
        <v>1</v>
      </c>
      <c r="J636" s="1975">
        <f>ROUND(B636*H636,2)</f>
        <v>196</v>
      </c>
    </row>
    <row r="637" spans="1:10">
      <c r="A637" s="2022"/>
      <c r="B637" s="1946">
        <v>2</v>
      </c>
      <c r="C637" s="2024" t="s">
        <v>13</v>
      </c>
      <c r="D637" s="3234" t="s">
        <v>188</v>
      </c>
      <c r="E637" s="3234"/>
      <c r="F637" s="3234"/>
      <c r="G637" s="3234"/>
      <c r="H637" s="1956">
        <f>'SSR-rates'!$H$92</f>
        <v>540</v>
      </c>
      <c r="I637" s="1946">
        <v>1</v>
      </c>
      <c r="J637" s="1975">
        <f>ROUND(B637*H637,2)</f>
        <v>1080</v>
      </c>
    </row>
    <row r="638" spans="1:10">
      <c r="A638" s="2022"/>
      <c r="B638" s="1946">
        <v>6</v>
      </c>
      <c r="C638" s="2024" t="s">
        <v>13</v>
      </c>
      <c r="D638" s="3234" t="s">
        <v>59</v>
      </c>
      <c r="E638" s="3234"/>
      <c r="F638" s="3234"/>
      <c r="G638" s="3234"/>
      <c r="H638" s="1956">
        <f>'SSR-rates'!$H$60</f>
        <v>490</v>
      </c>
      <c r="I638" s="1946">
        <v>1</v>
      </c>
      <c r="J638" s="1975">
        <f>ROUND(B638*H638,2)</f>
        <v>2940</v>
      </c>
    </row>
    <row r="639" spans="1:10" ht="15" customHeight="1">
      <c r="A639" s="2022"/>
      <c r="B639" s="1951">
        <f>'Input Data'!$D$23</f>
        <v>0</v>
      </c>
      <c r="C639" s="1937"/>
      <c r="D639" s="1930" t="s">
        <v>17</v>
      </c>
      <c r="F639" s="1933"/>
      <c r="G639" s="1933"/>
      <c r="H639" s="1950">
        <f>SUM(J638:J638)</f>
        <v>2940</v>
      </c>
      <c r="I639" s="1965"/>
      <c r="J639" s="1950">
        <f>B639*H639</f>
        <v>0</v>
      </c>
    </row>
    <row r="640" spans="1:10">
      <c r="A640" s="2022"/>
      <c r="B640" s="1946"/>
      <c r="C640" s="2025"/>
      <c r="D640" s="3235" t="s">
        <v>18</v>
      </c>
      <c r="E640" s="3235"/>
      <c r="F640" s="3235"/>
      <c r="G640" s="3235"/>
      <c r="H640" s="1946"/>
      <c r="I640" s="1976" t="s">
        <v>19</v>
      </c>
      <c r="J640" s="1977">
        <f>SUM(J636:J639)</f>
        <v>4216</v>
      </c>
    </row>
    <row r="641" spans="1:11">
      <c r="A641" s="2022"/>
      <c r="B641" s="1946"/>
      <c r="C641" s="2026"/>
      <c r="D641" s="3233" t="s">
        <v>189</v>
      </c>
      <c r="E641" s="3233"/>
      <c r="F641" s="3233"/>
      <c r="G641" s="3233"/>
      <c r="H641" s="1946"/>
      <c r="I641" s="1946"/>
      <c r="J641" s="1975"/>
    </row>
    <row r="642" spans="1:11">
      <c r="A642" s="2022"/>
      <c r="B642" s="1946">
        <v>1.05</v>
      </c>
      <c r="C642" s="2024" t="s">
        <v>66</v>
      </c>
      <c r="D642" s="3234" t="s">
        <v>190</v>
      </c>
      <c r="E642" s="3234"/>
      <c r="F642" s="3234"/>
      <c r="G642" s="3234"/>
      <c r="H642" s="1946">
        <f>lead!$J$37</f>
        <v>49000</v>
      </c>
      <c r="I642" s="1946">
        <v>1</v>
      </c>
      <c r="J642" s="1975">
        <f>ROUND(B642*H642,2)</f>
        <v>51450</v>
      </c>
    </row>
    <row r="643" spans="1:11">
      <c r="A643" s="2022"/>
      <c r="B643" s="1946">
        <v>6</v>
      </c>
      <c r="C643" s="2024" t="s">
        <v>191</v>
      </c>
      <c r="D643" s="3237" t="s">
        <v>192</v>
      </c>
      <c r="E643" s="3237"/>
      <c r="F643" s="3237"/>
      <c r="G643" s="3237"/>
      <c r="H643" s="1946">
        <f>'SSR-rates'!$H$93</f>
        <v>66</v>
      </c>
      <c r="I643" s="1946">
        <v>1</v>
      </c>
      <c r="J643" s="1975">
        <f>H643*B643</f>
        <v>396</v>
      </c>
    </row>
    <row r="644" spans="1:11">
      <c r="A644" s="2022"/>
      <c r="B644" s="1946"/>
      <c r="C644" s="2025"/>
      <c r="D644" s="3235" t="s">
        <v>18</v>
      </c>
      <c r="E644" s="3235"/>
      <c r="F644" s="3235"/>
      <c r="G644" s="3235"/>
      <c r="H644" s="1946"/>
      <c r="I644" s="1976" t="s">
        <v>25</v>
      </c>
      <c r="J644" s="1977">
        <f>SUM(J642:J643)</f>
        <v>51846</v>
      </c>
    </row>
    <row r="645" spans="1:11">
      <c r="A645" s="2022"/>
      <c r="B645" s="1956"/>
      <c r="C645" s="2027"/>
      <c r="D645" s="3233" t="s">
        <v>26</v>
      </c>
      <c r="E645" s="3233"/>
      <c r="F645" s="3233"/>
      <c r="G645" s="3233"/>
      <c r="H645" s="1956"/>
      <c r="I645" s="2038"/>
      <c r="J645" s="1980">
        <f>J640+J644</f>
        <v>56062</v>
      </c>
    </row>
    <row r="646" spans="1:11">
      <c r="A646" s="2022"/>
      <c r="B646" s="1955">
        <f>'Input Data'!$D$25</f>
        <v>0.19614999999999999</v>
      </c>
      <c r="C646" s="2027"/>
      <c r="D646" s="3233" t="s">
        <v>193</v>
      </c>
      <c r="E646" s="3233"/>
      <c r="F646" s="3233"/>
      <c r="G646" s="3233"/>
      <c r="H646" s="1956">
        <f>J645</f>
        <v>56062</v>
      </c>
      <c r="I646" s="1978"/>
      <c r="J646" s="1979">
        <f>H646*B646</f>
        <v>10996.561299999999</v>
      </c>
    </row>
    <row r="647" spans="1:11">
      <c r="A647" s="2022"/>
      <c r="B647" s="1956"/>
      <c r="C647" s="2027"/>
      <c r="D647" s="3233"/>
      <c r="E647" s="3233"/>
      <c r="F647" s="3233"/>
      <c r="G647" s="3233"/>
      <c r="H647" s="1956"/>
      <c r="I647" s="1978"/>
      <c r="J647" s="1979"/>
    </row>
    <row r="648" spans="1:11">
      <c r="A648" s="2022"/>
      <c r="B648" s="1956">
        <v>10</v>
      </c>
      <c r="C648" s="2027" t="s">
        <v>29</v>
      </c>
      <c r="D648" s="3233" t="s">
        <v>30</v>
      </c>
      <c r="E648" s="3233"/>
      <c r="F648" s="3233"/>
      <c r="G648" s="3233"/>
      <c r="H648" s="1956">
        <f>J645+J646</f>
        <v>67058.561300000001</v>
      </c>
      <c r="I648" s="1978"/>
      <c r="J648" s="1979">
        <f>ROUND(B648*H648/100,2)</f>
        <v>6705.86</v>
      </c>
    </row>
    <row r="649" spans="1:11">
      <c r="A649" s="2022"/>
      <c r="B649" s="1956"/>
      <c r="C649" s="2027"/>
      <c r="D649" s="3233"/>
      <c r="E649" s="3233"/>
      <c r="F649" s="3233"/>
      <c r="G649" s="3233"/>
      <c r="H649" s="1956"/>
      <c r="I649" s="1978"/>
      <c r="J649" s="1980"/>
    </row>
    <row r="650" spans="1:11">
      <c r="A650" s="2022"/>
      <c r="B650" s="1957">
        <v>1</v>
      </c>
      <c r="C650" s="2027" t="s">
        <v>66</v>
      </c>
      <c r="D650" s="3235" t="str">
        <f>CONCATENATE("TOTAL Cost for ",B650,"  ",C650,"  =  (A+B+C+D)",)</f>
        <v>TOTAL Cost for 1  MT  =  (A+B+C+D)</v>
      </c>
      <c r="E650" s="3235"/>
      <c r="F650" s="3235"/>
      <c r="G650" s="3235"/>
      <c r="H650" s="1956"/>
      <c r="I650" s="1956"/>
      <c r="J650" s="1979">
        <f>SUM(J645:J648)</f>
        <v>73764.421300000002</v>
      </c>
    </row>
    <row r="651" spans="1:11">
      <c r="A651" s="2022"/>
      <c r="B651" s="1956"/>
      <c r="C651" s="1956"/>
      <c r="D651" s="3237" t="str">
        <f>CONCATENATE("Rate per  1  ",C650)</f>
        <v>Rate per  1  MT</v>
      </c>
      <c r="E651" s="3237"/>
      <c r="F651" s="3237"/>
      <c r="G651" s="3237"/>
      <c r="H651" s="1956"/>
      <c r="I651" s="1956"/>
      <c r="J651" s="1975">
        <f>J650/B650</f>
        <v>73764.421300000002</v>
      </c>
    </row>
    <row r="652" spans="1:11">
      <c r="A652" s="2022"/>
      <c r="B652" s="1946"/>
      <c r="C652" s="1946"/>
      <c r="D652" s="3259" t="str">
        <f>D651</f>
        <v>Rate per  1  MT</v>
      </c>
      <c r="E652" s="3259"/>
      <c r="F652" s="3259"/>
      <c r="G652" s="3259"/>
      <c r="H652" s="1956"/>
      <c r="I652" s="1956"/>
      <c r="J652" s="1977">
        <f>ROUND(J651,0)</f>
        <v>73764</v>
      </c>
      <c r="K652" s="1930">
        <v>57233</v>
      </c>
    </row>
    <row r="653" spans="1:11" ht="141.75" customHeight="1">
      <c r="A653" s="1959"/>
      <c r="B653" s="3258" t="s">
        <v>194</v>
      </c>
      <c r="C653" s="3258"/>
      <c r="D653" s="3258"/>
      <c r="E653" s="3258"/>
      <c r="F653" s="3258"/>
      <c r="G653" s="3258"/>
      <c r="H653" s="3258"/>
      <c r="I653" s="3258"/>
      <c r="J653" s="3258"/>
    </row>
    <row r="654" spans="1:11">
      <c r="A654" s="2022"/>
      <c r="B654" s="1941"/>
      <c r="C654" s="1941"/>
      <c r="D654" s="3259" t="s">
        <v>195</v>
      </c>
      <c r="E654" s="3259"/>
      <c r="F654" s="3259"/>
      <c r="G654" s="3259"/>
      <c r="H654" s="1941"/>
      <c r="I654" s="1941"/>
      <c r="J654" s="1974"/>
    </row>
    <row r="655" spans="1:11">
      <c r="A655" s="2022"/>
      <c r="B655" s="1941"/>
      <c r="C655" s="1941"/>
      <c r="D655" s="3260" t="s">
        <v>186</v>
      </c>
      <c r="E655" s="3260"/>
      <c r="F655" s="3260"/>
      <c r="G655" s="3260"/>
      <c r="H655" s="1941"/>
      <c r="I655" s="1941"/>
      <c r="J655" s="1974"/>
    </row>
    <row r="656" spans="1:11">
      <c r="A656" s="2022"/>
      <c r="B656" s="1941"/>
      <c r="C656" s="1946"/>
      <c r="D656" s="3260" t="s">
        <v>187</v>
      </c>
      <c r="E656" s="3260"/>
      <c r="F656" s="3260"/>
      <c r="G656" s="3260"/>
      <c r="H656" s="1941"/>
      <c r="I656" s="1941"/>
      <c r="J656" s="1974"/>
    </row>
    <row r="657" spans="1:10">
      <c r="A657" s="2022"/>
      <c r="B657" s="1941"/>
      <c r="C657" s="1947"/>
      <c r="D657" s="3233" t="s">
        <v>12</v>
      </c>
      <c r="E657" s="3233"/>
      <c r="F657" s="3233"/>
      <c r="G657" s="3233"/>
      <c r="H657" s="1941"/>
      <c r="I657" s="1941"/>
      <c r="J657" s="1974"/>
    </row>
    <row r="658" spans="1:10">
      <c r="A658" s="2022"/>
      <c r="B658" s="1946">
        <v>0.34</v>
      </c>
      <c r="C658" s="2024" t="s">
        <v>13</v>
      </c>
      <c r="D658" s="3234" t="s">
        <v>14</v>
      </c>
      <c r="E658" s="3234"/>
      <c r="F658" s="3234"/>
      <c r="G658" s="3234"/>
      <c r="H658" s="1956">
        <f>'SSR-rates'!$H$58</f>
        <v>490</v>
      </c>
      <c r="I658" s="1946">
        <v>1</v>
      </c>
      <c r="J658" s="1975">
        <f>ROUND(B658*H658,2)</f>
        <v>166.6</v>
      </c>
    </row>
    <row r="659" spans="1:10">
      <c r="A659" s="2022"/>
      <c r="B659" s="1946">
        <v>2</v>
      </c>
      <c r="C659" s="2024" t="s">
        <v>13</v>
      </c>
      <c r="D659" s="3234" t="s">
        <v>188</v>
      </c>
      <c r="E659" s="3234"/>
      <c r="F659" s="3234"/>
      <c r="G659" s="3234"/>
      <c r="H659" s="1956">
        <f>'SSR-rates'!$H$92</f>
        <v>540</v>
      </c>
      <c r="I659" s="1946">
        <v>1</v>
      </c>
      <c r="J659" s="1975">
        <f>ROUND(B659*H659,2)</f>
        <v>1080</v>
      </c>
    </row>
    <row r="660" spans="1:10">
      <c r="A660" s="2022"/>
      <c r="B660" s="1946">
        <v>6.5</v>
      </c>
      <c r="C660" s="2024" t="s">
        <v>13</v>
      </c>
      <c r="D660" s="3234" t="s">
        <v>59</v>
      </c>
      <c r="E660" s="3234"/>
      <c r="F660" s="3234"/>
      <c r="G660" s="3234"/>
      <c r="H660" s="1956">
        <f>'SSR-rates'!$H$60</f>
        <v>490</v>
      </c>
      <c r="I660" s="1946">
        <v>1</v>
      </c>
      <c r="J660" s="1975">
        <f>ROUND(B660*H660,2)</f>
        <v>3185</v>
      </c>
    </row>
    <row r="661" spans="1:10" ht="15" customHeight="1">
      <c r="A661" s="2022"/>
      <c r="B661" s="1951">
        <f>'Input Data'!$D$23</f>
        <v>0</v>
      </c>
      <c r="C661" s="1937"/>
      <c r="D661" s="1930" t="s">
        <v>17</v>
      </c>
      <c r="F661" s="1933"/>
      <c r="G661" s="1933"/>
      <c r="H661" s="1950">
        <f>SUM(J660:J660)</f>
        <v>3185</v>
      </c>
      <c r="I661" s="1965"/>
      <c r="J661" s="1950">
        <f>B661*H661</f>
        <v>0</v>
      </c>
    </row>
    <row r="662" spans="1:10">
      <c r="A662" s="2022"/>
      <c r="B662" s="1946"/>
      <c r="C662" s="2025"/>
      <c r="D662" s="3235" t="s">
        <v>18</v>
      </c>
      <c r="E662" s="3235"/>
      <c r="F662" s="3235"/>
      <c r="G662" s="3235"/>
      <c r="H662" s="1946"/>
      <c r="I662" s="1976" t="s">
        <v>19</v>
      </c>
      <c r="J662" s="1977">
        <f>SUM(J658:J661)</f>
        <v>4431.6000000000004</v>
      </c>
    </row>
    <row r="663" spans="1:10">
      <c r="A663" s="2022"/>
      <c r="B663" s="1946"/>
      <c r="C663" s="2026"/>
      <c r="D663" s="3233" t="s">
        <v>189</v>
      </c>
      <c r="E663" s="3233"/>
      <c r="F663" s="3233"/>
      <c r="G663" s="3233"/>
      <c r="H663" s="1946"/>
      <c r="I663" s="1946"/>
      <c r="J663" s="1975"/>
    </row>
    <row r="664" spans="1:10">
      <c r="A664" s="2022"/>
      <c r="B664" s="1946">
        <v>1.05</v>
      </c>
      <c r="C664" s="2024" t="s">
        <v>66</v>
      </c>
      <c r="D664" s="3234" t="s">
        <v>190</v>
      </c>
      <c r="E664" s="3234"/>
      <c r="F664" s="3234"/>
      <c r="G664" s="3234"/>
      <c r="H664" s="1946">
        <f>lead!$J$37</f>
        <v>49000</v>
      </c>
      <c r="I664" s="1946">
        <v>1</v>
      </c>
      <c r="J664" s="1975">
        <f>ROUND(B664*H664,2)</f>
        <v>51450</v>
      </c>
    </row>
    <row r="665" spans="1:10">
      <c r="A665" s="2022"/>
      <c r="B665" s="1946">
        <v>6</v>
      </c>
      <c r="C665" s="2024" t="s">
        <v>191</v>
      </c>
      <c r="D665" s="3237" t="s">
        <v>196</v>
      </c>
      <c r="E665" s="3237"/>
      <c r="F665" s="3237"/>
      <c r="G665" s="3237"/>
      <c r="H665" s="1946">
        <f>'SSR-rates'!$H$93</f>
        <v>66</v>
      </c>
      <c r="I665" s="1946">
        <v>1</v>
      </c>
      <c r="J665" s="1975">
        <f>H665*B665</f>
        <v>396</v>
      </c>
    </row>
    <row r="666" spans="1:10">
      <c r="A666" s="2022"/>
      <c r="B666" s="1946"/>
      <c r="C666" s="2025"/>
      <c r="D666" s="3235" t="s">
        <v>18</v>
      </c>
      <c r="E666" s="3235"/>
      <c r="F666" s="3235"/>
      <c r="G666" s="3235"/>
      <c r="H666" s="1946"/>
      <c r="I666" s="1976" t="s">
        <v>25</v>
      </c>
      <c r="J666" s="1977">
        <f>SUM(J664:J665)</f>
        <v>51846</v>
      </c>
    </row>
    <row r="667" spans="1:10">
      <c r="A667" s="2022"/>
      <c r="B667" s="1956"/>
      <c r="C667" s="2027"/>
      <c r="D667" s="3233" t="s">
        <v>26</v>
      </c>
      <c r="E667" s="3233"/>
      <c r="F667" s="3233"/>
      <c r="G667" s="3233"/>
      <c r="H667" s="1956"/>
      <c r="I667" s="2038"/>
      <c r="J667" s="1980">
        <f>J662+J666</f>
        <v>56277.599999999999</v>
      </c>
    </row>
    <row r="668" spans="1:10">
      <c r="A668" s="2022"/>
      <c r="B668" s="1955">
        <f>'Input Data'!$D$25</f>
        <v>0.19614999999999999</v>
      </c>
      <c r="C668" s="2027"/>
      <c r="D668" s="3233" t="s">
        <v>193</v>
      </c>
      <c r="E668" s="3233"/>
      <c r="F668" s="3233"/>
      <c r="G668" s="3233"/>
      <c r="H668" s="1956">
        <f>J667</f>
        <v>56277.599999999999</v>
      </c>
      <c r="I668" s="1978"/>
      <c r="J668" s="1979">
        <f>H668*B668</f>
        <v>11038.85124</v>
      </c>
    </row>
    <row r="669" spans="1:10">
      <c r="A669" s="2022"/>
      <c r="B669" s="1956"/>
      <c r="C669" s="2027"/>
      <c r="D669" s="3233"/>
      <c r="E669" s="3233"/>
      <c r="F669" s="3233"/>
      <c r="G669" s="3233"/>
      <c r="H669" s="1956"/>
      <c r="I669" s="1978"/>
      <c r="J669" s="1979"/>
    </row>
    <row r="670" spans="1:10">
      <c r="A670" s="2022"/>
      <c r="B670" s="1956">
        <v>10</v>
      </c>
      <c r="C670" s="2027" t="s">
        <v>29</v>
      </c>
      <c r="D670" s="3233" t="s">
        <v>30</v>
      </c>
      <c r="E670" s="3233"/>
      <c r="F670" s="3233"/>
      <c r="G670" s="3233"/>
      <c r="H670" s="1956">
        <f>J667+J668</f>
        <v>67316.451239999995</v>
      </c>
      <c r="I670" s="1978"/>
      <c r="J670" s="1979">
        <f>ROUND(B670*H670/100,2)</f>
        <v>6731.65</v>
      </c>
    </row>
    <row r="671" spans="1:10">
      <c r="A671" s="2022"/>
      <c r="B671" s="1956"/>
      <c r="C671" s="2027"/>
      <c r="D671" s="3233"/>
      <c r="E671" s="3233"/>
      <c r="F671" s="3233"/>
      <c r="G671" s="3233"/>
      <c r="H671" s="1956"/>
      <c r="I671" s="1978"/>
      <c r="J671" s="1980"/>
    </row>
    <row r="672" spans="1:10">
      <c r="A672" s="2022"/>
      <c r="B672" s="1957">
        <v>1</v>
      </c>
      <c r="C672" s="2027" t="s">
        <v>66</v>
      </c>
      <c r="D672" s="3235" t="str">
        <f>CONCATENATE("TOTAL Cost for ",B672,"  ",C672,"  =  (A+B+C+D)",)</f>
        <v>TOTAL Cost for 1  MT  =  (A+B+C+D)</v>
      </c>
      <c r="E672" s="3235"/>
      <c r="F672" s="3235"/>
      <c r="G672" s="3235"/>
      <c r="H672" s="1956"/>
      <c r="I672" s="1956"/>
      <c r="J672" s="1979">
        <f>SUM(J667:J670)</f>
        <v>74048.101239999989</v>
      </c>
    </row>
    <row r="673" spans="1:12">
      <c r="A673" s="2022"/>
      <c r="B673" s="1956"/>
      <c r="C673" s="1956"/>
      <c r="D673" s="3237" t="str">
        <f>CONCATENATE("Rate per  1  ",C672)</f>
        <v>Rate per  1  MT</v>
      </c>
      <c r="E673" s="3237"/>
      <c r="F673" s="3237"/>
      <c r="G673" s="3237"/>
      <c r="H673" s="1956"/>
      <c r="I673" s="1956"/>
      <c r="J673" s="1975">
        <f>J672/B672</f>
        <v>74048.101239999989</v>
      </c>
    </row>
    <row r="674" spans="1:12">
      <c r="A674" s="2022"/>
      <c r="B674" s="1946"/>
      <c r="C674" s="1946"/>
      <c r="D674" s="3259" t="str">
        <f>D673</f>
        <v>Rate per  1  MT</v>
      </c>
      <c r="E674" s="3259"/>
      <c r="F674" s="3259"/>
      <c r="G674" s="3259"/>
      <c r="H674" s="1956"/>
      <c r="I674" s="1956"/>
      <c r="J674" s="1977">
        <f>ROUND(J673,0)</f>
        <v>74048</v>
      </c>
      <c r="K674" s="1930">
        <v>57086</v>
      </c>
    </row>
    <row r="675" spans="1:12" ht="137.25" customHeight="1">
      <c r="A675" s="1959"/>
      <c r="B675" s="3258" t="s">
        <v>197</v>
      </c>
      <c r="C675" s="3258"/>
      <c r="D675" s="3258"/>
      <c r="E675" s="3258"/>
      <c r="F675" s="3258"/>
      <c r="G675" s="3258"/>
      <c r="H675" s="3258"/>
      <c r="I675" s="3258"/>
      <c r="J675" s="3258"/>
    </row>
    <row r="676" spans="1:12">
      <c r="A676" s="2022"/>
      <c r="B676" s="1941"/>
      <c r="C676" s="1941"/>
      <c r="D676" s="3259" t="s">
        <v>198</v>
      </c>
      <c r="E676" s="3259"/>
      <c r="F676" s="3259"/>
      <c r="G676" s="3259"/>
      <c r="H676" s="1941"/>
      <c r="I676" s="1941"/>
      <c r="J676" s="1974"/>
    </row>
    <row r="677" spans="1:12">
      <c r="A677" s="2022"/>
      <c r="B677" s="1941"/>
      <c r="C677" s="1941"/>
      <c r="D677" s="3260" t="s">
        <v>186</v>
      </c>
      <c r="E677" s="3260"/>
      <c r="F677" s="3260"/>
      <c r="G677" s="3260"/>
      <c r="H677" s="1941"/>
      <c r="I677" s="1941"/>
      <c r="J677" s="1974"/>
    </row>
    <row r="678" spans="1:12">
      <c r="A678" s="2022"/>
      <c r="B678" s="1941"/>
      <c r="C678" s="1946"/>
      <c r="D678" s="3260" t="s">
        <v>187</v>
      </c>
      <c r="E678" s="3260"/>
      <c r="F678" s="3260"/>
      <c r="G678" s="3260"/>
      <c r="H678" s="1941"/>
      <c r="I678" s="1941"/>
      <c r="J678" s="1974"/>
    </row>
    <row r="679" spans="1:12">
      <c r="A679" s="2022"/>
      <c r="B679" s="1941"/>
      <c r="C679" s="1947"/>
      <c r="D679" s="3233" t="s">
        <v>12</v>
      </c>
      <c r="E679" s="3233"/>
      <c r="F679" s="3233"/>
      <c r="G679" s="3233"/>
      <c r="H679" s="1941"/>
      <c r="I679" s="1941"/>
      <c r="J679" s="1974"/>
    </row>
    <row r="680" spans="1:12">
      <c r="A680" s="2022"/>
      <c r="B680" s="1946">
        <v>0.44</v>
      </c>
      <c r="C680" s="2024" t="s">
        <v>13</v>
      </c>
      <c r="D680" s="3234" t="s">
        <v>14</v>
      </c>
      <c r="E680" s="3234"/>
      <c r="F680" s="3234"/>
      <c r="G680" s="3234"/>
      <c r="H680" s="1956">
        <f>'SSR-rates'!$H$58</f>
        <v>490</v>
      </c>
      <c r="I680" s="1946">
        <v>1</v>
      </c>
      <c r="J680" s="1975">
        <f>ROUND(B680*H680,2)</f>
        <v>215.6</v>
      </c>
      <c r="L680" s="1930">
        <v>0.44</v>
      </c>
    </row>
    <row r="681" spans="1:12">
      <c r="A681" s="2022"/>
      <c r="B681" s="1946">
        <v>3</v>
      </c>
      <c r="C681" s="2024" t="s">
        <v>13</v>
      </c>
      <c r="D681" s="3234" t="s">
        <v>188</v>
      </c>
      <c r="E681" s="3234"/>
      <c r="F681" s="3234"/>
      <c r="G681" s="3234"/>
      <c r="H681" s="1956">
        <f>'SSR-rates'!$H$92</f>
        <v>540</v>
      </c>
      <c r="I681" s="1946">
        <v>1</v>
      </c>
      <c r="J681" s="1975">
        <f>ROUND(B681*H681,2)</f>
        <v>1620</v>
      </c>
      <c r="L681" s="1930">
        <v>3</v>
      </c>
    </row>
    <row r="682" spans="1:12">
      <c r="A682" s="2022"/>
      <c r="B682" s="1946">
        <v>8</v>
      </c>
      <c r="C682" s="2024" t="s">
        <v>13</v>
      </c>
      <c r="D682" s="3234" t="s">
        <v>59</v>
      </c>
      <c r="E682" s="3234"/>
      <c r="F682" s="3234"/>
      <c r="G682" s="3234"/>
      <c r="H682" s="1956">
        <f>'SSR-rates'!$H$60</f>
        <v>490</v>
      </c>
      <c r="I682" s="1946">
        <v>1</v>
      </c>
      <c r="J682" s="1975">
        <f>ROUND(B682*H682,2)</f>
        <v>3920</v>
      </c>
      <c r="L682" s="1930">
        <v>8</v>
      </c>
    </row>
    <row r="683" spans="1:12" ht="15" customHeight="1">
      <c r="A683" s="2022"/>
      <c r="B683" s="1951">
        <f>'Input Data'!$D$23</f>
        <v>0</v>
      </c>
      <c r="C683" s="1937"/>
      <c r="D683" s="1930" t="s">
        <v>17</v>
      </c>
      <c r="F683" s="1933"/>
      <c r="G683" s="1933"/>
      <c r="H683" s="1950">
        <f>SUM(J682:J682)</f>
        <v>3920</v>
      </c>
      <c r="I683" s="1965"/>
      <c r="J683" s="1950">
        <f>B683*H683</f>
        <v>0</v>
      </c>
    </row>
    <row r="684" spans="1:12">
      <c r="A684" s="2022"/>
      <c r="B684" s="1946"/>
      <c r="C684" s="2025"/>
      <c r="D684" s="3235" t="s">
        <v>18</v>
      </c>
      <c r="E684" s="3235"/>
      <c r="F684" s="3235"/>
      <c r="G684" s="3235"/>
      <c r="H684" s="1946"/>
      <c r="I684" s="1976" t="s">
        <v>19</v>
      </c>
      <c r="J684" s="1977">
        <f>SUM(J680:J683)</f>
        <v>5755.6</v>
      </c>
    </row>
    <row r="685" spans="1:12">
      <c r="A685" s="2022"/>
      <c r="B685" s="1946"/>
      <c r="C685" s="2026"/>
      <c r="D685" s="3233" t="s">
        <v>189</v>
      </c>
      <c r="E685" s="3233"/>
      <c r="F685" s="3233"/>
      <c r="G685" s="3233"/>
      <c r="H685" s="1946"/>
      <c r="I685" s="1946"/>
      <c r="J685" s="1975"/>
    </row>
    <row r="686" spans="1:12" ht="42" customHeight="1">
      <c r="A686" s="2022"/>
      <c r="B686" s="1946">
        <v>1.05</v>
      </c>
      <c r="C686" s="2024" t="s">
        <v>66</v>
      </c>
      <c r="D686" s="3261" t="s">
        <v>199</v>
      </c>
      <c r="E686" s="3262"/>
      <c r="F686" s="3262"/>
      <c r="G686" s="3263"/>
      <c r="H686" s="1946">
        <f>lead!$J$37</f>
        <v>49000</v>
      </c>
      <c r="I686" s="1946">
        <v>1</v>
      </c>
      <c r="J686" s="1975">
        <f>ROUND(B686*H686,2)</f>
        <v>51450</v>
      </c>
    </row>
    <row r="687" spans="1:12">
      <c r="A687" s="2022"/>
      <c r="B687" s="1946">
        <v>8</v>
      </c>
      <c r="C687" s="2024" t="s">
        <v>191</v>
      </c>
      <c r="D687" s="3237" t="s">
        <v>196</v>
      </c>
      <c r="E687" s="3237"/>
      <c r="F687" s="3237"/>
      <c r="G687" s="3237"/>
      <c r="H687" s="1946">
        <f>'SSR-rates'!$H$93</f>
        <v>66</v>
      </c>
      <c r="I687" s="1946">
        <v>1</v>
      </c>
      <c r="J687" s="1975">
        <f>H687*B687</f>
        <v>528</v>
      </c>
    </row>
    <row r="688" spans="1:12">
      <c r="A688" s="2022"/>
      <c r="B688" s="1946"/>
      <c r="C688" s="2025"/>
      <c r="D688" s="3235" t="s">
        <v>18</v>
      </c>
      <c r="E688" s="3235"/>
      <c r="F688" s="3235"/>
      <c r="G688" s="3235"/>
      <c r="H688" s="1946"/>
      <c r="I688" s="1976" t="s">
        <v>25</v>
      </c>
      <c r="J688" s="1977">
        <f>SUM(J686:J687)</f>
        <v>51978</v>
      </c>
    </row>
    <row r="689" spans="1:11">
      <c r="A689" s="2022"/>
      <c r="B689" s="1956"/>
      <c r="C689" s="2027"/>
      <c r="D689" s="3233" t="s">
        <v>26</v>
      </c>
      <c r="E689" s="3233"/>
      <c r="F689" s="3233"/>
      <c r="G689" s="3233"/>
      <c r="H689" s="1956"/>
      <c r="I689" s="2038"/>
      <c r="J689" s="1980">
        <f>J684+J688</f>
        <v>57733.599999999999</v>
      </c>
    </row>
    <row r="690" spans="1:11">
      <c r="A690" s="2022"/>
      <c r="B690" s="1955">
        <f>'Input Data'!$D$25</f>
        <v>0.19614999999999999</v>
      </c>
      <c r="C690" s="2027"/>
      <c r="D690" s="3233" t="s">
        <v>193</v>
      </c>
      <c r="E690" s="3233"/>
      <c r="F690" s="3233"/>
      <c r="G690" s="3233"/>
      <c r="H690" s="1956">
        <f>J689</f>
        <v>57733.599999999999</v>
      </c>
      <c r="I690" s="1978"/>
      <c r="J690" s="1979">
        <f>H690*B690</f>
        <v>11324.44564</v>
      </c>
    </row>
    <row r="691" spans="1:11">
      <c r="A691" s="2022"/>
      <c r="B691" s="1956"/>
      <c r="C691" s="2027"/>
      <c r="D691" s="3233"/>
      <c r="E691" s="3233"/>
      <c r="F691" s="3233"/>
      <c r="G691" s="3233"/>
      <c r="H691" s="1956"/>
      <c r="I691" s="1978"/>
      <c r="J691" s="1979"/>
    </row>
    <row r="692" spans="1:11">
      <c r="A692" s="2022"/>
      <c r="B692" s="1956">
        <v>10</v>
      </c>
      <c r="C692" s="2027" t="s">
        <v>29</v>
      </c>
      <c r="D692" s="3233" t="s">
        <v>30</v>
      </c>
      <c r="E692" s="3233"/>
      <c r="F692" s="3233"/>
      <c r="G692" s="3233"/>
      <c r="H692" s="1956">
        <f>J689+J690</f>
        <v>69058.045639999997</v>
      </c>
      <c r="I692" s="1978"/>
      <c r="J692" s="1979">
        <f>ROUND(B692*H692/100,2)</f>
        <v>6905.8</v>
      </c>
    </row>
    <row r="693" spans="1:11">
      <c r="A693" s="2022"/>
      <c r="B693" s="1956"/>
      <c r="C693" s="2027"/>
      <c r="D693" s="3233"/>
      <c r="E693" s="3233"/>
      <c r="F693" s="3233"/>
      <c r="G693" s="3233"/>
      <c r="H693" s="1956"/>
      <c r="I693" s="1978"/>
      <c r="J693" s="1980"/>
    </row>
    <row r="694" spans="1:11">
      <c r="A694" s="2022"/>
      <c r="B694" s="1957">
        <v>1</v>
      </c>
      <c r="C694" s="2027" t="s">
        <v>66</v>
      </c>
      <c r="D694" s="3235" t="str">
        <f>CONCATENATE("TOTAL Cost for ",B694,"  ",C694,"  =  (A+B+C+D)",)</f>
        <v>TOTAL Cost for 1  MT  =  (A+B+C+D)</v>
      </c>
      <c r="E694" s="3235"/>
      <c r="F694" s="3235"/>
      <c r="G694" s="3235"/>
      <c r="H694" s="1956"/>
      <c r="I694" s="1956"/>
      <c r="J694" s="1979">
        <f>SUM(J689:J692)</f>
        <v>75963.84564</v>
      </c>
    </row>
    <row r="695" spans="1:11">
      <c r="A695" s="2022"/>
      <c r="B695" s="1956"/>
      <c r="C695" s="1956"/>
      <c r="D695" s="3237" t="str">
        <f>CONCATENATE("Rate per  1  ",C694)</f>
        <v>Rate per  1  MT</v>
      </c>
      <c r="E695" s="3237"/>
      <c r="F695" s="3237"/>
      <c r="G695" s="3237"/>
      <c r="H695" s="1956"/>
      <c r="I695" s="1956"/>
      <c r="J695" s="1975">
        <f>J694/B694</f>
        <v>75963.84564</v>
      </c>
    </row>
    <row r="696" spans="1:11">
      <c r="A696" s="2022"/>
      <c r="B696" s="1946"/>
      <c r="C696" s="1946"/>
      <c r="D696" s="3259" t="str">
        <f>D695</f>
        <v>Rate per  1  MT</v>
      </c>
      <c r="E696" s="3259"/>
      <c r="F696" s="3259"/>
      <c r="G696" s="3259"/>
      <c r="H696" s="1956"/>
      <c r="I696" s="1956"/>
      <c r="J696" s="1977">
        <f>ROUND(J695,0)</f>
        <v>75964</v>
      </c>
      <c r="K696" s="1930">
        <v>58243</v>
      </c>
    </row>
    <row r="697" spans="1:11">
      <c r="A697" s="2022"/>
      <c r="B697" s="2029"/>
      <c r="C697" s="2030"/>
      <c r="D697" s="2031"/>
      <c r="E697" s="2031"/>
      <c r="F697" s="2031"/>
      <c r="G697" s="2031"/>
      <c r="H697" s="2032"/>
      <c r="I697" s="2032"/>
      <c r="J697" s="2039"/>
    </row>
    <row r="698" spans="1:11" s="1931" customFormat="1" ht="108" customHeight="1">
      <c r="A698" s="2033"/>
      <c r="B698" s="3264" t="s">
        <v>200</v>
      </c>
      <c r="C698" s="3265"/>
      <c r="D698" s="3265"/>
      <c r="E698" s="3265"/>
      <c r="F698" s="3265"/>
      <c r="G698" s="3265"/>
      <c r="H698" s="3265"/>
      <c r="I698" s="3265"/>
      <c r="J698" s="3266"/>
    </row>
    <row r="699" spans="1:11" s="1931" customFormat="1" ht="15.6">
      <c r="A699" s="2034"/>
      <c r="B699" s="2035"/>
      <c r="C699" s="2035"/>
      <c r="D699" s="3267" t="s">
        <v>201</v>
      </c>
      <c r="E699" s="3267"/>
      <c r="F699" s="3267"/>
      <c r="G699" s="2036"/>
      <c r="I699" s="2040" t="s">
        <v>202</v>
      </c>
      <c r="J699" s="2041">
        <v>257</v>
      </c>
    </row>
    <row r="700" spans="1:11" s="1931" customFormat="1" ht="15.6">
      <c r="A700" s="2034"/>
      <c r="B700" s="2035"/>
      <c r="C700" s="2035"/>
      <c r="D700" s="3268" t="s">
        <v>203</v>
      </c>
      <c r="E700" s="3268"/>
      <c r="F700" s="3268"/>
      <c r="G700" s="2037"/>
      <c r="I700" s="2035"/>
      <c r="J700" s="2042"/>
    </row>
    <row r="701" spans="1:11" ht="123" customHeight="1">
      <c r="A701" s="2008">
        <v>17</v>
      </c>
      <c r="B701" s="3238" t="s">
        <v>204</v>
      </c>
      <c r="C701" s="3238"/>
      <c r="D701" s="3238"/>
      <c r="E701" s="3238"/>
      <c r="F701" s="3238"/>
      <c r="G701" s="3238"/>
      <c r="H701" s="3238"/>
      <c r="I701" s="3238"/>
      <c r="J701" s="3238"/>
    </row>
    <row r="702" spans="1:11">
      <c r="B702" s="3239" t="s">
        <v>33</v>
      </c>
      <c r="C702" s="3239"/>
      <c r="D702" s="1961"/>
      <c r="E702" s="1961"/>
      <c r="F702" s="1961"/>
      <c r="G702" s="1961"/>
      <c r="H702" s="1963"/>
      <c r="I702" s="1963"/>
      <c r="J702" s="1963"/>
    </row>
    <row r="703" spans="1:11" ht="16.5" customHeight="1">
      <c r="B703" s="3239" t="s">
        <v>205</v>
      </c>
      <c r="C703" s="3239"/>
      <c r="D703" s="3239"/>
      <c r="E703" s="3239"/>
      <c r="F703" s="1962" t="s">
        <v>206</v>
      </c>
      <c r="G703" s="1961"/>
      <c r="H703" s="1963"/>
      <c r="I703" s="1963"/>
      <c r="J703" s="1963"/>
    </row>
    <row r="704" spans="1:11" ht="16.5" customHeight="1">
      <c r="B704" s="1964" t="s">
        <v>36</v>
      </c>
      <c r="C704" s="1962" t="s">
        <v>37</v>
      </c>
      <c r="D704" s="1961"/>
      <c r="E704" s="1961"/>
      <c r="F704" s="1961"/>
      <c r="G704" s="1961"/>
      <c r="H704" s="1963"/>
      <c r="I704" s="1963"/>
      <c r="J704" s="1963"/>
    </row>
    <row r="705" spans="1:15" ht="18.75" customHeight="1">
      <c r="B705" s="1954">
        <v>0.04</v>
      </c>
      <c r="C705" s="1937" t="s">
        <v>38</v>
      </c>
      <c r="D705" s="1933" t="s">
        <v>14</v>
      </c>
      <c r="F705" s="1933"/>
      <c r="G705" s="1933"/>
      <c r="H705" s="1950">
        <f>'SSR-rates'!$H$58</f>
        <v>490</v>
      </c>
      <c r="I705" s="1965" t="s">
        <v>38</v>
      </c>
      <c r="J705" s="1950">
        <f>ROUND(B705*H705,2)</f>
        <v>19.600000000000001</v>
      </c>
    </row>
    <row r="706" spans="1:15" ht="18.75" customHeight="1">
      <c r="B706" s="1954">
        <v>1</v>
      </c>
      <c r="C706" s="1937" t="s">
        <v>38</v>
      </c>
      <c r="D706" s="1933" t="s">
        <v>16</v>
      </c>
      <c r="F706" s="1933"/>
      <c r="G706" s="1933"/>
      <c r="H706" s="1950">
        <f>'SSR-rates'!$H$60</f>
        <v>490</v>
      </c>
      <c r="I706" s="1965" t="s">
        <v>38</v>
      </c>
      <c r="J706" s="1950">
        <f>ROUND(B706*H706,2)</f>
        <v>490</v>
      </c>
    </row>
    <row r="707" spans="1:15">
      <c r="B707" s="1951">
        <f>'Input Data'!$D$23</f>
        <v>0</v>
      </c>
      <c r="C707" s="1937"/>
      <c r="D707" s="1930" t="s">
        <v>17</v>
      </c>
      <c r="F707" s="1933"/>
      <c r="G707" s="1933"/>
      <c r="H707" s="1950"/>
      <c r="I707" s="1965"/>
      <c r="J707" s="1950">
        <f>(J705+J706)*B707/100</f>
        <v>0</v>
      </c>
    </row>
    <row r="708" spans="1:15">
      <c r="B708" s="1954"/>
      <c r="C708" s="1937"/>
      <c r="D708" s="1933"/>
      <c r="E708" s="1933"/>
      <c r="F708" s="1933"/>
      <c r="G708" s="1933"/>
      <c r="H708" s="1950"/>
      <c r="I708" s="1965"/>
      <c r="J708" s="1950">
        <f>SUM(J705:J707)</f>
        <v>509.6</v>
      </c>
      <c r="O708" s="1930">
        <f>160*5</f>
        <v>800</v>
      </c>
    </row>
    <row r="709" spans="1:15">
      <c r="B709" s="1964" t="s">
        <v>39</v>
      </c>
      <c r="C709" s="1962" t="s">
        <v>40</v>
      </c>
      <c r="F709" s="1933"/>
      <c r="G709" s="1933"/>
      <c r="H709" s="1933"/>
      <c r="I709" s="1933"/>
      <c r="J709" s="1930"/>
    </row>
    <row r="710" spans="1:15">
      <c r="A710" s="1962"/>
      <c r="B710" s="1966">
        <v>100</v>
      </c>
      <c r="C710" s="1967" t="s">
        <v>31</v>
      </c>
      <c r="D710" s="3243" t="s">
        <v>43</v>
      </c>
      <c r="E710" s="3243"/>
      <c r="F710" s="3243"/>
      <c r="G710" s="3243"/>
      <c r="H710" s="1968">
        <v>13</v>
      </c>
      <c r="I710" s="1968" t="s">
        <v>31</v>
      </c>
      <c r="J710" s="1968">
        <f>ROUND(B710*H710,2)</f>
        <v>1300</v>
      </c>
    </row>
    <row r="711" spans="1:15">
      <c r="A711" s="1962"/>
      <c r="B711" s="1954">
        <v>800</v>
      </c>
      <c r="C711" s="1937" t="s">
        <v>207</v>
      </c>
      <c r="D711" s="1933" t="s">
        <v>208</v>
      </c>
      <c r="F711" s="1933"/>
      <c r="G711" s="1933"/>
      <c r="H711" s="1950">
        <f>'SSR-rates'!H89</f>
        <v>1142.5999999999999</v>
      </c>
      <c r="I711" s="1950" t="s">
        <v>207</v>
      </c>
      <c r="J711" s="1950">
        <f>ROUND(B711*H711,2)</f>
        <v>914080</v>
      </c>
      <c r="M711" s="1930" t="s">
        <v>209</v>
      </c>
    </row>
    <row r="712" spans="1:15">
      <c r="A712" s="1962"/>
      <c r="B712" s="1954"/>
      <c r="C712" s="1937"/>
      <c r="D712" s="3243" t="s">
        <v>210</v>
      </c>
      <c r="E712" s="3243"/>
      <c r="F712" s="3243"/>
      <c r="G712" s="3243"/>
      <c r="H712" s="1968"/>
      <c r="I712" s="1950"/>
      <c r="J712" s="1950">
        <f>ROUND(J711*10/100,2)</f>
        <v>91408</v>
      </c>
    </row>
    <row r="713" spans="1:15">
      <c r="B713" s="1966">
        <v>0.5</v>
      </c>
      <c r="C713" s="1967" t="s">
        <v>41</v>
      </c>
      <c r="D713" s="3243" t="s">
        <v>211</v>
      </c>
      <c r="E713" s="3243"/>
      <c r="F713" s="3243"/>
      <c r="G713" s="3243"/>
      <c r="H713" s="1968">
        <f>'SSR-rates'!$H$62</f>
        <v>2956.9</v>
      </c>
      <c r="I713" s="1968" t="s">
        <v>31</v>
      </c>
      <c r="J713" s="1968">
        <f>ROUND(B713*H713,2)</f>
        <v>1478.45</v>
      </c>
    </row>
    <row r="714" spans="1:15" ht="18.75" customHeight="1">
      <c r="B714" s="1966">
        <v>1</v>
      </c>
      <c r="C714" s="1967" t="s">
        <v>41</v>
      </c>
      <c r="D714" s="3243" t="s">
        <v>212</v>
      </c>
      <c r="E714" s="3243"/>
      <c r="F714" s="3243"/>
      <c r="G714" s="3243"/>
      <c r="H714" s="1968">
        <f>'SSR-rates'!$H$63</f>
        <v>3602</v>
      </c>
      <c r="I714" s="1968" t="s">
        <v>41</v>
      </c>
      <c r="J714" s="1968">
        <f>ROUND(B714*H714,2)</f>
        <v>3602</v>
      </c>
    </row>
    <row r="715" spans="1:15" ht="24.75" customHeight="1">
      <c r="B715" s="1954">
        <v>4</v>
      </c>
      <c r="C715" s="1937" t="s">
        <v>41</v>
      </c>
      <c r="D715" s="1933" t="s">
        <v>213</v>
      </c>
      <c r="F715" s="1933"/>
      <c r="G715" s="1933"/>
      <c r="H715" s="1950">
        <f>'SSR-rates'!$H$69</f>
        <v>699</v>
      </c>
      <c r="I715" s="1950" t="s">
        <v>41</v>
      </c>
      <c r="J715" s="1950">
        <f>ROUND(B715*H715,2)</f>
        <v>2796</v>
      </c>
    </row>
    <row r="716" spans="1:15" ht="17.25" customHeight="1">
      <c r="B716" s="1954">
        <v>1</v>
      </c>
      <c r="C716" s="1937" t="s">
        <v>41</v>
      </c>
      <c r="D716" s="1933" t="s">
        <v>214</v>
      </c>
      <c r="F716" s="1933"/>
      <c r="G716" s="1933"/>
      <c r="H716" s="1950">
        <f>'SSR-rates'!$H$67</f>
        <v>3292.4</v>
      </c>
      <c r="I716" s="1950" t="s">
        <v>41</v>
      </c>
      <c r="J716" s="1950">
        <f>ROUND(B716*H716,2)</f>
        <v>3292.4</v>
      </c>
    </row>
    <row r="717" spans="1:15" ht="16.5" customHeight="1">
      <c r="B717" s="1954"/>
      <c r="C717" s="1937"/>
      <c r="D717" s="1933"/>
      <c r="F717" s="1933"/>
      <c r="G717" s="1933"/>
      <c r="H717" s="1950"/>
      <c r="I717" s="1950"/>
      <c r="J717" s="1950">
        <f>SUM(J710:J716)</f>
        <v>1017956.85</v>
      </c>
    </row>
    <row r="718" spans="1:15">
      <c r="B718" s="1964" t="s">
        <v>27</v>
      </c>
      <c r="C718" s="1962" t="s">
        <v>44</v>
      </c>
      <c r="J718" s="1930"/>
    </row>
    <row r="719" spans="1:15">
      <c r="B719" s="2043">
        <f>'Input Data'!$D$24</f>
        <v>0.13614999999999999</v>
      </c>
      <c r="C719" s="1962" t="str">
        <f>"Over head charges "&amp;'Input Data'!$D$24*100&amp;"%  on (A) + (B)"</f>
        <v>Over head charges 13.615%  on (A) + (B)</v>
      </c>
      <c r="H719" s="1936">
        <f>J717+J708</f>
        <v>1018466.45</v>
      </c>
      <c r="J719" s="1950">
        <f>H719*B719</f>
        <v>138664.20716749999</v>
      </c>
    </row>
    <row r="720" spans="1:15">
      <c r="B720" s="1964" t="s">
        <v>45</v>
      </c>
      <c r="C720" s="1962" t="s">
        <v>46</v>
      </c>
      <c r="F720" s="1933"/>
      <c r="G720" s="1933"/>
      <c r="H720" s="1933"/>
      <c r="I720" s="1933"/>
      <c r="J720" s="1990">
        <f>J708+J717+J719</f>
        <v>1157130.6571674999</v>
      </c>
    </row>
    <row r="721" spans="1:11">
      <c r="B721" s="1964" t="s">
        <v>47</v>
      </c>
      <c r="C721" s="1962" t="s">
        <v>48</v>
      </c>
      <c r="D721" s="1933"/>
      <c r="F721" s="1933"/>
      <c r="G721" s="1933"/>
      <c r="H721" s="1933"/>
      <c r="I721" s="1933"/>
      <c r="J721" s="1990">
        <f>J720*10/100</f>
        <v>115713.06571674999</v>
      </c>
    </row>
    <row r="722" spans="1:11">
      <c r="B722" s="1933"/>
      <c r="C722" s="1962" t="s">
        <v>215</v>
      </c>
      <c r="D722" s="1933"/>
      <c r="F722" s="1933"/>
      <c r="G722" s="1933"/>
      <c r="H722" s="1933"/>
      <c r="I722" s="1933"/>
      <c r="J722" s="1990">
        <f>SUM(J720:J721)</f>
        <v>1272843.7228842499</v>
      </c>
    </row>
    <row r="723" spans="1:11">
      <c r="B723" s="1933"/>
      <c r="C723" s="1933" t="s">
        <v>216</v>
      </c>
      <c r="D723" s="1933"/>
      <c r="F723" s="1933"/>
      <c r="G723" s="1933"/>
      <c r="H723" s="1933"/>
      <c r="I723" s="1933"/>
      <c r="J723" s="1950">
        <f>J722/100</f>
        <v>12728.437228842498</v>
      </c>
    </row>
    <row r="724" spans="1:11">
      <c r="B724" s="1937"/>
      <c r="C724" s="3269" t="s">
        <v>217</v>
      </c>
      <c r="D724" s="3270"/>
      <c r="E724" s="3270"/>
      <c r="F724" s="3271"/>
      <c r="G724" s="1936"/>
      <c r="H724" s="1954"/>
      <c r="I724" s="1936"/>
      <c r="J724" s="1991">
        <f>ROUND(J723,0)</f>
        <v>12728</v>
      </c>
      <c r="K724" s="1930">
        <v>204</v>
      </c>
    </row>
    <row r="725" spans="1:11">
      <c r="B725" s="1937"/>
      <c r="C725" s="1936"/>
      <c r="D725" s="2009"/>
      <c r="F725" s="1936"/>
      <c r="G725" s="1936"/>
      <c r="H725" s="1954"/>
      <c r="I725" s="1936"/>
      <c r="J725" s="2019" t="s">
        <v>53</v>
      </c>
    </row>
    <row r="726" spans="1:11" ht="125.25" customHeight="1">
      <c r="A726" s="1959">
        <v>19</v>
      </c>
      <c r="B726" s="3238" t="s">
        <v>218</v>
      </c>
      <c r="C726" s="3238"/>
      <c r="D726" s="3238"/>
      <c r="E726" s="3238"/>
      <c r="F726" s="3238"/>
      <c r="G726" s="3238"/>
      <c r="H726" s="3238"/>
      <c r="I726" s="3238"/>
      <c r="J726" s="3238"/>
    </row>
    <row r="727" spans="1:11">
      <c r="D727" s="1936" t="s">
        <v>219</v>
      </c>
      <c r="F727" s="1962" t="s">
        <v>220</v>
      </c>
      <c r="J727" s="1930"/>
    </row>
    <row r="728" spans="1:11">
      <c r="D728" s="1936" t="s">
        <v>221</v>
      </c>
      <c r="J728" s="1930"/>
    </row>
    <row r="729" spans="1:11">
      <c r="B729" s="1964" t="s">
        <v>36</v>
      </c>
      <c r="C729" s="1971" t="s">
        <v>37</v>
      </c>
      <c r="J729" s="1930"/>
    </row>
    <row r="730" spans="1:11">
      <c r="B730" s="1954">
        <v>0.04</v>
      </c>
      <c r="C730" s="1933" t="s">
        <v>57</v>
      </c>
      <c r="D730" s="1936" t="s">
        <v>156</v>
      </c>
      <c r="H730" s="1950">
        <f>'SSR-rates'!H$58</f>
        <v>490</v>
      </c>
      <c r="I730" s="1965" t="s">
        <v>38</v>
      </c>
      <c r="J730" s="1954">
        <f>ROUND(B730*H730,2)</f>
        <v>19.600000000000001</v>
      </c>
    </row>
    <row r="731" spans="1:11">
      <c r="B731" s="1954">
        <v>0</v>
      </c>
      <c r="C731" s="1933" t="s">
        <v>57</v>
      </c>
      <c r="D731" s="1936" t="s">
        <v>58</v>
      </c>
      <c r="H731" s="1950">
        <f>'SSR-rates'!H$58</f>
        <v>490</v>
      </c>
      <c r="I731" s="1965" t="s">
        <v>38</v>
      </c>
      <c r="J731" s="1954">
        <f>ROUND(B731*H731,2)</f>
        <v>0</v>
      </c>
    </row>
    <row r="732" spans="1:11">
      <c r="B732" s="1954">
        <v>1</v>
      </c>
      <c r="C732" s="1933" t="s">
        <v>57</v>
      </c>
      <c r="D732" s="1936" t="s">
        <v>59</v>
      </c>
      <c r="H732" s="1950">
        <f>'SSR-rates'!H$60</f>
        <v>490</v>
      </c>
      <c r="I732" s="1965" t="s">
        <v>38</v>
      </c>
      <c r="J732" s="1954">
        <f>ROUND(B732*H732,2)</f>
        <v>490</v>
      </c>
    </row>
    <row r="733" spans="1:11">
      <c r="A733" s="1962"/>
      <c r="B733" s="1951">
        <v>0</v>
      </c>
      <c r="C733" s="1937"/>
      <c r="D733" s="1930" t="s">
        <v>17</v>
      </c>
      <c r="F733" s="1933"/>
      <c r="G733" s="1933"/>
      <c r="H733" s="1950">
        <f>SUM(J730:J732)</f>
        <v>509.6</v>
      </c>
      <c r="I733" s="1965"/>
      <c r="J733" s="1950">
        <f>B733*H733</f>
        <v>0</v>
      </c>
    </row>
    <row r="734" spans="1:11">
      <c r="B734" s="1954"/>
      <c r="C734" s="1933"/>
      <c r="D734" s="1936" t="s">
        <v>60</v>
      </c>
      <c r="H734" s="1950"/>
      <c r="I734" s="1950"/>
      <c r="J734" s="1954">
        <f>SUM(J730:J733)</f>
        <v>509.6</v>
      </c>
    </row>
    <row r="735" spans="1:11">
      <c r="B735" s="1964" t="s">
        <v>39</v>
      </c>
      <c r="C735" s="1971" t="s">
        <v>61</v>
      </c>
      <c r="H735" s="1950"/>
      <c r="I735" s="1950"/>
      <c r="J735" s="1950"/>
    </row>
    <row r="736" spans="1:11">
      <c r="B736" s="1954">
        <v>0.28000000000000003</v>
      </c>
      <c r="C736" s="1933" t="s">
        <v>31</v>
      </c>
      <c r="D736" s="1930" t="s">
        <v>222</v>
      </c>
      <c r="H736" s="1950">
        <f>J674</f>
        <v>74048</v>
      </c>
      <c r="I736" s="1950" t="s">
        <v>31</v>
      </c>
      <c r="J736" s="1950">
        <f>ROUND(B736*H736,2)</f>
        <v>20733.439999999999</v>
      </c>
    </row>
    <row r="737" spans="1:10">
      <c r="B737" s="1954">
        <v>0.32</v>
      </c>
      <c r="C737" s="1933" t="s">
        <v>31</v>
      </c>
      <c r="D737" s="1930" t="s">
        <v>223</v>
      </c>
      <c r="H737" s="1950">
        <v>991</v>
      </c>
      <c r="I737" s="1950" t="s">
        <v>31</v>
      </c>
      <c r="J737" s="1950">
        <f>ROUND(B737*H737,2)</f>
        <v>317.12</v>
      </c>
    </row>
    <row r="738" spans="1:10">
      <c r="B738" s="1936"/>
      <c r="D738" s="1936" t="s">
        <v>60</v>
      </c>
      <c r="H738" s="1950"/>
      <c r="I738" s="1950"/>
      <c r="J738" s="1950">
        <f>SUM(J736:J737)</f>
        <v>21050.559999999998</v>
      </c>
    </row>
    <row r="739" spans="1:10">
      <c r="B739" s="1964" t="s">
        <v>27</v>
      </c>
      <c r="C739" s="1971" t="s">
        <v>40</v>
      </c>
      <c r="H739" s="1950"/>
      <c r="I739" s="1950"/>
      <c r="J739" s="1950"/>
    </row>
    <row r="740" spans="1:10">
      <c r="B740" s="1954">
        <v>0</v>
      </c>
      <c r="C740" s="1933" t="s">
        <v>41</v>
      </c>
      <c r="D740" s="1930" t="s">
        <v>68</v>
      </c>
      <c r="H740" s="1950">
        <f>'SSR-rates'!$H$88</f>
        <v>627.6</v>
      </c>
      <c r="I740" s="1950" t="s">
        <v>41</v>
      </c>
      <c r="J740" s="1950">
        <f>ROUND(B740*H740,2)</f>
        <v>0</v>
      </c>
    </row>
    <row r="741" spans="1:10">
      <c r="B741" s="1954">
        <v>0</v>
      </c>
      <c r="C741" s="1933" t="s">
        <v>41</v>
      </c>
      <c r="D741" s="1930" t="s">
        <v>224</v>
      </c>
      <c r="H741" s="1950">
        <f>'SSR-rates'!$H$87</f>
        <v>1237.4000000000001</v>
      </c>
      <c r="I741" s="1950" t="s">
        <v>41</v>
      </c>
      <c r="J741" s="1950">
        <f>ROUND(B741*H741,2)</f>
        <v>0</v>
      </c>
    </row>
    <row r="742" spans="1:10">
      <c r="B742" s="1954"/>
      <c r="C742" s="1937"/>
      <c r="D742" s="1936" t="s">
        <v>60</v>
      </c>
      <c r="H742" s="1950"/>
      <c r="I742" s="1950"/>
      <c r="J742" s="1950">
        <f>SUM(J740:J741)</f>
        <v>0</v>
      </c>
    </row>
    <row r="743" spans="1:10">
      <c r="B743" s="1964" t="s">
        <v>45</v>
      </c>
      <c r="C743" s="1971" t="s">
        <v>71</v>
      </c>
      <c r="H743" s="1950"/>
      <c r="I743" s="1950"/>
      <c r="J743" s="1950"/>
    </row>
    <row r="744" spans="1:10">
      <c r="B744" s="1936">
        <v>2</v>
      </c>
      <c r="C744" s="1933" t="s">
        <v>29</v>
      </c>
      <c r="D744" s="1930" t="s">
        <v>181</v>
      </c>
      <c r="H744" s="1950">
        <f>J734+J738+J742</f>
        <v>21560.159999999996</v>
      </c>
      <c r="I744" s="1965" t="s">
        <v>73</v>
      </c>
      <c r="J744" s="1950">
        <f>ROUND(B744*H744/100,2)</f>
        <v>431.2</v>
      </c>
    </row>
    <row r="745" spans="1:10">
      <c r="A745" s="1962"/>
      <c r="B745" s="1964" t="s">
        <v>47</v>
      </c>
      <c r="C745" s="1962" t="s">
        <v>74</v>
      </c>
      <c r="F745" s="1933"/>
      <c r="G745" s="1933"/>
      <c r="H745" s="1933"/>
      <c r="I745" s="1933"/>
      <c r="J745" s="1990"/>
    </row>
    <row r="746" spans="1:10" ht="27" customHeight="1">
      <c r="A746" s="1962"/>
      <c r="B746" s="1955">
        <f>'Input Data'!$D$25</f>
        <v>0.19614999999999999</v>
      </c>
      <c r="C746" s="3247">
        <v>0</v>
      </c>
      <c r="D746" s="3248"/>
      <c r="E746" s="3248"/>
      <c r="F746" s="3248"/>
      <c r="G746" s="3249"/>
      <c r="H746" s="1937">
        <f>J744+J742+J738+J734</f>
        <v>21991.359999999997</v>
      </c>
      <c r="I746" s="1933"/>
      <c r="J746" s="1950">
        <f>H746*B746</f>
        <v>4313.6052639999989</v>
      </c>
    </row>
    <row r="747" spans="1:10">
      <c r="A747" s="1962"/>
      <c r="B747" s="1964" t="s">
        <v>76</v>
      </c>
      <c r="C747" s="1962" t="s">
        <v>77</v>
      </c>
      <c r="F747" s="1933"/>
      <c r="G747" s="1933"/>
      <c r="H747" s="1933"/>
      <c r="I747" s="1933"/>
      <c r="J747" s="1990">
        <f>J734+J738+J742+J744+J746</f>
        <v>26304.965263999995</v>
      </c>
    </row>
    <row r="748" spans="1:10">
      <c r="A748" s="1962"/>
      <c r="B748" s="1964" t="s">
        <v>78</v>
      </c>
      <c r="C748" s="1962" t="s">
        <v>79</v>
      </c>
      <c r="F748" s="1933"/>
      <c r="G748" s="1933"/>
      <c r="H748" s="1933"/>
      <c r="I748" s="1933"/>
      <c r="J748" s="1990">
        <f>J747*10/100</f>
        <v>2630.4965263999993</v>
      </c>
    </row>
    <row r="749" spans="1:10">
      <c r="A749" s="1962"/>
      <c r="B749" s="1964">
        <v>3</v>
      </c>
      <c r="C749" s="1962"/>
      <c r="F749" s="1933"/>
      <c r="G749" s="1933"/>
      <c r="H749" s="1937">
        <f>J1166</f>
        <v>7964</v>
      </c>
      <c r="I749" s="1933"/>
      <c r="J749" s="1950">
        <f>ROUND(B749*H749,2)</f>
        <v>23892</v>
      </c>
    </row>
    <row r="750" spans="1:10">
      <c r="B750" s="1954"/>
      <c r="C750" s="1933"/>
      <c r="D750" s="1971" t="s">
        <v>80</v>
      </c>
      <c r="H750" s="1950"/>
      <c r="I750" s="1950"/>
      <c r="J750" s="1990">
        <f>SUM(J747:J748)+J749</f>
        <v>52827.46179039999</v>
      </c>
    </row>
    <row r="751" spans="1:10">
      <c r="B751" s="1954"/>
      <c r="C751" s="1933"/>
      <c r="D751" s="1936" t="s">
        <v>225</v>
      </c>
      <c r="H751" s="1950"/>
      <c r="I751" s="1950"/>
      <c r="J751" s="1950">
        <f>ROUND(J750/10,2)</f>
        <v>5282.75</v>
      </c>
    </row>
    <row r="752" spans="1:10">
      <c r="D752" s="1936" t="s">
        <v>52</v>
      </c>
      <c r="H752" s="1950"/>
      <c r="I752" s="1950"/>
      <c r="J752" s="1991">
        <f>ROUND(J751,0)</f>
        <v>5283</v>
      </c>
    </row>
    <row r="753" spans="1:10">
      <c r="D753" s="1936"/>
      <c r="H753" s="1950"/>
      <c r="I753" s="1950"/>
      <c r="J753" s="1990" t="s">
        <v>226</v>
      </c>
    </row>
    <row r="754" spans="1:10" ht="89.25" customHeight="1">
      <c r="A754" s="2008">
        <v>21</v>
      </c>
      <c r="B754" s="3238" t="s">
        <v>227</v>
      </c>
      <c r="C754" s="3238"/>
      <c r="D754" s="3238"/>
      <c r="E754" s="3238"/>
      <c r="F754" s="3238"/>
      <c r="G754" s="3238"/>
      <c r="H754" s="3238"/>
      <c r="I754" s="3238"/>
      <c r="J754" s="3238"/>
    </row>
    <row r="755" spans="1:10">
      <c r="D755" s="1936" t="s">
        <v>10</v>
      </c>
      <c r="F755" s="1962" t="s">
        <v>228</v>
      </c>
      <c r="J755" s="1930"/>
    </row>
    <row r="756" spans="1:10">
      <c r="D756" s="1936" t="s">
        <v>56</v>
      </c>
      <c r="J756" s="1930"/>
    </row>
    <row r="757" spans="1:10">
      <c r="B757" s="1964" t="s">
        <v>36</v>
      </c>
      <c r="C757" s="1971" t="s">
        <v>37</v>
      </c>
      <c r="J757" s="1930"/>
    </row>
    <row r="758" spans="1:10">
      <c r="B758" s="1954">
        <v>0.64</v>
      </c>
      <c r="C758" s="1933" t="s">
        <v>57</v>
      </c>
      <c r="D758" s="1936" t="s">
        <v>156</v>
      </c>
      <c r="H758" s="1950">
        <f>'SSR-rates'!H$58</f>
        <v>490</v>
      </c>
      <c r="I758" s="1965" t="s">
        <v>38</v>
      </c>
      <c r="J758" s="1954">
        <f>ROUND(B758*H758,2)</f>
        <v>313.60000000000002</v>
      </c>
    </row>
    <row r="759" spans="1:10">
      <c r="B759" s="1954">
        <v>1</v>
      </c>
      <c r="C759" s="1933" t="s">
        <v>57</v>
      </c>
      <c r="D759" s="1936" t="s">
        <v>58</v>
      </c>
      <c r="H759" s="1950">
        <f>'SSR-rates'!H$96</f>
        <v>515</v>
      </c>
      <c r="I759" s="1965" t="s">
        <v>38</v>
      </c>
      <c r="J759" s="1954">
        <f>ROUND(B759*H759,2)</f>
        <v>515</v>
      </c>
    </row>
    <row r="760" spans="1:10">
      <c r="B760" s="1954">
        <v>15</v>
      </c>
      <c r="C760" s="1933" t="s">
        <v>57</v>
      </c>
      <c r="D760" s="1936" t="s">
        <v>59</v>
      </c>
      <c r="H760" s="1950">
        <f>'SSR-rates'!H$60</f>
        <v>490</v>
      </c>
      <c r="I760" s="1965" t="s">
        <v>38</v>
      </c>
      <c r="J760" s="1954">
        <f>ROUND(B760*H760,2)</f>
        <v>7350</v>
      </c>
    </row>
    <row r="761" spans="1:10">
      <c r="A761" s="1962"/>
      <c r="B761" s="1951">
        <f>'Input Data'!$D$23</f>
        <v>0</v>
      </c>
      <c r="C761" s="1937"/>
      <c r="D761" s="1930" t="s">
        <v>17</v>
      </c>
      <c r="F761" s="1933"/>
      <c r="G761" s="1933"/>
      <c r="H761" s="1950">
        <f>SUM(J758:J760)</f>
        <v>8178.6</v>
      </c>
      <c r="I761" s="1965"/>
      <c r="J761" s="1950">
        <f>B761*H761</f>
        <v>0</v>
      </c>
    </row>
    <row r="762" spans="1:10">
      <c r="B762" s="1954"/>
      <c r="C762" s="1933"/>
      <c r="D762" s="1936" t="s">
        <v>60</v>
      </c>
      <c r="H762" s="1950"/>
      <c r="I762" s="1950"/>
      <c r="J762" s="1954">
        <f>SUM(J758:J761)</f>
        <v>8178.6</v>
      </c>
    </row>
    <row r="763" spans="1:10">
      <c r="B763" s="1964" t="s">
        <v>39</v>
      </c>
      <c r="C763" s="1971" t="s">
        <v>61</v>
      </c>
      <c r="H763" s="1950"/>
      <c r="I763" s="1950"/>
      <c r="J763" s="1950"/>
    </row>
    <row r="764" spans="1:10">
      <c r="B764" s="1954">
        <v>13.5</v>
      </c>
      <c r="C764" s="1933" t="s">
        <v>31</v>
      </c>
      <c r="D764" s="1930" t="s">
        <v>62</v>
      </c>
      <c r="H764" s="1950">
        <f>lead!J$14</f>
        <v>1590.8641904678079</v>
      </c>
      <c r="I764" s="1950" t="s">
        <v>31</v>
      </c>
      <c r="J764" s="1950">
        <f>ROUND(B764*H764,2)</f>
        <v>21476.67</v>
      </c>
    </row>
    <row r="765" spans="1:10">
      <c r="B765" s="1954"/>
      <c r="C765" s="1933" t="s">
        <v>31</v>
      </c>
      <c r="D765" s="1930" t="s">
        <v>64</v>
      </c>
      <c r="H765" s="1950">
        <f>lead!J$18</f>
        <v>1638.8641904678079</v>
      </c>
      <c r="I765" s="1950" t="s">
        <v>31</v>
      </c>
      <c r="J765" s="1950">
        <f>ROUND(B765*H765,2)</f>
        <v>0</v>
      </c>
    </row>
    <row r="766" spans="1:10">
      <c r="B766" s="1954">
        <v>6.75</v>
      </c>
      <c r="C766" s="1933" t="s">
        <v>31</v>
      </c>
      <c r="D766" s="1936" t="s">
        <v>65</v>
      </c>
      <c r="H766" s="1950">
        <f>lead!J12</f>
        <v>1568.1141904678079</v>
      </c>
      <c r="I766" s="1950" t="s">
        <v>31</v>
      </c>
      <c r="J766" s="1950">
        <f>ROUND(B766*H766,2)</f>
        <v>10584.77</v>
      </c>
    </row>
    <row r="767" spans="1:10">
      <c r="B767" s="2015">
        <v>2.4300000000000002</v>
      </c>
      <c r="C767" s="1933" t="s">
        <v>66</v>
      </c>
      <c r="D767" s="1936" t="s">
        <v>67</v>
      </c>
      <c r="H767" s="1950">
        <f>lead!J$36</f>
        <v>5000</v>
      </c>
      <c r="I767" s="1950" t="s">
        <v>66</v>
      </c>
      <c r="J767" s="1950">
        <f>ROUND(B767*H767,2)</f>
        <v>12150</v>
      </c>
    </row>
    <row r="768" spans="1:10">
      <c r="B768" s="1936"/>
      <c r="D768" s="1936" t="s">
        <v>60</v>
      </c>
      <c r="H768" s="1950"/>
      <c r="I768" s="1950"/>
      <c r="J768" s="1950">
        <f>SUM(J764:J767)</f>
        <v>44211.44</v>
      </c>
    </row>
    <row r="769" spans="1:10">
      <c r="B769" s="1964" t="s">
        <v>27</v>
      </c>
      <c r="C769" s="1971" t="s">
        <v>40</v>
      </c>
      <c r="H769" s="1950"/>
      <c r="I769" s="1950"/>
      <c r="J769" s="1950"/>
    </row>
    <row r="770" spans="1:10">
      <c r="B770" s="1954">
        <v>6</v>
      </c>
      <c r="C770" s="1933" t="s">
        <v>41</v>
      </c>
      <c r="D770" s="1930" t="s">
        <v>68</v>
      </c>
      <c r="H770" s="1950">
        <f>'SSR-rates'!$H$88</f>
        <v>627.6</v>
      </c>
      <c r="I770" s="1950" t="s">
        <v>41</v>
      </c>
      <c r="J770" s="1950">
        <f>ROUND(B770*H770,2)</f>
        <v>3765.6</v>
      </c>
    </row>
    <row r="771" spans="1:10">
      <c r="B771" s="1954">
        <v>6</v>
      </c>
      <c r="C771" s="1933" t="s">
        <v>41</v>
      </c>
      <c r="D771" s="1930" t="s">
        <v>224</v>
      </c>
      <c r="H771" s="1950">
        <f>'SSR-rates'!$H$87</f>
        <v>1237.4000000000001</v>
      </c>
      <c r="I771" s="1950" t="s">
        <v>41</v>
      </c>
      <c r="J771" s="1950">
        <f>ROUND(B771*H771,2)</f>
        <v>7424.4</v>
      </c>
    </row>
    <row r="772" spans="1:10">
      <c r="B772" s="1954">
        <v>2</v>
      </c>
      <c r="C772" s="1933" t="s">
        <v>41</v>
      </c>
      <c r="D772" s="1930" t="s">
        <v>70</v>
      </c>
      <c r="H772" s="1950">
        <f>'SSR-rates'!H69</f>
        <v>699</v>
      </c>
      <c r="I772" s="1950" t="s">
        <v>41</v>
      </c>
      <c r="J772" s="1950">
        <f>ROUND(B772*H772,2)</f>
        <v>1398</v>
      </c>
    </row>
    <row r="773" spans="1:10">
      <c r="B773" s="1954"/>
      <c r="C773" s="1937"/>
      <c r="D773" s="1936" t="s">
        <v>60</v>
      </c>
      <c r="H773" s="1950"/>
      <c r="I773" s="1950"/>
      <c r="J773" s="1950">
        <f>SUM(J770:J772)</f>
        <v>12588</v>
      </c>
    </row>
    <row r="774" spans="1:10">
      <c r="B774" s="1964" t="s">
        <v>45</v>
      </c>
      <c r="C774" s="1971" t="s">
        <v>71</v>
      </c>
      <c r="H774" s="1950"/>
      <c r="I774" s="1950"/>
      <c r="J774" s="1950"/>
    </row>
    <row r="775" spans="1:10">
      <c r="B775" s="1936"/>
      <c r="C775" s="1933" t="s">
        <v>29</v>
      </c>
      <c r="D775" s="1930" t="s">
        <v>181</v>
      </c>
      <c r="H775" s="1950">
        <f>J762+J768+J773</f>
        <v>64978.04</v>
      </c>
      <c r="I775" s="1965" t="s">
        <v>73</v>
      </c>
      <c r="J775" s="1950">
        <f>ROUND(B775*H775/100,2)</f>
        <v>0</v>
      </c>
    </row>
    <row r="776" spans="1:10">
      <c r="A776" s="1962"/>
      <c r="B776" s="1964" t="s">
        <v>47</v>
      </c>
      <c r="C776" s="1962" t="s">
        <v>74</v>
      </c>
      <c r="F776" s="1933"/>
      <c r="G776" s="1933"/>
      <c r="H776" s="1933"/>
      <c r="I776" s="1933"/>
      <c r="J776" s="1990"/>
    </row>
    <row r="777" spans="1:10" ht="27" customHeight="1">
      <c r="A777" s="1962"/>
      <c r="B777" s="1955"/>
      <c r="C777" s="3247" t="str">
        <f>"Over head charges "&amp;'Input Data'!$D$25*100&amp;"%  on (A) + (B)+(C)+(D)"</f>
        <v>Over head charges 19.615%  on (A) + (B)+(C)+(D)</v>
      </c>
      <c r="D777" s="3248"/>
      <c r="E777" s="3248"/>
      <c r="F777" s="3248"/>
      <c r="G777" s="3249"/>
      <c r="H777" s="1937">
        <f>J775+J773+J768+J762</f>
        <v>64978.04</v>
      </c>
      <c r="I777" s="1933"/>
      <c r="J777" s="1950">
        <f>H777*B777</f>
        <v>0</v>
      </c>
    </row>
    <row r="778" spans="1:10">
      <c r="A778" s="1962"/>
      <c r="B778" s="1964" t="s">
        <v>76</v>
      </c>
      <c r="C778" s="1962" t="s">
        <v>77</v>
      </c>
      <c r="F778" s="1933"/>
      <c r="G778" s="1933"/>
      <c r="H778" s="1933"/>
      <c r="I778" s="1933"/>
      <c r="J778" s="1990">
        <f>J762+J768+J773+J775+J777</f>
        <v>64978.04</v>
      </c>
    </row>
    <row r="779" spans="1:10">
      <c r="A779" s="1962"/>
      <c r="B779" s="1964" t="s">
        <v>78</v>
      </c>
      <c r="C779" s="1962" t="s">
        <v>79</v>
      </c>
      <c r="F779" s="1933"/>
      <c r="G779" s="1933"/>
      <c r="H779" s="1933"/>
      <c r="I779" s="1933"/>
      <c r="J779" s="1990">
        <f>J778*10/100</f>
        <v>6497.8040000000001</v>
      </c>
    </row>
    <row r="780" spans="1:10">
      <c r="B780" s="1954"/>
      <c r="C780" s="1933"/>
      <c r="D780" s="1971" t="s">
        <v>80</v>
      </c>
      <c r="H780" s="1950"/>
      <c r="I780" s="1950"/>
      <c r="J780" s="1990">
        <f>SUM(J778:J779)</f>
        <v>71475.843999999997</v>
      </c>
    </row>
    <row r="781" spans="1:10">
      <c r="B781" s="1954"/>
      <c r="C781" s="1933"/>
      <c r="D781" s="1936" t="s">
        <v>81</v>
      </c>
      <c r="H781" s="1950"/>
      <c r="I781" s="1950"/>
      <c r="J781" s="1950">
        <f>ROUND(J780/15,2)</f>
        <v>4765.0600000000004</v>
      </c>
    </row>
    <row r="782" spans="1:10">
      <c r="D782" s="1936" t="s">
        <v>52</v>
      </c>
      <c r="H782" s="1950"/>
      <c r="I782" s="1950"/>
      <c r="J782" s="1991">
        <f>ROUND(J781,0)</f>
        <v>4765</v>
      </c>
    </row>
    <row r="783" spans="1:10">
      <c r="D783" s="1936"/>
      <c r="H783" s="1950"/>
      <c r="I783" s="1950"/>
      <c r="J783" s="1990" t="s">
        <v>53</v>
      </c>
    </row>
    <row r="784" spans="1:10">
      <c r="B784" s="1964" t="s">
        <v>36</v>
      </c>
      <c r="C784" s="1971" t="s">
        <v>37</v>
      </c>
      <c r="J784" s="1930"/>
    </row>
    <row r="785" spans="1:10">
      <c r="B785" s="1954">
        <v>0.04</v>
      </c>
      <c r="C785" s="1933" t="s">
        <v>57</v>
      </c>
      <c r="D785" s="1936" t="s">
        <v>156</v>
      </c>
      <c r="H785" s="1950">
        <f>'SSR-rates'!H$58</f>
        <v>490</v>
      </c>
      <c r="I785" s="1965" t="s">
        <v>38</v>
      </c>
      <c r="J785" s="1954">
        <f>ROUND(B785*H785,2)</f>
        <v>19.600000000000001</v>
      </c>
    </row>
    <row r="786" spans="1:10">
      <c r="B786" s="1954">
        <v>0.35</v>
      </c>
      <c r="C786" s="1933" t="s">
        <v>57</v>
      </c>
      <c r="D786" s="1936" t="s">
        <v>58</v>
      </c>
      <c r="H786" s="1950">
        <f>'SSR-rates'!H$96</f>
        <v>515</v>
      </c>
      <c r="I786" s="1965" t="s">
        <v>38</v>
      </c>
      <c r="J786" s="1954">
        <f>ROUND(B786*H786,2)</f>
        <v>180.25</v>
      </c>
    </row>
    <row r="787" spans="1:10">
      <c r="B787" s="1954">
        <v>0.75</v>
      </c>
      <c r="C787" s="1933" t="s">
        <v>57</v>
      </c>
      <c r="D787" s="1936" t="s">
        <v>59</v>
      </c>
      <c r="H787" s="1950">
        <f>'SSR-rates'!H$60</f>
        <v>490</v>
      </c>
      <c r="I787" s="1965" t="s">
        <v>38</v>
      </c>
      <c r="J787" s="1954">
        <f>ROUND(B787*H787,2)</f>
        <v>367.5</v>
      </c>
    </row>
    <row r="788" spans="1:10">
      <c r="A788" s="1962"/>
      <c r="B788" s="1951">
        <f>'Input Data'!$D$23</f>
        <v>0</v>
      </c>
      <c r="C788" s="1937"/>
      <c r="D788" s="1930" t="s">
        <v>17</v>
      </c>
      <c r="F788" s="1933"/>
      <c r="G788" s="1933"/>
      <c r="H788" s="1950">
        <f>SUM(J785:J787)</f>
        <v>567.35</v>
      </c>
      <c r="I788" s="1965"/>
      <c r="J788" s="1950">
        <f>B788*H788</f>
        <v>0</v>
      </c>
    </row>
    <row r="789" spans="1:10">
      <c r="B789" s="1954"/>
      <c r="C789" s="1933"/>
      <c r="D789" s="1936" t="s">
        <v>60</v>
      </c>
      <c r="H789" s="1950"/>
      <c r="I789" s="1950"/>
      <c r="J789" s="1954">
        <f>SUM(J785:J788)</f>
        <v>567.35</v>
      </c>
    </row>
    <row r="790" spans="1:10">
      <c r="B790" s="1964" t="s">
        <v>39</v>
      </c>
      <c r="C790" s="1971" t="s">
        <v>61</v>
      </c>
      <c r="H790" s="1950"/>
      <c r="I790" s="1950"/>
      <c r="J790" s="1950"/>
    </row>
    <row r="791" spans="1:10">
      <c r="B791" s="1954">
        <v>0.2</v>
      </c>
      <c r="C791" s="1933" t="s">
        <v>31</v>
      </c>
      <c r="D791" s="1930" t="s">
        <v>229</v>
      </c>
      <c r="H791" s="1950">
        <f>J781</f>
        <v>4765.0600000000004</v>
      </c>
      <c r="I791" s="1950" t="s">
        <v>31</v>
      </c>
      <c r="J791" s="1950">
        <f>ROUND(B791*H791,2)</f>
        <v>953.01</v>
      </c>
    </row>
    <row r="792" spans="1:10">
      <c r="B792" s="1954">
        <v>1</v>
      </c>
      <c r="C792" s="1933" t="s">
        <v>31</v>
      </c>
      <c r="D792" s="1930" t="s">
        <v>230</v>
      </c>
      <c r="H792" s="1950">
        <f>'SSR-rates'!H7</f>
        <v>156</v>
      </c>
      <c r="I792" s="1950" t="s">
        <v>31</v>
      </c>
      <c r="J792" s="1950">
        <f>ROUND(B792*H792,2)</f>
        <v>156</v>
      </c>
    </row>
    <row r="793" spans="1:10">
      <c r="B793" s="1936"/>
      <c r="D793" s="1936" t="s">
        <v>60</v>
      </c>
      <c r="H793" s="1950"/>
      <c r="I793" s="1950"/>
      <c r="J793" s="1950">
        <f>SUM(J791:J792)</f>
        <v>1109.01</v>
      </c>
    </row>
    <row r="794" spans="1:10">
      <c r="B794" s="1964" t="s">
        <v>27</v>
      </c>
      <c r="C794" s="1971" t="s">
        <v>40</v>
      </c>
      <c r="H794" s="1950"/>
      <c r="I794" s="1950"/>
      <c r="J794" s="1950"/>
    </row>
    <row r="795" spans="1:10">
      <c r="B795" s="1954"/>
      <c r="C795" s="1933" t="s">
        <v>41</v>
      </c>
      <c r="D795" s="1930" t="s">
        <v>68</v>
      </c>
      <c r="H795" s="1950">
        <f>'SSR-rates'!$H$88</f>
        <v>627.6</v>
      </c>
      <c r="I795" s="1950" t="s">
        <v>41</v>
      </c>
      <c r="J795" s="1950">
        <f>ROUND(B795*H795,2)</f>
        <v>0</v>
      </c>
    </row>
    <row r="796" spans="1:10">
      <c r="B796" s="1954"/>
      <c r="C796" s="1933" t="s">
        <v>41</v>
      </c>
      <c r="D796" s="1930" t="s">
        <v>224</v>
      </c>
      <c r="H796" s="1950">
        <f>'SSR-rates'!$H$87</f>
        <v>1237.4000000000001</v>
      </c>
      <c r="I796" s="1950" t="s">
        <v>41</v>
      </c>
      <c r="J796" s="1950">
        <f>ROUND(B796*H796,2)</f>
        <v>0</v>
      </c>
    </row>
    <row r="797" spans="1:10">
      <c r="B797" s="1954"/>
      <c r="C797" s="1933" t="s">
        <v>41</v>
      </c>
      <c r="D797" s="1930" t="s">
        <v>70</v>
      </c>
      <c r="H797" s="1950">
        <f>'SSR-rates'!H98</f>
        <v>0</v>
      </c>
      <c r="I797" s="1950" t="s">
        <v>41</v>
      </c>
      <c r="J797" s="1950">
        <f>ROUND(B797*H797,2)</f>
        <v>0</v>
      </c>
    </row>
    <row r="798" spans="1:10">
      <c r="B798" s="1954"/>
      <c r="C798" s="1937"/>
      <c r="D798" s="1936" t="s">
        <v>60</v>
      </c>
      <c r="H798" s="1950"/>
      <c r="I798" s="1950"/>
      <c r="J798" s="1950">
        <f>SUM(J795:J797)</f>
        <v>0</v>
      </c>
    </row>
    <row r="799" spans="1:10">
      <c r="B799" s="1964" t="s">
        <v>45</v>
      </c>
      <c r="C799" s="1971" t="s">
        <v>71</v>
      </c>
      <c r="H799" s="1950"/>
      <c r="I799" s="1950"/>
      <c r="J799" s="1950"/>
    </row>
    <row r="800" spans="1:10">
      <c r="B800" s="1936"/>
      <c r="C800" s="1933" t="s">
        <v>29</v>
      </c>
      <c r="D800" s="1930" t="s">
        <v>181</v>
      </c>
      <c r="H800" s="1950">
        <f>J789+J793+J798</f>
        <v>1676.3600000000001</v>
      </c>
      <c r="I800" s="1965" t="s">
        <v>73</v>
      </c>
      <c r="J800" s="1950">
        <f>ROUND(B800*H800/100,2)</f>
        <v>0</v>
      </c>
    </row>
    <row r="801" spans="1:10">
      <c r="A801" s="1962"/>
      <c r="B801" s="1964" t="s">
        <v>47</v>
      </c>
      <c r="C801" s="1962" t="s">
        <v>97</v>
      </c>
      <c r="F801" s="1933"/>
      <c r="G801" s="1933"/>
      <c r="H801" s="1933"/>
      <c r="I801" s="1933"/>
      <c r="J801" s="1990"/>
    </row>
    <row r="802" spans="1:10" ht="27" customHeight="1">
      <c r="A802" s="1962"/>
      <c r="B802" s="1955">
        <f>'Input Data'!$D$25</f>
        <v>0.19614999999999999</v>
      </c>
      <c r="C802" s="3247" t="str">
        <f>"Over head charges "&amp;'Input Data'!$D$25*100&amp;"%  on (A) + (B)+(C)+(D)"</f>
        <v>Over head charges 19.615%  on (A) + (B)+(C)+(D)</v>
      </c>
      <c r="D802" s="3248"/>
      <c r="E802" s="3248"/>
      <c r="F802" s="3248"/>
      <c r="G802" s="3249"/>
      <c r="H802" s="1937">
        <f>J800+J798+J793+J789</f>
        <v>1676.3600000000001</v>
      </c>
      <c r="I802" s="1933"/>
      <c r="J802" s="1950">
        <f>H802*B802</f>
        <v>328.81801400000001</v>
      </c>
    </row>
    <row r="803" spans="1:10">
      <c r="A803" s="1962"/>
      <c r="B803" s="1964" t="s">
        <v>76</v>
      </c>
      <c r="C803" s="1962" t="s">
        <v>77</v>
      </c>
      <c r="F803" s="1933"/>
      <c r="G803" s="1933"/>
      <c r="H803" s="1933"/>
      <c r="I803" s="1933"/>
      <c r="J803" s="1990">
        <f>J789+J793+J798+J800+J802</f>
        <v>2005.1780140000001</v>
      </c>
    </row>
    <row r="804" spans="1:10">
      <c r="A804" s="1962"/>
      <c r="B804" s="1964" t="s">
        <v>78</v>
      </c>
      <c r="C804" s="1962" t="s">
        <v>79</v>
      </c>
      <c r="F804" s="1933"/>
      <c r="G804" s="1933"/>
      <c r="H804" s="1933"/>
      <c r="I804" s="1933"/>
      <c r="J804" s="1990">
        <f>J803*10/100</f>
        <v>200.51780140000002</v>
      </c>
    </row>
    <row r="805" spans="1:10">
      <c r="B805" s="1954"/>
      <c r="C805" s="1933"/>
      <c r="D805" s="1971" t="s">
        <v>80</v>
      </c>
      <c r="H805" s="1950"/>
      <c r="I805" s="1950"/>
      <c r="J805" s="1990">
        <f>SUM(J803:J804)</f>
        <v>2205.6958153999999</v>
      </c>
    </row>
    <row r="806" spans="1:10">
      <c r="B806" s="1954"/>
      <c r="C806" s="1933"/>
      <c r="D806" s="1936" t="s">
        <v>81</v>
      </c>
      <c r="H806" s="1950"/>
      <c r="I806" s="1950"/>
      <c r="J806" s="1950">
        <f>ROUND(J805/1,2)</f>
        <v>2205.6999999999998</v>
      </c>
    </row>
    <row r="807" spans="1:10">
      <c r="D807" s="1936" t="s">
        <v>52</v>
      </c>
      <c r="H807" s="1950"/>
      <c r="I807" s="1950"/>
      <c r="J807" s="1991">
        <f>ROUND(J806,0)</f>
        <v>2206</v>
      </c>
    </row>
    <row r="808" spans="1:10">
      <c r="D808" s="1936"/>
      <c r="H808" s="1950"/>
      <c r="I808" s="1950"/>
      <c r="J808" s="1990" t="s">
        <v>53</v>
      </c>
    </row>
    <row r="809" spans="1:10" ht="30.75" customHeight="1">
      <c r="A809" s="2044"/>
      <c r="B809" s="3272" t="s">
        <v>231</v>
      </c>
      <c r="C809" s="3272"/>
      <c r="D809" s="3272"/>
      <c r="E809" s="3272"/>
      <c r="F809" s="3272"/>
      <c r="G809" s="3272"/>
      <c r="H809" s="3272"/>
      <c r="I809" s="3272"/>
      <c r="J809" s="3272"/>
    </row>
    <row r="810" spans="1:10">
      <c r="A810" s="2022"/>
      <c r="B810" s="2045"/>
      <c r="C810" s="2045"/>
      <c r="D810" s="3273" t="s">
        <v>232</v>
      </c>
      <c r="E810" s="3273"/>
      <c r="F810" s="3273"/>
      <c r="G810" s="3273"/>
      <c r="H810" s="2045"/>
      <c r="I810" s="2045"/>
      <c r="J810" s="2046"/>
    </row>
    <row r="811" spans="1:10">
      <c r="A811" s="2022"/>
      <c r="B811" s="1941"/>
      <c r="C811" s="1941"/>
      <c r="D811" s="3260" t="s">
        <v>233</v>
      </c>
      <c r="E811" s="3260"/>
      <c r="F811" s="3260"/>
      <c r="G811" s="3260"/>
      <c r="H811" s="1941"/>
      <c r="I811" s="1941"/>
      <c r="J811" s="1974"/>
    </row>
    <row r="812" spans="1:10">
      <c r="A812" s="2022"/>
      <c r="B812" s="1941"/>
      <c r="C812" s="1941"/>
      <c r="D812" s="2023" t="s">
        <v>234</v>
      </c>
      <c r="E812" s="2023"/>
      <c r="F812" s="2023"/>
      <c r="G812" s="2023"/>
      <c r="H812" s="1941"/>
      <c r="I812" s="1941"/>
      <c r="J812" s="1974"/>
    </row>
    <row r="813" spans="1:10">
      <c r="A813" s="2022"/>
      <c r="B813" s="1941"/>
      <c r="C813" s="1947"/>
      <c r="D813" s="3233" t="s">
        <v>235</v>
      </c>
      <c r="E813" s="3233"/>
      <c r="F813" s="3233"/>
      <c r="G813" s="3233"/>
      <c r="H813" s="1941"/>
      <c r="I813" s="1941"/>
      <c r="J813" s="1974"/>
    </row>
    <row r="814" spans="1:10">
      <c r="A814" s="2022"/>
      <c r="B814" s="1946">
        <v>0.02</v>
      </c>
      <c r="C814" s="2024" t="s">
        <v>13</v>
      </c>
      <c r="D814" s="3234" t="s">
        <v>156</v>
      </c>
      <c r="E814" s="3234"/>
      <c r="F814" s="3234"/>
      <c r="G814" s="3234"/>
      <c r="H814" s="1956">
        <f>'SSR-rates'!H$58</f>
        <v>490</v>
      </c>
      <c r="I814" s="1946">
        <v>1</v>
      </c>
      <c r="J814" s="1975">
        <f>ROUND(B814*H814,2)</f>
        <v>9.8000000000000007</v>
      </c>
    </row>
    <row r="815" spans="1:10">
      <c r="A815" s="2022"/>
      <c r="B815" s="1946"/>
      <c r="C815" s="2024" t="s">
        <v>13</v>
      </c>
      <c r="D815" s="3234" t="s">
        <v>236</v>
      </c>
      <c r="E815" s="3234"/>
      <c r="F815" s="3234"/>
      <c r="G815" s="3234"/>
      <c r="H815" s="1956">
        <f>'SSR-rates'!H$97</f>
        <v>545</v>
      </c>
      <c r="I815" s="1946">
        <v>1</v>
      </c>
      <c r="J815" s="1975">
        <f>ROUND(B815*H815,2)</f>
        <v>0</v>
      </c>
    </row>
    <row r="816" spans="1:10">
      <c r="A816" s="2022"/>
      <c r="B816" s="1946">
        <v>0.02</v>
      </c>
      <c r="C816" s="2024" t="s">
        <v>13</v>
      </c>
      <c r="D816" s="3234" t="s">
        <v>188</v>
      </c>
      <c r="E816" s="3234"/>
      <c r="F816" s="3234"/>
      <c r="G816" s="3234"/>
      <c r="H816" s="1956">
        <f>'SSR-rates'!H$92</f>
        <v>540</v>
      </c>
      <c r="I816" s="1946">
        <v>1</v>
      </c>
      <c r="J816" s="1975">
        <f>ROUND(B816*H816,2)</f>
        <v>10.8</v>
      </c>
    </row>
    <row r="817" spans="1:10">
      <c r="A817" s="2022"/>
      <c r="B817" s="1946">
        <v>0.02</v>
      </c>
      <c r="C817" s="2024" t="s">
        <v>13</v>
      </c>
      <c r="D817" s="3234" t="s">
        <v>59</v>
      </c>
      <c r="E817" s="3234"/>
      <c r="F817" s="3234"/>
      <c r="G817" s="3234"/>
      <c r="H817" s="1956">
        <f>'SSR-rates'!H$60</f>
        <v>490</v>
      </c>
      <c r="I817" s="1946">
        <v>1</v>
      </c>
      <c r="J817" s="1975">
        <f>ROUND(B817*H817,2)</f>
        <v>9.8000000000000007</v>
      </c>
    </row>
    <row r="818" spans="1:10">
      <c r="A818" s="2022"/>
      <c r="B818" s="1941"/>
      <c r="C818" s="1947"/>
      <c r="D818" s="3233" t="s">
        <v>237</v>
      </c>
      <c r="E818" s="3233"/>
      <c r="F818" s="3233"/>
      <c r="G818" s="3233"/>
      <c r="H818" s="1941"/>
      <c r="I818" s="1941"/>
      <c r="J818" s="1974"/>
    </row>
    <row r="819" spans="1:10">
      <c r="A819" s="2022"/>
      <c r="B819" s="1946">
        <v>0.01</v>
      </c>
      <c r="C819" s="2024" t="s">
        <v>13</v>
      </c>
      <c r="D819" s="3234" t="s">
        <v>156</v>
      </c>
      <c r="E819" s="3234"/>
      <c r="F819" s="3234"/>
      <c r="G819" s="3234"/>
      <c r="H819" s="1956">
        <f>'SSR-rates'!H$58</f>
        <v>490</v>
      </c>
      <c r="I819" s="1946">
        <v>1</v>
      </c>
      <c r="J819" s="1975">
        <f>ROUND(B819*H819,2)</f>
        <v>4.9000000000000004</v>
      </c>
    </row>
    <row r="820" spans="1:10">
      <c r="A820" s="2022"/>
      <c r="B820" s="1946">
        <v>0.01</v>
      </c>
      <c r="C820" s="2024" t="s">
        <v>13</v>
      </c>
      <c r="D820" s="3234" t="s">
        <v>236</v>
      </c>
      <c r="E820" s="3234"/>
      <c r="F820" s="3234"/>
      <c r="G820" s="3234"/>
      <c r="H820" s="1956">
        <f>'SSR-rates'!H$97</f>
        <v>545</v>
      </c>
      <c r="I820" s="1946">
        <v>1</v>
      </c>
      <c r="J820" s="1975">
        <f>ROUND(B820*H820,2)</f>
        <v>5.45</v>
      </c>
    </row>
    <row r="821" spans="1:10">
      <c r="A821" s="2022"/>
      <c r="B821" s="1946"/>
      <c r="C821" s="2024" t="s">
        <v>13</v>
      </c>
      <c r="D821" s="3234" t="s">
        <v>188</v>
      </c>
      <c r="E821" s="3234"/>
      <c r="F821" s="3234"/>
      <c r="G821" s="3234"/>
      <c r="H821" s="1956">
        <f>'SSR-rates'!H$92</f>
        <v>540</v>
      </c>
      <c r="I821" s="1946">
        <v>1</v>
      </c>
      <c r="J821" s="1975">
        <f>ROUND(B821*H821,2)</f>
        <v>0</v>
      </c>
    </row>
    <row r="822" spans="1:10">
      <c r="A822" s="2022"/>
      <c r="B822" s="1946">
        <v>0.2</v>
      </c>
      <c r="C822" s="2024" t="s">
        <v>13</v>
      </c>
      <c r="D822" s="3234" t="s">
        <v>59</v>
      </c>
      <c r="E822" s="3234"/>
      <c r="F822" s="3234"/>
      <c r="G822" s="3234"/>
      <c r="H822" s="1956">
        <f>'SSR-rates'!H$60</f>
        <v>490</v>
      </c>
      <c r="I822" s="1946">
        <v>1</v>
      </c>
      <c r="J822" s="1975">
        <f>ROUND(B822*H822,2)</f>
        <v>98</v>
      </c>
    </row>
    <row r="823" spans="1:10" ht="15" customHeight="1">
      <c r="A823" s="2022"/>
      <c r="B823" s="1951">
        <f>'Input Data'!$D$23</f>
        <v>0</v>
      </c>
      <c r="C823" s="1937"/>
      <c r="D823" s="1930" t="s">
        <v>17</v>
      </c>
      <c r="F823" s="1933"/>
      <c r="G823" s="1933"/>
      <c r="H823" s="1950">
        <f>SUM(J815:J817)</f>
        <v>20.6</v>
      </c>
      <c r="I823" s="1965"/>
      <c r="J823" s="1950">
        <f>B823*H823</f>
        <v>0</v>
      </c>
    </row>
    <row r="824" spans="1:10">
      <c r="A824" s="2022"/>
      <c r="B824" s="1946"/>
      <c r="C824" s="2025"/>
      <c r="D824" s="3237" t="s">
        <v>18</v>
      </c>
      <c r="E824" s="3237"/>
      <c r="F824" s="3237"/>
      <c r="G824" s="3237"/>
      <c r="H824" s="1946"/>
      <c r="I824" s="1976" t="s">
        <v>19</v>
      </c>
      <c r="J824" s="1977">
        <f>SUM(J814:J823)</f>
        <v>138.75</v>
      </c>
    </row>
    <row r="825" spans="1:10">
      <c r="A825" s="2022"/>
      <c r="B825" s="1946"/>
      <c r="C825" s="2026"/>
      <c r="D825" s="3233" t="s">
        <v>189</v>
      </c>
      <c r="E825" s="3233"/>
      <c r="F825" s="3233"/>
      <c r="G825" s="3233"/>
      <c r="H825" s="1946"/>
      <c r="I825" s="1946"/>
      <c r="J825" s="1975"/>
    </row>
    <row r="826" spans="1:10" ht="47.25" customHeight="1">
      <c r="A826" s="2022"/>
      <c r="B826" s="1948">
        <f>4/1000</f>
        <v>4.0000000000000001E-3</v>
      </c>
      <c r="C826" s="2024" t="s">
        <v>66</v>
      </c>
      <c r="D826" s="3274" t="s">
        <v>238</v>
      </c>
      <c r="E826" s="3274"/>
      <c r="F826" s="3274"/>
      <c r="G826" s="3274"/>
      <c r="H826" s="1946">
        <v>59225</v>
      </c>
      <c r="I826" s="1946">
        <v>1</v>
      </c>
      <c r="J826" s="1975">
        <f>ROUND(B826*H826,2)</f>
        <v>236.9</v>
      </c>
    </row>
    <row r="827" spans="1:10" ht="38.25" customHeight="1">
      <c r="A827" s="2022"/>
      <c r="B827" s="1946">
        <v>6</v>
      </c>
      <c r="C827" s="2024" t="s">
        <v>106</v>
      </c>
      <c r="D827" s="3275" t="s">
        <v>239</v>
      </c>
      <c r="E827" s="3276"/>
      <c r="F827" s="3276"/>
      <c r="G827" s="3277"/>
      <c r="H827" s="1946">
        <v>23</v>
      </c>
      <c r="I827" s="1946">
        <v>1</v>
      </c>
      <c r="J827" s="1975">
        <f>H827*B827</f>
        <v>138</v>
      </c>
    </row>
    <row r="828" spans="1:10" ht="32.25" customHeight="1">
      <c r="A828" s="2022"/>
      <c r="B828" s="1946">
        <v>6</v>
      </c>
      <c r="C828" s="2024" t="s">
        <v>107</v>
      </c>
      <c r="D828" s="3278" t="s">
        <v>240</v>
      </c>
      <c r="E828" s="3279"/>
      <c r="F828" s="3279"/>
      <c r="G828" s="3280"/>
      <c r="H828" s="1946">
        <v>785</v>
      </c>
      <c r="I828" s="1946">
        <v>1</v>
      </c>
      <c r="J828" s="1975">
        <f>H828*B828</f>
        <v>4710</v>
      </c>
    </row>
    <row r="829" spans="1:10" ht="37.5" customHeight="1">
      <c r="A829" s="2022"/>
      <c r="B829" s="1946">
        <v>2</v>
      </c>
      <c r="C829" s="2024" t="s">
        <v>241</v>
      </c>
      <c r="D829" s="3278" t="s">
        <v>242</v>
      </c>
      <c r="E829" s="3279"/>
      <c r="F829" s="3279"/>
      <c r="G829" s="3280"/>
      <c r="H829" s="1946">
        <v>195</v>
      </c>
      <c r="I829" s="1946"/>
      <c r="J829" s="1975">
        <f>H829*B829</f>
        <v>390</v>
      </c>
    </row>
    <row r="830" spans="1:10">
      <c r="A830" s="2022"/>
      <c r="B830" s="1946"/>
      <c r="C830" s="2025"/>
      <c r="D830" s="3237" t="s">
        <v>18</v>
      </c>
      <c r="E830" s="3237"/>
      <c r="F830" s="3237"/>
      <c r="G830" s="3237"/>
      <c r="H830" s="1946"/>
      <c r="I830" s="1976" t="s">
        <v>25</v>
      </c>
      <c r="J830" s="1977">
        <f>SUM(J826:J829)</f>
        <v>5474.9</v>
      </c>
    </row>
    <row r="831" spans="1:10">
      <c r="A831" s="2022"/>
      <c r="B831" s="1956"/>
      <c r="C831" s="2027"/>
      <c r="D831" s="3233" t="s">
        <v>26</v>
      </c>
      <c r="E831" s="3233"/>
      <c r="F831" s="3233"/>
      <c r="G831" s="3233"/>
      <c r="H831" s="1956"/>
      <c r="I831" s="2038"/>
      <c r="J831" s="1980">
        <f>J824+J830</f>
        <v>5613.65</v>
      </c>
    </row>
    <row r="832" spans="1:10" ht="66" customHeight="1">
      <c r="A832" s="2022"/>
      <c r="B832" s="1956">
        <v>5</v>
      </c>
      <c r="C832" s="2027" t="s">
        <v>29</v>
      </c>
      <c r="D832" s="3281" t="s">
        <v>243</v>
      </c>
      <c r="E832" s="3281"/>
      <c r="F832" s="3281"/>
      <c r="G832" s="3281"/>
      <c r="H832" s="1956">
        <f>J831</f>
        <v>5613.65</v>
      </c>
      <c r="I832" s="1978"/>
      <c r="J832" s="1979">
        <f>ROUND(B832*H832/100,2)</f>
        <v>280.68</v>
      </c>
    </row>
    <row r="833" spans="1:11">
      <c r="A833" s="2022"/>
      <c r="B833" s="1955">
        <f>'Input Data'!$D$25</f>
        <v>0.19614999999999999</v>
      </c>
      <c r="C833" s="2027"/>
      <c r="D833" s="3233" t="str">
        <f>"Over head charges "&amp;'Input Data'!$D$25*100&amp;"%  on (A) + (B)"</f>
        <v>Over head charges 19.615%  on (A) + (B)</v>
      </c>
      <c r="E833" s="3233"/>
      <c r="F833" s="3233"/>
      <c r="G833" s="3233"/>
      <c r="H833" s="1956">
        <f>J831</f>
        <v>5613.65</v>
      </c>
      <c r="I833" s="1978"/>
      <c r="J833" s="1979">
        <f>H833*B833</f>
        <v>1101.1174474999998</v>
      </c>
    </row>
    <row r="834" spans="1:11">
      <c r="A834" s="2022"/>
      <c r="B834" s="1956"/>
      <c r="C834" s="2027"/>
      <c r="D834" s="3233"/>
      <c r="E834" s="3233"/>
      <c r="F834" s="3233"/>
      <c r="G834" s="3233"/>
      <c r="H834" s="1956"/>
      <c r="I834" s="1978"/>
      <c r="J834" s="1979"/>
    </row>
    <row r="835" spans="1:11">
      <c r="A835" s="2022"/>
      <c r="B835" s="1956">
        <v>10</v>
      </c>
      <c r="C835" s="2027" t="s">
        <v>29</v>
      </c>
      <c r="D835" s="3233" t="s">
        <v>30</v>
      </c>
      <c r="E835" s="3233"/>
      <c r="F835" s="3233"/>
      <c r="G835" s="3233"/>
      <c r="H835" s="1956">
        <f>J831+J833</f>
        <v>6714.7674474999994</v>
      </c>
      <c r="I835" s="1978"/>
      <c r="J835" s="1979">
        <f>ROUND(B835*H835/100,2)</f>
        <v>671.48</v>
      </c>
    </row>
    <row r="836" spans="1:11">
      <c r="A836" s="2022"/>
      <c r="B836" s="1956"/>
      <c r="C836" s="2027"/>
      <c r="D836" s="3233"/>
      <c r="E836" s="3233"/>
      <c r="F836" s="3233"/>
      <c r="G836" s="3233"/>
      <c r="H836" s="1956"/>
      <c r="I836" s="1978"/>
      <c r="J836" s="1980"/>
    </row>
    <row r="837" spans="1:11">
      <c r="A837" s="2022"/>
      <c r="B837" s="1957">
        <v>1</v>
      </c>
      <c r="C837" s="2027" t="s">
        <v>244</v>
      </c>
      <c r="D837" s="3235" t="str">
        <f>CONCATENATE("TOTAL Cost for ",B837,"  ",C837,"  =  (A+B+C+D)",)</f>
        <v>TOTAL Cost for 1  NO  =  (A+B+C+D)</v>
      </c>
      <c r="E837" s="3235"/>
      <c r="F837" s="3235"/>
      <c r="G837" s="3235"/>
      <c r="H837" s="1956"/>
      <c r="I837" s="1956"/>
      <c r="J837" s="1979">
        <f>SUM(J831:J835)</f>
        <v>7666.9274475000002</v>
      </c>
    </row>
    <row r="838" spans="1:11">
      <c r="A838" s="2022"/>
      <c r="B838" s="1956"/>
      <c r="C838" s="1956"/>
      <c r="D838" s="3237" t="str">
        <f>CONCATENATE("Rate per  1  ",C837)</f>
        <v>Rate per  1  NO</v>
      </c>
      <c r="E838" s="3237"/>
      <c r="F838" s="3237"/>
      <c r="G838" s="3237"/>
      <c r="H838" s="1956"/>
      <c r="I838" s="1956"/>
      <c r="J838" s="1975">
        <f>J837/B837</f>
        <v>7666.9274475000002</v>
      </c>
    </row>
    <row r="839" spans="1:11">
      <c r="A839" s="2022"/>
      <c r="B839" s="2047"/>
      <c r="C839" s="2047"/>
      <c r="D839" s="3282" t="str">
        <f>D838</f>
        <v>Rate per  1  NO</v>
      </c>
      <c r="E839" s="3282"/>
      <c r="F839" s="3282"/>
      <c r="G839" s="3282"/>
      <c r="H839" s="2048"/>
      <c r="I839" s="2048"/>
      <c r="J839" s="2049">
        <f>ROUND(J838,0)</f>
        <v>7667</v>
      </c>
    </row>
    <row r="840" spans="1:11" ht="106.5" customHeight="1">
      <c r="A840" s="1959">
        <v>15</v>
      </c>
      <c r="B840" s="3238" t="s">
        <v>245</v>
      </c>
      <c r="C840" s="3238"/>
      <c r="D840" s="3238"/>
      <c r="E840" s="3238"/>
      <c r="F840" s="3238"/>
      <c r="G840" s="3238"/>
      <c r="H840" s="3238"/>
      <c r="I840" s="3238"/>
      <c r="J840" s="3238"/>
    </row>
    <row r="841" spans="1:11">
      <c r="D841" s="1936" t="s">
        <v>10</v>
      </c>
      <c r="F841" s="1962" t="s">
        <v>93</v>
      </c>
      <c r="J841" s="1930"/>
    </row>
    <row r="842" spans="1:11">
      <c r="D842" s="1936" t="s">
        <v>56</v>
      </c>
      <c r="J842" s="1930"/>
    </row>
    <row r="843" spans="1:11">
      <c r="B843" s="1964" t="s">
        <v>36</v>
      </c>
      <c r="C843" s="1971" t="s">
        <v>37</v>
      </c>
      <c r="J843" s="1930"/>
    </row>
    <row r="844" spans="1:11">
      <c r="B844" s="1954">
        <v>0.86</v>
      </c>
      <c r="C844" s="1933" t="s">
        <v>57</v>
      </c>
      <c r="D844" s="1936" t="s">
        <v>14</v>
      </c>
      <c r="H844" s="1950">
        <f>'SSR-rates'!$H$58</f>
        <v>490</v>
      </c>
      <c r="I844" s="1965" t="s">
        <v>38</v>
      </c>
      <c r="J844" s="1954">
        <f>ROUND(B844*H844,2)</f>
        <v>421.4</v>
      </c>
      <c r="K844" s="1936"/>
    </row>
    <row r="845" spans="1:11">
      <c r="B845" s="1954">
        <v>1.5</v>
      </c>
      <c r="C845" s="1933" t="s">
        <v>57</v>
      </c>
      <c r="D845" s="1936" t="s">
        <v>58</v>
      </c>
      <c r="H845" s="1950">
        <f>'SSR-rates'!$H$59</f>
        <v>524</v>
      </c>
      <c r="I845" s="1965" t="s">
        <v>38</v>
      </c>
      <c r="J845" s="1954">
        <f>ROUND(B845*H845,2)</f>
        <v>786</v>
      </c>
    </row>
    <row r="846" spans="1:11">
      <c r="B846" s="1954">
        <v>20</v>
      </c>
      <c r="C846" s="1933" t="s">
        <v>57</v>
      </c>
      <c r="D846" s="1936" t="s">
        <v>59</v>
      </c>
      <c r="H846" s="1950">
        <f>'SSR-rates'!$H$60</f>
        <v>490</v>
      </c>
      <c r="I846" s="1965" t="s">
        <v>38</v>
      </c>
      <c r="J846" s="1954">
        <f>ROUND(B846*H846,2)</f>
        <v>9800</v>
      </c>
    </row>
    <row r="847" spans="1:11">
      <c r="A847" s="1962"/>
      <c r="B847" s="1951">
        <f>'Input Data'!$D$23</f>
        <v>0</v>
      </c>
      <c r="C847" s="1937"/>
      <c r="D847" s="1930" t="s">
        <v>17</v>
      </c>
      <c r="F847" s="1933"/>
      <c r="G847" s="1933"/>
      <c r="H847" s="1950">
        <f>SUM(J844:J846)</f>
        <v>11007.4</v>
      </c>
      <c r="I847" s="1965"/>
      <c r="J847" s="1950">
        <f>B847*H847</f>
        <v>0</v>
      </c>
    </row>
    <row r="848" spans="1:11" ht="15" customHeight="1">
      <c r="B848" s="1954"/>
      <c r="D848" s="1936" t="s">
        <v>60</v>
      </c>
      <c r="H848" s="1950"/>
      <c r="I848" s="1950"/>
      <c r="J848" s="1954">
        <f>SUM(J844:J847)</f>
        <v>11007.4</v>
      </c>
    </row>
    <row r="849" spans="1:13">
      <c r="B849" s="1964" t="s">
        <v>39</v>
      </c>
      <c r="C849" s="1971" t="s">
        <v>61</v>
      </c>
      <c r="H849" s="1950"/>
      <c r="I849" s="1950"/>
      <c r="J849" s="1950"/>
    </row>
    <row r="850" spans="1:13">
      <c r="B850" s="1954">
        <v>5.4</v>
      </c>
      <c r="C850" s="1933" t="s">
        <v>31</v>
      </c>
      <c r="D850" s="1936" t="s">
        <v>62</v>
      </c>
      <c r="H850" s="1950">
        <f>lead!$J$14</f>
        <v>1590.8641904678079</v>
      </c>
      <c r="I850" s="1950" t="s">
        <v>31</v>
      </c>
      <c r="J850" s="1950">
        <f>ROUND(B850*H850,2)</f>
        <v>8590.67</v>
      </c>
      <c r="K850" s="1930">
        <v>5.16</v>
      </c>
      <c r="L850" s="1930">
        <v>5.4</v>
      </c>
      <c r="M850" s="1930">
        <v>1139.82456140351</v>
      </c>
    </row>
    <row r="851" spans="1:13" ht="15" customHeight="1">
      <c r="B851" s="1954">
        <v>5.4</v>
      </c>
      <c r="C851" s="1933" t="s">
        <v>31</v>
      </c>
      <c r="D851" s="1930" t="s">
        <v>63</v>
      </c>
      <c r="H851" s="1950">
        <f>lead!$J$16</f>
        <v>1889.8641904678079</v>
      </c>
      <c r="I851" s="1950" t="s">
        <v>31</v>
      </c>
      <c r="J851" s="1950">
        <f>ROUND(B851*H851,2)</f>
        <v>10205.27</v>
      </c>
      <c r="L851" s="1930">
        <v>5.4</v>
      </c>
      <c r="M851" s="1930">
        <v>1659.82456140351</v>
      </c>
    </row>
    <row r="852" spans="1:13" ht="15" customHeight="1">
      <c r="B852" s="1954">
        <v>2.7</v>
      </c>
      <c r="C852" s="1933" t="s">
        <v>31</v>
      </c>
      <c r="D852" s="1930" t="s">
        <v>64</v>
      </c>
      <c r="H852" s="1950">
        <f>lead!$J$18</f>
        <v>1638.8641904678079</v>
      </c>
      <c r="I852" s="1950" t="s">
        <v>31</v>
      </c>
      <c r="J852" s="1950">
        <f>ROUND(B852*H852,2)</f>
        <v>4424.93</v>
      </c>
      <c r="L852" s="1930">
        <v>2.7</v>
      </c>
      <c r="M852" s="1930">
        <v>1229.82456140351</v>
      </c>
    </row>
    <row r="853" spans="1:13" ht="15" customHeight="1">
      <c r="B853" s="1954">
        <v>6.75</v>
      </c>
      <c r="C853" s="1933" t="s">
        <v>31</v>
      </c>
      <c r="D853" s="1936" t="s">
        <v>65</v>
      </c>
      <c r="H853" s="1950">
        <f>lead!J12</f>
        <v>1568.1141904678079</v>
      </c>
      <c r="I853" s="1950" t="s">
        <v>31</v>
      </c>
      <c r="J853" s="1950">
        <f>ROUND(B853*H853,2)</f>
        <v>10584.77</v>
      </c>
      <c r="L853" s="1930">
        <v>6.75</v>
      </c>
      <c r="M853" s="1930">
        <v>1207.0087719298201</v>
      </c>
    </row>
    <row r="854" spans="1:13" ht="15" customHeight="1">
      <c r="B854" s="1954">
        <v>5.16</v>
      </c>
      <c r="C854" s="1933" t="s">
        <v>66</v>
      </c>
      <c r="D854" s="1936" t="s">
        <v>67</v>
      </c>
      <c r="H854" s="1950">
        <f>lead!$J$36</f>
        <v>5000</v>
      </c>
      <c r="I854" s="1950" t="s">
        <v>66</v>
      </c>
      <c r="J854" s="1950">
        <f>ROUND(B854*H854,2)</f>
        <v>25800</v>
      </c>
      <c r="L854" s="1930">
        <v>5.16</v>
      </c>
      <c r="M854" s="1930">
        <v>6300</v>
      </c>
    </row>
    <row r="855" spans="1:13">
      <c r="B855" s="1954"/>
      <c r="C855" s="1937"/>
      <c r="D855" s="1936" t="s">
        <v>60</v>
      </c>
      <c r="H855" s="1950"/>
      <c r="I855" s="1950"/>
      <c r="J855" s="1950">
        <f>SUM(J850:J854)</f>
        <v>59605.64</v>
      </c>
    </row>
    <row r="856" spans="1:13">
      <c r="B856" s="1964" t="s">
        <v>94</v>
      </c>
      <c r="C856" s="1971" t="s">
        <v>40</v>
      </c>
      <c r="H856" s="1950"/>
      <c r="I856" s="1950"/>
      <c r="J856" s="1950"/>
    </row>
    <row r="857" spans="1:13">
      <c r="B857" s="1954">
        <v>6</v>
      </c>
      <c r="C857" s="1933" t="s">
        <v>41</v>
      </c>
      <c r="D857" s="1936" t="s">
        <v>68</v>
      </c>
      <c r="H857" s="1950">
        <f>'SSR-rates'!$H$88</f>
        <v>627.6</v>
      </c>
      <c r="I857" s="1950" t="s">
        <v>41</v>
      </c>
      <c r="J857" s="1950">
        <f>ROUND(B857*H857,2)</f>
        <v>3765.6</v>
      </c>
    </row>
    <row r="858" spans="1:13">
      <c r="B858" s="1954">
        <v>6</v>
      </c>
      <c r="C858" s="1933" t="s">
        <v>41</v>
      </c>
      <c r="D858" s="1936" t="s">
        <v>69</v>
      </c>
      <c r="H858" s="1950">
        <f>'SSR-rates'!$H$87</f>
        <v>1237.4000000000001</v>
      </c>
      <c r="I858" s="1950" t="s">
        <v>41</v>
      </c>
      <c r="J858" s="1950">
        <f>ROUND(B858*H858,2)</f>
        <v>7424.4</v>
      </c>
    </row>
    <row r="859" spans="1:13">
      <c r="B859" s="1954"/>
      <c r="C859" s="1937"/>
      <c r="D859" s="1936" t="s">
        <v>60</v>
      </c>
      <c r="H859" s="1950"/>
      <c r="I859" s="1950"/>
      <c r="J859" s="1950">
        <f>SUM(J857:J858)</f>
        <v>11190</v>
      </c>
    </row>
    <row r="860" spans="1:13">
      <c r="A860" s="1962"/>
      <c r="B860" s="1964" t="s">
        <v>45</v>
      </c>
      <c r="C860" s="1962" t="s">
        <v>149</v>
      </c>
      <c r="F860" s="1933"/>
      <c r="G860" s="1933"/>
      <c r="H860" s="1933"/>
      <c r="I860" s="1933"/>
      <c r="J860" s="1990"/>
    </row>
    <row r="861" spans="1:13">
      <c r="A861" s="1962"/>
      <c r="B861" s="1954">
        <v>4</v>
      </c>
      <c r="C861" s="1937" t="s">
        <v>29</v>
      </c>
      <c r="D861" s="1936" t="s">
        <v>146</v>
      </c>
      <c r="F861" s="1933"/>
      <c r="G861" s="1933"/>
      <c r="H861" s="1933"/>
      <c r="I861" s="1933"/>
      <c r="J861" s="1950">
        <f>ROUND((J848+J855+J859)*B861/100,2)</f>
        <v>3272.12</v>
      </c>
    </row>
    <row r="862" spans="1:13">
      <c r="A862" s="1962"/>
      <c r="B862" s="1964" t="s">
        <v>47</v>
      </c>
      <c r="C862" s="1962" t="s">
        <v>97</v>
      </c>
      <c r="F862" s="1933"/>
      <c r="G862" s="1933"/>
      <c r="H862" s="1933"/>
      <c r="I862" s="1933"/>
      <c r="J862" s="1990"/>
    </row>
    <row r="863" spans="1:13">
      <c r="A863" s="1962"/>
      <c r="B863" s="1992">
        <f>'Input Data'!$D$25</f>
        <v>0.19614999999999999</v>
      </c>
      <c r="C863" s="1937"/>
      <c r="D863" s="1936" t="str">
        <f>"Over head charges "&amp;'Input Data'!$D$25*100&amp;"%  on (A) + (B)"</f>
        <v>Over head charges 19.615%  on (A) + (B)</v>
      </c>
      <c r="F863" s="1933"/>
      <c r="G863" s="1933"/>
      <c r="H863" s="1937">
        <f>J861+J859+J855+J848</f>
        <v>85075.159999999989</v>
      </c>
      <c r="I863" s="1933"/>
      <c r="J863" s="1950">
        <f>H863*B863</f>
        <v>16687.492633999998</v>
      </c>
    </row>
    <row r="864" spans="1:13">
      <c r="A864" s="1962"/>
      <c r="B864" s="1964" t="s">
        <v>76</v>
      </c>
      <c r="C864" s="1962" t="s">
        <v>89</v>
      </c>
      <c r="F864" s="1933"/>
      <c r="G864" s="1933"/>
      <c r="H864" s="1933"/>
      <c r="I864" s="1933"/>
      <c r="J864" s="1990">
        <f>J848+J855+J859+J863+J861</f>
        <v>101762.65263399998</v>
      </c>
    </row>
    <row r="865" spans="1:13">
      <c r="A865" s="1962"/>
      <c r="B865" s="1964" t="s">
        <v>78</v>
      </c>
      <c r="C865" s="1962" t="s">
        <v>90</v>
      </c>
      <c r="F865" s="1933"/>
      <c r="G865" s="1933"/>
      <c r="H865" s="1933"/>
      <c r="I865" s="1933"/>
      <c r="J865" s="1990">
        <f>J864*10/100</f>
        <v>10176.265263399999</v>
      </c>
    </row>
    <row r="866" spans="1:13">
      <c r="B866" s="1954"/>
      <c r="C866" s="1933"/>
      <c r="D866" s="1971" t="s">
        <v>98</v>
      </c>
      <c r="H866" s="1950"/>
      <c r="I866" s="1950"/>
      <c r="J866" s="1990">
        <f>SUM(J864:J865)</f>
        <v>111938.91789739998</v>
      </c>
    </row>
    <row r="867" spans="1:13">
      <c r="B867" s="1954"/>
      <c r="C867" s="1933"/>
      <c r="D867" s="1936" t="s">
        <v>81</v>
      </c>
      <c r="H867" s="1950"/>
      <c r="I867" s="1950"/>
      <c r="J867" s="1950">
        <f>ROUND(J866/15,2)</f>
        <v>7462.59</v>
      </c>
    </row>
    <row r="868" spans="1:13">
      <c r="D868" s="1936" t="s">
        <v>52</v>
      </c>
      <c r="H868" s="1950"/>
      <c r="I868" s="1950"/>
      <c r="J868" s="1991">
        <f>ROUND(J867,0)</f>
        <v>7463</v>
      </c>
    </row>
    <row r="869" spans="1:13">
      <c r="D869" s="1936"/>
      <c r="H869" s="1950"/>
      <c r="I869" s="1950"/>
      <c r="J869" s="1990" t="s">
        <v>53</v>
      </c>
    </row>
    <row r="870" spans="1:13" ht="106.5" hidden="1" customHeight="1">
      <c r="A870" s="1959">
        <v>16</v>
      </c>
      <c r="B870" s="3238" t="s">
        <v>246</v>
      </c>
      <c r="C870" s="3238"/>
      <c r="D870" s="3238"/>
      <c r="E870" s="3238"/>
      <c r="F870" s="3238"/>
      <c r="G870" s="3238"/>
      <c r="H870" s="3238"/>
      <c r="I870" s="3238"/>
      <c r="J870" s="3238"/>
    </row>
    <row r="871" spans="1:13" hidden="1">
      <c r="D871" s="1936" t="s">
        <v>10</v>
      </c>
      <c r="F871" s="1962" t="s">
        <v>93</v>
      </c>
      <c r="J871" s="1930"/>
    </row>
    <row r="872" spans="1:13" hidden="1">
      <c r="D872" s="1936" t="s">
        <v>56</v>
      </c>
      <c r="J872" s="1930"/>
    </row>
    <row r="873" spans="1:13" hidden="1">
      <c r="B873" s="1964" t="s">
        <v>36</v>
      </c>
      <c r="C873" s="1971" t="s">
        <v>37</v>
      </c>
      <c r="J873" s="1930"/>
    </row>
    <row r="874" spans="1:13" hidden="1">
      <c r="B874" s="1954">
        <v>0.86</v>
      </c>
      <c r="C874" s="1933" t="s">
        <v>57</v>
      </c>
      <c r="D874" s="1936" t="s">
        <v>14</v>
      </c>
      <c r="H874" s="1950">
        <f>'SSR-rates'!$H$58</f>
        <v>490</v>
      </c>
      <c r="I874" s="1965" t="s">
        <v>38</v>
      </c>
      <c r="J874" s="1954">
        <f>ROUND(B874*H874,2)</f>
        <v>421.4</v>
      </c>
      <c r="K874" s="1936"/>
    </row>
    <row r="875" spans="1:13" hidden="1">
      <c r="B875" s="1954">
        <v>1.5</v>
      </c>
      <c r="C875" s="1933" t="s">
        <v>57</v>
      </c>
      <c r="D875" s="1936" t="s">
        <v>58</v>
      </c>
      <c r="H875" s="1950">
        <f>'SSR-rates'!$H$59</f>
        <v>524</v>
      </c>
      <c r="I875" s="1965" t="s">
        <v>38</v>
      </c>
      <c r="J875" s="1954">
        <f>ROUND(B875*H875,2)</f>
        <v>786</v>
      </c>
    </row>
    <row r="876" spans="1:13" hidden="1">
      <c r="B876" s="1954">
        <v>20</v>
      </c>
      <c r="C876" s="1933" t="s">
        <v>57</v>
      </c>
      <c r="D876" s="1936" t="s">
        <v>59</v>
      </c>
      <c r="H876" s="1950">
        <f>'SSR-rates'!$H$60</f>
        <v>490</v>
      </c>
      <c r="I876" s="1965" t="s">
        <v>38</v>
      </c>
      <c r="J876" s="1954">
        <f>ROUND(B876*H876,2)</f>
        <v>9800</v>
      </c>
    </row>
    <row r="877" spans="1:13" hidden="1">
      <c r="A877" s="1962"/>
      <c r="B877" s="1951">
        <f>'Input Data'!$D$23</f>
        <v>0</v>
      </c>
      <c r="C877" s="1937"/>
      <c r="D877" s="1930" t="s">
        <v>17</v>
      </c>
      <c r="F877" s="1933"/>
      <c r="G877" s="1933"/>
      <c r="H877" s="1950">
        <f>SUM(J874:J876)</f>
        <v>11007.4</v>
      </c>
      <c r="I877" s="1965"/>
      <c r="J877" s="1950">
        <f>B877*H877</f>
        <v>0</v>
      </c>
    </row>
    <row r="878" spans="1:13" ht="15" hidden="1" customHeight="1">
      <c r="B878" s="1954"/>
      <c r="D878" s="1936" t="s">
        <v>60</v>
      </c>
      <c r="H878" s="1950"/>
      <c r="I878" s="1950"/>
      <c r="J878" s="1954">
        <f>SUM(J874:J877)</f>
        <v>11007.4</v>
      </c>
    </row>
    <row r="879" spans="1:13" hidden="1">
      <c r="B879" s="1964" t="s">
        <v>39</v>
      </c>
      <c r="C879" s="1971" t="s">
        <v>61</v>
      </c>
      <c r="H879" s="1950"/>
      <c r="I879" s="1950"/>
      <c r="J879" s="1950"/>
    </row>
    <row r="880" spans="1:13" hidden="1">
      <c r="B880" s="1954">
        <v>5.4</v>
      </c>
      <c r="C880" s="1933" t="s">
        <v>31</v>
      </c>
      <c r="D880" s="1936" t="s">
        <v>62</v>
      </c>
      <c r="H880" s="1950">
        <f>lead!$J$14</f>
        <v>1590.8641904678079</v>
      </c>
      <c r="I880" s="1950" t="s">
        <v>31</v>
      </c>
      <c r="J880" s="1950">
        <f>ROUND(B880*H880,2)</f>
        <v>8590.67</v>
      </c>
      <c r="K880" s="1930">
        <v>5.16</v>
      </c>
      <c r="L880" s="1930">
        <v>5.4</v>
      </c>
      <c r="M880" s="1930">
        <v>1139.82456140351</v>
      </c>
    </row>
    <row r="881" spans="1:13" ht="15" hidden="1" customHeight="1">
      <c r="B881" s="1954">
        <v>5.4</v>
      </c>
      <c r="C881" s="1933" t="s">
        <v>31</v>
      </c>
      <c r="D881" s="1930" t="s">
        <v>63</v>
      </c>
      <c r="H881" s="1950">
        <f>lead!$J$16</f>
        <v>1889.8641904678079</v>
      </c>
      <c r="I881" s="1950" t="s">
        <v>31</v>
      </c>
      <c r="J881" s="1950">
        <f>ROUND(B881*H881,2)</f>
        <v>10205.27</v>
      </c>
      <c r="L881" s="1930">
        <v>5.4</v>
      </c>
      <c r="M881" s="1930">
        <v>1659.82456140351</v>
      </c>
    </row>
    <row r="882" spans="1:13" ht="15" hidden="1" customHeight="1">
      <c r="B882" s="1954">
        <v>2.7</v>
      </c>
      <c r="C882" s="1933" t="s">
        <v>31</v>
      </c>
      <c r="D882" s="1930" t="s">
        <v>64</v>
      </c>
      <c r="H882" s="1950">
        <f>lead!$J$18</f>
        <v>1638.8641904678079</v>
      </c>
      <c r="I882" s="1950" t="s">
        <v>31</v>
      </c>
      <c r="J882" s="1950">
        <f>ROUND(B882*H882,2)</f>
        <v>4424.93</v>
      </c>
      <c r="L882" s="1930">
        <v>2.7</v>
      </c>
      <c r="M882" s="1930">
        <v>1229.82456140351</v>
      </c>
    </row>
    <row r="883" spans="1:13" ht="15" hidden="1" customHeight="1">
      <c r="B883" s="1954">
        <v>6.75</v>
      </c>
      <c r="C883" s="1933" t="s">
        <v>31</v>
      </c>
      <c r="D883" s="1936" t="s">
        <v>65</v>
      </c>
      <c r="H883" s="1950">
        <f>lead!J12</f>
        <v>1568.1141904678079</v>
      </c>
      <c r="I883" s="1950" t="s">
        <v>31</v>
      </c>
      <c r="J883" s="1950">
        <f>ROUND(B883*H883,2)</f>
        <v>10584.77</v>
      </c>
      <c r="L883" s="1930">
        <v>6.75</v>
      </c>
      <c r="M883" s="1930">
        <v>1207.0087719298201</v>
      </c>
    </row>
    <row r="884" spans="1:13" ht="15" hidden="1" customHeight="1">
      <c r="B884" s="1954">
        <v>5.16</v>
      </c>
      <c r="C884" s="1933" t="s">
        <v>66</v>
      </c>
      <c r="D884" s="1936" t="s">
        <v>67</v>
      </c>
      <c r="H884" s="1950">
        <f>lead!$J$36</f>
        <v>5000</v>
      </c>
      <c r="I884" s="1950" t="s">
        <v>66</v>
      </c>
      <c r="J884" s="1950">
        <f>ROUND(B884*H884,2)</f>
        <v>25800</v>
      </c>
      <c r="L884" s="1930">
        <v>5.16</v>
      </c>
      <c r="M884" s="1930">
        <v>6300</v>
      </c>
    </row>
    <row r="885" spans="1:13" hidden="1">
      <c r="B885" s="1954"/>
      <c r="C885" s="1937"/>
      <c r="D885" s="1936" t="s">
        <v>60</v>
      </c>
      <c r="H885" s="1950"/>
      <c r="I885" s="1950"/>
      <c r="J885" s="1950">
        <f>SUM(J880:J884)</f>
        <v>59605.64</v>
      </c>
    </row>
    <row r="886" spans="1:13" hidden="1">
      <c r="B886" s="1964" t="s">
        <v>94</v>
      </c>
      <c r="C886" s="1971" t="s">
        <v>40</v>
      </c>
      <c r="H886" s="1950"/>
      <c r="I886" s="1950"/>
      <c r="J886" s="1950"/>
    </row>
    <row r="887" spans="1:13" hidden="1">
      <c r="B887" s="1954">
        <v>6</v>
      </c>
      <c r="C887" s="1933" t="s">
        <v>41</v>
      </c>
      <c r="D887" s="1936" t="s">
        <v>68</v>
      </c>
      <c r="H887" s="1950">
        <f>'SSR-rates'!$H$88</f>
        <v>627.6</v>
      </c>
      <c r="I887" s="1950" t="s">
        <v>41</v>
      </c>
      <c r="J887" s="1950">
        <f>ROUND(B887*H887,2)</f>
        <v>3765.6</v>
      </c>
    </row>
    <row r="888" spans="1:13" hidden="1">
      <c r="B888" s="1954">
        <v>6</v>
      </c>
      <c r="C888" s="1933" t="s">
        <v>41</v>
      </c>
      <c r="D888" s="1936" t="s">
        <v>69</v>
      </c>
      <c r="H888" s="1950">
        <f>'SSR-rates'!$H$87</f>
        <v>1237.4000000000001</v>
      </c>
      <c r="I888" s="1950" t="s">
        <v>41</v>
      </c>
      <c r="J888" s="1950">
        <f>ROUND(B888*H888,2)</f>
        <v>7424.4</v>
      </c>
    </row>
    <row r="889" spans="1:13" hidden="1">
      <c r="B889" s="1954"/>
      <c r="C889" s="1937"/>
      <c r="D889" s="1936" t="s">
        <v>60</v>
      </c>
      <c r="H889" s="1950"/>
      <c r="I889" s="1950"/>
      <c r="J889" s="1950">
        <f>SUM(J887:J888)</f>
        <v>11190</v>
      </c>
    </row>
    <row r="890" spans="1:13" hidden="1">
      <c r="A890" s="1962"/>
      <c r="B890" s="1964" t="s">
        <v>45</v>
      </c>
      <c r="C890" s="1962" t="s">
        <v>149</v>
      </c>
      <c r="F890" s="1933"/>
      <c r="G890" s="1933"/>
      <c r="H890" s="1933"/>
      <c r="I890" s="1933"/>
      <c r="J890" s="1990"/>
    </row>
    <row r="891" spans="1:13" hidden="1">
      <c r="A891" s="1962"/>
      <c r="B891" s="1954">
        <v>10</v>
      </c>
      <c r="C891" s="1937" t="s">
        <v>29</v>
      </c>
      <c r="D891" s="1936" t="s">
        <v>146</v>
      </c>
      <c r="F891" s="1933"/>
      <c r="G891" s="1933"/>
      <c r="H891" s="1933"/>
      <c r="I891" s="1933"/>
      <c r="J891" s="1950">
        <f>ROUND((J878+J885+J889)*B891/100,2)</f>
        <v>8180.3</v>
      </c>
    </row>
    <row r="892" spans="1:13" hidden="1">
      <c r="A892" s="1962"/>
      <c r="B892" s="1964" t="s">
        <v>47</v>
      </c>
      <c r="C892" s="1962" t="s">
        <v>97</v>
      </c>
      <c r="F892" s="1933"/>
      <c r="G892" s="1933"/>
      <c r="H892" s="1933"/>
      <c r="I892" s="1933"/>
      <c r="J892" s="1990"/>
    </row>
    <row r="893" spans="1:13" hidden="1">
      <c r="A893" s="1962"/>
      <c r="B893" s="1992">
        <f>'Input Data'!$D$25</f>
        <v>0.19614999999999999</v>
      </c>
      <c r="C893" s="1937"/>
      <c r="D893" s="1936" t="str">
        <f>"Over head charges "&amp;'Input Data'!$D$25*100&amp;"%  on (A) + (B)"</f>
        <v>Over head charges 19.615%  on (A) + (B)</v>
      </c>
      <c r="F893" s="1933"/>
      <c r="G893" s="1933"/>
      <c r="H893" s="1937">
        <f>J891+J889+J885+J878</f>
        <v>89983.34</v>
      </c>
      <c r="I893" s="1933"/>
      <c r="J893" s="1950">
        <f>H893*B893</f>
        <v>17650.232140999997</v>
      </c>
    </row>
    <row r="894" spans="1:13" hidden="1">
      <c r="A894" s="1962"/>
      <c r="B894" s="1964" t="s">
        <v>76</v>
      </c>
      <c r="C894" s="1962" t="s">
        <v>89</v>
      </c>
      <c r="F894" s="1933"/>
      <c r="G894" s="1933"/>
      <c r="H894" s="1933"/>
      <c r="I894" s="1933"/>
      <c r="J894" s="1990">
        <f>J878+J885+J889+J893+J891</f>
        <v>107633.572141</v>
      </c>
    </row>
    <row r="895" spans="1:13" hidden="1">
      <c r="A895" s="1962"/>
      <c r="B895" s="1964" t="s">
        <v>78</v>
      </c>
      <c r="C895" s="1962" t="s">
        <v>90</v>
      </c>
      <c r="F895" s="1933"/>
      <c r="G895" s="1933"/>
      <c r="H895" s="1933"/>
      <c r="I895" s="1933"/>
      <c r="J895" s="1990">
        <f>J894*10/100</f>
        <v>10763.3572141</v>
      </c>
    </row>
    <row r="896" spans="1:13" hidden="1">
      <c r="B896" s="1954"/>
      <c r="C896" s="1933"/>
      <c r="D896" s="1971" t="s">
        <v>98</v>
      </c>
      <c r="H896" s="1950"/>
      <c r="I896" s="1950"/>
      <c r="J896" s="1990">
        <f>SUM(J894:J895)</f>
        <v>118396.9293551</v>
      </c>
    </row>
    <row r="897" spans="1:11" hidden="1">
      <c r="B897" s="1954"/>
      <c r="C897" s="1933"/>
      <c r="D897" s="1936" t="s">
        <v>81</v>
      </c>
      <c r="H897" s="1950"/>
      <c r="I897" s="1950"/>
      <c r="J897" s="1950">
        <f>ROUND(J896/15,2)</f>
        <v>7893.13</v>
      </c>
    </row>
    <row r="898" spans="1:11" hidden="1">
      <c r="D898" s="1936" t="s">
        <v>52</v>
      </c>
      <c r="H898" s="1950"/>
      <c r="I898" s="1950"/>
      <c r="J898" s="1991">
        <f>ROUND(J897,0)</f>
        <v>7893</v>
      </c>
    </row>
    <row r="899" spans="1:11" hidden="1">
      <c r="D899" s="1936"/>
      <c r="H899" s="1950"/>
      <c r="I899" s="1950"/>
      <c r="J899" s="1990" t="s">
        <v>53</v>
      </c>
    </row>
    <row r="900" spans="1:11" hidden="1"/>
    <row r="901" spans="1:11" ht="113.25" customHeight="1">
      <c r="A901" s="2050">
        <v>7.09</v>
      </c>
      <c r="B901" s="3230" t="s">
        <v>247</v>
      </c>
      <c r="C901" s="3231"/>
      <c r="D901" s="3231"/>
      <c r="E901" s="3231"/>
      <c r="F901" s="3231"/>
      <c r="G901" s="3231"/>
      <c r="H901" s="3231"/>
      <c r="I901" s="3231"/>
      <c r="J901" s="3232"/>
    </row>
    <row r="902" spans="1:11">
      <c r="A902" s="2051"/>
      <c r="B902" s="1941"/>
      <c r="C902" s="1941"/>
      <c r="D902" s="3233" t="s">
        <v>248</v>
      </c>
      <c r="E902" s="3233"/>
      <c r="F902" s="3233"/>
      <c r="G902" s="1942"/>
      <c r="H902" s="1941"/>
      <c r="I902" s="1941"/>
      <c r="J902" s="1974"/>
    </row>
    <row r="903" spans="1:11">
      <c r="A903" s="2051"/>
      <c r="B903" s="1941"/>
      <c r="C903" s="1941"/>
      <c r="D903" s="3260" t="s">
        <v>203</v>
      </c>
      <c r="E903" s="3260"/>
      <c r="F903" s="3260"/>
      <c r="G903" s="2023"/>
      <c r="I903" s="1941"/>
      <c r="J903" s="1974"/>
    </row>
    <row r="904" spans="1:11">
      <c r="A904" s="2051"/>
      <c r="B904" s="1941"/>
      <c r="C904" s="1946"/>
      <c r="D904" s="3260" t="s">
        <v>249</v>
      </c>
      <c r="E904" s="3260"/>
      <c r="F904" s="3260"/>
      <c r="G904" s="2023"/>
      <c r="I904" s="1941"/>
      <c r="J904" s="1974"/>
    </row>
    <row r="905" spans="1:11" ht="20.25" customHeight="1">
      <c r="A905" s="2051"/>
      <c r="B905" s="1941"/>
      <c r="C905" s="3283" t="s">
        <v>250</v>
      </c>
      <c r="D905" s="3284"/>
      <c r="E905" s="3284"/>
      <c r="F905" s="3284"/>
      <c r="G905" s="3284"/>
      <c r="H905" s="3285"/>
      <c r="I905" s="1941"/>
      <c r="J905" s="1974"/>
    </row>
    <row r="906" spans="1:11" ht="16.5" customHeight="1">
      <c r="A906" s="2051"/>
      <c r="B906" s="1946"/>
      <c r="C906" s="1941"/>
      <c r="D906" s="3260" t="s">
        <v>251</v>
      </c>
      <c r="E906" s="3260"/>
      <c r="F906" s="3260"/>
      <c r="G906" s="2023"/>
      <c r="H906" s="1946"/>
      <c r="I906" s="1946"/>
      <c r="J906" s="1975"/>
    </row>
    <row r="907" spans="1:11" ht="16.5" customHeight="1">
      <c r="A907" s="2051"/>
      <c r="B907" s="1946">
        <v>0.51</v>
      </c>
      <c r="C907" s="1941" t="s">
        <v>66</v>
      </c>
      <c r="D907" s="3234" t="s">
        <v>252</v>
      </c>
      <c r="E907" s="3234"/>
      <c r="F907" s="3234"/>
      <c r="G907" s="1949"/>
      <c r="H907" s="1950">
        <f>lead!J$36</f>
        <v>5000</v>
      </c>
      <c r="I907" s="1946">
        <v>1</v>
      </c>
      <c r="J907" s="1975">
        <f>ROUND(B907*H907,2)</f>
        <v>2550</v>
      </c>
      <c r="K907" s="1950" t="e">
        <f>lead!#REF!</f>
        <v>#REF!</v>
      </c>
    </row>
    <row r="908" spans="1:11" ht="18.75" customHeight="1">
      <c r="A908" s="2051"/>
      <c r="B908" s="1946">
        <v>1.05</v>
      </c>
      <c r="C908" s="1941" t="s">
        <v>31</v>
      </c>
      <c r="D908" s="3234" t="s">
        <v>253</v>
      </c>
      <c r="E908" s="3234"/>
      <c r="F908" s="3234"/>
      <c r="G908" s="1949"/>
      <c r="H908" s="1950">
        <f>lead!J$30</f>
        <v>1980.9684020595876</v>
      </c>
      <c r="I908" s="1946">
        <v>1</v>
      </c>
      <c r="J908" s="1975">
        <f>ROUND(B908*H908,2)</f>
        <v>2080.02</v>
      </c>
      <c r="K908" s="1950" t="e">
        <f>lead!#REF!</f>
        <v>#REF!</v>
      </c>
    </row>
    <row r="909" spans="1:11" ht="18.75" customHeight="1">
      <c r="A909" s="2051"/>
      <c r="B909" s="1946"/>
      <c r="C909" s="1941"/>
      <c r="D909" s="1949"/>
      <c r="E909" s="1949"/>
      <c r="F909" s="1949"/>
      <c r="G909" s="1949"/>
      <c r="H909" s="1950"/>
      <c r="I909" s="1946"/>
      <c r="J909" s="1975"/>
      <c r="K909" s="1950"/>
    </row>
    <row r="910" spans="1:11" ht="18.75" customHeight="1">
      <c r="A910" s="2051"/>
      <c r="B910" s="1946"/>
      <c r="C910" s="1946"/>
      <c r="D910" s="3235" t="s">
        <v>18</v>
      </c>
      <c r="E910" s="3235"/>
      <c r="F910" s="3235"/>
      <c r="G910" s="1952"/>
      <c r="H910" s="1946"/>
      <c r="I910" s="1976" t="s">
        <v>254</v>
      </c>
      <c r="J910" s="1977">
        <f>SUM(J907:J908)</f>
        <v>4630.0200000000004</v>
      </c>
    </row>
    <row r="911" spans="1:11">
      <c r="A911" s="2051"/>
      <c r="B911" s="1946"/>
      <c r="C911" s="1941"/>
      <c r="D911" s="3234"/>
      <c r="E911" s="3234"/>
      <c r="F911" s="3234"/>
      <c r="G911" s="1949"/>
      <c r="H911" s="1946"/>
      <c r="I911" s="1946"/>
      <c r="J911" s="1975">
        <f>SUM(J907:J908)</f>
        <v>4630.0200000000004</v>
      </c>
    </row>
    <row r="912" spans="1:11">
      <c r="A912" s="2051"/>
      <c r="B912" s="1946"/>
      <c r="C912" s="1941"/>
      <c r="D912" s="3260" t="s">
        <v>255</v>
      </c>
      <c r="E912" s="3260"/>
      <c r="F912" s="3260"/>
      <c r="G912" s="2023"/>
      <c r="H912" s="1941"/>
      <c r="I912" s="1941"/>
      <c r="J912" s="1974"/>
    </row>
    <row r="913" spans="1:10">
      <c r="A913" s="2051"/>
      <c r="B913" s="1946">
        <v>0.04</v>
      </c>
      <c r="C913" s="1941" t="s">
        <v>13</v>
      </c>
      <c r="D913" s="3234" t="s">
        <v>14</v>
      </c>
      <c r="E913" s="3234"/>
      <c r="F913" s="3234"/>
      <c r="G913" s="1949"/>
      <c r="H913" s="1950">
        <f>'SSR-rates'!H$58</f>
        <v>490</v>
      </c>
      <c r="I913" s="1946">
        <v>1</v>
      </c>
      <c r="J913" s="1975">
        <f>ROUND(B913*H913,2)</f>
        <v>19.600000000000001</v>
      </c>
    </row>
    <row r="914" spans="1:10">
      <c r="A914" s="2051"/>
      <c r="B914" s="1946">
        <v>0.9</v>
      </c>
      <c r="C914" s="1941" t="s">
        <v>13</v>
      </c>
      <c r="D914" s="3234" t="s">
        <v>59</v>
      </c>
      <c r="E914" s="3234"/>
      <c r="F914" s="3234"/>
      <c r="G914" s="1949"/>
      <c r="H914" s="1950">
        <f>'SSR-rates'!H$60</f>
        <v>490</v>
      </c>
      <c r="I914" s="1946">
        <v>1</v>
      </c>
      <c r="J914" s="1975">
        <f>ROUND(B914*H914,2)</f>
        <v>441</v>
      </c>
    </row>
    <row r="915" spans="1:10">
      <c r="A915" s="2051"/>
      <c r="B915" s="1951">
        <f>'Input Data'!$D$23</f>
        <v>0</v>
      </c>
      <c r="C915" s="1937"/>
      <c r="D915" s="1930" t="s">
        <v>17</v>
      </c>
      <c r="F915" s="1933"/>
      <c r="G915" s="1933"/>
      <c r="H915" s="1950">
        <f>SUM(J913:J914)</f>
        <v>460.6</v>
      </c>
      <c r="I915" s="1965"/>
      <c r="J915" s="1950">
        <f>B915*H915</f>
        <v>0</v>
      </c>
    </row>
    <row r="916" spans="1:10" ht="8.25" customHeight="1">
      <c r="A916" s="2051"/>
      <c r="B916" s="2052"/>
      <c r="C916" s="1956"/>
      <c r="D916" s="3286"/>
      <c r="E916" s="3286"/>
      <c r="F916" s="3286"/>
      <c r="G916" s="2053"/>
      <c r="H916" s="1956"/>
      <c r="I916" s="1956"/>
      <c r="J916" s="1979"/>
    </row>
    <row r="917" spans="1:10">
      <c r="A917" s="2051"/>
      <c r="B917" s="1946"/>
      <c r="C917" s="1946"/>
      <c r="D917" s="3235" t="s">
        <v>18</v>
      </c>
      <c r="E917" s="3235"/>
      <c r="F917" s="3235"/>
      <c r="G917" s="1952"/>
      <c r="H917" s="1946"/>
      <c r="I917" s="1976" t="s">
        <v>256</v>
      </c>
      <c r="J917" s="1977">
        <f>SUM(J913:J916)</f>
        <v>460.6</v>
      </c>
    </row>
    <row r="918" spans="1:10" ht="13.5" customHeight="1">
      <c r="A918" s="2051"/>
      <c r="B918" s="1946"/>
      <c r="C918" s="1941"/>
      <c r="D918" s="3287" t="s">
        <v>257</v>
      </c>
      <c r="E918" s="3287"/>
      <c r="F918" s="3287"/>
      <c r="G918" s="2054"/>
      <c r="H918" s="1941"/>
      <c r="I918" s="1941"/>
      <c r="J918" s="1977">
        <f>J910+J917</f>
        <v>5090.6200000000008</v>
      </c>
    </row>
    <row r="919" spans="1:10">
      <c r="A919" s="2051"/>
      <c r="B919" s="1946"/>
      <c r="C919" s="1941"/>
      <c r="D919" s="3234"/>
      <c r="E919" s="3234"/>
      <c r="F919" s="3234"/>
      <c r="G919" s="1949"/>
      <c r="H919" s="1941"/>
      <c r="I919" s="1941"/>
      <c r="J919" s="1974"/>
    </row>
    <row r="920" spans="1:10">
      <c r="A920" s="2051"/>
      <c r="B920" s="1946"/>
      <c r="C920" s="1941"/>
      <c r="D920" s="3260" t="s">
        <v>258</v>
      </c>
      <c r="E920" s="3260"/>
      <c r="F920" s="3260"/>
      <c r="G920" s="2023"/>
      <c r="H920" s="1941"/>
      <c r="I920" s="1941"/>
      <c r="J920" s="1974"/>
    </row>
    <row r="921" spans="1:10">
      <c r="A921" s="2051"/>
      <c r="B921" s="1946">
        <v>31.5</v>
      </c>
      <c r="C921" s="1941" t="s">
        <v>107</v>
      </c>
      <c r="D921" s="3237" t="s">
        <v>107</v>
      </c>
      <c r="E921" s="3237"/>
      <c r="F921" s="3237"/>
      <c r="G921" s="1958"/>
      <c r="H921" s="2055">
        <v>34</v>
      </c>
      <c r="I921" s="1946">
        <v>1</v>
      </c>
      <c r="J921" s="1975">
        <f>ROUND(B921*H921,2)</f>
        <v>1071</v>
      </c>
    </row>
    <row r="922" spans="1:10">
      <c r="A922" s="2051"/>
      <c r="B922" s="1946">
        <v>10</v>
      </c>
      <c r="C922" s="1941" t="s">
        <v>13</v>
      </c>
      <c r="D922" s="3234" t="s">
        <v>259</v>
      </c>
      <c r="E922" s="3234"/>
      <c r="F922" s="3234"/>
      <c r="G922" s="1949"/>
      <c r="H922" s="2055">
        <v>15</v>
      </c>
      <c r="I922" s="1946">
        <v>1</v>
      </c>
      <c r="J922" s="1975">
        <f>ROUND(B922*H922,2)</f>
        <v>150</v>
      </c>
    </row>
    <row r="923" spans="1:10">
      <c r="A923" s="2051"/>
      <c r="B923" s="1946">
        <v>30</v>
      </c>
      <c r="C923" s="1941" t="s">
        <v>13</v>
      </c>
      <c r="D923" s="3234" t="s">
        <v>260</v>
      </c>
      <c r="E923" s="3234"/>
      <c r="F923" s="3234"/>
      <c r="G923" s="1949"/>
      <c r="H923" s="2055">
        <v>5</v>
      </c>
      <c r="I923" s="1946">
        <v>1</v>
      </c>
      <c r="J923" s="1975">
        <f>ROUND(B923*H923,2)</f>
        <v>150</v>
      </c>
    </row>
    <row r="924" spans="1:10">
      <c r="A924" s="2051"/>
      <c r="B924" s="1946">
        <v>0.05</v>
      </c>
      <c r="C924" s="1941" t="s">
        <v>31</v>
      </c>
      <c r="D924" s="3234" t="s">
        <v>261</v>
      </c>
      <c r="E924" s="3234"/>
      <c r="F924" s="3234"/>
      <c r="G924" s="1949"/>
      <c r="H924" s="1946">
        <f>J918</f>
        <v>5090.6200000000008</v>
      </c>
      <c r="I924" s="1946">
        <v>1</v>
      </c>
      <c r="J924" s="1975">
        <f>ROUND(B924*H924,2)</f>
        <v>254.53</v>
      </c>
    </row>
    <row r="925" spans="1:10">
      <c r="A925" s="2051"/>
      <c r="B925" s="1946"/>
      <c r="C925" s="1946"/>
      <c r="D925" s="3235" t="s">
        <v>18</v>
      </c>
      <c r="E925" s="3235"/>
      <c r="F925" s="3235"/>
      <c r="G925" s="1952"/>
      <c r="H925" s="1946"/>
      <c r="I925" s="1976" t="s">
        <v>19</v>
      </c>
      <c r="J925" s="1977">
        <f>SUM(J921:J924)</f>
        <v>1625.53</v>
      </c>
    </row>
    <row r="926" spans="1:10">
      <c r="A926" s="2051"/>
      <c r="B926" s="1946"/>
      <c r="C926" s="1941"/>
      <c r="D926" s="3234"/>
      <c r="E926" s="3234"/>
      <c r="F926" s="3234"/>
      <c r="G926" s="1949"/>
      <c r="H926" s="1946"/>
      <c r="I926" s="1946"/>
      <c r="J926" s="1975">
        <f>SUM(J921:J924)</f>
        <v>1625.53</v>
      </c>
    </row>
    <row r="927" spans="1:10">
      <c r="A927" s="2051"/>
      <c r="B927" s="1946"/>
      <c r="C927" s="1941"/>
      <c r="D927" s="3260" t="s">
        <v>262</v>
      </c>
      <c r="E927" s="3260"/>
      <c r="F927" s="3260"/>
      <c r="G927" s="2023"/>
      <c r="H927" s="1941"/>
      <c r="I927" s="1941"/>
      <c r="J927" s="1974"/>
    </row>
    <row r="928" spans="1:10">
      <c r="A928" s="2051"/>
      <c r="B928" s="1946">
        <v>0.03</v>
      </c>
      <c r="C928" s="1941" t="s">
        <v>13</v>
      </c>
      <c r="D928" s="3234" t="s">
        <v>14</v>
      </c>
      <c r="E928" s="3234"/>
      <c r="F928" s="3234"/>
      <c r="G928" s="1949"/>
      <c r="H928" s="1950">
        <f>'SSR-rates'!H$58</f>
        <v>490</v>
      </c>
      <c r="I928" s="1946">
        <v>1</v>
      </c>
      <c r="J928" s="1975">
        <f>ROUND(B928*H928,2)</f>
        <v>14.7</v>
      </c>
    </row>
    <row r="929" spans="1:10">
      <c r="A929" s="2051"/>
      <c r="B929" s="1946">
        <v>0.5</v>
      </c>
      <c r="C929" s="1941" t="s">
        <v>13</v>
      </c>
      <c r="D929" s="3234" t="s">
        <v>58</v>
      </c>
      <c r="E929" s="3234"/>
      <c r="F929" s="3234"/>
      <c r="G929" s="1949"/>
      <c r="H929" s="1956">
        <v>357</v>
      </c>
      <c r="I929" s="1946">
        <v>1</v>
      </c>
      <c r="J929" s="1975">
        <f>ROUND(B929*H929,2)</f>
        <v>178.5</v>
      </c>
    </row>
    <row r="930" spans="1:10">
      <c r="A930" s="2051"/>
      <c r="B930" s="1946">
        <v>0.25</v>
      </c>
      <c r="C930" s="1941" t="s">
        <v>13</v>
      </c>
      <c r="D930" s="3234" t="s">
        <v>59</v>
      </c>
      <c r="E930" s="3234"/>
      <c r="F930" s="3234"/>
      <c r="G930" s="1949"/>
      <c r="H930" s="1950">
        <f>'SSR-rates'!H$60</f>
        <v>490</v>
      </c>
      <c r="I930" s="1946">
        <v>1</v>
      </c>
      <c r="J930" s="1975">
        <f>ROUND(B930*H930,2)</f>
        <v>122.5</v>
      </c>
    </row>
    <row r="931" spans="1:10" hidden="1">
      <c r="A931" s="2051"/>
      <c r="B931" s="1946"/>
      <c r="C931" s="1946"/>
      <c r="D931" s="3288"/>
      <c r="E931" s="3289"/>
      <c r="F931" s="3290"/>
      <c r="G931" s="1958"/>
      <c r="H931" s="1956"/>
      <c r="I931" s="1978"/>
      <c r="J931" s="1975"/>
    </row>
    <row r="932" spans="1:10" ht="15.75" customHeight="1">
      <c r="A932" s="2051"/>
      <c r="B932" s="1951">
        <f>'Input Data'!$D$23</f>
        <v>0</v>
      </c>
      <c r="C932" s="1937"/>
      <c r="D932" s="1930" t="s">
        <v>17</v>
      </c>
      <c r="F932" s="1933"/>
      <c r="G932" s="1933"/>
      <c r="H932" s="1950">
        <f>SUM(J928:J931)</f>
        <v>315.7</v>
      </c>
      <c r="I932" s="1965"/>
      <c r="J932" s="1950">
        <f>B932*H932</f>
        <v>0</v>
      </c>
    </row>
    <row r="933" spans="1:10">
      <c r="A933" s="2051"/>
      <c r="B933" s="1946"/>
      <c r="C933" s="1946"/>
      <c r="D933" s="3235" t="s">
        <v>18</v>
      </c>
      <c r="E933" s="3235"/>
      <c r="F933" s="3235"/>
      <c r="G933" s="1952"/>
      <c r="H933" s="1946"/>
      <c r="I933" s="1976" t="s">
        <v>25</v>
      </c>
      <c r="J933" s="1977">
        <f>SUM(J928:J932)</f>
        <v>315.7</v>
      </c>
    </row>
    <row r="934" spans="1:10">
      <c r="A934" s="2051"/>
      <c r="B934" s="1956"/>
      <c r="C934" s="1956"/>
      <c r="D934" s="3233" t="s">
        <v>26</v>
      </c>
      <c r="E934" s="3233"/>
      <c r="F934" s="3233"/>
      <c r="G934" s="1942"/>
      <c r="H934" s="1956"/>
      <c r="I934" s="2038"/>
      <c r="J934" s="1980">
        <f>J925+J933</f>
        <v>1941.23</v>
      </c>
    </row>
    <row r="935" spans="1:10">
      <c r="A935" s="2051"/>
      <c r="B935" s="1956"/>
      <c r="C935" s="1956"/>
      <c r="D935" s="2056"/>
      <c r="E935" s="2057"/>
      <c r="F935" s="2058"/>
      <c r="G935" s="1942"/>
      <c r="H935" s="1956"/>
      <c r="I935" s="2038"/>
      <c r="J935" s="1980"/>
    </row>
    <row r="936" spans="1:10">
      <c r="A936" s="2051"/>
      <c r="B936" s="1955">
        <f>'Input Data'!$D$25</f>
        <v>0.19614999999999999</v>
      </c>
      <c r="C936" s="1956"/>
      <c r="D936" s="2056" t="str">
        <f>"Over head charges "&amp;'Input Data'!$D$25*100&amp;"%  on (A) + (B)+(C)+(D)"</f>
        <v>Over head charges 19.615%  on (A) + (B)+(C)+(D)</v>
      </c>
      <c r="E936" s="2057"/>
      <c r="F936" s="2058"/>
      <c r="G936" s="1942"/>
      <c r="H936" s="1956">
        <f>J934</f>
        <v>1941.23</v>
      </c>
      <c r="I936" s="1978"/>
      <c r="J936" s="1979">
        <f>H936*B936</f>
        <v>380.77226450000001</v>
      </c>
    </row>
    <row r="937" spans="1:10">
      <c r="A937" s="2051"/>
      <c r="B937" s="1956"/>
      <c r="C937" s="1956"/>
      <c r="D937" s="3233"/>
      <c r="E937" s="3233"/>
      <c r="F937" s="3233"/>
      <c r="G937" s="1942"/>
      <c r="H937" s="1956"/>
      <c r="I937" s="1978"/>
      <c r="J937" s="1979"/>
    </row>
    <row r="938" spans="1:10">
      <c r="A938" s="2051"/>
      <c r="B938" s="1956">
        <v>10</v>
      </c>
      <c r="C938" s="1956" t="s">
        <v>29</v>
      </c>
      <c r="D938" s="2056" t="s">
        <v>30</v>
      </c>
      <c r="E938" s="2057"/>
      <c r="F938" s="2058"/>
      <c r="G938" s="1942"/>
      <c r="H938" s="1956">
        <f>J934+J936</f>
        <v>2322.0022644999999</v>
      </c>
      <c r="I938" s="1978"/>
      <c r="J938" s="1979">
        <f>ROUND(B938*H938/100,2)</f>
        <v>232.2</v>
      </c>
    </row>
    <row r="939" spans="1:10">
      <c r="A939" s="2051"/>
      <c r="B939" s="1956"/>
      <c r="C939" s="1956"/>
      <c r="D939" s="3233"/>
      <c r="E939" s="3233"/>
      <c r="F939" s="3233"/>
      <c r="G939" s="1942"/>
      <c r="H939" s="1956"/>
      <c r="I939" s="1978"/>
      <c r="J939" s="1979"/>
    </row>
    <row r="940" spans="1:10">
      <c r="A940" s="2051"/>
      <c r="B940" s="2059"/>
      <c r="C940" s="2059"/>
      <c r="D940" s="3233" t="s">
        <v>263</v>
      </c>
      <c r="E940" s="3233"/>
      <c r="F940" s="3233"/>
      <c r="G940" s="1942"/>
      <c r="H940" s="1956"/>
      <c r="I940" s="1956"/>
      <c r="J940" s="1975"/>
    </row>
    <row r="941" spans="1:10">
      <c r="A941" s="2051"/>
      <c r="B941" s="2060">
        <f>0.05*1.05</f>
        <v>5.2500000000000005E-2</v>
      </c>
      <c r="C941" s="1946" t="s">
        <v>31</v>
      </c>
      <c r="D941" s="1958"/>
      <c r="E941" s="1958"/>
      <c r="F941" s="1958"/>
      <c r="G941" s="1958"/>
      <c r="H941" s="1956">
        <v>0</v>
      </c>
      <c r="I941" s="1956">
        <v>1</v>
      </c>
      <c r="J941" s="1975">
        <f>ROUND(B941*H941,2)</f>
        <v>0</v>
      </c>
    </row>
    <row r="942" spans="1:10">
      <c r="A942" s="2051"/>
      <c r="B942" s="1956"/>
      <c r="C942" s="1956"/>
      <c r="D942" s="3233"/>
      <c r="E942" s="3233"/>
      <c r="F942" s="3233"/>
      <c r="G942" s="1942"/>
      <c r="H942" s="1956"/>
      <c r="I942" s="1978"/>
      <c r="J942" s="1980"/>
    </row>
    <row r="943" spans="1:10">
      <c r="A943" s="2051"/>
      <c r="B943" s="1957">
        <v>30</v>
      </c>
      <c r="C943" s="1956" t="s">
        <v>107</v>
      </c>
      <c r="D943" s="2061" t="str">
        <f>CONCATENATE("TOTAL Cost for ",B943,"  ",C943,"  =  (A+B+C+D+E)",)</f>
        <v>TOTAL Cost for 30  RM  =  (A+B+C+D+E)</v>
      </c>
      <c r="E943" s="2062"/>
      <c r="F943" s="2063"/>
      <c r="G943" s="1952"/>
      <c r="H943" s="1956"/>
      <c r="I943" s="1956"/>
      <c r="J943" s="1979">
        <f>SUM(J934:J938)</f>
        <v>2554.2022644999997</v>
      </c>
    </row>
    <row r="944" spans="1:10">
      <c r="A944" s="2051"/>
      <c r="B944" s="1956"/>
      <c r="C944" s="1956"/>
      <c r="D944" s="3237" t="str">
        <f>CONCATENATE("Rate per  1  ",C943)</f>
        <v>Rate per  1  RM</v>
      </c>
      <c r="E944" s="3237"/>
      <c r="F944" s="3237"/>
      <c r="G944" s="1958"/>
      <c r="H944" s="1956"/>
      <c r="I944" s="1956"/>
      <c r="J944" s="1975">
        <f>J943/B943</f>
        <v>85.14007548333332</v>
      </c>
    </row>
    <row r="945" spans="1:10">
      <c r="A945" s="2051"/>
      <c r="B945" s="1946"/>
      <c r="C945" s="1946"/>
      <c r="D945" s="3233" t="str">
        <f>D944</f>
        <v>Rate per  1  RM</v>
      </c>
      <c r="E945" s="3233"/>
      <c r="F945" s="3233"/>
      <c r="G945" s="1942"/>
      <c r="H945" s="1956"/>
      <c r="I945" s="1956"/>
      <c r="J945" s="1977">
        <f>ROUND(J944,0)</f>
        <v>85</v>
      </c>
    </row>
    <row r="946" spans="1:10">
      <c r="D946" s="1936"/>
      <c r="H946" s="1950"/>
      <c r="I946" s="1950"/>
      <c r="J946" s="1990"/>
    </row>
    <row r="947" spans="1:10">
      <c r="B947" s="1937"/>
      <c r="C947" s="1936"/>
      <c r="D947" s="2009"/>
      <c r="F947" s="1936"/>
      <c r="G947" s="1936"/>
      <c r="H947" s="1954"/>
      <c r="I947" s="1936"/>
      <c r="J947" s="2019"/>
    </row>
    <row r="951" spans="1:10" ht="110.25" customHeight="1">
      <c r="A951" s="2008">
        <v>7.15</v>
      </c>
      <c r="B951" s="3238" t="s">
        <v>264</v>
      </c>
      <c r="C951" s="3238"/>
      <c r="D951" s="3238"/>
      <c r="E951" s="3238"/>
      <c r="F951" s="3238"/>
      <c r="G951" s="3238"/>
      <c r="H951" s="3238"/>
      <c r="I951" s="3238"/>
      <c r="J951" s="3238"/>
    </row>
    <row r="952" spans="1:10">
      <c r="A952" s="2022"/>
      <c r="B952" s="1941"/>
      <c r="C952" s="1941"/>
      <c r="D952" s="3260" t="s">
        <v>203</v>
      </c>
      <c r="E952" s="3260"/>
      <c r="F952" s="3260"/>
      <c r="G952" s="3260"/>
      <c r="H952" s="1941"/>
      <c r="I952" s="1941"/>
      <c r="J952" s="1974"/>
    </row>
    <row r="953" spans="1:10">
      <c r="A953" s="2022"/>
      <c r="B953" s="1941"/>
      <c r="C953" s="1946"/>
      <c r="D953" s="3260" t="s">
        <v>265</v>
      </c>
      <c r="E953" s="3260"/>
      <c r="F953" s="3260"/>
      <c r="G953" s="3260"/>
      <c r="H953" s="1941"/>
      <c r="I953" s="1941"/>
      <c r="J953" s="1974"/>
    </row>
    <row r="954" spans="1:10" ht="15.75" customHeight="1">
      <c r="A954" s="2022"/>
      <c r="B954" s="2064" t="s">
        <v>266</v>
      </c>
      <c r="C954" s="2065"/>
      <c r="D954" s="2065"/>
      <c r="E954" s="1962" t="s">
        <v>267</v>
      </c>
      <c r="F954" s="2065"/>
      <c r="G954" s="2065"/>
      <c r="H954" s="2065"/>
      <c r="I954" s="2065"/>
      <c r="J954" s="2066"/>
    </row>
    <row r="955" spans="1:10">
      <c r="D955" s="1936" t="s">
        <v>10</v>
      </c>
      <c r="J955" s="1930"/>
    </row>
    <row r="956" spans="1:10">
      <c r="D956" s="1936" t="s">
        <v>268</v>
      </c>
      <c r="J956" s="1930"/>
    </row>
    <row r="957" spans="1:10">
      <c r="B957" s="1964" t="s">
        <v>36</v>
      </c>
      <c r="C957" s="1971" t="s">
        <v>37</v>
      </c>
      <c r="J957" s="1930"/>
    </row>
    <row r="958" spans="1:10">
      <c r="A958" s="2022"/>
      <c r="B958" s="1946">
        <v>0.94</v>
      </c>
      <c r="C958" s="2024" t="s">
        <v>13</v>
      </c>
      <c r="D958" s="3234" t="s">
        <v>14</v>
      </c>
      <c r="E958" s="3234"/>
      <c r="F958" s="3234"/>
      <c r="G958" s="3234"/>
      <c r="H958" s="1956">
        <f>'SSR-rates'!$H$58</f>
        <v>490</v>
      </c>
      <c r="I958" s="1946">
        <v>1</v>
      </c>
      <c r="J958" s="1975">
        <f>ROUND(B958*H958,2)</f>
        <v>460.6</v>
      </c>
    </row>
    <row r="959" spans="1:10">
      <c r="B959" s="1954">
        <v>3.5</v>
      </c>
      <c r="C959" s="1933" t="s">
        <v>57</v>
      </c>
      <c r="D959" s="1936" t="s">
        <v>58</v>
      </c>
      <c r="H959" s="1950">
        <f>'SSR-rates'!H59</f>
        <v>524</v>
      </c>
      <c r="I959" s="1965" t="s">
        <v>38</v>
      </c>
      <c r="J959" s="1954">
        <f>ROUND(B959*H959,2)</f>
        <v>1834</v>
      </c>
    </row>
    <row r="960" spans="1:10">
      <c r="B960" s="1954">
        <v>20</v>
      </c>
      <c r="C960" s="1933" t="s">
        <v>57</v>
      </c>
      <c r="D960" s="1936" t="s">
        <v>59</v>
      </c>
      <c r="H960" s="1950">
        <f>'SSR-rates'!H$60</f>
        <v>490</v>
      </c>
      <c r="I960" s="1965" t="s">
        <v>38</v>
      </c>
      <c r="J960" s="1954">
        <f>ROUND(B960*H960,2)</f>
        <v>9800</v>
      </c>
    </row>
    <row r="961" spans="1:12">
      <c r="A961" s="1962"/>
      <c r="B961" s="1951">
        <f>'Input Data'!$D$23</f>
        <v>0</v>
      </c>
      <c r="C961" s="1937"/>
      <c r="D961" s="1930" t="s">
        <v>17</v>
      </c>
      <c r="F961" s="1933"/>
      <c r="G961" s="1933"/>
      <c r="H961" s="1950">
        <f>SUM(J958:J960)</f>
        <v>12094.6</v>
      </c>
      <c r="I961" s="1965"/>
      <c r="J961" s="1950">
        <f>B961*H961</f>
        <v>0</v>
      </c>
    </row>
    <row r="962" spans="1:12">
      <c r="B962" s="1954"/>
      <c r="C962" s="1933"/>
      <c r="D962" s="1936" t="s">
        <v>60</v>
      </c>
      <c r="H962" s="1950"/>
      <c r="I962" s="1950"/>
      <c r="J962" s="1954">
        <f>SUM(J958:J961)</f>
        <v>12094.6</v>
      </c>
    </row>
    <row r="963" spans="1:12">
      <c r="B963" s="1964" t="s">
        <v>39</v>
      </c>
      <c r="C963" s="1971" t="s">
        <v>61</v>
      </c>
      <c r="H963" s="1950"/>
      <c r="I963" s="1950"/>
      <c r="J963" s="1950"/>
    </row>
    <row r="964" spans="1:12">
      <c r="B964" s="1954">
        <v>64.8</v>
      </c>
      <c r="C964" s="1933" t="s">
        <v>31</v>
      </c>
      <c r="D964" s="1930" t="s">
        <v>63</v>
      </c>
      <c r="H964" s="1950">
        <f>lead!$J$16</f>
        <v>1889.8641904678079</v>
      </c>
      <c r="I964" s="1950" t="s">
        <v>31</v>
      </c>
      <c r="J964" s="1950">
        <f>ROUND(B964*H964,2)</f>
        <v>122463.2</v>
      </c>
    </row>
    <row r="965" spans="1:12">
      <c r="B965" s="1954">
        <v>43.2</v>
      </c>
      <c r="C965" s="1933" t="s">
        <v>31</v>
      </c>
      <c r="D965" s="1930" t="s">
        <v>64</v>
      </c>
      <c r="H965" s="1950">
        <f>lead!$J$18</f>
        <v>1638.8641904678079</v>
      </c>
      <c r="I965" s="1950" t="s">
        <v>31</v>
      </c>
      <c r="J965" s="1950">
        <f>ROUND(B965*H965,2)</f>
        <v>70798.929999999993</v>
      </c>
    </row>
    <row r="966" spans="1:12">
      <c r="B966" s="1954">
        <v>54</v>
      </c>
      <c r="C966" s="1933" t="s">
        <v>31</v>
      </c>
      <c r="D966" s="1936" t="s">
        <v>65</v>
      </c>
      <c r="H966" s="1950">
        <f>lead!J12</f>
        <v>1568.1141904678079</v>
      </c>
      <c r="I966" s="1950" t="s">
        <v>31</v>
      </c>
      <c r="J966" s="1950">
        <f>ROUND(B966*H966,2)</f>
        <v>84678.17</v>
      </c>
    </row>
    <row r="967" spans="1:12">
      <c r="B967" s="2067">
        <v>51.6</v>
      </c>
      <c r="C967" s="1933" t="s">
        <v>66</v>
      </c>
      <c r="D967" s="1936" t="s">
        <v>67</v>
      </c>
      <c r="H967" s="1950">
        <f>lead!$J$36</f>
        <v>5000</v>
      </c>
      <c r="I967" s="1950" t="s">
        <v>66</v>
      </c>
      <c r="J967" s="1950">
        <f>ROUND(B967*H967,2)</f>
        <v>258000</v>
      </c>
    </row>
    <row r="968" spans="1:12">
      <c r="B968" s="2067">
        <v>25.8</v>
      </c>
      <c r="C968" s="1933" t="s">
        <v>191</v>
      </c>
      <c r="D968" s="364" t="s">
        <v>269</v>
      </c>
      <c r="H968" s="1950">
        <v>95</v>
      </c>
      <c r="I968" s="1950" t="s">
        <v>270</v>
      </c>
      <c r="J968" s="1950">
        <f>ROUND(B968*H968,2)</f>
        <v>2451</v>
      </c>
    </row>
    <row r="969" spans="1:12">
      <c r="B969" s="2067"/>
      <c r="C969" s="1933"/>
      <c r="D969" s="364" t="s">
        <v>271</v>
      </c>
      <c r="H969" s="1950"/>
      <c r="I969" s="1950"/>
      <c r="J969" s="1950"/>
    </row>
    <row r="970" spans="1:12">
      <c r="B970" s="1936"/>
      <c r="D970" s="1936" t="s">
        <v>60</v>
      </c>
      <c r="H970" s="1950"/>
      <c r="I970" s="1950"/>
      <c r="J970" s="1950">
        <f>SUM(J964:J968)</f>
        <v>538391.30000000005</v>
      </c>
    </row>
    <row r="971" spans="1:12">
      <c r="B971" s="1964" t="s">
        <v>27</v>
      </c>
      <c r="C971" s="1971" t="s">
        <v>40</v>
      </c>
      <c r="H971" s="1950"/>
      <c r="I971" s="1950"/>
      <c r="J971" s="1950"/>
    </row>
    <row r="972" spans="1:12" s="1931" customFormat="1">
      <c r="A972" s="1994"/>
      <c r="B972" s="2000">
        <v>6</v>
      </c>
      <c r="C972" s="1994" t="s">
        <v>41</v>
      </c>
      <c r="D972" s="1931" t="s">
        <v>171</v>
      </c>
      <c r="H972" s="2001">
        <f>'SSR-rates'!$H$100</f>
        <v>1205.8</v>
      </c>
      <c r="I972" s="2001" t="s">
        <v>41</v>
      </c>
      <c r="J972" s="2001">
        <f t="shared" ref="J972:J977" si="3">ROUND(B972*H972,2)</f>
        <v>7234.8</v>
      </c>
      <c r="L972" s="2001"/>
    </row>
    <row r="973" spans="1:12" s="1931" customFormat="1">
      <c r="A973" s="1994"/>
      <c r="B973" s="2000">
        <v>6</v>
      </c>
      <c r="C973" s="1994" t="s">
        <v>41</v>
      </c>
      <c r="D973" s="1931" t="s">
        <v>172</v>
      </c>
      <c r="H973" s="2001">
        <f>'SSR-rates'!$H$102</f>
        <v>1261</v>
      </c>
      <c r="I973" s="2001" t="s">
        <v>41</v>
      </c>
      <c r="J973" s="2001">
        <f t="shared" si="3"/>
        <v>7566</v>
      </c>
    </row>
    <row r="974" spans="1:12" s="1931" customFormat="1">
      <c r="A974" s="1994"/>
      <c r="B974" s="2000">
        <v>6</v>
      </c>
      <c r="C974" s="1994" t="s">
        <v>41</v>
      </c>
      <c r="D974" s="1931" t="s">
        <v>173</v>
      </c>
      <c r="H974" s="2001">
        <f>'SSR-rates'!$H$65</f>
        <v>1844</v>
      </c>
      <c r="I974" s="2001" t="s">
        <v>41</v>
      </c>
      <c r="J974" s="2001">
        <f t="shared" si="3"/>
        <v>11064</v>
      </c>
    </row>
    <row r="975" spans="1:12" s="1931" customFormat="1">
      <c r="A975" s="1994"/>
      <c r="B975" s="2000">
        <v>15</v>
      </c>
      <c r="C975" s="1994" t="s">
        <v>41</v>
      </c>
      <c r="D975" s="1931" t="s">
        <v>174</v>
      </c>
      <c r="H975" s="2001">
        <f>'SSR-rates'!$H$104</f>
        <v>2532.4</v>
      </c>
      <c r="I975" s="2001" t="s">
        <v>41</v>
      </c>
      <c r="J975" s="2001">
        <f t="shared" si="3"/>
        <v>37986</v>
      </c>
    </row>
    <row r="976" spans="1:12" s="1931" customFormat="1">
      <c r="A976" s="1994"/>
      <c r="B976" s="2000">
        <v>300</v>
      </c>
      <c r="C976" s="1994" t="s">
        <v>180</v>
      </c>
      <c r="D976" s="3291" t="s">
        <v>176</v>
      </c>
      <c r="E976" s="3291"/>
      <c r="F976" s="3291"/>
      <c r="G976" s="3291"/>
      <c r="H976" s="2001">
        <v>0</v>
      </c>
      <c r="I976" s="2001" t="s">
        <v>41</v>
      </c>
      <c r="J976" s="2001">
        <f t="shared" si="3"/>
        <v>0</v>
      </c>
    </row>
    <row r="977" spans="1:10" s="1931" customFormat="1">
      <c r="A977" s="1994"/>
      <c r="B977" s="2000">
        <v>6</v>
      </c>
      <c r="C977" s="1994" t="s">
        <v>41</v>
      </c>
      <c r="D977" s="1995" t="s">
        <v>177</v>
      </c>
      <c r="H977" s="2001">
        <f>'SSR-rates'!$H$106</f>
        <v>899</v>
      </c>
      <c r="I977" s="2001" t="s">
        <v>41</v>
      </c>
      <c r="J977" s="2001">
        <f t="shared" si="3"/>
        <v>5394</v>
      </c>
    </row>
    <row r="978" spans="1:10">
      <c r="B978" s="1954"/>
      <c r="C978" s="1937"/>
      <c r="D978" s="1936" t="s">
        <v>60</v>
      </c>
      <c r="H978" s="1950"/>
      <c r="I978" s="1950"/>
      <c r="J978" s="1950">
        <f>SUM(J972:J977)</f>
        <v>69244.800000000003</v>
      </c>
    </row>
    <row r="979" spans="1:10">
      <c r="B979" s="1964" t="s">
        <v>45</v>
      </c>
      <c r="C979" s="1971" t="s">
        <v>71</v>
      </c>
      <c r="H979" s="1950"/>
      <c r="I979" s="1950"/>
      <c r="J979" s="1950"/>
    </row>
    <row r="980" spans="1:10">
      <c r="B980" s="1936">
        <v>10</v>
      </c>
      <c r="C980" s="1933" t="s">
        <v>29</v>
      </c>
      <c r="D980" s="1930" t="s">
        <v>181</v>
      </c>
      <c r="H980" s="1950">
        <f>J962+J970+J978</f>
        <v>619730.70000000007</v>
      </c>
      <c r="I980" s="1965" t="s">
        <v>73</v>
      </c>
      <c r="J980" s="1950">
        <f>ROUND(B980*H980/100,2)</f>
        <v>61973.07</v>
      </c>
    </row>
    <row r="981" spans="1:10">
      <c r="A981" s="1962"/>
      <c r="B981" s="1964" t="s">
        <v>47</v>
      </c>
      <c r="C981" s="1962" t="s">
        <v>272</v>
      </c>
      <c r="F981" s="1933"/>
      <c r="G981" s="1933"/>
      <c r="H981" s="1933"/>
      <c r="I981" s="1933"/>
      <c r="J981" s="1990"/>
    </row>
    <row r="982" spans="1:10">
      <c r="A982" s="1962"/>
      <c r="B982" s="1955">
        <f>'Input Data'!$D$24</f>
        <v>0.13614999999999999</v>
      </c>
      <c r="C982" s="1937" t="s">
        <v>273</v>
      </c>
      <c r="D982" s="1936"/>
      <c r="F982" s="1933"/>
      <c r="G982" s="1933"/>
      <c r="H982" s="1937">
        <f>J980+J978+J970+J962</f>
        <v>681703.77</v>
      </c>
      <c r="I982" s="1933"/>
      <c r="J982" s="1950"/>
    </row>
    <row r="983" spans="1:10">
      <c r="A983" s="1962"/>
      <c r="B983" s="1964" t="s">
        <v>76</v>
      </c>
      <c r="C983" s="1962" t="s">
        <v>77</v>
      </c>
      <c r="F983" s="1933"/>
      <c r="G983" s="1933"/>
      <c r="H983" s="1933"/>
      <c r="I983" s="1933"/>
      <c r="J983" s="2019">
        <f>J962+J970+J978+J980+J982</f>
        <v>681703.77</v>
      </c>
    </row>
    <row r="984" spans="1:10">
      <c r="A984" s="1962"/>
      <c r="B984" s="1964" t="s">
        <v>78</v>
      </c>
      <c r="C984" s="1962" t="s">
        <v>79</v>
      </c>
      <c r="F984" s="1933"/>
      <c r="G984" s="1933"/>
      <c r="H984" s="1933"/>
      <c r="I984" s="1933"/>
      <c r="J984" s="1990"/>
    </row>
    <row r="985" spans="1:10">
      <c r="B985" s="1954"/>
      <c r="C985" s="1933"/>
      <c r="D985" s="1971" t="s">
        <v>158</v>
      </c>
      <c r="H985" s="1950"/>
      <c r="I985" s="1950"/>
      <c r="J985" s="2019">
        <f>SUM(J983:J984)</f>
        <v>681703.77</v>
      </c>
    </row>
    <row r="986" spans="1:10">
      <c r="B986" s="1954"/>
      <c r="C986" s="1933"/>
      <c r="D986" s="1936" t="s">
        <v>81</v>
      </c>
      <c r="H986" s="1950"/>
      <c r="I986" s="1950"/>
      <c r="J986" s="1950">
        <f>ROUND(J985/120,2)</f>
        <v>5680.86</v>
      </c>
    </row>
    <row r="987" spans="1:10">
      <c r="D987" s="1936" t="s">
        <v>52</v>
      </c>
      <c r="H987" s="1950"/>
      <c r="I987" s="1950"/>
      <c r="J987" s="1991">
        <f>ROUND(J986,0)</f>
        <v>5681</v>
      </c>
    </row>
    <row r="988" spans="1:10">
      <c r="D988" s="1936"/>
      <c r="H988" s="1950"/>
      <c r="I988" s="1950"/>
      <c r="J988" s="1990" t="s">
        <v>53</v>
      </c>
    </row>
    <row r="989" spans="1:10">
      <c r="D989" s="1936"/>
      <c r="H989" s="1950"/>
      <c r="I989" s="1950"/>
      <c r="J989" s="1990"/>
    </row>
    <row r="990" spans="1:10">
      <c r="D990" s="3233" t="s">
        <v>274</v>
      </c>
      <c r="E990" s="3233"/>
      <c r="F990" s="3233"/>
      <c r="G990" s="3233"/>
      <c r="H990" s="1950"/>
      <c r="I990" s="1950"/>
      <c r="J990" s="1990"/>
    </row>
    <row r="991" spans="1:10">
      <c r="B991" s="1946">
        <v>3</v>
      </c>
      <c r="C991" s="2024" t="s">
        <v>73</v>
      </c>
      <c r="D991" s="3234" t="s">
        <v>275</v>
      </c>
      <c r="E991" s="3234"/>
      <c r="F991" s="3234"/>
      <c r="G991" s="3234"/>
      <c r="H991" s="1956">
        <f>$J$987</f>
        <v>5681</v>
      </c>
      <c r="I991" s="1946">
        <v>1</v>
      </c>
      <c r="J991" s="1977">
        <f>ROUND(B991*H991,2)</f>
        <v>17043</v>
      </c>
    </row>
    <row r="992" spans="1:10">
      <c r="A992" s="2022"/>
      <c r="B992" s="1941"/>
      <c r="C992" s="1947"/>
      <c r="D992" s="3233" t="s">
        <v>262</v>
      </c>
      <c r="E992" s="3233"/>
      <c r="F992" s="3233"/>
      <c r="G992" s="3233"/>
      <c r="H992" s="1941"/>
      <c r="I992" s="1941"/>
      <c r="J992" s="1974"/>
    </row>
    <row r="993" spans="1:10">
      <c r="A993" s="2022"/>
      <c r="B993" s="1946">
        <v>0.04</v>
      </c>
      <c r="C993" s="2024" t="s">
        <v>13</v>
      </c>
      <c r="D993" s="3234" t="s">
        <v>14</v>
      </c>
      <c r="E993" s="3234"/>
      <c r="F993" s="3234"/>
      <c r="G993" s="3234"/>
      <c r="H993" s="1956">
        <f>'SSR-rates'!$H$58</f>
        <v>490</v>
      </c>
      <c r="I993" s="1946">
        <v>1</v>
      </c>
      <c r="J993" s="1975">
        <f>ROUND(B993*H993,2)</f>
        <v>19.600000000000001</v>
      </c>
    </row>
    <row r="994" spans="1:10">
      <c r="A994" s="2022"/>
      <c r="B994" s="1946">
        <v>1</v>
      </c>
      <c r="C994" s="2024" t="s">
        <v>13</v>
      </c>
      <c r="D994" s="3234" t="s">
        <v>59</v>
      </c>
      <c r="E994" s="3234"/>
      <c r="F994" s="3234"/>
      <c r="G994" s="3234"/>
      <c r="H994" s="1956">
        <f>'SSR-rates'!$H$60</f>
        <v>490</v>
      </c>
      <c r="I994" s="1946">
        <v>1</v>
      </c>
      <c r="J994" s="1975">
        <f>ROUND(B994*H994,2)</f>
        <v>490</v>
      </c>
    </row>
    <row r="995" spans="1:10" ht="15" customHeight="1">
      <c r="A995" s="2022"/>
      <c r="B995" s="1951">
        <f>'Input Data'!$D$23</f>
        <v>0</v>
      </c>
      <c r="C995" s="1937"/>
      <c r="D995" s="1930" t="s">
        <v>17</v>
      </c>
      <c r="F995" s="1933"/>
      <c r="G995" s="1933"/>
      <c r="H995" s="1950"/>
      <c r="I995" s="1965"/>
      <c r="J995" s="1950">
        <f>B995*H995</f>
        <v>0</v>
      </c>
    </row>
    <row r="996" spans="1:10">
      <c r="A996" s="2022"/>
      <c r="B996" s="1946"/>
      <c r="C996" s="2025"/>
      <c r="D996" s="3235" t="s">
        <v>18</v>
      </c>
      <c r="E996" s="3235"/>
      <c r="F996" s="3235"/>
      <c r="G996" s="3235"/>
      <c r="H996" s="1946"/>
      <c r="I996" s="1976" t="s">
        <v>19</v>
      </c>
      <c r="J996" s="1977">
        <f>SUM(J993:J995)</f>
        <v>509.6</v>
      </c>
    </row>
    <row r="997" spans="1:10">
      <c r="A997" s="2022"/>
      <c r="B997" s="1946"/>
      <c r="C997" s="2026"/>
      <c r="D997" s="3233" t="s">
        <v>189</v>
      </c>
      <c r="E997" s="3233"/>
      <c r="F997" s="3233"/>
      <c r="G997" s="3233"/>
      <c r="H997" s="1946"/>
      <c r="I997" s="1946"/>
      <c r="J997" s="1975"/>
    </row>
    <row r="998" spans="1:10">
      <c r="A998" s="2022"/>
      <c r="B998" s="1946">
        <v>0.28000000000000003</v>
      </c>
      <c r="C998" s="2024" t="s">
        <v>66</v>
      </c>
      <c r="D998" s="3234" t="s">
        <v>190</v>
      </c>
      <c r="E998" s="3234"/>
      <c r="F998" s="3234"/>
      <c r="G998" s="3234"/>
      <c r="H998" s="1946">
        <f>lead!$J$37</f>
        <v>49000</v>
      </c>
      <c r="I998" s="1946">
        <v>1</v>
      </c>
      <c r="J998" s="1975">
        <f>ROUND(B998*H998,2)</f>
        <v>13720</v>
      </c>
    </row>
    <row r="999" spans="1:10">
      <c r="A999" s="2022"/>
      <c r="B999" s="1946">
        <v>0.32</v>
      </c>
      <c r="C999" s="2024" t="s">
        <v>191</v>
      </c>
      <c r="D999" s="3237" t="s">
        <v>276</v>
      </c>
      <c r="E999" s="3237"/>
      <c r="F999" s="3237"/>
      <c r="G999" s="3237"/>
      <c r="H999" s="1946">
        <v>724.9</v>
      </c>
      <c r="I999" s="1946">
        <v>1</v>
      </c>
      <c r="J999" s="1975">
        <f>H999*B999</f>
        <v>231.96799999999999</v>
      </c>
    </row>
    <row r="1000" spans="1:10">
      <c r="A1000" s="2022"/>
      <c r="B1000" s="1946"/>
      <c r="C1000" s="2025"/>
      <c r="D1000" s="3235" t="s">
        <v>18</v>
      </c>
      <c r="E1000" s="3235"/>
      <c r="F1000" s="3235"/>
      <c r="G1000" s="3235"/>
      <c r="H1000" s="1946"/>
      <c r="I1000" s="1976" t="s">
        <v>25</v>
      </c>
      <c r="J1000" s="1977">
        <f>SUM(J998:J999)</f>
        <v>13951.968000000001</v>
      </c>
    </row>
    <row r="1001" spans="1:10">
      <c r="A1001" s="2022"/>
      <c r="B1001" s="1956"/>
      <c r="C1001" s="2027"/>
      <c r="D1001" s="3233" t="s">
        <v>26</v>
      </c>
      <c r="E1001" s="3233"/>
      <c r="F1001" s="3233"/>
      <c r="G1001" s="3233"/>
      <c r="H1001" s="1956"/>
      <c r="I1001" s="2038"/>
      <c r="J1001" s="1980">
        <f>J996+J1000+J991</f>
        <v>31504.567999999999</v>
      </c>
    </row>
    <row r="1002" spans="1:10">
      <c r="A1002" s="2022"/>
      <c r="B1002" s="1957">
        <v>5</v>
      </c>
      <c r="C1002" s="2027" t="s">
        <v>29</v>
      </c>
      <c r="D1002" s="3233" t="s">
        <v>193</v>
      </c>
      <c r="E1002" s="3233"/>
      <c r="F1002" s="3233"/>
      <c r="G1002" s="3233"/>
      <c r="H1002" s="1956">
        <f>J1001</f>
        <v>31504.567999999999</v>
      </c>
      <c r="I1002" s="1978"/>
      <c r="J1002" s="1979">
        <f>ROUND(B1002*H1002/100,2)</f>
        <v>1575.23</v>
      </c>
    </row>
    <row r="1003" spans="1:10">
      <c r="A1003" s="2022"/>
      <c r="B1003" s="1956"/>
      <c r="C1003" s="2027"/>
      <c r="D1003" s="3233"/>
      <c r="E1003" s="3233"/>
      <c r="F1003" s="3233"/>
      <c r="G1003" s="3233"/>
      <c r="H1003" s="1956"/>
      <c r="I1003" s="1978"/>
      <c r="J1003" s="1979"/>
    </row>
    <row r="1004" spans="1:10">
      <c r="A1004" s="2022"/>
      <c r="B1004" s="1956">
        <v>10</v>
      </c>
      <c r="C1004" s="2027" t="s">
        <v>29</v>
      </c>
      <c r="D1004" s="3233" t="s">
        <v>30</v>
      </c>
      <c r="E1004" s="3233"/>
      <c r="F1004" s="3233"/>
      <c r="G1004" s="3233"/>
      <c r="H1004" s="1956">
        <f>J1001+J1002</f>
        <v>33079.798000000003</v>
      </c>
      <c r="I1004" s="1978"/>
      <c r="J1004" s="1979">
        <f>ROUND(B1004*H1004/100,2)</f>
        <v>3307.98</v>
      </c>
    </row>
    <row r="1005" spans="1:10">
      <c r="A1005" s="2022"/>
      <c r="B1005" s="1956"/>
      <c r="C1005" s="2027"/>
      <c r="D1005" s="3233"/>
      <c r="E1005" s="3233"/>
      <c r="F1005" s="3233"/>
      <c r="G1005" s="3233"/>
      <c r="H1005" s="1956"/>
      <c r="I1005" s="1978"/>
      <c r="J1005" s="1980"/>
    </row>
    <row r="1006" spans="1:10">
      <c r="A1006" s="2022"/>
      <c r="B1006" s="1957">
        <v>10</v>
      </c>
      <c r="C1006" s="2027" t="s">
        <v>107</v>
      </c>
      <c r="D1006" s="3235" t="str">
        <f>CONCATENATE("TOTAL Cost for ",B1006,"  ",C1006,"  =  (A+B+C+D)",)</f>
        <v>TOTAL Cost for 10  RM  =  (A+B+C+D)</v>
      </c>
      <c r="E1006" s="3235"/>
      <c r="F1006" s="3235"/>
      <c r="G1006" s="3235"/>
      <c r="H1006" s="1956"/>
      <c r="I1006" s="1956"/>
      <c r="J1006" s="1979">
        <f>SUM(J1001:J1004)</f>
        <v>36387.778000000006</v>
      </c>
    </row>
    <row r="1007" spans="1:10">
      <c r="A1007" s="2022"/>
      <c r="B1007" s="1956"/>
      <c r="C1007" s="1956"/>
      <c r="D1007" s="3237" t="str">
        <f>CONCATENATE("Rate per  1 ",C1006)</f>
        <v>Rate per  1 RM</v>
      </c>
      <c r="E1007" s="3237"/>
      <c r="F1007" s="3237"/>
      <c r="G1007" s="3237"/>
      <c r="H1007" s="1956"/>
      <c r="I1007" s="1956"/>
      <c r="J1007" s="1975">
        <f>J1006/B1006</f>
        <v>3638.7778000000008</v>
      </c>
    </row>
    <row r="1008" spans="1:10">
      <c r="A1008" s="2022"/>
      <c r="B1008" s="1946"/>
      <c r="C1008" s="1946"/>
      <c r="D1008" s="3259" t="str">
        <f>D1007</f>
        <v>Rate per  1 RM</v>
      </c>
      <c r="E1008" s="3259"/>
      <c r="F1008" s="3259"/>
      <c r="G1008" s="3259"/>
      <c r="H1008" s="1956"/>
      <c r="I1008" s="1956"/>
      <c r="J1008" s="1977">
        <f>ROUND(J1007,0)</f>
        <v>3639</v>
      </c>
    </row>
    <row r="1013" spans="1:10" s="1931" customFormat="1" ht="111" customHeight="1">
      <c r="A1013" s="1993">
        <v>7.17</v>
      </c>
      <c r="B1013" s="3250" t="s">
        <v>277</v>
      </c>
      <c r="C1013" s="3250"/>
      <c r="D1013" s="3250"/>
      <c r="E1013" s="3250"/>
      <c r="F1013" s="3250"/>
      <c r="G1013" s="3250"/>
      <c r="H1013" s="3250"/>
      <c r="I1013" s="3250"/>
      <c r="J1013" s="3250"/>
    </row>
    <row r="1014" spans="1:10" s="1931" customFormat="1" ht="15.6">
      <c r="A1014" s="1994"/>
      <c r="D1014" s="1995" t="s">
        <v>102</v>
      </c>
      <c r="F1014" s="1996" t="s">
        <v>103</v>
      </c>
    </row>
    <row r="1015" spans="1:10" s="1931" customFormat="1">
      <c r="A1015" s="1994"/>
      <c r="D1015" s="1995" t="s">
        <v>104</v>
      </c>
    </row>
    <row r="1016" spans="1:10" s="1931" customFormat="1" ht="15.6">
      <c r="A1016" s="1994"/>
      <c r="D1016" s="1997" t="s">
        <v>105</v>
      </c>
    </row>
    <row r="1017" spans="1:10" s="1931" customFormat="1" ht="15.6">
      <c r="A1017" s="1994"/>
      <c r="B1017" s="1998" t="s">
        <v>36</v>
      </c>
      <c r="C1017" s="1999" t="s">
        <v>37</v>
      </c>
    </row>
    <row r="1018" spans="1:10" s="1931" customFormat="1">
      <c r="A1018" s="1994"/>
      <c r="B1018" s="2000">
        <v>0.36</v>
      </c>
      <c r="C1018" s="1994" t="s">
        <v>106</v>
      </c>
      <c r="D1018" s="1995" t="s">
        <v>14</v>
      </c>
      <c r="H1018" s="2001">
        <f>'SSR-rates'!$H$58</f>
        <v>490</v>
      </c>
      <c r="I1018" s="2005" t="s">
        <v>38</v>
      </c>
      <c r="J1018" s="2001">
        <f>ROUND(B1018*H1018,2)</f>
        <v>176.4</v>
      </c>
    </row>
    <row r="1019" spans="1:10" s="1931" customFormat="1">
      <c r="A1019" s="1994"/>
      <c r="B1019" s="2000">
        <v>1</v>
      </c>
      <c r="C1019" s="1994" t="s">
        <v>106</v>
      </c>
      <c r="D1019" s="1995" t="s">
        <v>58</v>
      </c>
      <c r="H1019" s="2001">
        <f>'SSR-rates'!$H$59</f>
        <v>524</v>
      </c>
      <c r="I1019" s="2005" t="s">
        <v>38</v>
      </c>
      <c r="J1019" s="2001">
        <f>ROUND(B1019*H1019,2)</f>
        <v>524</v>
      </c>
    </row>
    <row r="1020" spans="1:10" s="1931" customFormat="1">
      <c r="A1020" s="1994"/>
      <c r="B1020" s="2000">
        <v>8</v>
      </c>
      <c r="C1020" s="1994" t="s">
        <v>106</v>
      </c>
      <c r="D1020" s="1995" t="s">
        <v>59</v>
      </c>
      <c r="H1020" s="2001">
        <f>'SSR-rates'!$H$60</f>
        <v>490</v>
      </c>
      <c r="I1020" s="2005" t="s">
        <v>38</v>
      </c>
      <c r="J1020" s="2001">
        <f>ROUND(B1020*H1020,2)</f>
        <v>3920</v>
      </c>
    </row>
    <row r="1021" spans="1:10" s="1931" customFormat="1" ht="15.6">
      <c r="A1021" s="1996"/>
      <c r="B1021" s="2002">
        <f>'Input Data'!$D$23</f>
        <v>0</v>
      </c>
      <c r="C1021" s="2003"/>
      <c r="D1021" s="1931" t="s">
        <v>17</v>
      </c>
      <c r="F1021" s="1994"/>
      <c r="G1021" s="1994"/>
      <c r="H1021" s="2001">
        <f>SUM(J1018:J1020)</f>
        <v>4620.3999999999996</v>
      </c>
      <c r="I1021" s="2005"/>
      <c r="J1021" s="2001">
        <f>B1021*H1021</f>
        <v>0</v>
      </c>
    </row>
    <row r="1022" spans="1:10" s="1931" customFormat="1">
      <c r="A1022" s="1994"/>
      <c r="B1022" s="2000"/>
      <c r="D1022" s="1995" t="s">
        <v>60</v>
      </c>
      <c r="H1022" s="2001"/>
      <c r="I1022" s="2001"/>
      <c r="J1022" s="2001">
        <f>SUM(J1018:J1021)</f>
        <v>4620.3999999999996</v>
      </c>
    </row>
    <row r="1023" spans="1:10" s="1931" customFormat="1" ht="15.6">
      <c r="A1023" s="1994"/>
      <c r="B1023" s="1998" t="s">
        <v>39</v>
      </c>
      <c r="C1023" s="1999" t="s">
        <v>61</v>
      </c>
      <c r="H1023" s="2001"/>
      <c r="I1023" s="2001"/>
      <c r="J1023" s="2001"/>
    </row>
    <row r="1024" spans="1:10" s="1931" customFormat="1">
      <c r="A1024" s="1994"/>
      <c r="B1024" s="2000">
        <v>25</v>
      </c>
      <c r="C1024" s="1994" t="s">
        <v>107</v>
      </c>
      <c r="D1024" s="1995" t="s">
        <v>108</v>
      </c>
      <c r="H1024" s="2001">
        <f>lead!$J$44</f>
        <v>11330.080326981471</v>
      </c>
      <c r="I1024" s="2001" t="s">
        <v>107</v>
      </c>
      <c r="J1024" s="2001">
        <f>ROUND(B1024*H1024,2)</f>
        <v>283252.01</v>
      </c>
    </row>
    <row r="1025" spans="1:10" s="1931" customFormat="1">
      <c r="A1025" s="1994"/>
      <c r="B1025" s="2000"/>
      <c r="C1025" s="2003"/>
      <c r="D1025" s="1995" t="s">
        <v>60</v>
      </c>
      <c r="H1025" s="2001"/>
      <c r="I1025" s="2001"/>
      <c r="J1025" s="2001">
        <f>SUM(J1024:J1024)</f>
        <v>283252.01</v>
      </c>
    </row>
    <row r="1026" spans="1:10" s="1931" customFormat="1" ht="15.6">
      <c r="A1026" s="1996"/>
      <c r="B1026" s="1998" t="s">
        <v>27</v>
      </c>
      <c r="C1026" s="1996" t="s">
        <v>272</v>
      </c>
      <c r="F1026" s="1994"/>
      <c r="G1026" s="1994"/>
      <c r="H1026" s="1994"/>
      <c r="I1026" s="1994"/>
      <c r="J1026" s="2006"/>
    </row>
    <row r="1027" spans="1:10" s="1931" customFormat="1" ht="15.6">
      <c r="A1027" s="1996"/>
      <c r="B1027" s="2004">
        <f>'Input Data'!$D$25</f>
        <v>0.19614999999999999</v>
      </c>
      <c r="C1027" s="2003"/>
      <c r="D1027" s="1995" t="str">
        <f>"Over head charges "&amp;'Input Data'!$D$25*100&amp;"%  on (A) + (B)"</f>
        <v>Over head charges 19.615%  on (A) + (B)</v>
      </c>
      <c r="F1027" s="1994"/>
      <c r="G1027" s="1994"/>
      <c r="H1027" s="2003">
        <f>J1025+J1022</f>
        <v>287872.41000000003</v>
      </c>
      <c r="I1027" s="1994"/>
      <c r="J1027" s="2001">
        <f>H1027*B1027</f>
        <v>56466.173221500001</v>
      </c>
    </row>
    <row r="1028" spans="1:10" s="1931" customFormat="1" ht="15.6">
      <c r="A1028" s="1996"/>
      <c r="B1028" s="1998" t="s">
        <v>45</v>
      </c>
      <c r="C1028" s="1996" t="s">
        <v>46</v>
      </c>
      <c r="F1028" s="1994"/>
      <c r="G1028" s="1994"/>
      <c r="H1028" s="1994"/>
      <c r="I1028" s="1994"/>
      <c r="J1028" s="2006">
        <f>J1022+J1025+J1027</f>
        <v>344338.58322150004</v>
      </c>
    </row>
    <row r="1029" spans="1:10" s="1931" customFormat="1" ht="15.6">
      <c r="A1029" s="1996"/>
      <c r="B1029" s="1998" t="s">
        <v>47</v>
      </c>
      <c r="C1029" s="1996" t="s">
        <v>48</v>
      </c>
      <c r="F1029" s="1994"/>
      <c r="G1029" s="1994"/>
      <c r="H1029" s="1994"/>
      <c r="I1029" s="1994"/>
      <c r="J1029" s="2006">
        <f>J1028*10/100</f>
        <v>34433.858322150001</v>
      </c>
    </row>
    <row r="1030" spans="1:10" s="1931" customFormat="1" ht="15.6">
      <c r="A1030" s="1994"/>
      <c r="B1030" s="2000"/>
      <c r="C1030" s="1994"/>
      <c r="D1030" s="1999" t="s">
        <v>110</v>
      </c>
      <c r="H1030" s="2001"/>
      <c r="I1030" s="2001"/>
      <c r="J1030" s="2006">
        <f>SUM(J1028:J1029)</f>
        <v>378772.44154365006</v>
      </c>
    </row>
    <row r="1031" spans="1:10" s="1931" customFormat="1">
      <c r="A1031" s="1994"/>
      <c r="B1031" s="2000"/>
      <c r="C1031" s="1994"/>
      <c r="D1031" s="1995" t="s">
        <v>111</v>
      </c>
      <c r="H1031" s="2001"/>
      <c r="I1031" s="2001"/>
      <c r="J1031" s="2001">
        <f>ROUND(J1030/12.5,2)</f>
        <v>30301.8</v>
      </c>
    </row>
    <row r="1032" spans="1:10" s="1931" customFormat="1" ht="15.6">
      <c r="A1032" s="1994"/>
      <c r="D1032" s="1995" t="s">
        <v>52</v>
      </c>
      <c r="H1032" s="2001"/>
      <c r="I1032" s="2001"/>
      <c r="J1032" s="2007">
        <f>ROUND(J1031,0)</f>
        <v>30302</v>
      </c>
    </row>
    <row r="1033" spans="1:10" s="1931" customFormat="1" ht="15.6">
      <c r="A1033" s="1994"/>
      <c r="D1033" s="1995"/>
      <c r="H1033" s="2001"/>
      <c r="I1033" s="2001"/>
      <c r="J1033" s="2006" t="s">
        <v>112</v>
      </c>
    </row>
    <row r="1051" spans="1:10" ht="126.75" customHeight="1">
      <c r="A1051" s="2008" t="s">
        <v>278</v>
      </c>
      <c r="B1051" s="3238" t="s">
        <v>279</v>
      </c>
      <c r="C1051" s="3238"/>
      <c r="D1051" s="3238"/>
      <c r="E1051" s="3238"/>
      <c r="F1051" s="3238"/>
      <c r="G1051" s="3238"/>
      <c r="H1051" s="3238"/>
      <c r="I1051" s="3238"/>
      <c r="J1051" s="3238"/>
    </row>
    <row r="1052" spans="1:10">
      <c r="D1052" s="1936" t="s">
        <v>10</v>
      </c>
      <c r="F1052" s="1962" t="s">
        <v>280</v>
      </c>
      <c r="J1052" s="1930"/>
    </row>
    <row r="1053" spans="1:10">
      <c r="D1053" s="1936" t="s">
        <v>170</v>
      </c>
      <c r="J1053" s="1930"/>
    </row>
    <row r="1054" spans="1:10">
      <c r="B1054" s="1964" t="s">
        <v>36</v>
      </c>
      <c r="C1054" s="1971" t="s">
        <v>37</v>
      </c>
      <c r="J1054" s="1930"/>
    </row>
    <row r="1055" spans="1:10">
      <c r="B1055" s="1954">
        <v>0.84</v>
      </c>
      <c r="C1055" s="1933" t="s">
        <v>57</v>
      </c>
      <c r="D1055" s="1936" t="s">
        <v>156</v>
      </c>
      <c r="H1055" s="1950">
        <f>'SSR-rates'!H$58</f>
        <v>490</v>
      </c>
      <c r="I1055" s="1965" t="s">
        <v>38</v>
      </c>
      <c r="J1055" s="1954">
        <f>ROUND(B1055*H1055,2)</f>
        <v>411.6</v>
      </c>
    </row>
    <row r="1056" spans="1:10">
      <c r="B1056" s="1954">
        <v>3</v>
      </c>
      <c r="C1056" s="1933" t="s">
        <v>57</v>
      </c>
      <c r="D1056" s="1936" t="s">
        <v>58</v>
      </c>
      <c r="H1056" s="1950">
        <v>357</v>
      </c>
      <c r="I1056" s="1965" t="s">
        <v>38</v>
      </c>
      <c r="J1056" s="1954">
        <f>ROUND(B1056*H1056,2)</f>
        <v>1071</v>
      </c>
    </row>
    <row r="1057" spans="1:11">
      <c r="B1057" s="1954">
        <v>18</v>
      </c>
      <c r="C1057" s="1933" t="s">
        <v>57</v>
      </c>
      <c r="D1057" s="1936" t="s">
        <v>59</v>
      </c>
      <c r="H1057" s="1950">
        <f>'SSR-rates'!H$60</f>
        <v>490</v>
      </c>
      <c r="I1057" s="1965" t="s">
        <v>38</v>
      </c>
      <c r="J1057" s="1954">
        <f>ROUND(B1057*H1057,2)</f>
        <v>8820</v>
      </c>
    </row>
    <row r="1058" spans="1:11">
      <c r="A1058" s="1962"/>
      <c r="B1058" s="1951">
        <f>'Input Data'!$D$23</f>
        <v>0</v>
      </c>
      <c r="C1058" s="1937"/>
      <c r="D1058" s="1930" t="s">
        <v>17</v>
      </c>
      <c r="F1058" s="1933"/>
      <c r="G1058" s="1933"/>
      <c r="H1058" s="1950">
        <f>SUM(J1056:J1057)</f>
        <v>9891</v>
      </c>
      <c r="I1058" s="1965"/>
      <c r="J1058" s="1950">
        <f>B1058*H1058</f>
        <v>0</v>
      </c>
    </row>
    <row r="1059" spans="1:11">
      <c r="B1059" s="1954"/>
      <c r="C1059" s="1933"/>
      <c r="D1059" s="1936" t="s">
        <v>60</v>
      </c>
      <c r="H1059" s="1950"/>
      <c r="I1059" s="1950"/>
      <c r="J1059" s="1954">
        <f>SUM(J1055:J1058)</f>
        <v>10302.6</v>
      </c>
    </row>
    <row r="1060" spans="1:11">
      <c r="B1060" s="1964" t="s">
        <v>39</v>
      </c>
      <c r="C1060" s="1971" t="s">
        <v>61</v>
      </c>
      <c r="H1060" s="1950"/>
      <c r="I1060" s="1950"/>
      <c r="J1060" s="1950"/>
    </row>
    <row r="1061" spans="1:11">
      <c r="B1061" s="1954">
        <v>64.8</v>
      </c>
      <c r="C1061" s="1933" t="s">
        <v>31</v>
      </c>
      <c r="D1061" s="1930" t="s">
        <v>63</v>
      </c>
      <c r="H1061" s="1950">
        <f>lead!J$16</f>
        <v>1889.8641904678079</v>
      </c>
      <c r="I1061" s="1950" t="s">
        <v>31</v>
      </c>
      <c r="J1061" s="1950">
        <f>ROUND(B1061*H1061,2)</f>
        <v>122463.2</v>
      </c>
    </row>
    <row r="1062" spans="1:11">
      <c r="B1062" s="1954">
        <v>43.2</v>
      </c>
      <c r="C1062" s="1933" t="s">
        <v>31</v>
      </c>
      <c r="D1062" s="1930" t="s">
        <v>64</v>
      </c>
      <c r="H1062" s="1950">
        <f>lead!J$18</f>
        <v>1638.8641904678079</v>
      </c>
      <c r="I1062" s="1950" t="s">
        <v>31</v>
      </c>
      <c r="J1062" s="1950">
        <f>ROUND(B1062*H1062,2)</f>
        <v>70798.929999999993</v>
      </c>
    </row>
    <row r="1063" spans="1:11">
      <c r="B1063" s="1954">
        <v>54</v>
      </c>
      <c r="C1063" s="1933" t="s">
        <v>31</v>
      </c>
      <c r="D1063" s="1936" t="s">
        <v>65</v>
      </c>
      <c r="H1063" s="1950">
        <f>lead!J12</f>
        <v>1568.1141904678079</v>
      </c>
      <c r="I1063" s="1950" t="s">
        <v>31</v>
      </c>
      <c r="J1063" s="1950">
        <f>ROUND(B1063*H1063,2)</f>
        <v>84678.17</v>
      </c>
    </row>
    <row r="1064" spans="1:11">
      <c r="B1064" s="2067">
        <v>48.38</v>
      </c>
      <c r="C1064" s="1933" t="s">
        <v>66</v>
      </c>
      <c r="D1064" s="1936" t="s">
        <v>67</v>
      </c>
      <c r="H1064" s="1950">
        <f>lead!J$36</f>
        <v>5000</v>
      </c>
      <c r="I1064" s="1950" t="s">
        <v>66</v>
      </c>
      <c r="J1064" s="1950">
        <f>ROUND(B1064*H1064,2)</f>
        <v>241900</v>
      </c>
    </row>
    <row r="1065" spans="1:11">
      <c r="B1065" s="1936"/>
      <c r="D1065" s="1936" t="s">
        <v>60</v>
      </c>
      <c r="H1065" s="1950"/>
      <c r="I1065" s="1950"/>
      <c r="J1065" s="1950">
        <f>SUM(J1061:J1064)</f>
        <v>519840.3</v>
      </c>
      <c r="K1065" s="1936"/>
    </row>
    <row r="1066" spans="1:11">
      <c r="B1066" s="1964" t="s">
        <v>27</v>
      </c>
      <c r="C1066" s="1971" t="s">
        <v>40</v>
      </c>
      <c r="H1066" s="1950"/>
      <c r="I1066" s="1950"/>
      <c r="J1066" s="1950"/>
    </row>
    <row r="1067" spans="1:11">
      <c r="B1067" s="1954">
        <v>6</v>
      </c>
      <c r="C1067" s="1933" t="s">
        <v>41</v>
      </c>
      <c r="D1067" s="1930" t="s">
        <v>171</v>
      </c>
      <c r="H1067" s="1950">
        <f>'SSR-rates'!H$100</f>
        <v>1205.8</v>
      </c>
      <c r="I1067" s="1950" t="s">
        <v>41</v>
      </c>
      <c r="J1067" s="1950">
        <f>ROUND(B1067*H1067,2)</f>
        <v>7234.8</v>
      </c>
    </row>
    <row r="1068" spans="1:11">
      <c r="B1068" s="1954">
        <v>6</v>
      </c>
      <c r="C1068" s="1933" t="s">
        <v>41</v>
      </c>
      <c r="D1068" s="1930" t="s">
        <v>172</v>
      </c>
      <c r="H1068" s="1950">
        <f>'SSR-rates'!H$102</f>
        <v>1261</v>
      </c>
      <c r="I1068" s="1950" t="s">
        <v>41</v>
      </c>
      <c r="J1068" s="1950">
        <f>ROUND(B1068*H1068,2)</f>
        <v>7566</v>
      </c>
    </row>
    <row r="1069" spans="1:11">
      <c r="B1069" s="1954">
        <v>6</v>
      </c>
      <c r="C1069" s="1933" t="s">
        <v>41</v>
      </c>
      <c r="D1069" s="1930" t="s">
        <v>173</v>
      </c>
      <c r="H1069" s="1950">
        <f>'SSR-rates'!H$65</f>
        <v>1844</v>
      </c>
      <c r="I1069" s="1950" t="s">
        <v>41</v>
      </c>
      <c r="J1069" s="1950">
        <f>ROUND(B1069*H1069,2)</f>
        <v>11064</v>
      </c>
    </row>
    <row r="1070" spans="1:11">
      <c r="B1070" s="1954">
        <v>15</v>
      </c>
      <c r="C1070" s="1933" t="s">
        <v>41</v>
      </c>
      <c r="D1070" s="1930" t="s">
        <v>174</v>
      </c>
      <c r="H1070" s="1950">
        <f>'SSR-rates'!H$104</f>
        <v>2532.4</v>
      </c>
      <c r="I1070" s="1950" t="s">
        <v>41</v>
      </c>
      <c r="J1070" s="1950">
        <f>ROUND(B1070*H1070,2)</f>
        <v>37986</v>
      </c>
    </row>
    <row r="1071" spans="1:11" s="1932" customFormat="1" ht="33.75" customHeight="1">
      <c r="A1071" s="2021"/>
      <c r="B1071" s="1954">
        <v>300</v>
      </c>
      <c r="C1071" s="1933" t="s">
        <v>180</v>
      </c>
      <c r="D1071" s="3257" t="s">
        <v>176</v>
      </c>
      <c r="E1071" s="3257"/>
      <c r="F1071" s="3257"/>
      <c r="G1071" s="3257"/>
      <c r="H1071" s="1950">
        <v>0</v>
      </c>
      <c r="I1071" s="1950" t="s">
        <v>41</v>
      </c>
      <c r="J1071" s="1950">
        <f>ROUND(B1071*H1071*'Input Data'!E17,2)</f>
        <v>0</v>
      </c>
    </row>
    <row r="1072" spans="1:11">
      <c r="B1072" s="1954">
        <v>6</v>
      </c>
      <c r="C1072" s="1933" t="s">
        <v>41</v>
      </c>
      <c r="D1072" s="1936" t="s">
        <v>177</v>
      </c>
      <c r="H1072" s="1950">
        <f>'SSR-rates'!H$106</f>
        <v>899</v>
      </c>
      <c r="I1072" s="1950" t="s">
        <v>41</v>
      </c>
      <c r="J1072" s="1950">
        <f>ROUND(B1072*H1072,2)</f>
        <v>5394</v>
      </c>
    </row>
    <row r="1073" spans="1:10" ht="15" customHeight="1">
      <c r="B1073" s="1954"/>
      <c r="C1073" s="1937"/>
      <c r="D1073" s="1936" t="s">
        <v>60</v>
      </c>
      <c r="H1073" s="1950"/>
      <c r="I1073" s="1950"/>
      <c r="J1073" s="1950">
        <f>SUM(J1067:J1072)</f>
        <v>69244.800000000003</v>
      </c>
    </row>
    <row r="1074" spans="1:10">
      <c r="B1074" s="1964" t="s">
        <v>45</v>
      </c>
      <c r="C1074" s="1971" t="s">
        <v>71</v>
      </c>
      <c r="H1074" s="1950"/>
      <c r="I1074" s="1950"/>
      <c r="J1074" s="1950"/>
    </row>
    <row r="1075" spans="1:10">
      <c r="B1075" s="1936">
        <v>3.75</v>
      </c>
      <c r="C1075" s="1933" t="s">
        <v>29</v>
      </c>
      <c r="D1075" s="1930" t="s">
        <v>281</v>
      </c>
      <c r="H1075" s="1950">
        <f>J1059+J1065+J1073</f>
        <v>599387.70000000007</v>
      </c>
      <c r="I1075" s="1965" t="s">
        <v>73</v>
      </c>
      <c r="J1075" s="1950">
        <f>ROUND(B1075*H1075/100,2)</f>
        <v>22477.040000000001</v>
      </c>
    </row>
    <row r="1076" spans="1:10" ht="15" customHeight="1">
      <c r="A1076" s="1962"/>
      <c r="B1076" s="1964" t="s">
        <v>47</v>
      </c>
      <c r="C1076" s="1962" t="s">
        <v>44</v>
      </c>
      <c r="F1076" s="1933"/>
      <c r="G1076" s="1933"/>
      <c r="H1076" s="1933"/>
      <c r="I1076" s="1933"/>
      <c r="J1076" s="1990"/>
    </row>
    <row r="1077" spans="1:10" ht="29.25" customHeight="1">
      <c r="A1077" s="1962"/>
      <c r="B1077" s="1955">
        <f>'Input Data'!$D$25</f>
        <v>0.19614999999999999</v>
      </c>
      <c r="C1077" s="3244" t="str">
        <f>"Over head charges "&amp;'Input Data'!$D$25*100&amp;"%  on (A) + (B)+(C)+(D)"</f>
        <v>Over head charges 19.615%  on (A) + (B)+(C)+(D)</v>
      </c>
      <c r="D1077" s="3245"/>
      <c r="E1077" s="3245"/>
      <c r="F1077" s="3245"/>
      <c r="G1077" s="3246"/>
      <c r="H1077" s="1937">
        <f>J1075+J1073+J1065+J1059</f>
        <v>621864.74</v>
      </c>
      <c r="I1077" s="1933"/>
      <c r="J1077" s="1950">
        <f>H1077*B1077</f>
        <v>121978.768751</v>
      </c>
    </row>
    <row r="1078" spans="1:10">
      <c r="A1078" s="1962"/>
      <c r="B1078" s="1964" t="s">
        <v>76</v>
      </c>
      <c r="C1078" s="1962" t="s">
        <v>77</v>
      </c>
      <c r="F1078" s="1933"/>
      <c r="G1078" s="1933"/>
      <c r="H1078" s="1933"/>
      <c r="I1078" s="1933"/>
      <c r="J1078" s="1990">
        <f>J1059+J1065+J1073+J1075+J1077</f>
        <v>743843.50875100004</v>
      </c>
    </row>
    <row r="1079" spans="1:10">
      <c r="A1079" s="1962"/>
      <c r="B1079" s="1964" t="s">
        <v>78</v>
      </c>
      <c r="C1079" s="1962" t="s">
        <v>79</v>
      </c>
      <c r="F1079" s="1933"/>
      <c r="G1079" s="1933"/>
      <c r="H1079" s="1933"/>
      <c r="I1079" s="1933"/>
      <c r="J1079" s="1990">
        <f>J1078*10/100</f>
        <v>74384.350875100004</v>
      </c>
    </row>
    <row r="1080" spans="1:10">
      <c r="B1080" s="1954"/>
      <c r="C1080" s="1933"/>
      <c r="D1080" s="1971" t="s">
        <v>158</v>
      </c>
      <c r="H1080" s="1950"/>
      <c r="I1080" s="1950"/>
      <c r="J1080" s="1990">
        <f>SUM(J1078:J1079)</f>
        <v>818227.85962610005</v>
      </c>
    </row>
    <row r="1081" spans="1:10">
      <c r="B1081" s="1954"/>
      <c r="C1081" s="1933"/>
      <c r="D1081" s="1936" t="s">
        <v>81</v>
      </c>
      <c r="H1081" s="1950"/>
      <c r="I1081" s="1950"/>
      <c r="J1081" s="1950">
        <f>ROUND(J1080/120,2)</f>
        <v>6818.57</v>
      </c>
    </row>
    <row r="1082" spans="1:10">
      <c r="D1082" s="1936" t="s">
        <v>52</v>
      </c>
      <c r="H1082" s="1950"/>
      <c r="I1082" s="1950"/>
      <c r="J1082" s="1991">
        <f>ROUND(J1081,0)</f>
        <v>6819</v>
      </c>
    </row>
    <row r="1083" spans="1:10">
      <c r="D1083" s="1936"/>
      <c r="H1083" s="1950"/>
      <c r="I1083" s="1950"/>
      <c r="J1083" s="1990" t="s">
        <v>53</v>
      </c>
    </row>
    <row r="1084" spans="1:10">
      <c r="A1084" s="2022"/>
      <c r="B1084" s="1946"/>
      <c r="C1084" s="1946"/>
      <c r="D1084" s="2028"/>
      <c r="E1084" s="2028"/>
      <c r="F1084" s="2028"/>
      <c r="G1084" s="2028"/>
      <c r="H1084" s="1956"/>
      <c r="I1084" s="1956"/>
      <c r="J1084" s="1977"/>
    </row>
    <row r="1085" spans="1:10" ht="55.5" customHeight="1">
      <c r="A1085" s="1962">
        <v>13</v>
      </c>
      <c r="B1085" s="3292" t="s">
        <v>166</v>
      </c>
      <c r="C1085" s="3292"/>
      <c r="D1085" s="3292"/>
      <c r="E1085" s="3292"/>
      <c r="F1085" s="3292"/>
      <c r="G1085" s="3292"/>
      <c r="H1085" s="3292"/>
      <c r="I1085" s="3292"/>
      <c r="J1085" s="3292"/>
    </row>
    <row r="1086" spans="1:10">
      <c r="A1086" s="1962"/>
      <c r="B1086" s="1965"/>
      <c r="C1086" s="1937" t="s">
        <v>130</v>
      </c>
      <c r="J1086" s="1930"/>
    </row>
    <row r="1087" spans="1:10">
      <c r="B1087" s="1965"/>
      <c r="C1087" s="1937" t="s">
        <v>167</v>
      </c>
      <c r="J1087" s="1990">
        <v>991</v>
      </c>
    </row>
    <row r="1088" spans="1:10" ht="97.5" customHeight="1">
      <c r="A1088" s="1959">
        <v>12</v>
      </c>
      <c r="B1088" s="3238" t="s">
        <v>282</v>
      </c>
      <c r="C1088" s="3238"/>
      <c r="D1088" s="3238"/>
      <c r="E1088" s="3238"/>
      <c r="F1088" s="3238"/>
      <c r="G1088" s="3238"/>
      <c r="H1088" s="3238"/>
      <c r="I1088" s="3238"/>
      <c r="J1088" s="3238"/>
    </row>
    <row r="1089" spans="1:10">
      <c r="D1089" s="1936" t="s">
        <v>10</v>
      </c>
      <c r="F1089" s="1962" t="s">
        <v>283</v>
      </c>
      <c r="J1089" s="1930"/>
    </row>
    <row r="1090" spans="1:10">
      <c r="D1090" s="1936" t="s">
        <v>56</v>
      </c>
      <c r="J1090" s="1930"/>
    </row>
    <row r="1091" spans="1:10">
      <c r="B1091" s="1964" t="s">
        <v>36</v>
      </c>
      <c r="C1091" s="1971" t="s">
        <v>37</v>
      </c>
      <c r="J1091" s="1930"/>
    </row>
    <row r="1092" spans="1:10">
      <c r="B1092" s="1954">
        <v>0.64</v>
      </c>
      <c r="C1092" s="1933" t="s">
        <v>57</v>
      </c>
      <c r="D1092" s="1936" t="s">
        <v>14</v>
      </c>
      <c r="H1092" s="1950">
        <f>'SSR-rates'!H58</f>
        <v>490</v>
      </c>
      <c r="I1092" s="1965" t="s">
        <v>38</v>
      </c>
      <c r="J1092" s="1954">
        <f>ROUND(B1092*H1092,2)</f>
        <v>313.60000000000002</v>
      </c>
    </row>
    <row r="1093" spans="1:10">
      <c r="B1093" s="1954">
        <v>1</v>
      </c>
      <c r="C1093" s="1933" t="s">
        <v>57</v>
      </c>
      <c r="D1093" s="1936" t="s">
        <v>58</v>
      </c>
      <c r="H1093" s="1950">
        <f>'SSR-rates'!H59</f>
        <v>524</v>
      </c>
      <c r="I1093" s="1965" t="s">
        <v>38</v>
      </c>
      <c r="J1093" s="1954">
        <f>ROUND(B1093*H1093,2)</f>
        <v>524</v>
      </c>
    </row>
    <row r="1094" spans="1:10">
      <c r="B1094" s="1954">
        <v>15</v>
      </c>
      <c r="C1094" s="1933" t="s">
        <v>57</v>
      </c>
      <c r="D1094" s="1936" t="s">
        <v>59</v>
      </c>
      <c r="H1094" s="1950">
        <f>'SSR-rates'!H60</f>
        <v>490</v>
      </c>
      <c r="I1094" s="1965" t="s">
        <v>38</v>
      </c>
      <c r="J1094" s="1954">
        <f>ROUND(B1094*H1094,2)</f>
        <v>7350</v>
      </c>
    </row>
    <row r="1095" spans="1:10" ht="15.75" customHeight="1">
      <c r="A1095" s="1962"/>
      <c r="B1095" s="1951">
        <f>'Input Data'!$D$23</f>
        <v>0</v>
      </c>
      <c r="C1095" s="1937"/>
      <c r="D1095" s="1930" t="s">
        <v>17</v>
      </c>
      <c r="F1095" s="1933"/>
      <c r="G1095" s="1933"/>
      <c r="H1095" s="1950">
        <f>SUM(J1092:J1094)</f>
        <v>8187.6</v>
      </c>
      <c r="I1095" s="1965"/>
      <c r="J1095" s="1950">
        <f>B1095*H1095</f>
        <v>0</v>
      </c>
    </row>
    <row r="1096" spans="1:10">
      <c r="B1096" s="1954"/>
      <c r="D1096" s="1936" t="s">
        <v>60</v>
      </c>
      <c r="H1096" s="1950"/>
      <c r="I1096" s="1950"/>
      <c r="J1096" s="1954">
        <f>SUM(J1092:J1095)</f>
        <v>8187.6</v>
      </c>
    </row>
    <row r="1097" spans="1:10">
      <c r="B1097" s="1964" t="s">
        <v>39</v>
      </c>
      <c r="C1097" s="1971" t="s">
        <v>61</v>
      </c>
      <c r="H1097" s="1950"/>
      <c r="I1097" s="1950"/>
      <c r="J1097" s="1950"/>
    </row>
    <row r="1098" spans="1:10">
      <c r="B1098" s="1954">
        <v>13.5</v>
      </c>
      <c r="C1098" s="1933" t="s">
        <v>31</v>
      </c>
      <c r="D1098" s="1936" t="s">
        <v>62</v>
      </c>
      <c r="H1098" s="1950">
        <f>lead!J14</f>
        <v>1590.8641904678079</v>
      </c>
      <c r="I1098" s="1950" t="s">
        <v>31</v>
      </c>
      <c r="J1098" s="1950">
        <f>ROUND(B1098*H1098,2)</f>
        <v>21476.67</v>
      </c>
    </row>
    <row r="1099" spans="1:10">
      <c r="B1099" s="1954">
        <v>6.75</v>
      </c>
      <c r="C1099" s="1933" t="s">
        <v>31</v>
      </c>
      <c r="D1099" s="1936" t="s">
        <v>65</v>
      </c>
      <c r="H1099" s="1987">
        <f>lead!J12</f>
        <v>1568.1141904678079</v>
      </c>
      <c r="I1099" s="1950" t="s">
        <v>31</v>
      </c>
      <c r="J1099" s="1950">
        <f>ROUND(B1099*H1099,2)</f>
        <v>10584.77</v>
      </c>
    </row>
    <row r="1100" spans="1:10">
      <c r="B1100" s="1954">
        <v>2.4300000000000002</v>
      </c>
      <c r="C1100" s="1933" t="s">
        <v>66</v>
      </c>
      <c r="D1100" s="1936" t="s">
        <v>67</v>
      </c>
      <c r="H1100" s="1950">
        <f>lead!J36</f>
        <v>5000</v>
      </c>
      <c r="I1100" s="1950" t="s">
        <v>66</v>
      </c>
      <c r="J1100" s="1950">
        <f>ROUND(B1100*H1100,2)</f>
        <v>12150</v>
      </c>
    </row>
    <row r="1101" spans="1:10">
      <c r="B1101" s="1954"/>
      <c r="C1101" s="1937"/>
      <c r="D1101" s="1936" t="s">
        <v>60</v>
      </c>
      <c r="H1101" s="1950"/>
      <c r="I1101" s="1950"/>
      <c r="J1101" s="1950">
        <f>SUM(J1098:J1100)</f>
        <v>44211.44</v>
      </c>
    </row>
    <row r="1102" spans="1:10">
      <c r="B1102" s="1964" t="s">
        <v>87</v>
      </c>
      <c r="C1102" s="1971" t="s">
        <v>40</v>
      </c>
      <c r="H1102" s="1950"/>
      <c r="I1102" s="1950"/>
      <c r="J1102" s="1950"/>
    </row>
    <row r="1103" spans="1:10">
      <c r="B1103" s="1954">
        <v>6</v>
      </c>
      <c r="C1103" s="1933" t="s">
        <v>41</v>
      </c>
      <c r="D1103" s="1936" t="s">
        <v>68</v>
      </c>
      <c r="H1103" s="1950">
        <f>'SSR-rates'!H88</f>
        <v>627.6</v>
      </c>
      <c r="I1103" s="1950" t="s">
        <v>41</v>
      </c>
      <c r="J1103" s="1950">
        <f>ROUND(B1103*H1103,2)</f>
        <v>3765.6</v>
      </c>
    </row>
    <row r="1104" spans="1:10">
      <c r="B1104" s="1954">
        <v>6</v>
      </c>
      <c r="C1104" s="1933" t="s">
        <v>41</v>
      </c>
      <c r="D1104" s="1936" t="s">
        <v>69</v>
      </c>
      <c r="H1104" s="1950">
        <f>'SSR-rates'!H87</f>
        <v>1237.4000000000001</v>
      </c>
      <c r="I1104" s="1950" t="s">
        <v>41</v>
      </c>
      <c r="J1104" s="1950">
        <f>ROUND(B1104*H1104,2)</f>
        <v>7424.4</v>
      </c>
    </row>
    <row r="1105" spans="1:10">
      <c r="B1105" s="1954">
        <v>2</v>
      </c>
      <c r="C1105" s="1933" t="s">
        <v>41</v>
      </c>
      <c r="D1105" s="1936" t="s">
        <v>70</v>
      </c>
      <c r="H1105" s="1950">
        <f>'SSR-rates'!H69</f>
        <v>699</v>
      </c>
      <c r="I1105" s="1950" t="s">
        <v>41</v>
      </c>
      <c r="J1105" s="1950">
        <f>ROUND(B1105*H1105,2)</f>
        <v>1398</v>
      </c>
    </row>
    <row r="1106" spans="1:10">
      <c r="B1106" s="1954"/>
      <c r="C1106" s="1937"/>
      <c r="D1106" s="1936" t="s">
        <v>60</v>
      </c>
      <c r="H1106" s="1950"/>
      <c r="I1106" s="1950"/>
      <c r="J1106" s="1950">
        <f>SUM(J1103:J1105)</f>
        <v>12588</v>
      </c>
    </row>
    <row r="1107" spans="1:10">
      <c r="A1107" s="1962"/>
      <c r="B1107" s="1964" t="s">
        <v>45</v>
      </c>
      <c r="C1107" s="1962" t="s">
        <v>97</v>
      </c>
      <c r="F1107" s="1933"/>
      <c r="G1107" s="1933"/>
      <c r="H1107" s="1933"/>
      <c r="I1107" s="1933"/>
      <c r="J1107" s="1990"/>
    </row>
    <row r="1108" spans="1:10" ht="30.75" customHeight="1">
      <c r="A1108" s="1962"/>
      <c r="B1108" s="1955">
        <f>'Input Data'!$D$25</f>
        <v>0.19614999999999999</v>
      </c>
      <c r="C1108" s="3247" t="str">
        <f>"Over head charges "&amp;'Input Data'!$D$25*100&amp;"%  on (A) + (B)"</f>
        <v>Over head charges 19.615%  on (A) + (B)</v>
      </c>
      <c r="D1108" s="3248"/>
      <c r="E1108" s="3248"/>
      <c r="F1108" s="3248"/>
      <c r="G1108" s="3249"/>
      <c r="H1108" s="1937">
        <f>J1106+J1101+J1096</f>
        <v>64987.040000000001</v>
      </c>
      <c r="I1108" s="1933"/>
      <c r="J1108" s="1950">
        <f>H1108*B1108</f>
        <v>12747.207896</v>
      </c>
    </row>
    <row r="1109" spans="1:10">
      <c r="A1109" s="1962"/>
      <c r="B1109" s="1964" t="s">
        <v>47</v>
      </c>
      <c r="C1109" s="1962" t="s">
        <v>89</v>
      </c>
      <c r="F1109" s="1933"/>
      <c r="G1109" s="1933"/>
      <c r="H1109" s="1933"/>
      <c r="I1109" s="1933"/>
      <c r="J1109" s="1990">
        <f>J1096+J1101+J1106+J1108</f>
        <v>77734.247896000001</v>
      </c>
    </row>
    <row r="1110" spans="1:10">
      <c r="A1110" s="1962"/>
      <c r="B1110" s="1964" t="s">
        <v>76</v>
      </c>
      <c r="C1110" s="1962" t="s">
        <v>90</v>
      </c>
      <c r="F1110" s="1933"/>
      <c r="G1110" s="1933"/>
      <c r="H1110" s="1933"/>
      <c r="I1110" s="1933"/>
      <c r="J1110" s="1990">
        <f>J1109*10/100</f>
        <v>7773.4247895999997</v>
      </c>
    </row>
    <row r="1111" spans="1:10">
      <c r="B1111" s="1954"/>
      <c r="C1111" s="1933"/>
      <c r="D1111" s="1971" t="s">
        <v>98</v>
      </c>
      <c r="H1111" s="1950"/>
      <c r="I1111" s="1950"/>
      <c r="J1111" s="1990">
        <f>SUM(J1109:J1110)</f>
        <v>85507.672685600002</v>
      </c>
    </row>
    <row r="1112" spans="1:10">
      <c r="B1112" s="1954"/>
      <c r="C1112" s="1933"/>
      <c r="D1112" s="1936" t="s">
        <v>81</v>
      </c>
      <c r="H1112" s="1950"/>
      <c r="I1112" s="1950"/>
      <c r="J1112" s="1950">
        <f>ROUND(J1111/15,2)</f>
        <v>5700.51</v>
      </c>
    </row>
    <row r="1113" spans="1:10">
      <c r="D1113" s="1936" t="s">
        <v>52</v>
      </c>
      <c r="H1113" s="1950"/>
      <c r="I1113" s="1950"/>
      <c r="J1113" s="1991">
        <f>ROUND(J1112,0)</f>
        <v>5701</v>
      </c>
    </row>
    <row r="1114" spans="1:10">
      <c r="D1114" s="1936"/>
      <c r="H1114" s="1950"/>
      <c r="I1114" s="1950"/>
      <c r="J1114" s="1990" t="s">
        <v>53</v>
      </c>
    </row>
    <row r="1115" spans="1:10">
      <c r="D1115" s="1936"/>
      <c r="H1115" s="1950"/>
      <c r="I1115" s="1950"/>
      <c r="J1115" s="1990"/>
    </row>
    <row r="1116" spans="1:10" ht="56.25" customHeight="1">
      <c r="A1116" s="1959">
        <v>16</v>
      </c>
      <c r="B1116" s="3238" t="s">
        <v>284</v>
      </c>
      <c r="C1116" s="3238"/>
      <c r="D1116" s="3238"/>
      <c r="E1116" s="3238"/>
      <c r="F1116" s="3238"/>
      <c r="G1116" s="3238"/>
      <c r="H1116" s="3238"/>
      <c r="I1116" s="3238"/>
      <c r="J1116" s="3238"/>
    </row>
    <row r="1117" spans="1:10">
      <c r="A1117" s="1962"/>
      <c r="B1117" s="3239" t="s">
        <v>285</v>
      </c>
      <c r="C1117" s="3239"/>
      <c r="D1117" s="1961"/>
      <c r="E1117" s="1961"/>
      <c r="F1117" s="1961"/>
      <c r="G1117" s="1961"/>
      <c r="H1117" s="1963"/>
      <c r="I1117" s="1963"/>
      <c r="J1117" s="1963"/>
    </row>
    <row r="1118" spans="1:10">
      <c r="A1118" s="1962"/>
      <c r="B1118" s="3239" t="s">
        <v>286</v>
      </c>
      <c r="C1118" s="3239"/>
      <c r="D1118" s="3239"/>
      <c r="E1118" s="3239"/>
      <c r="F1118" s="1962" t="s">
        <v>287</v>
      </c>
      <c r="G1118" s="1961"/>
      <c r="H1118" s="1963"/>
      <c r="I1118" s="1963"/>
      <c r="J1118" s="1963"/>
    </row>
    <row r="1119" spans="1:10">
      <c r="A1119" s="1962"/>
      <c r="B1119" s="1964" t="s">
        <v>36</v>
      </c>
      <c r="C1119" s="1962" t="s">
        <v>37</v>
      </c>
      <c r="D1119" s="1961"/>
      <c r="E1119" s="1961"/>
      <c r="F1119" s="1961"/>
      <c r="G1119" s="1961"/>
      <c r="H1119" s="1963"/>
      <c r="I1119" s="1963"/>
      <c r="J1119" s="1963"/>
    </row>
    <row r="1120" spans="1:10">
      <c r="A1120" s="1962"/>
      <c r="B1120" s="1983">
        <v>0.01</v>
      </c>
      <c r="C1120" s="1937" t="s">
        <v>38</v>
      </c>
      <c r="D1120" s="1961"/>
      <c r="E1120" s="1933" t="s">
        <v>14</v>
      </c>
      <c r="F1120" s="1961"/>
      <c r="G1120" s="1961"/>
      <c r="H1120" s="1950">
        <f>'SSR-rates'!$H$113</f>
        <v>625</v>
      </c>
      <c r="I1120" s="1965" t="s">
        <v>38</v>
      </c>
      <c r="J1120" s="1950">
        <f>ROUND(B1120*H1120,2)</f>
        <v>6.25</v>
      </c>
    </row>
    <row r="1121" spans="1:10">
      <c r="A1121" s="1962"/>
      <c r="B1121" s="1950">
        <v>0.25</v>
      </c>
      <c r="C1121" s="1937" t="s">
        <v>38</v>
      </c>
      <c r="D1121" s="1933"/>
      <c r="E1121" s="1933" t="s">
        <v>288</v>
      </c>
      <c r="F1121" s="1933"/>
      <c r="G1121" s="1933"/>
      <c r="H1121" s="1950">
        <f>'SSR-rates'!$H$58</f>
        <v>490</v>
      </c>
      <c r="I1121" s="1965" t="s">
        <v>38</v>
      </c>
      <c r="J1121" s="1950">
        <f>ROUND(B1121*H1121,2)</f>
        <v>122.5</v>
      </c>
    </row>
    <row r="1122" spans="1:10">
      <c r="A1122" s="1962"/>
      <c r="B1122" s="1950">
        <v>0.25</v>
      </c>
      <c r="C1122" s="1937" t="s">
        <v>38</v>
      </c>
      <c r="D1122" s="1933"/>
      <c r="E1122" s="1933" t="s">
        <v>124</v>
      </c>
      <c r="F1122" s="1933"/>
      <c r="G1122" s="1933"/>
      <c r="H1122" s="1950">
        <f>'SSR-rates'!$H$60</f>
        <v>490</v>
      </c>
      <c r="I1122" s="1965" t="s">
        <v>38</v>
      </c>
      <c r="J1122" s="1950">
        <f>ROUND(B1122*H1122,2)</f>
        <v>122.5</v>
      </c>
    </row>
    <row r="1123" spans="1:10" ht="15.75" customHeight="1">
      <c r="A1123" s="1962"/>
      <c r="B1123" s="1951">
        <f>'Input Data'!$D$23</f>
        <v>0</v>
      </c>
      <c r="C1123" s="1937"/>
      <c r="D1123" s="1930" t="s">
        <v>17</v>
      </c>
      <c r="F1123" s="1933"/>
      <c r="G1123" s="1933"/>
      <c r="H1123" s="1950">
        <f>SUM(J1121:J1122)</f>
        <v>245</v>
      </c>
      <c r="I1123" s="1965"/>
      <c r="J1123" s="1950">
        <f>B1123*H1123</f>
        <v>0</v>
      </c>
    </row>
    <row r="1124" spans="1:10">
      <c r="A1124" s="1962"/>
      <c r="B1124" s="1950"/>
      <c r="C1124" s="1937"/>
      <c r="D1124" s="1933"/>
      <c r="E1124" s="1933"/>
      <c r="F1124" s="1933"/>
      <c r="G1124" s="1933"/>
      <c r="H1124" s="1950"/>
      <c r="I1124" s="1965"/>
      <c r="J1124" s="1950">
        <f>SUM(J1120:J1123)</f>
        <v>251.25</v>
      </c>
    </row>
    <row r="1125" spans="1:10">
      <c r="A1125" s="1962"/>
      <c r="B1125" s="1964" t="s">
        <v>39</v>
      </c>
      <c r="C1125" s="1962" t="s">
        <v>61</v>
      </c>
      <c r="F1125" s="1933"/>
      <c r="G1125" s="1933"/>
      <c r="H1125" s="1933"/>
      <c r="I1125" s="1933"/>
      <c r="J1125" s="1930"/>
    </row>
    <row r="1126" spans="1:10" ht="38.25" customHeight="1">
      <c r="A1126" s="1962"/>
      <c r="B1126" s="1968">
        <v>5</v>
      </c>
      <c r="C1126" s="1967" t="s">
        <v>289</v>
      </c>
      <c r="D1126" s="3243" t="s">
        <v>290</v>
      </c>
      <c r="E1126" s="3243"/>
      <c r="F1126" s="3243"/>
      <c r="G1126" s="3243"/>
      <c r="H1126" s="2068">
        <v>193</v>
      </c>
      <c r="I1126" s="1968" t="s">
        <v>31</v>
      </c>
      <c r="J1126" s="1968">
        <f>ROUND(B1126*H1126,2)</f>
        <v>965</v>
      </c>
    </row>
    <row r="1127" spans="1:10">
      <c r="A1127" s="1962"/>
      <c r="B1127" s="1968"/>
      <c r="C1127" s="1967"/>
      <c r="D1127" s="1969"/>
      <c r="E1127" s="1969"/>
      <c r="F1127" s="1969"/>
      <c r="G1127" s="1969"/>
      <c r="H1127" s="1968"/>
      <c r="I1127" s="1968"/>
      <c r="J1127" s="1968">
        <f>SUM(J1126:J1126)</f>
        <v>965</v>
      </c>
    </row>
    <row r="1128" spans="1:10">
      <c r="A1128" s="1962"/>
      <c r="B1128" s="1950"/>
      <c r="C1128" s="1937"/>
      <c r="D1128" s="1933"/>
      <c r="F1128" s="1933"/>
      <c r="G1128" s="1933"/>
      <c r="H1128" s="1950"/>
      <c r="I1128" s="1950"/>
      <c r="J1128" s="1930"/>
    </row>
    <row r="1129" spans="1:10">
      <c r="B1129" s="1955">
        <f>'Input Data'!$D$25</f>
        <v>0.19614999999999999</v>
      </c>
      <c r="C1129" s="1933" t="str">
        <f>"Over head charges "&amp;'Input Data'!$D$25*100&amp;"%  on (A) + (B)"</f>
        <v>Over head charges 19.615%  on (A) + (B)</v>
      </c>
      <c r="H1129" s="1936">
        <f>J1127+J1124</f>
        <v>1216.25</v>
      </c>
      <c r="J1129" s="1950">
        <f>H1129*B1129</f>
        <v>238.56743749999998</v>
      </c>
    </row>
    <row r="1130" spans="1:10">
      <c r="A1130" s="1962"/>
      <c r="B1130" s="1964" t="s">
        <v>45</v>
      </c>
      <c r="C1130" s="1933" t="s">
        <v>46</v>
      </c>
      <c r="F1130" s="1933"/>
      <c r="G1130" s="1933"/>
      <c r="H1130" s="1933"/>
      <c r="I1130" s="1933"/>
      <c r="J1130" s="1990">
        <f>J1124+J1127+J1129</f>
        <v>1454.8174374999999</v>
      </c>
    </row>
    <row r="1131" spans="1:10">
      <c r="A1131" s="1962"/>
      <c r="B1131" s="1964" t="s">
        <v>47</v>
      </c>
      <c r="C1131" s="1933" t="s">
        <v>48</v>
      </c>
      <c r="D1131" s="1933"/>
      <c r="F1131" s="1933"/>
      <c r="G1131" s="1933"/>
      <c r="H1131" s="1933"/>
      <c r="I1131" s="1933"/>
      <c r="J1131" s="1990">
        <f>J1130*10/100</f>
        <v>145.48174374999999</v>
      </c>
    </row>
    <row r="1132" spans="1:10">
      <c r="A1132" s="1962"/>
      <c r="B1132" s="1933"/>
      <c r="C1132" s="1933" t="s">
        <v>126</v>
      </c>
      <c r="D1132" s="1933"/>
      <c r="F1132" s="1933"/>
      <c r="G1132" s="1933"/>
      <c r="H1132" s="1933"/>
      <c r="I1132" s="1933"/>
      <c r="J1132" s="1990">
        <f>SUM(J1130:J1131)</f>
        <v>1600.2991812499999</v>
      </c>
    </row>
    <row r="1133" spans="1:10">
      <c r="A1133" s="1962"/>
      <c r="B1133" s="1933"/>
      <c r="C1133" s="1933" t="s">
        <v>127</v>
      </c>
      <c r="D1133" s="1933"/>
      <c r="F1133" s="1933"/>
      <c r="G1133" s="1933"/>
      <c r="H1133" s="1933"/>
      <c r="I1133" s="1933"/>
      <c r="J1133" s="1950">
        <f>J1132/10</f>
        <v>160.02991812499999</v>
      </c>
    </row>
    <row r="1134" spans="1:10">
      <c r="A1134" s="1962"/>
      <c r="B1134" s="1950"/>
      <c r="C1134" s="1937"/>
      <c r="D1134" s="3251" t="s">
        <v>128</v>
      </c>
      <c r="E1134" s="3252"/>
      <c r="F1134" s="1936"/>
      <c r="G1134" s="1936"/>
      <c r="H1134" s="1954"/>
      <c r="I1134" s="1936"/>
      <c r="J1134" s="1991">
        <f>ROUND(J1133,0)</f>
        <v>160</v>
      </c>
    </row>
    <row r="1135" spans="1:10">
      <c r="A1135" s="1962"/>
      <c r="B1135" s="1950"/>
      <c r="C1135" s="1937"/>
      <c r="D1135" s="2009"/>
      <c r="F1135" s="1936"/>
      <c r="G1135" s="1936"/>
      <c r="H1135" s="1954"/>
      <c r="I1135" s="1936"/>
      <c r="J1135" s="1990" t="s">
        <v>129</v>
      </c>
    </row>
    <row r="1136" spans="1:10">
      <c r="D1136" s="1936"/>
      <c r="H1136" s="1950"/>
      <c r="I1136" s="1950"/>
      <c r="J1136" s="1990"/>
    </row>
    <row r="1137" spans="1:10">
      <c r="D1137" s="1936"/>
      <c r="H1137" s="1950"/>
      <c r="I1137" s="1950"/>
      <c r="J1137" s="1990"/>
    </row>
    <row r="1138" spans="1:10">
      <c r="D1138" s="1936"/>
      <c r="H1138" s="1950"/>
      <c r="I1138" s="1950"/>
      <c r="J1138" s="1990"/>
    </row>
    <row r="1139" spans="1:10" ht="123.75" customHeight="1">
      <c r="A1139" s="1959">
        <v>5</v>
      </c>
      <c r="B1139" s="3238" t="s">
        <v>291</v>
      </c>
      <c r="C1139" s="3238"/>
      <c r="D1139" s="3238"/>
      <c r="E1139" s="3238"/>
      <c r="F1139" s="3238"/>
      <c r="G1139" s="3238"/>
      <c r="H1139" s="3238"/>
      <c r="I1139" s="3238"/>
      <c r="J1139" s="3238"/>
    </row>
    <row r="1140" spans="1:10">
      <c r="D1140" s="1936" t="s">
        <v>10</v>
      </c>
      <c r="F1140" s="1962" t="s">
        <v>292</v>
      </c>
      <c r="J1140" s="1930"/>
    </row>
    <row r="1141" spans="1:10">
      <c r="D1141" s="1936" t="s">
        <v>56</v>
      </c>
      <c r="J1141" s="1930"/>
    </row>
    <row r="1142" spans="1:10">
      <c r="B1142" s="1964" t="s">
        <v>36</v>
      </c>
      <c r="C1142" s="1971" t="s">
        <v>37</v>
      </c>
      <c r="J1142" s="1930"/>
    </row>
    <row r="1143" spans="1:10">
      <c r="B1143" s="1954">
        <v>0.86</v>
      </c>
      <c r="C1143" s="1933" t="s">
        <v>57</v>
      </c>
      <c r="D1143" s="1936" t="s">
        <v>14</v>
      </c>
      <c r="H1143" s="1950">
        <f>'SSR-rates'!$H$58</f>
        <v>490</v>
      </c>
      <c r="I1143" s="1965" t="s">
        <v>38</v>
      </c>
      <c r="J1143" s="1954">
        <f>ROUND(B1143*H1143,2)</f>
        <v>421.4</v>
      </c>
    </row>
    <row r="1144" spans="1:10">
      <c r="B1144" s="1954">
        <v>1.5</v>
      </c>
      <c r="C1144" s="1933" t="s">
        <v>57</v>
      </c>
      <c r="D1144" s="1936" t="s">
        <v>58</v>
      </c>
      <c r="H1144" s="1950">
        <f>'SSR-rates'!$H$59</f>
        <v>524</v>
      </c>
      <c r="I1144" s="1965" t="s">
        <v>38</v>
      </c>
      <c r="J1144" s="1954">
        <f>ROUND(B1144*H1144,2)</f>
        <v>786</v>
      </c>
    </row>
    <row r="1145" spans="1:10">
      <c r="B1145" s="1954">
        <v>20</v>
      </c>
      <c r="C1145" s="1933" t="s">
        <v>57</v>
      </c>
      <c r="D1145" s="1936" t="s">
        <v>59</v>
      </c>
      <c r="H1145" s="1950">
        <f>'SSR-rates'!$H$60</f>
        <v>490</v>
      </c>
      <c r="I1145" s="1965" t="s">
        <v>38</v>
      </c>
      <c r="J1145" s="1954">
        <f>ROUND(B1145*H1145,2)</f>
        <v>9800</v>
      </c>
    </row>
    <row r="1146" spans="1:10">
      <c r="A1146" s="1962"/>
      <c r="B1146" s="1951">
        <f>'Input Data'!$D$23</f>
        <v>0</v>
      </c>
      <c r="C1146" s="1937"/>
      <c r="D1146" s="1930" t="s">
        <v>17</v>
      </c>
      <c r="F1146" s="1933"/>
      <c r="G1146" s="1933"/>
      <c r="H1146" s="1950">
        <f>SUM(J1144:J1145)</f>
        <v>10586</v>
      </c>
      <c r="I1146" s="1965"/>
      <c r="J1146" s="1950">
        <f>B1146*H1146</f>
        <v>0</v>
      </c>
    </row>
    <row r="1147" spans="1:10">
      <c r="B1147" s="1954"/>
      <c r="C1147" s="1933"/>
      <c r="D1147" s="1936" t="s">
        <v>60</v>
      </c>
      <c r="H1147" s="1950"/>
      <c r="I1147" s="1950"/>
      <c r="J1147" s="1954">
        <f>SUM(J1143:J1146)</f>
        <v>11007.4</v>
      </c>
    </row>
    <row r="1148" spans="1:10">
      <c r="B1148" s="1964" t="s">
        <v>39</v>
      </c>
      <c r="C1148" s="1971" t="s">
        <v>61</v>
      </c>
      <c r="H1148" s="1950"/>
      <c r="I1148" s="1950"/>
      <c r="J1148" s="1950"/>
    </row>
    <row r="1149" spans="1:10">
      <c r="B1149" s="1954">
        <v>8.1</v>
      </c>
      <c r="C1149" s="1933" t="s">
        <v>31</v>
      </c>
      <c r="D1149" s="1930" t="s">
        <v>63</v>
      </c>
      <c r="H1149" s="1950">
        <f>lead!J16</f>
        <v>1889.8641904678079</v>
      </c>
      <c r="I1149" s="1950" t="s">
        <v>31</v>
      </c>
      <c r="J1149" s="1950">
        <f>ROUND(B1149*H1149,2)</f>
        <v>15307.9</v>
      </c>
    </row>
    <row r="1150" spans="1:10">
      <c r="B1150" s="1954">
        <v>5.4</v>
      </c>
      <c r="C1150" s="1933" t="s">
        <v>31</v>
      </c>
      <c r="D1150" s="1930" t="s">
        <v>64</v>
      </c>
      <c r="H1150" s="1950">
        <f>lead!J18</f>
        <v>1638.8641904678079</v>
      </c>
      <c r="I1150" s="1950" t="s">
        <v>31</v>
      </c>
      <c r="J1150" s="1950">
        <f>ROUND(B1150*H1150,2)</f>
        <v>8849.8700000000008</v>
      </c>
    </row>
    <row r="1151" spans="1:10">
      <c r="B1151" s="1954">
        <v>6.75</v>
      </c>
      <c r="C1151" s="1933" t="s">
        <v>31</v>
      </c>
      <c r="D1151" s="1936" t="s">
        <v>65</v>
      </c>
      <c r="H1151" s="1987">
        <f>lead!J12</f>
        <v>1568.1141904678079</v>
      </c>
      <c r="I1151" s="1950" t="s">
        <v>31</v>
      </c>
      <c r="J1151" s="1950">
        <f>ROUND(B1151*H1151,2)</f>
        <v>10584.77</v>
      </c>
    </row>
    <row r="1152" spans="1:10">
      <c r="B1152" s="1988">
        <v>5.12</v>
      </c>
      <c r="C1152" s="1933" t="s">
        <v>66</v>
      </c>
      <c r="D1152" s="1936" t="s">
        <v>67</v>
      </c>
      <c r="H1152" s="1950">
        <f>lead!J36</f>
        <v>5000</v>
      </c>
      <c r="I1152" s="1950" t="s">
        <v>66</v>
      </c>
      <c r="J1152" s="1950">
        <f>ROUND(B1152*H1152,2)</f>
        <v>25600</v>
      </c>
    </row>
    <row r="1153" spans="1:10">
      <c r="B1153" s="1936"/>
      <c r="D1153" s="1936" t="s">
        <v>60</v>
      </c>
      <c r="H1153" s="1950"/>
      <c r="I1153" s="1950"/>
      <c r="J1153" s="1950">
        <f>SUM(J1149:J1152)</f>
        <v>60342.54</v>
      </c>
    </row>
    <row r="1154" spans="1:10">
      <c r="B1154" s="1964" t="s">
        <v>27</v>
      </c>
      <c r="C1154" s="1971" t="s">
        <v>40</v>
      </c>
      <c r="H1154" s="1950"/>
      <c r="I1154" s="1950"/>
      <c r="J1154" s="1950"/>
    </row>
    <row r="1155" spans="1:10">
      <c r="B1155" s="1954">
        <v>6</v>
      </c>
      <c r="C1155" s="1933" t="s">
        <v>41</v>
      </c>
      <c r="D1155" s="1936" t="s">
        <v>68</v>
      </c>
      <c r="H1155" s="1950">
        <f>'SSR-rates'!H88</f>
        <v>627.6</v>
      </c>
      <c r="I1155" s="1950" t="s">
        <v>41</v>
      </c>
      <c r="J1155" s="1950">
        <f>ROUND(B1155*H1155,2)</f>
        <v>3765.6</v>
      </c>
    </row>
    <row r="1156" spans="1:10">
      <c r="B1156" s="1954">
        <v>6</v>
      </c>
      <c r="C1156" s="1933" t="s">
        <v>41</v>
      </c>
      <c r="D1156" s="1936" t="s">
        <v>69</v>
      </c>
      <c r="H1156" s="1950">
        <f>'SSR-rates'!H87</f>
        <v>1237.4000000000001</v>
      </c>
      <c r="I1156" s="1950" t="s">
        <v>41</v>
      </c>
      <c r="J1156" s="1950">
        <f>ROUND(B1156*H1156,2)</f>
        <v>7424.4</v>
      </c>
    </row>
    <row r="1157" spans="1:10">
      <c r="B1157" s="1954"/>
      <c r="C1157" s="1937"/>
      <c r="D1157" s="1936" t="s">
        <v>60</v>
      </c>
      <c r="H1157" s="1950"/>
      <c r="I1157" s="1950"/>
      <c r="J1157" s="1950">
        <f>SUM(J1155:J1156)</f>
        <v>11190</v>
      </c>
    </row>
    <row r="1158" spans="1:10">
      <c r="B1158" s="1964" t="s">
        <v>45</v>
      </c>
      <c r="C1158" s="1971" t="s">
        <v>71</v>
      </c>
      <c r="H1158" s="1950"/>
      <c r="I1158" s="1950"/>
      <c r="J1158" s="1950"/>
    </row>
    <row r="1159" spans="1:10">
      <c r="B1159" s="1936">
        <v>10</v>
      </c>
      <c r="C1159" s="1933" t="s">
        <v>29</v>
      </c>
      <c r="D1159" s="1930" t="s">
        <v>72</v>
      </c>
      <c r="H1159" s="1950">
        <f>J1147+J1153+J1157</f>
        <v>82539.94</v>
      </c>
      <c r="I1159" s="1965" t="s">
        <v>73</v>
      </c>
      <c r="J1159" s="1950">
        <f>ROUND(B1159*H1159/100,2)</f>
        <v>8253.99</v>
      </c>
    </row>
    <row r="1160" spans="1:10">
      <c r="A1160" s="1962"/>
      <c r="B1160" s="1964" t="s">
        <v>47</v>
      </c>
      <c r="C1160" s="1962" t="s">
        <v>97</v>
      </c>
      <c r="F1160" s="1933"/>
      <c r="G1160" s="1933"/>
      <c r="H1160" s="1933"/>
      <c r="I1160" s="1933"/>
      <c r="J1160" s="1990"/>
    </row>
    <row r="1161" spans="1:10">
      <c r="A1161" s="1962"/>
      <c r="B1161" s="1955">
        <f>'Input Data'!$D$25</f>
        <v>0.19614999999999999</v>
      </c>
      <c r="C1161" s="3244" t="s">
        <v>293</v>
      </c>
      <c r="D1161" s="3245"/>
      <c r="E1161" s="3245"/>
      <c r="F1161" s="3245"/>
      <c r="G1161" s="3246"/>
      <c r="H1161" s="1937">
        <f>J1159+J1157+J1153+J1147</f>
        <v>90793.93</v>
      </c>
      <c r="I1161" s="1933"/>
      <c r="J1161" s="1950">
        <f>H1161*B1161</f>
        <v>17809.229369499997</v>
      </c>
    </row>
    <row r="1162" spans="1:10">
      <c r="A1162" s="1962"/>
      <c r="B1162" s="1964" t="s">
        <v>76</v>
      </c>
      <c r="C1162" s="1962" t="s">
        <v>77</v>
      </c>
      <c r="F1162" s="1933"/>
      <c r="G1162" s="1933"/>
      <c r="H1162" s="1933"/>
      <c r="I1162" s="1933"/>
      <c r="J1162" s="1990">
        <f>J1147+J1153+J1157+J1159+J1161</f>
        <v>108603.1593695</v>
      </c>
    </row>
    <row r="1163" spans="1:10">
      <c r="A1163" s="1962"/>
      <c r="B1163" s="1964" t="s">
        <v>78</v>
      </c>
      <c r="C1163" s="1962" t="s">
        <v>79</v>
      </c>
      <c r="F1163" s="1933"/>
      <c r="G1163" s="1933"/>
      <c r="H1163" s="1933"/>
      <c r="I1163" s="1933"/>
      <c r="J1163" s="1990">
        <f>J1162*10/100</f>
        <v>10860.315936950001</v>
      </c>
    </row>
    <row r="1164" spans="1:10">
      <c r="B1164" s="1954"/>
      <c r="C1164" s="1933"/>
      <c r="D1164" s="1971" t="s">
        <v>80</v>
      </c>
      <c r="H1164" s="1950"/>
      <c r="I1164" s="1950"/>
      <c r="J1164" s="1990">
        <f>SUM(J1162:J1163)</f>
        <v>119463.47530645001</v>
      </c>
    </row>
    <row r="1165" spans="1:10">
      <c r="B1165" s="1954"/>
      <c r="C1165" s="1933"/>
      <c r="D1165" s="1936" t="s">
        <v>81</v>
      </c>
      <c r="H1165" s="1950"/>
      <c r="I1165" s="1950"/>
      <c r="J1165" s="1950">
        <f>ROUND(J1164/15,2)</f>
        <v>7964.23</v>
      </c>
    </row>
    <row r="1166" spans="1:10">
      <c r="D1166" s="1936" t="s">
        <v>52</v>
      </c>
      <c r="H1166" s="1950"/>
      <c r="I1166" s="1950"/>
      <c r="J1166" s="1991">
        <f>ROUND(J1165,0)</f>
        <v>7964</v>
      </c>
    </row>
    <row r="1167" spans="1:10">
      <c r="D1167" s="1936"/>
      <c r="H1167" s="1950"/>
      <c r="I1167" s="1950"/>
      <c r="J1167" s="1990" t="s">
        <v>53</v>
      </c>
    </row>
    <row r="1170" spans="1:10" ht="125.25" customHeight="1">
      <c r="A1170" s="2008">
        <v>6.07</v>
      </c>
      <c r="B1170" s="3238" t="s">
        <v>294</v>
      </c>
      <c r="C1170" s="3238"/>
      <c r="D1170" s="3238"/>
      <c r="E1170" s="3238"/>
      <c r="F1170" s="3238"/>
      <c r="G1170" s="3238"/>
      <c r="H1170" s="3238"/>
      <c r="I1170" s="3238"/>
      <c r="J1170" s="3238"/>
    </row>
    <row r="1171" spans="1:10">
      <c r="D1171" s="1936" t="s">
        <v>10</v>
      </c>
      <c r="F1171" s="1962" t="s">
        <v>280</v>
      </c>
      <c r="J1171" s="1930"/>
    </row>
    <row r="1172" spans="1:10">
      <c r="D1172" s="1936" t="s">
        <v>56</v>
      </c>
      <c r="J1172" s="1930"/>
    </row>
    <row r="1173" spans="1:10">
      <c r="B1173" s="1964" t="s">
        <v>36</v>
      </c>
      <c r="C1173" s="1971" t="s">
        <v>37</v>
      </c>
      <c r="J1173" s="1930"/>
    </row>
    <row r="1174" spans="1:10">
      <c r="B1174" s="1954">
        <v>0.84</v>
      </c>
      <c r="C1174" s="1933" t="s">
        <v>57</v>
      </c>
      <c r="D1174" s="1936" t="s">
        <v>156</v>
      </c>
      <c r="H1174" s="1950">
        <f>'SSR-rates'!H$58</f>
        <v>490</v>
      </c>
      <c r="I1174" s="1965" t="s">
        <v>38</v>
      </c>
      <c r="J1174" s="1954">
        <f>ROUND(B1174*H1174,2)</f>
        <v>411.6</v>
      </c>
    </row>
    <row r="1175" spans="1:10">
      <c r="B1175" s="1954">
        <v>3</v>
      </c>
      <c r="C1175" s="1933" t="s">
        <v>57</v>
      </c>
      <c r="D1175" s="1936" t="s">
        <v>58</v>
      </c>
      <c r="H1175" s="1950">
        <f>'SSR-rates'!H$58</f>
        <v>490</v>
      </c>
      <c r="I1175" s="1965" t="s">
        <v>38</v>
      </c>
      <c r="J1175" s="1954">
        <f>ROUND(B1175*H1175,2)</f>
        <v>1470</v>
      </c>
    </row>
    <row r="1176" spans="1:10">
      <c r="B1176" s="1954">
        <v>18</v>
      </c>
      <c r="C1176" s="1933" t="s">
        <v>57</v>
      </c>
      <c r="D1176" s="1936" t="s">
        <v>59</v>
      </c>
      <c r="H1176" s="1950">
        <f>'SSR-rates'!H$60</f>
        <v>490</v>
      </c>
      <c r="I1176" s="1965" t="s">
        <v>38</v>
      </c>
      <c r="J1176" s="1954">
        <f>ROUND(B1176*H1176,2)</f>
        <v>8820</v>
      </c>
    </row>
    <row r="1177" spans="1:10">
      <c r="A1177" s="1962"/>
      <c r="B1177" s="1951">
        <f>'Input Data'!$D$23</f>
        <v>0</v>
      </c>
      <c r="C1177" s="1937"/>
      <c r="D1177" s="1930" t="s">
        <v>17</v>
      </c>
      <c r="F1177" s="1933"/>
      <c r="G1177" s="1933"/>
      <c r="H1177" s="1950">
        <f>SUM(J1174:J1176)</f>
        <v>10701.6</v>
      </c>
      <c r="I1177" s="1965"/>
      <c r="J1177" s="1950">
        <f>B1177*H1177</f>
        <v>0</v>
      </c>
    </row>
    <row r="1178" spans="1:10">
      <c r="B1178" s="1954"/>
      <c r="C1178" s="1933"/>
      <c r="D1178" s="1936" t="s">
        <v>60</v>
      </c>
      <c r="H1178" s="1950"/>
      <c r="I1178" s="1950"/>
      <c r="J1178" s="1954">
        <f>SUM(J1174:J1177)</f>
        <v>10701.6</v>
      </c>
    </row>
    <row r="1179" spans="1:10">
      <c r="B1179" s="1964" t="s">
        <v>39</v>
      </c>
      <c r="C1179" s="1971" t="s">
        <v>61</v>
      </c>
      <c r="H1179" s="1950"/>
      <c r="I1179" s="1950"/>
      <c r="J1179" s="1950"/>
    </row>
    <row r="1180" spans="1:10">
      <c r="B1180" s="1954">
        <v>8.1</v>
      </c>
      <c r="C1180" s="1933" t="s">
        <v>31</v>
      </c>
      <c r="D1180" s="1930" t="s">
        <v>63</v>
      </c>
      <c r="H1180" s="1950">
        <f>lead!J$16</f>
        <v>1889.8641904678079</v>
      </c>
      <c r="I1180" s="1950" t="s">
        <v>31</v>
      </c>
      <c r="J1180" s="1950">
        <f>ROUND(B1180*H1180,2)</f>
        <v>15307.9</v>
      </c>
    </row>
    <row r="1181" spans="1:10">
      <c r="B1181" s="1954">
        <v>5.4</v>
      </c>
      <c r="C1181" s="1933" t="s">
        <v>31</v>
      </c>
      <c r="D1181" s="1930" t="s">
        <v>64</v>
      </c>
      <c r="H1181" s="1950">
        <f>lead!J$18</f>
        <v>1638.8641904678079</v>
      </c>
      <c r="I1181" s="1950" t="s">
        <v>31</v>
      </c>
      <c r="J1181" s="1950">
        <f>ROUND(B1181*H1181,2)</f>
        <v>8849.8700000000008</v>
      </c>
    </row>
    <row r="1182" spans="1:10">
      <c r="B1182" s="1954">
        <v>6.75</v>
      </c>
      <c r="C1182" s="1933" t="s">
        <v>31</v>
      </c>
      <c r="D1182" s="1936" t="s">
        <v>65</v>
      </c>
      <c r="H1182" s="1950">
        <f>lead!J12</f>
        <v>1568.1141904678079</v>
      </c>
      <c r="I1182" s="1950" t="s">
        <v>31</v>
      </c>
      <c r="J1182" s="1950">
        <f>ROUND(B1182*H1182,2)</f>
        <v>10584.77</v>
      </c>
    </row>
    <row r="1183" spans="1:10">
      <c r="B1183" s="2015">
        <v>6.05</v>
      </c>
      <c r="C1183" s="1933" t="s">
        <v>66</v>
      </c>
      <c r="D1183" s="1936" t="s">
        <v>67</v>
      </c>
      <c r="H1183" s="1950">
        <f>lead!J$36</f>
        <v>5000</v>
      </c>
      <c r="I1183" s="1950" t="s">
        <v>66</v>
      </c>
      <c r="J1183" s="1950">
        <f>ROUND(B1183*H1183,2)</f>
        <v>30250</v>
      </c>
    </row>
    <row r="1184" spans="1:10">
      <c r="B1184" s="1936"/>
      <c r="D1184" s="1936" t="s">
        <v>60</v>
      </c>
      <c r="H1184" s="1950"/>
      <c r="I1184" s="1950"/>
      <c r="J1184" s="1950">
        <f>SUM(J1180:J1183)</f>
        <v>64992.54</v>
      </c>
    </row>
    <row r="1185" spans="1:10">
      <c r="B1185" s="1964" t="s">
        <v>27</v>
      </c>
      <c r="C1185" s="1971" t="s">
        <v>40</v>
      </c>
      <c r="H1185" s="1950"/>
      <c r="I1185" s="1950"/>
      <c r="J1185" s="1950"/>
    </row>
    <row r="1186" spans="1:10">
      <c r="B1186" s="1954">
        <v>6</v>
      </c>
      <c r="C1186" s="1933" t="s">
        <v>41</v>
      </c>
      <c r="D1186" s="1930" t="s">
        <v>68</v>
      </c>
      <c r="H1186" s="1950">
        <f>'SSR-rates'!$H$88</f>
        <v>627.6</v>
      </c>
      <c r="I1186" s="1950" t="s">
        <v>41</v>
      </c>
      <c r="J1186" s="1950">
        <f>ROUND(B1186*H1186,2)</f>
        <v>3765.6</v>
      </c>
    </row>
    <row r="1187" spans="1:10">
      <c r="B1187" s="1954">
        <v>6</v>
      </c>
      <c r="C1187" s="1933" t="s">
        <v>41</v>
      </c>
      <c r="D1187" s="1930" t="s">
        <v>224</v>
      </c>
      <c r="H1187" s="1950">
        <f>'SSR-rates'!$H$87</f>
        <v>1237.4000000000001</v>
      </c>
      <c r="I1187" s="1950" t="s">
        <v>41</v>
      </c>
      <c r="J1187" s="1950">
        <f>ROUND(B1187*H1187,2)</f>
        <v>7424.4</v>
      </c>
    </row>
    <row r="1188" spans="1:10">
      <c r="B1188" s="1954"/>
      <c r="C1188" s="1937"/>
      <c r="D1188" s="1936" t="s">
        <v>60</v>
      </c>
      <c r="H1188" s="1950"/>
      <c r="I1188" s="1950"/>
      <c r="J1188" s="1950">
        <f>SUM(J1186:J1187)</f>
        <v>11190</v>
      </c>
    </row>
    <row r="1189" spans="1:10">
      <c r="B1189" s="1964" t="s">
        <v>45</v>
      </c>
      <c r="C1189" s="1971" t="s">
        <v>71</v>
      </c>
      <c r="H1189" s="1950"/>
      <c r="I1189" s="1950"/>
      <c r="J1189" s="1950"/>
    </row>
    <row r="1190" spans="1:10">
      <c r="B1190" s="1936">
        <v>2</v>
      </c>
      <c r="C1190" s="1933" t="s">
        <v>29</v>
      </c>
      <c r="D1190" s="1930" t="s">
        <v>181</v>
      </c>
      <c r="H1190" s="1950">
        <f>J1178+J1184+J1188</f>
        <v>86884.14</v>
      </c>
      <c r="I1190" s="1965" t="s">
        <v>73</v>
      </c>
      <c r="J1190" s="1950">
        <f>ROUND(B1190*H1190/100,2)</f>
        <v>1737.68</v>
      </c>
    </row>
    <row r="1191" spans="1:10">
      <c r="A1191" s="1962"/>
      <c r="B1191" s="1964" t="s">
        <v>47</v>
      </c>
      <c r="C1191" s="1962" t="s">
        <v>97</v>
      </c>
      <c r="F1191" s="1933"/>
      <c r="G1191" s="1933"/>
      <c r="H1191" s="1933"/>
      <c r="I1191" s="1933"/>
      <c r="J1191" s="1990"/>
    </row>
    <row r="1192" spans="1:10" ht="27" customHeight="1">
      <c r="A1192" s="1962"/>
      <c r="B1192" s="1955">
        <f>'Input Data'!$D$25</f>
        <v>0.19614999999999999</v>
      </c>
      <c r="C1192" s="3247" t="str">
        <f>"Over head charges "&amp;'Input Data'!$D$25*100&amp;"%  on (A) + (B)+(C)+(D)"</f>
        <v>Over head charges 19.615%  on (A) + (B)+(C)+(D)</v>
      </c>
      <c r="D1192" s="3248"/>
      <c r="E1192" s="3248"/>
      <c r="F1192" s="3248"/>
      <c r="G1192" s="3249"/>
      <c r="H1192" s="1937">
        <f>J1190+J1188+J1184+J1178</f>
        <v>88621.82</v>
      </c>
      <c r="I1192" s="1933"/>
      <c r="J1192" s="1950">
        <f>H1192*B1192</f>
        <v>17383.169993</v>
      </c>
    </row>
    <row r="1193" spans="1:10">
      <c r="A1193" s="1962"/>
      <c r="B1193" s="1964" t="s">
        <v>76</v>
      </c>
      <c r="C1193" s="1962" t="s">
        <v>77</v>
      </c>
      <c r="F1193" s="1933"/>
      <c r="G1193" s="1933"/>
      <c r="H1193" s="1933"/>
      <c r="I1193" s="1933"/>
      <c r="J1193" s="1990">
        <f>J1178+J1184+J1188+J1190+J1192</f>
        <v>106004.989993</v>
      </c>
    </row>
    <row r="1194" spans="1:10">
      <c r="A1194" s="1962"/>
      <c r="B1194" s="1964" t="s">
        <v>78</v>
      </c>
      <c r="C1194" s="1962" t="s">
        <v>79</v>
      </c>
      <c r="F1194" s="1933"/>
      <c r="G1194" s="1933"/>
      <c r="H1194" s="1933"/>
      <c r="I1194" s="1933"/>
      <c r="J1194" s="1990">
        <f>J1193*10/100</f>
        <v>10600.498999299998</v>
      </c>
    </row>
    <row r="1195" spans="1:10">
      <c r="B1195" s="1954"/>
      <c r="C1195" s="1933"/>
      <c r="D1195" s="1971" t="s">
        <v>80</v>
      </c>
      <c r="H1195" s="1950"/>
      <c r="I1195" s="1950"/>
      <c r="J1195" s="1990">
        <f>SUM(J1193:J1194)</f>
        <v>116605.4889923</v>
      </c>
    </row>
    <row r="1196" spans="1:10">
      <c r="B1196" s="1954"/>
      <c r="C1196" s="1933"/>
      <c r="D1196" s="1936" t="s">
        <v>81</v>
      </c>
      <c r="H1196" s="1950"/>
      <c r="I1196" s="1950"/>
      <c r="J1196" s="1950">
        <f>ROUND(J1195/15,2)</f>
        <v>7773.7</v>
      </c>
    </row>
    <row r="1197" spans="1:10">
      <c r="D1197" s="1936" t="s">
        <v>52</v>
      </c>
      <c r="H1197" s="1950"/>
      <c r="I1197" s="1950"/>
      <c r="J1197" s="1991">
        <f>ROUND(J1196,0)</f>
        <v>7774</v>
      </c>
    </row>
    <row r="1198" spans="1:10">
      <c r="D1198" s="1936"/>
      <c r="H1198" s="1950"/>
      <c r="I1198" s="1950"/>
      <c r="J1198" s="1990" t="s">
        <v>53</v>
      </c>
    </row>
    <row r="1201" spans="1:10" ht="74.25" customHeight="1">
      <c r="A1201" s="1959">
        <v>6.02</v>
      </c>
      <c r="B1201" s="3238" t="s">
        <v>113</v>
      </c>
      <c r="C1201" s="3238"/>
      <c r="D1201" s="3238"/>
      <c r="E1201" s="3238"/>
      <c r="F1201" s="3238"/>
      <c r="G1201" s="3238"/>
      <c r="H1201" s="3238"/>
      <c r="I1201" s="3238"/>
      <c r="J1201" s="3238"/>
    </row>
    <row r="1202" spans="1:10">
      <c r="D1202" s="1936" t="s">
        <v>10</v>
      </c>
      <c r="F1202" s="1962" t="s">
        <v>114</v>
      </c>
      <c r="J1202" s="1930"/>
    </row>
    <row r="1203" spans="1:10">
      <c r="D1203" s="1936" t="s">
        <v>115</v>
      </c>
      <c r="J1203" s="1930"/>
    </row>
    <row r="1204" spans="1:10">
      <c r="B1204" s="1964" t="s">
        <v>36</v>
      </c>
      <c r="C1204" s="1971" t="s">
        <v>37</v>
      </c>
      <c r="J1204" s="1930"/>
    </row>
    <row r="1205" spans="1:10">
      <c r="B1205" s="1954">
        <v>0.05</v>
      </c>
      <c r="C1205" s="1933" t="s">
        <v>57</v>
      </c>
      <c r="D1205" s="1936" t="s">
        <v>14</v>
      </c>
      <c r="H1205" s="1950">
        <f>'SSR-rates'!$H$58</f>
        <v>490</v>
      </c>
      <c r="I1205" s="1965" t="s">
        <v>38</v>
      </c>
      <c r="J1205" s="1950">
        <f>ROUND(B1205*H1205,2)</f>
        <v>24.5</v>
      </c>
    </row>
    <row r="1206" spans="1:10">
      <c r="B1206" s="1954">
        <v>0.25</v>
      </c>
      <c r="C1206" s="1933" t="s">
        <v>57</v>
      </c>
      <c r="D1206" s="1936" t="s">
        <v>295</v>
      </c>
      <c r="H1206" s="1950">
        <f>'SSR-rates'!$H$59</f>
        <v>524</v>
      </c>
      <c r="I1206" s="1965" t="s">
        <v>38</v>
      </c>
      <c r="J1206" s="1950">
        <f>ROUND(B1206*H1206,2)</f>
        <v>131</v>
      </c>
    </row>
    <row r="1207" spans="1:10">
      <c r="B1207" s="1954">
        <v>1</v>
      </c>
      <c r="C1207" s="1933" t="s">
        <v>57</v>
      </c>
      <c r="D1207" s="1936" t="s">
        <v>59</v>
      </c>
      <c r="H1207" s="1950">
        <f>'SSR-rates'!H$60</f>
        <v>490</v>
      </c>
      <c r="I1207" s="1965" t="s">
        <v>38</v>
      </c>
      <c r="J1207" s="1954">
        <f>ROUND(B1207*H1207,2)</f>
        <v>490</v>
      </c>
    </row>
    <row r="1208" spans="1:10">
      <c r="A1208" s="1962"/>
      <c r="B1208" s="1951">
        <f>'Input Data'!$D$23</f>
        <v>0</v>
      </c>
      <c r="C1208" s="1937"/>
      <c r="D1208" s="1930" t="s">
        <v>17</v>
      </c>
      <c r="F1208" s="1933"/>
      <c r="G1208" s="1933"/>
      <c r="H1208" s="1950">
        <f>SUM(J1205:J1207)</f>
        <v>645.5</v>
      </c>
      <c r="I1208" s="1965"/>
      <c r="J1208" s="1950">
        <f>B1208*H1208</f>
        <v>0</v>
      </c>
    </row>
    <row r="1209" spans="1:10" ht="13.5" customHeight="1">
      <c r="B1209" s="1936" t="s">
        <v>85</v>
      </c>
      <c r="D1209" s="1936" t="s">
        <v>60</v>
      </c>
      <c r="H1209" s="1950"/>
      <c r="I1209" s="1965"/>
      <c r="J1209" s="1950">
        <f>SUM(J1205:J1208)</f>
        <v>645.5</v>
      </c>
    </row>
    <row r="1210" spans="1:10" hidden="1">
      <c r="B1210" s="1936"/>
      <c r="D1210" s="1936"/>
      <c r="H1210" s="1950"/>
      <c r="I1210" s="1950"/>
      <c r="J1210" s="1950"/>
    </row>
    <row r="1211" spans="1:10">
      <c r="B1211" s="1964" t="s">
        <v>39</v>
      </c>
      <c r="C1211" s="1971" t="s">
        <v>61</v>
      </c>
      <c r="H1211" s="1950"/>
      <c r="I1211" s="1950"/>
      <c r="J1211" s="1950"/>
    </row>
    <row r="1212" spans="1:10">
      <c r="B1212" s="1954">
        <v>1.2</v>
      </c>
      <c r="C1212" s="1933" t="s">
        <v>31</v>
      </c>
      <c r="D1212" s="1936" t="s">
        <v>86</v>
      </c>
      <c r="H1212" s="1950">
        <f>lead!$J$34</f>
        <v>250.09052501870349</v>
      </c>
      <c r="I1212" s="1950" t="s">
        <v>31</v>
      </c>
      <c r="J1212" s="1950">
        <f>ROUND(B1212*H1212,2)</f>
        <v>300.11</v>
      </c>
    </row>
    <row r="1213" spans="1:10">
      <c r="B1213" s="1936"/>
      <c r="D1213" s="1936" t="s">
        <v>60</v>
      </c>
      <c r="H1213" s="1950"/>
      <c r="I1213" s="1950"/>
      <c r="J1213" s="1950">
        <f>SUM(J1212:J1212)</f>
        <v>300.11</v>
      </c>
    </row>
    <row r="1214" spans="1:10">
      <c r="B1214" s="1964" t="s">
        <v>87</v>
      </c>
      <c r="C1214" s="1971" t="s">
        <v>40</v>
      </c>
      <c r="H1214" s="1950"/>
      <c r="I1214" s="1950"/>
      <c r="J1214" s="1950"/>
    </row>
    <row r="1215" spans="1:10" ht="30" customHeight="1">
      <c r="B1215" s="1954">
        <v>2.5</v>
      </c>
      <c r="C1215" s="1933" t="s">
        <v>41</v>
      </c>
      <c r="D1215" s="3247" t="s">
        <v>88</v>
      </c>
      <c r="E1215" s="3248"/>
      <c r="F1215" s="3248"/>
      <c r="G1215" s="3249"/>
      <c r="H1215" s="1950" t="e">
        <f>'SSR-rates'!#REF!</f>
        <v>#REF!</v>
      </c>
      <c r="I1215" s="1950" t="s">
        <v>41</v>
      </c>
      <c r="J1215" s="1950" t="e">
        <f>ROUND(B1215*H1215,2)</f>
        <v>#REF!</v>
      </c>
    </row>
    <row r="1216" spans="1:10">
      <c r="B1216" s="1954">
        <v>0.05</v>
      </c>
      <c r="C1216" s="1933" t="s">
        <v>41</v>
      </c>
      <c r="D1216" s="1936" t="s">
        <v>70</v>
      </c>
      <c r="H1216" s="1950" t="e">
        <f>'SSR-rates'!#REF!</f>
        <v>#REF!</v>
      </c>
      <c r="I1216" s="1950" t="s">
        <v>41</v>
      </c>
      <c r="J1216" s="1950" t="e">
        <f>ROUND(B1216*H1216,2)</f>
        <v>#REF!</v>
      </c>
    </row>
    <row r="1217" spans="1:10">
      <c r="B1217" s="1954"/>
      <c r="C1217" s="1933"/>
      <c r="D1217" s="1936" t="s">
        <v>60</v>
      </c>
      <c r="H1217" s="1950"/>
      <c r="I1217" s="1950"/>
      <c r="J1217" s="1950" t="e">
        <f>SUM(J1215:J1216)</f>
        <v>#REF!</v>
      </c>
    </row>
    <row r="1218" spans="1:10">
      <c r="A1218" s="1962"/>
      <c r="B1218" s="1964" t="s">
        <v>45</v>
      </c>
      <c r="C1218" s="1962" t="s">
        <v>44</v>
      </c>
      <c r="F1218" s="1933"/>
      <c r="G1218" s="1933"/>
      <c r="H1218" s="1933"/>
      <c r="I1218" s="1933"/>
      <c r="J1218" s="1990"/>
    </row>
    <row r="1219" spans="1:10" ht="34.5" customHeight="1">
      <c r="A1219" s="1962"/>
      <c r="B1219" s="1955">
        <f>'Input Data'!$D$25</f>
        <v>0.19614999999999999</v>
      </c>
      <c r="C1219" s="3247" t="str">
        <f>"Over head charges "&amp;'Input Data'!$D$25*100&amp;"%  on (A) + (B)+(C)"</f>
        <v>Over head charges 19.615%  on (A) + (B)+(C)</v>
      </c>
      <c r="D1219" s="3248"/>
      <c r="E1219" s="3248"/>
      <c r="F1219" s="3248"/>
      <c r="G1219" s="3249"/>
      <c r="H1219" s="1937" t="e">
        <f>J1217+J1213+J1209</f>
        <v>#REF!</v>
      </c>
      <c r="I1219" s="1933"/>
      <c r="J1219" s="1950" t="e">
        <f>H1219*B1219</f>
        <v>#REF!</v>
      </c>
    </row>
    <row r="1220" spans="1:10">
      <c r="A1220" s="1962"/>
      <c r="B1220" s="1964" t="s">
        <v>47</v>
      </c>
      <c r="C1220" s="1962" t="s">
        <v>89</v>
      </c>
      <c r="F1220" s="1933"/>
      <c r="G1220" s="1933"/>
      <c r="H1220" s="1933"/>
      <c r="I1220" s="1933"/>
      <c r="J1220" s="1990" t="e">
        <f>J1209+J1213+J1217+J1219</f>
        <v>#REF!</v>
      </c>
    </row>
    <row r="1221" spans="1:10">
      <c r="A1221" s="1962"/>
      <c r="B1221" s="1964" t="s">
        <v>76</v>
      </c>
      <c r="C1221" s="1962" t="s">
        <v>90</v>
      </c>
      <c r="F1221" s="1933"/>
      <c r="G1221" s="1933"/>
      <c r="H1221" s="1933"/>
      <c r="I1221" s="1933"/>
      <c r="J1221" s="1990" t="e">
        <f>J1220*10/100</f>
        <v>#REF!</v>
      </c>
    </row>
    <row r="1222" spans="1:10">
      <c r="B1222" s="1954"/>
      <c r="C1222" s="1933"/>
      <c r="D1222" s="1971" t="s">
        <v>91</v>
      </c>
      <c r="H1222" s="1950"/>
      <c r="I1222" s="1950"/>
      <c r="J1222" s="1990" t="e">
        <f>SUM(J1220:J1221)</f>
        <v>#REF!</v>
      </c>
    </row>
    <row r="1223" spans="1:10">
      <c r="B1223" s="1954"/>
      <c r="C1223" s="1933"/>
      <c r="D1223" s="1936" t="s">
        <v>50</v>
      </c>
      <c r="H1223" s="1950"/>
      <c r="I1223" s="1950"/>
      <c r="J1223" s="1950" t="e">
        <f>J1222</f>
        <v>#REF!</v>
      </c>
    </row>
    <row r="1224" spans="1:10">
      <c r="D1224" s="1936" t="s">
        <v>52</v>
      </c>
      <c r="H1224" s="1950"/>
      <c r="I1224" s="1950"/>
      <c r="J1224" s="1991" t="e">
        <f>ROUND(J1223,0)</f>
        <v>#REF!</v>
      </c>
    </row>
    <row r="1225" spans="1:10">
      <c r="D1225" s="1936"/>
      <c r="H1225" s="1950"/>
      <c r="I1225" s="1950"/>
      <c r="J1225" s="1990" t="s">
        <v>53</v>
      </c>
    </row>
    <row r="1228" spans="1:10" s="1929" customFormat="1" ht="85.5" customHeight="1">
      <c r="A1228" s="1959">
        <v>7.02</v>
      </c>
      <c r="B1228" s="3238" t="s">
        <v>296</v>
      </c>
      <c r="C1228" s="3238"/>
      <c r="D1228" s="3238"/>
      <c r="E1228" s="3238"/>
      <c r="F1228" s="3238"/>
      <c r="G1228" s="3238"/>
      <c r="H1228" s="3238"/>
      <c r="I1228" s="3238"/>
      <c r="J1228" s="3238"/>
    </row>
    <row r="1229" spans="1:10" s="1929" customFormat="1" ht="15" customHeight="1">
      <c r="A1229" s="1960"/>
      <c r="B1229" s="3239" t="s">
        <v>33</v>
      </c>
      <c r="C1229" s="3239"/>
      <c r="D1229" s="1961"/>
      <c r="E1229" s="1961"/>
      <c r="F1229" s="1962" t="s">
        <v>34</v>
      </c>
      <c r="G1229" s="1961"/>
      <c r="H1229" s="1963"/>
      <c r="I1229" s="1963"/>
      <c r="J1229" s="1981"/>
    </row>
    <row r="1230" spans="1:10" s="1929" customFormat="1" ht="15" customHeight="1">
      <c r="A1230" s="1960"/>
      <c r="B1230" s="3239" t="s">
        <v>297</v>
      </c>
      <c r="C1230" s="3239"/>
      <c r="D1230" s="3239"/>
      <c r="E1230" s="3239"/>
      <c r="F1230" s="1961"/>
      <c r="G1230" s="1961"/>
      <c r="H1230" s="1963"/>
      <c r="I1230" s="1963"/>
      <c r="J1230" s="1981"/>
    </row>
    <row r="1231" spans="1:10" s="1929" customFormat="1" ht="15" customHeight="1">
      <c r="A1231" s="1960"/>
      <c r="B1231" s="1964" t="s">
        <v>36</v>
      </c>
      <c r="C1231" s="1962" t="s">
        <v>37</v>
      </c>
      <c r="D1231" s="1930"/>
      <c r="E1231" s="1961"/>
      <c r="F1231" s="1961"/>
      <c r="G1231" s="1961"/>
      <c r="H1231" s="1963"/>
      <c r="I1231" s="1963"/>
      <c r="J1231" s="1981"/>
    </row>
    <row r="1232" spans="1:10" s="1929" customFormat="1" ht="15" customHeight="1">
      <c r="A1232" s="1960"/>
      <c r="B1232" s="1954">
        <v>0.2</v>
      </c>
      <c r="C1232" s="1937" t="s">
        <v>38</v>
      </c>
      <c r="D1232" s="1933" t="s">
        <v>14</v>
      </c>
      <c r="E1232" s="1930"/>
      <c r="F1232" s="1933"/>
      <c r="G1232" s="1933"/>
      <c r="H1232" s="1950">
        <f>'SSR-rates'!$H$58</f>
        <v>490</v>
      </c>
      <c r="I1232" s="1965" t="s">
        <v>38</v>
      </c>
      <c r="J1232" s="1954">
        <f>ROUND(B1232*H1232,2)</f>
        <v>98</v>
      </c>
    </row>
    <row r="1233" spans="1:10" s="1929" customFormat="1" ht="15.75" customHeight="1">
      <c r="A1233" s="1960"/>
      <c r="B1233" s="1954">
        <v>5</v>
      </c>
      <c r="C1233" s="1937" t="s">
        <v>38</v>
      </c>
      <c r="D1233" s="1933" t="s">
        <v>16</v>
      </c>
      <c r="E1233" s="1930"/>
      <c r="F1233" s="1933"/>
      <c r="G1233" s="1933"/>
      <c r="H1233" s="1950">
        <f>'SSR-rates'!$H$60</f>
        <v>490</v>
      </c>
      <c r="I1233" s="1965" t="s">
        <v>38</v>
      </c>
      <c r="J1233" s="1954">
        <f>ROUND(B1233*H1233,2)</f>
        <v>2450</v>
      </c>
    </row>
    <row r="1234" spans="1:10">
      <c r="A1234" s="1962"/>
      <c r="B1234" s="1951">
        <f>'Input Data'!$D$23</f>
        <v>0</v>
      </c>
      <c r="C1234" s="1937"/>
      <c r="D1234" s="1930" t="s">
        <v>17</v>
      </c>
      <c r="F1234" s="1933"/>
      <c r="G1234" s="1933"/>
      <c r="H1234" s="1950">
        <f>SUM(J1232:J1233)</f>
        <v>2548</v>
      </c>
      <c r="I1234" s="1965"/>
      <c r="J1234" s="1950">
        <f>B1234*H1234</f>
        <v>0</v>
      </c>
    </row>
    <row r="1235" spans="1:10" s="1929" customFormat="1" ht="15" customHeight="1">
      <c r="A1235" s="1960"/>
      <c r="B1235" s="1954"/>
      <c r="C1235" s="1937"/>
      <c r="D1235" s="1933"/>
      <c r="E1235" s="1933"/>
      <c r="F1235" s="1933"/>
      <c r="G1235" s="1933"/>
      <c r="H1235" s="1950"/>
      <c r="I1235" s="1965"/>
      <c r="J1235" s="1982">
        <f>SUM(J1232:J1234)</f>
        <v>2548</v>
      </c>
    </row>
    <row r="1236" spans="1:10" s="1929" customFormat="1" ht="15" customHeight="1">
      <c r="A1236" s="1960"/>
      <c r="B1236" s="1964" t="s">
        <v>39</v>
      </c>
      <c r="C1236" s="1962" t="s">
        <v>40</v>
      </c>
      <c r="D1236" s="1930"/>
      <c r="E1236" s="1930"/>
      <c r="F1236" s="1933"/>
      <c r="G1236" s="1933"/>
      <c r="H1236" s="1933"/>
      <c r="I1236" s="1933"/>
      <c r="J1236" s="1983"/>
    </row>
    <row r="1237" spans="1:10" s="1929" customFormat="1" ht="15" customHeight="1">
      <c r="A1237" s="1960"/>
      <c r="B1237" s="1966">
        <v>10</v>
      </c>
      <c r="C1237" s="1967" t="s">
        <v>31</v>
      </c>
      <c r="D1237" s="3243" t="s">
        <v>43</v>
      </c>
      <c r="E1237" s="3243"/>
      <c r="F1237" s="3243"/>
      <c r="G1237" s="3243"/>
      <c r="H1237" s="1968">
        <v>19.5</v>
      </c>
      <c r="I1237" s="1968" t="s">
        <v>31</v>
      </c>
      <c r="J1237" s="1966">
        <f>ROUND(B1237*H1237,2)</f>
        <v>195</v>
      </c>
    </row>
    <row r="1238" spans="1:10" s="1929" customFormat="1" ht="15" hidden="1" customHeight="1">
      <c r="A1238" s="1960"/>
      <c r="B1238" s="1964"/>
      <c r="C1238" s="1962"/>
      <c r="D1238" s="1930"/>
      <c r="E1238" s="1930"/>
      <c r="F1238" s="1933"/>
      <c r="G1238" s="1933"/>
      <c r="H1238" s="1950"/>
      <c r="I1238" s="1950"/>
      <c r="J1238" s="1954"/>
    </row>
    <row r="1239" spans="1:10" s="1929" customFormat="1" ht="15" hidden="1" customHeight="1">
      <c r="A1239" s="1960"/>
      <c r="B1239" s="1954"/>
      <c r="C1239" s="1937"/>
      <c r="D1239" s="1933"/>
      <c r="E1239" s="1930"/>
      <c r="F1239" s="1933"/>
      <c r="G1239" s="1933"/>
      <c r="H1239" s="1950"/>
      <c r="I1239" s="1950"/>
      <c r="J1239" s="1954"/>
    </row>
    <row r="1240" spans="1:10" s="1929" customFormat="1" ht="15" customHeight="1">
      <c r="A1240" s="1960"/>
      <c r="B1240" s="1964" t="s">
        <v>27</v>
      </c>
      <c r="C1240" s="1962" t="s">
        <v>44</v>
      </c>
      <c r="D1240" s="1933"/>
      <c r="E1240" s="1930"/>
      <c r="F1240" s="1933"/>
      <c r="G1240" s="1933"/>
      <c r="H1240" s="1950"/>
      <c r="I1240" s="1950"/>
      <c r="J1240" s="1983"/>
    </row>
    <row r="1241" spans="1:10" s="1929" customFormat="1" ht="15" customHeight="1">
      <c r="A1241" s="1959"/>
      <c r="B1241" s="1955">
        <f>'Input Data'!$D$25</f>
        <v>0.19614999999999999</v>
      </c>
      <c r="C1241" s="1962" t="str">
        <f>"Over head charges "&amp;'Input Data'!$D$25*100&amp;"%  on (A) + (B)"</f>
        <v>Over head charges 19.615%  on (A) + (B)</v>
      </c>
      <c r="D1241" s="1930"/>
      <c r="E1241" s="1930"/>
      <c r="F1241" s="1930"/>
      <c r="G1241" s="1930"/>
      <c r="H1241" s="1936">
        <f>J1237+J1235</f>
        <v>2743</v>
      </c>
      <c r="I1241" s="1930"/>
      <c r="J1241" s="1954">
        <f>H1241*B1241</f>
        <v>538.03944999999999</v>
      </c>
    </row>
    <row r="1242" spans="1:10" s="1929" customFormat="1" ht="15" customHeight="1">
      <c r="A1242" s="1959"/>
      <c r="B1242" s="1964" t="s">
        <v>45</v>
      </c>
      <c r="C1242" s="1962" t="s">
        <v>46</v>
      </c>
      <c r="D1242" s="1930"/>
      <c r="E1242" s="1930"/>
      <c r="F1242" s="1930"/>
      <c r="G1242" s="1930"/>
      <c r="H1242" s="1930"/>
      <c r="I1242" s="1930"/>
      <c r="J1242" s="1982">
        <f>J1235+J1237+J1239+J1241</f>
        <v>3281.0394500000002</v>
      </c>
    </row>
    <row r="1243" spans="1:10" s="1929" customFormat="1" ht="15" customHeight="1">
      <c r="A1243" s="1960"/>
      <c r="B1243" s="1964" t="s">
        <v>47</v>
      </c>
      <c r="C1243" s="1962" t="s">
        <v>48</v>
      </c>
      <c r="D1243" s="1930"/>
      <c r="E1243" s="1930"/>
      <c r="F1243" s="1933"/>
      <c r="G1243" s="1933"/>
      <c r="H1243" s="1933"/>
      <c r="I1243" s="1933"/>
      <c r="J1243" s="1982">
        <f>J1242*10/100</f>
        <v>328.10394500000001</v>
      </c>
    </row>
    <row r="1244" spans="1:10" s="1929" customFormat="1" ht="15" customHeight="1">
      <c r="A1244" s="1960"/>
      <c r="B1244" s="1933"/>
      <c r="C1244" s="1933"/>
      <c r="D1244" s="1962" t="s">
        <v>298</v>
      </c>
      <c r="E1244" s="1930"/>
      <c r="F1244" s="1933"/>
      <c r="G1244" s="1933"/>
      <c r="H1244" s="1933"/>
      <c r="I1244" s="1933"/>
      <c r="J1244" s="1982">
        <f>SUM(J1242:J1243)</f>
        <v>3609.1433950000001</v>
      </c>
    </row>
    <row r="1245" spans="1:10" s="1929" customFormat="1" ht="15" customHeight="1">
      <c r="A1245" s="1959"/>
      <c r="B1245" s="1930"/>
      <c r="C1245" s="1930"/>
      <c r="D1245" s="1930" t="s">
        <v>50</v>
      </c>
      <c r="E1245" s="1930"/>
      <c r="F1245" s="1930"/>
      <c r="G1245" s="1930"/>
      <c r="H1245" s="1965"/>
      <c r="I1245" s="1965"/>
      <c r="J1245" s="1954">
        <f>J1244/10</f>
        <v>360.91433949999998</v>
      </c>
    </row>
    <row r="1246" spans="1:10" s="1929" customFormat="1" ht="15" hidden="1" customHeight="1">
      <c r="A1246" s="1960"/>
      <c r="B1246" s="1970"/>
      <c r="C1246" s="1970"/>
      <c r="D1246" s="1970"/>
      <c r="E1246" s="1970"/>
      <c r="F1246" s="1970" t="s">
        <v>51</v>
      </c>
      <c r="G1246" s="1970"/>
      <c r="H1246" s="1970"/>
      <c r="I1246" s="1970"/>
      <c r="J1246" s="1984"/>
    </row>
    <row r="1247" spans="1:10" s="1929" customFormat="1" ht="15" hidden="1" customHeight="1">
      <c r="A1247" s="1960"/>
      <c r="B1247" s="1970"/>
      <c r="C1247" s="1970"/>
      <c r="D1247" s="1970"/>
      <c r="E1247" s="1970"/>
      <c r="F1247" s="1970"/>
      <c r="G1247" s="1970"/>
      <c r="H1247" s="1970"/>
      <c r="I1247" s="1970"/>
      <c r="J1247" s="1984">
        <f>SUM(J1245:J1246)</f>
        <v>360.91433949999998</v>
      </c>
    </row>
    <row r="1248" spans="1:10" s="1929" customFormat="1" ht="15" customHeight="1">
      <c r="A1248" s="1959"/>
      <c r="B1248" s="1930"/>
      <c r="C1248" s="1930"/>
      <c r="D1248" s="1930" t="s">
        <v>52</v>
      </c>
      <c r="E1248" s="1930"/>
      <c r="F1248" s="1930"/>
      <c r="G1248" s="1930"/>
      <c r="H1248" s="1930"/>
      <c r="I1248" s="1930"/>
      <c r="J1248" s="1985">
        <f>ROUND(J1247,0)</f>
        <v>361</v>
      </c>
    </row>
    <row r="1249" spans="1:10" s="1929" customFormat="1" ht="15" customHeight="1">
      <c r="A1249" s="1959"/>
      <c r="B1249" s="1930"/>
      <c r="C1249" s="1930"/>
      <c r="D1249" s="1930"/>
      <c r="E1249" s="1930"/>
      <c r="F1249" s="1930"/>
      <c r="G1249" s="1930"/>
      <c r="H1249" s="1930"/>
      <c r="I1249" s="1930"/>
      <c r="J1249" s="1986" t="s">
        <v>53</v>
      </c>
    </row>
    <row r="1252" spans="1:10" ht="126.75" customHeight="1">
      <c r="A1252" s="2008" t="s">
        <v>278</v>
      </c>
      <c r="B1252" s="3238" t="s">
        <v>299</v>
      </c>
      <c r="C1252" s="3238"/>
      <c r="D1252" s="3238"/>
      <c r="E1252" s="3238"/>
      <c r="F1252" s="3238"/>
      <c r="G1252" s="3238"/>
      <c r="H1252" s="3238"/>
      <c r="I1252" s="3238"/>
      <c r="J1252" s="3238"/>
    </row>
    <row r="1253" spans="1:10">
      <c r="D1253" s="1936" t="s">
        <v>10</v>
      </c>
      <c r="F1253" s="1962" t="s">
        <v>300</v>
      </c>
      <c r="J1253" s="1930"/>
    </row>
    <row r="1254" spans="1:10">
      <c r="D1254" s="1936" t="s">
        <v>170</v>
      </c>
      <c r="J1254" s="1930"/>
    </row>
    <row r="1255" spans="1:10">
      <c r="B1255" s="1964" t="s">
        <v>36</v>
      </c>
      <c r="C1255" s="1971" t="s">
        <v>37</v>
      </c>
      <c r="J1255" s="1930"/>
    </row>
    <row r="1256" spans="1:10">
      <c r="B1256" s="1954">
        <v>0.84</v>
      </c>
      <c r="C1256" s="1933" t="s">
        <v>57</v>
      </c>
      <c r="D1256" s="1936" t="s">
        <v>156</v>
      </c>
      <c r="H1256" s="1950">
        <f>'SSR-rates'!H$58</f>
        <v>490</v>
      </c>
      <c r="I1256" s="1965" t="s">
        <v>38</v>
      </c>
      <c r="J1256" s="1954">
        <f>ROUND(B1256*H1256,2)</f>
        <v>411.6</v>
      </c>
    </row>
    <row r="1257" spans="1:10">
      <c r="B1257" s="1954">
        <v>3</v>
      </c>
      <c r="C1257" s="1933" t="s">
        <v>57</v>
      </c>
      <c r="D1257" s="1936" t="s">
        <v>301</v>
      </c>
      <c r="H1257" s="1950">
        <f>'SSR-rates'!H59</f>
        <v>524</v>
      </c>
      <c r="I1257" s="1965" t="s">
        <v>38</v>
      </c>
      <c r="J1257" s="1954">
        <f>ROUND(B1257*H1257,2)</f>
        <v>1572</v>
      </c>
    </row>
    <row r="1258" spans="1:10">
      <c r="B1258" s="1954">
        <v>18</v>
      </c>
      <c r="C1258" s="1933" t="s">
        <v>57</v>
      </c>
      <c r="D1258" s="1936" t="s">
        <v>59</v>
      </c>
      <c r="H1258" s="1950">
        <f>'SSR-rates'!H$60</f>
        <v>490</v>
      </c>
      <c r="I1258" s="1965" t="s">
        <v>38</v>
      </c>
      <c r="J1258" s="1954">
        <f>ROUND(B1258*H1258,2)</f>
        <v>8820</v>
      </c>
    </row>
    <row r="1259" spans="1:10">
      <c r="A1259" s="1962"/>
      <c r="B1259" s="1951">
        <f>'Input Data'!$D$23</f>
        <v>0</v>
      </c>
      <c r="C1259" s="1937"/>
      <c r="D1259" s="1930" t="s">
        <v>17</v>
      </c>
      <c r="F1259" s="1933"/>
      <c r="G1259" s="1933"/>
      <c r="H1259" s="1950">
        <f>SUM(J1257:J1258)</f>
        <v>10392</v>
      </c>
      <c r="I1259" s="1965"/>
      <c r="J1259" s="1950">
        <f>B1259*H1259</f>
        <v>0</v>
      </c>
    </row>
    <row r="1260" spans="1:10">
      <c r="B1260" s="1954"/>
      <c r="C1260" s="1933"/>
      <c r="D1260" s="1936" t="s">
        <v>60</v>
      </c>
      <c r="H1260" s="1950"/>
      <c r="I1260" s="1950"/>
      <c r="J1260" s="1954">
        <f>SUM(J1256:J1259)</f>
        <v>10803.6</v>
      </c>
    </row>
    <row r="1261" spans="1:10">
      <c r="B1261" s="1964" t="s">
        <v>39</v>
      </c>
      <c r="C1261" s="1971" t="s">
        <v>61</v>
      </c>
      <c r="H1261" s="1950"/>
      <c r="I1261" s="1950"/>
      <c r="J1261" s="1950"/>
    </row>
    <row r="1262" spans="1:10">
      <c r="B1262" s="1954">
        <v>64.8</v>
      </c>
      <c r="C1262" s="1933" t="s">
        <v>31</v>
      </c>
      <c r="D1262" s="1930" t="s">
        <v>63</v>
      </c>
      <c r="H1262" s="1950">
        <f>lead!J$16</f>
        <v>1889.8641904678079</v>
      </c>
      <c r="I1262" s="1950" t="s">
        <v>31</v>
      </c>
      <c r="J1262" s="1950">
        <f>ROUND(B1262*H1262,2)</f>
        <v>122463.2</v>
      </c>
    </row>
    <row r="1263" spans="1:10">
      <c r="B1263" s="1954">
        <v>43.2</v>
      </c>
      <c r="C1263" s="1933" t="s">
        <v>31</v>
      </c>
      <c r="D1263" s="1930" t="s">
        <v>64</v>
      </c>
      <c r="H1263" s="1950">
        <f>lead!J$18</f>
        <v>1638.8641904678079</v>
      </c>
      <c r="I1263" s="1950" t="s">
        <v>31</v>
      </c>
      <c r="J1263" s="1950">
        <f>ROUND(B1263*H1263,2)</f>
        <v>70798.929999999993</v>
      </c>
    </row>
    <row r="1264" spans="1:10">
      <c r="B1264" s="1954">
        <v>54</v>
      </c>
      <c r="C1264" s="1933" t="s">
        <v>31</v>
      </c>
      <c r="D1264" s="1936" t="s">
        <v>65</v>
      </c>
      <c r="H1264" s="1950">
        <f>lead!J12</f>
        <v>1568.1141904678079</v>
      </c>
      <c r="I1264" s="1950" t="s">
        <v>31</v>
      </c>
      <c r="J1264" s="1950">
        <f>ROUND(B1264*H1264,2)</f>
        <v>84678.17</v>
      </c>
    </row>
    <row r="1265" spans="1:11">
      <c r="B1265" s="2067">
        <v>48.8</v>
      </c>
      <c r="C1265" s="1933" t="s">
        <v>66</v>
      </c>
      <c r="D1265" s="1936" t="s">
        <v>67</v>
      </c>
      <c r="H1265" s="1950">
        <f>lead!J$36</f>
        <v>5000</v>
      </c>
      <c r="I1265" s="1950" t="s">
        <v>66</v>
      </c>
      <c r="J1265" s="1950">
        <f>ROUND(B1265*H1265,2)</f>
        <v>244000</v>
      </c>
    </row>
    <row r="1266" spans="1:11">
      <c r="B1266" s="1936"/>
      <c r="D1266" s="1936" t="s">
        <v>60</v>
      </c>
      <c r="H1266" s="1950"/>
      <c r="I1266" s="1950"/>
      <c r="J1266" s="1950">
        <f>SUM(J1262:J1265)</f>
        <v>521940.3</v>
      </c>
      <c r="K1266" s="1936"/>
    </row>
    <row r="1267" spans="1:11">
      <c r="B1267" s="1964" t="s">
        <v>27</v>
      </c>
      <c r="C1267" s="1971" t="s">
        <v>40</v>
      </c>
      <c r="H1267" s="1950"/>
      <c r="I1267" s="1950"/>
      <c r="J1267" s="1950"/>
    </row>
    <row r="1268" spans="1:11">
      <c r="B1268" s="1954">
        <v>6</v>
      </c>
      <c r="C1268" s="1933" t="s">
        <v>41</v>
      </c>
      <c r="D1268" s="1930" t="s">
        <v>171</v>
      </c>
      <c r="H1268" s="1950">
        <f>'SSR-rates'!H$100</f>
        <v>1205.8</v>
      </c>
      <c r="I1268" s="1950" t="s">
        <v>41</v>
      </c>
      <c r="J1268" s="1950">
        <f>ROUND(B1268*H1268,2)</f>
        <v>7234.8</v>
      </c>
    </row>
    <row r="1269" spans="1:11">
      <c r="B1269" s="1954">
        <v>6</v>
      </c>
      <c r="C1269" s="1933" t="s">
        <v>41</v>
      </c>
      <c r="D1269" s="1930" t="s">
        <v>172</v>
      </c>
      <c r="H1269" s="1950">
        <f>'SSR-rates'!H$102</f>
        <v>1261</v>
      </c>
      <c r="I1269" s="1950" t="s">
        <v>41</v>
      </c>
      <c r="J1269" s="1950">
        <f>ROUND(B1269*H1269,2)</f>
        <v>7566</v>
      </c>
    </row>
    <row r="1270" spans="1:11">
      <c r="B1270" s="1954">
        <v>6</v>
      </c>
      <c r="C1270" s="1933" t="s">
        <v>41</v>
      </c>
      <c r="D1270" s="1930" t="s">
        <v>173</v>
      </c>
      <c r="H1270" s="1950">
        <f>'SSR-rates'!H$65</f>
        <v>1844</v>
      </c>
      <c r="I1270" s="1950" t="s">
        <v>41</v>
      </c>
      <c r="J1270" s="1950">
        <f>ROUND(B1270*H1270,2)</f>
        <v>11064</v>
      </c>
    </row>
    <row r="1271" spans="1:11">
      <c r="B1271" s="1954">
        <v>15</v>
      </c>
      <c r="C1271" s="1933" t="s">
        <v>41</v>
      </c>
      <c r="D1271" s="1930" t="s">
        <v>174</v>
      </c>
      <c r="H1271" s="1950">
        <f>'SSR-rates'!H$104</f>
        <v>2532.4</v>
      </c>
      <c r="I1271" s="1950" t="s">
        <v>41</v>
      </c>
      <c r="J1271" s="1950">
        <f>ROUND(B1271*H1271,2)</f>
        <v>37986</v>
      </c>
    </row>
    <row r="1272" spans="1:11" s="1932" customFormat="1" ht="33.75" customHeight="1">
      <c r="A1272" s="2021"/>
      <c r="B1272" s="1954">
        <v>300</v>
      </c>
      <c r="C1272" s="1933" t="s">
        <v>180</v>
      </c>
      <c r="D1272" s="3257" t="s">
        <v>176</v>
      </c>
      <c r="E1272" s="3257"/>
      <c r="F1272" s="3257"/>
      <c r="G1272" s="3257"/>
      <c r="H1272" s="1950">
        <v>0</v>
      </c>
      <c r="I1272" s="1950" t="s">
        <v>41</v>
      </c>
      <c r="J1272" s="1950"/>
    </row>
    <row r="1273" spans="1:11">
      <c r="B1273" s="1954">
        <v>6</v>
      </c>
      <c r="C1273" s="1933" t="s">
        <v>41</v>
      </c>
      <c r="D1273" s="1936" t="s">
        <v>177</v>
      </c>
      <c r="H1273" s="1950">
        <f>'SSR-rates'!H$106</f>
        <v>899</v>
      </c>
      <c r="I1273" s="1950" t="s">
        <v>41</v>
      </c>
      <c r="J1273" s="1950">
        <f>ROUND(B1273*H1273,2)</f>
        <v>5394</v>
      </c>
    </row>
    <row r="1274" spans="1:11" ht="15" customHeight="1">
      <c r="B1274" s="1954"/>
      <c r="C1274" s="1937"/>
      <c r="D1274" s="1936" t="s">
        <v>60</v>
      </c>
      <c r="H1274" s="1950"/>
      <c r="I1274" s="1950"/>
      <c r="J1274" s="1950">
        <f>SUM(J1268:J1273)</f>
        <v>69244.800000000003</v>
      </c>
    </row>
    <row r="1275" spans="1:11">
      <c r="B1275" s="1964" t="s">
        <v>45</v>
      </c>
      <c r="C1275" s="1971" t="s">
        <v>71</v>
      </c>
      <c r="H1275" s="1950"/>
      <c r="I1275" s="1950"/>
      <c r="J1275" s="1950"/>
    </row>
    <row r="1276" spans="1:11">
      <c r="B1276" s="1936">
        <v>3.5</v>
      </c>
      <c r="C1276" s="1933" t="s">
        <v>29</v>
      </c>
      <c r="D1276" s="1930" t="s">
        <v>302</v>
      </c>
      <c r="H1276" s="1950">
        <f>J1260+J1266+J1274</f>
        <v>601988.70000000007</v>
      </c>
      <c r="I1276" s="1965" t="s">
        <v>73</v>
      </c>
      <c r="J1276" s="1950">
        <f>ROUND(B1276*H1276/100,2)</f>
        <v>21069.599999999999</v>
      </c>
    </row>
    <row r="1277" spans="1:11" ht="15" customHeight="1">
      <c r="A1277" s="1962"/>
      <c r="B1277" s="1964" t="s">
        <v>47</v>
      </c>
      <c r="C1277" s="1962" t="s">
        <v>44</v>
      </c>
      <c r="F1277" s="1933"/>
      <c r="G1277" s="1933"/>
      <c r="H1277" s="1933"/>
      <c r="I1277" s="1933"/>
      <c r="J1277" s="1990"/>
    </row>
    <row r="1278" spans="1:11" ht="29.25" customHeight="1">
      <c r="A1278" s="1962"/>
      <c r="B1278" s="1955">
        <f>'Input Data'!$D$25</f>
        <v>0.19614999999999999</v>
      </c>
      <c r="C1278" s="3244" t="str">
        <f>"Over head charges "&amp;'Input Data'!$D$25*100&amp;"%  on (A) + (B)+(C)+(D)"</f>
        <v>Over head charges 19.615%  on (A) + (B)+(C)+(D)</v>
      </c>
      <c r="D1278" s="3245"/>
      <c r="E1278" s="3245"/>
      <c r="F1278" s="3245"/>
      <c r="G1278" s="3246"/>
      <c r="H1278" s="1937">
        <f>J1276+J1274+J1266+J1260</f>
        <v>623058.29999999993</v>
      </c>
      <c r="I1278" s="1933"/>
      <c r="J1278" s="1950">
        <f>H1278*B1278</f>
        <v>122212.88554499998</v>
      </c>
    </row>
    <row r="1279" spans="1:11">
      <c r="A1279" s="1962"/>
      <c r="B1279" s="1964" t="s">
        <v>76</v>
      </c>
      <c r="C1279" s="1962" t="s">
        <v>77</v>
      </c>
      <c r="F1279" s="1933"/>
      <c r="G1279" s="1933"/>
      <c r="H1279" s="1933"/>
      <c r="I1279" s="1933"/>
      <c r="J1279" s="2019">
        <f>J1260+J1266+J1274+J1276+J1278</f>
        <v>745271.18554500001</v>
      </c>
    </row>
    <row r="1280" spans="1:11">
      <c r="A1280" s="1962"/>
      <c r="B1280" s="1964" t="s">
        <v>78</v>
      </c>
      <c r="C1280" s="1962" t="s">
        <v>79</v>
      </c>
      <c r="F1280" s="1933"/>
      <c r="G1280" s="1933"/>
      <c r="H1280" s="1933"/>
      <c r="I1280" s="1933"/>
      <c r="J1280" s="1990">
        <f>J1279*10/100</f>
        <v>74527.118554500004</v>
      </c>
    </row>
    <row r="1281" spans="1:10">
      <c r="B1281" s="1954"/>
      <c r="C1281" s="1933"/>
      <c r="D1281" s="1971" t="s">
        <v>158</v>
      </c>
      <c r="H1281" s="1950"/>
      <c r="I1281" s="1950"/>
      <c r="J1281" s="2019">
        <f>SUM(J1279:J1280)</f>
        <v>819798.30409950006</v>
      </c>
    </row>
    <row r="1282" spans="1:10">
      <c r="B1282" s="1954"/>
      <c r="C1282" s="1933"/>
      <c r="D1282" s="1936" t="s">
        <v>81</v>
      </c>
      <c r="H1282" s="1950"/>
      <c r="I1282" s="1950"/>
      <c r="J1282" s="1950">
        <f>ROUND(J1281/120,2)</f>
        <v>6831.65</v>
      </c>
    </row>
    <row r="1283" spans="1:10">
      <c r="D1283" s="1936" t="s">
        <v>52</v>
      </c>
      <c r="H1283" s="1950"/>
      <c r="I1283" s="1950"/>
      <c r="J1283" s="1991">
        <f>ROUND(J1282,0)</f>
        <v>6832</v>
      </c>
    </row>
    <row r="1284" spans="1:10">
      <c r="D1284" s="1936"/>
      <c r="H1284" s="1950"/>
      <c r="I1284" s="1950"/>
      <c r="J1284" s="1990" t="s">
        <v>53</v>
      </c>
    </row>
    <row r="1285" spans="1:10">
      <c r="A1285" s="2022"/>
      <c r="B1285" s="1946"/>
      <c r="C1285" s="1946"/>
      <c r="D1285" s="2028"/>
      <c r="E1285" s="2028"/>
      <c r="F1285" s="2028"/>
      <c r="G1285" s="2028"/>
      <c r="H1285" s="1956"/>
      <c r="I1285" s="1956"/>
      <c r="J1285" s="1977"/>
    </row>
    <row r="1286" spans="1:10" ht="126.75" customHeight="1">
      <c r="A1286" s="2008" t="s">
        <v>278</v>
      </c>
      <c r="B1286" s="3238" t="s">
        <v>303</v>
      </c>
      <c r="C1286" s="3238"/>
      <c r="D1286" s="3238"/>
      <c r="E1286" s="3238"/>
      <c r="F1286" s="3238"/>
      <c r="G1286" s="3238"/>
      <c r="H1286" s="3238"/>
      <c r="I1286" s="3238"/>
      <c r="J1286" s="3238"/>
    </row>
    <row r="1287" spans="1:10">
      <c r="D1287" s="1936" t="s">
        <v>10</v>
      </c>
      <c r="F1287" s="1962" t="s">
        <v>304</v>
      </c>
      <c r="J1287" s="1930"/>
    </row>
    <row r="1288" spans="1:10">
      <c r="D1288" s="1936" t="s">
        <v>170</v>
      </c>
      <c r="J1288" s="1930"/>
    </row>
    <row r="1289" spans="1:10">
      <c r="B1289" s="1964" t="s">
        <v>36</v>
      </c>
      <c r="C1289" s="1971" t="s">
        <v>37</v>
      </c>
      <c r="J1289" s="1930"/>
    </row>
    <row r="1290" spans="1:10">
      <c r="B1290" s="1954">
        <v>0.84</v>
      </c>
      <c r="C1290" s="1933" t="s">
        <v>57</v>
      </c>
      <c r="D1290" s="1936" t="s">
        <v>156</v>
      </c>
      <c r="H1290" s="1950">
        <f>'SSR-rates'!H$58</f>
        <v>490</v>
      </c>
      <c r="I1290" s="1965" t="s">
        <v>38</v>
      </c>
      <c r="J1290" s="1954">
        <f>ROUND(B1290*H1290,2)</f>
        <v>411.6</v>
      </c>
    </row>
    <row r="1291" spans="1:10">
      <c r="B1291" s="1954">
        <v>3</v>
      </c>
      <c r="C1291" s="1933" t="s">
        <v>57</v>
      </c>
      <c r="D1291" s="1936" t="s">
        <v>58</v>
      </c>
      <c r="H1291" s="1950">
        <f>'SSR-rates'!H59</f>
        <v>524</v>
      </c>
      <c r="I1291" s="1965" t="s">
        <v>38</v>
      </c>
      <c r="J1291" s="1954">
        <f>ROUND(B1291*H1291,2)</f>
        <v>1572</v>
      </c>
    </row>
    <row r="1292" spans="1:10">
      <c r="B1292" s="1954">
        <v>18</v>
      </c>
      <c r="C1292" s="1933" t="s">
        <v>57</v>
      </c>
      <c r="D1292" s="1936" t="s">
        <v>59</v>
      </c>
      <c r="H1292" s="1950">
        <f>'SSR-rates'!H$60</f>
        <v>490</v>
      </c>
      <c r="I1292" s="1965" t="s">
        <v>38</v>
      </c>
      <c r="J1292" s="1954">
        <f>ROUND(B1292*H1292,2)</f>
        <v>8820</v>
      </c>
    </row>
    <row r="1293" spans="1:10">
      <c r="A1293" s="1962"/>
      <c r="B1293" s="1951">
        <f>'Input Data'!$D$23</f>
        <v>0</v>
      </c>
      <c r="C1293" s="1937"/>
      <c r="D1293" s="1930" t="s">
        <v>17</v>
      </c>
      <c r="F1293" s="1933"/>
      <c r="G1293" s="1933"/>
      <c r="H1293" s="1950">
        <f>SUM(J1291:J1292)</f>
        <v>10392</v>
      </c>
      <c r="I1293" s="1965"/>
      <c r="J1293" s="1950">
        <f>B1293*H1293</f>
        <v>0</v>
      </c>
    </row>
    <row r="1294" spans="1:10">
      <c r="B1294" s="1954"/>
      <c r="C1294" s="1933"/>
      <c r="D1294" s="1936" t="s">
        <v>60</v>
      </c>
      <c r="H1294" s="1950"/>
      <c r="I1294" s="1950"/>
      <c r="J1294" s="1954">
        <f>SUM(J1290:J1293)</f>
        <v>10803.6</v>
      </c>
    </row>
    <row r="1295" spans="1:10">
      <c r="B1295" s="1964" t="s">
        <v>39</v>
      </c>
      <c r="C1295" s="1971" t="s">
        <v>61</v>
      </c>
      <c r="H1295" s="1950"/>
      <c r="I1295" s="1950"/>
      <c r="J1295" s="1950"/>
    </row>
    <row r="1296" spans="1:10">
      <c r="B1296" s="1954">
        <v>64.8</v>
      </c>
      <c r="C1296" s="1933" t="s">
        <v>31</v>
      </c>
      <c r="D1296" s="1930" t="s">
        <v>63</v>
      </c>
      <c r="H1296" s="1950">
        <f>lead!J$16</f>
        <v>1889.8641904678079</v>
      </c>
      <c r="I1296" s="1950" t="s">
        <v>31</v>
      </c>
      <c r="J1296" s="1950">
        <f>ROUND(B1296*H1296,2)</f>
        <v>122463.2</v>
      </c>
    </row>
    <row r="1297" spans="1:11">
      <c r="B1297" s="1954">
        <v>43.2</v>
      </c>
      <c r="C1297" s="1933" t="s">
        <v>31</v>
      </c>
      <c r="D1297" s="1930" t="s">
        <v>64</v>
      </c>
      <c r="H1297" s="1950">
        <f>lead!J$18</f>
        <v>1638.8641904678079</v>
      </c>
      <c r="I1297" s="1950" t="s">
        <v>31</v>
      </c>
      <c r="J1297" s="1950">
        <f>ROUND(B1297*H1297,2)</f>
        <v>70798.929999999993</v>
      </c>
    </row>
    <row r="1298" spans="1:11">
      <c r="B1298" s="1954">
        <v>54</v>
      </c>
      <c r="C1298" s="1933" t="s">
        <v>31</v>
      </c>
      <c r="D1298" s="1936" t="s">
        <v>65</v>
      </c>
      <c r="H1298" s="1950">
        <f>lead!J12</f>
        <v>1568.1141904678079</v>
      </c>
      <c r="I1298" s="1950" t="s">
        <v>31</v>
      </c>
      <c r="J1298" s="1950">
        <f>ROUND(B1298*H1298,2)</f>
        <v>84678.17</v>
      </c>
    </row>
    <row r="1299" spans="1:11">
      <c r="B1299" s="2067">
        <v>48.8</v>
      </c>
      <c r="C1299" s="1933" t="s">
        <v>66</v>
      </c>
      <c r="D1299" s="1936" t="s">
        <v>67</v>
      </c>
      <c r="H1299" s="1950">
        <f>lead!J$36</f>
        <v>5000</v>
      </c>
      <c r="I1299" s="1950" t="s">
        <v>66</v>
      </c>
      <c r="J1299" s="1950">
        <f>ROUND(B1299*H1299,2)</f>
        <v>244000</v>
      </c>
    </row>
    <row r="1300" spans="1:11">
      <c r="B1300" s="1936"/>
      <c r="D1300" s="1936" t="s">
        <v>60</v>
      </c>
      <c r="H1300" s="1950"/>
      <c r="I1300" s="1950"/>
      <c r="J1300" s="1950">
        <f>SUM(J1296:J1299)</f>
        <v>521940.3</v>
      </c>
      <c r="K1300" s="1936"/>
    </row>
    <row r="1301" spans="1:11">
      <c r="B1301" s="1964" t="s">
        <v>27</v>
      </c>
      <c r="C1301" s="1971" t="s">
        <v>40</v>
      </c>
      <c r="H1301" s="1950"/>
      <c r="I1301" s="1950"/>
      <c r="J1301" s="1950"/>
    </row>
    <row r="1302" spans="1:11">
      <c r="B1302" s="1954">
        <v>6</v>
      </c>
      <c r="C1302" s="1933" t="s">
        <v>41</v>
      </c>
      <c r="D1302" s="1930" t="s">
        <v>171</v>
      </c>
      <c r="H1302" s="1950">
        <f>'SSR-rates'!H$100</f>
        <v>1205.8</v>
      </c>
      <c r="I1302" s="1950" t="s">
        <v>41</v>
      </c>
      <c r="J1302" s="1950">
        <f>ROUND(B1302*H1302,2)</f>
        <v>7234.8</v>
      </c>
    </row>
    <row r="1303" spans="1:11">
      <c r="B1303" s="1954">
        <v>6</v>
      </c>
      <c r="C1303" s="1933" t="s">
        <v>41</v>
      </c>
      <c r="D1303" s="1930" t="s">
        <v>172</v>
      </c>
      <c r="H1303" s="1950">
        <f>'SSR-rates'!H$102</f>
        <v>1261</v>
      </c>
      <c r="I1303" s="1950" t="s">
        <v>41</v>
      </c>
      <c r="J1303" s="1950">
        <f>ROUND(B1303*H1303,2)</f>
        <v>7566</v>
      </c>
    </row>
    <row r="1304" spans="1:11">
      <c r="B1304" s="1954">
        <v>6</v>
      </c>
      <c r="C1304" s="1933" t="s">
        <v>41</v>
      </c>
      <c r="D1304" s="1930" t="s">
        <v>173</v>
      </c>
      <c r="H1304" s="1950">
        <f>'SSR-rates'!H$65</f>
        <v>1844</v>
      </c>
      <c r="I1304" s="1950" t="s">
        <v>41</v>
      </c>
      <c r="J1304" s="1950">
        <f>ROUND(B1304*H1304,2)</f>
        <v>11064</v>
      </c>
    </row>
    <row r="1305" spans="1:11">
      <c r="B1305" s="1954">
        <v>15</v>
      </c>
      <c r="C1305" s="1933" t="s">
        <v>41</v>
      </c>
      <c r="D1305" s="1930" t="s">
        <v>174</v>
      </c>
      <c r="H1305" s="1950">
        <f>'SSR-rates'!H$104</f>
        <v>2532.4</v>
      </c>
      <c r="I1305" s="1950" t="s">
        <v>41</v>
      </c>
      <c r="J1305" s="1950">
        <f>ROUND(B1305*H1305,2)</f>
        <v>37986</v>
      </c>
    </row>
    <row r="1306" spans="1:11" s="1932" customFormat="1" ht="33.75" customHeight="1">
      <c r="A1306" s="2021"/>
      <c r="B1306" s="1954">
        <v>300</v>
      </c>
      <c r="C1306" s="1933" t="s">
        <v>180</v>
      </c>
      <c r="D1306" s="3257" t="s">
        <v>176</v>
      </c>
      <c r="E1306" s="3257"/>
      <c r="F1306" s="3257"/>
      <c r="G1306" s="3257"/>
      <c r="H1306" s="1950">
        <v>0</v>
      </c>
      <c r="I1306" s="1950" t="s">
        <v>41</v>
      </c>
      <c r="J1306" s="1950"/>
    </row>
    <row r="1307" spans="1:11">
      <c r="B1307" s="1954">
        <v>6</v>
      </c>
      <c r="C1307" s="1933" t="s">
        <v>41</v>
      </c>
      <c r="D1307" s="1936" t="s">
        <v>177</v>
      </c>
      <c r="H1307" s="1950">
        <f>'SSR-rates'!H$106</f>
        <v>899</v>
      </c>
      <c r="I1307" s="1950" t="s">
        <v>41</v>
      </c>
      <c r="J1307" s="1950">
        <f>ROUND(B1307*H1307,2)</f>
        <v>5394</v>
      </c>
    </row>
    <row r="1308" spans="1:11" ht="15" customHeight="1">
      <c r="B1308" s="1954"/>
      <c r="C1308" s="1937"/>
      <c r="D1308" s="1936" t="s">
        <v>60</v>
      </c>
      <c r="H1308" s="1950"/>
      <c r="I1308" s="1950"/>
      <c r="J1308" s="1950">
        <f>SUM(J1302:J1307)</f>
        <v>69244.800000000003</v>
      </c>
    </row>
    <row r="1309" spans="1:11">
      <c r="B1309" s="1964" t="s">
        <v>45</v>
      </c>
      <c r="C1309" s="1971" t="s">
        <v>71</v>
      </c>
      <c r="H1309" s="1950"/>
      <c r="I1309" s="1950"/>
      <c r="J1309" s="1950"/>
    </row>
    <row r="1310" spans="1:11">
      <c r="B1310" s="1936">
        <v>10</v>
      </c>
      <c r="C1310" s="1933" t="s">
        <v>29</v>
      </c>
      <c r="D1310" s="1930" t="s">
        <v>305</v>
      </c>
      <c r="H1310" s="1950">
        <f>J1294+J1300+J1308</f>
        <v>601988.70000000007</v>
      </c>
      <c r="I1310" s="1965" t="s">
        <v>73</v>
      </c>
      <c r="J1310" s="1950">
        <f>ROUND(B1310*H1310/100,2)</f>
        <v>60198.87</v>
      </c>
    </row>
    <row r="1311" spans="1:11" ht="15" customHeight="1">
      <c r="A1311" s="1962"/>
      <c r="B1311" s="1964" t="s">
        <v>47</v>
      </c>
      <c r="C1311" s="1962" t="s">
        <v>44</v>
      </c>
      <c r="F1311" s="1933"/>
      <c r="G1311" s="1933"/>
      <c r="H1311" s="1933"/>
      <c r="I1311" s="1933"/>
      <c r="J1311" s="1990"/>
    </row>
    <row r="1312" spans="1:11" ht="29.25" customHeight="1">
      <c r="A1312" s="1962"/>
      <c r="B1312" s="1955">
        <f>'Input Data'!$D$25</f>
        <v>0.19614999999999999</v>
      </c>
      <c r="C1312" s="3244" t="str">
        <f>"Over head charges "&amp;'Input Data'!$D$25*100&amp;"%  on (A) + (B)+(C)+(D)"</f>
        <v>Over head charges 19.615%  on (A) + (B)+(C)+(D)</v>
      </c>
      <c r="D1312" s="3245"/>
      <c r="E1312" s="3245"/>
      <c r="F1312" s="3245"/>
      <c r="G1312" s="3246"/>
      <c r="H1312" s="1937">
        <f>J1310+J1308+J1300+J1294</f>
        <v>662187.56999999995</v>
      </c>
      <c r="I1312" s="1933"/>
      <c r="J1312" s="1950">
        <f>H1312*B1312</f>
        <v>129888.09185549998</v>
      </c>
    </row>
    <row r="1313" spans="1:10">
      <c r="A1313" s="1962"/>
      <c r="B1313" s="1964" t="s">
        <v>76</v>
      </c>
      <c r="C1313" s="1962" t="s">
        <v>77</v>
      </c>
      <c r="F1313" s="1933"/>
      <c r="G1313" s="1933"/>
      <c r="H1313" s="1933"/>
      <c r="I1313" s="1933"/>
      <c r="J1313" s="2019">
        <f>J1294+J1300+J1308+J1310+J1312</f>
        <v>792075.66185550008</v>
      </c>
    </row>
    <row r="1314" spans="1:10">
      <c r="A1314" s="1962"/>
      <c r="B1314" s="1964" t="s">
        <v>78</v>
      </c>
      <c r="C1314" s="1962" t="s">
        <v>79</v>
      </c>
      <c r="F1314" s="1933"/>
      <c r="G1314" s="1933"/>
      <c r="H1314" s="1933"/>
      <c r="I1314" s="1933"/>
      <c r="J1314" s="1990">
        <f>J1313*10/100</f>
        <v>79207.566185550008</v>
      </c>
    </row>
    <row r="1315" spans="1:10">
      <c r="B1315" s="1954"/>
      <c r="C1315" s="1933"/>
      <c r="D1315" s="1971" t="s">
        <v>158</v>
      </c>
      <c r="H1315" s="1950"/>
      <c r="I1315" s="1950"/>
      <c r="J1315" s="2019">
        <f>SUM(J1313:J1314)</f>
        <v>871283.22804105002</v>
      </c>
    </row>
    <row r="1316" spans="1:10">
      <c r="B1316" s="1954"/>
      <c r="C1316" s="1933"/>
      <c r="D1316" s="1936" t="s">
        <v>81</v>
      </c>
      <c r="H1316" s="1950"/>
      <c r="I1316" s="1950"/>
      <c r="J1316" s="1950">
        <f>ROUND(J1315/120,2)</f>
        <v>7260.69</v>
      </c>
    </row>
    <row r="1317" spans="1:10">
      <c r="D1317" s="1936" t="s">
        <v>52</v>
      </c>
      <c r="H1317" s="1950"/>
      <c r="I1317" s="1950"/>
      <c r="J1317" s="1991">
        <f>ROUND(J1316,0)</f>
        <v>7261</v>
      </c>
    </row>
    <row r="1318" spans="1:10">
      <c r="D1318" s="1936"/>
      <c r="H1318" s="1950"/>
      <c r="I1318" s="1950"/>
      <c r="J1318" s="1990" t="s">
        <v>53</v>
      </c>
    </row>
    <row r="1320" spans="1:10" ht="126.75" customHeight="1">
      <c r="A1320" s="2008" t="s">
        <v>278</v>
      </c>
      <c r="B1320" s="3238" t="s">
        <v>306</v>
      </c>
      <c r="C1320" s="3238"/>
      <c r="D1320" s="3238"/>
      <c r="E1320" s="3238"/>
      <c r="F1320" s="3238"/>
      <c r="G1320" s="3238"/>
      <c r="H1320" s="3238"/>
      <c r="I1320" s="3238"/>
      <c r="J1320" s="3238"/>
    </row>
    <row r="1321" spans="1:10">
      <c r="D1321" s="1936" t="s">
        <v>10</v>
      </c>
      <c r="F1321" s="1962" t="s">
        <v>307</v>
      </c>
      <c r="J1321" s="1930"/>
    </row>
    <row r="1322" spans="1:10">
      <c r="D1322" s="1936" t="s">
        <v>170</v>
      </c>
      <c r="J1322" s="1930"/>
    </row>
    <row r="1323" spans="1:10">
      <c r="B1323" s="1964" t="s">
        <v>36</v>
      </c>
      <c r="C1323" s="1971" t="s">
        <v>37</v>
      </c>
      <c r="J1323" s="1930"/>
    </row>
    <row r="1324" spans="1:10">
      <c r="B1324" s="1954">
        <v>0.88</v>
      </c>
      <c r="C1324" s="1933" t="s">
        <v>57</v>
      </c>
      <c r="D1324" s="1936" t="s">
        <v>156</v>
      </c>
      <c r="H1324" s="1950">
        <f>'SSR-rates'!H$58</f>
        <v>490</v>
      </c>
      <c r="I1324" s="1965" t="s">
        <v>38</v>
      </c>
      <c r="J1324" s="1954">
        <f>ROUND(B1324*H1324,2)</f>
        <v>431.2</v>
      </c>
    </row>
    <row r="1325" spans="1:10">
      <c r="B1325" s="1954">
        <v>3</v>
      </c>
      <c r="C1325" s="1933" t="s">
        <v>57</v>
      </c>
      <c r="D1325" s="1936" t="s">
        <v>58</v>
      </c>
      <c r="H1325" s="1950">
        <f>'SSR-rates'!H59</f>
        <v>524</v>
      </c>
      <c r="I1325" s="1965" t="s">
        <v>38</v>
      </c>
      <c r="J1325" s="1954">
        <f>ROUND(B1325*H1325,2)</f>
        <v>1572</v>
      </c>
    </row>
    <row r="1326" spans="1:10">
      <c r="B1326" s="1954">
        <v>19</v>
      </c>
      <c r="C1326" s="1933" t="s">
        <v>57</v>
      </c>
      <c r="D1326" s="1936" t="s">
        <v>59</v>
      </c>
      <c r="H1326" s="1950">
        <f>'SSR-rates'!H$60</f>
        <v>490</v>
      </c>
      <c r="I1326" s="1965" t="s">
        <v>38</v>
      </c>
      <c r="J1326" s="1954">
        <f>ROUND(B1326*H1326,2)</f>
        <v>9310</v>
      </c>
    </row>
    <row r="1327" spans="1:10">
      <c r="A1327" s="1962"/>
      <c r="B1327" s="1951">
        <f>'Input Data'!$D$23</f>
        <v>0</v>
      </c>
      <c r="C1327" s="1937"/>
      <c r="D1327" s="1930" t="s">
        <v>17</v>
      </c>
      <c r="F1327" s="1933"/>
      <c r="G1327" s="1933"/>
      <c r="H1327" s="1950">
        <f>SUM(J1325:J1326)</f>
        <v>10882</v>
      </c>
      <c r="I1327" s="1965"/>
      <c r="J1327" s="1950">
        <f>B1327*H1327</f>
        <v>0</v>
      </c>
    </row>
    <row r="1328" spans="1:10">
      <c r="B1328" s="1954"/>
      <c r="C1328" s="1933"/>
      <c r="D1328" s="1936" t="s">
        <v>60</v>
      </c>
      <c r="H1328" s="1950"/>
      <c r="I1328" s="1950"/>
      <c r="J1328" s="1954">
        <f>SUM(J1324:J1327)</f>
        <v>11313.2</v>
      </c>
    </row>
    <row r="1329" spans="1:11">
      <c r="B1329" s="1964" t="s">
        <v>39</v>
      </c>
      <c r="C1329" s="1971" t="s">
        <v>61</v>
      </c>
      <c r="H1329" s="1950"/>
      <c r="I1329" s="1950"/>
      <c r="J1329" s="1950"/>
    </row>
    <row r="1330" spans="1:11">
      <c r="B1330" s="1954">
        <v>64.8</v>
      </c>
      <c r="C1330" s="1933" t="s">
        <v>31</v>
      </c>
      <c r="D1330" s="1930" t="s">
        <v>63</v>
      </c>
      <c r="H1330" s="1950">
        <f>lead!J$16</f>
        <v>1889.8641904678079</v>
      </c>
      <c r="I1330" s="1950" t="s">
        <v>31</v>
      </c>
      <c r="J1330" s="1950">
        <f>ROUND(B1330*H1330,2)</f>
        <v>122463.2</v>
      </c>
    </row>
    <row r="1331" spans="1:11">
      <c r="B1331" s="1954">
        <v>43.2</v>
      </c>
      <c r="C1331" s="1933" t="s">
        <v>31</v>
      </c>
      <c r="D1331" s="1930" t="s">
        <v>64</v>
      </c>
      <c r="H1331" s="1950">
        <f>lead!J$18</f>
        <v>1638.8641904678079</v>
      </c>
      <c r="I1331" s="1950" t="s">
        <v>31</v>
      </c>
      <c r="J1331" s="1950">
        <f>ROUND(B1331*H1331,2)</f>
        <v>70798.929999999993</v>
      </c>
    </row>
    <row r="1332" spans="1:11">
      <c r="B1332" s="1954">
        <v>54.6</v>
      </c>
      <c r="C1332" s="1933" t="s">
        <v>31</v>
      </c>
      <c r="D1332" s="1936" t="s">
        <v>65</v>
      </c>
      <c r="H1332" s="1950">
        <f>lead!J12</f>
        <v>1568.1141904678079</v>
      </c>
      <c r="I1332" s="1950" t="s">
        <v>31</v>
      </c>
      <c r="J1332" s="1950">
        <f>ROUND(B1332*H1332,2)</f>
        <v>85619.03</v>
      </c>
    </row>
    <row r="1333" spans="1:11">
      <c r="B1333" s="2067">
        <v>48.79</v>
      </c>
      <c r="C1333" s="1933" t="s">
        <v>66</v>
      </c>
      <c r="D1333" s="1936" t="s">
        <v>67</v>
      </c>
      <c r="H1333" s="1950">
        <f>lead!J$36</f>
        <v>5000</v>
      </c>
      <c r="I1333" s="1950" t="s">
        <v>66</v>
      </c>
      <c r="J1333" s="1950">
        <f>ROUND(B1333*H1333,2)</f>
        <v>243950</v>
      </c>
    </row>
    <row r="1334" spans="1:11">
      <c r="B1334" s="1936"/>
      <c r="D1334" s="1936" t="s">
        <v>60</v>
      </c>
      <c r="H1334" s="1950"/>
      <c r="I1334" s="1950"/>
      <c r="J1334" s="1950">
        <f>SUM(J1330:J1333)</f>
        <v>522831.16000000003</v>
      </c>
      <c r="K1334" s="1936"/>
    </row>
    <row r="1335" spans="1:11">
      <c r="B1335" s="1964" t="s">
        <v>27</v>
      </c>
      <c r="C1335" s="1971" t="s">
        <v>40</v>
      </c>
      <c r="H1335" s="1950"/>
      <c r="I1335" s="1950"/>
      <c r="J1335" s="1950"/>
    </row>
    <row r="1336" spans="1:11">
      <c r="B1336" s="1954">
        <v>6</v>
      </c>
      <c r="C1336" s="1933" t="s">
        <v>41</v>
      </c>
      <c r="D1336" s="1930" t="s">
        <v>171</v>
      </c>
      <c r="H1336" s="1950">
        <f>'SSR-rates'!H$100</f>
        <v>1205.8</v>
      </c>
      <c r="I1336" s="1950" t="s">
        <v>41</v>
      </c>
      <c r="J1336" s="1950">
        <f>ROUND(B1336*H1336,2)</f>
        <v>7234.8</v>
      </c>
    </row>
    <row r="1337" spans="1:11">
      <c r="B1337" s="1954">
        <v>6</v>
      </c>
      <c r="C1337" s="1933" t="s">
        <v>41</v>
      </c>
      <c r="D1337" s="1930" t="s">
        <v>172</v>
      </c>
      <c r="H1337" s="1950">
        <f>'SSR-rates'!H$102</f>
        <v>1261</v>
      </c>
      <c r="I1337" s="1950" t="s">
        <v>41</v>
      </c>
      <c r="J1337" s="1950">
        <f>ROUND(B1337*H1337,2)</f>
        <v>7566</v>
      </c>
    </row>
    <row r="1338" spans="1:11">
      <c r="B1338" s="1954">
        <v>6</v>
      </c>
      <c r="C1338" s="1933" t="s">
        <v>41</v>
      </c>
      <c r="D1338" s="1930" t="s">
        <v>173</v>
      </c>
      <c r="H1338" s="1950">
        <f>'SSR-rates'!H$65</f>
        <v>1844</v>
      </c>
      <c r="I1338" s="1950" t="s">
        <v>41</v>
      </c>
      <c r="J1338" s="1950">
        <f>ROUND(B1338*H1338,2)</f>
        <v>11064</v>
      </c>
    </row>
    <row r="1339" spans="1:11">
      <c r="B1339" s="1954">
        <v>15</v>
      </c>
      <c r="C1339" s="1933" t="s">
        <v>41</v>
      </c>
      <c r="D1339" s="1930" t="s">
        <v>174</v>
      </c>
      <c r="H1339" s="1950">
        <f>'SSR-rates'!H$104</f>
        <v>2532.4</v>
      </c>
      <c r="I1339" s="1950" t="s">
        <v>41</v>
      </c>
      <c r="J1339" s="1950">
        <f>ROUND(B1339*H1339,2)</f>
        <v>37986</v>
      </c>
    </row>
    <row r="1340" spans="1:11" s="1932" customFormat="1" ht="33.75" customHeight="1">
      <c r="A1340" s="2021"/>
      <c r="B1340" s="1954">
        <v>300</v>
      </c>
      <c r="C1340" s="1933" t="s">
        <v>180</v>
      </c>
      <c r="D1340" s="3257" t="s">
        <v>176</v>
      </c>
      <c r="E1340" s="3257"/>
      <c r="F1340" s="3257"/>
      <c r="G1340" s="3257"/>
      <c r="H1340" s="1950">
        <v>0</v>
      </c>
      <c r="I1340" s="1950" t="s">
        <v>41</v>
      </c>
      <c r="J1340" s="1950"/>
    </row>
    <row r="1341" spans="1:11">
      <c r="B1341" s="1954">
        <v>6</v>
      </c>
      <c r="C1341" s="1933" t="s">
        <v>41</v>
      </c>
      <c r="D1341" s="1936" t="s">
        <v>177</v>
      </c>
      <c r="H1341" s="1950">
        <f>'SSR-rates'!H$106</f>
        <v>899</v>
      </c>
      <c r="I1341" s="1950" t="s">
        <v>41</v>
      </c>
      <c r="J1341" s="1950">
        <f>ROUND(B1341*H1341,2)</f>
        <v>5394</v>
      </c>
    </row>
    <row r="1342" spans="1:11" ht="15" customHeight="1">
      <c r="B1342" s="1954"/>
      <c r="C1342" s="1937"/>
      <c r="D1342" s="1936" t="s">
        <v>60</v>
      </c>
      <c r="H1342" s="1950"/>
      <c r="I1342" s="1950"/>
      <c r="J1342" s="1950">
        <f>SUM(J1336:J1341)</f>
        <v>69244.800000000003</v>
      </c>
    </row>
    <row r="1343" spans="1:11">
      <c r="B1343" s="1964" t="s">
        <v>45</v>
      </c>
      <c r="C1343" s="1971" t="s">
        <v>71</v>
      </c>
      <c r="H1343" s="1950"/>
      <c r="I1343" s="1950"/>
      <c r="J1343" s="1950"/>
    </row>
    <row r="1344" spans="1:11">
      <c r="B1344" s="1936">
        <v>20</v>
      </c>
      <c r="C1344" s="1933" t="s">
        <v>29</v>
      </c>
      <c r="D1344" s="1930" t="s">
        <v>161</v>
      </c>
      <c r="H1344" s="1950">
        <f>J1328+J1334+J1342</f>
        <v>603389.16</v>
      </c>
      <c r="I1344" s="1965" t="s">
        <v>73</v>
      </c>
      <c r="J1344" s="1950">
        <f>ROUND(B1344*H1344/100,2)</f>
        <v>120677.83</v>
      </c>
    </row>
    <row r="1345" spans="1:10" ht="15" customHeight="1">
      <c r="A1345" s="1962"/>
      <c r="B1345" s="1964" t="s">
        <v>47</v>
      </c>
      <c r="C1345" s="1962" t="s">
        <v>44</v>
      </c>
      <c r="F1345" s="1933"/>
      <c r="G1345" s="1933"/>
      <c r="H1345" s="1933"/>
      <c r="I1345" s="1933"/>
      <c r="J1345" s="1990"/>
    </row>
    <row r="1346" spans="1:10" ht="29.25" customHeight="1">
      <c r="A1346" s="1962"/>
      <c r="B1346" s="1955">
        <f>'Input Data'!$D$25</f>
        <v>0.19614999999999999</v>
      </c>
      <c r="C1346" s="3244" t="str">
        <f>"Over head charges "&amp;'Input Data'!$D$25*100&amp;"%  on (A) + (B)+(C)+(D)"</f>
        <v>Over head charges 19.615%  on (A) + (B)+(C)+(D)</v>
      </c>
      <c r="D1346" s="3245"/>
      <c r="E1346" s="3245"/>
      <c r="F1346" s="3245"/>
      <c r="G1346" s="3246"/>
      <c r="H1346" s="1937">
        <f>J1344+J1342+J1334+J1328</f>
        <v>724066.99</v>
      </c>
      <c r="I1346" s="1933"/>
      <c r="J1346" s="1950">
        <f>H1346*B1346</f>
        <v>142025.7400885</v>
      </c>
    </row>
    <row r="1347" spans="1:10">
      <c r="A1347" s="1962"/>
      <c r="B1347" s="1964" t="s">
        <v>76</v>
      </c>
      <c r="C1347" s="1962" t="s">
        <v>77</v>
      </c>
      <c r="F1347" s="1933"/>
      <c r="G1347" s="1933"/>
      <c r="H1347" s="1933"/>
      <c r="I1347" s="1933"/>
      <c r="J1347" s="1990">
        <f>J1328+J1334+J1342+J1344+J1346</f>
        <v>866092.73008849996</v>
      </c>
    </row>
    <row r="1348" spans="1:10">
      <c r="A1348" s="1962"/>
      <c r="B1348" s="1964" t="s">
        <v>78</v>
      </c>
      <c r="C1348" s="1962" t="s">
        <v>79</v>
      </c>
      <c r="F1348" s="1933"/>
      <c r="G1348" s="1933"/>
      <c r="H1348" s="1933"/>
      <c r="I1348" s="1933"/>
      <c r="J1348" s="1990">
        <f>J1347*10/100</f>
        <v>86609.273008849996</v>
      </c>
    </row>
    <row r="1349" spans="1:10">
      <c r="B1349" s="1954"/>
      <c r="C1349" s="1933"/>
      <c r="D1349" s="1971" t="s">
        <v>158</v>
      </c>
      <c r="H1349" s="1950"/>
      <c r="I1349" s="1950"/>
      <c r="J1349" s="1990">
        <f>SUM(J1347:J1348)</f>
        <v>952702.00309735001</v>
      </c>
    </row>
    <row r="1350" spans="1:10">
      <c r="B1350" s="1954"/>
      <c r="C1350" s="1933"/>
      <c r="D1350" s="1936" t="s">
        <v>81</v>
      </c>
      <c r="H1350" s="1950"/>
      <c r="I1350" s="1950"/>
      <c r="J1350" s="1950">
        <f>ROUND(J1349/120,2)</f>
        <v>7939.18</v>
      </c>
    </row>
    <row r="1351" spans="1:10">
      <c r="D1351" s="1936" t="s">
        <v>52</v>
      </c>
      <c r="H1351" s="1950"/>
      <c r="I1351" s="1950"/>
      <c r="J1351" s="1991">
        <f>ROUND(J1350,0)</f>
        <v>7939</v>
      </c>
    </row>
    <row r="1352" spans="1:10">
      <c r="D1352" s="1936"/>
      <c r="H1352" s="1950"/>
      <c r="I1352" s="1950"/>
      <c r="J1352" s="1990" t="s">
        <v>53</v>
      </c>
    </row>
    <row r="1354" spans="1:10" ht="56.25" customHeight="1">
      <c r="A1354" s="1959">
        <v>16</v>
      </c>
      <c r="B1354" s="3238" t="s">
        <v>308</v>
      </c>
      <c r="C1354" s="3238"/>
      <c r="D1354" s="3238"/>
      <c r="E1354" s="3238"/>
      <c r="F1354" s="3238"/>
      <c r="G1354" s="3238"/>
      <c r="H1354" s="3238"/>
      <c r="I1354" s="3238"/>
      <c r="J1354" s="3238"/>
    </row>
    <row r="1355" spans="1:10">
      <c r="A1355" s="1962"/>
      <c r="B1355" s="3239" t="s">
        <v>309</v>
      </c>
      <c r="C1355" s="3239"/>
      <c r="D1355" s="1961"/>
      <c r="E1355" s="1961"/>
      <c r="F1355" s="1961"/>
      <c r="G1355" s="1961"/>
      <c r="H1355" s="1963"/>
      <c r="I1355" s="1963"/>
      <c r="J1355" s="1963"/>
    </row>
    <row r="1356" spans="1:10">
      <c r="A1356" s="1962"/>
      <c r="B1356" s="3239" t="s">
        <v>310</v>
      </c>
      <c r="C1356" s="3239"/>
      <c r="D1356" s="3239"/>
      <c r="E1356" s="3239"/>
      <c r="F1356" s="1962" t="s">
        <v>311</v>
      </c>
      <c r="G1356" s="1961"/>
      <c r="H1356" s="1963"/>
      <c r="I1356" s="1963"/>
      <c r="J1356" s="1963"/>
    </row>
    <row r="1357" spans="1:10">
      <c r="A1357" s="1962"/>
      <c r="B1357" s="1964" t="s">
        <v>36</v>
      </c>
      <c r="C1357" s="1962" t="s">
        <v>37</v>
      </c>
      <c r="D1357" s="1961"/>
      <c r="E1357" s="1961"/>
      <c r="F1357" s="1961"/>
      <c r="G1357" s="1961"/>
      <c r="H1357" s="1963"/>
      <c r="I1357" s="1963"/>
      <c r="J1357" s="1963"/>
    </row>
    <row r="1358" spans="1:10">
      <c r="A1358" s="1962"/>
      <c r="B1358" s="1983">
        <v>0.04</v>
      </c>
      <c r="C1358" s="1937" t="s">
        <v>38</v>
      </c>
      <c r="D1358" s="1961"/>
      <c r="E1358" s="1933" t="s">
        <v>14</v>
      </c>
      <c r="F1358" s="1961"/>
      <c r="G1358" s="1961"/>
      <c r="H1358" s="1950">
        <f>'SSR-rates'!$H$58</f>
        <v>490</v>
      </c>
      <c r="I1358" s="1965" t="s">
        <v>38</v>
      </c>
      <c r="J1358" s="1950">
        <f>ROUND(B1358*H1358,2)</f>
        <v>19.600000000000001</v>
      </c>
    </row>
    <row r="1359" spans="1:10">
      <c r="A1359" s="1962"/>
      <c r="B1359" s="1950">
        <v>0.5</v>
      </c>
      <c r="C1359" s="1937" t="s">
        <v>38</v>
      </c>
      <c r="D1359" s="1933"/>
      <c r="E1359" s="1933" t="s">
        <v>312</v>
      </c>
      <c r="F1359" s="1933"/>
      <c r="G1359" s="1933"/>
      <c r="H1359" s="1950">
        <f>'SSR-rates'!H60</f>
        <v>490</v>
      </c>
      <c r="I1359" s="1965" t="s">
        <v>38</v>
      </c>
      <c r="J1359" s="1950">
        <f>ROUND(B1359*H1359,2)</f>
        <v>245</v>
      </c>
    </row>
    <row r="1360" spans="1:10">
      <c r="A1360" s="1962"/>
      <c r="B1360" s="1950">
        <v>0.5</v>
      </c>
      <c r="C1360" s="1937" t="s">
        <v>38</v>
      </c>
      <c r="D1360" s="1933"/>
      <c r="E1360" s="1933" t="s">
        <v>15</v>
      </c>
      <c r="F1360" s="1933"/>
      <c r="G1360" s="1933"/>
      <c r="H1360" s="1950">
        <f>'SSR-rates'!H59</f>
        <v>524</v>
      </c>
      <c r="I1360" s="1965" t="s">
        <v>38</v>
      </c>
      <c r="J1360" s="1950">
        <f>ROUND(B1360*H1360,2)</f>
        <v>262</v>
      </c>
    </row>
    <row r="1361" spans="1:10" ht="15.75" customHeight="1">
      <c r="A1361" s="1962"/>
      <c r="B1361" s="1951">
        <f>'Input Data'!$D$23</f>
        <v>0</v>
      </c>
      <c r="C1361" s="1937"/>
      <c r="D1361" s="1930" t="s">
        <v>17</v>
      </c>
      <c r="F1361" s="1933"/>
      <c r="G1361" s="1933"/>
      <c r="H1361" s="1950">
        <f>SUM(J1359:J1360)</f>
        <v>507</v>
      </c>
      <c r="I1361" s="1965"/>
      <c r="J1361" s="1950">
        <f>B1361*H1361</f>
        <v>0</v>
      </c>
    </row>
    <row r="1362" spans="1:10">
      <c r="A1362" s="1962"/>
      <c r="B1362" s="1950"/>
      <c r="C1362" s="1937"/>
      <c r="D1362" s="1933"/>
      <c r="E1362" s="1933"/>
      <c r="F1362" s="1933"/>
      <c r="G1362" s="1933"/>
      <c r="H1362" s="1950"/>
      <c r="I1362" s="1965"/>
      <c r="J1362" s="1950">
        <f>SUM(J1358:J1361)</f>
        <v>526.6</v>
      </c>
    </row>
    <row r="1363" spans="1:10">
      <c r="A1363" s="1962"/>
      <c r="B1363" s="1964" t="s">
        <v>39</v>
      </c>
      <c r="C1363" s="1962" t="s">
        <v>61</v>
      </c>
      <c r="F1363" s="1933"/>
      <c r="G1363" s="1933"/>
      <c r="H1363" s="1933"/>
      <c r="I1363" s="1933"/>
      <c r="J1363" s="1930"/>
    </row>
    <row r="1364" spans="1:10" ht="38.25" customHeight="1">
      <c r="A1364" s="1962"/>
      <c r="B1364" s="1968">
        <v>55</v>
      </c>
      <c r="C1364" s="1967" t="s">
        <v>191</v>
      </c>
      <c r="D1364" s="3243" t="s">
        <v>313</v>
      </c>
      <c r="E1364" s="3243"/>
      <c r="F1364" s="3243"/>
      <c r="G1364" s="3243"/>
      <c r="H1364" s="2068">
        <v>605</v>
      </c>
      <c r="I1364" s="1968" t="s">
        <v>191</v>
      </c>
      <c r="J1364" s="1968">
        <f>ROUND(B1364*H1364,2)</f>
        <v>33275</v>
      </c>
    </row>
    <row r="1365" spans="1:10">
      <c r="A1365" s="1962"/>
      <c r="B1365" s="1968"/>
      <c r="C1365" s="1967"/>
      <c r="D1365" s="1969"/>
      <c r="E1365" s="1969"/>
      <c r="F1365" s="1969"/>
      <c r="G1365" s="1969"/>
      <c r="H1365" s="1968"/>
      <c r="I1365" s="1968"/>
      <c r="J1365" s="1968">
        <f>SUM(J1364:J1364)</f>
        <v>33275</v>
      </c>
    </row>
    <row r="1366" spans="1:10">
      <c r="A1366" s="1962"/>
      <c r="B1366" s="1950"/>
      <c r="C1366" s="1937"/>
      <c r="D1366" s="1933"/>
      <c r="F1366" s="1933"/>
      <c r="G1366" s="1933"/>
      <c r="H1366" s="1950"/>
      <c r="I1366" s="1950"/>
      <c r="J1366" s="1930"/>
    </row>
    <row r="1367" spans="1:10">
      <c r="B1367" s="1955">
        <f>'Input Data'!$D$25</f>
        <v>0.19614999999999999</v>
      </c>
      <c r="C1367" s="1933" t="str">
        <f>"Over head charges "&amp;'Input Data'!$D$25*100&amp;"%  on (A) + (B)"</f>
        <v>Over head charges 19.615%  on (A) + (B)</v>
      </c>
      <c r="H1367" s="1936">
        <f>J1365+J1362</f>
        <v>33801.599999999999</v>
      </c>
      <c r="J1367" s="1950">
        <f>H1367*B1367</f>
        <v>6630.1838399999997</v>
      </c>
    </row>
    <row r="1368" spans="1:10">
      <c r="A1368" s="1962"/>
      <c r="B1368" s="1964" t="s">
        <v>45</v>
      </c>
      <c r="C1368" s="1933" t="s">
        <v>46</v>
      </c>
      <c r="F1368" s="1933"/>
      <c r="G1368" s="1933"/>
      <c r="H1368" s="1933"/>
      <c r="I1368" s="1933"/>
      <c r="J1368" s="1990">
        <f>J1362+J1365+J1367</f>
        <v>40431.783839999996</v>
      </c>
    </row>
    <row r="1369" spans="1:10">
      <c r="A1369" s="1962"/>
      <c r="B1369" s="1964" t="s">
        <v>47</v>
      </c>
      <c r="C1369" s="1933" t="s">
        <v>48</v>
      </c>
      <c r="D1369" s="1933"/>
      <c r="F1369" s="1933"/>
      <c r="G1369" s="1933"/>
      <c r="H1369" s="1933"/>
      <c r="I1369" s="1933"/>
      <c r="J1369" s="1990">
        <f>J1368*10/100</f>
        <v>4043.1783839999994</v>
      </c>
    </row>
    <row r="1370" spans="1:10">
      <c r="A1370" s="1962"/>
      <c r="B1370" s="1933"/>
      <c r="C1370" s="1933" t="s">
        <v>314</v>
      </c>
      <c r="D1370" s="1933"/>
      <c r="F1370" s="1933"/>
      <c r="G1370" s="1933"/>
      <c r="H1370" s="1933"/>
      <c r="I1370" s="1933"/>
      <c r="J1370" s="1990">
        <f>SUM(J1368:J1369)</f>
        <v>44474.962223999995</v>
      </c>
    </row>
    <row r="1371" spans="1:10">
      <c r="A1371" s="1962"/>
      <c r="B1371" s="1933"/>
      <c r="C1371" s="1933" t="s">
        <v>127</v>
      </c>
      <c r="D1371" s="1933"/>
      <c r="F1371" s="1933"/>
      <c r="G1371" s="1933"/>
      <c r="H1371" s="1933"/>
      <c r="I1371" s="1933"/>
      <c r="J1371" s="1950">
        <f>J1370/12</f>
        <v>3706.2468519999998</v>
      </c>
    </row>
    <row r="1372" spans="1:10">
      <c r="A1372" s="1962"/>
      <c r="B1372" s="1950"/>
      <c r="C1372" s="1937"/>
      <c r="D1372" s="3251" t="s">
        <v>315</v>
      </c>
      <c r="E1372" s="3252"/>
      <c r="F1372" s="1936"/>
      <c r="G1372" s="1936"/>
      <c r="H1372" s="1954"/>
      <c r="I1372" s="1936"/>
      <c r="J1372" s="1991">
        <f>ROUND(J1371,0)</f>
        <v>3706</v>
      </c>
    </row>
    <row r="1374" spans="1:10" ht="126.75" customHeight="1">
      <c r="A1374" s="2008" t="s">
        <v>278</v>
      </c>
      <c r="B1374" s="3238" t="s">
        <v>306</v>
      </c>
      <c r="C1374" s="3238"/>
      <c r="D1374" s="3238"/>
      <c r="E1374" s="3238"/>
      <c r="F1374" s="3238"/>
      <c r="G1374" s="3238"/>
      <c r="H1374" s="3238"/>
      <c r="I1374" s="3238"/>
      <c r="J1374" s="3238"/>
    </row>
    <row r="1375" spans="1:10">
      <c r="D1375" s="1936" t="s">
        <v>10</v>
      </c>
      <c r="F1375" s="1962" t="s">
        <v>307</v>
      </c>
      <c r="J1375" s="1930"/>
    </row>
    <row r="1376" spans="1:10">
      <c r="D1376" s="1936" t="s">
        <v>170</v>
      </c>
      <c r="J1376" s="1930"/>
    </row>
    <row r="1377" spans="1:11">
      <c r="B1377" s="1964" t="s">
        <v>36</v>
      </c>
      <c r="C1377" s="1971" t="s">
        <v>37</v>
      </c>
      <c r="J1377" s="1930"/>
    </row>
    <row r="1378" spans="1:11">
      <c r="B1378" s="1954">
        <v>0.88</v>
      </c>
      <c r="C1378" s="1933" t="s">
        <v>57</v>
      </c>
      <c r="D1378" s="1936" t="s">
        <v>156</v>
      </c>
      <c r="H1378" s="1950">
        <f>'SSR-rates'!H$58</f>
        <v>490</v>
      </c>
      <c r="I1378" s="1965" t="s">
        <v>38</v>
      </c>
      <c r="J1378" s="1954">
        <f>ROUND(B1378*H1378,2)</f>
        <v>431.2</v>
      </c>
    </row>
    <row r="1379" spans="1:11">
      <c r="B1379" s="1954">
        <v>3</v>
      </c>
      <c r="C1379" s="1933" t="s">
        <v>57</v>
      </c>
      <c r="D1379" s="1936" t="s">
        <v>58</v>
      </c>
      <c r="H1379" s="1950">
        <v>357</v>
      </c>
      <c r="I1379" s="1965" t="s">
        <v>38</v>
      </c>
      <c r="J1379" s="1954">
        <f>ROUND(B1379*H1379,2)</f>
        <v>1071</v>
      </c>
    </row>
    <row r="1380" spans="1:11">
      <c r="B1380" s="1954">
        <v>19</v>
      </c>
      <c r="C1380" s="1933" t="s">
        <v>57</v>
      </c>
      <c r="D1380" s="1936" t="s">
        <v>59</v>
      </c>
      <c r="H1380" s="1950">
        <f>'SSR-rates'!H$60</f>
        <v>490</v>
      </c>
      <c r="I1380" s="1965" t="s">
        <v>38</v>
      </c>
      <c r="J1380" s="1954">
        <f>ROUND(B1380*H1380,2)</f>
        <v>9310</v>
      </c>
    </row>
    <row r="1381" spans="1:11">
      <c r="A1381" s="1962"/>
      <c r="B1381" s="1951">
        <f>'Input Data'!$D$23</f>
        <v>0</v>
      </c>
      <c r="C1381" s="1937"/>
      <c r="D1381" s="1930" t="s">
        <v>17</v>
      </c>
      <c r="F1381" s="1933"/>
      <c r="G1381" s="1933"/>
      <c r="H1381" s="1950">
        <f>SUM(J1379:J1380)</f>
        <v>10381</v>
      </c>
      <c r="I1381" s="1965"/>
      <c r="J1381" s="1950">
        <f>B1381*H1381</f>
        <v>0</v>
      </c>
    </row>
    <row r="1382" spans="1:11">
      <c r="B1382" s="1954"/>
      <c r="C1382" s="1933"/>
      <c r="D1382" s="1936" t="s">
        <v>60</v>
      </c>
      <c r="H1382" s="1950"/>
      <c r="I1382" s="1950"/>
      <c r="J1382" s="1954">
        <f>SUM(J1378:J1381)</f>
        <v>10812.2</v>
      </c>
    </row>
    <row r="1383" spans="1:11">
      <c r="B1383" s="1964" t="s">
        <v>39</v>
      </c>
      <c r="C1383" s="1971" t="s">
        <v>61</v>
      </c>
      <c r="H1383" s="1950"/>
      <c r="I1383" s="1950"/>
      <c r="J1383" s="1950"/>
    </row>
    <row r="1384" spans="1:11">
      <c r="B1384" s="1954">
        <v>64.8</v>
      </c>
      <c r="C1384" s="1933" t="s">
        <v>31</v>
      </c>
      <c r="D1384" s="1930" t="s">
        <v>63</v>
      </c>
      <c r="H1384" s="1950">
        <f>lead!J$16</f>
        <v>1889.8641904678079</v>
      </c>
      <c r="I1384" s="1950" t="s">
        <v>31</v>
      </c>
      <c r="J1384" s="1950">
        <f>ROUND(B1384*H1384,2)</f>
        <v>122463.2</v>
      </c>
    </row>
    <row r="1385" spans="1:11">
      <c r="B1385" s="1954">
        <v>43.2</v>
      </c>
      <c r="C1385" s="1933" t="s">
        <v>31</v>
      </c>
      <c r="D1385" s="1930" t="s">
        <v>64</v>
      </c>
      <c r="H1385" s="1950">
        <f>lead!J$18</f>
        <v>1638.8641904678079</v>
      </c>
      <c r="I1385" s="1950" t="s">
        <v>31</v>
      </c>
      <c r="J1385" s="1950">
        <f>ROUND(B1385*H1385,2)</f>
        <v>70798.929999999993</v>
      </c>
    </row>
    <row r="1386" spans="1:11">
      <c r="B1386" s="1954">
        <v>54.6</v>
      </c>
      <c r="C1386" s="1933" t="s">
        <v>31</v>
      </c>
      <c r="D1386" s="1936" t="s">
        <v>65</v>
      </c>
      <c r="H1386" s="1950">
        <f>lead!J12</f>
        <v>1568.1141904678079</v>
      </c>
      <c r="I1386" s="1950" t="s">
        <v>31</v>
      </c>
      <c r="J1386" s="1950">
        <f>ROUND(B1386*H1386,2)</f>
        <v>85619.03</v>
      </c>
    </row>
    <row r="1387" spans="1:11">
      <c r="B1387" s="2067">
        <v>48.79</v>
      </c>
      <c r="C1387" s="1933" t="s">
        <v>66</v>
      </c>
      <c r="D1387" s="1936" t="s">
        <v>67</v>
      </c>
      <c r="H1387" s="1950">
        <f>lead!J$36</f>
        <v>5000</v>
      </c>
      <c r="I1387" s="1950" t="s">
        <v>66</v>
      </c>
      <c r="J1387" s="1950">
        <f>ROUND(B1387*H1387,2)</f>
        <v>243950</v>
      </c>
    </row>
    <row r="1388" spans="1:11">
      <c r="B1388" s="1936"/>
      <c r="D1388" s="1936" t="s">
        <v>60</v>
      </c>
      <c r="H1388" s="1950"/>
      <c r="I1388" s="1950"/>
      <c r="J1388" s="1950">
        <f>SUM(J1384:J1387)</f>
        <v>522831.16000000003</v>
      </c>
      <c r="K1388" s="1936"/>
    </row>
    <row r="1389" spans="1:11">
      <c r="B1389" s="1964" t="s">
        <v>27</v>
      </c>
      <c r="C1389" s="1971" t="s">
        <v>40</v>
      </c>
      <c r="H1389" s="1950"/>
      <c r="I1389" s="1950"/>
      <c r="J1389" s="1950"/>
    </row>
    <row r="1390" spans="1:11">
      <c r="B1390" s="1954">
        <v>6</v>
      </c>
      <c r="C1390" s="1933" t="s">
        <v>41</v>
      </c>
      <c r="D1390" s="1930" t="s">
        <v>171</v>
      </c>
      <c r="H1390" s="1950">
        <f>'SSR-rates'!H$100</f>
        <v>1205.8</v>
      </c>
      <c r="I1390" s="1950" t="s">
        <v>41</v>
      </c>
      <c r="J1390" s="1950">
        <f>ROUND(B1390*H1390,2)</f>
        <v>7234.8</v>
      </c>
    </row>
    <row r="1391" spans="1:11">
      <c r="B1391" s="1954">
        <v>6</v>
      </c>
      <c r="C1391" s="1933" t="s">
        <v>41</v>
      </c>
      <c r="D1391" s="1930" t="s">
        <v>172</v>
      </c>
      <c r="H1391" s="1950">
        <f>'SSR-rates'!H$102</f>
        <v>1261</v>
      </c>
      <c r="I1391" s="1950" t="s">
        <v>41</v>
      </c>
      <c r="J1391" s="1950">
        <f>ROUND(B1391*H1391,2)</f>
        <v>7566</v>
      </c>
    </row>
    <row r="1392" spans="1:11">
      <c r="B1392" s="1954">
        <v>6</v>
      </c>
      <c r="C1392" s="1933" t="s">
        <v>41</v>
      </c>
      <c r="D1392" s="1930" t="s">
        <v>173</v>
      </c>
      <c r="H1392" s="1950">
        <f>'SSR-rates'!H$65</f>
        <v>1844</v>
      </c>
      <c r="I1392" s="1950" t="s">
        <v>41</v>
      </c>
      <c r="J1392" s="1950">
        <f>ROUND(B1392*H1392,2)</f>
        <v>11064</v>
      </c>
    </row>
    <row r="1393" spans="1:10">
      <c r="B1393" s="1954">
        <v>15</v>
      </c>
      <c r="C1393" s="1933" t="s">
        <v>41</v>
      </c>
      <c r="D1393" s="1930" t="s">
        <v>174</v>
      </c>
      <c r="H1393" s="1950">
        <f>'SSR-rates'!H$104</f>
        <v>2532.4</v>
      </c>
      <c r="I1393" s="1950" t="s">
        <v>41</v>
      </c>
      <c r="J1393" s="1950">
        <f>ROUND(B1393*H1393,2)</f>
        <v>37986</v>
      </c>
    </row>
    <row r="1394" spans="1:10" s="1932" customFormat="1" ht="33.75" customHeight="1">
      <c r="A1394" s="2021"/>
      <c r="B1394" s="1954">
        <v>300</v>
      </c>
      <c r="C1394" s="1933" t="s">
        <v>180</v>
      </c>
      <c r="D1394" s="3257" t="s">
        <v>176</v>
      </c>
      <c r="E1394" s="3257"/>
      <c r="F1394" s="3257"/>
      <c r="G1394" s="3257"/>
      <c r="H1394" s="1950">
        <v>0</v>
      </c>
      <c r="I1394" s="1950" t="s">
        <v>41</v>
      </c>
      <c r="J1394" s="1950">
        <f>ROUND(B1394*H1394*'Input Data'!$E$17,2)</f>
        <v>0</v>
      </c>
    </row>
    <row r="1395" spans="1:10">
      <c r="B1395" s="1954">
        <v>6</v>
      </c>
      <c r="C1395" s="1933" t="s">
        <v>41</v>
      </c>
      <c r="D1395" s="1936" t="s">
        <v>177</v>
      </c>
      <c r="H1395" s="1950">
        <f>'SSR-rates'!H$106</f>
        <v>899</v>
      </c>
      <c r="I1395" s="1950" t="s">
        <v>41</v>
      </c>
      <c r="J1395" s="1950">
        <f>ROUND(B1395*H1395,2)</f>
        <v>5394</v>
      </c>
    </row>
    <row r="1396" spans="1:10" ht="15" customHeight="1">
      <c r="B1396" s="1954"/>
      <c r="C1396" s="1937"/>
      <c r="D1396" s="1936" t="s">
        <v>60</v>
      </c>
      <c r="H1396" s="1950"/>
      <c r="I1396" s="1950"/>
      <c r="J1396" s="1950">
        <f>SUM(J1390:J1395)</f>
        <v>69244.800000000003</v>
      </c>
    </row>
    <row r="1397" spans="1:10">
      <c r="B1397" s="1964" t="s">
        <v>45</v>
      </c>
      <c r="C1397" s="1971" t="s">
        <v>71</v>
      </c>
      <c r="H1397" s="1950"/>
      <c r="I1397" s="1950"/>
      <c r="J1397" s="1950"/>
    </row>
    <row r="1398" spans="1:10">
      <c r="B1398" s="1936">
        <v>20</v>
      </c>
      <c r="C1398" s="1933" t="s">
        <v>29</v>
      </c>
      <c r="D1398" s="1930" t="s">
        <v>302</v>
      </c>
      <c r="H1398" s="1950">
        <f>J1382+J1388+J1396</f>
        <v>602888.16</v>
      </c>
      <c r="I1398" s="1965" t="s">
        <v>73</v>
      </c>
      <c r="J1398" s="1950">
        <f>ROUND(B1398*H1398/100,2)</f>
        <v>120577.63</v>
      </c>
    </row>
    <row r="1399" spans="1:10" ht="15" customHeight="1">
      <c r="A1399" s="1962"/>
      <c r="B1399" s="1964" t="s">
        <v>47</v>
      </c>
      <c r="C1399" s="1962" t="s">
        <v>44</v>
      </c>
      <c r="F1399" s="1933"/>
      <c r="G1399" s="1933"/>
      <c r="H1399" s="1933"/>
      <c r="I1399" s="1933"/>
      <c r="J1399" s="1990"/>
    </row>
    <row r="1400" spans="1:10" ht="29.25" customHeight="1">
      <c r="A1400" s="1962"/>
      <c r="B1400" s="1955"/>
      <c r="C1400" s="3244" t="str">
        <f>"Over head charges "&amp;'Input Data'!$D$25*100&amp;"%  on (A) + (B)+(C)+(D)"</f>
        <v>Over head charges 19.615%  on (A) + (B)+(C)+(D)</v>
      </c>
      <c r="D1400" s="3245"/>
      <c r="E1400" s="3245"/>
      <c r="F1400" s="3245"/>
      <c r="G1400" s="3246"/>
      <c r="H1400" s="1937">
        <f>J1398+J1396+J1388+J1382</f>
        <v>723465.79</v>
      </c>
      <c r="I1400" s="1933"/>
      <c r="J1400" s="1950">
        <f>H1400*B1400</f>
        <v>0</v>
      </c>
    </row>
    <row r="1401" spans="1:10">
      <c r="A1401" s="1962"/>
      <c r="B1401" s="1964" t="s">
        <v>76</v>
      </c>
      <c r="C1401" s="1962" t="s">
        <v>77</v>
      </c>
      <c r="F1401" s="1933"/>
      <c r="G1401" s="1933"/>
      <c r="H1401" s="1933"/>
      <c r="I1401" s="1933"/>
      <c r="J1401" s="2019">
        <f>J1382+J1388+J1396+J1398+J1400</f>
        <v>723465.79</v>
      </c>
    </row>
    <row r="1402" spans="1:10">
      <c r="A1402" s="1962"/>
      <c r="B1402" s="1964" t="s">
        <v>78</v>
      </c>
      <c r="C1402" s="1962" t="s">
        <v>79</v>
      </c>
      <c r="F1402" s="1933"/>
      <c r="G1402" s="1933"/>
      <c r="H1402" s="1933"/>
      <c r="I1402" s="1933"/>
      <c r="J1402" s="1990">
        <f>J1401*0/100</f>
        <v>0</v>
      </c>
    </row>
    <row r="1403" spans="1:10">
      <c r="B1403" s="1954"/>
      <c r="C1403" s="1933"/>
      <c r="D1403" s="1971" t="s">
        <v>158</v>
      </c>
      <c r="H1403" s="1950"/>
      <c r="I1403" s="1950"/>
      <c r="J1403" s="2019">
        <f>SUM(J1401:J1402)</f>
        <v>723465.79</v>
      </c>
    </row>
    <row r="1404" spans="1:10">
      <c r="B1404" s="1954"/>
      <c r="C1404" s="1933"/>
      <c r="D1404" s="1936" t="s">
        <v>81</v>
      </c>
      <c r="H1404" s="1950"/>
      <c r="I1404" s="1950"/>
      <c r="J1404" s="1950">
        <f>ROUND(J1403/120,2)</f>
        <v>6028.88</v>
      </c>
    </row>
    <row r="1405" spans="1:10">
      <c r="D1405" s="1936" t="s">
        <v>52</v>
      </c>
      <c r="H1405" s="1950"/>
      <c r="I1405" s="1950"/>
      <c r="J1405" s="1991">
        <f>ROUND(J1404,0)</f>
        <v>6029</v>
      </c>
    </row>
    <row r="1406" spans="1:10">
      <c r="D1406" s="1936"/>
      <c r="H1406" s="1950"/>
      <c r="I1406" s="1950"/>
      <c r="J1406" s="1990" t="s">
        <v>53</v>
      </c>
    </row>
    <row r="1407" spans="1:10" ht="137.25" customHeight="1">
      <c r="A1407" s="1959" t="s">
        <v>316</v>
      </c>
      <c r="B1407" s="3258" t="s">
        <v>317</v>
      </c>
      <c r="C1407" s="3258"/>
      <c r="D1407" s="3258"/>
      <c r="E1407" s="3258"/>
      <c r="F1407" s="3258"/>
      <c r="G1407" s="3258"/>
      <c r="H1407" s="3258"/>
      <c r="I1407" s="3258"/>
      <c r="J1407" s="3258"/>
    </row>
    <row r="1408" spans="1:10">
      <c r="A1408" s="2022"/>
      <c r="B1408" s="1941"/>
      <c r="C1408" s="1941"/>
      <c r="D1408" s="3259" t="s">
        <v>198</v>
      </c>
      <c r="E1408" s="3259"/>
      <c r="F1408" s="3259"/>
      <c r="G1408" s="3259"/>
      <c r="H1408" s="1941"/>
      <c r="I1408" s="1941"/>
      <c r="J1408" s="1974"/>
    </row>
    <row r="1409" spans="1:12">
      <c r="A1409" s="2022"/>
      <c r="B1409" s="1941"/>
      <c r="C1409" s="1941"/>
      <c r="D1409" s="3260" t="s">
        <v>186</v>
      </c>
      <c r="E1409" s="3260"/>
      <c r="F1409" s="3260"/>
      <c r="G1409" s="3260"/>
      <c r="H1409" s="1941"/>
      <c r="I1409" s="1941"/>
      <c r="J1409" s="1974"/>
    </row>
    <row r="1410" spans="1:12">
      <c r="A1410" s="2022"/>
      <c r="B1410" s="1941"/>
      <c r="C1410" s="1946"/>
      <c r="D1410" s="3260" t="s">
        <v>187</v>
      </c>
      <c r="E1410" s="3260"/>
      <c r="F1410" s="3260"/>
      <c r="G1410" s="3260"/>
      <c r="H1410" s="1941"/>
      <c r="I1410" s="1941"/>
      <c r="J1410" s="1974"/>
    </row>
    <row r="1411" spans="1:12">
      <c r="A1411" s="2022"/>
      <c r="B1411" s="1941"/>
      <c r="C1411" s="1947"/>
      <c r="D1411" s="3233" t="s">
        <v>12</v>
      </c>
      <c r="E1411" s="3233"/>
      <c r="F1411" s="3233"/>
      <c r="G1411" s="3233"/>
      <c r="H1411" s="1941"/>
      <c r="I1411" s="1941"/>
      <c r="J1411" s="1974"/>
    </row>
    <row r="1412" spans="1:12">
      <c r="A1412" s="2022"/>
      <c r="B1412" s="1946">
        <v>0.44</v>
      </c>
      <c r="C1412" s="2024" t="s">
        <v>13</v>
      </c>
      <c r="D1412" s="3234" t="s">
        <v>14</v>
      </c>
      <c r="E1412" s="3234"/>
      <c r="F1412" s="3234"/>
      <c r="G1412" s="3234"/>
      <c r="H1412" s="1956">
        <f>'SSR-rates'!$H$58</f>
        <v>490</v>
      </c>
      <c r="I1412" s="1946">
        <v>1</v>
      </c>
      <c r="J1412" s="1975">
        <f>ROUND(B1412*H1412,2)</f>
        <v>215.6</v>
      </c>
      <c r="L1412" s="1930">
        <v>0.44</v>
      </c>
    </row>
    <row r="1413" spans="1:12">
      <c r="A1413" s="2022"/>
      <c r="B1413" s="1946">
        <v>3</v>
      </c>
      <c r="C1413" s="2024" t="s">
        <v>13</v>
      </c>
      <c r="D1413" s="3234" t="s">
        <v>188</v>
      </c>
      <c r="E1413" s="3234"/>
      <c r="F1413" s="3234"/>
      <c r="G1413" s="3234"/>
      <c r="H1413" s="1956">
        <f>'SSR-rates'!$H$92</f>
        <v>540</v>
      </c>
      <c r="I1413" s="1946">
        <v>1</v>
      </c>
      <c r="J1413" s="1975">
        <f>ROUND(B1413*H1413,2)</f>
        <v>1620</v>
      </c>
      <c r="L1413" s="1930">
        <v>3</v>
      </c>
    </row>
    <row r="1414" spans="1:12">
      <c r="A1414" s="2022"/>
      <c r="B1414" s="1946">
        <v>8</v>
      </c>
      <c r="C1414" s="2024" t="s">
        <v>13</v>
      </c>
      <c r="D1414" s="3234" t="s">
        <v>59</v>
      </c>
      <c r="E1414" s="3234"/>
      <c r="F1414" s="3234"/>
      <c r="G1414" s="3234"/>
      <c r="H1414" s="1956">
        <f>'SSR-rates'!$H$60</f>
        <v>490</v>
      </c>
      <c r="I1414" s="1946">
        <v>1</v>
      </c>
      <c r="J1414" s="1975">
        <f>ROUND(B1414*H1414,2)</f>
        <v>3920</v>
      </c>
      <c r="L1414" s="1930">
        <v>8</v>
      </c>
    </row>
    <row r="1415" spans="1:12" ht="15" customHeight="1">
      <c r="A1415" s="2022"/>
      <c r="B1415" s="1951">
        <f>'Input Data'!$D$23</f>
        <v>0</v>
      </c>
      <c r="C1415" s="1937"/>
      <c r="D1415" s="1930" t="s">
        <v>17</v>
      </c>
      <c r="F1415" s="1933"/>
      <c r="G1415" s="1933"/>
      <c r="H1415" s="1950">
        <f>SUM(J1414:J1414)</f>
        <v>3920</v>
      </c>
      <c r="I1415" s="1965"/>
      <c r="J1415" s="1950">
        <f>B1415*H1415</f>
        <v>0</v>
      </c>
    </row>
    <row r="1416" spans="1:12">
      <c r="A1416" s="2022"/>
      <c r="B1416" s="1946"/>
      <c r="C1416" s="2025"/>
      <c r="D1416" s="3235" t="s">
        <v>18</v>
      </c>
      <c r="E1416" s="3235"/>
      <c r="F1416" s="3235"/>
      <c r="G1416" s="3235"/>
      <c r="H1416" s="1946"/>
      <c r="I1416" s="1976" t="s">
        <v>19</v>
      </c>
      <c r="J1416" s="1977">
        <f>SUM(J1412:J1415)</f>
        <v>5755.6</v>
      </c>
    </row>
    <row r="1417" spans="1:12">
      <c r="A1417" s="2022"/>
      <c r="B1417" s="1946"/>
      <c r="C1417" s="2026"/>
      <c r="D1417" s="3233" t="s">
        <v>189</v>
      </c>
      <c r="E1417" s="3233"/>
      <c r="F1417" s="3233"/>
      <c r="G1417" s="3233"/>
      <c r="H1417" s="1946"/>
      <c r="I1417" s="1946"/>
      <c r="J1417" s="1975"/>
    </row>
    <row r="1418" spans="1:12" ht="42" customHeight="1">
      <c r="A1418" s="2022"/>
      <c r="B1418" s="1946">
        <v>1.05</v>
      </c>
      <c r="C1418" s="2024" t="s">
        <v>66</v>
      </c>
      <c r="D1418" s="3261" t="s">
        <v>199</v>
      </c>
      <c r="E1418" s="3262"/>
      <c r="F1418" s="3262"/>
      <c r="G1418" s="3263"/>
      <c r="H1418" s="1946">
        <f>lead!$J$37</f>
        <v>49000</v>
      </c>
      <c r="I1418" s="1946">
        <v>1</v>
      </c>
      <c r="J1418" s="1975">
        <f>ROUND(B1418*H1418,2)</f>
        <v>51450</v>
      </c>
    </row>
    <row r="1419" spans="1:12">
      <c r="A1419" s="2022"/>
      <c r="B1419" s="1946">
        <v>8</v>
      </c>
      <c r="C1419" s="2024" t="s">
        <v>191</v>
      </c>
      <c r="D1419" s="3237" t="s">
        <v>196</v>
      </c>
      <c r="E1419" s="3237"/>
      <c r="F1419" s="3237"/>
      <c r="G1419" s="3237"/>
      <c r="H1419" s="1946">
        <f>'SSR-rates'!H93</f>
        <v>66</v>
      </c>
      <c r="I1419" s="1946">
        <v>1</v>
      </c>
      <c r="J1419" s="1975">
        <f>H1419*B1419</f>
        <v>528</v>
      </c>
    </row>
    <row r="1420" spans="1:12">
      <c r="A1420" s="2022"/>
      <c r="B1420" s="1946"/>
      <c r="C1420" s="2025"/>
      <c r="D1420" s="3235" t="s">
        <v>18</v>
      </c>
      <c r="E1420" s="3235"/>
      <c r="F1420" s="3235"/>
      <c r="G1420" s="3235"/>
      <c r="H1420" s="1946"/>
      <c r="I1420" s="1976" t="s">
        <v>25</v>
      </c>
      <c r="J1420" s="1977">
        <f>SUM(J1418:J1419)</f>
        <v>51978</v>
      </c>
    </row>
    <row r="1421" spans="1:12">
      <c r="A1421" s="2022"/>
      <c r="B1421" s="1956"/>
      <c r="C1421" s="2027"/>
      <c r="D1421" s="3233" t="s">
        <v>26</v>
      </c>
      <c r="E1421" s="3233"/>
      <c r="F1421" s="3233"/>
      <c r="G1421" s="3233"/>
      <c r="H1421" s="1956"/>
      <c r="I1421" s="2038"/>
      <c r="J1421" s="1980">
        <f>J1416+J1420</f>
        <v>57733.599999999999</v>
      </c>
    </row>
    <row r="1422" spans="1:12">
      <c r="A1422" s="2022"/>
      <c r="B1422" s="1955"/>
      <c r="C1422" s="2027"/>
      <c r="D1422" s="3233" t="s">
        <v>193</v>
      </c>
      <c r="E1422" s="3233"/>
      <c r="F1422" s="3233"/>
      <c r="G1422" s="3233"/>
      <c r="H1422" s="1956">
        <f>J1421</f>
        <v>57733.599999999999</v>
      </c>
      <c r="I1422" s="1978"/>
      <c r="J1422" s="1979">
        <f>H1422*B1422</f>
        <v>0</v>
      </c>
    </row>
    <row r="1423" spans="1:12">
      <c r="A1423" s="2022"/>
      <c r="B1423" s="1956"/>
      <c r="C1423" s="2027"/>
      <c r="D1423" s="3233"/>
      <c r="E1423" s="3233"/>
      <c r="F1423" s="3233"/>
      <c r="G1423" s="3233"/>
      <c r="H1423" s="1956"/>
      <c r="I1423" s="1978"/>
      <c r="J1423" s="1979"/>
    </row>
    <row r="1424" spans="1:12">
      <c r="A1424" s="2022"/>
      <c r="B1424" s="1956"/>
      <c r="C1424" s="2027" t="s">
        <v>29</v>
      </c>
      <c r="D1424" s="3233" t="s">
        <v>30</v>
      </c>
      <c r="E1424" s="3233"/>
      <c r="F1424" s="3233"/>
      <c r="G1424" s="3233"/>
      <c r="H1424" s="1956">
        <f>J1421+J1422</f>
        <v>57733.599999999999</v>
      </c>
      <c r="I1424" s="1978"/>
      <c r="J1424" s="1979">
        <f>ROUND(B1424*H1424/100,2)</f>
        <v>0</v>
      </c>
    </row>
    <row r="1425" spans="1:11">
      <c r="A1425" s="2022"/>
      <c r="B1425" s="1956"/>
      <c r="C1425" s="2027"/>
      <c r="D1425" s="3233"/>
      <c r="E1425" s="3233"/>
      <c r="F1425" s="3233"/>
      <c r="G1425" s="3233"/>
      <c r="H1425" s="1956"/>
      <c r="I1425" s="1978"/>
      <c r="J1425" s="1980"/>
    </row>
    <row r="1426" spans="1:11">
      <c r="A1426" s="2022"/>
      <c r="B1426" s="1957">
        <v>1</v>
      </c>
      <c r="C1426" s="2027" t="s">
        <v>66</v>
      </c>
      <c r="D1426" s="3235" t="str">
        <f>CONCATENATE("TOTAL Cost for ",B1426,"  ",C1426,"  =  (A+B+C+D)",)</f>
        <v>TOTAL Cost for 1  MT  =  (A+B+C+D)</v>
      </c>
      <c r="E1426" s="3235"/>
      <c r="F1426" s="3235"/>
      <c r="G1426" s="3235"/>
      <c r="H1426" s="1956"/>
      <c r="I1426" s="1956"/>
      <c r="J1426" s="1979">
        <f>SUM(J1421:J1424)</f>
        <v>57733.599999999999</v>
      </c>
    </row>
    <row r="1427" spans="1:11">
      <c r="A1427" s="2022"/>
      <c r="B1427" s="1956"/>
      <c r="C1427" s="1956"/>
      <c r="D1427" s="3237" t="str">
        <f>CONCATENATE("Rate per  1  ",C1426)</f>
        <v>Rate per  1  MT</v>
      </c>
      <c r="E1427" s="3237"/>
      <c r="F1427" s="3237"/>
      <c r="G1427" s="3237"/>
      <c r="H1427" s="1956"/>
      <c r="I1427" s="1956"/>
      <c r="J1427" s="1975">
        <f>J1426/B1426</f>
        <v>57733.599999999999</v>
      </c>
    </row>
    <row r="1428" spans="1:11">
      <c r="A1428" s="2022"/>
      <c r="B1428" s="1946"/>
      <c r="C1428" s="1946"/>
      <c r="D1428" s="3259" t="str">
        <f>D1427</f>
        <v>Rate per  1  MT</v>
      </c>
      <c r="E1428" s="3259"/>
      <c r="F1428" s="3259"/>
      <c r="G1428" s="3259"/>
      <c r="H1428" s="1956"/>
      <c r="I1428" s="1956"/>
      <c r="J1428" s="1977">
        <f>ROUND(J1427,0)</f>
        <v>57734</v>
      </c>
      <c r="K1428" s="1930">
        <v>58243</v>
      </c>
    </row>
    <row r="1429" spans="1:11" ht="84" customHeight="1">
      <c r="A1429" s="1959">
        <v>16</v>
      </c>
      <c r="B1429" s="3238" t="s">
        <v>318</v>
      </c>
      <c r="C1429" s="3238"/>
      <c r="D1429" s="3238"/>
      <c r="E1429" s="3238"/>
      <c r="F1429" s="3238"/>
      <c r="G1429" s="3238"/>
      <c r="H1429" s="3238"/>
      <c r="I1429" s="3238"/>
      <c r="J1429" s="3238"/>
    </row>
    <row r="1430" spans="1:11">
      <c r="A1430" s="1962"/>
      <c r="B1430" s="3239" t="s">
        <v>309</v>
      </c>
      <c r="C1430" s="3239"/>
      <c r="D1430" s="1961"/>
      <c r="E1430" s="1961"/>
      <c r="F1430" s="1961"/>
      <c r="G1430" s="1961"/>
      <c r="H1430" s="1963"/>
      <c r="I1430" s="1963"/>
      <c r="J1430" s="1963"/>
    </row>
    <row r="1431" spans="1:11">
      <c r="A1431" s="1962"/>
      <c r="B1431" s="3239" t="s">
        <v>319</v>
      </c>
      <c r="C1431" s="3239"/>
      <c r="D1431" s="3239"/>
      <c r="E1431" s="3239"/>
      <c r="F1431" s="1962" t="s">
        <v>320</v>
      </c>
      <c r="G1431" s="1961"/>
      <c r="H1431" s="1963"/>
      <c r="I1431" s="1963"/>
      <c r="J1431" s="1963"/>
    </row>
    <row r="1432" spans="1:11">
      <c r="A1432" s="1962"/>
      <c r="B1432" s="1964" t="s">
        <v>36</v>
      </c>
      <c r="C1432" s="1962" t="s">
        <v>37</v>
      </c>
      <c r="D1432" s="1961"/>
      <c r="E1432" s="1961"/>
      <c r="F1432" s="1961"/>
      <c r="G1432" s="1961"/>
      <c r="H1432" s="1963"/>
      <c r="I1432" s="1963"/>
      <c r="J1432" s="1963"/>
    </row>
    <row r="1433" spans="1:11">
      <c r="A1433" s="1962"/>
      <c r="B1433" s="1983"/>
      <c r="C1433" s="1937" t="s">
        <v>38</v>
      </c>
      <c r="D1433" s="1961"/>
      <c r="E1433" s="1933" t="s">
        <v>14</v>
      </c>
      <c r="F1433" s="1961"/>
      <c r="G1433" s="1961"/>
      <c r="H1433" s="1950">
        <f>'SSR-rates'!$H$58</f>
        <v>490</v>
      </c>
      <c r="I1433" s="1965" t="s">
        <v>38</v>
      </c>
      <c r="J1433" s="1950">
        <f>ROUND(B1433*H1433,2)</f>
        <v>0</v>
      </c>
    </row>
    <row r="1434" spans="1:11">
      <c r="A1434" s="1962"/>
      <c r="B1434" s="1950"/>
      <c r="C1434" s="1937" t="s">
        <v>38</v>
      </c>
      <c r="D1434" s="1933"/>
      <c r="E1434" s="1933" t="s">
        <v>312</v>
      </c>
      <c r="F1434" s="1933"/>
      <c r="G1434" s="1933"/>
      <c r="H1434" s="1950">
        <f>'SSR-rates'!H81</f>
        <v>2875</v>
      </c>
      <c r="I1434" s="1965" t="s">
        <v>38</v>
      </c>
      <c r="J1434" s="1950">
        <f>ROUND(B1434*H1434,2)</f>
        <v>0</v>
      </c>
    </row>
    <row r="1435" spans="1:11">
      <c r="A1435" s="1962"/>
      <c r="B1435" s="1950"/>
      <c r="C1435" s="1937" t="s">
        <v>38</v>
      </c>
      <c r="D1435" s="1933"/>
      <c r="E1435" s="1933" t="s">
        <v>15</v>
      </c>
      <c r="F1435" s="1933"/>
      <c r="G1435" s="1933"/>
      <c r="H1435" s="1950">
        <f>'SSR-rates'!H80</f>
        <v>2519</v>
      </c>
      <c r="I1435" s="1965" t="s">
        <v>38</v>
      </c>
      <c r="J1435" s="1950">
        <f>ROUND(B1435*H1435,2)</f>
        <v>0</v>
      </c>
    </row>
    <row r="1436" spans="1:11" ht="15.75" customHeight="1">
      <c r="A1436" s="1962"/>
      <c r="B1436" s="1951">
        <f>'Input Data'!$D$23</f>
        <v>0</v>
      </c>
      <c r="C1436" s="1937"/>
      <c r="D1436" s="1930" t="s">
        <v>17</v>
      </c>
      <c r="F1436" s="1933"/>
      <c r="G1436" s="1933"/>
      <c r="H1436" s="1950">
        <f>SUM(J1434:J1435)</f>
        <v>0</v>
      </c>
      <c r="I1436" s="1965"/>
      <c r="J1436" s="1950">
        <f>B1436*H1436</f>
        <v>0</v>
      </c>
    </row>
    <row r="1437" spans="1:11">
      <c r="A1437" s="1962"/>
      <c r="B1437" s="1950"/>
      <c r="C1437" s="1937"/>
      <c r="D1437" s="1933"/>
      <c r="E1437" s="1933"/>
      <c r="F1437" s="1933"/>
      <c r="G1437" s="1933"/>
      <c r="H1437" s="1950"/>
      <c r="I1437" s="1965"/>
      <c r="J1437" s="1950">
        <f>SUM(J1433:J1436)</f>
        <v>0</v>
      </c>
    </row>
    <row r="1438" spans="1:11">
      <c r="A1438" s="1962"/>
      <c r="B1438" s="1964" t="s">
        <v>39</v>
      </c>
      <c r="C1438" s="1962" t="s">
        <v>61</v>
      </c>
      <c r="F1438" s="1933"/>
      <c r="G1438" s="1933"/>
      <c r="H1438" s="1933"/>
      <c r="I1438" s="1933"/>
      <c r="J1438" s="1930"/>
    </row>
    <row r="1439" spans="1:11">
      <c r="A1439" s="1962"/>
      <c r="B1439" s="1968">
        <v>4.0919999999999996</v>
      </c>
      <c r="C1439" s="1967" t="s">
        <v>73</v>
      </c>
      <c r="D1439" s="3243" t="s">
        <v>321</v>
      </c>
      <c r="E1439" s="3243"/>
      <c r="F1439" s="3243"/>
      <c r="G1439" s="3243"/>
      <c r="H1439" s="2068">
        <f>J1405</f>
        <v>6029</v>
      </c>
      <c r="I1439" s="1968" t="s">
        <v>191</v>
      </c>
      <c r="J1439" s="1968">
        <f>ROUND(B1439*H1439,2)</f>
        <v>24670.67</v>
      </c>
    </row>
    <row r="1440" spans="1:11" ht="30" customHeight="1">
      <c r="A1440" s="1962"/>
      <c r="B1440" s="1968"/>
      <c r="C1440" s="1967"/>
      <c r="D1440" s="3240" t="s">
        <v>322</v>
      </c>
      <c r="E1440" s="3241"/>
      <c r="F1440" s="3241"/>
      <c r="G1440" s="3242"/>
      <c r="H1440" s="2068"/>
      <c r="I1440" s="1968"/>
      <c r="J1440" s="1968">
        <f>J1439*0.05</f>
        <v>1233.5335</v>
      </c>
    </row>
    <row r="1441" spans="1:10">
      <c r="A1441" s="1962"/>
      <c r="B1441" s="1968">
        <v>0.86499999999999999</v>
      </c>
      <c r="C1441" s="1967" t="s">
        <v>66</v>
      </c>
      <c r="D1441" s="3243" t="s">
        <v>323</v>
      </c>
      <c r="E1441" s="3243"/>
      <c r="F1441" s="3243"/>
      <c r="G1441" s="3243"/>
      <c r="H1441" s="2068">
        <f>J1428</f>
        <v>57734</v>
      </c>
      <c r="I1441" s="1968" t="s">
        <v>191</v>
      </c>
      <c r="J1441" s="1968">
        <f>ROUND(B1441*H1441,2)</f>
        <v>49939.91</v>
      </c>
    </row>
    <row r="1442" spans="1:10" ht="33" customHeight="1">
      <c r="A1442" s="1962"/>
      <c r="B1442" s="1968"/>
      <c r="C1442" s="1967"/>
      <c r="D1442" s="3240" t="s">
        <v>324</v>
      </c>
      <c r="E1442" s="3241"/>
      <c r="F1442" s="3241"/>
      <c r="G1442" s="3242"/>
      <c r="H1442" s="2068"/>
      <c r="I1442" s="1968"/>
      <c r="J1442" s="1968">
        <f>J1441*0.05</f>
        <v>2496.9955000000004</v>
      </c>
    </row>
    <row r="1443" spans="1:10">
      <c r="A1443" s="1962"/>
      <c r="B1443" s="1968"/>
      <c r="C1443" s="1967"/>
      <c r="D1443" s="1969"/>
      <c r="E1443" s="1969"/>
      <c r="F1443" s="1969"/>
      <c r="G1443" s="1969"/>
      <c r="H1443" s="1968"/>
      <c r="I1443" s="1968"/>
      <c r="J1443" s="1968">
        <f>SUM(J1439:J1441)</f>
        <v>75844.113500000007</v>
      </c>
    </row>
    <row r="1444" spans="1:10">
      <c r="A1444" s="1962"/>
      <c r="B1444" s="1950"/>
      <c r="C1444" s="1937"/>
      <c r="D1444" s="1933"/>
      <c r="F1444" s="1933"/>
      <c r="G1444" s="1933"/>
      <c r="H1444" s="1950"/>
      <c r="I1444" s="1950"/>
      <c r="J1444" s="1930"/>
    </row>
    <row r="1445" spans="1:10">
      <c r="B1445" s="1955">
        <f>'Input Data'!$D$25</f>
        <v>0.19614999999999999</v>
      </c>
      <c r="C1445" s="1933" t="str">
        <f>"Over head charges "&amp;'Input Data'!$D$25*100&amp;"%  on (A) + (B)"</f>
        <v>Over head charges 19.615%  on (A) + (B)</v>
      </c>
      <c r="H1445" s="1936">
        <f>J1443+J1437</f>
        <v>75844.113500000007</v>
      </c>
      <c r="J1445" s="1950">
        <f>H1445*B1445</f>
        <v>14876.822863025001</v>
      </c>
    </row>
    <row r="1446" spans="1:10">
      <c r="A1446" s="1962"/>
      <c r="B1446" s="1964" t="s">
        <v>45</v>
      </c>
      <c r="C1446" s="1933" t="s">
        <v>46</v>
      </c>
      <c r="F1446" s="1933"/>
      <c r="G1446" s="1933"/>
      <c r="H1446" s="1933"/>
      <c r="I1446" s="1933"/>
      <c r="J1446" s="1990">
        <f>J1437+J1443+J1445</f>
        <v>90720.936363025015</v>
      </c>
    </row>
    <row r="1447" spans="1:10">
      <c r="A1447" s="1962"/>
      <c r="B1447" s="1964" t="s">
        <v>47</v>
      </c>
      <c r="C1447" s="1933" t="s">
        <v>48</v>
      </c>
      <c r="D1447" s="1933"/>
      <c r="F1447" s="1933"/>
      <c r="G1447" s="1933"/>
      <c r="H1447" s="1933"/>
      <c r="I1447" s="1933"/>
      <c r="J1447" s="1990">
        <f>J1446*10/100</f>
        <v>9072.0936363025012</v>
      </c>
    </row>
    <row r="1448" spans="1:10">
      <c r="A1448" s="1962"/>
      <c r="B1448" s="1933"/>
      <c r="C1448" s="1933" t="s">
        <v>325</v>
      </c>
      <c r="D1448" s="1933"/>
      <c r="F1448" s="1933"/>
      <c r="G1448" s="1933"/>
      <c r="H1448" s="1933"/>
      <c r="I1448" s="1933"/>
      <c r="J1448" s="1990">
        <f>SUM(J1446:J1447)</f>
        <v>99793.029999327511</v>
      </c>
    </row>
    <row r="1449" spans="1:10">
      <c r="A1449" s="1962"/>
      <c r="B1449" s="1933"/>
      <c r="C1449" s="1933" t="s">
        <v>127</v>
      </c>
      <c r="D1449" s="1933"/>
      <c r="F1449" s="1933"/>
      <c r="G1449" s="1933"/>
      <c r="H1449" s="1933"/>
      <c r="I1449" s="1933"/>
      <c r="J1449" s="1950">
        <f>J1448/48</f>
        <v>2079.0214583193233</v>
      </c>
    </row>
    <row r="1450" spans="1:10">
      <c r="A1450" s="1962"/>
      <c r="B1450" s="1950"/>
      <c r="C1450" s="1937"/>
      <c r="D1450" s="3251" t="s">
        <v>315</v>
      </c>
      <c r="E1450" s="3252"/>
      <c r="F1450" s="1936"/>
      <c r="G1450" s="1936"/>
      <c r="H1450" s="1954"/>
      <c r="I1450" s="1936"/>
      <c r="J1450" s="1991">
        <f>ROUND(J1449,0)</f>
        <v>2079</v>
      </c>
    </row>
    <row r="1453" spans="1:10" ht="125.25" customHeight="1">
      <c r="A1453" s="2008">
        <v>6.07</v>
      </c>
      <c r="B1453" s="3238" t="s">
        <v>326</v>
      </c>
      <c r="C1453" s="3238"/>
      <c r="D1453" s="3238"/>
      <c r="E1453" s="3238"/>
      <c r="F1453" s="3238"/>
      <c r="G1453" s="3238"/>
      <c r="H1453" s="3238"/>
      <c r="I1453" s="3238"/>
      <c r="J1453" s="3238"/>
    </row>
    <row r="1454" spans="1:10">
      <c r="D1454" s="1936" t="s">
        <v>10</v>
      </c>
      <c r="F1454" s="1962" t="s">
        <v>327</v>
      </c>
      <c r="J1454" s="1930"/>
    </row>
    <row r="1455" spans="1:10">
      <c r="D1455" s="1936" t="s">
        <v>56</v>
      </c>
      <c r="J1455" s="1930"/>
    </row>
    <row r="1456" spans="1:10">
      <c r="B1456" s="1964" t="s">
        <v>36</v>
      </c>
      <c r="C1456" s="1971" t="s">
        <v>37</v>
      </c>
      <c r="J1456" s="1930"/>
    </row>
    <row r="1457" spans="1:10">
      <c r="B1457" s="1954">
        <v>0.86</v>
      </c>
      <c r="C1457" s="1933" t="s">
        <v>57</v>
      </c>
      <c r="D1457" s="1936" t="s">
        <v>156</v>
      </c>
      <c r="H1457" s="1950">
        <f>'SSR-rates'!H$58</f>
        <v>490</v>
      </c>
      <c r="I1457" s="1965" t="s">
        <v>38</v>
      </c>
      <c r="J1457" s="1954">
        <f>ROUND(B1457*H1457,2)</f>
        <v>421.4</v>
      </c>
    </row>
    <row r="1458" spans="1:10">
      <c r="B1458" s="1954">
        <v>1.5</v>
      </c>
      <c r="C1458" s="1933" t="s">
        <v>57</v>
      </c>
      <c r="D1458" s="1936" t="s">
        <v>58</v>
      </c>
      <c r="H1458" s="1950">
        <f>'SSR-rates'!H$58</f>
        <v>490</v>
      </c>
      <c r="I1458" s="1965" t="s">
        <v>38</v>
      </c>
      <c r="J1458" s="1954">
        <f>ROUND(B1458*H1458,2)</f>
        <v>735</v>
      </c>
    </row>
    <row r="1459" spans="1:10">
      <c r="B1459" s="1954">
        <v>20</v>
      </c>
      <c r="C1459" s="1933" t="s">
        <v>57</v>
      </c>
      <c r="D1459" s="1936" t="s">
        <v>59</v>
      </c>
      <c r="H1459" s="1950">
        <f>'SSR-rates'!H$60</f>
        <v>490</v>
      </c>
      <c r="I1459" s="1965" t="s">
        <v>38</v>
      </c>
      <c r="J1459" s="1954">
        <f>ROUND(B1459*H1459,2)</f>
        <v>9800</v>
      </c>
    </row>
    <row r="1460" spans="1:10">
      <c r="A1460" s="1962"/>
      <c r="B1460" s="1951">
        <f>'Input Data'!$D$23</f>
        <v>0</v>
      </c>
      <c r="C1460" s="1937"/>
      <c r="D1460" s="1930" t="s">
        <v>17</v>
      </c>
      <c r="F1460" s="1933"/>
      <c r="G1460" s="1933"/>
      <c r="H1460" s="1950">
        <f>SUM(J1457:J1459)</f>
        <v>10956.4</v>
      </c>
      <c r="I1460" s="1965"/>
      <c r="J1460" s="1950">
        <f>B1460*H1460</f>
        <v>0</v>
      </c>
    </row>
    <row r="1461" spans="1:10">
      <c r="B1461" s="1954"/>
      <c r="C1461" s="1933"/>
      <c r="D1461" s="1936" t="s">
        <v>60</v>
      </c>
      <c r="H1461" s="1950"/>
      <c r="I1461" s="1950"/>
      <c r="J1461" s="1954">
        <f>SUM(J1457:J1460)</f>
        <v>10956.4</v>
      </c>
    </row>
    <row r="1462" spans="1:10">
      <c r="B1462" s="1964" t="s">
        <v>39</v>
      </c>
      <c r="C1462" s="1971" t="s">
        <v>61</v>
      </c>
      <c r="H1462" s="1950"/>
      <c r="I1462" s="1950"/>
      <c r="J1462" s="1950"/>
    </row>
    <row r="1463" spans="1:10">
      <c r="B1463" s="1954">
        <v>5.4</v>
      </c>
      <c r="C1463" s="1933" t="s">
        <v>31</v>
      </c>
      <c r="D1463" s="1930" t="s">
        <v>62</v>
      </c>
      <c r="H1463" s="1950">
        <f>lead!J14</f>
        <v>1590.8641904678079</v>
      </c>
      <c r="I1463" s="1950" t="s">
        <v>31</v>
      </c>
      <c r="J1463" s="1950">
        <f>ROUND(B1463*H1463,2)</f>
        <v>8590.67</v>
      </c>
    </row>
    <row r="1464" spans="1:10">
      <c r="B1464" s="1954">
        <v>5.4</v>
      </c>
      <c r="C1464" s="1933" t="s">
        <v>31</v>
      </c>
      <c r="D1464" s="1930" t="s">
        <v>63</v>
      </c>
      <c r="H1464" s="1950">
        <f>lead!J$16</f>
        <v>1889.8641904678079</v>
      </c>
      <c r="I1464" s="1950" t="s">
        <v>31</v>
      </c>
      <c r="J1464" s="1950">
        <f>ROUND(B1464*H1464,2)</f>
        <v>10205.27</v>
      </c>
    </row>
    <row r="1465" spans="1:10">
      <c r="B1465" s="1954">
        <v>2.7</v>
      </c>
      <c r="C1465" s="1933" t="s">
        <v>31</v>
      </c>
      <c r="D1465" s="1930" t="s">
        <v>64</v>
      </c>
      <c r="H1465" s="1950">
        <f>lead!J$18</f>
        <v>1638.8641904678079</v>
      </c>
      <c r="I1465" s="1950" t="s">
        <v>31</v>
      </c>
      <c r="J1465" s="1950">
        <f>ROUND(B1465*H1465,2)</f>
        <v>4424.93</v>
      </c>
    </row>
    <row r="1466" spans="1:10">
      <c r="B1466" s="1954">
        <v>6.75</v>
      </c>
      <c r="C1466" s="1933" t="s">
        <v>31</v>
      </c>
      <c r="D1466" s="1936" t="s">
        <v>65</v>
      </c>
      <c r="H1466" s="1950">
        <f>lead!J12</f>
        <v>1568.1141904678079</v>
      </c>
      <c r="I1466" s="1950" t="s">
        <v>31</v>
      </c>
      <c r="J1466" s="1950">
        <f>ROUND(B1466*H1466,2)</f>
        <v>10584.77</v>
      </c>
    </row>
    <row r="1467" spans="1:10">
      <c r="B1467" s="2015">
        <v>6.08</v>
      </c>
      <c r="C1467" s="1933" t="s">
        <v>66</v>
      </c>
      <c r="D1467" s="1936" t="s">
        <v>67</v>
      </c>
      <c r="H1467" s="1950">
        <f>lead!J$36</f>
        <v>5000</v>
      </c>
      <c r="I1467" s="1950" t="s">
        <v>66</v>
      </c>
      <c r="J1467" s="1950">
        <f>ROUND(B1467*H1467,2)</f>
        <v>30400</v>
      </c>
    </row>
    <row r="1468" spans="1:10">
      <c r="B1468" s="1936"/>
      <c r="D1468" s="1936" t="s">
        <v>60</v>
      </c>
      <c r="H1468" s="1950"/>
      <c r="I1468" s="1950"/>
      <c r="J1468" s="1950">
        <f>SUM(J1464:J1467)</f>
        <v>55614.97</v>
      </c>
    </row>
    <row r="1469" spans="1:10">
      <c r="B1469" s="1964" t="s">
        <v>27</v>
      </c>
      <c r="C1469" s="1971" t="s">
        <v>40</v>
      </c>
      <c r="H1469" s="1950"/>
      <c r="I1469" s="1950"/>
      <c r="J1469" s="1950"/>
    </row>
    <row r="1470" spans="1:10">
      <c r="B1470" s="1954">
        <v>6</v>
      </c>
      <c r="C1470" s="1933" t="s">
        <v>41</v>
      </c>
      <c r="D1470" s="1930" t="s">
        <v>68</v>
      </c>
      <c r="H1470" s="1950">
        <f>'SSR-rates'!$H$88</f>
        <v>627.6</v>
      </c>
      <c r="I1470" s="1950" t="s">
        <v>41</v>
      </c>
      <c r="J1470" s="1950">
        <f>ROUND(B1470*H1470,2)</f>
        <v>3765.6</v>
      </c>
    </row>
    <row r="1471" spans="1:10">
      <c r="B1471" s="1954">
        <v>6</v>
      </c>
      <c r="C1471" s="1933" t="s">
        <v>41</v>
      </c>
      <c r="D1471" s="1930" t="s">
        <v>224</v>
      </c>
      <c r="H1471" s="1950">
        <f>'SSR-rates'!$H$87</f>
        <v>1237.4000000000001</v>
      </c>
      <c r="I1471" s="1950" t="s">
        <v>41</v>
      </c>
      <c r="J1471" s="1950">
        <f>ROUND(B1471*H1471,2)</f>
        <v>7424.4</v>
      </c>
    </row>
    <row r="1472" spans="1:10">
      <c r="B1472" s="1954"/>
      <c r="C1472" s="1937"/>
      <c r="D1472" s="1936" t="s">
        <v>60</v>
      </c>
      <c r="H1472" s="1950"/>
      <c r="I1472" s="1950"/>
      <c r="J1472" s="1950">
        <f>SUM(J1470:J1471)</f>
        <v>11190</v>
      </c>
    </row>
    <row r="1473" spans="1:10">
      <c r="B1473" s="1964" t="s">
        <v>45</v>
      </c>
      <c r="C1473" s="1971" t="s">
        <v>71</v>
      </c>
      <c r="H1473" s="1950"/>
      <c r="I1473" s="1950"/>
      <c r="J1473" s="1950"/>
    </row>
    <row r="1474" spans="1:10">
      <c r="B1474" s="1936">
        <v>2</v>
      </c>
      <c r="C1474" s="1933" t="s">
        <v>29</v>
      </c>
      <c r="D1474" s="1930" t="s">
        <v>181</v>
      </c>
      <c r="H1474" s="1950">
        <f>J1461+J1468+J1472</f>
        <v>77761.37</v>
      </c>
      <c r="I1474" s="1965" t="s">
        <v>73</v>
      </c>
      <c r="J1474" s="1950">
        <f>ROUND(B1474*H1474/100,2)</f>
        <v>1555.23</v>
      </c>
    </row>
    <row r="1475" spans="1:10">
      <c r="A1475" s="1962"/>
      <c r="B1475" s="1964" t="s">
        <v>47</v>
      </c>
      <c r="C1475" s="1962" t="s">
        <v>97</v>
      </c>
      <c r="F1475" s="1933"/>
      <c r="G1475" s="1933"/>
      <c r="H1475" s="1933"/>
      <c r="I1475" s="1933"/>
      <c r="J1475" s="1990"/>
    </row>
    <row r="1476" spans="1:10" ht="27" customHeight="1">
      <c r="A1476" s="1962"/>
      <c r="B1476" s="1955">
        <f>'Input Data'!$D$25</f>
        <v>0.19614999999999999</v>
      </c>
      <c r="C1476" s="3247" t="str">
        <f>"Over head charges "&amp;'Input Data'!$D$25*100&amp;"%  on (A) + (B)+(C)+(D)"</f>
        <v>Over head charges 19.615%  on (A) + (B)+(C)+(D)</v>
      </c>
      <c r="D1476" s="3248"/>
      <c r="E1476" s="3248"/>
      <c r="F1476" s="3248"/>
      <c r="G1476" s="3249"/>
      <c r="H1476" s="1937">
        <f>J1474+J1472+J1468+J1461</f>
        <v>79316.599999999991</v>
      </c>
      <c r="I1476" s="1933"/>
      <c r="J1476" s="1950">
        <f>H1476*B1476</f>
        <v>15557.951089999997</v>
      </c>
    </row>
    <row r="1477" spans="1:10">
      <c r="A1477" s="1962"/>
      <c r="B1477" s="1964" t="s">
        <v>76</v>
      </c>
      <c r="C1477" s="1962" t="s">
        <v>77</v>
      </c>
      <c r="F1477" s="1933"/>
      <c r="G1477" s="1933"/>
      <c r="H1477" s="1933"/>
      <c r="I1477" s="1933"/>
      <c r="J1477" s="1990">
        <f>J1461+J1468+J1472+J1474+J1476</f>
        <v>94874.551089999994</v>
      </c>
    </row>
    <row r="1478" spans="1:10">
      <c r="A1478" s="1962"/>
      <c r="B1478" s="1964" t="s">
        <v>78</v>
      </c>
      <c r="C1478" s="1962" t="s">
        <v>79</v>
      </c>
      <c r="F1478" s="1933"/>
      <c r="G1478" s="1933"/>
      <c r="H1478" s="1933"/>
      <c r="I1478" s="1933"/>
      <c r="J1478" s="1990">
        <f>J1477*10/100</f>
        <v>9487.4551089999986</v>
      </c>
    </row>
    <row r="1479" spans="1:10">
      <c r="B1479" s="1954"/>
      <c r="C1479" s="1933"/>
      <c r="D1479" s="1971" t="s">
        <v>80</v>
      </c>
      <c r="H1479" s="1950"/>
      <c r="I1479" s="1950"/>
      <c r="J1479" s="1990">
        <f>SUM(J1477:J1478)</f>
        <v>104362.006199</v>
      </c>
    </row>
    <row r="1480" spans="1:10">
      <c r="B1480" s="1954"/>
      <c r="C1480" s="1933"/>
      <c r="D1480" s="1936" t="s">
        <v>81</v>
      </c>
      <c r="H1480" s="1950"/>
      <c r="I1480" s="1950"/>
      <c r="J1480" s="1950">
        <f>ROUND(J1479/15,2)</f>
        <v>6957.47</v>
      </c>
    </row>
    <row r="1481" spans="1:10">
      <c r="D1481" s="1936" t="s">
        <v>52</v>
      </c>
      <c r="H1481" s="1950"/>
      <c r="I1481" s="1950"/>
      <c r="J1481" s="1991">
        <f>ROUND(J1480,0)</f>
        <v>6957</v>
      </c>
    </row>
    <row r="1482" spans="1:10">
      <c r="D1482" s="1936"/>
      <c r="H1482" s="1950"/>
      <c r="I1482" s="1950"/>
      <c r="J1482" s="1990" t="s">
        <v>53</v>
      </c>
    </row>
  </sheetData>
  <mergeCells count="320">
    <mergeCell ref="D1442:G1442"/>
    <mergeCell ref="D1450:E1450"/>
    <mergeCell ref="B1453:J1453"/>
    <mergeCell ref="C1476:G1476"/>
    <mergeCell ref="D2:J3"/>
    <mergeCell ref="D1426:G1426"/>
    <mergeCell ref="D1427:G1427"/>
    <mergeCell ref="D1428:G1428"/>
    <mergeCell ref="B1429:J1429"/>
    <mergeCell ref="B1430:C1430"/>
    <mergeCell ref="B1431:E1431"/>
    <mergeCell ref="D1439:G1439"/>
    <mergeCell ref="D1440:G1440"/>
    <mergeCell ref="D1441:G1441"/>
    <mergeCell ref="D1417:G1417"/>
    <mergeCell ref="D1418:G1418"/>
    <mergeCell ref="D1419:G1419"/>
    <mergeCell ref="D1420:G1420"/>
    <mergeCell ref="D1421:G1421"/>
    <mergeCell ref="D1422:G1422"/>
    <mergeCell ref="D1423:G1423"/>
    <mergeCell ref="D1424:G1424"/>
    <mergeCell ref="D1425:G1425"/>
    <mergeCell ref="B1407:J1407"/>
    <mergeCell ref="D1408:G1408"/>
    <mergeCell ref="D1409:G1409"/>
    <mergeCell ref="D1410:G1410"/>
    <mergeCell ref="D1411:G1411"/>
    <mergeCell ref="D1412:G1412"/>
    <mergeCell ref="D1413:G1413"/>
    <mergeCell ref="D1414:G1414"/>
    <mergeCell ref="D1416:G1416"/>
    <mergeCell ref="C1346:G1346"/>
    <mergeCell ref="B1354:J1354"/>
    <mergeCell ref="B1355:C1355"/>
    <mergeCell ref="B1356:E1356"/>
    <mergeCell ref="D1364:G1364"/>
    <mergeCell ref="D1372:E1372"/>
    <mergeCell ref="B1374:J1374"/>
    <mergeCell ref="D1394:G1394"/>
    <mergeCell ref="C1400:G1400"/>
    <mergeCell ref="D1237:G1237"/>
    <mergeCell ref="B1252:J1252"/>
    <mergeCell ref="D1272:G1272"/>
    <mergeCell ref="C1278:G1278"/>
    <mergeCell ref="B1286:J1286"/>
    <mergeCell ref="D1306:G1306"/>
    <mergeCell ref="C1312:G1312"/>
    <mergeCell ref="B1320:J1320"/>
    <mergeCell ref="D1340:G1340"/>
    <mergeCell ref="C1161:G1161"/>
    <mergeCell ref="B1170:J1170"/>
    <mergeCell ref="C1192:G1192"/>
    <mergeCell ref="B1201:J1201"/>
    <mergeCell ref="D1215:G1215"/>
    <mergeCell ref="C1219:G1219"/>
    <mergeCell ref="B1228:J1228"/>
    <mergeCell ref="B1229:C1229"/>
    <mergeCell ref="B1230:E1230"/>
    <mergeCell ref="B1085:J1085"/>
    <mergeCell ref="B1088:J1088"/>
    <mergeCell ref="C1108:G1108"/>
    <mergeCell ref="B1116:J1116"/>
    <mergeCell ref="B1117:C1117"/>
    <mergeCell ref="B1118:E1118"/>
    <mergeCell ref="D1126:G1126"/>
    <mergeCell ref="D1134:E1134"/>
    <mergeCell ref="B1139:J1139"/>
    <mergeCell ref="D1004:G1004"/>
    <mergeCell ref="D1005:G1005"/>
    <mergeCell ref="D1006:G1006"/>
    <mergeCell ref="D1007:G1007"/>
    <mergeCell ref="D1008:G1008"/>
    <mergeCell ref="B1013:J1013"/>
    <mergeCell ref="B1051:J1051"/>
    <mergeCell ref="D1071:G1071"/>
    <mergeCell ref="C1077:G1077"/>
    <mergeCell ref="D994:G994"/>
    <mergeCell ref="D996:G996"/>
    <mergeCell ref="D997:G997"/>
    <mergeCell ref="D998:G998"/>
    <mergeCell ref="D999:G999"/>
    <mergeCell ref="D1000:G1000"/>
    <mergeCell ref="D1001:G1001"/>
    <mergeCell ref="D1002:G1002"/>
    <mergeCell ref="D1003:G1003"/>
    <mergeCell ref="B951:J951"/>
    <mergeCell ref="D952:G952"/>
    <mergeCell ref="D953:G953"/>
    <mergeCell ref="D958:G958"/>
    <mergeCell ref="D976:G976"/>
    <mergeCell ref="D990:G990"/>
    <mergeCell ref="D991:G991"/>
    <mergeCell ref="D992:G992"/>
    <mergeCell ref="D993:G993"/>
    <mergeCell ref="D931:F931"/>
    <mergeCell ref="D933:F933"/>
    <mergeCell ref="D934:F934"/>
    <mergeCell ref="D937:F937"/>
    <mergeCell ref="D939:F939"/>
    <mergeCell ref="D940:F940"/>
    <mergeCell ref="D942:F942"/>
    <mergeCell ref="D944:F944"/>
    <mergeCell ref="D945:F945"/>
    <mergeCell ref="D922:F922"/>
    <mergeCell ref="D923:F923"/>
    <mergeCell ref="D924:F924"/>
    <mergeCell ref="D925:F925"/>
    <mergeCell ref="D926:F926"/>
    <mergeCell ref="D927:F927"/>
    <mergeCell ref="D928:F928"/>
    <mergeCell ref="D929:F929"/>
    <mergeCell ref="D930:F930"/>
    <mergeCell ref="D912:F912"/>
    <mergeCell ref="D913:F913"/>
    <mergeCell ref="D914:F914"/>
    <mergeCell ref="D916:F916"/>
    <mergeCell ref="D917:F917"/>
    <mergeCell ref="D918:F918"/>
    <mergeCell ref="D919:F919"/>
    <mergeCell ref="D920:F920"/>
    <mergeCell ref="D921:F921"/>
    <mergeCell ref="D902:F902"/>
    <mergeCell ref="D903:F903"/>
    <mergeCell ref="D904:F904"/>
    <mergeCell ref="C905:H905"/>
    <mergeCell ref="D906:F906"/>
    <mergeCell ref="D907:F907"/>
    <mergeCell ref="D908:F908"/>
    <mergeCell ref="D910:F910"/>
    <mergeCell ref="D911:F911"/>
    <mergeCell ref="D834:G834"/>
    <mergeCell ref="D835:G835"/>
    <mergeCell ref="D836:G836"/>
    <mergeCell ref="D837:G837"/>
    <mergeCell ref="D838:G838"/>
    <mergeCell ref="D839:G839"/>
    <mergeCell ref="B840:J840"/>
    <mergeCell ref="B870:J870"/>
    <mergeCell ref="B901:J901"/>
    <mergeCell ref="D825:G825"/>
    <mergeCell ref="D826:G826"/>
    <mergeCell ref="D827:G827"/>
    <mergeCell ref="D828:G828"/>
    <mergeCell ref="D829:G829"/>
    <mergeCell ref="D830:G830"/>
    <mergeCell ref="D831:G831"/>
    <mergeCell ref="D832:G832"/>
    <mergeCell ref="D833:G833"/>
    <mergeCell ref="D815:G815"/>
    <mergeCell ref="D816:G816"/>
    <mergeCell ref="D817:G817"/>
    <mergeCell ref="D818:G818"/>
    <mergeCell ref="D819:G819"/>
    <mergeCell ref="D820:G820"/>
    <mergeCell ref="D821:G821"/>
    <mergeCell ref="D822:G822"/>
    <mergeCell ref="D824:G824"/>
    <mergeCell ref="C746:G746"/>
    <mergeCell ref="B754:J754"/>
    <mergeCell ref="C777:G777"/>
    <mergeCell ref="C802:G802"/>
    <mergeCell ref="B809:J809"/>
    <mergeCell ref="D810:G810"/>
    <mergeCell ref="D811:G811"/>
    <mergeCell ref="D813:G813"/>
    <mergeCell ref="D814:G814"/>
    <mergeCell ref="B701:J701"/>
    <mergeCell ref="B702:C702"/>
    <mergeCell ref="B703:E703"/>
    <mergeCell ref="D710:G710"/>
    <mergeCell ref="D712:G712"/>
    <mergeCell ref="D713:G713"/>
    <mergeCell ref="D714:G714"/>
    <mergeCell ref="C724:F724"/>
    <mergeCell ref="B726:J726"/>
    <mergeCell ref="D691:G691"/>
    <mergeCell ref="D692:G692"/>
    <mergeCell ref="D693:G693"/>
    <mergeCell ref="D694:G694"/>
    <mergeCell ref="D695:G695"/>
    <mergeCell ref="D696:G696"/>
    <mergeCell ref="B698:J698"/>
    <mergeCell ref="D699:F699"/>
    <mergeCell ref="D700:F700"/>
    <mergeCell ref="D681:G681"/>
    <mergeCell ref="D682:G682"/>
    <mergeCell ref="D684:G684"/>
    <mergeCell ref="D685:G685"/>
    <mergeCell ref="D686:G686"/>
    <mergeCell ref="D687:G687"/>
    <mergeCell ref="D688:G688"/>
    <mergeCell ref="D689:G689"/>
    <mergeCell ref="D690:G690"/>
    <mergeCell ref="D672:G672"/>
    <mergeCell ref="D673:G673"/>
    <mergeCell ref="D674:G674"/>
    <mergeCell ref="B675:J675"/>
    <mergeCell ref="D676:G676"/>
    <mergeCell ref="D677:G677"/>
    <mergeCell ref="D678:G678"/>
    <mergeCell ref="D679:G679"/>
    <mergeCell ref="D680:G680"/>
    <mergeCell ref="D663:G663"/>
    <mergeCell ref="D664:G664"/>
    <mergeCell ref="D665:G665"/>
    <mergeCell ref="D666:G666"/>
    <mergeCell ref="D667:G667"/>
    <mergeCell ref="D668:G668"/>
    <mergeCell ref="D669:G669"/>
    <mergeCell ref="D670:G670"/>
    <mergeCell ref="D671:G671"/>
    <mergeCell ref="B653:J653"/>
    <mergeCell ref="D654:G654"/>
    <mergeCell ref="D655:G655"/>
    <mergeCell ref="D656:G656"/>
    <mergeCell ref="D657:G657"/>
    <mergeCell ref="D658:G658"/>
    <mergeCell ref="D659:G659"/>
    <mergeCell ref="D660:G660"/>
    <mergeCell ref="D662:G662"/>
    <mergeCell ref="D644:G644"/>
    <mergeCell ref="D645:G645"/>
    <mergeCell ref="D646:G646"/>
    <mergeCell ref="D647:G647"/>
    <mergeCell ref="D648:G648"/>
    <mergeCell ref="D649:G649"/>
    <mergeCell ref="D650:G650"/>
    <mergeCell ref="D651:G651"/>
    <mergeCell ref="D652:G652"/>
    <mergeCell ref="D634:G634"/>
    <mergeCell ref="D635:G635"/>
    <mergeCell ref="D636:G636"/>
    <mergeCell ref="D637:G637"/>
    <mergeCell ref="D638:G638"/>
    <mergeCell ref="D640:G640"/>
    <mergeCell ref="D641:G641"/>
    <mergeCell ref="D642:G642"/>
    <mergeCell ref="D643:G643"/>
    <mergeCell ref="B564:J564"/>
    <mergeCell ref="D584:G584"/>
    <mergeCell ref="C590:G590"/>
    <mergeCell ref="B597:J597"/>
    <mergeCell ref="D617:G617"/>
    <mergeCell ref="C623:G623"/>
    <mergeCell ref="B631:J631"/>
    <mergeCell ref="D632:G632"/>
    <mergeCell ref="D633:G633"/>
    <mergeCell ref="B451:J451"/>
    <mergeCell ref="C473:G473"/>
    <mergeCell ref="B480:J480"/>
    <mergeCell ref="C503:G503"/>
    <mergeCell ref="C520:G520"/>
    <mergeCell ref="B526:J526"/>
    <mergeCell ref="B531:J531"/>
    <mergeCell ref="D551:G551"/>
    <mergeCell ref="C557:G557"/>
    <mergeCell ref="C298:G298"/>
    <mergeCell ref="B306:J306"/>
    <mergeCell ref="C323:G323"/>
    <mergeCell ref="B331:J331"/>
    <mergeCell ref="C354:G354"/>
    <mergeCell ref="B361:J361"/>
    <mergeCell ref="C384:G384"/>
    <mergeCell ref="B391:J391"/>
    <mergeCell ref="B421:J421"/>
    <mergeCell ref="B236:J236"/>
    <mergeCell ref="B237:C237"/>
    <mergeCell ref="B238:E238"/>
    <mergeCell ref="D246:G246"/>
    <mergeCell ref="D255:E255"/>
    <mergeCell ref="B258:J258"/>
    <mergeCell ref="C272:G272"/>
    <mergeCell ref="B281:J281"/>
    <mergeCell ref="D294:G294"/>
    <mergeCell ref="C102:G102"/>
    <mergeCell ref="B110:J110"/>
    <mergeCell ref="B140:J140"/>
    <mergeCell ref="C162:G162"/>
    <mergeCell ref="B171:J171"/>
    <mergeCell ref="B193:J193"/>
    <mergeCell ref="C207:G207"/>
    <mergeCell ref="B215:J215"/>
    <mergeCell ref="C230:G230"/>
    <mergeCell ref="B30:J30"/>
    <mergeCell ref="B31:C31"/>
    <mergeCell ref="B32:E32"/>
    <mergeCell ref="D39:G39"/>
    <mergeCell ref="D40:G40"/>
    <mergeCell ref="B53:J53"/>
    <mergeCell ref="C77:G77"/>
    <mergeCell ref="B85:J85"/>
    <mergeCell ref="D98:G98"/>
    <mergeCell ref="D21:G21"/>
    <mergeCell ref="D22:G22"/>
    <mergeCell ref="D23:G23"/>
    <mergeCell ref="D24:G24"/>
    <mergeCell ref="D25:G25"/>
    <mergeCell ref="D26:G26"/>
    <mergeCell ref="D27:G27"/>
    <mergeCell ref="D28:G28"/>
    <mergeCell ref="D29:G29"/>
    <mergeCell ref="D13:G13"/>
    <mergeCell ref="D15:G15"/>
    <mergeCell ref="D16:G16"/>
    <mergeCell ref="L16:O16"/>
    <mergeCell ref="D17:G17"/>
    <mergeCell ref="D18:G18"/>
    <mergeCell ref="L18:O18"/>
    <mergeCell ref="D19:G19"/>
    <mergeCell ref="D20:G20"/>
    <mergeCell ref="B1:J1"/>
    <mergeCell ref="B4:C4"/>
    <mergeCell ref="D4:G4"/>
    <mergeCell ref="A5:J5"/>
    <mergeCell ref="B6:J6"/>
    <mergeCell ref="D7:G7"/>
    <mergeCell ref="D10:G10"/>
    <mergeCell ref="D11:G11"/>
    <mergeCell ref="D12:G12"/>
  </mergeCells>
  <conditionalFormatting sqref="A6">
    <cfRule type="cellIs" dxfId="41" priority="6" stopIfTrue="1" operator="equal">
      <formula>A2273</formula>
    </cfRule>
  </conditionalFormatting>
  <conditionalFormatting sqref="A7:A13">
    <cfRule type="cellIs" dxfId="40" priority="7" stopIfTrue="1" operator="equal">
      <formula>A6</formula>
    </cfRule>
  </conditionalFormatting>
  <conditionalFormatting sqref="A15:A17 A20:A29">
    <cfRule type="cellIs" dxfId="39" priority="9" stopIfTrue="1" operator="equal">
      <formula>A14</formula>
    </cfRule>
  </conditionalFormatting>
  <conditionalFormatting sqref="A18">
    <cfRule type="cellIs" dxfId="38" priority="4" stopIfTrue="1" operator="equal">
      <formula>A16</formula>
    </cfRule>
  </conditionalFormatting>
  <conditionalFormatting sqref="A19">
    <cfRule type="cellIs" dxfId="37" priority="5" stopIfTrue="1" operator="equal">
      <formula>#REF!</formula>
    </cfRule>
  </conditionalFormatting>
  <conditionalFormatting sqref="A698">
    <cfRule type="cellIs" dxfId="36" priority="2" stopIfTrue="1" operator="equal">
      <formula>A527</formula>
    </cfRule>
  </conditionalFormatting>
  <conditionalFormatting sqref="A699:A700">
    <cfRule type="cellIs" dxfId="35" priority="3" stopIfTrue="1" operator="equal">
      <formula>A698</formula>
    </cfRule>
  </conditionalFormatting>
  <conditionalFormatting sqref="A901">
    <cfRule type="cellIs" dxfId="34" priority="1" stopIfTrue="1" operator="equal">
      <formula>A234</formula>
    </cfRule>
  </conditionalFormatting>
  <conditionalFormatting sqref="A902:A909 A911:A945">
    <cfRule type="cellIs" dxfId="33" priority="11" stopIfTrue="1" operator="equal">
      <formula>A901</formula>
    </cfRule>
  </conditionalFormatting>
  <conditionalFormatting sqref="A910">
    <cfRule type="cellIs" dxfId="32" priority="10" stopIfTrue="1" operator="equal">
      <formula>A908</formula>
    </cfRule>
  </conditionalFormatting>
  <printOptions headings="1"/>
  <pageMargins left="0.62992125984252001" right="0.196850393700787" top="0.511811023622047" bottom="0.23622047244094499" header="0.511811023622047" footer="0.39370078740157499"/>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57"/>
  </sheetPr>
  <dimension ref="A1:H29"/>
  <sheetViews>
    <sheetView workbookViewId="0">
      <selection activeCell="C7" sqref="C7"/>
    </sheetView>
  </sheetViews>
  <sheetFormatPr defaultColWidth="9" defaultRowHeight="13.2"/>
  <cols>
    <col min="1" max="1" width="22.33203125" style="3" customWidth="1"/>
    <col min="2" max="2" width="31" style="3" customWidth="1"/>
    <col min="3" max="3" width="32.33203125" style="3" customWidth="1"/>
    <col min="4" max="4" width="15" style="3" customWidth="1"/>
    <col min="5" max="5" width="14.44140625" style="3" customWidth="1"/>
    <col min="6" max="6" width="15.44140625" style="3" customWidth="1"/>
    <col min="7" max="7" width="9.44140625" style="1907" customWidth="1"/>
    <col min="8" max="8" width="14" style="3" customWidth="1"/>
    <col min="9" max="256" width="9.109375" style="3"/>
    <col min="257" max="257" width="25.5546875" style="3" customWidth="1"/>
    <col min="258" max="258" width="34.109375" style="3" customWidth="1"/>
    <col min="259" max="259" width="27.109375" style="3" customWidth="1"/>
    <col min="260" max="260" width="11.5546875" style="3" customWidth="1"/>
    <col min="261" max="261" width="13" style="3" customWidth="1"/>
    <col min="262" max="262" width="21" style="3" customWidth="1"/>
    <col min="263" max="263" width="9.44140625" style="3" customWidth="1"/>
    <col min="264" max="264" width="12.109375" style="3" customWidth="1"/>
    <col min="265" max="512" width="9.109375" style="3"/>
    <col min="513" max="513" width="25.5546875" style="3" customWidth="1"/>
    <col min="514" max="514" width="34.109375" style="3" customWidth="1"/>
    <col min="515" max="515" width="27.109375" style="3" customWidth="1"/>
    <col min="516" max="516" width="11.5546875" style="3" customWidth="1"/>
    <col min="517" max="517" width="13" style="3" customWidth="1"/>
    <col min="518" max="518" width="21" style="3" customWidth="1"/>
    <col min="519" max="519" width="9.44140625" style="3" customWidth="1"/>
    <col min="520" max="520" width="12.109375" style="3" customWidth="1"/>
    <col min="521" max="768" width="9.109375" style="3"/>
    <col min="769" max="769" width="25.5546875" style="3" customWidth="1"/>
    <col min="770" max="770" width="34.109375" style="3" customWidth="1"/>
    <col min="771" max="771" width="27.109375" style="3" customWidth="1"/>
    <col min="772" max="772" width="11.5546875" style="3" customWidth="1"/>
    <col min="773" max="773" width="13" style="3" customWidth="1"/>
    <col min="774" max="774" width="21" style="3" customWidth="1"/>
    <col min="775" max="775" width="9.44140625" style="3" customWidth="1"/>
    <col min="776" max="776" width="12.109375" style="3" customWidth="1"/>
    <col min="777" max="1024" width="9.109375" style="3"/>
    <col min="1025" max="1025" width="25.5546875" style="3" customWidth="1"/>
    <col min="1026" max="1026" width="34.109375" style="3" customWidth="1"/>
    <col min="1027" max="1027" width="27.109375" style="3" customWidth="1"/>
    <col min="1028" max="1028" width="11.5546875" style="3" customWidth="1"/>
    <col min="1029" max="1029" width="13" style="3" customWidth="1"/>
    <col min="1030" max="1030" width="21" style="3" customWidth="1"/>
    <col min="1031" max="1031" width="9.44140625" style="3" customWidth="1"/>
    <col min="1032" max="1032" width="12.109375" style="3" customWidth="1"/>
    <col min="1033" max="1280" width="9.109375" style="3"/>
    <col min="1281" max="1281" width="25.5546875" style="3" customWidth="1"/>
    <col min="1282" max="1282" width="34.109375" style="3" customWidth="1"/>
    <col min="1283" max="1283" width="27.109375" style="3" customWidth="1"/>
    <col min="1284" max="1284" width="11.5546875" style="3" customWidth="1"/>
    <col min="1285" max="1285" width="13" style="3" customWidth="1"/>
    <col min="1286" max="1286" width="21" style="3" customWidth="1"/>
    <col min="1287" max="1287" width="9.44140625" style="3" customWidth="1"/>
    <col min="1288" max="1288" width="12.109375" style="3" customWidth="1"/>
    <col min="1289" max="1536" width="9.109375" style="3"/>
    <col min="1537" max="1537" width="25.5546875" style="3" customWidth="1"/>
    <col min="1538" max="1538" width="34.109375" style="3" customWidth="1"/>
    <col min="1539" max="1539" width="27.109375" style="3" customWidth="1"/>
    <col min="1540" max="1540" width="11.5546875" style="3" customWidth="1"/>
    <col min="1541" max="1541" width="13" style="3" customWidth="1"/>
    <col min="1542" max="1542" width="21" style="3" customWidth="1"/>
    <col min="1543" max="1543" width="9.44140625" style="3" customWidth="1"/>
    <col min="1544" max="1544" width="12.109375" style="3" customWidth="1"/>
    <col min="1545" max="1792" width="9.109375" style="3"/>
    <col min="1793" max="1793" width="25.5546875" style="3" customWidth="1"/>
    <col min="1794" max="1794" width="34.109375" style="3" customWidth="1"/>
    <col min="1795" max="1795" width="27.109375" style="3" customWidth="1"/>
    <col min="1796" max="1796" width="11.5546875" style="3" customWidth="1"/>
    <col min="1797" max="1797" width="13" style="3" customWidth="1"/>
    <col min="1798" max="1798" width="21" style="3" customWidth="1"/>
    <col min="1799" max="1799" width="9.44140625" style="3" customWidth="1"/>
    <col min="1800" max="1800" width="12.109375" style="3" customWidth="1"/>
    <col min="1801" max="2048" width="9.109375" style="3"/>
    <col min="2049" max="2049" width="25.5546875" style="3" customWidth="1"/>
    <col min="2050" max="2050" width="34.109375" style="3" customWidth="1"/>
    <col min="2051" max="2051" width="27.109375" style="3" customWidth="1"/>
    <col min="2052" max="2052" width="11.5546875" style="3" customWidth="1"/>
    <col min="2053" max="2053" width="13" style="3" customWidth="1"/>
    <col min="2054" max="2054" width="21" style="3" customWidth="1"/>
    <col min="2055" max="2055" width="9.44140625" style="3" customWidth="1"/>
    <col min="2056" max="2056" width="12.109375" style="3" customWidth="1"/>
    <col min="2057" max="2304" width="9.109375" style="3"/>
    <col min="2305" max="2305" width="25.5546875" style="3" customWidth="1"/>
    <col min="2306" max="2306" width="34.109375" style="3" customWidth="1"/>
    <col min="2307" max="2307" width="27.109375" style="3" customWidth="1"/>
    <col min="2308" max="2308" width="11.5546875" style="3" customWidth="1"/>
    <col min="2309" max="2309" width="13" style="3" customWidth="1"/>
    <col min="2310" max="2310" width="21" style="3" customWidth="1"/>
    <col min="2311" max="2311" width="9.44140625" style="3" customWidth="1"/>
    <col min="2312" max="2312" width="12.109375" style="3" customWidth="1"/>
    <col min="2313" max="2560" width="9.109375" style="3"/>
    <col min="2561" max="2561" width="25.5546875" style="3" customWidth="1"/>
    <col min="2562" max="2562" width="34.109375" style="3" customWidth="1"/>
    <col min="2563" max="2563" width="27.109375" style="3" customWidth="1"/>
    <col min="2564" max="2564" width="11.5546875" style="3" customWidth="1"/>
    <col min="2565" max="2565" width="13" style="3" customWidth="1"/>
    <col min="2566" max="2566" width="21" style="3" customWidth="1"/>
    <col min="2567" max="2567" width="9.44140625" style="3" customWidth="1"/>
    <col min="2568" max="2568" width="12.109375" style="3" customWidth="1"/>
    <col min="2569" max="2816" width="9.109375" style="3"/>
    <col min="2817" max="2817" width="25.5546875" style="3" customWidth="1"/>
    <col min="2818" max="2818" width="34.109375" style="3" customWidth="1"/>
    <col min="2819" max="2819" width="27.109375" style="3" customWidth="1"/>
    <col min="2820" max="2820" width="11.5546875" style="3" customWidth="1"/>
    <col min="2821" max="2821" width="13" style="3" customWidth="1"/>
    <col min="2822" max="2822" width="21" style="3" customWidth="1"/>
    <col min="2823" max="2823" width="9.44140625" style="3" customWidth="1"/>
    <col min="2824" max="2824" width="12.109375" style="3" customWidth="1"/>
    <col min="2825" max="3072" width="9.109375" style="3"/>
    <col min="3073" max="3073" width="25.5546875" style="3" customWidth="1"/>
    <col min="3074" max="3074" width="34.109375" style="3" customWidth="1"/>
    <col min="3075" max="3075" width="27.109375" style="3" customWidth="1"/>
    <col min="3076" max="3076" width="11.5546875" style="3" customWidth="1"/>
    <col min="3077" max="3077" width="13" style="3" customWidth="1"/>
    <col min="3078" max="3078" width="21" style="3" customWidth="1"/>
    <col min="3079" max="3079" width="9.44140625" style="3" customWidth="1"/>
    <col min="3080" max="3080" width="12.109375" style="3" customWidth="1"/>
    <col min="3081" max="3328" width="9.109375" style="3"/>
    <col min="3329" max="3329" width="25.5546875" style="3" customWidth="1"/>
    <col min="3330" max="3330" width="34.109375" style="3" customWidth="1"/>
    <col min="3331" max="3331" width="27.109375" style="3" customWidth="1"/>
    <col min="3332" max="3332" width="11.5546875" style="3" customWidth="1"/>
    <col min="3333" max="3333" width="13" style="3" customWidth="1"/>
    <col min="3334" max="3334" width="21" style="3" customWidth="1"/>
    <col min="3335" max="3335" width="9.44140625" style="3" customWidth="1"/>
    <col min="3336" max="3336" width="12.109375" style="3" customWidth="1"/>
    <col min="3337" max="3584" width="9.109375" style="3"/>
    <col min="3585" max="3585" width="25.5546875" style="3" customWidth="1"/>
    <col min="3586" max="3586" width="34.109375" style="3" customWidth="1"/>
    <col min="3587" max="3587" width="27.109375" style="3" customWidth="1"/>
    <col min="3588" max="3588" width="11.5546875" style="3" customWidth="1"/>
    <col min="3589" max="3589" width="13" style="3" customWidth="1"/>
    <col min="3590" max="3590" width="21" style="3" customWidth="1"/>
    <col min="3591" max="3591" width="9.44140625" style="3" customWidth="1"/>
    <col min="3592" max="3592" width="12.109375" style="3" customWidth="1"/>
    <col min="3593" max="3840" width="9.109375" style="3"/>
    <col min="3841" max="3841" width="25.5546875" style="3" customWidth="1"/>
    <col min="3842" max="3842" width="34.109375" style="3" customWidth="1"/>
    <col min="3843" max="3843" width="27.109375" style="3" customWidth="1"/>
    <col min="3844" max="3844" width="11.5546875" style="3" customWidth="1"/>
    <col min="3845" max="3845" width="13" style="3" customWidth="1"/>
    <col min="3846" max="3846" width="21" style="3" customWidth="1"/>
    <col min="3847" max="3847" width="9.44140625" style="3" customWidth="1"/>
    <col min="3848" max="3848" width="12.109375" style="3" customWidth="1"/>
    <col min="3849" max="4096" width="9.109375" style="3"/>
    <col min="4097" max="4097" width="25.5546875" style="3" customWidth="1"/>
    <col min="4098" max="4098" width="34.109375" style="3" customWidth="1"/>
    <col min="4099" max="4099" width="27.109375" style="3" customWidth="1"/>
    <col min="4100" max="4100" width="11.5546875" style="3" customWidth="1"/>
    <col min="4101" max="4101" width="13" style="3" customWidth="1"/>
    <col min="4102" max="4102" width="21" style="3" customWidth="1"/>
    <col min="4103" max="4103" width="9.44140625" style="3" customWidth="1"/>
    <col min="4104" max="4104" width="12.109375" style="3" customWidth="1"/>
    <col min="4105" max="4352" width="9.109375" style="3"/>
    <col min="4353" max="4353" width="25.5546875" style="3" customWidth="1"/>
    <col min="4354" max="4354" width="34.109375" style="3" customWidth="1"/>
    <col min="4355" max="4355" width="27.109375" style="3" customWidth="1"/>
    <col min="4356" max="4356" width="11.5546875" style="3" customWidth="1"/>
    <col min="4357" max="4357" width="13" style="3" customWidth="1"/>
    <col min="4358" max="4358" width="21" style="3" customWidth="1"/>
    <col min="4359" max="4359" width="9.44140625" style="3" customWidth="1"/>
    <col min="4360" max="4360" width="12.109375" style="3" customWidth="1"/>
    <col min="4361" max="4608" width="9.109375" style="3"/>
    <col min="4609" max="4609" width="25.5546875" style="3" customWidth="1"/>
    <col min="4610" max="4610" width="34.109375" style="3" customWidth="1"/>
    <col min="4611" max="4611" width="27.109375" style="3" customWidth="1"/>
    <col min="4612" max="4612" width="11.5546875" style="3" customWidth="1"/>
    <col min="4613" max="4613" width="13" style="3" customWidth="1"/>
    <col min="4614" max="4614" width="21" style="3" customWidth="1"/>
    <col min="4615" max="4615" width="9.44140625" style="3" customWidth="1"/>
    <col min="4616" max="4616" width="12.109375" style="3" customWidth="1"/>
    <col min="4617" max="4864" width="9.109375" style="3"/>
    <col min="4865" max="4865" width="25.5546875" style="3" customWidth="1"/>
    <col min="4866" max="4866" width="34.109375" style="3" customWidth="1"/>
    <col min="4867" max="4867" width="27.109375" style="3" customWidth="1"/>
    <col min="4868" max="4868" width="11.5546875" style="3" customWidth="1"/>
    <col min="4869" max="4869" width="13" style="3" customWidth="1"/>
    <col min="4870" max="4870" width="21" style="3" customWidth="1"/>
    <col min="4871" max="4871" width="9.44140625" style="3" customWidth="1"/>
    <col min="4872" max="4872" width="12.109375" style="3" customWidth="1"/>
    <col min="4873" max="5120" width="9.109375" style="3"/>
    <col min="5121" max="5121" width="25.5546875" style="3" customWidth="1"/>
    <col min="5122" max="5122" width="34.109375" style="3" customWidth="1"/>
    <col min="5123" max="5123" width="27.109375" style="3" customWidth="1"/>
    <col min="5124" max="5124" width="11.5546875" style="3" customWidth="1"/>
    <col min="5125" max="5125" width="13" style="3" customWidth="1"/>
    <col min="5126" max="5126" width="21" style="3" customWidth="1"/>
    <col min="5127" max="5127" width="9.44140625" style="3" customWidth="1"/>
    <col min="5128" max="5128" width="12.109375" style="3" customWidth="1"/>
    <col min="5129" max="5376" width="9.109375" style="3"/>
    <col min="5377" max="5377" width="25.5546875" style="3" customWidth="1"/>
    <col min="5378" max="5378" width="34.109375" style="3" customWidth="1"/>
    <col min="5379" max="5379" width="27.109375" style="3" customWidth="1"/>
    <col min="5380" max="5380" width="11.5546875" style="3" customWidth="1"/>
    <col min="5381" max="5381" width="13" style="3" customWidth="1"/>
    <col min="5382" max="5382" width="21" style="3" customWidth="1"/>
    <col min="5383" max="5383" width="9.44140625" style="3" customWidth="1"/>
    <col min="5384" max="5384" width="12.109375" style="3" customWidth="1"/>
    <col min="5385" max="5632" width="9.109375" style="3"/>
    <col min="5633" max="5633" width="25.5546875" style="3" customWidth="1"/>
    <col min="5634" max="5634" width="34.109375" style="3" customWidth="1"/>
    <col min="5635" max="5635" width="27.109375" style="3" customWidth="1"/>
    <col min="5636" max="5636" width="11.5546875" style="3" customWidth="1"/>
    <col min="5637" max="5637" width="13" style="3" customWidth="1"/>
    <col min="5638" max="5638" width="21" style="3" customWidth="1"/>
    <col min="5639" max="5639" width="9.44140625" style="3" customWidth="1"/>
    <col min="5640" max="5640" width="12.109375" style="3" customWidth="1"/>
    <col min="5641" max="5888" width="9.109375" style="3"/>
    <col min="5889" max="5889" width="25.5546875" style="3" customWidth="1"/>
    <col min="5890" max="5890" width="34.109375" style="3" customWidth="1"/>
    <col min="5891" max="5891" width="27.109375" style="3" customWidth="1"/>
    <col min="5892" max="5892" width="11.5546875" style="3" customWidth="1"/>
    <col min="5893" max="5893" width="13" style="3" customWidth="1"/>
    <col min="5894" max="5894" width="21" style="3" customWidth="1"/>
    <col min="5895" max="5895" width="9.44140625" style="3" customWidth="1"/>
    <col min="5896" max="5896" width="12.109375" style="3" customWidth="1"/>
    <col min="5897" max="6144" width="9.109375" style="3"/>
    <col min="6145" max="6145" width="25.5546875" style="3" customWidth="1"/>
    <col min="6146" max="6146" width="34.109375" style="3" customWidth="1"/>
    <col min="6147" max="6147" width="27.109375" style="3" customWidth="1"/>
    <col min="6148" max="6148" width="11.5546875" style="3" customWidth="1"/>
    <col min="6149" max="6149" width="13" style="3" customWidth="1"/>
    <col min="6150" max="6150" width="21" style="3" customWidth="1"/>
    <col min="6151" max="6151" width="9.44140625" style="3" customWidth="1"/>
    <col min="6152" max="6152" width="12.109375" style="3" customWidth="1"/>
    <col min="6153" max="6400" width="9.109375" style="3"/>
    <col min="6401" max="6401" width="25.5546875" style="3" customWidth="1"/>
    <col min="6402" max="6402" width="34.109375" style="3" customWidth="1"/>
    <col min="6403" max="6403" width="27.109375" style="3" customWidth="1"/>
    <col min="6404" max="6404" width="11.5546875" style="3" customWidth="1"/>
    <col min="6405" max="6405" width="13" style="3" customWidth="1"/>
    <col min="6406" max="6406" width="21" style="3" customWidth="1"/>
    <col min="6407" max="6407" width="9.44140625" style="3" customWidth="1"/>
    <col min="6408" max="6408" width="12.109375" style="3" customWidth="1"/>
    <col min="6409" max="6656" width="9.109375" style="3"/>
    <col min="6657" max="6657" width="25.5546875" style="3" customWidth="1"/>
    <col min="6658" max="6658" width="34.109375" style="3" customWidth="1"/>
    <col min="6659" max="6659" width="27.109375" style="3" customWidth="1"/>
    <col min="6660" max="6660" width="11.5546875" style="3" customWidth="1"/>
    <col min="6661" max="6661" width="13" style="3" customWidth="1"/>
    <col min="6662" max="6662" width="21" style="3" customWidth="1"/>
    <col min="6663" max="6663" width="9.44140625" style="3" customWidth="1"/>
    <col min="6664" max="6664" width="12.109375" style="3" customWidth="1"/>
    <col min="6665" max="6912" width="9.109375" style="3"/>
    <col min="6913" max="6913" width="25.5546875" style="3" customWidth="1"/>
    <col min="6914" max="6914" width="34.109375" style="3" customWidth="1"/>
    <col min="6915" max="6915" width="27.109375" style="3" customWidth="1"/>
    <col min="6916" max="6916" width="11.5546875" style="3" customWidth="1"/>
    <col min="6917" max="6917" width="13" style="3" customWidth="1"/>
    <col min="6918" max="6918" width="21" style="3" customWidth="1"/>
    <col min="6919" max="6919" width="9.44140625" style="3" customWidth="1"/>
    <col min="6920" max="6920" width="12.109375" style="3" customWidth="1"/>
    <col min="6921" max="7168" width="9.109375" style="3"/>
    <col min="7169" max="7169" width="25.5546875" style="3" customWidth="1"/>
    <col min="7170" max="7170" width="34.109375" style="3" customWidth="1"/>
    <col min="7171" max="7171" width="27.109375" style="3" customWidth="1"/>
    <col min="7172" max="7172" width="11.5546875" style="3" customWidth="1"/>
    <col min="7173" max="7173" width="13" style="3" customWidth="1"/>
    <col min="7174" max="7174" width="21" style="3" customWidth="1"/>
    <col min="7175" max="7175" width="9.44140625" style="3" customWidth="1"/>
    <col min="7176" max="7176" width="12.109375" style="3" customWidth="1"/>
    <col min="7177" max="7424" width="9.109375" style="3"/>
    <col min="7425" max="7425" width="25.5546875" style="3" customWidth="1"/>
    <col min="7426" max="7426" width="34.109375" style="3" customWidth="1"/>
    <col min="7427" max="7427" width="27.109375" style="3" customWidth="1"/>
    <col min="7428" max="7428" width="11.5546875" style="3" customWidth="1"/>
    <col min="7429" max="7429" width="13" style="3" customWidth="1"/>
    <col min="7430" max="7430" width="21" style="3" customWidth="1"/>
    <col min="7431" max="7431" width="9.44140625" style="3" customWidth="1"/>
    <col min="7432" max="7432" width="12.109375" style="3" customWidth="1"/>
    <col min="7433" max="7680" width="9.109375" style="3"/>
    <col min="7681" max="7681" width="25.5546875" style="3" customWidth="1"/>
    <col min="7682" max="7682" width="34.109375" style="3" customWidth="1"/>
    <col min="7683" max="7683" width="27.109375" style="3" customWidth="1"/>
    <col min="7684" max="7684" width="11.5546875" style="3" customWidth="1"/>
    <col min="7685" max="7685" width="13" style="3" customWidth="1"/>
    <col min="7686" max="7686" width="21" style="3" customWidth="1"/>
    <col min="7687" max="7687" width="9.44140625" style="3" customWidth="1"/>
    <col min="7688" max="7688" width="12.109375" style="3" customWidth="1"/>
    <col min="7689" max="7936" width="9.109375" style="3"/>
    <col min="7937" max="7937" width="25.5546875" style="3" customWidth="1"/>
    <col min="7938" max="7938" width="34.109375" style="3" customWidth="1"/>
    <col min="7939" max="7939" width="27.109375" style="3" customWidth="1"/>
    <col min="7940" max="7940" width="11.5546875" style="3" customWidth="1"/>
    <col min="7941" max="7941" width="13" style="3" customWidth="1"/>
    <col min="7942" max="7942" width="21" style="3" customWidth="1"/>
    <col min="7943" max="7943" width="9.44140625" style="3" customWidth="1"/>
    <col min="7944" max="7944" width="12.109375" style="3" customWidth="1"/>
    <col min="7945" max="8192" width="9.109375" style="3"/>
    <col min="8193" max="8193" width="25.5546875" style="3" customWidth="1"/>
    <col min="8194" max="8194" width="34.109375" style="3" customWidth="1"/>
    <col min="8195" max="8195" width="27.109375" style="3" customWidth="1"/>
    <col min="8196" max="8196" width="11.5546875" style="3" customWidth="1"/>
    <col min="8197" max="8197" width="13" style="3" customWidth="1"/>
    <col min="8198" max="8198" width="21" style="3" customWidth="1"/>
    <col min="8199" max="8199" width="9.44140625" style="3" customWidth="1"/>
    <col min="8200" max="8200" width="12.109375" style="3" customWidth="1"/>
    <col min="8201" max="8448" width="9.109375" style="3"/>
    <col min="8449" max="8449" width="25.5546875" style="3" customWidth="1"/>
    <col min="8450" max="8450" width="34.109375" style="3" customWidth="1"/>
    <col min="8451" max="8451" width="27.109375" style="3" customWidth="1"/>
    <col min="8452" max="8452" width="11.5546875" style="3" customWidth="1"/>
    <col min="8453" max="8453" width="13" style="3" customWidth="1"/>
    <col min="8454" max="8454" width="21" style="3" customWidth="1"/>
    <col min="8455" max="8455" width="9.44140625" style="3" customWidth="1"/>
    <col min="8456" max="8456" width="12.109375" style="3" customWidth="1"/>
    <col min="8457" max="8704" width="9.109375" style="3"/>
    <col min="8705" max="8705" width="25.5546875" style="3" customWidth="1"/>
    <col min="8706" max="8706" width="34.109375" style="3" customWidth="1"/>
    <col min="8707" max="8707" width="27.109375" style="3" customWidth="1"/>
    <col min="8708" max="8708" width="11.5546875" style="3" customWidth="1"/>
    <col min="8709" max="8709" width="13" style="3" customWidth="1"/>
    <col min="8710" max="8710" width="21" style="3" customWidth="1"/>
    <col min="8711" max="8711" width="9.44140625" style="3" customWidth="1"/>
    <col min="8712" max="8712" width="12.109375" style="3" customWidth="1"/>
    <col min="8713" max="8960" width="9.109375" style="3"/>
    <col min="8961" max="8961" width="25.5546875" style="3" customWidth="1"/>
    <col min="8962" max="8962" width="34.109375" style="3" customWidth="1"/>
    <col min="8963" max="8963" width="27.109375" style="3" customWidth="1"/>
    <col min="8964" max="8964" width="11.5546875" style="3" customWidth="1"/>
    <col min="8965" max="8965" width="13" style="3" customWidth="1"/>
    <col min="8966" max="8966" width="21" style="3" customWidth="1"/>
    <col min="8967" max="8967" width="9.44140625" style="3" customWidth="1"/>
    <col min="8968" max="8968" width="12.109375" style="3" customWidth="1"/>
    <col min="8969" max="9216" width="9.109375" style="3"/>
    <col min="9217" max="9217" width="25.5546875" style="3" customWidth="1"/>
    <col min="9218" max="9218" width="34.109375" style="3" customWidth="1"/>
    <col min="9219" max="9219" width="27.109375" style="3" customWidth="1"/>
    <col min="9220" max="9220" width="11.5546875" style="3" customWidth="1"/>
    <col min="9221" max="9221" width="13" style="3" customWidth="1"/>
    <col min="9222" max="9222" width="21" style="3" customWidth="1"/>
    <col min="9223" max="9223" width="9.44140625" style="3" customWidth="1"/>
    <col min="9224" max="9224" width="12.109375" style="3" customWidth="1"/>
    <col min="9225" max="9472" width="9.109375" style="3"/>
    <col min="9473" max="9473" width="25.5546875" style="3" customWidth="1"/>
    <col min="9474" max="9474" width="34.109375" style="3" customWidth="1"/>
    <col min="9475" max="9475" width="27.109375" style="3" customWidth="1"/>
    <col min="9476" max="9476" width="11.5546875" style="3" customWidth="1"/>
    <col min="9477" max="9477" width="13" style="3" customWidth="1"/>
    <col min="9478" max="9478" width="21" style="3" customWidth="1"/>
    <col min="9479" max="9479" width="9.44140625" style="3" customWidth="1"/>
    <col min="9480" max="9480" width="12.109375" style="3" customWidth="1"/>
    <col min="9481" max="9728" width="9.109375" style="3"/>
    <col min="9729" max="9729" width="25.5546875" style="3" customWidth="1"/>
    <col min="9730" max="9730" width="34.109375" style="3" customWidth="1"/>
    <col min="9731" max="9731" width="27.109375" style="3" customWidth="1"/>
    <col min="9732" max="9732" width="11.5546875" style="3" customWidth="1"/>
    <col min="9733" max="9733" width="13" style="3" customWidth="1"/>
    <col min="9734" max="9734" width="21" style="3" customWidth="1"/>
    <col min="9735" max="9735" width="9.44140625" style="3" customWidth="1"/>
    <col min="9736" max="9736" width="12.109375" style="3" customWidth="1"/>
    <col min="9737" max="9984" width="9.109375" style="3"/>
    <col min="9985" max="9985" width="25.5546875" style="3" customWidth="1"/>
    <col min="9986" max="9986" width="34.109375" style="3" customWidth="1"/>
    <col min="9987" max="9987" width="27.109375" style="3" customWidth="1"/>
    <col min="9988" max="9988" width="11.5546875" style="3" customWidth="1"/>
    <col min="9989" max="9989" width="13" style="3" customWidth="1"/>
    <col min="9990" max="9990" width="21" style="3" customWidth="1"/>
    <col min="9991" max="9991" width="9.44140625" style="3" customWidth="1"/>
    <col min="9992" max="9992" width="12.109375" style="3" customWidth="1"/>
    <col min="9993" max="10240" width="9.109375" style="3"/>
    <col min="10241" max="10241" width="25.5546875" style="3" customWidth="1"/>
    <col min="10242" max="10242" width="34.109375" style="3" customWidth="1"/>
    <col min="10243" max="10243" width="27.109375" style="3" customWidth="1"/>
    <col min="10244" max="10244" width="11.5546875" style="3" customWidth="1"/>
    <col min="10245" max="10245" width="13" style="3" customWidth="1"/>
    <col min="10246" max="10246" width="21" style="3" customWidth="1"/>
    <col min="10247" max="10247" width="9.44140625" style="3" customWidth="1"/>
    <col min="10248" max="10248" width="12.109375" style="3" customWidth="1"/>
    <col min="10249" max="10496" width="9.109375" style="3"/>
    <col min="10497" max="10497" width="25.5546875" style="3" customWidth="1"/>
    <col min="10498" max="10498" width="34.109375" style="3" customWidth="1"/>
    <col min="10499" max="10499" width="27.109375" style="3" customWidth="1"/>
    <col min="10500" max="10500" width="11.5546875" style="3" customWidth="1"/>
    <col min="10501" max="10501" width="13" style="3" customWidth="1"/>
    <col min="10502" max="10502" width="21" style="3" customWidth="1"/>
    <col min="10503" max="10503" width="9.44140625" style="3" customWidth="1"/>
    <col min="10504" max="10504" width="12.109375" style="3" customWidth="1"/>
    <col min="10505" max="10752" width="9.109375" style="3"/>
    <col min="10753" max="10753" width="25.5546875" style="3" customWidth="1"/>
    <col min="10754" max="10754" width="34.109375" style="3" customWidth="1"/>
    <col min="10755" max="10755" width="27.109375" style="3" customWidth="1"/>
    <col min="10756" max="10756" width="11.5546875" style="3" customWidth="1"/>
    <col min="10757" max="10757" width="13" style="3" customWidth="1"/>
    <col min="10758" max="10758" width="21" style="3" customWidth="1"/>
    <col min="10759" max="10759" width="9.44140625" style="3" customWidth="1"/>
    <col min="10760" max="10760" width="12.109375" style="3" customWidth="1"/>
    <col min="10761" max="11008" width="9.109375" style="3"/>
    <col min="11009" max="11009" width="25.5546875" style="3" customWidth="1"/>
    <col min="11010" max="11010" width="34.109375" style="3" customWidth="1"/>
    <col min="11011" max="11011" width="27.109375" style="3" customWidth="1"/>
    <col min="11012" max="11012" width="11.5546875" style="3" customWidth="1"/>
    <col min="11013" max="11013" width="13" style="3" customWidth="1"/>
    <col min="11014" max="11014" width="21" style="3" customWidth="1"/>
    <col min="11015" max="11015" width="9.44140625" style="3" customWidth="1"/>
    <col min="11016" max="11016" width="12.109375" style="3" customWidth="1"/>
    <col min="11017" max="11264" width="9.109375" style="3"/>
    <col min="11265" max="11265" width="25.5546875" style="3" customWidth="1"/>
    <col min="11266" max="11266" width="34.109375" style="3" customWidth="1"/>
    <col min="11267" max="11267" width="27.109375" style="3" customWidth="1"/>
    <col min="11268" max="11268" width="11.5546875" style="3" customWidth="1"/>
    <col min="11269" max="11269" width="13" style="3" customWidth="1"/>
    <col min="11270" max="11270" width="21" style="3" customWidth="1"/>
    <col min="11271" max="11271" width="9.44140625" style="3" customWidth="1"/>
    <col min="11272" max="11272" width="12.109375" style="3" customWidth="1"/>
    <col min="11273" max="11520" width="9.109375" style="3"/>
    <col min="11521" max="11521" width="25.5546875" style="3" customWidth="1"/>
    <col min="11522" max="11522" width="34.109375" style="3" customWidth="1"/>
    <col min="11523" max="11523" width="27.109375" style="3" customWidth="1"/>
    <col min="11524" max="11524" width="11.5546875" style="3" customWidth="1"/>
    <col min="11525" max="11525" width="13" style="3" customWidth="1"/>
    <col min="11526" max="11526" width="21" style="3" customWidth="1"/>
    <col min="11527" max="11527" width="9.44140625" style="3" customWidth="1"/>
    <col min="11528" max="11528" width="12.109375" style="3" customWidth="1"/>
    <col min="11529" max="11776" width="9.109375" style="3"/>
    <col min="11777" max="11777" width="25.5546875" style="3" customWidth="1"/>
    <col min="11778" max="11778" width="34.109375" style="3" customWidth="1"/>
    <col min="11779" max="11779" width="27.109375" style="3" customWidth="1"/>
    <col min="11780" max="11780" width="11.5546875" style="3" customWidth="1"/>
    <col min="11781" max="11781" width="13" style="3" customWidth="1"/>
    <col min="11782" max="11782" width="21" style="3" customWidth="1"/>
    <col min="11783" max="11783" width="9.44140625" style="3" customWidth="1"/>
    <col min="11784" max="11784" width="12.109375" style="3" customWidth="1"/>
    <col min="11785" max="12032" width="9.109375" style="3"/>
    <col min="12033" max="12033" width="25.5546875" style="3" customWidth="1"/>
    <col min="12034" max="12034" width="34.109375" style="3" customWidth="1"/>
    <col min="12035" max="12035" width="27.109375" style="3" customWidth="1"/>
    <col min="12036" max="12036" width="11.5546875" style="3" customWidth="1"/>
    <col min="12037" max="12037" width="13" style="3" customWidth="1"/>
    <col min="12038" max="12038" width="21" style="3" customWidth="1"/>
    <col min="12039" max="12039" width="9.44140625" style="3" customWidth="1"/>
    <col min="12040" max="12040" width="12.109375" style="3" customWidth="1"/>
    <col min="12041" max="12288" width="9.109375" style="3"/>
    <col min="12289" max="12289" width="25.5546875" style="3" customWidth="1"/>
    <col min="12290" max="12290" width="34.109375" style="3" customWidth="1"/>
    <col min="12291" max="12291" width="27.109375" style="3" customWidth="1"/>
    <col min="12292" max="12292" width="11.5546875" style="3" customWidth="1"/>
    <col min="12293" max="12293" width="13" style="3" customWidth="1"/>
    <col min="12294" max="12294" width="21" style="3" customWidth="1"/>
    <col min="12295" max="12295" width="9.44140625" style="3" customWidth="1"/>
    <col min="12296" max="12296" width="12.109375" style="3" customWidth="1"/>
    <col min="12297" max="12544" width="9.109375" style="3"/>
    <col min="12545" max="12545" width="25.5546875" style="3" customWidth="1"/>
    <col min="12546" max="12546" width="34.109375" style="3" customWidth="1"/>
    <col min="12547" max="12547" width="27.109375" style="3" customWidth="1"/>
    <col min="12548" max="12548" width="11.5546875" style="3" customWidth="1"/>
    <col min="12549" max="12549" width="13" style="3" customWidth="1"/>
    <col min="12550" max="12550" width="21" style="3" customWidth="1"/>
    <col min="12551" max="12551" width="9.44140625" style="3" customWidth="1"/>
    <col min="12552" max="12552" width="12.109375" style="3" customWidth="1"/>
    <col min="12553" max="12800" width="9.109375" style="3"/>
    <col min="12801" max="12801" width="25.5546875" style="3" customWidth="1"/>
    <col min="12802" max="12802" width="34.109375" style="3" customWidth="1"/>
    <col min="12803" max="12803" width="27.109375" style="3" customWidth="1"/>
    <col min="12804" max="12804" width="11.5546875" style="3" customWidth="1"/>
    <col min="12805" max="12805" width="13" style="3" customWidth="1"/>
    <col min="12806" max="12806" width="21" style="3" customWidth="1"/>
    <col min="12807" max="12807" width="9.44140625" style="3" customWidth="1"/>
    <col min="12808" max="12808" width="12.109375" style="3" customWidth="1"/>
    <col min="12809" max="13056" width="9.109375" style="3"/>
    <col min="13057" max="13057" width="25.5546875" style="3" customWidth="1"/>
    <col min="13058" max="13058" width="34.109375" style="3" customWidth="1"/>
    <col min="13059" max="13059" width="27.109375" style="3" customWidth="1"/>
    <col min="13060" max="13060" width="11.5546875" style="3" customWidth="1"/>
    <col min="13061" max="13061" width="13" style="3" customWidth="1"/>
    <col min="13062" max="13062" width="21" style="3" customWidth="1"/>
    <col min="13063" max="13063" width="9.44140625" style="3" customWidth="1"/>
    <col min="13064" max="13064" width="12.109375" style="3" customWidth="1"/>
    <col min="13065" max="13312" width="9.109375" style="3"/>
    <col min="13313" max="13313" width="25.5546875" style="3" customWidth="1"/>
    <col min="13314" max="13314" width="34.109375" style="3" customWidth="1"/>
    <col min="13315" max="13315" width="27.109375" style="3" customWidth="1"/>
    <col min="13316" max="13316" width="11.5546875" style="3" customWidth="1"/>
    <col min="13317" max="13317" width="13" style="3" customWidth="1"/>
    <col min="13318" max="13318" width="21" style="3" customWidth="1"/>
    <col min="13319" max="13319" width="9.44140625" style="3" customWidth="1"/>
    <col min="13320" max="13320" width="12.109375" style="3" customWidth="1"/>
    <col min="13321" max="13568" width="9.109375" style="3"/>
    <col min="13569" max="13569" width="25.5546875" style="3" customWidth="1"/>
    <col min="13570" max="13570" width="34.109375" style="3" customWidth="1"/>
    <col min="13571" max="13571" width="27.109375" style="3" customWidth="1"/>
    <col min="13572" max="13572" width="11.5546875" style="3" customWidth="1"/>
    <col min="13573" max="13573" width="13" style="3" customWidth="1"/>
    <col min="13574" max="13574" width="21" style="3" customWidth="1"/>
    <col min="13575" max="13575" width="9.44140625" style="3" customWidth="1"/>
    <col min="13576" max="13576" width="12.109375" style="3" customWidth="1"/>
    <col min="13577" max="13824" width="9.109375" style="3"/>
    <col min="13825" max="13825" width="25.5546875" style="3" customWidth="1"/>
    <col min="13826" max="13826" width="34.109375" style="3" customWidth="1"/>
    <col min="13827" max="13827" width="27.109375" style="3" customWidth="1"/>
    <col min="13828" max="13828" width="11.5546875" style="3" customWidth="1"/>
    <col min="13829" max="13829" width="13" style="3" customWidth="1"/>
    <col min="13830" max="13830" width="21" style="3" customWidth="1"/>
    <col min="13831" max="13831" width="9.44140625" style="3" customWidth="1"/>
    <col min="13832" max="13832" width="12.109375" style="3" customWidth="1"/>
    <col min="13833" max="14080" width="9.109375" style="3"/>
    <col min="14081" max="14081" width="25.5546875" style="3" customWidth="1"/>
    <col min="14082" max="14082" width="34.109375" style="3" customWidth="1"/>
    <col min="14083" max="14083" width="27.109375" style="3" customWidth="1"/>
    <col min="14084" max="14084" width="11.5546875" style="3" customWidth="1"/>
    <col min="14085" max="14085" width="13" style="3" customWidth="1"/>
    <col min="14086" max="14086" width="21" style="3" customWidth="1"/>
    <col min="14087" max="14087" width="9.44140625" style="3" customWidth="1"/>
    <col min="14088" max="14088" width="12.109375" style="3" customWidth="1"/>
    <col min="14089" max="14336" width="9.109375" style="3"/>
    <col min="14337" max="14337" width="25.5546875" style="3" customWidth="1"/>
    <col min="14338" max="14338" width="34.109375" style="3" customWidth="1"/>
    <col min="14339" max="14339" width="27.109375" style="3" customWidth="1"/>
    <col min="14340" max="14340" width="11.5546875" style="3" customWidth="1"/>
    <col min="14341" max="14341" width="13" style="3" customWidth="1"/>
    <col min="14342" max="14342" width="21" style="3" customWidth="1"/>
    <col min="14343" max="14343" width="9.44140625" style="3" customWidth="1"/>
    <col min="14344" max="14344" width="12.109375" style="3" customWidth="1"/>
    <col min="14345" max="14592" width="9.109375" style="3"/>
    <col min="14593" max="14593" width="25.5546875" style="3" customWidth="1"/>
    <col min="14594" max="14594" width="34.109375" style="3" customWidth="1"/>
    <col min="14595" max="14595" width="27.109375" style="3" customWidth="1"/>
    <col min="14596" max="14596" width="11.5546875" style="3" customWidth="1"/>
    <col min="14597" max="14597" width="13" style="3" customWidth="1"/>
    <col min="14598" max="14598" width="21" style="3" customWidth="1"/>
    <col min="14599" max="14599" width="9.44140625" style="3" customWidth="1"/>
    <col min="14600" max="14600" width="12.109375" style="3" customWidth="1"/>
    <col min="14601" max="14848" width="9.109375" style="3"/>
    <col min="14849" max="14849" width="25.5546875" style="3" customWidth="1"/>
    <col min="14850" max="14850" width="34.109375" style="3" customWidth="1"/>
    <col min="14851" max="14851" width="27.109375" style="3" customWidth="1"/>
    <col min="14852" max="14852" width="11.5546875" style="3" customWidth="1"/>
    <col min="14853" max="14853" width="13" style="3" customWidth="1"/>
    <col min="14854" max="14854" width="21" style="3" customWidth="1"/>
    <col min="14855" max="14855" width="9.44140625" style="3" customWidth="1"/>
    <col min="14856" max="14856" width="12.109375" style="3" customWidth="1"/>
    <col min="14857" max="15104" width="9.109375" style="3"/>
    <col min="15105" max="15105" width="25.5546875" style="3" customWidth="1"/>
    <col min="15106" max="15106" width="34.109375" style="3" customWidth="1"/>
    <col min="15107" max="15107" width="27.109375" style="3" customWidth="1"/>
    <col min="15108" max="15108" width="11.5546875" style="3" customWidth="1"/>
    <col min="15109" max="15109" width="13" style="3" customWidth="1"/>
    <col min="15110" max="15110" width="21" style="3" customWidth="1"/>
    <col min="15111" max="15111" width="9.44140625" style="3" customWidth="1"/>
    <col min="15112" max="15112" width="12.109375" style="3" customWidth="1"/>
    <col min="15113" max="15360" width="9.109375" style="3"/>
    <col min="15361" max="15361" width="25.5546875" style="3" customWidth="1"/>
    <col min="15362" max="15362" width="34.109375" style="3" customWidth="1"/>
    <col min="15363" max="15363" width="27.109375" style="3" customWidth="1"/>
    <col min="15364" max="15364" width="11.5546875" style="3" customWidth="1"/>
    <col min="15365" max="15365" width="13" style="3" customWidth="1"/>
    <col min="15366" max="15366" width="21" style="3" customWidth="1"/>
    <col min="15367" max="15367" width="9.44140625" style="3" customWidth="1"/>
    <col min="15368" max="15368" width="12.109375" style="3" customWidth="1"/>
    <col min="15369" max="15616" width="9.109375" style="3"/>
    <col min="15617" max="15617" width="25.5546875" style="3" customWidth="1"/>
    <col min="15618" max="15618" width="34.109375" style="3" customWidth="1"/>
    <col min="15619" max="15619" width="27.109375" style="3" customWidth="1"/>
    <col min="15620" max="15620" width="11.5546875" style="3" customWidth="1"/>
    <col min="15621" max="15621" width="13" style="3" customWidth="1"/>
    <col min="15622" max="15622" width="21" style="3" customWidth="1"/>
    <col min="15623" max="15623" width="9.44140625" style="3" customWidth="1"/>
    <col min="15624" max="15624" width="12.109375" style="3" customWidth="1"/>
    <col min="15625" max="15872" width="9.109375" style="3"/>
    <col min="15873" max="15873" width="25.5546875" style="3" customWidth="1"/>
    <col min="15874" max="15874" width="34.109375" style="3" customWidth="1"/>
    <col min="15875" max="15875" width="27.109375" style="3" customWidth="1"/>
    <col min="15876" max="15876" width="11.5546875" style="3" customWidth="1"/>
    <col min="15877" max="15877" width="13" style="3" customWidth="1"/>
    <col min="15878" max="15878" width="21" style="3" customWidth="1"/>
    <col min="15879" max="15879" width="9.44140625" style="3" customWidth="1"/>
    <col min="15880" max="15880" width="12.109375" style="3" customWidth="1"/>
    <col min="15881" max="16128" width="9.109375" style="3"/>
    <col min="16129" max="16129" width="25.5546875" style="3" customWidth="1"/>
    <col min="16130" max="16130" width="34.109375" style="3" customWidth="1"/>
    <col min="16131" max="16131" width="27.109375" style="3" customWidth="1"/>
    <col min="16132" max="16132" width="11.5546875" style="3" customWidth="1"/>
    <col min="16133" max="16133" width="13" style="3" customWidth="1"/>
    <col min="16134" max="16134" width="21" style="3" customWidth="1"/>
    <col min="16135" max="16135" width="9.44140625" style="3" customWidth="1"/>
    <col min="16136" max="16136" width="12.109375" style="3" customWidth="1"/>
    <col min="16137" max="16384" width="9.109375" style="3"/>
  </cols>
  <sheetData>
    <row r="1" spans="1:7" ht="15.6">
      <c r="A1" s="3295" t="str">
        <f>'Schedule-A'!D3</f>
        <v>C/o HLB on R/F Amlikunta to Gundumal of Gundumal Mandal of Narayanept District.</v>
      </c>
      <c r="B1" s="3295"/>
      <c r="C1" s="3295"/>
      <c r="D1" s="3295"/>
      <c r="E1" s="3295"/>
      <c r="F1" s="3295"/>
      <c r="G1" s="3295"/>
    </row>
    <row r="2" spans="1:7" ht="15.6">
      <c r="A2" s="2"/>
      <c r="B2" s="2" t="str">
        <f>'Schedule-A'!H4</f>
        <v>NIT.No--</v>
      </c>
      <c r="C2" s="1908" t="s">
        <v>328</v>
      </c>
      <c r="D2" s="1909">
        <f>'Schedule-A'!C4</f>
        <v>500</v>
      </c>
      <c r="E2" s="2" t="s">
        <v>329</v>
      </c>
      <c r="F2" s="2"/>
      <c r="G2" s="2"/>
    </row>
    <row r="3" spans="1:7" s="9" customFormat="1" ht="24.9" customHeight="1">
      <c r="A3" s="1910" t="s">
        <v>330</v>
      </c>
      <c r="B3" s="1911">
        <f>'Schedule-A'!H53</f>
        <v>37923452</v>
      </c>
      <c r="C3" s="7">
        <f>B3</f>
        <v>37923452</v>
      </c>
      <c r="D3" s="2069" t="s">
        <v>331</v>
      </c>
      <c r="E3" s="8">
        <v>1.4999999999999999E-2</v>
      </c>
      <c r="F3" s="8">
        <v>2.5000000000000001E-2</v>
      </c>
      <c r="G3" s="1912"/>
    </row>
    <row r="4" spans="1:7" s="9" customFormat="1" ht="22.5" customHeight="1">
      <c r="A4" s="10" t="s">
        <v>332</v>
      </c>
      <c r="B4" s="11" t="s">
        <v>333</v>
      </c>
      <c r="C4" s="12">
        <f>CEILING(1%*B3,100)</f>
        <v>379300</v>
      </c>
      <c r="D4" s="13">
        <f>CEILING(1%*C3,100)</f>
        <v>379300</v>
      </c>
      <c r="E4" s="13">
        <f>CEILING(1.5%*C3,100)</f>
        <v>568900</v>
      </c>
      <c r="F4" s="13">
        <f>SUM(D4:E4)</f>
        <v>948200</v>
      </c>
      <c r="G4" s="1912"/>
    </row>
    <row r="5" spans="1:7" s="9" customFormat="1" ht="25.5" customHeight="1">
      <c r="A5" s="14" t="s">
        <v>334</v>
      </c>
      <c r="B5" s="15" t="s">
        <v>335</v>
      </c>
      <c r="C5" s="16" t="s">
        <v>336</v>
      </c>
      <c r="D5" s="1913">
        <f>1.12368*(ROUND(0.03%*C3,0))</f>
        <v>12784.10736</v>
      </c>
      <c r="E5" s="1914" t="s">
        <v>337</v>
      </c>
      <c r="F5" s="1915"/>
      <c r="G5" s="1912"/>
    </row>
    <row r="6" spans="1:7" s="9" customFormat="1" ht="33.75" customHeight="1">
      <c r="A6" s="1916" t="s">
        <v>338</v>
      </c>
      <c r="B6" s="1917">
        <f>IF(B3&lt;=20000000,12,15)</f>
        <v>15</v>
      </c>
      <c r="C6" s="1918" t="s">
        <v>339</v>
      </c>
      <c r="G6" s="1912"/>
    </row>
    <row r="7" spans="1:7" s="9" customFormat="1" ht="30.75" customHeight="1">
      <c r="A7" s="10" t="s">
        <v>340</v>
      </c>
      <c r="B7" s="1919" t="s">
        <v>341</v>
      </c>
      <c r="C7" s="1920">
        <f>ROUNDUP((3*C3)/(B6),0)</f>
        <v>7584691</v>
      </c>
      <c r="D7" s="30" t="s">
        <v>342</v>
      </c>
      <c r="E7" s="1921" t="e">
        <f>'Schedule-A'!#REF!</f>
        <v>#REF!</v>
      </c>
      <c r="F7" s="1922" t="e">
        <f>'Schedule-A'!#REF!</f>
        <v>#REF!</v>
      </c>
      <c r="G7" s="1912"/>
    </row>
    <row r="8" spans="1:7" s="9" customFormat="1" ht="29.25" customHeight="1">
      <c r="A8" s="10" t="s">
        <v>343</v>
      </c>
      <c r="B8" s="9" t="s">
        <v>344</v>
      </c>
      <c r="C8" s="1920">
        <f>ROUNDUP(50%*C3*12/B6,0)</f>
        <v>15169381</v>
      </c>
      <c r="G8" s="1912"/>
    </row>
    <row r="9" spans="1:7" s="9" customFormat="1" ht="19.5" customHeight="1">
      <c r="A9" s="10" t="s">
        <v>345</v>
      </c>
      <c r="B9" s="9" t="s">
        <v>330</v>
      </c>
      <c r="C9" s="1920">
        <f>C3</f>
        <v>37923452</v>
      </c>
      <c r="G9" s="1912"/>
    </row>
    <row r="10" spans="1:7" s="9" customFormat="1" ht="24.9" customHeight="1">
      <c r="A10" s="10" t="s">
        <v>346</v>
      </c>
      <c r="B10" s="23" t="s">
        <v>347</v>
      </c>
      <c r="C10" s="1923" t="s">
        <v>348</v>
      </c>
      <c r="D10" s="23"/>
      <c r="G10" s="1912"/>
    </row>
    <row r="11" spans="1:7" s="9" customFormat="1" ht="24.9" customHeight="1">
      <c r="A11" s="10" t="s">
        <v>349</v>
      </c>
      <c r="B11" s="34">
        <v>0</v>
      </c>
      <c r="C11" s="35">
        <f>ROUNDUP(B11*50%*12/B6,0)</f>
        <v>0</v>
      </c>
      <c r="D11" s="23" t="s">
        <v>31</v>
      </c>
      <c r="G11" s="1912"/>
    </row>
    <row r="12" spans="1:7" s="9" customFormat="1" ht="24.9" customHeight="1">
      <c r="A12" s="10" t="s">
        <v>350</v>
      </c>
      <c r="B12" s="34">
        <v>0</v>
      </c>
      <c r="C12" s="35">
        <f>ROUNDUP(B12*50%*12/B6,0)</f>
        <v>0</v>
      </c>
      <c r="D12" s="23" t="s">
        <v>31</v>
      </c>
      <c r="G12" s="1912"/>
    </row>
    <row r="13" spans="1:7" s="9" customFormat="1" ht="24.9" customHeight="1">
      <c r="A13" s="10" t="s">
        <v>351</v>
      </c>
      <c r="B13" s="34">
        <v>0</v>
      </c>
      <c r="C13" s="35">
        <f>ROUNDUP(B13*50%*12/B6,0)</f>
        <v>0</v>
      </c>
      <c r="D13" s="23" t="s">
        <v>31</v>
      </c>
      <c r="G13" s="1912"/>
    </row>
    <row r="14" spans="1:7" s="9" customFormat="1" ht="24.9" customHeight="1">
      <c r="A14" s="10" t="s">
        <v>352</v>
      </c>
      <c r="B14" s="34">
        <v>0</v>
      </c>
      <c r="C14" s="35">
        <f>ROUNDUP(B14*50%*12/B6,0)</f>
        <v>0</v>
      </c>
      <c r="D14" s="23" t="s">
        <v>353</v>
      </c>
      <c r="G14" s="1912"/>
    </row>
    <row r="15" spans="1:7" s="9" customFormat="1" ht="24.9" customHeight="1">
      <c r="A15" s="1924" t="s">
        <v>354</v>
      </c>
      <c r="B15" s="34">
        <v>0</v>
      </c>
      <c r="C15" s="35">
        <f>ROUNDUP(B15*50%*12/B6,0)</f>
        <v>0</v>
      </c>
      <c r="D15" s="23" t="s">
        <v>31</v>
      </c>
      <c r="G15" s="1912"/>
    </row>
    <row r="16" spans="1:7">
      <c r="A16" s="37"/>
      <c r="C16" s="38"/>
    </row>
    <row r="17" spans="1:8">
      <c r="A17" s="10" t="s">
        <v>355</v>
      </c>
      <c r="B17" s="39" t="s">
        <v>356</v>
      </c>
      <c r="C17" s="1925">
        <f>(C9/3)</f>
        <v>12641150.666666666</v>
      </c>
      <c r="D17" s="41">
        <f>C17*0.5</f>
        <v>6320575.333333333</v>
      </c>
      <c r="E17" s="3">
        <f>ROUND(D17*0.1%,0)</f>
        <v>6321</v>
      </c>
    </row>
    <row r="18" spans="1:8">
      <c r="A18" s="10"/>
      <c r="B18" s="39" t="s">
        <v>357</v>
      </c>
      <c r="C18" s="1925">
        <f>2*C17</f>
        <v>25282301.333333332</v>
      </c>
      <c r="D18" s="41">
        <f t="shared" ref="D18:D19" si="0">C18*0.5</f>
        <v>12641150.666666666</v>
      </c>
      <c r="E18" s="3">
        <f t="shared" ref="E18:E19" si="1">ROUND(D18*0.1%,0)</f>
        <v>12641</v>
      </c>
    </row>
    <row r="19" spans="1:8" ht="13.5" customHeight="1">
      <c r="A19" s="10"/>
      <c r="B19" s="39" t="s">
        <v>358</v>
      </c>
      <c r="C19" s="1925">
        <f>3*C17</f>
        <v>37923452</v>
      </c>
      <c r="D19" s="41">
        <f t="shared" si="0"/>
        <v>18961726</v>
      </c>
      <c r="E19" s="3">
        <f t="shared" si="1"/>
        <v>18962</v>
      </c>
    </row>
    <row r="20" spans="1:8" s="9" customFormat="1" ht="24.75" customHeight="1">
      <c r="B20" s="42"/>
      <c r="C20" s="44"/>
      <c r="D20" s="44">
        <f>SUM(D17:D19)</f>
        <v>37923452</v>
      </c>
      <c r="E20" s="23"/>
      <c r="F20" s="45" t="s">
        <v>359</v>
      </c>
      <c r="G20" s="1912" t="s">
        <v>360</v>
      </c>
      <c r="H20" s="44">
        <f>C20*0.5%</f>
        <v>0</v>
      </c>
    </row>
    <row r="21" spans="1:8">
      <c r="A21" s="10" t="s">
        <v>361</v>
      </c>
      <c r="B21" s="39" t="s">
        <v>362</v>
      </c>
      <c r="C21" s="1926">
        <f>ROUND(((C3/3)/1000),0)</f>
        <v>12641</v>
      </c>
      <c r="D21" s="47">
        <f>C21*10%</f>
        <v>1264.1000000000001</v>
      </c>
      <c r="E21" s="48">
        <f>C3/3</f>
        <v>12641150.666666666</v>
      </c>
      <c r="F21" s="49">
        <f>E21*100/100000</f>
        <v>12641.150666666665</v>
      </c>
      <c r="G21" s="1927">
        <f>C21-F21</f>
        <v>-0.1506666666646197</v>
      </c>
    </row>
    <row r="22" spans="1:8">
      <c r="B22" s="39" t="s">
        <v>363</v>
      </c>
      <c r="C22" s="1926">
        <f>C21</f>
        <v>12641</v>
      </c>
      <c r="D22" s="47">
        <f t="shared" ref="D22:D23" si="2">C22*10%</f>
        <v>1264.1000000000001</v>
      </c>
      <c r="E22" s="48">
        <f>E21*2</f>
        <v>25282301.333333332</v>
      </c>
      <c r="F22" s="49">
        <f>E22*100/100000</f>
        <v>25282.301333333329</v>
      </c>
      <c r="G22" s="1927">
        <f>C22-F22</f>
        <v>-12641.301333333329</v>
      </c>
    </row>
    <row r="23" spans="1:8">
      <c r="B23" s="39" t="s">
        <v>364</v>
      </c>
      <c r="C23" s="1926">
        <f>C22</f>
        <v>12641</v>
      </c>
      <c r="D23" s="47">
        <f t="shared" si="2"/>
        <v>1264.1000000000001</v>
      </c>
      <c r="E23" s="48">
        <f>E21*3</f>
        <v>37923452</v>
      </c>
      <c r="F23" s="49">
        <f>E23*100/100000</f>
        <v>37923.451999999997</v>
      </c>
      <c r="G23" s="1927">
        <f>C23-F23</f>
        <v>-25282.451999999997</v>
      </c>
    </row>
    <row r="24" spans="1:8">
      <c r="A24" s="50"/>
      <c r="B24" s="51"/>
      <c r="C24" s="39"/>
      <c r="E24" s="52"/>
      <c r="F24" s="52"/>
    </row>
    <row r="25" spans="1:8" ht="18.75" customHeight="1">
      <c r="B25" s="43" t="s">
        <v>60</v>
      </c>
      <c r="C25" s="53">
        <f>C21*3</f>
        <v>37923</v>
      </c>
      <c r="D25" s="39"/>
      <c r="E25" s="51" t="s">
        <v>365</v>
      </c>
      <c r="F25" s="1928" t="s">
        <v>366</v>
      </c>
      <c r="H25" s="47">
        <f>D17*10%</f>
        <v>632057.53333333333</v>
      </c>
    </row>
    <row r="26" spans="1:8" ht="18.75" customHeight="1">
      <c r="D26" s="39" t="s">
        <v>367</v>
      </c>
      <c r="E26" s="48">
        <f>C3/3</f>
        <v>12641150.666666666</v>
      </c>
      <c r="F26" s="49">
        <f>E26*0.1%</f>
        <v>12641.150666666666</v>
      </c>
      <c r="G26" s="1927">
        <f>C21-F26</f>
        <v>-0.15066666666643869</v>
      </c>
      <c r="H26" s="47">
        <f>D18*10%</f>
        <v>1264115.0666666667</v>
      </c>
    </row>
    <row r="27" spans="1:8" ht="18.75" customHeight="1">
      <c r="D27" s="39" t="s">
        <v>368</v>
      </c>
      <c r="E27" s="48">
        <f>E26*2</f>
        <v>25282301.333333332</v>
      </c>
      <c r="F27" s="49">
        <f>E27*0.1%</f>
        <v>25282.301333333333</v>
      </c>
      <c r="G27" s="1927">
        <f>C22-F27</f>
        <v>-12641.301333333333</v>
      </c>
      <c r="H27" s="47">
        <f>D19*10%</f>
        <v>1896172.6</v>
      </c>
    </row>
    <row r="28" spans="1:8" ht="18.75" customHeight="1">
      <c r="D28" s="39" t="s">
        <v>369</v>
      </c>
      <c r="E28" s="48">
        <f>E26*3</f>
        <v>37923452</v>
      </c>
      <c r="F28" s="49">
        <f>E28*0.1%</f>
        <v>37923.451999999997</v>
      </c>
      <c r="G28" s="1927">
        <f>C23-F28</f>
        <v>-25282.451999999997</v>
      </c>
      <c r="H28" s="47">
        <f>SUM(H25:H27)</f>
        <v>3792345.2</v>
      </c>
    </row>
    <row r="29" spans="1:8" ht="18.75" customHeight="1"/>
  </sheetData>
  <mergeCells count="1">
    <mergeCell ref="A1:G1"/>
  </mergeCells>
  <printOptions headings="1"/>
  <pageMargins left="0.35" right="0.17" top="0.511811023622047" bottom="0.23622047244094499" header="0.511811023622047" footer="0.511811023622047"/>
  <pageSetup paperSize="9" scale="8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0000"/>
  </sheetPr>
  <dimension ref="A1:O35"/>
  <sheetViews>
    <sheetView topLeftCell="C1" zoomScaleSheetLayoutView="100" workbookViewId="0">
      <selection activeCell="K3" sqref="K3:M3"/>
    </sheetView>
  </sheetViews>
  <sheetFormatPr defaultColWidth="8.88671875" defaultRowHeight="15.6"/>
  <cols>
    <col min="1" max="1" width="3.109375" style="311" customWidth="1"/>
    <col min="2" max="2" width="6.5546875" style="311" customWidth="1"/>
    <col min="3" max="3" width="36.6640625" style="311" customWidth="1"/>
    <col min="4" max="4" width="18.6640625" style="311" customWidth="1"/>
    <col min="5" max="5" width="9.44140625" style="311" customWidth="1"/>
    <col min="6" max="6" width="3" style="311" customWidth="1"/>
    <col min="7" max="7" width="7.44140625" style="311" customWidth="1"/>
    <col min="8" max="8" width="19" style="311" customWidth="1"/>
    <col min="9" max="9" width="27.44140625" style="311" customWidth="1"/>
    <col min="10" max="10" width="17.33203125" style="311" customWidth="1"/>
    <col min="11" max="11" width="9" style="311" customWidth="1"/>
    <col min="12" max="12" width="14.44140625" style="311" customWidth="1"/>
    <col min="13" max="13" width="11.33203125" style="311" bestFit="1" customWidth="1"/>
    <col min="14" max="14" width="20.77734375" style="311" customWidth="1"/>
    <col min="15" max="16384" width="8.88671875" style="311"/>
  </cols>
  <sheetData>
    <row r="1" spans="1:15" s="312" customFormat="1" ht="35.4" customHeight="1" thickBot="1">
      <c r="A1" s="351"/>
      <c r="B1" s="3301" t="s">
        <v>370</v>
      </c>
      <c r="C1" s="3301"/>
      <c r="D1" s="1860"/>
      <c r="E1" s="3306" t="s">
        <v>2977</v>
      </c>
      <c r="F1" s="3307"/>
      <c r="G1" s="3307"/>
      <c r="H1" s="3307"/>
      <c r="I1" s="3307"/>
      <c r="J1" s="3308"/>
    </row>
    <row r="2" spans="1:15" s="312" customFormat="1" ht="19.5" customHeight="1">
      <c r="A2" s="351"/>
      <c r="B2" s="1861"/>
      <c r="C2" s="1861"/>
      <c r="D2" s="1861"/>
      <c r="E2" s="1861"/>
      <c r="F2" s="1861"/>
      <c r="G2" s="1861"/>
      <c r="H2" s="3300" t="s">
        <v>371</v>
      </c>
      <c r="I2" s="3300"/>
      <c r="J2" s="3300"/>
      <c r="K2" s="314" t="s">
        <v>372</v>
      </c>
      <c r="L2" s="314" t="s">
        <v>373</v>
      </c>
      <c r="M2" s="314" t="s">
        <v>374</v>
      </c>
    </row>
    <row r="3" spans="1:15" s="312" customFormat="1" ht="35.25" customHeight="1">
      <c r="A3" s="351"/>
      <c r="B3" s="1862">
        <v>1</v>
      </c>
      <c r="C3" s="1863" t="s">
        <v>375</v>
      </c>
      <c r="D3" s="2203" t="s">
        <v>2732</v>
      </c>
      <c r="E3" s="2078" t="s">
        <v>2719</v>
      </c>
      <c r="F3" s="1864"/>
      <c r="G3" s="351"/>
      <c r="H3" s="1865" t="s">
        <v>376</v>
      </c>
      <c r="I3" s="3302" t="str">
        <f>"G.O.Rt.No."&amp;K3&amp;"  dt: "&amp;L3&amp;" of PR &amp; RD(Roads) Dept."</f>
        <v>G.O.Rt.No.309  dt: 28.11.2024 of PR &amp; RD(Roads) Dept.</v>
      </c>
      <c r="J3" s="3302"/>
      <c r="K3" s="2210">
        <v>309</v>
      </c>
      <c r="L3" s="2211" t="s">
        <v>2738</v>
      </c>
      <c r="M3" s="2076">
        <v>167</v>
      </c>
    </row>
    <row r="4" spans="1:15" s="312" customFormat="1" ht="32.25" customHeight="1">
      <c r="A4" s="351"/>
      <c r="B4" s="1862">
        <v>2</v>
      </c>
      <c r="C4" s="1863" t="s">
        <v>377</v>
      </c>
      <c r="D4" s="2203" t="s">
        <v>2733</v>
      </c>
      <c r="F4" s="1864"/>
      <c r="G4" s="351"/>
      <c r="H4" s="1865" t="s">
        <v>378</v>
      </c>
      <c r="I4" s="1884" t="s">
        <v>379</v>
      </c>
      <c r="J4" s="2201">
        <v>500</v>
      </c>
      <c r="K4" s="2080">
        <v>800</v>
      </c>
      <c r="L4" s="1885" t="s">
        <v>380</v>
      </c>
    </row>
    <row r="5" spans="1:15" s="312" customFormat="1" ht="34.5" customHeight="1">
      <c r="A5" s="351"/>
      <c r="B5" s="1862">
        <v>3</v>
      </c>
      <c r="C5" s="1863" t="s">
        <v>381</v>
      </c>
      <c r="D5" s="2203" t="s">
        <v>2733</v>
      </c>
      <c r="F5" s="1864"/>
      <c r="G5" s="351"/>
      <c r="H5" s="1865" t="s">
        <v>382</v>
      </c>
      <c r="I5" s="1884" t="s">
        <v>383</v>
      </c>
      <c r="J5" s="2197"/>
      <c r="K5" s="2079"/>
      <c r="L5" s="1886" t="s">
        <v>384</v>
      </c>
    </row>
    <row r="6" spans="1:15" s="312" customFormat="1" ht="46.8">
      <c r="A6" s="351"/>
      <c r="B6" s="1862">
        <v>4</v>
      </c>
      <c r="C6" s="1863" t="s">
        <v>385</v>
      </c>
      <c r="D6" s="2203" t="s">
        <v>2734</v>
      </c>
      <c r="F6" s="1864"/>
      <c r="G6" s="351"/>
      <c r="H6" s="1865" t="s">
        <v>386</v>
      </c>
      <c r="I6" s="1887" t="s">
        <v>2740</v>
      </c>
      <c r="J6" s="1888" t="str">
        <f>H7&amp;""&amp;I6&amp;"-"&amp;I7</f>
        <v>SDF-2024-25</v>
      </c>
      <c r="K6" s="1889" t="s">
        <v>387</v>
      </c>
      <c r="L6" s="1890">
        <f>M3</f>
        <v>167</v>
      </c>
      <c r="M6" s="313"/>
    </row>
    <row r="7" spans="1:15" s="312" customFormat="1" ht="24" customHeight="1">
      <c r="A7" s="351"/>
      <c r="B7" s="1862">
        <v>5</v>
      </c>
      <c r="C7" s="1863" t="s">
        <v>388</v>
      </c>
      <c r="D7" s="2203" t="s">
        <v>2735</v>
      </c>
      <c r="F7" s="1864"/>
      <c r="G7" s="351"/>
      <c r="H7" s="1866"/>
      <c r="I7" s="1866" t="s">
        <v>2691</v>
      </c>
      <c r="J7" s="1891"/>
      <c r="K7" s="1892"/>
      <c r="L7" s="1892"/>
      <c r="M7" s="1893"/>
    </row>
    <row r="8" spans="1:15">
      <c r="A8" s="352"/>
      <c r="B8" s="352"/>
      <c r="C8" s="352"/>
      <c r="D8" s="352"/>
      <c r="E8" s="352"/>
      <c r="F8" s="352"/>
      <c r="G8" s="352"/>
      <c r="H8" s="352"/>
      <c r="I8" s="352"/>
      <c r="J8" s="352"/>
      <c r="K8" s="1894"/>
    </row>
    <row r="9" spans="1:15">
      <c r="A9" s="352"/>
      <c r="B9" s="3303" t="s">
        <v>389</v>
      </c>
      <c r="C9" s="3304"/>
      <c r="D9" s="3304"/>
      <c r="E9" s="3305"/>
      <c r="F9" s="361"/>
      <c r="G9" s="3298" t="s">
        <v>390</v>
      </c>
      <c r="H9" s="3298"/>
      <c r="I9" s="3298"/>
      <c r="J9" s="3298"/>
      <c r="K9" s="1894"/>
      <c r="O9" s="1895"/>
    </row>
    <row r="10" spans="1:15" s="312" customFormat="1" ht="34.5" customHeight="1">
      <c r="A10" s="351"/>
      <c r="B10" s="1862" t="s">
        <v>391</v>
      </c>
      <c r="C10" s="1862" t="s">
        <v>392</v>
      </c>
      <c r="D10" s="1862" t="s">
        <v>393</v>
      </c>
      <c r="E10" s="1862" t="s">
        <v>394</v>
      </c>
      <c r="F10" s="1861"/>
      <c r="G10" s="3296" t="s">
        <v>395</v>
      </c>
      <c r="H10" s="3297"/>
      <c r="I10" s="1896" t="s">
        <v>396</v>
      </c>
      <c r="J10" s="3299" t="s">
        <v>397</v>
      </c>
      <c r="K10" s="1897"/>
      <c r="O10" s="1895"/>
    </row>
    <row r="11" spans="1:15" ht="18.75" customHeight="1">
      <c r="A11" s="352"/>
      <c r="B11" s="357">
        <v>1</v>
      </c>
      <c r="C11" s="356" t="s">
        <v>398</v>
      </c>
      <c r="D11" s="2203" t="s">
        <v>2736</v>
      </c>
      <c r="E11" s="2202">
        <v>48</v>
      </c>
      <c r="F11" s="352"/>
      <c r="G11" s="1862" t="s">
        <v>391</v>
      </c>
      <c r="H11" s="1862" t="s">
        <v>399</v>
      </c>
      <c r="I11" s="1862" t="s">
        <v>392</v>
      </c>
      <c r="J11" s="3300"/>
      <c r="N11" s="1898"/>
      <c r="O11" s="1895"/>
    </row>
    <row r="12" spans="1:15" ht="18.75" customHeight="1">
      <c r="A12" s="352"/>
      <c r="B12" s="357">
        <v>2</v>
      </c>
      <c r="C12" s="1867" t="s">
        <v>400</v>
      </c>
      <c r="D12" s="2203" t="str">
        <f>D11</f>
        <v>MBNR(Palkonda)</v>
      </c>
      <c r="E12" s="2202">
        <f>E11</f>
        <v>48</v>
      </c>
      <c r="F12" s="352"/>
      <c r="G12" s="1868"/>
      <c r="H12" s="1869"/>
      <c r="I12" s="1868"/>
      <c r="J12" s="1899"/>
      <c r="L12" s="360"/>
      <c r="M12" s="359" t="s">
        <v>2635</v>
      </c>
      <c r="N12" s="1898" t="s">
        <v>2973</v>
      </c>
      <c r="O12" s="1895"/>
    </row>
    <row r="13" spans="1:15" ht="18.75" customHeight="1">
      <c r="A13" s="352"/>
      <c r="B13" s="357">
        <v>3</v>
      </c>
      <c r="C13" s="356" t="s">
        <v>401</v>
      </c>
      <c r="D13" s="2203" t="s">
        <v>2737</v>
      </c>
      <c r="E13" s="2202">
        <f>66+12</f>
        <v>78</v>
      </c>
      <c r="F13" s="352"/>
      <c r="G13" s="1868"/>
      <c r="H13" s="1869"/>
      <c r="I13" s="1868"/>
      <c r="J13" s="1899"/>
      <c r="L13" s="359" t="s">
        <v>1380</v>
      </c>
      <c r="M13" s="359">
        <f>ROUND(N13/10.76,0)</f>
        <v>7</v>
      </c>
      <c r="N13" s="1898">
        <v>70</v>
      </c>
    </row>
    <row r="14" spans="1:15" ht="18.75" customHeight="1">
      <c r="A14" s="352"/>
      <c r="B14" s="357">
        <v>4</v>
      </c>
      <c r="C14" s="356" t="s">
        <v>402</v>
      </c>
      <c r="D14" s="2200" t="s">
        <v>403</v>
      </c>
      <c r="E14" s="2202">
        <v>5</v>
      </c>
      <c r="F14" s="352"/>
      <c r="G14" s="355">
        <v>1</v>
      </c>
      <c r="H14" s="2111">
        <v>45627</v>
      </c>
      <c r="I14" s="2077" t="s">
        <v>404</v>
      </c>
      <c r="J14" s="2110">
        <v>43582</v>
      </c>
      <c r="L14" s="358" t="s">
        <v>2974</v>
      </c>
      <c r="M14" s="358"/>
      <c r="N14" s="1898">
        <v>120</v>
      </c>
    </row>
    <row r="15" spans="1:15" ht="18.75" customHeight="1">
      <c r="A15" s="352"/>
      <c r="B15" s="357">
        <v>5</v>
      </c>
      <c r="C15" s="356" t="s">
        <v>405</v>
      </c>
      <c r="D15" s="2200" t="s">
        <v>403</v>
      </c>
      <c r="E15" s="2202">
        <v>10</v>
      </c>
      <c r="F15" s="352"/>
      <c r="G15" s="355">
        <v>2</v>
      </c>
      <c r="H15" s="2209">
        <f>H14</f>
        <v>45627</v>
      </c>
      <c r="I15" s="2077" t="s">
        <v>406</v>
      </c>
      <c r="J15" s="2110">
        <v>74996</v>
      </c>
      <c r="M15" s="311" t="s">
        <v>2979</v>
      </c>
      <c r="N15" s="3086">
        <f>GA!E19</f>
        <v>912007</v>
      </c>
    </row>
    <row r="16" spans="1:15" ht="18.75" customHeight="1">
      <c r="A16" s="352"/>
      <c r="B16" s="357">
        <v>6</v>
      </c>
      <c r="C16" s="356" t="s">
        <v>407</v>
      </c>
      <c r="D16" s="2203" t="s">
        <v>2739</v>
      </c>
      <c r="E16" s="2202">
        <f>84</f>
        <v>84</v>
      </c>
      <c r="F16" s="352"/>
      <c r="G16" s="355">
        <v>3</v>
      </c>
      <c r="H16" s="2209">
        <f>H15</f>
        <v>45627</v>
      </c>
      <c r="I16" s="2077" t="s">
        <v>408</v>
      </c>
      <c r="J16" s="2110">
        <v>41736</v>
      </c>
      <c r="N16" s="1898"/>
    </row>
    <row r="17" spans="1:15" ht="18.75" customHeight="1">
      <c r="A17" s="352"/>
      <c r="B17" s="1870">
        <v>7</v>
      </c>
      <c r="C17" s="315" t="s">
        <v>409</v>
      </c>
      <c r="D17" s="2199" t="str">
        <f>D12</f>
        <v>MBNR(Palkonda)</v>
      </c>
      <c r="E17" s="2202">
        <f>E12</f>
        <v>48</v>
      </c>
      <c r="F17" s="352"/>
      <c r="G17" s="352"/>
      <c r="H17" s="1871"/>
      <c r="I17" s="352"/>
      <c r="J17" s="1900"/>
      <c r="N17" s="1898"/>
    </row>
    <row r="18" spans="1:15" ht="18.75" customHeight="1">
      <c r="A18" s="352"/>
      <c r="B18" s="1870">
        <v>8</v>
      </c>
      <c r="C18" s="315" t="s">
        <v>410</v>
      </c>
      <c r="D18" s="2199"/>
      <c r="E18" s="2202">
        <v>5</v>
      </c>
      <c r="F18" s="352"/>
      <c r="G18" s="352"/>
      <c r="H18" s="1871"/>
      <c r="I18" s="352"/>
      <c r="J18" s="1901"/>
      <c r="N18" s="1898"/>
    </row>
    <row r="19" spans="1:15" ht="46.8">
      <c r="A19" s="352"/>
      <c r="B19" s="357">
        <v>9</v>
      </c>
      <c r="C19" s="1872" t="s">
        <v>411</v>
      </c>
      <c r="D19" s="2198" t="s">
        <v>403</v>
      </c>
      <c r="E19" s="2202">
        <v>5</v>
      </c>
      <c r="F19" s="352"/>
      <c r="G19" s="352"/>
      <c r="H19" s="1873" t="s">
        <v>412</v>
      </c>
      <c r="I19" s="2100" t="s">
        <v>2741</v>
      </c>
      <c r="J19" s="2212" t="s">
        <v>2742</v>
      </c>
      <c r="N19" s="1898"/>
      <c r="O19" s="1902"/>
    </row>
    <row r="20" spans="1:15" ht="22.2" customHeight="1">
      <c r="A20" s="352"/>
      <c r="B20" s="357">
        <v>10</v>
      </c>
      <c r="C20" s="1872" t="s">
        <v>413</v>
      </c>
      <c r="D20" s="2200" t="s">
        <v>595</v>
      </c>
      <c r="E20" s="2202">
        <v>650</v>
      </c>
      <c r="F20" s="352"/>
      <c r="G20" s="352"/>
      <c r="H20" s="1874"/>
      <c r="I20" s="1903"/>
      <c r="J20" s="1901"/>
      <c r="N20" s="1898"/>
      <c r="O20" s="1902"/>
    </row>
    <row r="21" spans="1:15" ht="20.399999999999999" customHeight="1">
      <c r="A21" s="352"/>
      <c r="B21" s="357">
        <v>11</v>
      </c>
      <c r="C21" s="1875" t="s">
        <v>414</v>
      </c>
      <c r="D21" s="2200" t="str">
        <f>D11</f>
        <v>MBNR(Palkonda)</v>
      </c>
      <c r="E21" s="2202">
        <f>E12</f>
        <v>48</v>
      </c>
      <c r="F21" s="352"/>
      <c r="G21" s="352"/>
      <c r="H21" s="1871"/>
      <c r="I21" s="352"/>
      <c r="J21" s="1901"/>
      <c r="N21" s="1898"/>
    </row>
    <row r="22" spans="1:15">
      <c r="A22" s="352"/>
      <c r="B22" s="3298" t="s">
        <v>415</v>
      </c>
      <c r="C22" s="3298"/>
      <c r="D22" s="3298"/>
      <c r="E22" s="3298"/>
      <c r="F22" s="352"/>
      <c r="G22" s="3298" t="s">
        <v>416</v>
      </c>
      <c r="H22" s="3298"/>
      <c r="I22" s="3298"/>
      <c r="J22" s="352"/>
      <c r="N22" s="1898"/>
    </row>
    <row r="23" spans="1:15" ht="23.25" customHeight="1">
      <c r="A23" s="352"/>
      <c r="B23" s="357">
        <v>1</v>
      </c>
      <c r="C23" s="355" t="s">
        <v>417</v>
      </c>
      <c r="D23" s="1876">
        <v>0</v>
      </c>
      <c r="F23" s="352"/>
      <c r="G23" s="1877" t="s">
        <v>391</v>
      </c>
      <c r="H23" s="1877" t="s">
        <v>392</v>
      </c>
      <c r="I23" s="1877" t="s">
        <v>418</v>
      </c>
      <c r="J23" s="352"/>
      <c r="N23" s="1898"/>
    </row>
    <row r="24" spans="1:15" s="312" customFormat="1" ht="34.5" customHeight="1">
      <c r="A24" s="351"/>
      <c r="B24" s="314">
        <v>2</v>
      </c>
      <c r="C24" s="1878" t="s">
        <v>419</v>
      </c>
      <c r="D24" s="1879">
        <v>0.13614999999999999</v>
      </c>
      <c r="E24" s="1880">
        <v>0.1</v>
      </c>
      <c r="F24" s="351"/>
      <c r="G24" s="353">
        <v>1</v>
      </c>
      <c r="H24" s="1881" t="str">
        <f>"Cement, "&amp;I19&amp;""</f>
        <v>Cement, NOV' 2024</v>
      </c>
      <c r="I24" s="2213">
        <v>5000</v>
      </c>
      <c r="J24" s="1904"/>
      <c r="K24" s="1905"/>
      <c r="L24" s="311"/>
      <c r="M24" s="311"/>
      <c r="N24" s="1898"/>
    </row>
    <row r="25" spans="1:15" s="312" customFormat="1" ht="34.5" customHeight="1">
      <c r="A25" s="351"/>
      <c r="B25" s="353">
        <v>3</v>
      </c>
      <c r="C25" s="354" t="s">
        <v>420</v>
      </c>
      <c r="D25" s="2196">
        <v>0.19614999999999999</v>
      </c>
      <c r="F25" s="351"/>
      <c r="G25" s="353">
        <v>2</v>
      </c>
      <c r="H25" s="1881" t="str">
        <f>"Steel HYSD-Fe-500 Bars, "&amp;I19&amp;""</f>
        <v>Steel HYSD-Fe-500 Bars, NOV' 2024</v>
      </c>
      <c r="I25" s="2213">
        <v>49000</v>
      </c>
      <c r="J25" s="351"/>
      <c r="K25" s="1906"/>
      <c r="L25" s="311"/>
      <c r="M25" s="311"/>
      <c r="N25" s="1898"/>
    </row>
    <row r="26" spans="1:15" s="312" customFormat="1" ht="31.2">
      <c r="A26" s="351"/>
      <c r="B26" s="357">
        <v>4</v>
      </c>
      <c r="C26" s="1862" t="s">
        <v>421</v>
      </c>
      <c r="D26" s="1876" t="s">
        <v>422</v>
      </c>
      <c r="E26" s="1882"/>
      <c r="F26" s="351"/>
      <c r="G26" s="353">
        <v>3</v>
      </c>
      <c r="H26" s="1881" t="str">
        <f>"Mild Steel Bars, "&amp;I19&amp;""</f>
        <v>Mild Steel Bars, NOV' 2024</v>
      </c>
      <c r="I26" s="2213">
        <v>60000</v>
      </c>
      <c r="J26" s="351"/>
      <c r="L26" s="311"/>
      <c r="M26" s="311"/>
      <c r="N26" s="1898"/>
    </row>
    <row r="27" spans="1:15" s="312" customFormat="1" ht="31.2">
      <c r="A27" s="351"/>
      <c r="B27" s="351"/>
      <c r="C27" s="351"/>
      <c r="D27" s="351"/>
      <c r="E27" s="351"/>
      <c r="F27" s="351"/>
      <c r="G27" s="353">
        <v>4</v>
      </c>
      <c r="H27" s="1881" t="str">
        <f>"6mm M.S. Rods, "&amp;I19&amp;""</f>
        <v>6mm M.S. Rods, NOV' 2024</v>
      </c>
      <c r="I27" s="2213">
        <v>55000</v>
      </c>
      <c r="J27" s="351"/>
      <c r="L27" s="311"/>
      <c r="M27" s="311"/>
      <c r="N27" s="1898"/>
    </row>
    <row r="28" spans="1:15">
      <c r="N28" s="1898"/>
    </row>
    <row r="29" spans="1:15">
      <c r="N29" s="1898"/>
    </row>
    <row r="31" spans="1:15">
      <c r="D31" s="1883"/>
    </row>
    <row r="32" spans="1:15">
      <c r="D32" s="1883"/>
    </row>
    <row r="33" spans="4:4">
      <c r="D33" s="1883"/>
    </row>
    <row r="35" spans="4:4">
      <c r="D35" s="1883"/>
    </row>
  </sheetData>
  <protectedRanges>
    <protectedRange password="CC6F" sqref="B17:C18" name="Range1"/>
    <protectedRange password="CC6F" sqref="D17" name="Range1_2"/>
    <protectedRange password="CC6F" sqref="D18" name="Range1_1_1"/>
  </protectedRanges>
  <mergeCells count="10">
    <mergeCell ref="G10:H10"/>
    <mergeCell ref="B22:E22"/>
    <mergeCell ref="G22:I22"/>
    <mergeCell ref="J10:J11"/>
    <mergeCell ref="B1:C1"/>
    <mergeCell ref="H2:J2"/>
    <mergeCell ref="I3:J3"/>
    <mergeCell ref="B9:E9"/>
    <mergeCell ref="G9:J9"/>
    <mergeCell ref="E1:J1"/>
  </mergeCells>
  <printOptions horizontalCentered="1"/>
  <pageMargins left="0.5" right="0.25" top="0.5" bottom="0.5" header="0.3" footer="0.3"/>
  <pageSetup paperSize="9" scale="71" orientation="landscape" r:id="rId1"/>
  <rowBreaks count="1" manualBreakCount="1">
    <brk id="27"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37"/>
  <sheetViews>
    <sheetView view="pageBreakPreview" topLeftCell="A21" workbookViewId="0">
      <selection activeCell="H29" sqref="H29:P29"/>
    </sheetView>
  </sheetViews>
  <sheetFormatPr defaultColWidth="9.109375" defaultRowHeight="13.2"/>
  <cols>
    <col min="1" max="5" width="5.33203125" style="2979" customWidth="1"/>
    <col min="6" max="6" width="7.33203125" style="2979" customWidth="1"/>
    <col min="7" max="7" width="5.33203125" style="2979" customWidth="1"/>
    <col min="8" max="10" width="4.6640625" style="2979" customWidth="1"/>
    <col min="11" max="15" width="5.33203125" style="2979" customWidth="1"/>
    <col min="16" max="16" width="6.88671875" style="2979" customWidth="1"/>
    <col min="17" max="17" width="5.33203125" style="2979" customWidth="1"/>
    <col min="18" max="21" width="1.5546875" style="2979" customWidth="1"/>
    <col min="22" max="35" width="2.6640625" style="2979" customWidth="1"/>
    <col min="36" max="16384" width="9.109375" style="2979"/>
  </cols>
  <sheetData>
    <row r="1" spans="2:36" ht="25.5" customHeight="1"/>
    <row r="2" spans="2:36" ht="25.5" customHeight="1"/>
    <row r="3" spans="2:36" ht="25.5" customHeight="1">
      <c r="B3" s="2980"/>
      <c r="C3" s="3312" t="s">
        <v>423</v>
      </c>
      <c r="D3" s="3312"/>
      <c r="E3" s="3312"/>
      <c r="F3" s="3312"/>
      <c r="G3" s="3312"/>
      <c r="H3" s="3312"/>
      <c r="I3" s="3312"/>
      <c r="J3" s="3312"/>
      <c r="K3" s="3312"/>
      <c r="L3" s="3312"/>
      <c r="M3" s="3312"/>
      <c r="N3" s="3312"/>
      <c r="O3" s="3312"/>
      <c r="P3" s="2980"/>
      <c r="Q3" s="2980"/>
    </row>
    <row r="4" spans="2:36" ht="30">
      <c r="B4" s="2980"/>
      <c r="C4" s="3312"/>
      <c r="D4" s="3312"/>
      <c r="E4" s="3312"/>
      <c r="F4" s="3312"/>
      <c r="G4" s="3312"/>
      <c r="H4" s="3312"/>
      <c r="I4" s="3312"/>
      <c r="J4" s="3312"/>
      <c r="K4" s="3312"/>
      <c r="L4" s="3312"/>
      <c r="M4" s="3312"/>
      <c r="N4" s="3312"/>
      <c r="O4" s="3312"/>
      <c r="P4" s="2980"/>
      <c r="Q4" s="2980"/>
      <c r="AJ4" s="2981"/>
    </row>
    <row r="5" spans="2:36" ht="12.75" customHeight="1">
      <c r="B5" s="2982"/>
      <c r="C5" s="3312"/>
      <c r="D5" s="3312"/>
      <c r="E5" s="3312"/>
      <c r="F5" s="3312"/>
      <c r="G5" s="3312"/>
      <c r="H5" s="3312"/>
      <c r="I5" s="3312"/>
      <c r="J5" s="3312"/>
      <c r="K5" s="3312"/>
      <c r="L5" s="3312"/>
      <c r="M5" s="3312"/>
      <c r="N5" s="3312"/>
      <c r="O5" s="3312"/>
      <c r="P5" s="2982"/>
      <c r="Q5" s="2982"/>
    </row>
    <row r="6" spans="2:36" ht="40.5" customHeight="1">
      <c r="B6" s="2982"/>
      <c r="C6" s="2982"/>
      <c r="D6" s="2982"/>
      <c r="E6" s="2982"/>
      <c r="F6" s="2982"/>
      <c r="G6" s="2982"/>
      <c r="H6" s="2982"/>
      <c r="I6" s="2982"/>
      <c r="J6" s="2982"/>
      <c r="K6" s="2982"/>
      <c r="L6" s="2982"/>
      <c r="M6" s="2982"/>
      <c r="N6" s="2982"/>
      <c r="O6" s="2982"/>
      <c r="P6" s="2982"/>
      <c r="Q6" s="2982"/>
    </row>
    <row r="7" spans="2:36" ht="25.5" customHeight="1">
      <c r="B7" s="2982"/>
      <c r="C7" s="3313" t="s">
        <v>424</v>
      </c>
      <c r="D7" s="3313"/>
      <c r="E7" s="3313"/>
      <c r="F7" s="3313"/>
      <c r="G7" s="3313"/>
      <c r="H7" s="3313"/>
      <c r="I7" s="3313"/>
      <c r="J7" s="3313"/>
      <c r="K7" s="3313"/>
      <c r="L7" s="3313"/>
      <c r="M7" s="3313"/>
      <c r="N7" s="3313"/>
      <c r="O7" s="3313"/>
      <c r="P7" s="2982"/>
      <c r="Q7" s="2982"/>
    </row>
    <row r="8" spans="2:36" ht="30" customHeight="1">
      <c r="B8" s="2982"/>
      <c r="C8" s="3313"/>
      <c r="D8" s="3313"/>
      <c r="E8" s="3313"/>
      <c r="F8" s="3313"/>
      <c r="G8" s="3313"/>
      <c r="H8" s="3313"/>
      <c r="I8" s="3313"/>
      <c r="J8" s="3313"/>
      <c r="K8" s="3313"/>
      <c r="L8" s="3313"/>
      <c r="M8" s="3313"/>
      <c r="N8" s="3313"/>
      <c r="O8" s="3313"/>
      <c r="P8" s="2982"/>
      <c r="Q8" s="2982"/>
    </row>
    <row r="9" spans="2:36" ht="3" hidden="1" customHeight="1">
      <c r="B9" s="2982"/>
      <c r="C9" s="3313"/>
      <c r="D9" s="3313"/>
      <c r="E9" s="3313"/>
      <c r="F9" s="3313"/>
      <c r="G9" s="3313"/>
      <c r="H9" s="3313"/>
      <c r="I9" s="3313"/>
      <c r="J9" s="3313"/>
      <c r="K9" s="3313"/>
      <c r="L9" s="3313"/>
      <c r="M9" s="3313"/>
      <c r="N9" s="3313"/>
      <c r="O9" s="3313"/>
      <c r="P9" s="2982"/>
      <c r="Q9" s="2982"/>
    </row>
    <row r="10" spans="2:36" ht="6.75" customHeight="1">
      <c r="B10" s="2982"/>
      <c r="C10" s="2982"/>
      <c r="D10" s="2983"/>
      <c r="E10" s="2983"/>
      <c r="F10" s="2983"/>
      <c r="G10" s="2983"/>
      <c r="H10" s="2983"/>
      <c r="I10" s="2983"/>
      <c r="J10" s="2983"/>
      <c r="K10" s="2983"/>
      <c r="L10" s="2983"/>
      <c r="M10" s="2983"/>
      <c r="N10" s="2983"/>
      <c r="O10" s="2982"/>
      <c r="P10" s="2982"/>
      <c r="Q10" s="2982"/>
    </row>
    <row r="11" spans="2:36" ht="15" customHeight="1">
      <c r="B11" s="2984"/>
      <c r="C11" s="2985"/>
      <c r="D11" s="2984"/>
      <c r="E11" s="2984"/>
      <c r="F11" s="2984"/>
      <c r="G11" s="2984"/>
      <c r="H11" s="2984"/>
      <c r="I11" s="2983"/>
      <c r="J11" s="3315"/>
      <c r="K11" s="3315"/>
      <c r="L11" s="3315"/>
      <c r="M11" s="3315"/>
      <c r="N11" s="2984"/>
      <c r="O11" s="2984"/>
      <c r="P11" s="2984"/>
      <c r="Q11" s="2982"/>
    </row>
    <row r="12" spans="2:36" ht="12" customHeight="1">
      <c r="B12" s="2984"/>
      <c r="D12" s="2984"/>
      <c r="E12" s="2984"/>
      <c r="F12" s="2984"/>
      <c r="G12" s="2984"/>
      <c r="H12" s="2984"/>
      <c r="K12" s="2984"/>
      <c r="L12" s="2984"/>
      <c r="M12" s="2984"/>
      <c r="N12" s="2984"/>
      <c r="O12" s="2984"/>
      <c r="P12" s="2984"/>
      <c r="Q12" s="2982"/>
    </row>
    <row r="13" spans="2:36" ht="15.75" customHeight="1">
      <c r="B13" s="2984"/>
      <c r="C13" s="2984"/>
      <c r="D13" s="2984"/>
      <c r="E13" s="2984"/>
      <c r="F13" s="2984"/>
      <c r="G13" s="2984"/>
      <c r="H13" s="2984"/>
      <c r="I13" s="2984"/>
      <c r="J13" s="2984"/>
      <c r="K13" s="2984"/>
      <c r="L13" s="2984"/>
      <c r="M13" s="2984"/>
      <c r="N13" s="2984"/>
      <c r="O13" s="2984"/>
      <c r="P13" s="2984"/>
    </row>
    <row r="14" spans="2:36" ht="37.5" customHeight="1">
      <c r="B14" s="2984"/>
      <c r="C14" s="3316" t="s">
        <v>425</v>
      </c>
      <c r="D14" s="3316"/>
      <c r="E14" s="3316"/>
      <c r="F14" s="3316"/>
      <c r="G14" s="3316"/>
      <c r="H14" s="3316"/>
      <c r="I14" s="2983" t="s">
        <v>426</v>
      </c>
      <c r="J14" s="3317" t="str">
        <f>'Input Data'!J6</f>
        <v>SDF-2024-25</v>
      </c>
      <c r="K14" s="3318"/>
      <c r="L14" s="3318"/>
      <c r="M14" s="3318"/>
      <c r="N14" s="3318"/>
      <c r="O14" s="3318"/>
      <c r="P14" s="3318"/>
    </row>
    <row r="15" spans="2:36" ht="15.75" customHeight="1">
      <c r="B15" s="2984"/>
      <c r="C15" s="2984"/>
      <c r="D15" s="2984"/>
      <c r="E15" s="2984"/>
      <c r="F15" s="2984"/>
      <c r="G15" s="2984"/>
      <c r="H15" s="2984"/>
      <c r="I15" s="2984"/>
      <c r="J15" s="2984"/>
      <c r="K15" s="2984"/>
      <c r="L15" s="2984"/>
      <c r="M15" s="2984"/>
      <c r="N15" s="2984"/>
      <c r="O15" s="2984"/>
      <c r="P15" s="2984"/>
    </row>
    <row r="16" spans="2:36" ht="25.5" customHeight="1">
      <c r="B16" s="2986"/>
      <c r="C16" s="2987" t="s">
        <v>427</v>
      </c>
      <c r="D16" s="2986"/>
      <c r="E16" s="2986"/>
      <c r="F16" s="2986"/>
      <c r="G16" s="2984"/>
      <c r="H16" s="2984"/>
      <c r="I16" s="2988"/>
      <c r="J16" s="2988"/>
      <c r="K16" s="2988"/>
      <c r="L16" s="2988"/>
      <c r="M16" s="2988"/>
      <c r="N16" s="2988"/>
      <c r="O16" s="2988"/>
      <c r="P16" s="2989"/>
      <c r="Q16" s="2989"/>
    </row>
    <row r="17" spans="3:18" ht="24.75" customHeight="1">
      <c r="C17" s="3314" t="str">
        <f>'Input Data'!E1</f>
        <v>C/o HLB on R/F Amlikunta to Gundumal of Gundumal Mandal of Narayanept District.</v>
      </c>
      <c r="D17" s="3314"/>
      <c r="E17" s="3314"/>
      <c r="F17" s="3314"/>
      <c r="G17" s="3314"/>
      <c r="H17" s="3314"/>
      <c r="I17" s="3314"/>
      <c r="J17" s="3314"/>
      <c r="K17" s="3314"/>
      <c r="L17" s="3314"/>
      <c r="M17" s="3314"/>
      <c r="N17" s="3314"/>
      <c r="O17" s="3314"/>
      <c r="P17" s="3314"/>
      <c r="Q17" s="2989"/>
    </row>
    <row r="18" spans="3:18" ht="48.75" customHeight="1">
      <c r="C18" s="3314"/>
      <c r="D18" s="3314"/>
      <c r="E18" s="3314"/>
      <c r="F18" s="3314"/>
      <c r="G18" s="3314"/>
      <c r="H18" s="3314"/>
      <c r="I18" s="3314"/>
      <c r="J18" s="3314"/>
      <c r="K18" s="3314"/>
      <c r="L18" s="3314"/>
      <c r="M18" s="3314"/>
      <c r="N18" s="3314"/>
      <c r="O18" s="3314"/>
      <c r="P18" s="3314"/>
      <c r="Q18" s="2989"/>
    </row>
    <row r="19" spans="3:18" ht="24.6" hidden="1">
      <c r="C19" s="3314"/>
      <c r="D19" s="3314"/>
      <c r="E19" s="3314"/>
      <c r="F19" s="3314"/>
      <c r="G19" s="3314"/>
      <c r="H19" s="3314"/>
      <c r="I19" s="3314"/>
      <c r="J19" s="3314"/>
      <c r="K19" s="3314"/>
      <c r="L19" s="3314"/>
      <c r="M19" s="3314"/>
      <c r="N19" s="3314"/>
      <c r="O19" s="3314"/>
      <c r="P19" s="3314"/>
      <c r="Q19" s="2989"/>
    </row>
    <row r="20" spans="3:18" ht="39.75" hidden="1" customHeight="1">
      <c r="C20" s="3314"/>
      <c r="D20" s="3314"/>
      <c r="E20" s="3314"/>
      <c r="F20" s="3314"/>
      <c r="G20" s="3314"/>
      <c r="H20" s="3314"/>
      <c r="I20" s="3314"/>
      <c r="J20" s="3314"/>
      <c r="K20" s="3314"/>
      <c r="L20" s="3314"/>
      <c r="M20" s="3314"/>
      <c r="N20" s="3314"/>
      <c r="O20" s="3314"/>
      <c r="P20" s="3314"/>
      <c r="Q20" s="2989"/>
      <c r="R20" s="2989"/>
    </row>
    <row r="21" spans="3:18" ht="25.5" customHeight="1">
      <c r="D21" s="2988"/>
      <c r="E21" s="2988"/>
      <c r="F21" s="2988"/>
      <c r="G21" s="2988"/>
      <c r="H21" s="2988"/>
      <c r="I21" s="2988"/>
      <c r="J21" s="2988"/>
      <c r="K21" s="2988"/>
      <c r="L21" s="2988"/>
      <c r="M21" s="2988"/>
      <c r="N21" s="2988"/>
      <c r="O21" s="2988"/>
      <c r="P21" s="2988"/>
      <c r="Q21" s="2989"/>
      <c r="R21" s="2989"/>
    </row>
    <row r="22" spans="3:18" s="2990" customFormat="1" ht="25.5" customHeight="1">
      <c r="D22" s="3310" t="s">
        <v>428</v>
      </c>
      <c r="E22" s="3310"/>
      <c r="F22" s="3310"/>
      <c r="G22" s="3310"/>
      <c r="H22" s="3310"/>
      <c r="I22" s="3310"/>
      <c r="J22" s="3310"/>
      <c r="K22" s="2991" t="s">
        <v>426</v>
      </c>
      <c r="L22" s="2992" t="s">
        <v>429</v>
      </c>
      <c r="M22" s="3311">
        <f>'Input Data'!K4</f>
        <v>800</v>
      </c>
      <c r="N22" s="3311"/>
      <c r="O22" s="2993" t="s">
        <v>329</v>
      </c>
      <c r="P22" s="2994"/>
      <c r="Q22" s="2995"/>
      <c r="R22" s="2995"/>
    </row>
    <row r="23" spans="3:18" s="2990" customFormat="1" ht="25.5" hidden="1" customHeight="1">
      <c r="C23" s="2996"/>
      <c r="D23" s="3310" t="s">
        <v>430</v>
      </c>
      <c r="E23" s="3310"/>
      <c r="F23" s="3310"/>
      <c r="G23" s="3310"/>
      <c r="H23" s="3310"/>
      <c r="I23" s="3310"/>
      <c r="J23" s="3310"/>
      <c r="K23" s="2991" t="s">
        <v>426</v>
      </c>
      <c r="L23" s="3311">
        <f>'Input Data'!K5</f>
        <v>0</v>
      </c>
      <c r="M23" s="3311"/>
      <c r="N23" s="2992" t="s">
        <v>394</v>
      </c>
      <c r="O23" s="2996"/>
      <c r="P23" s="2996"/>
      <c r="Q23" s="2996"/>
    </row>
    <row r="24" spans="3:18" ht="25.5" customHeight="1">
      <c r="C24" s="2997"/>
      <c r="N24" s="2997"/>
      <c r="O24" s="2998"/>
      <c r="P24" s="2999"/>
      <c r="Q24" s="2999"/>
    </row>
    <row r="25" spans="3:18" ht="30" customHeight="1">
      <c r="C25" s="3309" t="s">
        <v>431</v>
      </c>
      <c r="D25" s="3309"/>
      <c r="E25" s="3309"/>
      <c r="F25" s="3309"/>
      <c r="G25" s="3000" t="s">
        <v>432</v>
      </c>
      <c r="H25" s="3309" t="str">
        <f>'Input Data'!D3</f>
        <v>Vikarabad</v>
      </c>
      <c r="I25" s="3309"/>
      <c r="J25" s="3309"/>
      <c r="K25" s="3309"/>
      <c r="L25" s="3309"/>
      <c r="M25" s="3309"/>
      <c r="N25" s="3309"/>
      <c r="O25" s="3309"/>
      <c r="P25" s="3309"/>
      <c r="Q25" s="3001"/>
    </row>
    <row r="26" spans="3:18" ht="30" customHeight="1">
      <c r="C26" s="3309" t="s">
        <v>377</v>
      </c>
      <c r="D26" s="3309"/>
      <c r="E26" s="3309"/>
      <c r="F26" s="3309"/>
      <c r="G26" s="3000" t="s">
        <v>432</v>
      </c>
      <c r="H26" s="3309" t="str">
        <f>'Input Data'!D4</f>
        <v>Narayanpet</v>
      </c>
      <c r="I26" s="3309"/>
      <c r="J26" s="3309"/>
      <c r="K26" s="3309"/>
      <c r="L26" s="3309"/>
      <c r="M26" s="3309"/>
      <c r="N26" s="3309"/>
      <c r="O26" s="3309"/>
      <c r="P26" s="3309"/>
      <c r="Q26" s="3001"/>
    </row>
    <row r="27" spans="3:18" ht="30" customHeight="1">
      <c r="C27" s="3309" t="s">
        <v>381</v>
      </c>
      <c r="D27" s="3309"/>
      <c r="E27" s="3309"/>
      <c r="F27" s="3309"/>
      <c r="G27" s="3000" t="s">
        <v>432</v>
      </c>
      <c r="H27" s="3309" t="str">
        <f>'Input Data'!D5</f>
        <v>Narayanpet</v>
      </c>
      <c r="I27" s="3309"/>
      <c r="J27" s="3309"/>
      <c r="K27" s="3309"/>
      <c r="L27" s="3309"/>
      <c r="M27" s="3309"/>
      <c r="N27" s="3309"/>
      <c r="O27" s="3309"/>
      <c r="P27" s="3002"/>
      <c r="Q27" s="3001"/>
    </row>
    <row r="28" spans="3:18" ht="30" customHeight="1">
      <c r="C28" s="3309" t="s">
        <v>385</v>
      </c>
      <c r="D28" s="3309"/>
      <c r="E28" s="3309"/>
      <c r="F28" s="3309"/>
      <c r="G28" s="3000" t="s">
        <v>432</v>
      </c>
      <c r="H28" s="3309" t="str">
        <f>'Input Data'!D6</f>
        <v>Maddur</v>
      </c>
      <c r="I28" s="3309"/>
      <c r="J28" s="3309"/>
      <c r="K28" s="3309"/>
      <c r="L28" s="3309"/>
      <c r="M28" s="3309"/>
      <c r="N28" s="3309"/>
      <c r="O28" s="3309"/>
      <c r="P28" s="3003"/>
      <c r="Q28" s="3001"/>
    </row>
    <row r="29" spans="3:18" ht="30" customHeight="1">
      <c r="C29" s="3309" t="s">
        <v>388</v>
      </c>
      <c r="D29" s="3309"/>
      <c r="E29" s="3309"/>
      <c r="F29" s="3309"/>
      <c r="G29" s="3000" t="s">
        <v>432</v>
      </c>
      <c r="H29" s="3309" t="str">
        <f>'Input Data'!D7</f>
        <v>Kosgi</v>
      </c>
      <c r="I29" s="3309"/>
      <c r="J29" s="3309"/>
      <c r="K29" s="3309"/>
      <c r="L29" s="3309"/>
      <c r="M29" s="3309"/>
      <c r="N29" s="3309"/>
      <c r="O29" s="3309"/>
      <c r="P29" s="3309"/>
      <c r="Q29" s="3001"/>
    </row>
    <row r="30" spans="3:18" ht="25.5" customHeight="1">
      <c r="C30" s="3001"/>
      <c r="D30" s="3001"/>
      <c r="E30" s="3001"/>
      <c r="F30" s="3001"/>
      <c r="G30" s="3001"/>
      <c r="H30" s="3001"/>
      <c r="I30" s="3001"/>
      <c r="J30" s="3001"/>
      <c r="K30" s="3001"/>
      <c r="L30" s="3001"/>
      <c r="M30" s="3001"/>
      <c r="N30" s="3001"/>
      <c r="O30" s="3001"/>
      <c r="P30" s="3001"/>
      <c r="Q30" s="3001"/>
    </row>
    <row r="31" spans="3:18" ht="25.5" customHeight="1">
      <c r="C31" s="3001"/>
      <c r="D31" s="3001"/>
      <c r="E31" s="3001"/>
      <c r="F31" s="3001"/>
      <c r="G31" s="3001"/>
      <c r="H31" s="3001"/>
      <c r="I31" s="3001"/>
      <c r="J31" s="3001"/>
      <c r="K31" s="3001"/>
      <c r="L31" s="3001"/>
      <c r="M31" s="3001"/>
      <c r="N31" s="3001"/>
      <c r="O31" s="3001"/>
      <c r="P31" s="3001"/>
      <c r="Q31" s="3001"/>
    </row>
    <row r="37" spans="8:8">
      <c r="H37" s="3004"/>
    </row>
  </sheetData>
  <mergeCells count="20">
    <mergeCell ref="C3:O5"/>
    <mergeCell ref="C7:O9"/>
    <mergeCell ref="C17:P20"/>
    <mergeCell ref="C27:F27"/>
    <mergeCell ref="H27:O27"/>
    <mergeCell ref="J11:M11"/>
    <mergeCell ref="C14:H14"/>
    <mergeCell ref="J14:P14"/>
    <mergeCell ref="D22:J22"/>
    <mergeCell ref="M22:N22"/>
    <mergeCell ref="C28:F28"/>
    <mergeCell ref="H28:O28"/>
    <mergeCell ref="C29:F29"/>
    <mergeCell ref="H29:P29"/>
    <mergeCell ref="D23:J23"/>
    <mergeCell ref="L23:M23"/>
    <mergeCell ref="C25:F25"/>
    <mergeCell ref="H25:P25"/>
    <mergeCell ref="C26:F26"/>
    <mergeCell ref="H26:P26"/>
  </mergeCells>
  <printOptions horizontalCentered="1"/>
  <pageMargins left="0.75138888888888899" right="0.30277777777777798" top="0.89305555555555505" bottom="0.5" header="0.5" footer="0.5"/>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filterMode="1">
    <tabColor indexed="14"/>
  </sheetPr>
  <dimension ref="A1:AD199"/>
  <sheetViews>
    <sheetView view="pageBreakPreview" topLeftCell="A154" workbookViewId="0">
      <selection activeCell="F156" sqref="F156:G156"/>
    </sheetView>
  </sheetViews>
  <sheetFormatPr defaultColWidth="8" defaultRowHeight="14.4"/>
  <cols>
    <col min="1" max="1" width="4.33203125" style="1572" customWidth="1"/>
    <col min="2" max="2" width="12" style="1563" customWidth="1"/>
    <col min="3" max="3" width="8" style="1563" customWidth="1"/>
    <col min="4" max="4" width="11" style="1563" customWidth="1"/>
    <col min="5" max="5" width="15.44140625" style="1563" customWidth="1"/>
    <col min="6" max="6" width="9.5546875" style="1572" customWidth="1"/>
    <col min="7" max="7" width="10.33203125" style="1572" customWidth="1"/>
    <col min="8" max="8" width="15" style="1563" customWidth="1"/>
    <col min="9" max="9" width="12.44140625" style="1563" customWidth="1"/>
    <col min="10" max="10" width="13.33203125" style="1563" customWidth="1"/>
    <col min="11" max="11" width="12.109375" style="1565" customWidth="1"/>
    <col min="12" max="12" width="19.44140625" style="1563" customWidth="1"/>
    <col min="13" max="13" width="15.109375" style="1563" customWidth="1"/>
    <col min="14" max="14" width="12.33203125" style="1563" customWidth="1"/>
    <col min="15" max="15" width="11.5546875" style="1563" customWidth="1"/>
    <col min="16" max="16" width="12.6640625" style="1563" customWidth="1"/>
    <col min="17" max="17" width="4.109375" style="1563" customWidth="1"/>
    <col min="18" max="18" width="3.88671875" style="1563" customWidth="1"/>
    <col min="19" max="16384" width="8" style="1563"/>
  </cols>
  <sheetData>
    <row r="1" spans="1:21" ht="20.25" customHeight="1">
      <c r="A1" s="1573"/>
      <c r="B1" s="3331" t="s">
        <v>433</v>
      </c>
      <c r="C1" s="3332"/>
      <c r="D1" s="3332"/>
      <c r="E1" s="3332"/>
      <c r="F1" s="3332"/>
      <c r="G1" s="3332"/>
      <c r="H1" s="3332"/>
      <c r="I1" s="3332"/>
      <c r="J1" s="3332"/>
      <c r="K1" s="1565" t="s">
        <v>434</v>
      </c>
      <c r="L1" s="1617" t="str">
        <f>'Input Data'!D3</f>
        <v>Vikarabad</v>
      </c>
      <c r="P1" s="1618" t="s">
        <v>435</v>
      </c>
      <c r="Q1" s="1712"/>
      <c r="R1" s="1713"/>
    </row>
    <row r="2" spans="1:21" ht="20.25" customHeight="1">
      <c r="A2" s="1574"/>
      <c r="B2" s="3333" t="str">
        <f>"Note file.No. "&amp;$L$2</f>
        <v>Note file.No. AE-DEE-Kosgi-KMM-SDF-2024-25</v>
      </c>
      <c r="C2" s="3334"/>
      <c r="D2" s="3334"/>
      <c r="E2" s="3334"/>
      <c r="F2" s="3334"/>
      <c r="G2" s="3334"/>
      <c r="H2" s="3334"/>
      <c r="I2" s="3334"/>
      <c r="J2" s="3334"/>
      <c r="L2" s="1617" t="str">
        <f>"AE-DEE-"&amp;'Input Data'!D7&amp;"-"&amp;N4</f>
        <v>AE-DEE-Kosgi-KMM-SDF-2024-25</v>
      </c>
      <c r="P2" s="1619" t="s">
        <v>2630</v>
      </c>
      <c r="Q2" s="1714"/>
      <c r="R2" s="1715"/>
    </row>
    <row r="3" spans="1:21" ht="48.75" customHeight="1">
      <c r="A3" s="1574" t="s">
        <v>85</v>
      </c>
      <c r="B3" s="1575" t="s">
        <v>436</v>
      </c>
      <c r="C3" s="3335" t="str">
        <f>"PR Circle: "&amp;L1&amp;" - "&amp;$L$7&amp;" Dist"&amp;'Input Data'!J6&amp;" - "&amp;$L$3&amp;"- Estt.Cost.Rs."&amp;$L$4&amp;".00 Lakhs Detailed estimates Submitted for Technical Sanction - regarding"</f>
        <v>PR Circle: Vikarabad - Narayanpet DistSDF-2024-25 - C/o HLB on R/F Amlikunta to Gundumal of Gundumal Mandal of Narayanept District.- Estt.Cost.Rs.500.00 Lakhs Detailed estimates Submitted for Technical Sanction - regarding</v>
      </c>
      <c r="D3" s="3336"/>
      <c r="E3" s="3336"/>
      <c r="F3" s="3336"/>
      <c r="G3" s="3336"/>
      <c r="H3" s="3336"/>
      <c r="I3" s="3336"/>
      <c r="J3" s="3336"/>
      <c r="K3" s="1620" t="s">
        <v>437</v>
      </c>
      <c r="L3" s="1621" t="str">
        <f>'Input Data'!E1</f>
        <v>C/o HLB on R/F Amlikunta to Gundumal of Gundumal Mandal of Narayanept District.</v>
      </c>
      <c r="M3" s="1622"/>
      <c r="N3" s="1623"/>
      <c r="O3" s="1623"/>
      <c r="P3" s="1624"/>
    </row>
    <row r="4" spans="1:21" ht="25.5" customHeight="1">
      <c r="A4" s="3479"/>
      <c r="B4" s="3480" t="s">
        <v>438</v>
      </c>
      <c r="C4" s="3337" t="str">
        <f>"1)."&amp;'Input Data'!I3&amp;"."</f>
        <v>1).G.O.Rt.No.309  dt: 28.11.2024 of PR &amp; RD(Roads) Dept..</v>
      </c>
      <c r="D4" s="3337"/>
      <c r="E4" s="3337"/>
      <c r="F4" s="3337"/>
      <c r="G4" s="3337"/>
      <c r="H4" s="3337"/>
      <c r="I4" s="3337"/>
      <c r="J4" s="3337"/>
      <c r="K4" s="1625" t="s">
        <v>439</v>
      </c>
      <c r="L4" s="1626">
        <f>'Input Data'!J4</f>
        <v>500</v>
      </c>
      <c r="M4" s="1627" t="s">
        <v>440</v>
      </c>
      <c r="N4" s="1628" t="str">
        <f>'Input Data'!E3&amp;"-"&amp;'Input Data'!J6&amp;""</f>
        <v>KMM-SDF-2024-25</v>
      </c>
      <c r="O4" s="1629"/>
      <c r="Q4" s="1716">
        <f>'Input Data'!L6</f>
        <v>167</v>
      </c>
    </row>
    <row r="5" spans="1:21" ht="24" customHeight="1">
      <c r="A5" s="3479"/>
      <c r="B5" s="3481"/>
      <c r="C5" s="3337" t="str">
        <f>"2). SE,PR,"&amp;$L$1&amp;$O$7</f>
        <v>2). SE,PR,Vikarabad vide Lr.No.T4/CRR/Wanaparthy/22 Dt: 06.09.2022</v>
      </c>
      <c r="D5" s="3337"/>
      <c r="E5" s="3337"/>
      <c r="F5" s="3337"/>
      <c r="G5" s="3337"/>
      <c r="H5" s="3337"/>
      <c r="I5" s="3337"/>
      <c r="J5" s="3337"/>
      <c r="K5" s="1625" t="s">
        <v>388</v>
      </c>
      <c r="L5" s="1630" t="str">
        <f>'Input Data'!D7</f>
        <v>Kosgi</v>
      </c>
      <c r="M5" s="1631" t="s">
        <v>441</v>
      </c>
      <c r="N5" s="1632">
        <f>'Input Data'!J5</f>
        <v>0</v>
      </c>
      <c r="O5" s="3338"/>
      <c r="P5" s="3338"/>
      <c r="Q5" s="3338"/>
      <c r="R5" s="3338"/>
    </row>
    <row r="6" spans="1:21" s="1564" customFormat="1" ht="20.25" hidden="1" customHeight="1">
      <c r="A6" s="1576"/>
      <c r="B6" s="1577"/>
      <c r="C6" s="3339" t="s">
        <v>442</v>
      </c>
      <c r="D6" s="3340"/>
      <c r="E6" s="3340"/>
      <c r="F6" s="3340"/>
      <c r="G6" s="3340"/>
      <c r="H6" s="3340"/>
      <c r="I6" s="3340"/>
      <c r="J6" s="3341"/>
      <c r="K6" s="1633"/>
      <c r="L6" s="1634"/>
      <c r="M6" s="1635"/>
      <c r="N6" s="1636"/>
      <c r="O6" s="1637"/>
      <c r="P6" s="1637"/>
      <c r="Q6" s="1637"/>
      <c r="R6" s="1637"/>
    </row>
    <row r="7" spans="1:21" ht="15.75" customHeight="1">
      <c r="A7" s="1574"/>
      <c r="B7" s="3342"/>
      <c r="C7" s="3343"/>
      <c r="D7" s="3343"/>
      <c r="E7" s="3344" t="s">
        <v>443</v>
      </c>
      <c r="F7" s="3343"/>
      <c r="G7" s="3343"/>
      <c r="H7" s="3343"/>
      <c r="I7" s="3343"/>
      <c r="J7" s="3345"/>
      <c r="K7" s="1638" t="s">
        <v>444</v>
      </c>
      <c r="L7" s="1630" t="str">
        <f>'Input Data'!D4</f>
        <v>Narayanpet</v>
      </c>
      <c r="M7" s="1639" t="s">
        <v>445</v>
      </c>
      <c r="N7" s="1640">
        <f>'Input Data'!K5</f>
        <v>0</v>
      </c>
      <c r="O7" s="1641" t="s">
        <v>2592</v>
      </c>
      <c r="P7" s="1642"/>
      <c r="Q7" s="1642"/>
      <c r="R7" s="1642"/>
      <c r="T7" s="1717"/>
    </row>
    <row r="8" spans="1:21" ht="26.25" customHeight="1">
      <c r="A8" s="1574"/>
      <c r="B8" s="3321" t="s">
        <v>446</v>
      </c>
      <c r="C8" s="3322"/>
      <c r="D8" s="3322"/>
      <c r="E8" s="3322"/>
      <c r="F8" s="3322"/>
      <c r="G8" s="3322"/>
      <c r="H8" s="3322"/>
      <c r="I8" s="3322"/>
      <c r="J8" s="3323"/>
      <c r="K8" s="1638" t="s">
        <v>447</v>
      </c>
      <c r="L8" s="1643" t="str">
        <f>"P.R."&amp;'Input Data'!D5</f>
        <v>P.R.Narayanpet</v>
      </c>
      <c r="M8" s="1644"/>
      <c r="N8" s="1645"/>
      <c r="O8" s="1646"/>
      <c r="P8" s="1646"/>
      <c r="Q8" s="1646"/>
      <c r="R8" s="1718"/>
      <c r="T8" s="1719"/>
    </row>
    <row r="9" spans="1:21" ht="51.75" customHeight="1">
      <c r="A9" s="1578"/>
      <c r="B9" s="3324" t="s">
        <v>2629</v>
      </c>
      <c r="C9" s="3325"/>
      <c r="D9" s="3325"/>
      <c r="E9" s="3325"/>
      <c r="F9" s="3325"/>
      <c r="G9" s="3325"/>
      <c r="H9" s="3325"/>
      <c r="I9" s="3325"/>
      <c r="J9" s="3326"/>
      <c r="K9" s="1638" t="s">
        <v>448</v>
      </c>
      <c r="L9" s="1647">
        <f>ROUND(GA!E20/100000,2)</f>
        <v>500</v>
      </c>
      <c r="M9" s="1648"/>
      <c r="N9" s="1649"/>
      <c r="O9" s="1649"/>
      <c r="P9" s="1649"/>
      <c r="Q9" s="1649"/>
      <c r="R9" s="1649"/>
    </row>
    <row r="10" spans="1:21" ht="28.5" customHeight="1">
      <c r="A10" s="1579">
        <v>1</v>
      </c>
      <c r="B10" s="3327" t="s">
        <v>449</v>
      </c>
      <c r="C10" s="3328"/>
      <c r="D10" s="3329"/>
      <c r="E10" s="1579" t="s">
        <v>426</v>
      </c>
      <c r="F10" s="3319" t="str">
        <f>'Input Data'!D4</f>
        <v>Narayanpet</v>
      </c>
      <c r="G10" s="3319"/>
      <c r="H10" s="3319"/>
      <c r="I10" s="3319"/>
      <c r="J10" s="3319"/>
      <c r="K10" s="1650" t="s">
        <v>450</v>
      </c>
      <c r="L10" s="1651">
        <f>'Schedule-A'!H52</f>
        <v>37923452</v>
      </c>
      <c r="M10" s="1652"/>
      <c r="N10" s="1653"/>
      <c r="O10" s="3330"/>
      <c r="P10" s="3330"/>
      <c r="Q10" s="3330"/>
      <c r="R10" s="3330"/>
      <c r="S10" s="1720"/>
      <c r="T10" s="1720"/>
      <c r="U10" s="1720"/>
    </row>
    <row r="11" spans="1:21" ht="28.5" customHeight="1">
      <c r="A11" s="1579">
        <v>2</v>
      </c>
      <c r="B11" s="3327" t="s">
        <v>451</v>
      </c>
      <c r="C11" s="3328"/>
      <c r="D11" s="3329"/>
      <c r="E11" s="1579" t="s">
        <v>426</v>
      </c>
      <c r="F11" s="3319" t="str">
        <f>L8</f>
        <v>P.R.Narayanpet</v>
      </c>
      <c r="G11" s="3319"/>
      <c r="H11" s="3319"/>
      <c r="I11" s="3319"/>
      <c r="J11" s="3319"/>
      <c r="K11" s="1650" t="s">
        <v>452</v>
      </c>
      <c r="L11" s="1651" t="e">
        <f>'Schedule-A'!#REF!</f>
        <v>#REF!</v>
      </c>
      <c r="M11" s="1648"/>
      <c r="N11" s="1649"/>
      <c r="O11" s="1649"/>
      <c r="P11" s="1649"/>
      <c r="Q11" s="1649"/>
      <c r="R11" s="1649"/>
      <c r="S11" s="1720"/>
      <c r="T11" s="1720"/>
      <c r="U11" s="1720"/>
    </row>
    <row r="12" spans="1:21" ht="28.5" customHeight="1">
      <c r="A12" s="1579">
        <v>3</v>
      </c>
      <c r="B12" s="3327" t="s">
        <v>453</v>
      </c>
      <c r="C12" s="3328"/>
      <c r="D12" s="3329"/>
      <c r="E12" s="1579" t="s">
        <v>426</v>
      </c>
      <c r="F12" s="3319" t="str">
        <f>L5</f>
        <v>Kosgi</v>
      </c>
      <c r="G12" s="3319"/>
      <c r="H12" s="3319"/>
      <c r="I12" s="3319"/>
      <c r="J12" s="3319"/>
      <c r="K12" s="1654" t="s">
        <v>330</v>
      </c>
      <c r="L12" s="1655" t="e">
        <f>CEILING(SUM(L10:L11),1)</f>
        <v>#REF!</v>
      </c>
      <c r="M12" s="1656" t="e">
        <f>L13-L12</f>
        <v>#REF!</v>
      </c>
      <c r="N12" s="1649"/>
      <c r="O12" s="1649"/>
      <c r="P12" s="1649"/>
      <c r="Q12" s="1649"/>
      <c r="R12" s="1649"/>
      <c r="S12" s="1721"/>
      <c r="T12" s="1721"/>
      <c r="U12" s="1721"/>
    </row>
    <row r="13" spans="1:21" ht="50.25" customHeight="1">
      <c r="A13" s="1579">
        <v>4</v>
      </c>
      <c r="B13" s="3319" t="s">
        <v>437</v>
      </c>
      <c r="C13" s="3319"/>
      <c r="D13" s="3319"/>
      <c r="E13" s="1579" t="s">
        <v>426</v>
      </c>
      <c r="F13" s="3320" t="str">
        <f>L3</f>
        <v>C/o HLB on R/F Amlikunta to Gundumal of Gundumal Mandal of Narayanept District.</v>
      </c>
      <c r="G13" s="3320"/>
      <c r="H13" s="3320"/>
      <c r="I13" s="3320"/>
      <c r="J13" s="3320"/>
      <c r="K13" s="1657"/>
      <c r="L13" s="1658">
        <f>'Schedule-A'!H53</f>
        <v>37923452</v>
      </c>
      <c r="M13" s="1659" t="s">
        <v>454</v>
      </c>
      <c r="N13" s="1649"/>
      <c r="O13" s="1649"/>
      <c r="P13" s="1649"/>
      <c r="Q13" s="1649"/>
      <c r="R13" s="1649"/>
      <c r="S13" s="1721"/>
      <c r="T13" s="1721"/>
      <c r="U13" s="1721"/>
    </row>
    <row r="14" spans="1:21" ht="33.75" customHeight="1">
      <c r="A14" s="1579">
        <v>5</v>
      </c>
      <c r="B14" s="3320" t="s">
        <v>455</v>
      </c>
      <c r="C14" s="3320"/>
      <c r="D14" s="3320"/>
      <c r="E14" s="1579" t="s">
        <v>426</v>
      </c>
      <c r="F14" s="3320" t="str">
        <f>'Input Data'!I3</f>
        <v>G.O.Rt.No.309  dt: 28.11.2024 of PR &amp; RD(Roads) Dept.</v>
      </c>
      <c r="G14" s="3320"/>
      <c r="H14" s="3320"/>
      <c r="I14" s="3320"/>
      <c r="J14" s="3320"/>
      <c r="K14" s="1660"/>
      <c r="L14" s="1660"/>
      <c r="M14" s="1661"/>
      <c r="N14" s="1660">
        <f>7.5*3</f>
        <v>22.5</v>
      </c>
      <c r="O14" s="1660">
        <f>2*7.5*3</f>
        <v>45</v>
      </c>
      <c r="P14" s="1660"/>
      <c r="Q14" s="1660"/>
      <c r="R14" s="1660"/>
      <c r="S14" s="1660"/>
      <c r="T14" s="1660"/>
      <c r="U14" s="1660"/>
    </row>
    <row r="15" spans="1:21" ht="22.95" customHeight="1">
      <c r="A15" s="1579">
        <v>6</v>
      </c>
      <c r="B15" s="3319" t="s">
        <v>456</v>
      </c>
      <c r="C15" s="3319"/>
      <c r="D15" s="3319"/>
      <c r="E15" s="1579" t="s">
        <v>426</v>
      </c>
      <c r="F15" s="3319" t="str">
        <f>'Input Data'!J6</f>
        <v>SDF-2024-25</v>
      </c>
      <c r="G15" s="3319"/>
      <c r="H15" s="3319"/>
      <c r="I15" s="3319"/>
      <c r="J15" s="3319"/>
      <c r="K15" s="1662"/>
      <c r="L15" s="1572"/>
      <c r="N15" s="1563">
        <f>(0.91+0.76)/2</f>
        <v>0.83499999999999996</v>
      </c>
      <c r="O15" s="1563">
        <f>2.7/2</f>
        <v>1.35</v>
      </c>
    </row>
    <row r="16" spans="1:21">
      <c r="A16" s="1579">
        <v>7</v>
      </c>
      <c r="B16" s="3319" t="s">
        <v>457</v>
      </c>
      <c r="C16" s="3319"/>
      <c r="D16" s="3319"/>
      <c r="E16" s="1579" t="s">
        <v>426</v>
      </c>
      <c r="F16" s="3346">
        <f>L4</f>
        <v>500</v>
      </c>
      <c r="G16" s="3346"/>
      <c r="H16" s="3346"/>
      <c r="I16" s="3346"/>
      <c r="J16" s="3346"/>
      <c r="K16" s="1662"/>
      <c r="L16" s="1565"/>
      <c r="M16" s="1565"/>
      <c r="N16" s="1565">
        <f>N14*N15</f>
        <v>18.787499999999998</v>
      </c>
      <c r="O16" s="1565">
        <f>O14*O15</f>
        <v>60.750000000000007</v>
      </c>
      <c r="P16" s="1663"/>
    </row>
    <row r="17" spans="1:28">
      <c r="A17" s="1583">
        <v>8</v>
      </c>
      <c r="B17" s="3347" t="s">
        <v>445</v>
      </c>
      <c r="C17" s="3347"/>
      <c r="D17" s="3347"/>
      <c r="E17" s="1583" t="s">
        <v>426</v>
      </c>
      <c r="F17" s="3348">
        <f>'Input Data'!J5</f>
        <v>0</v>
      </c>
      <c r="G17" s="3348"/>
      <c r="H17" s="3348"/>
      <c r="I17" s="3348"/>
      <c r="J17" s="3348"/>
      <c r="K17" s="1664">
        <f>F17*3</f>
        <v>0</v>
      </c>
      <c r="L17" s="1572"/>
    </row>
    <row r="18" spans="1:28">
      <c r="A18" s="1579">
        <v>9</v>
      </c>
      <c r="B18" s="3349" t="s">
        <v>458</v>
      </c>
      <c r="C18" s="3350"/>
      <c r="D18" s="3350"/>
      <c r="E18" s="3350"/>
      <c r="F18" s="3350"/>
      <c r="G18" s="3350"/>
      <c r="H18" s="3350"/>
      <c r="I18" s="3350"/>
      <c r="J18" s="3351"/>
      <c r="K18" s="1662"/>
      <c r="L18" s="1666"/>
      <c r="M18" s="1667"/>
      <c r="N18" s="1667"/>
      <c r="O18" s="1668"/>
      <c r="P18" s="1669"/>
      <c r="Q18" s="1722"/>
      <c r="X18" s="1665"/>
      <c r="Y18" s="1580"/>
      <c r="Z18" s="1581"/>
      <c r="AA18" s="1581"/>
      <c r="AB18" s="1582"/>
    </row>
    <row r="19" spans="1:28" s="1565" customFormat="1">
      <c r="A19" s="3361" t="s">
        <v>459</v>
      </c>
      <c r="B19" s="3361"/>
      <c r="C19" s="3352" t="s">
        <v>453</v>
      </c>
      <c r="D19" s="3353"/>
      <c r="E19" s="3353"/>
      <c r="F19" s="3352" t="s">
        <v>460</v>
      </c>
      <c r="G19" s="3491"/>
      <c r="H19" s="3354" t="s">
        <v>461</v>
      </c>
      <c r="I19" s="3355"/>
      <c r="J19" s="3356"/>
      <c r="K19" s="1662"/>
      <c r="L19" s="1670"/>
      <c r="M19" s="3357"/>
      <c r="N19" s="3357"/>
      <c r="O19" s="3357"/>
      <c r="P19" s="3357"/>
      <c r="Q19" s="3357"/>
      <c r="R19" s="3357"/>
      <c r="S19" s="3357"/>
      <c r="T19" s="3358">
        <v>1505</v>
      </c>
      <c r="U19" s="3358"/>
      <c r="V19" s="3359" t="s">
        <v>462</v>
      </c>
      <c r="W19" s="3359"/>
      <c r="X19" s="3359"/>
      <c r="Y19" s="3359"/>
      <c r="Z19" s="1732"/>
      <c r="AA19" s="1732"/>
      <c r="AB19" s="1733"/>
    </row>
    <row r="20" spans="1:28" s="1565" customFormat="1">
      <c r="A20" s="3361"/>
      <c r="B20" s="3361"/>
      <c r="C20" s="1585"/>
      <c r="D20" s="1586"/>
      <c r="E20" s="1586"/>
      <c r="F20" s="3492"/>
      <c r="G20" s="3493"/>
      <c r="H20" s="1584" t="s">
        <v>463</v>
      </c>
      <c r="I20" s="1584" t="s">
        <v>464</v>
      </c>
      <c r="J20" s="1584" t="s">
        <v>465</v>
      </c>
      <c r="K20" s="1662"/>
      <c r="L20" s="1670"/>
      <c r="M20" s="1671"/>
      <c r="N20" s="1671"/>
      <c r="O20" s="1671"/>
      <c r="P20" s="1671"/>
      <c r="Q20" s="1671"/>
      <c r="R20" s="1671"/>
      <c r="S20" s="1671"/>
      <c r="T20" s="1723"/>
      <c r="U20" s="1723"/>
      <c r="V20" s="1670"/>
      <c r="W20" s="1670"/>
      <c r="X20" s="1670"/>
      <c r="Y20" s="1670"/>
      <c r="Z20" s="1732"/>
      <c r="AA20" s="1732"/>
      <c r="AB20" s="1733"/>
    </row>
    <row r="21" spans="1:28">
      <c r="A21" s="3360">
        <v>1</v>
      </c>
      <c r="B21" s="3360"/>
      <c r="C21" s="3361" t="str">
        <f>SPR!C12</f>
        <v>Kosgi</v>
      </c>
      <c r="D21" s="3361"/>
      <c r="E21" s="3361"/>
      <c r="F21" s="3361" t="str">
        <f>SPR!F12</f>
        <v>Gundumal</v>
      </c>
      <c r="G21" s="3361"/>
      <c r="H21" s="1587">
        <f>SPR!J12</f>
        <v>1237</v>
      </c>
      <c r="I21" s="1587">
        <f>SPR!L12</f>
        <v>47</v>
      </c>
      <c r="J21" s="1587">
        <f>SPR!O12</f>
        <v>12967</v>
      </c>
      <c r="K21" s="1662"/>
      <c r="L21" s="1672"/>
      <c r="M21" s="1673"/>
      <c r="N21" s="1673"/>
      <c r="O21" s="1673"/>
      <c r="P21" s="1673"/>
      <c r="Q21" s="1673"/>
      <c r="R21" s="1673"/>
      <c r="S21" s="1673"/>
      <c r="T21" s="1724"/>
      <c r="U21" s="1724"/>
      <c r="V21" s="1672"/>
      <c r="W21" s="1672"/>
      <c r="X21" s="1672"/>
      <c r="Y21" s="1672"/>
      <c r="Z21" s="1732"/>
      <c r="AA21" s="1732"/>
      <c r="AB21" s="1733"/>
    </row>
    <row r="22" spans="1:28">
      <c r="A22" s="3360">
        <v>2</v>
      </c>
      <c r="B22" s="3360"/>
      <c r="C22" s="3361" t="str">
        <f>SPR!C12</f>
        <v>Kosgi</v>
      </c>
      <c r="D22" s="3361"/>
      <c r="E22" s="3361"/>
      <c r="F22" s="3361" t="str">
        <f>SPR!F13</f>
        <v>Amlikunta</v>
      </c>
      <c r="G22" s="3361"/>
      <c r="H22" s="1587">
        <f>SPR!J13</f>
        <v>301</v>
      </c>
      <c r="I22" s="1587">
        <f>SPR!L13</f>
        <v>0</v>
      </c>
      <c r="J22" s="1587">
        <f>SPR!O13</f>
        <v>958</v>
      </c>
      <c r="K22" s="1662"/>
      <c r="L22" s="1674"/>
      <c r="M22" s="1675"/>
      <c r="N22" s="1675"/>
      <c r="O22" s="1675"/>
      <c r="P22" s="1675"/>
      <c r="Q22" s="1675"/>
      <c r="R22" s="1675"/>
      <c r="S22" s="1675"/>
      <c r="T22" s="1725"/>
      <c r="U22" s="1725"/>
      <c r="V22" s="1674"/>
      <c r="W22" s="1674"/>
      <c r="X22" s="1674"/>
      <c r="Y22" s="1674"/>
      <c r="Z22" s="1734"/>
      <c r="AA22" s="1734"/>
      <c r="AB22" s="1734"/>
    </row>
    <row r="23" spans="1:28">
      <c r="A23" s="3362" t="s">
        <v>60</v>
      </c>
      <c r="B23" s="3363"/>
      <c r="C23" s="3363"/>
      <c r="D23" s="3363"/>
      <c r="E23" s="3363"/>
      <c r="F23" s="3363"/>
      <c r="G23" s="3363"/>
      <c r="H23" s="3364"/>
      <c r="I23" s="3365">
        <f>H21+I21+J21+H22+I22+J22</f>
        <v>15510</v>
      </c>
      <c r="J23" s="3366"/>
      <c r="K23" s="1662"/>
    </row>
    <row r="24" spans="1:28">
      <c r="A24" s="3367" t="str">
        <f>"The true extract of the Inspection report of the SE, PR, "&amp;L1&amp;""&amp;'Inspection Report'!E6&amp;""</f>
        <v>The true extract of the Inspection report of the SE, PR, Vikarabad</v>
      </c>
      <c r="B24" s="3368"/>
      <c r="C24" s="3368"/>
      <c r="D24" s="3368"/>
      <c r="E24" s="3368"/>
      <c r="F24" s="3368"/>
      <c r="G24" s="3368"/>
      <c r="H24" s="3368"/>
      <c r="I24" s="3368"/>
      <c r="J24" s="3369"/>
      <c r="K24" s="1662"/>
    </row>
    <row r="25" spans="1:28">
      <c r="A25" s="3367" t="str">
        <f>'Inspection Report'!C16</f>
        <v>The total length of the Road is 1.000 Km.   The total length is Earthen Surface.  The both sides of the road is of Wet Fields,  Hence Carted Earth is proposed.</v>
      </c>
      <c r="B25" s="3368"/>
      <c r="C25" s="3368"/>
      <c r="D25" s="3368"/>
      <c r="E25" s="3368"/>
      <c r="F25" s="3368"/>
      <c r="G25" s="3368"/>
      <c r="H25" s="3368"/>
      <c r="I25" s="3368"/>
      <c r="J25" s="3369"/>
      <c r="K25" s="1662"/>
    </row>
    <row r="26" spans="1:28" ht="27.75" customHeight="1">
      <c r="A26" s="3367" t="str">
        <f>'Inspection Report'!C17</f>
        <v>Provide  BT From Km 0/0 to 0/800 as per SP-72-2015 with GSB 175mm and Wmm 150mm as per traffic conditions</v>
      </c>
      <c r="B26" s="3368"/>
      <c r="C26" s="3368"/>
      <c r="D26" s="3368"/>
      <c r="E26" s="3368"/>
      <c r="F26" s="3368"/>
      <c r="G26" s="3368"/>
      <c r="H26" s="3368"/>
      <c r="I26" s="3368"/>
      <c r="J26" s="3369"/>
      <c r="K26" s="1662"/>
    </row>
    <row r="27" spans="1:28">
      <c r="A27" s="3367" t="str">
        <f>'Inspection Report'!C18</f>
        <v>Provide  CC M30 with 200 mm thick From  Km 0/800 to 1/00 in Village Portion,with GSB 100mm and WMM 75mm thick as per SP 62-2014</v>
      </c>
      <c r="B27" s="3368"/>
      <c r="C27" s="3368"/>
      <c r="D27" s="3368"/>
      <c r="E27" s="3368"/>
      <c r="F27" s="3368"/>
      <c r="G27" s="3368"/>
      <c r="H27" s="3368"/>
      <c r="I27" s="3368"/>
      <c r="J27" s="3369"/>
      <c r="K27" s="1662"/>
    </row>
    <row r="28" spans="1:28">
      <c r="A28" s="3367" t="str">
        <f>'Inspection Report'!C19</f>
        <v xml:space="preserve">The entire road stretch is passing through BC, Slushy soils and Fertile lands. Therefore Iron Cage Wheel tractors are regularly being passed on the road for cultivation purpose. Providing 20mm thick OGPC cannot be sustained Iron Cage Wheel load of tractors and Bituminous surface will damage due to cutting of edges and penetration of water through it at several places. Hence, Bituminous Concrete of 30mm thick is proposed as a special case to overcome the above problem as the design mix will have more strength than recipe mixes like OGPC and MSS etc., and duly keeping in view of life time of pavement with better performance.  </v>
      </c>
      <c r="B28" s="3368"/>
      <c r="C28" s="3368"/>
      <c r="D28" s="3368"/>
      <c r="E28" s="3368"/>
      <c r="F28" s="3368"/>
      <c r="G28" s="3368"/>
      <c r="H28" s="3368"/>
      <c r="I28" s="3368"/>
      <c r="J28" s="3369"/>
      <c r="K28" s="1662"/>
    </row>
    <row r="29" spans="1:28">
      <c r="A29" s="3367" t="str">
        <f>'Inspection Report'!C20</f>
        <v>CD Works:</v>
      </c>
      <c r="B29" s="3368"/>
      <c r="C29" s="3368"/>
      <c r="D29" s="3368"/>
      <c r="E29" s="3368"/>
      <c r="F29" s="3368"/>
      <c r="G29" s="3368"/>
      <c r="H29" s="3368"/>
      <c r="I29" s="3368"/>
      <c r="J29" s="3369"/>
      <c r="K29" s="1662"/>
    </row>
    <row r="30" spans="1:28">
      <c r="A30" s="3367" t="str">
        <f>'Inspection Report'!C21</f>
        <v>Provide Culvert 2V and 1V of 1000mm dia NP4 Pipes as per field conditions.</v>
      </c>
      <c r="B30" s="3368"/>
      <c r="C30" s="3368"/>
      <c r="D30" s="3368"/>
      <c r="E30" s="3368"/>
      <c r="F30" s="3368"/>
      <c r="G30" s="3368"/>
      <c r="H30" s="3368"/>
      <c r="I30" s="3368"/>
      <c r="J30" s="3369"/>
      <c r="K30" s="1662"/>
    </row>
    <row r="31" spans="1:28">
      <c r="A31" s="3367">
        <f>'Inspection Report'!C22</f>
        <v>0</v>
      </c>
      <c r="B31" s="3368"/>
      <c r="C31" s="3368"/>
      <c r="D31" s="3368"/>
      <c r="E31" s="3368"/>
      <c r="F31" s="3368"/>
      <c r="G31" s="3368"/>
      <c r="H31" s="3368"/>
      <c r="I31" s="3368"/>
      <c r="J31" s="3369"/>
      <c r="K31" s="1662"/>
      <c r="L31" s="1572" t="s">
        <v>466</v>
      </c>
      <c r="M31" s="1572" t="s">
        <v>467</v>
      </c>
      <c r="N31" s="1572" t="s">
        <v>468</v>
      </c>
    </row>
    <row r="32" spans="1:28">
      <c r="A32" s="3367">
        <f>'Inspection Report'!C23</f>
        <v>0</v>
      </c>
      <c r="B32" s="3368"/>
      <c r="C32" s="3368"/>
      <c r="D32" s="3368"/>
      <c r="E32" s="3368"/>
      <c r="F32" s="3368"/>
      <c r="G32" s="3368"/>
      <c r="H32" s="3368"/>
      <c r="I32" s="3368"/>
      <c r="J32" s="3369"/>
      <c r="K32" s="1662"/>
      <c r="L32" s="1676">
        <f>'TRAFF-Count-ESAL-Cal'!N11</f>
        <v>21</v>
      </c>
      <c r="M32" s="1572">
        <f>'ESAL-result'!K16</f>
        <v>3</v>
      </c>
      <c r="N32" s="1677">
        <f>'ESAL-result'!E29/100</f>
        <v>0.04</v>
      </c>
    </row>
    <row r="33" spans="1:28">
      <c r="A33" s="1588">
        <v>10</v>
      </c>
      <c r="B33" s="3370" t="s">
        <v>469</v>
      </c>
      <c r="C33" s="3370"/>
      <c r="D33" s="3370"/>
      <c r="E33" s="3370" t="s">
        <v>470</v>
      </c>
      <c r="F33" s="3370"/>
      <c r="G33" s="3370"/>
      <c r="H33" s="1584" t="s">
        <v>471</v>
      </c>
      <c r="I33" s="1591" t="s">
        <v>472</v>
      </c>
      <c r="J33" s="1591" t="s">
        <v>473</v>
      </c>
      <c r="K33" s="1662"/>
      <c r="L33" s="1678" t="s">
        <v>469</v>
      </c>
      <c r="M33" s="1679"/>
      <c r="N33" s="1679"/>
      <c r="O33" s="1679"/>
      <c r="P33" s="1679"/>
      <c r="Q33" s="1679"/>
      <c r="R33" s="1679"/>
      <c r="S33" s="1679"/>
      <c r="T33" s="1679"/>
      <c r="U33" s="1679"/>
      <c r="V33" s="1679"/>
      <c r="W33" s="1679"/>
      <c r="X33" s="1679"/>
      <c r="Y33" s="1679"/>
      <c r="Z33" s="1735"/>
      <c r="AA33" s="1735"/>
      <c r="AB33" s="1735"/>
    </row>
    <row r="34" spans="1:28" ht="32.25" customHeight="1">
      <c r="A34" s="1587">
        <v>1</v>
      </c>
      <c r="B34" s="3360" t="e">
        <f>SPR!#REF!</f>
        <v>#REF!</v>
      </c>
      <c r="C34" s="3360"/>
      <c r="D34" s="3360"/>
      <c r="E34" s="3371" t="e">
        <f>SPR!#REF!</f>
        <v>#REF!</v>
      </c>
      <c r="F34" s="3372"/>
      <c r="G34" s="3373"/>
      <c r="H34" s="1590" t="e">
        <f>SPR!#REF!</f>
        <v>#REF!</v>
      </c>
      <c r="I34" s="1590" t="e">
        <f>B34</f>
        <v>#REF!</v>
      </c>
      <c r="J34" s="1587" t="s">
        <v>474</v>
      </c>
      <c r="K34" s="1662"/>
      <c r="L34" s="1670"/>
      <c r="M34" s="1680"/>
      <c r="N34" s="1681"/>
      <c r="O34" s="1682"/>
      <c r="P34" s="1680"/>
      <c r="Q34" s="1681"/>
      <c r="R34" s="1681"/>
      <c r="S34" s="1681"/>
      <c r="T34" s="1682"/>
      <c r="U34" s="1680"/>
      <c r="V34" s="1682"/>
      <c r="W34" s="1680"/>
      <c r="X34" s="1681"/>
      <c r="Y34" s="1681"/>
      <c r="Z34" s="1682"/>
      <c r="AA34" s="1735"/>
      <c r="AB34" s="1735"/>
    </row>
    <row r="35" spans="1:28">
      <c r="A35" s="1587">
        <v>2</v>
      </c>
      <c r="B35" s="3360" t="e">
        <f>SPR!#REF!</f>
        <v>#REF!</v>
      </c>
      <c r="C35" s="3360"/>
      <c r="D35" s="3360"/>
      <c r="E35" s="3360" t="e">
        <f>SPR!#REF!</f>
        <v>#REF!</v>
      </c>
      <c r="F35" s="3360"/>
      <c r="G35" s="3360"/>
      <c r="H35" s="1590" t="e">
        <f>SPR!#REF!</f>
        <v>#REF!</v>
      </c>
      <c r="I35" s="1590" t="e">
        <f>B35</f>
        <v>#REF!</v>
      </c>
      <c r="J35" s="1587" t="s">
        <v>475</v>
      </c>
      <c r="K35" s="1662"/>
      <c r="L35" s="1670">
        <f>45+10+40+55+8+20</f>
        <v>178</v>
      </c>
      <c r="M35" s="1680"/>
      <c r="N35" s="1681"/>
      <c r="O35" s="1682"/>
      <c r="P35" s="1680"/>
      <c r="Q35" s="1681"/>
      <c r="R35" s="1681"/>
      <c r="S35" s="1681"/>
      <c r="T35" s="1682"/>
      <c r="U35" s="1680"/>
      <c r="V35" s="1682"/>
      <c r="W35" s="1680"/>
      <c r="X35" s="1681"/>
      <c r="Y35" s="1681"/>
      <c r="Z35" s="1682"/>
      <c r="AA35" s="1735"/>
      <c r="AB35" s="1735"/>
    </row>
    <row r="36" spans="1:28">
      <c r="A36" s="1591"/>
      <c r="B36" s="3374"/>
      <c r="C36" s="3374"/>
      <c r="D36" s="3374"/>
      <c r="E36" s="3375"/>
      <c r="F36" s="3375"/>
      <c r="G36" s="3375"/>
      <c r="H36" s="1592" t="e">
        <f>SUBTOTAL(9,H34:H35)</f>
        <v>#REF!</v>
      </c>
      <c r="I36" s="1591"/>
      <c r="J36" s="1591"/>
      <c r="K36" s="1662"/>
      <c r="L36" s="1683"/>
      <c r="M36" s="3376" t="s">
        <v>60</v>
      </c>
      <c r="N36" s="3376"/>
      <c r="O36" s="3376"/>
      <c r="P36" s="3377" t="s">
        <v>476</v>
      </c>
      <c r="Q36" s="3377"/>
      <c r="R36" s="3377"/>
      <c r="S36" s="3377"/>
      <c r="T36" s="3377"/>
      <c r="U36" s="3377" t="e">
        <f>SUM(#REF!)</f>
        <v>#REF!</v>
      </c>
      <c r="V36" s="3377"/>
      <c r="W36" s="3378"/>
      <c r="X36" s="3379"/>
      <c r="Y36" s="3379"/>
      <c r="Z36" s="3380"/>
      <c r="AA36" s="1735"/>
      <c r="AB36" s="1735"/>
    </row>
    <row r="37" spans="1:28" s="178" customFormat="1" ht="13.2" hidden="1">
      <c r="A37" s="3381"/>
      <c r="B37" s="3381"/>
      <c r="C37" s="3381"/>
      <c r="D37" s="3381"/>
      <c r="E37" s="3381"/>
      <c r="F37" s="3381"/>
      <c r="G37" s="3381"/>
      <c r="H37" s="3381"/>
      <c r="I37" s="3381"/>
      <c r="J37" s="3381"/>
      <c r="K37" s="1684"/>
      <c r="L37" s="1685"/>
      <c r="M37" s="1686"/>
      <c r="N37" s="1686"/>
      <c r="O37" s="1686"/>
      <c r="P37" s="1687"/>
      <c r="Q37" s="1687"/>
      <c r="R37" s="1687"/>
      <c r="S37" s="1687"/>
      <c r="T37" s="1687"/>
      <c r="U37" s="1687"/>
      <c r="V37" s="1687"/>
      <c r="W37" s="1727"/>
      <c r="X37" s="1727"/>
      <c r="Y37" s="1727"/>
      <c r="Z37" s="1727"/>
      <c r="AA37" s="1736"/>
      <c r="AB37" s="1736"/>
    </row>
    <row r="38" spans="1:28">
      <c r="A38" s="1593">
        <v>11</v>
      </c>
      <c r="B38" s="1594" t="str">
        <f>"Traffic Count: "&amp;L32&amp;" CVPD"</f>
        <v>Traffic Count: 21 CVPD</v>
      </c>
      <c r="C38" s="1595"/>
      <c r="D38" s="1595"/>
      <c r="E38" s="1596" t="s">
        <v>477</v>
      </c>
      <c r="F38" s="1597">
        <f>'TRAFF-Count-ESAL-Cal'!G30</f>
        <v>72982.87</v>
      </c>
      <c r="G38" s="3382" t="str">
        <f>"Adopting T"&amp;M32&amp;" curve with CBR "&amp;'ESAL-result'!E29&amp;"% as per SPR72-2015"</f>
        <v>Adopting T3 curve with CBR 4% as per SPR72-2015</v>
      </c>
      <c r="H38" s="3383"/>
      <c r="I38" s="3383"/>
      <c r="J38" s="3384"/>
      <c r="K38" s="1662"/>
      <c r="L38" s="1688"/>
      <c r="M38" s="1689"/>
      <c r="N38" s="1689"/>
      <c r="O38" s="1689"/>
      <c r="P38" s="1690"/>
      <c r="Q38" s="1690"/>
      <c r="R38" s="1690"/>
      <c r="S38" s="1690"/>
      <c r="T38" s="1690"/>
      <c r="U38" s="1690"/>
      <c r="V38" s="1690"/>
      <c r="W38" s="1726"/>
      <c r="X38" s="1726"/>
      <c r="Y38" s="1726"/>
      <c r="Z38" s="1726"/>
      <c r="AA38" s="1735"/>
      <c r="AB38" s="1735"/>
    </row>
    <row r="39" spans="1:28" s="178" customFormat="1" ht="13.2" hidden="1">
      <c r="A39" s="1598"/>
      <c r="B39" s="1599"/>
      <c r="C39" s="1599"/>
      <c r="D39" s="1599"/>
      <c r="E39" s="1599"/>
      <c r="F39" s="1599"/>
      <c r="G39" s="1599"/>
      <c r="H39" s="1599"/>
      <c r="I39" s="1599"/>
      <c r="J39" s="1691"/>
      <c r="K39" s="1684"/>
      <c r="L39" s="1685"/>
      <c r="M39" s="1686"/>
      <c r="N39" s="1686"/>
      <c r="O39" s="1686"/>
      <c r="P39" s="1687"/>
      <c r="Q39" s="1687"/>
      <c r="R39" s="1687"/>
      <c r="S39" s="1687"/>
      <c r="T39" s="1687"/>
      <c r="U39" s="1687"/>
      <c r="V39" s="1687"/>
      <c r="W39" s="1727"/>
      <c r="X39" s="1727"/>
      <c r="Y39" s="1727"/>
      <c r="Z39" s="1727"/>
      <c r="AA39" s="1736"/>
      <c r="AB39" s="1736"/>
    </row>
    <row r="40" spans="1:28" s="178" customFormat="1" ht="13.2" hidden="1">
      <c r="A40" s="1600"/>
      <c r="B40" s="1601"/>
      <c r="C40" s="1601"/>
      <c r="D40" s="1601"/>
      <c r="E40" s="1601"/>
      <c r="F40" s="1601"/>
      <c r="G40" s="1601"/>
      <c r="H40" s="1601"/>
      <c r="I40" s="1601"/>
      <c r="J40" s="1692"/>
      <c r="K40" s="1684"/>
      <c r="L40" s="1685"/>
      <c r="M40" s="1686"/>
      <c r="N40" s="1686"/>
      <c r="O40" s="1686"/>
      <c r="P40" s="1687"/>
      <c r="Q40" s="1687"/>
      <c r="R40" s="1687"/>
      <c r="S40" s="1687"/>
      <c r="T40" s="1687"/>
      <c r="U40" s="1687"/>
      <c r="V40" s="1687"/>
      <c r="W40" s="1727"/>
      <c r="X40" s="1727"/>
      <c r="Y40" s="1727"/>
      <c r="Z40" s="1727"/>
      <c r="AA40" s="1736"/>
      <c r="AB40" s="1736"/>
    </row>
    <row r="41" spans="1:28" s="178" customFormat="1" ht="13.2" hidden="1">
      <c r="A41" s="1600"/>
      <c r="B41" s="1601"/>
      <c r="C41" s="1601"/>
      <c r="D41" s="1601"/>
      <c r="E41" s="1601"/>
      <c r="F41" s="1601"/>
      <c r="G41" s="1601"/>
      <c r="H41" s="1601"/>
      <c r="I41" s="1601"/>
      <c r="J41" s="1692"/>
      <c r="K41" s="1684"/>
      <c r="L41" s="1685"/>
      <c r="M41" s="1686"/>
      <c r="N41" s="1686"/>
      <c r="O41" s="1686"/>
      <c r="P41" s="1687"/>
      <c r="Q41" s="1687"/>
      <c r="R41" s="1687"/>
      <c r="S41" s="1687"/>
      <c r="T41" s="1687"/>
      <c r="U41" s="1687"/>
      <c r="V41" s="1687"/>
      <c r="W41" s="1727"/>
      <c r="X41" s="1727"/>
      <c r="Y41" s="1727"/>
      <c r="Z41" s="1727"/>
      <c r="AA41" s="1736"/>
      <c r="AB41" s="1736"/>
    </row>
    <row r="42" spans="1:28" s="178" customFormat="1" ht="13.2" hidden="1">
      <c r="A42" s="1600"/>
      <c r="B42" s="1601"/>
      <c r="C42" s="1601"/>
      <c r="D42" s="1601"/>
      <c r="E42" s="1601"/>
      <c r="F42" s="1601"/>
      <c r="G42" s="1601"/>
      <c r="H42" s="1601"/>
      <c r="I42" s="1601"/>
      <c r="J42" s="1692"/>
      <c r="K42" s="1684"/>
      <c r="L42" s="1685"/>
      <c r="M42" s="1686"/>
      <c r="N42" s="1686"/>
      <c r="O42" s="1686"/>
      <c r="P42" s="1687"/>
      <c r="Q42" s="1687"/>
      <c r="R42" s="1687"/>
      <c r="S42" s="1687"/>
      <c r="T42" s="1687"/>
      <c r="U42" s="1687"/>
      <c r="V42" s="1687"/>
      <c r="W42" s="1727"/>
      <c r="X42" s="1727"/>
      <c r="Y42" s="1727"/>
      <c r="Z42" s="1727"/>
      <c r="AA42" s="1736"/>
      <c r="AB42" s="1736"/>
    </row>
    <row r="43" spans="1:28" s="178" customFormat="1" ht="13.2" hidden="1">
      <c r="A43" s="1600"/>
      <c r="B43" s="1601"/>
      <c r="C43" s="1601"/>
      <c r="D43" s="1601"/>
      <c r="E43" s="1601"/>
      <c r="F43" s="1601"/>
      <c r="G43" s="1601"/>
      <c r="H43" s="1601"/>
      <c r="I43" s="1601"/>
      <c r="J43" s="1692"/>
      <c r="K43" s="1684"/>
      <c r="L43" s="1685"/>
      <c r="M43" s="1686"/>
      <c r="N43" s="1686"/>
      <c r="O43" s="1686"/>
      <c r="P43" s="1687"/>
      <c r="Q43" s="1687"/>
      <c r="R43" s="1687"/>
      <c r="S43" s="1687"/>
      <c r="T43" s="1687"/>
      <c r="U43" s="1687"/>
      <c r="V43" s="1687"/>
      <c r="W43" s="1727"/>
      <c r="X43" s="1727"/>
      <c r="Y43" s="1727"/>
      <c r="Z43" s="1727"/>
      <c r="AA43" s="1736"/>
      <c r="AB43" s="1736"/>
    </row>
    <row r="44" spans="1:28" s="178" customFormat="1" ht="13.2" hidden="1">
      <c r="A44" s="1600"/>
      <c r="B44" s="1601"/>
      <c r="C44" s="1601"/>
      <c r="D44" s="1601"/>
      <c r="E44" s="1601"/>
      <c r="F44" s="1601"/>
      <c r="G44" s="1601"/>
      <c r="H44" s="1601"/>
      <c r="I44" s="1601"/>
      <c r="J44" s="1692"/>
      <c r="K44" s="1684"/>
      <c r="L44" s="1685"/>
      <c r="M44" s="1686"/>
      <c r="N44" s="1686"/>
      <c r="O44" s="1686"/>
      <c r="P44" s="1687"/>
      <c r="Q44" s="1687"/>
      <c r="R44" s="1687"/>
      <c r="S44" s="1687"/>
      <c r="T44" s="1687"/>
      <c r="U44" s="1687"/>
      <c r="V44" s="1687"/>
      <c r="W44" s="1727"/>
      <c r="X44" s="1727"/>
      <c r="Y44" s="1727"/>
      <c r="Z44" s="1727"/>
      <c r="AA44" s="1736"/>
      <c r="AB44" s="1736"/>
    </row>
    <row r="45" spans="1:28" s="178" customFormat="1" ht="13.2" hidden="1">
      <c r="A45" s="1600"/>
      <c r="B45" s="1601"/>
      <c r="C45" s="1601"/>
      <c r="D45" s="1601"/>
      <c r="E45" s="1601"/>
      <c r="F45" s="1601"/>
      <c r="G45" s="1601"/>
      <c r="H45" s="1601"/>
      <c r="I45" s="1601"/>
      <c r="J45" s="1692"/>
      <c r="K45" s="1684"/>
      <c r="L45" s="1685"/>
      <c r="M45" s="1686"/>
      <c r="N45" s="1686"/>
      <c r="O45" s="1686"/>
      <c r="P45" s="1687"/>
      <c r="Q45" s="1687"/>
      <c r="R45" s="1687"/>
      <c r="S45" s="1687"/>
      <c r="T45" s="1687"/>
      <c r="U45" s="1687"/>
      <c r="V45" s="1687"/>
      <c r="W45" s="1727"/>
      <c r="X45" s="1727"/>
      <c r="Y45" s="1727"/>
      <c r="Z45" s="1727"/>
      <c r="AA45" s="1736"/>
      <c r="AB45" s="1736"/>
    </row>
    <row r="46" spans="1:28" s="178" customFormat="1" ht="13.2" hidden="1">
      <c r="A46" s="1600"/>
      <c r="B46" s="1601"/>
      <c r="C46" s="1601"/>
      <c r="D46" s="1601"/>
      <c r="E46" s="1601"/>
      <c r="F46" s="1601"/>
      <c r="G46" s="1601"/>
      <c r="H46" s="1601"/>
      <c r="I46" s="1601"/>
      <c r="J46" s="1692"/>
      <c r="K46" s="1684"/>
      <c r="L46" s="1685"/>
      <c r="M46" s="1686"/>
      <c r="N46" s="1686"/>
      <c r="O46" s="1686"/>
      <c r="P46" s="1687"/>
      <c r="Q46" s="1687"/>
      <c r="R46" s="1687"/>
      <c r="S46" s="1687"/>
      <c r="T46" s="1687"/>
      <c r="U46" s="1687"/>
      <c r="V46" s="1687"/>
      <c r="W46" s="1727"/>
      <c r="X46" s="1727"/>
      <c r="Y46" s="1727"/>
      <c r="Z46" s="1727"/>
      <c r="AA46" s="1736"/>
      <c r="AB46" s="1736"/>
    </row>
    <row r="47" spans="1:28" s="178" customFormat="1" ht="13.2" hidden="1">
      <c r="A47" s="1600"/>
      <c r="B47" s="1601"/>
      <c r="C47" s="1601"/>
      <c r="D47" s="1601"/>
      <c r="E47" s="1601"/>
      <c r="F47" s="1601"/>
      <c r="G47" s="1601"/>
      <c r="H47" s="1601"/>
      <c r="I47" s="1601"/>
      <c r="J47" s="1692"/>
      <c r="K47" s="1684"/>
      <c r="L47" s="1685"/>
      <c r="M47" s="1686"/>
      <c r="N47" s="1686"/>
      <c r="O47" s="1686"/>
      <c r="P47" s="1687"/>
      <c r="Q47" s="1687"/>
      <c r="R47" s="1687"/>
      <c r="S47" s="1687"/>
      <c r="T47" s="1687"/>
      <c r="U47" s="1687"/>
      <c r="V47" s="1687"/>
      <c r="W47" s="1727"/>
      <c r="X47" s="1727"/>
      <c r="Y47" s="1727"/>
      <c r="Z47" s="1727"/>
      <c r="AA47" s="1736"/>
      <c r="AB47" s="1736"/>
    </row>
    <row r="48" spans="1:28" s="178" customFormat="1" ht="13.2" hidden="1">
      <c r="A48" s="1602"/>
      <c r="B48" s="1603"/>
      <c r="C48" s="1603"/>
      <c r="D48" s="1603"/>
      <c r="E48" s="1603"/>
      <c r="F48" s="1603"/>
      <c r="G48" s="1603"/>
      <c r="H48" s="1603"/>
      <c r="I48" s="1603"/>
      <c r="J48" s="1693"/>
      <c r="K48" s="1684"/>
      <c r="L48" s="1685"/>
      <c r="M48" s="1686"/>
      <c r="N48" s="1686"/>
      <c r="O48" s="1686"/>
      <c r="P48" s="1687"/>
      <c r="Q48" s="1687"/>
      <c r="R48" s="1687"/>
      <c r="S48" s="1687"/>
      <c r="T48" s="1687"/>
      <c r="U48" s="1687"/>
      <c r="V48" s="1687"/>
      <c r="W48" s="1727"/>
      <c r="X48" s="1727"/>
      <c r="Y48" s="1727"/>
      <c r="Z48" s="1727"/>
      <c r="AA48" s="1736"/>
      <c r="AB48" s="1736"/>
    </row>
    <row r="49" spans="1:30" s="1566" customFormat="1" ht="15.6" hidden="1">
      <c r="A49" s="1604"/>
      <c r="B49" s="3385" t="s">
        <v>478</v>
      </c>
      <c r="C49" s="3385"/>
      <c r="D49" s="3385"/>
      <c r="E49" s="3385"/>
      <c r="F49" s="3385" t="s">
        <v>479</v>
      </c>
      <c r="G49" s="3385"/>
      <c r="H49" s="3385"/>
      <c r="I49" s="3385"/>
      <c r="J49" s="3385"/>
      <c r="K49" s="1694"/>
      <c r="L49" s="1694"/>
      <c r="M49" s="1694"/>
      <c r="N49" s="1694"/>
      <c r="O49" s="1694"/>
      <c r="P49" s="1694"/>
      <c r="Q49" s="1694"/>
      <c r="R49" s="1694"/>
      <c r="S49" s="1694"/>
      <c r="T49" s="1728"/>
    </row>
    <row r="50" spans="1:30" s="1566" customFormat="1" ht="15.6" hidden="1">
      <c r="A50" s="1604"/>
      <c r="B50" s="3386" t="s">
        <v>480</v>
      </c>
      <c r="C50" s="3386"/>
      <c r="D50" s="1606" t="s">
        <v>481</v>
      </c>
      <c r="E50" s="1605" t="s">
        <v>482</v>
      </c>
      <c r="F50" s="1606"/>
      <c r="G50" s="1605"/>
      <c r="H50" s="3387" t="s">
        <v>483</v>
      </c>
      <c r="I50" s="3388"/>
      <c r="J50" s="1695" t="s">
        <v>484</v>
      </c>
      <c r="K50" s="1696"/>
      <c r="L50" s="1695"/>
      <c r="M50" s="1609"/>
      <c r="N50" s="1695"/>
      <c r="O50" s="3389"/>
      <c r="P50" s="3389"/>
      <c r="Q50" s="3389"/>
      <c r="R50" s="3389"/>
      <c r="S50" s="3389"/>
      <c r="T50" s="1729"/>
    </row>
    <row r="51" spans="1:30" s="1566" customFormat="1" ht="15.6" hidden="1">
      <c r="A51" s="1604"/>
      <c r="B51" s="3385" t="s">
        <v>485</v>
      </c>
      <c r="C51" s="3385"/>
      <c r="D51" s="3385"/>
      <c r="E51" s="3385"/>
      <c r="F51" s="3385" t="s">
        <v>486</v>
      </c>
      <c r="G51" s="3385"/>
      <c r="H51" s="1607"/>
      <c r="I51" s="1607"/>
      <c r="J51" s="1607"/>
      <c r="K51" s="1697"/>
      <c r="L51" s="1697"/>
      <c r="M51" s="1697"/>
      <c r="N51" s="1698"/>
      <c r="O51" s="3390"/>
      <c r="P51" s="3390"/>
      <c r="Q51" s="3390"/>
      <c r="R51" s="3390"/>
      <c r="S51" s="3390"/>
      <c r="T51" s="3490"/>
    </row>
    <row r="52" spans="1:30" s="1566" customFormat="1" ht="31.2" hidden="1">
      <c r="A52" s="1604"/>
      <c r="B52" s="1608" t="s">
        <v>473</v>
      </c>
      <c r="C52" s="3386" t="s">
        <v>487</v>
      </c>
      <c r="D52" s="3386"/>
      <c r="E52" s="1606" t="s">
        <v>488</v>
      </c>
      <c r="F52" s="1609" t="s">
        <v>489</v>
      </c>
      <c r="G52" s="1606" t="s">
        <v>490</v>
      </c>
      <c r="H52" s="1606" t="s">
        <v>487</v>
      </c>
      <c r="I52" s="1606" t="s">
        <v>491</v>
      </c>
      <c r="J52" s="1606" t="s">
        <v>492</v>
      </c>
      <c r="K52" s="1695"/>
      <c r="L52" s="1695"/>
      <c r="M52" s="1609"/>
      <c r="N52" s="1695"/>
      <c r="O52" s="1609"/>
      <c r="P52" s="1696"/>
      <c r="Q52" s="1695"/>
      <c r="R52" s="3386"/>
      <c r="S52" s="3386"/>
      <c r="T52" s="3490"/>
    </row>
    <row r="53" spans="1:30" s="1566" customFormat="1" ht="15.6" hidden="1">
      <c r="A53" s="1604"/>
      <c r="B53" s="1608" t="s">
        <v>473</v>
      </c>
      <c r="C53" s="3386" t="s">
        <v>493</v>
      </c>
      <c r="D53" s="3386"/>
      <c r="E53" s="1606" t="s">
        <v>494</v>
      </c>
      <c r="F53" s="1609" t="s">
        <v>493</v>
      </c>
      <c r="G53" s="1606" t="s">
        <v>495</v>
      </c>
      <c r="H53" s="1609" t="s">
        <v>493</v>
      </c>
      <c r="I53" s="1606" t="s">
        <v>496</v>
      </c>
      <c r="J53" s="1606"/>
      <c r="K53" s="1695"/>
      <c r="L53" s="1695"/>
      <c r="M53" s="1609"/>
      <c r="N53" s="1695"/>
      <c r="O53" s="1609"/>
      <c r="P53" s="1696"/>
      <c r="Q53" s="1695"/>
      <c r="R53" s="3386"/>
      <c r="S53" s="3386"/>
      <c r="T53" s="3490"/>
    </row>
    <row r="54" spans="1:30" s="1566" customFormat="1" ht="31.2" hidden="1">
      <c r="A54" s="1604"/>
      <c r="B54" s="1608" t="s">
        <v>473</v>
      </c>
      <c r="C54" s="3386" t="s">
        <v>497</v>
      </c>
      <c r="D54" s="3386"/>
      <c r="E54" s="1606" t="s">
        <v>498</v>
      </c>
      <c r="F54" s="1609" t="s">
        <v>497</v>
      </c>
      <c r="G54" s="1606" t="s">
        <v>499</v>
      </c>
      <c r="H54" s="1609" t="s">
        <v>497</v>
      </c>
      <c r="I54" s="1606" t="s">
        <v>500</v>
      </c>
      <c r="J54" s="1606"/>
      <c r="K54" s="1695"/>
      <c r="L54" s="1695"/>
      <c r="M54" s="1609"/>
      <c r="N54" s="1695"/>
      <c r="O54" s="1609"/>
      <c r="P54" s="1696"/>
      <c r="Q54" s="1695"/>
      <c r="R54" s="3386"/>
      <c r="S54" s="3386"/>
      <c r="T54" s="3490"/>
    </row>
    <row r="55" spans="1:30" s="1566" customFormat="1" ht="31.2" hidden="1">
      <c r="A55" s="1604"/>
      <c r="B55" s="1608" t="s">
        <v>501</v>
      </c>
      <c r="C55" s="3386" t="s">
        <v>502</v>
      </c>
      <c r="D55" s="3386"/>
      <c r="E55" s="1606" t="s">
        <v>503</v>
      </c>
      <c r="F55" s="1609" t="s">
        <v>502</v>
      </c>
      <c r="G55" s="1606" t="s">
        <v>496</v>
      </c>
      <c r="H55" s="1609" t="s">
        <v>502</v>
      </c>
      <c r="I55" s="1606" t="s">
        <v>503</v>
      </c>
      <c r="J55" s="1606"/>
      <c r="K55" s="1695"/>
      <c r="L55" s="1695"/>
      <c r="M55" s="1609"/>
      <c r="N55" s="1695"/>
      <c r="O55" s="1609"/>
      <c r="P55" s="1696"/>
      <c r="Q55" s="1695"/>
      <c r="R55" s="3386"/>
      <c r="S55" s="3386"/>
      <c r="T55" s="3490"/>
    </row>
    <row r="56" spans="1:30" s="1566" customFormat="1" ht="31.2" hidden="1">
      <c r="A56" s="1604"/>
      <c r="B56" s="1608" t="s">
        <v>501</v>
      </c>
      <c r="C56" s="3386" t="s">
        <v>504</v>
      </c>
      <c r="D56" s="3386"/>
      <c r="E56" s="1606" t="s">
        <v>496</v>
      </c>
      <c r="F56" s="1609" t="s">
        <v>504</v>
      </c>
      <c r="G56" s="1606" t="s">
        <v>496</v>
      </c>
      <c r="H56" s="1609" t="s">
        <v>504</v>
      </c>
      <c r="I56" s="1606" t="s">
        <v>496</v>
      </c>
      <c r="J56" s="1606"/>
      <c r="K56" s="1695">
        <f>225+100+50+150</f>
        <v>525</v>
      </c>
      <c r="L56" s="1695"/>
      <c r="M56" s="1609"/>
      <c r="N56" s="1695"/>
      <c r="O56" s="1609"/>
      <c r="P56" s="1696"/>
      <c r="Q56" s="1695"/>
      <c r="R56" s="3386"/>
      <c r="S56" s="3386"/>
      <c r="T56" s="3490"/>
    </row>
    <row r="57" spans="1:30" s="1566" customFormat="1" ht="26.4" hidden="1">
      <c r="A57" s="1604"/>
      <c r="B57" s="3385" t="s">
        <v>505</v>
      </c>
      <c r="C57" s="3385"/>
      <c r="D57" s="3385"/>
      <c r="E57" s="1607" t="s">
        <v>506</v>
      </c>
      <c r="F57" s="1610"/>
      <c r="G57" s="1607" t="s">
        <v>506</v>
      </c>
      <c r="H57" s="1611" t="s">
        <v>507</v>
      </c>
      <c r="I57" s="1607" t="s">
        <v>508</v>
      </c>
      <c r="J57" s="1607"/>
      <c r="K57" s="1698"/>
      <c r="L57" s="1698"/>
      <c r="M57" s="1609"/>
      <c r="N57" s="1695"/>
      <c r="O57" s="1699"/>
      <c r="P57" s="1700"/>
      <c r="Q57" s="1730"/>
      <c r="R57" s="3385"/>
      <c r="S57" s="3385"/>
      <c r="T57" s="3490"/>
    </row>
    <row r="58" spans="1:30" ht="26.25" customHeight="1">
      <c r="A58" s="1612">
        <v>12</v>
      </c>
      <c r="B58" s="3391" t="s">
        <v>509</v>
      </c>
      <c r="C58" s="3392"/>
      <c r="D58" s="3392"/>
      <c r="E58" s="3392"/>
      <c r="F58" s="3392"/>
      <c r="G58" s="3392"/>
      <c r="H58" s="3392"/>
      <c r="I58" s="3392"/>
      <c r="J58" s="3393"/>
      <c r="K58" s="1701" t="s">
        <v>510</v>
      </c>
      <c r="L58" s="1702" t="s">
        <v>511</v>
      </c>
      <c r="M58" s="1702"/>
      <c r="N58" s="1702"/>
      <c r="O58" s="1703" t="s">
        <v>512</v>
      </c>
      <c r="P58" s="1704" t="s">
        <v>513</v>
      </c>
      <c r="Q58" s="1731" t="s">
        <v>514</v>
      </c>
      <c r="R58" s="1731"/>
      <c r="S58" s="1731"/>
      <c r="T58" s="1731"/>
      <c r="U58" s="1731"/>
      <c r="V58" s="1731"/>
      <c r="W58" s="1731"/>
      <c r="X58" s="1731"/>
      <c r="Y58" s="1731"/>
      <c r="Z58" s="1731"/>
      <c r="AA58" s="1731"/>
      <c r="AB58" s="1704" t="s">
        <v>515</v>
      </c>
      <c r="AC58" s="1731" t="s">
        <v>516</v>
      </c>
      <c r="AD58" s="1731"/>
    </row>
    <row r="59" spans="1:30" ht="43.5" customHeight="1">
      <c r="A59" s="3375"/>
      <c r="B59" s="3399" t="s">
        <v>517</v>
      </c>
      <c r="C59" s="3399"/>
      <c r="D59" s="3399" t="s">
        <v>468</v>
      </c>
      <c r="E59" s="3399" t="s">
        <v>518</v>
      </c>
      <c r="F59" s="1589" t="s">
        <v>519</v>
      </c>
      <c r="G59" s="3394" t="s">
        <v>520</v>
      </c>
      <c r="H59" s="3395"/>
      <c r="I59" s="3395"/>
      <c r="J59" s="3396"/>
      <c r="K59" s="1701"/>
      <c r="L59" s="1702"/>
      <c r="M59" s="1702"/>
      <c r="N59" s="1702"/>
      <c r="O59" s="1703"/>
      <c r="P59" s="1704"/>
      <c r="Q59" s="1731" t="s">
        <v>405</v>
      </c>
      <c r="R59" s="1731"/>
      <c r="S59" s="1731" t="s">
        <v>521</v>
      </c>
      <c r="T59" s="1731"/>
      <c r="U59" s="1731" t="s">
        <v>522</v>
      </c>
      <c r="V59" s="1731"/>
      <c r="W59" s="1731" t="s">
        <v>493</v>
      </c>
      <c r="X59" s="1731"/>
      <c r="Y59" s="1731" t="s">
        <v>505</v>
      </c>
      <c r="Z59" s="1731"/>
      <c r="AA59" s="1731"/>
      <c r="AB59" s="1704"/>
      <c r="AC59" s="1731"/>
      <c r="AD59" s="1731"/>
    </row>
    <row r="60" spans="1:30" ht="24" customHeight="1">
      <c r="A60" s="3375"/>
      <c r="B60" s="3399"/>
      <c r="C60" s="3399"/>
      <c r="D60" s="3399"/>
      <c r="E60" s="3399"/>
      <c r="F60" s="1590" t="s">
        <v>405</v>
      </c>
      <c r="G60" s="1590" t="s">
        <v>523</v>
      </c>
      <c r="H60" s="1590" t="s">
        <v>493</v>
      </c>
      <c r="I60" s="3371" t="s">
        <v>524</v>
      </c>
      <c r="J60" s="3373"/>
      <c r="K60" s="1701"/>
      <c r="L60" s="1702"/>
      <c r="M60" s="1702"/>
      <c r="N60" s="1702"/>
      <c r="O60" s="1703"/>
      <c r="P60" s="1704"/>
      <c r="Q60" s="1704" t="s">
        <v>501</v>
      </c>
      <c r="R60" s="1704" t="s">
        <v>473</v>
      </c>
      <c r="S60" s="1704" t="s">
        <v>501</v>
      </c>
      <c r="T60" s="1704" t="s">
        <v>473</v>
      </c>
      <c r="U60" s="1704" t="s">
        <v>501</v>
      </c>
      <c r="V60" s="1704" t="s">
        <v>473</v>
      </c>
      <c r="W60" s="1704" t="s">
        <v>501</v>
      </c>
      <c r="X60" s="1704" t="s">
        <v>473</v>
      </c>
      <c r="Y60" s="1704" t="s">
        <v>501</v>
      </c>
      <c r="Z60" s="1704" t="s">
        <v>473</v>
      </c>
      <c r="AA60" s="1704" t="s">
        <v>60</v>
      </c>
      <c r="AB60" s="1704"/>
      <c r="AC60" s="1704" t="s">
        <v>501</v>
      </c>
      <c r="AD60" s="1704" t="s">
        <v>473</v>
      </c>
    </row>
    <row r="61" spans="1:30" ht="31.5" customHeight="1">
      <c r="A61" s="1587">
        <v>1</v>
      </c>
      <c r="B61" s="3371" t="e">
        <f>E34</f>
        <v>#REF!</v>
      </c>
      <c r="C61" s="3373"/>
      <c r="D61" s="1613">
        <f>N32</f>
        <v>0.04</v>
      </c>
      <c r="E61" s="1590">
        <f>'ESAL-result'!K29</f>
        <v>325</v>
      </c>
      <c r="F61" s="1590" t="e">
        <f>SPR!#REF!</f>
        <v>#REF!</v>
      </c>
      <c r="G61" s="1590" t="e">
        <f>SPR!#REF!</f>
        <v>#REF!</v>
      </c>
      <c r="H61" s="1590" t="e">
        <f>SPR!#REF!</f>
        <v>#REF!</v>
      </c>
      <c r="I61" s="3397" t="s">
        <v>525</v>
      </c>
      <c r="J61" s="3398"/>
      <c r="K61" s="3397" t="s">
        <v>526</v>
      </c>
      <c r="L61" s="3398"/>
      <c r="M61" s="1705"/>
      <c r="N61" s="1706"/>
      <c r="O61" s="1703"/>
      <c r="P61" s="1704"/>
      <c r="Q61" s="1704"/>
      <c r="R61" s="1704"/>
      <c r="S61" s="1704"/>
      <c r="T61" s="1704"/>
      <c r="U61" s="1704"/>
      <c r="V61" s="1704"/>
      <c r="W61" s="1704"/>
      <c r="X61" s="1704"/>
      <c r="Y61" s="1704"/>
      <c r="Z61" s="1704"/>
      <c r="AA61" s="1704"/>
      <c r="AB61" s="1704"/>
      <c r="AC61" s="1704"/>
      <c r="AD61" s="1704"/>
    </row>
    <row r="62" spans="1:30" ht="21" customHeight="1">
      <c r="A62" s="1590">
        <v>2</v>
      </c>
      <c r="B62" s="3399" t="e">
        <f>E35</f>
        <v>#REF!</v>
      </c>
      <c r="C62" s="3399"/>
      <c r="D62" s="1614"/>
      <c r="E62" s="1590"/>
      <c r="F62" s="1590" t="e">
        <f>SPR!#REF!</f>
        <v>#REF!</v>
      </c>
      <c r="G62" s="1590" t="e">
        <f>SPR!#REF!</f>
        <v>#REF!</v>
      </c>
      <c r="H62" s="1590" t="e">
        <f>SPR!#REF!</f>
        <v>#REF!</v>
      </c>
      <c r="I62" s="3397" t="s">
        <v>526</v>
      </c>
      <c r="J62" s="3398"/>
      <c r="K62" s="1672"/>
      <c r="L62" s="1707"/>
      <c r="M62" s="1708"/>
      <c r="N62" s="1709"/>
      <c r="O62" s="1710"/>
      <c r="P62" s="1670"/>
      <c r="Q62" s="1670"/>
      <c r="R62" s="1670"/>
      <c r="S62" s="1670"/>
      <c r="T62" s="1670"/>
      <c r="U62" s="1670"/>
      <c r="V62" s="1670"/>
      <c r="W62" s="1670"/>
      <c r="X62" s="1670"/>
      <c r="Y62" s="1670"/>
      <c r="Z62" s="1670"/>
      <c r="AA62" s="1670"/>
      <c r="AB62" s="1737"/>
      <c r="AC62" s="1672"/>
      <c r="AD62" s="1672"/>
    </row>
    <row r="63" spans="1:30" s="1567" customFormat="1">
      <c r="A63" s="1615">
        <v>13</v>
      </c>
      <c r="B63" s="3400" t="s">
        <v>527</v>
      </c>
      <c r="C63" s="3400"/>
      <c r="D63" s="3400"/>
      <c r="E63" s="3400"/>
      <c r="F63" s="3400"/>
      <c r="G63" s="3400"/>
      <c r="H63" s="3400"/>
      <c r="I63" s="3400"/>
      <c r="J63" s="3401"/>
      <c r="K63" s="1711"/>
      <c r="L63" s="1675"/>
      <c r="M63" s="3402"/>
      <c r="N63" s="3402"/>
      <c r="O63" s="3402"/>
      <c r="P63" s="3403"/>
      <c r="Q63" s="3403"/>
      <c r="R63" s="3403"/>
      <c r="S63" s="3403"/>
      <c r="T63" s="3403"/>
      <c r="U63" s="3403"/>
      <c r="V63" s="3403"/>
      <c r="W63" s="3404"/>
      <c r="X63" s="3404"/>
      <c r="Y63" s="3404"/>
      <c r="Z63" s="3404"/>
    </row>
    <row r="64" spans="1:30" ht="29.25" customHeight="1">
      <c r="A64" s="3408" t="s">
        <v>528</v>
      </c>
      <c r="B64" s="3405" t="s">
        <v>529</v>
      </c>
      <c r="C64" s="3406"/>
      <c r="D64" s="3406"/>
      <c r="E64" s="3407"/>
      <c r="F64" s="3408" t="s">
        <v>530</v>
      </c>
      <c r="G64" s="3408"/>
      <c r="H64" s="3408"/>
      <c r="I64" s="3405" t="s">
        <v>484</v>
      </c>
      <c r="J64" s="3407"/>
    </row>
    <row r="65" spans="1:13" ht="29.25" customHeight="1">
      <c r="A65" s="3408"/>
      <c r="B65" s="3409"/>
      <c r="C65" s="3410"/>
      <c r="D65" s="3410"/>
      <c r="E65" s="3411"/>
      <c r="F65" s="1738" t="s">
        <v>3</v>
      </c>
      <c r="G65" s="1616" t="s">
        <v>5</v>
      </c>
      <c r="H65" s="1738" t="s">
        <v>531</v>
      </c>
      <c r="I65" s="3405"/>
      <c r="J65" s="3407"/>
      <c r="K65" s="1780">
        <v>1</v>
      </c>
      <c r="L65" s="1780">
        <v>0</v>
      </c>
      <c r="M65" s="1781">
        <v>5.6</v>
      </c>
    </row>
    <row r="66" spans="1:13" ht="20.25" customHeight="1">
      <c r="A66" s="1739">
        <f>K66</f>
        <v>1</v>
      </c>
      <c r="B66" s="3412" t="s">
        <v>532</v>
      </c>
      <c r="C66" s="3413"/>
      <c r="D66" s="3413"/>
      <c r="E66" s="3414"/>
      <c r="F66" s="1740">
        <f>'Schedule-A'!B12</f>
        <v>966.37999999999988</v>
      </c>
      <c r="G66" s="1740">
        <f>'Schedule-A'!G12</f>
        <v>136.06920584583335</v>
      </c>
      <c r="H66" s="1741">
        <f>ROUND(F66*G66,0)</f>
        <v>131495</v>
      </c>
      <c r="I66" s="3405"/>
      <c r="J66" s="3407" t="str">
        <f>IF(H66&lt;E66,E66-H66,"")</f>
        <v/>
      </c>
      <c r="K66" s="1782">
        <f t="shared" ref="K66:K78" si="0">IF(L66=L65,0,L66)</f>
        <v>1</v>
      </c>
      <c r="L66" s="1782">
        <f>IF(M66&gt;0,(L65+1),L65)</f>
        <v>1</v>
      </c>
      <c r="M66" s="1781">
        <f>F66</f>
        <v>966.37999999999988</v>
      </c>
    </row>
    <row r="67" spans="1:13" s="178" customFormat="1" ht="22.95" hidden="1" customHeight="1">
      <c r="A67" s="1742">
        <f t="shared" ref="A67:A83" si="1">K67</f>
        <v>0</v>
      </c>
      <c r="B67" s="3415" t="s">
        <v>533</v>
      </c>
      <c r="C67" s="3416"/>
      <c r="D67" s="3416"/>
      <c r="E67" s="3417"/>
      <c r="F67" s="1743">
        <f>'Schedule-A'!B14</f>
        <v>0</v>
      </c>
      <c r="G67" s="1743">
        <f>'Schedule-A'!G14</f>
        <v>140.15</v>
      </c>
      <c r="H67" s="1744">
        <f t="shared" ref="H67:H79" si="2">ROUND(F67*G67,0)</f>
        <v>0</v>
      </c>
      <c r="I67" s="3418"/>
      <c r="J67" s="3419"/>
      <c r="K67" s="1277">
        <f t="shared" si="0"/>
        <v>0</v>
      </c>
      <c r="L67" s="1277">
        <f t="shared" ref="L67:L78" si="3">IF(M67&gt;0,(L66+1),L66)</f>
        <v>1</v>
      </c>
      <c r="M67" s="1783">
        <f t="shared" ref="M67:M78" si="4">F67</f>
        <v>0</v>
      </c>
    </row>
    <row r="68" spans="1:13" ht="31.5" customHeight="1">
      <c r="A68" s="1739">
        <f t="shared" si="1"/>
        <v>2</v>
      </c>
      <c r="B68" s="3412" t="s">
        <v>534</v>
      </c>
      <c r="C68" s="3413"/>
      <c r="D68" s="3413"/>
      <c r="E68" s="3414"/>
      <c r="F68" s="1740">
        <f>'Schedule-A'!B15</f>
        <v>175.77</v>
      </c>
      <c r="G68" s="1740">
        <f>'Schedule-A'!G15</f>
        <v>6547.95</v>
      </c>
      <c r="H68" s="1741">
        <f t="shared" si="2"/>
        <v>1150933</v>
      </c>
      <c r="I68" s="3405"/>
      <c r="J68" s="3407" t="str">
        <f t="shared" ref="J68:J69" si="5">IF(H68&lt;E68,E68-H68,"")</f>
        <v/>
      </c>
      <c r="K68" s="1782">
        <f t="shared" si="0"/>
        <v>2</v>
      </c>
      <c r="L68" s="1782">
        <f t="shared" si="3"/>
        <v>2</v>
      </c>
      <c r="M68" s="1781">
        <f t="shared" si="4"/>
        <v>175.77</v>
      </c>
    </row>
    <row r="69" spans="1:13" ht="18.75" customHeight="1">
      <c r="A69" s="1739">
        <f t="shared" si="1"/>
        <v>3</v>
      </c>
      <c r="B69" s="3412" t="s">
        <v>535</v>
      </c>
      <c r="C69" s="3413"/>
      <c r="D69" s="3413"/>
      <c r="E69" s="3414"/>
      <c r="F69" s="1740">
        <f>'Schedule-A'!B17</f>
        <v>874.39</v>
      </c>
      <c r="G69" s="1740">
        <f>'Schedule-A'!G17</f>
        <v>8315.23</v>
      </c>
      <c r="H69" s="1741">
        <f t="shared" si="2"/>
        <v>7270754</v>
      </c>
      <c r="I69" s="3405"/>
      <c r="J69" s="3407" t="str">
        <f t="shared" si="5"/>
        <v/>
      </c>
      <c r="K69" s="1782">
        <f t="shared" si="0"/>
        <v>3</v>
      </c>
      <c r="L69" s="1782">
        <f t="shared" si="3"/>
        <v>3</v>
      </c>
      <c r="M69" s="1781">
        <f t="shared" si="4"/>
        <v>874.39</v>
      </c>
    </row>
    <row r="70" spans="1:13" s="178" customFormat="1" ht="27.75" hidden="1" customHeight="1">
      <c r="A70" s="1742">
        <f t="shared" si="1"/>
        <v>0</v>
      </c>
      <c r="B70" s="3415" t="s">
        <v>536</v>
      </c>
      <c r="C70" s="3416"/>
      <c r="D70" s="3416"/>
      <c r="E70" s="3417"/>
      <c r="F70" s="1743">
        <f>'Schedule-A'!B13</f>
        <v>0</v>
      </c>
      <c r="G70" s="1743">
        <f>'Schedule-A'!G16</f>
        <v>11.24</v>
      </c>
      <c r="H70" s="1744">
        <f t="shared" si="2"/>
        <v>0</v>
      </c>
      <c r="I70" s="3418"/>
      <c r="J70" s="3419"/>
      <c r="K70" s="1277">
        <f t="shared" si="0"/>
        <v>0</v>
      </c>
      <c r="L70" s="1277">
        <f t="shared" si="3"/>
        <v>3</v>
      </c>
      <c r="M70" s="1783">
        <f t="shared" si="4"/>
        <v>0</v>
      </c>
    </row>
    <row r="71" spans="1:13" ht="16.5" customHeight="1">
      <c r="A71" s="1739">
        <f t="shared" si="1"/>
        <v>4</v>
      </c>
      <c r="B71" s="3412" t="s">
        <v>537</v>
      </c>
      <c r="C71" s="3413"/>
      <c r="D71" s="3413"/>
      <c r="E71" s="3414"/>
      <c r="F71" s="1740">
        <f>'Schedule-A'!B18</f>
        <v>399.15</v>
      </c>
      <c r="G71" s="1740">
        <f>'Schedule-A'!G18</f>
        <v>7841.16</v>
      </c>
      <c r="H71" s="1741">
        <f t="shared" si="2"/>
        <v>3129799</v>
      </c>
      <c r="I71" s="3405"/>
      <c r="J71" s="3407" t="str">
        <f>IF(H71&lt;E71,E71-H71,"")</f>
        <v/>
      </c>
      <c r="K71" s="1782">
        <f t="shared" si="0"/>
        <v>4</v>
      </c>
      <c r="L71" s="1782">
        <f t="shared" si="3"/>
        <v>4</v>
      </c>
      <c r="M71" s="1781">
        <f t="shared" si="4"/>
        <v>399.15</v>
      </c>
    </row>
    <row r="72" spans="1:13" s="178" customFormat="1" ht="21.75" hidden="1" customHeight="1">
      <c r="A72" s="1742">
        <f t="shared" si="1"/>
        <v>0</v>
      </c>
      <c r="B72" s="3415" t="s">
        <v>538</v>
      </c>
      <c r="C72" s="3416"/>
      <c r="D72" s="3416"/>
      <c r="E72" s="3417"/>
      <c r="F72" s="1743">
        <f>'Schedule-A'!B19</f>
        <v>0</v>
      </c>
      <c r="G72" s="1743">
        <f>'Schedule-A'!G19</f>
        <v>2702.52</v>
      </c>
      <c r="H72" s="1744">
        <f t="shared" si="2"/>
        <v>0</v>
      </c>
      <c r="I72" s="3418"/>
      <c r="J72" s="3419"/>
      <c r="K72" s="1277">
        <f t="shared" si="0"/>
        <v>0</v>
      </c>
      <c r="L72" s="1277">
        <f t="shared" si="3"/>
        <v>4</v>
      </c>
      <c r="M72" s="1783">
        <f t="shared" si="4"/>
        <v>0</v>
      </c>
    </row>
    <row r="73" spans="1:13" s="178" customFormat="1" ht="24" hidden="1" customHeight="1">
      <c r="A73" s="1742">
        <f t="shared" si="1"/>
        <v>0</v>
      </c>
      <c r="B73" s="3415" t="s">
        <v>539</v>
      </c>
      <c r="C73" s="3416"/>
      <c r="D73" s="3416"/>
      <c r="E73" s="3417"/>
      <c r="F73" s="1743">
        <f>'Schedule-A'!B20</f>
        <v>0</v>
      </c>
      <c r="G73" s="1743">
        <f>'Schedule-A'!G20</f>
        <v>2888.47</v>
      </c>
      <c r="H73" s="1744">
        <f t="shared" si="2"/>
        <v>0</v>
      </c>
      <c r="I73" s="3418"/>
      <c r="J73" s="3419"/>
      <c r="K73" s="1277">
        <f t="shared" si="0"/>
        <v>0</v>
      </c>
      <c r="L73" s="1277">
        <f t="shared" si="3"/>
        <v>4</v>
      </c>
      <c r="M73" s="1783">
        <f t="shared" si="4"/>
        <v>0</v>
      </c>
    </row>
    <row r="74" spans="1:13" ht="24.75" customHeight="1">
      <c r="A74" s="1739">
        <f t="shared" si="1"/>
        <v>5</v>
      </c>
      <c r="B74" s="3412" t="s">
        <v>540</v>
      </c>
      <c r="C74" s="3413"/>
      <c r="D74" s="3413"/>
      <c r="E74" s="3414"/>
      <c r="F74" s="1740">
        <f>'Schedule-A'!B21</f>
        <v>574.14</v>
      </c>
      <c r="G74" s="1740">
        <f>'Schedule-A'!G21</f>
        <v>8293.5400000000009</v>
      </c>
      <c r="H74" s="1741">
        <f t="shared" si="2"/>
        <v>4761653</v>
      </c>
      <c r="I74" s="3405"/>
      <c r="J74" s="3407" t="str">
        <f t="shared" ref="J74:J76" si="6">IF(H74&lt;E74,E74-H74,"")</f>
        <v/>
      </c>
      <c r="K74" s="1782">
        <f t="shared" si="0"/>
        <v>5</v>
      </c>
      <c r="L74" s="1782">
        <f t="shared" si="3"/>
        <v>5</v>
      </c>
      <c r="M74" s="1781">
        <f t="shared" si="4"/>
        <v>574.14</v>
      </c>
    </row>
    <row r="75" spans="1:13" ht="27.75" customHeight="1">
      <c r="A75" s="1739">
        <f t="shared" si="1"/>
        <v>6</v>
      </c>
      <c r="B75" s="3412" t="s">
        <v>541</v>
      </c>
      <c r="C75" s="3413"/>
      <c r="D75" s="3413"/>
      <c r="E75" s="3414"/>
      <c r="F75" s="1740">
        <f>'Schedule-A'!B22</f>
        <v>301.48</v>
      </c>
      <c r="G75" s="1740">
        <f>'Schedule-A'!G22</f>
        <v>8813.32</v>
      </c>
      <c r="H75" s="1741">
        <f t="shared" si="2"/>
        <v>2657040</v>
      </c>
      <c r="I75" s="3405"/>
      <c r="J75" s="3407" t="str">
        <f t="shared" si="6"/>
        <v/>
      </c>
      <c r="K75" s="1782">
        <f t="shared" si="0"/>
        <v>6</v>
      </c>
      <c r="L75" s="1782">
        <f t="shared" si="3"/>
        <v>6</v>
      </c>
      <c r="M75" s="1781">
        <f t="shared" si="4"/>
        <v>301.48</v>
      </c>
    </row>
    <row r="76" spans="1:13" ht="27.75" customHeight="1">
      <c r="A76" s="1739">
        <f t="shared" si="1"/>
        <v>7</v>
      </c>
      <c r="B76" s="3412" t="s">
        <v>542</v>
      </c>
      <c r="C76" s="3413"/>
      <c r="D76" s="3413"/>
      <c r="E76" s="3414"/>
      <c r="F76" s="1740">
        <f>'Schedule-A'!B23</f>
        <v>373.68</v>
      </c>
      <c r="G76" s="1740">
        <f>'Schedule-A'!G23</f>
        <v>9582.9500000000007</v>
      </c>
      <c r="H76" s="1741">
        <f t="shared" si="2"/>
        <v>3580957</v>
      </c>
      <c r="I76" s="3405"/>
      <c r="J76" s="3407" t="str">
        <f t="shared" si="6"/>
        <v/>
      </c>
      <c r="K76" s="1782">
        <f t="shared" si="0"/>
        <v>7</v>
      </c>
      <c r="L76" s="1782">
        <f t="shared" si="3"/>
        <v>7</v>
      </c>
      <c r="M76" s="1781">
        <f t="shared" si="4"/>
        <v>373.68</v>
      </c>
    </row>
    <row r="77" spans="1:13" s="178" customFormat="1" ht="27.75" hidden="1" customHeight="1">
      <c r="A77" s="1742">
        <f t="shared" si="1"/>
        <v>0</v>
      </c>
      <c r="B77" s="3415" t="s">
        <v>543</v>
      </c>
      <c r="C77" s="3416"/>
      <c r="D77" s="3416"/>
      <c r="E77" s="3417"/>
      <c r="F77" s="1743">
        <f>'Schedule-A'!B24</f>
        <v>0</v>
      </c>
      <c r="G77" s="1743">
        <f>'Schedule-A'!G24</f>
        <v>148.82</v>
      </c>
      <c r="H77" s="1744">
        <f t="shared" si="2"/>
        <v>0</v>
      </c>
      <c r="I77" s="3418"/>
      <c r="J77" s="3419"/>
      <c r="K77" s="1277">
        <f t="shared" si="0"/>
        <v>0</v>
      </c>
      <c r="L77" s="1277">
        <f t="shared" si="3"/>
        <v>7</v>
      </c>
      <c r="M77" s="1783">
        <f t="shared" si="4"/>
        <v>0</v>
      </c>
    </row>
    <row r="78" spans="1:13" s="178" customFormat="1" ht="27.75" hidden="1" customHeight="1">
      <c r="A78" s="1742">
        <f t="shared" si="1"/>
        <v>0</v>
      </c>
      <c r="B78" s="3415" t="s">
        <v>544</v>
      </c>
      <c r="C78" s="3416"/>
      <c r="D78" s="3416"/>
      <c r="E78" s="3417"/>
      <c r="F78" s="1743">
        <f>'Schedule-A'!B25</f>
        <v>0</v>
      </c>
      <c r="G78" s="1743">
        <f>'Schedule-A'!G25</f>
        <v>59.72</v>
      </c>
      <c r="H78" s="1744">
        <f t="shared" si="2"/>
        <v>0</v>
      </c>
      <c r="I78" s="3418"/>
      <c r="J78" s="3419"/>
      <c r="K78" s="1277">
        <f t="shared" si="0"/>
        <v>0</v>
      </c>
      <c r="L78" s="1277">
        <f t="shared" si="3"/>
        <v>7</v>
      </c>
      <c r="M78" s="1783">
        <f t="shared" si="4"/>
        <v>0</v>
      </c>
    </row>
    <row r="79" spans="1:13" s="178" customFormat="1" ht="27.75" hidden="1" customHeight="1">
      <c r="A79" s="1742">
        <f t="shared" si="1"/>
        <v>0</v>
      </c>
      <c r="B79" s="3415" t="s">
        <v>545</v>
      </c>
      <c r="C79" s="3416"/>
      <c r="D79" s="3416"/>
      <c r="E79" s="3417"/>
      <c r="F79" s="1743">
        <f>'Schedule-A'!B26</f>
        <v>0</v>
      </c>
      <c r="G79" s="1743">
        <f>'Schedule-A'!G26</f>
        <v>9626.73</v>
      </c>
      <c r="H79" s="1744">
        <f t="shared" si="2"/>
        <v>0</v>
      </c>
      <c r="I79" s="3418"/>
      <c r="J79" s="3419"/>
      <c r="K79" s="1277">
        <f t="shared" ref="K79:K83" si="7">IF(L79=L78,0,L79)</f>
        <v>0</v>
      </c>
      <c r="L79" s="1277">
        <f t="shared" ref="L79:L83" si="8">IF(M79&gt;0,(L78+1),L78)</f>
        <v>7</v>
      </c>
      <c r="M79" s="1783">
        <f t="shared" ref="M79:M84" si="9">F79</f>
        <v>0</v>
      </c>
    </row>
    <row r="80" spans="1:13" s="178" customFormat="1" ht="27.75" hidden="1" customHeight="1">
      <c r="A80" s="1742">
        <f t="shared" si="1"/>
        <v>0</v>
      </c>
      <c r="B80" s="3415" t="s">
        <v>546</v>
      </c>
      <c r="C80" s="3416"/>
      <c r="D80" s="3416"/>
      <c r="E80" s="3417"/>
      <c r="F80" s="1743">
        <f>'Schedule-A'!B27</f>
        <v>0</v>
      </c>
      <c r="G80" s="1743">
        <f>'Schedule-A'!G27</f>
        <v>12.4</v>
      </c>
      <c r="H80" s="1744">
        <f t="shared" ref="H80:H83" si="10">ROUND(F80*G80,0)</f>
        <v>0</v>
      </c>
      <c r="I80" s="3418"/>
      <c r="J80" s="3419"/>
      <c r="K80" s="1277">
        <f t="shared" si="7"/>
        <v>0</v>
      </c>
      <c r="L80" s="1277">
        <f t="shared" si="8"/>
        <v>7</v>
      </c>
      <c r="M80" s="1783">
        <f t="shared" si="9"/>
        <v>0</v>
      </c>
    </row>
    <row r="81" spans="1:15" s="178" customFormat="1" ht="27.75" hidden="1" customHeight="1">
      <c r="A81" s="1742">
        <f t="shared" si="1"/>
        <v>0</v>
      </c>
      <c r="B81" s="3415" t="s">
        <v>547</v>
      </c>
      <c r="C81" s="3416"/>
      <c r="D81" s="3416"/>
      <c r="E81" s="3417"/>
      <c r="F81" s="1743">
        <f>'Schedule-A'!B28</f>
        <v>0</v>
      </c>
      <c r="G81" s="1743">
        <f>'Schedule-A'!G28</f>
        <v>10458.16</v>
      </c>
      <c r="H81" s="1744">
        <f t="shared" si="10"/>
        <v>0</v>
      </c>
      <c r="I81" s="3418"/>
      <c r="J81" s="3419"/>
      <c r="K81" s="1277">
        <f t="shared" si="7"/>
        <v>0</v>
      </c>
      <c r="L81" s="1277">
        <f t="shared" si="8"/>
        <v>7</v>
      </c>
      <c r="M81" s="1783">
        <f t="shared" si="9"/>
        <v>0</v>
      </c>
    </row>
    <row r="82" spans="1:15" ht="27.75" customHeight="1">
      <c r="A82" s="1739">
        <f t="shared" si="1"/>
        <v>8</v>
      </c>
      <c r="B82" s="3412" t="s">
        <v>548</v>
      </c>
      <c r="C82" s="3413">
        <v>99</v>
      </c>
      <c r="D82" s="3413">
        <v>9895.44</v>
      </c>
      <c r="E82" s="3414">
        <f>ROUND(C82*D82,0)</f>
        <v>979649</v>
      </c>
      <c r="F82" s="1740">
        <f>'Schedule-A'!B29</f>
        <v>148.75</v>
      </c>
      <c r="G82" s="1740">
        <f>'Schedule-A'!G29</f>
        <v>801.15</v>
      </c>
      <c r="H82" s="1741">
        <f t="shared" si="10"/>
        <v>119171</v>
      </c>
      <c r="I82" s="3405"/>
      <c r="J82" s="3407"/>
      <c r="K82" s="1782">
        <f t="shared" si="7"/>
        <v>8</v>
      </c>
      <c r="L82" s="1782">
        <f t="shared" si="8"/>
        <v>8</v>
      </c>
      <c r="M82" s="1781">
        <f t="shared" si="9"/>
        <v>148.75</v>
      </c>
    </row>
    <row r="83" spans="1:15" ht="15" customHeight="1">
      <c r="A83" s="1745">
        <f t="shared" si="1"/>
        <v>9</v>
      </c>
      <c r="B83" s="3412" t="s">
        <v>549</v>
      </c>
      <c r="C83" s="3413">
        <v>277.5</v>
      </c>
      <c r="D83" s="3413">
        <v>6839.26</v>
      </c>
      <c r="E83" s="3414">
        <f>ROUND(C83*D83,0)</f>
        <v>1897895</v>
      </c>
      <c r="F83" s="1740">
        <f>'Schedule-A'!B30</f>
        <v>48.42</v>
      </c>
      <c r="G83" s="1740">
        <f>'Schedule-A'!G30</f>
        <v>8090.44</v>
      </c>
      <c r="H83" s="1741">
        <f t="shared" si="10"/>
        <v>391739</v>
      </c>
      <c r="I83" s="3405"/>
      <c r="J83" s="3407"/>
      <c r="K83" s="1782">
        <f t="shared" si="7"/>
        <v>9</v>
      </c>
      <c r="L83" s="1782">
        <f t="shared" si="8"/>
        <v>9</v>
      </c>
      <c r="M83" s="1781">
        <f t="shared" si="9"/>
        <v>48.42</v>
      </c>
    </row>
    <row r="84" spans="1:15" ht="13.5" customHeight="1">
      <c r="A84" s="1739"/>
      <c r="B84" s="1746"/>
      <c r="C84" s="1747"/>
      <c r="D84" s="1747"/>
      <c r="E84" s="1748"/>
      <c r="F84" s="1749"/>
      <c r="G84" s="1749"/>
      <c r="H84" s="1750"/>
      <c r="I84" s="3405"/>
      <c r="J84" s="3407"/>
      <c r="K84" s="1784" t="e">
        <f>IF(L84=#REF!,0,L84)</f>
        <v>#REF!</v>
      </c>
      <c r="L84" s="1784" t="e">
        <f>IF(M84&gt;0,(#REF!+1),#REF!)</f>
        <v>#REF!</v>
      </c>
      <c r="M84" s="1785">
        <f t="shared" si="9"/>
        <v>0</v>
      </c>
    </row>
    <row r="85" spans="1:15">
      <c r="A85" s="1745"/>
      <c r="B85" s="3412" t="s">
        <v>550</v>
      </c>
      <c r="C85" s="3413"/>
      <c r="D85" s="3413"/>
      <c r="E85" s="3414">
        <f>SUBTOTAL(9,E66:E83)</f>
        <v>2877544</v>
      </c>
      <c r="F85" s="1741"/>
      <c r="G85" s="1741"/>
      <c r="H85" s="1751">
        <f>SUBTOTAL(9,H66:H83)</f>
        <v>23193541</v>
      </c>
      <c r="I85" s="3405"/>
      <c r="J85" s="3407"/>
      <c r="K85" s="1782" t="e">
        <f>IF(L85=L84,0,L85)</f>
        <v>#REF!</v>
      </c>
      <c r="L85" s="1782" t="e">
        <f>IF(M85&gt;0,(L84+1),L84)</f>
        <v>#REF!</v>
      </c>
    </row>
    <row r="86" spans="1:15">
      <c r="A86" s="1587"/>
      <c r="B86" s="3412" t="s">
        <v>551</v>
      </c>
      <c r="C86" s="3413"/>
      <c r="D86" s="3413"/>
      <c r="E86" s="3414"/>
      <c r="F86" s="1741"/>
      <c r="G86" s="1741"/>
      <c r="H86" s="1741"/>
      <c r="I86" s="3405"/>
      <c r="J86" s="3407"/>
    </row>
    <row r="87" spans="1:15" ht="15" customHeight="1">
      <c r="A87" s="1745"/>
      <c r="B87" s="3420" t="s">
        <v>552</v>
      </c>
      <c r="C87" s="3421"/>
      <c r="D87" s="3421"/>
      <c r="E87" s="3422" t="s">
        <v>553</v>
      </c>
      <c r="F87" s="1752" t="s">
        <v>554</v>
      </c>
      <c r="G87" s="1752" t="s">
        <v>5</v>
      </c>
      <c r="H87" s="1752" t="s">
        <v>531</v>
      </c>
      <c r="I87" s="3405"/>
      <c r="J87" s="3407"/>
    </row>
    <row r="88" spans="1:15">
      <c r="A88" s="1739" t="s">
        <v>555</v>
      </c>
      <c r="B88" s="3412" t="e">
        <f>M88</f>
        <v>#REF!</v>
      </c>
      <c r="C88" s="3413"/>
      <c r="D88" s="3413"/>
      <c r="E88" s="3414" t="e">
        <f>N88</f>
        <v>#REF!</v>
      </c>
      <c r="F88" s="1753" t="e">
        <f>#REF!</f>
        <v>#REF!</v>
      </c>
      <c r="G88" s="1753" t="e">
        <f>#REF!</f>
        <v>#REF!</v>
      </c>
      <c r="H88" s="1750" t="e">
        <f>F88*G88</f>
        <v>#REF!</v>
      </c>
      <c r="I88" s="3405"/>
      <c r="J88" s="3407"/>
      <c r="L88" s="1739" t="s">
        <v>556</v>
      </c>
      <c r="M88" s="1786" t="e">
        <f>'Schedule-A'!#REF!</f>
        <v>#REF!</v>
      </c>
      <c r="N88" s="1786" t="e">
        <f>'Schedule-A'!#REF!</f>
        <v>#REF!</v>
      </c>
      <c r="O88" s="1787" t="e">
        <f>'Schedule-A'!#REF!</f>
        <v>#REF!</v>
      </c>
    </row>
    <row r="89" spans="1:15" s="1568" customFormat="1" ht="39.75" customHeight="1">
      <c r="A89" s="1754" t="s">
        <v>557</v>
      </c>
      <c r="B89" s="3412"/>
      <c r="C89" s="3413"/>
      <c r="D89" s="3413"/>
      <c r="E89" s="3414"/>
      <c r="F89" s="1753" t="e">
        <f>#REF!</f>
        <v>#REF!</v>
      </c>
      <c r="G89" s="1753" t="e">
        <f>#REF!</f>
        <v>#REF!</v>
      </c>
      <c r="H89" s="1750" t="e">
        <f>F89*G89</f>
        <v>#REF!</v>
      </c>
      <c r="I89" s="3418"/>
      <c r="J89" s="3419"/>
      <c r="K89" s="1788"/>
      <c r="L89" s="1754" t="s">
        <v>558</v>
      </c>
      <c r="M89" s="1789" t="e">
        <f>'Schedule-A'!#REF!</f>
        <v>#REF!</v>
      </c>
      <c r="N89" s="1789" t="e">
        <f>'Schedule-A'!#REF!</f>
        <v>#REF!</v>
      </c>
      <c r="O89" s="1790" t="e">
        <f>'Schedule-A'!#REF!</f>
        <v>#REF!</v>
      </c>
    </row>
    <row r="90" spans="1:15" s="1568" customFormat="1">
      <c r="A90" s="1754"/>
      <c r="B90" s="3412"/>
      <c r="C90" s="3413"/>
      <c r="D90" s="3413"/>
      <c r="E90" s="3414"/>
      <c r="F90" s="3423"/>
      <c r="G90" s="3423"/>
      <c r="H90" s="1755"/>
      <c r="I90" s="3418"/>
      <c r="J90" s="3419"/>
      <c r="K90" s="1788"/>
      <c r="L90" s="1754" t="s">
        <v>558</v>
      </c>
      <c r="M90" s="1789" t="e">
        <f>'Schedule-A'!#REF!</f>
        <v>#REF!</v>
      </c>
      <c r="N90" s="1789" t="e">
        <f>'Schedule-A'!#REF!</f>
        <v>#REF!</v>
      </c>
      <c r="O90" s="1790" t="e">
        <f>'Schedule-A'!#REF!</f>
        <v>#REF!</v>
      </c>
    </row>
    <row r="91" spans="1:15">
      <c r="A91" s="1745"/>
      <c r="B91" s="3420" t="s">
        <v>559</v>
      </c>
      <c r="C91" s="3421"/>
      <c r="D91" s="3421"/>
      <c r="E91" s="3422">
        <f>SUM(E89:E90)</f>
        <v>0</v>
      </c>
      <c r="F91" s="1756"/>
      <c r="G91" s="1756"/>
      <c r="H91" s="1741" t="e">
        <f>SUM(H88:H90)</f>
        <v>#REF!</v>
      </c>
      <c r="I91" s="3405"/>
      <c r="J91" s="3407"/>
    </row>
    <row r="92" spans="1:15" ht="18.75" customHeight="1">
      <c r="A92" s="1745"/>
      <c r="B92" s="3412" t="s">
        <v>560</v>
      </c>
      <c r="C92" s="3413"/>
      <c r="D92" s="3413"/>
      <c r="E92" s="3414"/>
      <c r="F92" s="1757"/>
      <c r="G92" s="1757"/>
      <c r="H92" s="1741">
        <f>GA!E8</f>
        <v>59049</v>
      </c>
      <c r="I92" s="3405"/>
      <c r="J92" s="3407"/>
    </row>
    <row r="93" spans="1:15" ht="18.75" customHeight="1">
      <c r="A93" s="1745"/>
      <c r="B93" s="3412" t="s">
        <v>561</v>
      </c>
      <c r="C93" s="3413"/>
      <c r="D93" s="3413"/>
      <c r="E93" s="3414"/>
      <c r="F93" s="1757"/>
      <c r="G93" s="1757"/>
      <c r="H93" s="1741" t="e">
        <f>GA!#REF!</f>
        <v>#REF!</v>
      </c>
      <c r="I93" s="3405"/>
      <c r="J93" s="3407"/>
    </row>
    <row r="94" spans="1:15" ht="15" customHeight="1">
      <c r="A94" s="1745"/>
      <c r="B94" s="3424" t="s">
        <v>562</v>
      </c>
      <c r="C94" s="3425"/>
      <c r="D94" s="3425"/>
      <c r="E94" s="3426"/>
      <c r="F94" s="1758" t="s">
        <v>563</v>
      </c>
      <c r="G94" s="1758"/>
      <c r="H94" s="1751" t="e">
        <f>SUM(H93+H92+H91+H85)</f>
        <v>#REF!</v>
      </c>
      <c r="I94" s="3405"/>
      <c r="J94" s="3407"/>
    </row>
    <row r="95" spans="1:15" ht="18.75" customHeight="1">
      <c r="A95" s="1745">
        <f>+A92+1</f>
        <v>1</v>
      </c>
      <c r="B95" s="3427" t="str">
        <f>[232]GA!B11</f>
        <v>Q.C. Charges @ 0.50%</v>
      </c>
      <c r="C95" s="3428"/>
      <c r="D95" s="3428"/>
      <c r="E95" s="3429"/>
      <c r="F95" s="1758"/>
      <c r="G95" s="1758"/>
      <c r="H95" s="1741">
        <f>GA!E10</f>
        <v>198625</v>
      </c>
      <c r="I95" s="3405"/>
      <c r="J95" s="3407"/>
    </row>
    <row r="96" spans="1:15" ht="18.75" customHeight="1">
      <c r="A96" s="1745">
        <f t="shared" ref="A96:A102" si="11">A95+1</f>
        <v>2</v>
      </c>
      <c r="B96" s="3427" t="str">
        <f>[232]GA!B12</f>
        <v>NAC @ 0.10%</v>
      </c>
      <c r="C96" s="3428"/>
      <c r="D96" s="3428"/>
      <c r="E96" s="3429"/>
      <c r="F96" s="1758"/>
      <c r="G96" s="1758"/>
      <c r="H96" s="1741">
        <f>GA!E11</f>
        <v>39725</v>
      </c>
      <c r="I96" s="3405"/>
      <c r="J96" s="3407"/>
    </row>
    <row r="97" spans="1:19" ht="18.75" customHeight="1">
      <c r="A97" s="1745">
        <f t="shared" si="11"/>
        <v>3</v>
      </c>
      <c r="B97" s="3427" t="str">
        <f>[232]GA!B13</f>
        <v>Seignarage Charges</v>
      </c>
      <c r="C97" s="3428"/>
      <c r="D97" s="3428"/>
      <c r="E97" s="3429"/>
      <c r="F97" s="1758"/>
      <c r="G97" s="1758"/>
      <c r="H97" s="1741">
        <f>GA!E12</f>
        <v>577675</v>
      </c>
      <c r="I97" s="3405"/>
      <c r="J97" s="3407"/>
    </row>
    <row r="98" spans="1:19" ht="30.75" customHeight="1">
      <c r="A98" s="1745">
        <f t="shared" si="11"/>
        <v>4</v>
      </c>
      <c r="B98" s="3427" t="str">
        <f>[232]GA!B14</f>
        <v>Add DMF @ 30% on Seignarage amount</v>
      </c>
      <c r="C98" s="3428"/>
      <c r="D98" s="3428"/>
      <c r="E98" s="3429"/>
      <c r="F98" s="1758"/>
      <c r="G98" s="1758"/>
      <c r="H98" s="1741">
        <f>GA!E13</f>
        <v>173303</v>
      </c>
      <c r="I98" s="3405"/>
      <c r="J98" s="3407"/>
    </row>
    <row r="99" spans="1:19" ht="28.95" customHeight="1">
      <c r="A99" s="1745">
        <f t="shared" si="11"/>
        <v>5</v>
      </c>
      <c r="B99" s="3427" t="str">
        <f>[232]GA!B15</f>
        <v>Add SMET @2% on Seignarage amount</v>
      </c>
      <c r="C99" s="3428"/>
      <c r="D99" s="3428"/>
      <c r="E99" s="3429"/>
      <c r="F99" s="1758"/>
      <c r="G99" s="1758"/>
      <c r="H99" s="1741">
        <f>GA!E14</f>
        <v>11554</v>
      </c>
      <c r="I99" s="3405"/>
      <c r="J99" s="3407"/>
      <c r="O99" s="1563">
        <v>548734</v>
      </c>
      <c r="P99" s="1563">
        <v>568729</v>
      </c>
      <c r="S99" s="1563">
        <f>O99-P99</f>
        <v>-19995</v>
      </c>
    </row>
    <row r="100" spans="1:19" ht="28.95" customHeight="1">
      <c r="A100" s="1745">
        <f t="shared" si="11"/>
        <v>6</v>
      </c>
      <c r="B100" s="3427" t="str">
        <f>GA!B15</f>
        <v>Add 0.8 times permit fee on Seign Charges</v>
      </c>
      <c r="C100" s="3428"/>
      <c r="D100" s="3428"/>
      <c r="E100" s="3429"/>
      <c r="F100" s="1758"/>
      <c r="G100" s="1758"/>
      <c r="H100" s="1741">
        <f>GA!E15</f>
        <v>462140</v>
      </c>
      <c r="I100" s="2106"/>
      <c r="J100" s="2107"/>
    </row>
    <row r="101" spans="1:19" ht="22.95" customHeight="1">
      <c r="A101" s="1745">
        <f t="shared" si="11"/>
        <v>7</v>
      </c>
      <c r="B101" s="3427" t="s">
        <v>564</v>
      </c>
      <c r="C101" s="3428"/>
      <c r="D101" s="3428"/>
      <c r="E101" s="3429"/>
      <c r="F101" s="1758"/>
      <c r="G101" s="1758"/>
      <c r="H101" s="1741">
        <f>GA!E18</f>
        <v>7487999</v>
      </c>
      <c r="I101" s="3405"/>
      <c r="J101" s="3407"/>
      <c r="O101" s="1563">
        <v>199305</v>
      </c>
      <c r="P101" s="1563">
        <v>202046</v>
      </c>
      <c r="S101" s="1563">
        <f t="shared" ref="S101:S103" si="12">O101-P101</f>
        <v>-2741</v>
      </c>
    </row>
    <row r="102" spans="1:19" ht="42.75" customHeight="1">
      <c r="A102" s="1745">
        <f t="shared" si="11"/>
        <v>8</v>
      </c>
      <c r="B102" s="3427" t="s">
        <v>565</v>
      </c>
      <c r="C102" s="3428"/>
      <c r="D102" s="3428"/>
      <c r="E102" s="3429"/>
      <c r="F102" s="1757"/>
      <c r="G102" s="1757"/>
      <c r="H102" s="1741">
        <f>GA!E19</f>
        <v>912007</v>
      </c>
      <c r="I102" s="3405"/>
      <c r="J102" s="3407"/>
      <c r="K102" s="1791">
        <f>L4</f>
        <v>500</v>
      </c>
      <c r="O102" s="1563">
        <v>4231119</v>
      </c>
      <c r="P102" s="1563">
        <v>4185149</v>
      </c>
      <c r="S102" s="1563">
        <f t="shared" si="12"/>
        <v>45970</v>
      </c>
    </row>
    <row r="103" spans="1:19" ht="18" customHeight="1">
      <c r="A103" s="1745"/>
      <c r="B103" s="3430" t="s">
        <v>566</v>
      </c>
      <c r="C103" s="3431"/>
      <c r="D103" s="3432"/>
      <c r="E103" s="1759"/>
      <c r="G103" s="1758"/>
      <c r="H103" s="1760" t="e">
        <f>SUBTOTAL(9,H94:H102)</f>
        <v>#REF!</v>
      </c>
      <c r="I103" s="1760"/>
      <c r="J103" s="1760"/>
      <c r="K103" s="1792" t="e">
        <f>K102*100000-SUM(H94:I96)</f>
        <v>#REF!</v>
      </c>
      <c r="O103" s="1563">
        <f>O99+O101+O102</f>
        <v>4979158</v>
      </c>
      <c r="P103" s="1563">
        <f>P99+P101+P102</f>
        <v>4955924</v>
      </c>
      <c r="S103" s="1563">
        <f t="shared" si="12"/>
        <v>23234</v>
      </c>
    </row>
    <row r="104" spans="1:19" s="1564" customFormat="1" ht="18" hidden="1" customHeight="1">
      <c r="A104" s="1761"/>
      <c r="B104" s="1762"/>
      <c r="C104" s="1762"/>
      <c r="D104" s="1762"/>
      <c r="E104" s="1763"/>
      <c r="F104" s="1764"/>
      <c r="G104" s="1764"/>
      <c r="H104" s="1763"/>
      <c r="I104" s="1793"/>
      <c r="J104" s="1794"/>
      <c r="K104" s="1795"/>
    </row>
    <row r="105" spans="1:19" s="1564" customFormat="1" ht="18" hidden="1" customHeight="1">
      <c r="A105" s="1765"/>
      <c r="B105" s="3433" t="s">
        <v>567</v>
      </c>
      <c r="C105" s="3433"/>
      <c r="D105" s="3433"/>
      <c r="E105" s="1766">
        <f>E103</f>
        <v>0</v>
      </c>
      <c r="F105" s="1767"/>
      <c r="G105" s="1768" t="s">
        <v>568</v>
      </c>
      <c r="H105" s="1766">
        <f>I103</f>
        <v>0</v>
      </c>
      <c r="I105" s="1796"/>
      <c r="J105" s="1796"/>
      <c r="K105" s="1795"/>
    </row>
    <row r="106" spans="1:19" s="1564" customFormat="1" ht="18" hidden="1" customHeight="1">
      <c r="A106" s="1765"/>
      <c r="B106" s="3433" t="s">
        <v>569</v>
      </c>
      <c r="C106" s="3433"/>
      <c r="D106" s="3433"/>
      <c r="E106" s="1766" t="e">
        <f>H103</f>
        <v>#REF!</v>
      </c>
      <c r="F106" s="1767"/>
      <c r="G106" s="1768" t="s">
        <v>570</v>
      </c>
      <c r="H106" s="1766">
        <f>J103</f>
        <v>0</v>
      </c>
      <c r="I106" s="1796"/>
      <c r="J106" s="1796"/>
      <c r="K106" s="1795"/>
    </row>
    <row r="107" spans="1:19" s="1564" customFormat="1" ht="18" hidden="1" customHeight="1">
      <c r="A107" s="1765"/>
      <c r="B107" s="3433" t="s">
        <v>571</v>
      </c>
      <c r="C107" s="3433"/>
      <c r="D107" s="3433"/>
      <c r="E107" s="1769" t="e">
        <f>E105-E106</f>
        <v>#REF!</v>
      </c>
      <c r="F107" s="1767"/>
      <c r="G107" s="1768" t="s">
        <v>454</v>
      </c>
      <c r="H107" s="1769">
        <f>H105-H106</f>
        <v>0</v>
      </c>
      <c r="I107" s="1796"/>
      <c r="J107" s="1796"/>
      <c r="K107" s="1795"/>
    </row>
    <row r="108" spans="1:19" s="1564" customFormat="1" ht="45.75" hidden="1" customHeight="1">
      <c r="A108" s="1770"/>
      <c r="B108" s="3434" t="s">
        <v>572</v>
      </c>
      <c r="C108" s="3434"/>
      <c r="D108" s="3434"/>
      <c r="E108" s="3434"/>
      <c r="F108" s="3434"/>
      <c r="G108" s="3434"/>
      <c r="H108" s="3434"/>
      <c r="I108" s="3434"/>
      <c r="J108" s="3435"/>
      <c r="K108" s="1795"/>
    </row>
    <row r="109" spans="1:19" ht="17.399999999999999" customHeight="1">
      <c r="A109" s="1771"/>
      <c r="B109" s="3436" t="s">
        <v>573</v>
      </c>
      <c r="C109" s="3436"/>
      <c r="D109" s="3436"/>
      <c r="E109" s="3436"/>
      <c r="F109" s="3436"/>
      <c r="G109" s="3436"/>
      <c r="H109" s="3436"/>
      <c r="I109" s="3436"/>
      <c r="J109" s="1797"/>
    </row>
    <row r="110" spans="1:19" ht="16.95" customHeight="1">
      <c r="A110" s="1772"/>
      <c r="B110" s="3437" t="s">
        <v>574</v>
      </c>
      <c r="C110" s="3437"/>
      <c r="D110" s="3437"/>
      <c r="E110" s="3437"/>
      <c r="F110" s="3437"/>
      <c r="G110" s="3437"/>
      <c r="H110" s="3438" t="s">
        <v>2628</v>
      </c>
      <c r="I110" s="3439"/>
      <c r="J110" s="1798"/>
    </row>
    <row r="111" spans="1:19" s="1567" customFormat="1" ht="26.25" customHeight="1">
      <c r="A111" s="1773">
        <v>14</v>
      </c>
      <c r="B111" s="1774" t="s">
        <v>575</v>
      </c>
      <c r="C111" s="1774"/>
      <c r="D111" s="1774"/>
      <c r="E111" s="1774"/>
      <c r="F111" s="1774"/>
      <c r="G111" s="1774"/>
      <c r="H111" s="1774"/>
      <c r="I111" s="1774"/>
      <c r="J111" s="1799"/>
      <c r="K111" s="1800"/>
    </row>
    <row r="112" spans="1:19" ht="36.75" customHeight="1">
      <c r="A112" s="1775" t="s">
        <v>576</v>
      </c>
      <c r="B112" s="3440" t="s">
        <v>577</v>
      </c>
      <c r="C112" s="3440"/>
      <c r="D112" s="3440"/>
      <c r="E112" s="3440" t="s">
        <v>578</v>
      </c>
      <c r="F112" s="3440"/>
      <c r="G112" s="1579" t="s">
        <v>579</v>
      </c>
      <c r="H112" s="1654" t="s">
        <v>580</v>
      </c>
      <c r="I112" s="3441" t="s">
        <v>581</v>
      </c>
      <c r="J112" s="3441"/>
      <c r="L112" s="1801" t="s">
        <v>405</v>
      </c>
      <c r="M112" s="1802" t="str">
        <f>'Input Data'!D15</f>
        <v>Local</v>
      </c>
      <c r="N112" s="1803">
        <f>'Input Data'!E15</f>
        <v>10</v>
      </c>
      <c r="P112" s="1804"/>
      <c r="Q112" s="1815"/>
      <c r="R112" s="1816"/>
    </row>
    <row r="113" spans="1:18" ht="15" customHeight="1">
      <c r="A113" s="1776">
        <v>1</v>
      </c>
      <c r="B113" s="3319" t="s">
        <v>582</v>
      </c>
      <c r="C113" s="3319"/>
      <c r="D113" s="3319"/>
      <c r="E113" s="3442">
        <f>'Input Data'!I24</f>
        <v>5000</v>
      </c>
      <c r="F113" s="3443"/>
      <c r="G113" s="1776" t="s">
        <v>66</v>
      </c>
      <c r="H113" s="1777"/>
      <c r="I113" s="3444" t="str">
        <f>'Input Data'!H24</f>
        <v>Cement, NOV' 2024</v>
      </c>
      <c r="J113" s="3445"/>
      <c r="L113" s="1801" t="s">
        <v>583</v>
      </c>
      <c r="M113" s="1802" t="str">
        <f>'Input Data'!D19</f>
        <v>Local</v>
      </c>
      <c r="N113" s="1803">
        <f>'Input Data'!E19</f>
        <v>5</v>
      </c>
      <c r="P113" s="1805"/>
      <c r="Q113" s="1815"/>
      <c r="R113" s="1816"/>
    </row>
    <row r="114" spans="1:18" ht="35.25" customHeight="1">
      <c r="A114" s="1776">
        <v>2</v>
      </c>
      <c r="B114" s="3446" t="s">
        <v>584</v>
      </c>
      <c r="C114" s="3447"/>
      <c r="D114" s="3448"/>
      <c r="E114" s="3442">
        <f>'Input Data'!I25</f>
        <v>49000</v>
      </c>
      <c r="F114" s="3443"/>
      <c r="G114" s="1776" t="s">
        <v>66</v>
      </c>
      <c r="H114" s="1777"/>
      <c r="I114" s="3444" t="str">
        <f>'Input Data'!H25</f>
        <v>Steel HYSD-Fe-500 Bars, NOV' 2024</v>
      </c>
      <c r="J114" s="3445"/>
      <c r="L114" s="1801" t="s">
        <v>585</v>
      </c>
      <c r="M114" s="1802" t="str">
        <f>'Input Data'!D13</f>
        <v>Makthal(Warkur)</v>
      </c>
      <c r="N114" s="1803">
        <f>'Input Data'!E13</f>
        <v>78</v>
      </c>
      <c r="P114" s="1805"/>
      <c r="Q114" s="1815"/>
      <c r="R114" s="1816"/>
    </row>
    <row r="115" spans="1:18" ht="15.75" customHeight="1">
      <c r="A115" s="1776">
        <v>3</v>
      </c>
      <c r="B115" s="3449" t="str">
        <f>"BT (60/70 grade) -("&amp;M119&amp;")"</f>
        <v>BT (60/70 grade) -(Chennai)</v>
      </c>
      <c r="C115" s="3449"/>
      <c r="D115" s="3449"/>
      <c r="E115" s="3442">
        <f>'Input Data'!J14</f>
        <v>43582</v>
      </c>
      <c r="F115" s="3443"/>
      <c r="G115" s="1776" t="s">
        <v>66</v>
      </c>
      <c r="H115" s="1778">
        <f>N119</f>
        <v>650</v>
      </c>
      <c r="I115" s="3450">
        <f>'Input Data'!H14</f>
        <v>45627</v>
      </c>
      <c r="J115" s="3451"/>
      <c r="L115" s="1801" t="s">
        <v>402</v>
      </c>
      <c r="M115" s="1802" t="str">
        <f>'Input Data'!D14</f>
        <v>Local</v>
      </c>
      <c r="N115" s="1803">
        <f>'Input Data'!E14</f>
        <v>5</v>
      </c>
      <c r="P115" s="1805"/>
      <c r="Q115" s="1815"/>
      <c r="R115" s="1816"/>
    </row>
    <row r="116" spans="1:18" ht="15.75" customHeight="1">
      <c r="A116" s="1776">
        <v>4</v>
      </c>
      <c r="B116" s="3319" t="s">
        <v>586</v>
      </c>
      <c r="C116" s="3319"/>
      <c r="D116" s="3319"/>
      <c r="E116" s="3442">
        <f>'Input Data'!J15</f>
        <v>74996</v>
      </c>
      <c r="F116" s="3443"/>
      <c r="G116" s="1776" t="s">
        <v>66</v>
      </c>
      <c r="H116" s="1778">
        <f>H115</f>
        <v>650</v>
      </c>
      <c r="I116" s="3452" t="s">
        <v>587</v>
      </c>
      <c r="J116" s="3445"/>
      <c r="L116" s="1801"/>
      <c r="M116" s="1802"/>
      <c r="N116" s="1803"/>
      <c r="P116" s="1805"/>
      <c r="Q116" s="1815"/>
      <c r="R116" s="1816"/>
    </row>
    <row r="117" spans="1:18" ht="15.75" customHeight="1">
      <c r="A117" s="1776">
        <v>5</v>
      </c>
      <c r="B117" s="3319" t="s">
        <v>588</v>
      </c>
      <c r="C117" s="3319"/>
      <c r="D117" s="3319"/>
      <c r="E117" s="3442">
        <f>'Input Data'!J16</f>
        <v>41736</v>
      </c>
      <c r="F117" s="3443"/>
      <c r="G117" s="1776" t="s">
        <v>66</v>
      </c>
      <c r="H117" s="1778">
        <f>H116</f>
        <v>650</v>
      </c>
      <c r="I117" s="3452" t="s">
        <v>587</v>
      </c>
      <c r="J117" s="3445"/>
      <c r="L117" s="1801" t="s">
        <v>589</v>
      </c>
      <c r="M117" s="1802" t="str">
        <f>'Input Data'!D21</f>
        <v>MBNR(Palkonda)</v>
      </c>
      <c r="N117" s="1803">
        <f>'Input Data'!E21</f>
        <v>48</v>
      </c>
      <c r="P117" s="1805"/>
      <c r="Q117" s="1815"/>
      <c r="R117" s="1816"/>
    </row>
    <row r="118" spans="1:18" ht="15.75" customHeight="1">
      <c r="A118" s="1776">
        <v>6</v>
      </c>
      <c r="B118" s="3319" t="s">
        <v>590</v>
      </c>
      <c r="C118" s="3319"/>
      <c r="D118" s="3319"/>
      <c r="E118" s="3453" t="s">
        <v>591</v>
      </c>
      <c r="F118" s="3443"/>
      <c r="G118" s="1776" t="s">
        <v>73</v>
      </c>
      <c r="H118" s="1778">
        <f>N117</f>
        <v>48</v>
      </c>
      <c r="I118" s="3454" t="str">
        <f>M117</f>
        <v>MBNR(Palkonda)</v>
      </c>
      <c r="J118" s="3455"/>
      <c r="L118" s="1801" t="s">
        <v>592</v>
      </c>
      <c r="M118" s="1802" t="str">
        <f>M117</f>
        <v>MBNR(Palkonda)</v>
      </c>
      <c r="N118" s="1803">
        <f>N117</f>
        <v>48</v>
      </c>
      <c r="P118" s="1806"/>
      <c r="Q118" s="1815"/>
      <c r="R118" s="1816"/>
    </row>
    <row r="119" spans="1:18" ht="15.75" customHeight="1">
      <c r="A119" s="1776">
        <v>7</v>
      </c>
      <c r="B119" s="3319" t="s">
        <v>593</v>
      </c>
      <c r="C119" s="3319"/>
      <c r="D119" s="3319"/>
      <c r="E119" s="3453" t="s">
        <v>591</v>
      </c>
      <c r="F119" s="3443"/>
      <c r="G119" s="1776" t="s">
        <v>73</v>
      </c>
      <c r="H119" s="1778">
        <f>N118</f>
        <v>48</v>
      </c>
      <c r="I119" s="3454" t="str">
        <f>M118</f>
        <v>MBNR(Palkonda)</v>
      </c>
      <c r="J119" s="3455"/>
      <c r="L119" s="1801" t="s">
        <v>594</v>
      </c>
      <c r="M119" s="1802" t="s">
        <v>595</v>
      </c>
      <c r="N119" s="1803">
        <f>'Input Data'!E20</f>
        <v>650</v>
      </c>
      <c r="P119" s="1806"/>
      <c r="Q119" s="1815"/>
      <c r="R119" s="1816"/>
    </row>
    <row r="120" spans="1:18" ht="15.75" customHeight="1">
      <c r="A120" s="1776">
        <v>8</v>
      </c>
      <c r="B120" s="3319" t="s">
        <v>585</v>
      </c>
      <c r="C120" s="3319"/>
      <c r="D120" s="3319"/>
      <c r="E120" s="3453" t="s">
        <v>591</v>
      </c>
      <c r="F120" s="3443"/>
      <c r="G120" s="1776" t="s">
        <v>73</v>
      </c>
      <c r="H120" s="1778">
        <f>N114</f>
        <v>78</v>
      </c>
      <c r="I120" s="3454" t="str">
        <f>M114</f>
        <v>Makthal(Warkur)</v>
      </c>
      <c r="J120" s="3455"/>
      <c r="L120" s="1801"/>
      <c r="M120" s="1802"/>
      <c r="N120" s="1803"/>
      <c r="P120" s="1807"/>
      <c r="Q120" s="1815"/>
      <c r="R120" s="1816"/>
    </row>
    <row r="121" spans="1:18" ht="15.75" customHeight="1">
      <c r="A121" s="1776">
        <v>9</v>
      </c>
      <c r="B121" s="3319" t="str">
        <f>L121</f>
        <v>Manufactured Sand (Rock Sand)</v>
      </c>
      <c r="C121" s="3319"/>
      <c r="D121" s="3319"/>
      <c r="E121" s="3453" t="s">
        <v>591</v>
      </c>
      <c r="F121" s="3443"/>
      <c r="G121" s="1776" t="s">
        <v>73</v>
      </c>
      <c r="H121" s="1778">
        <f>N121</f>
        <v>48</v>
      </c>
      <c r="I121" s="3454" t="str">
        <f>M121</f>
        <v>MBNR(Palkonda)</v>
      </c>
      <c r="J121" s="3455"/>
      <c r="L121" s="1801" t="str">
        <f>'Input Data'!C12</f>
        <v>Manufactured Sand (Rock Sand)</v>
      </c>
      <c r="M121" s="1802" t="str">
        <f>'Input Data'!D12</f>
        <v>MBNR(Palkonda)</v>
      </c>
      <c r="N121" s="1803">
        <f>'Input Data'!E12</f>
        <v>48</v>
      </c>
      <c r="P121" s="1807"/>
      <c r="Q121" s="1815"/>
      <c r="R121" s="1816"/>
    </row>
    <row r="122" spans="1:18" ht="15.75" customHeight="1">
      <c r="A122" s="1776">
        <v>10</v>
      </c>
      <c r="B122" s="3319" t="s">
        <v>596</v>
      </c>
      <c r="C122" s="3319"/>
      <c r="D122" s="3319"/>
      <c r="E122" s="3453" t="s">
        <v>591</v>
      </c>
      <c r="F122" s="3443"/>
      <c r="G122" s="1776" t="s">
        <v>73</v>
      </c>
      <c r="H122" s="1778">
        <f>N115</f>
        <v>5</v>
      </c>
      <c r="I122" s="3454" t="str">
        <f>M115</f>
        <v>Local</v>
      </c>
      <c r="J122" s="3455"/>
      <c r="L122" s="1801" t="s">
        <v>597</v>
      </c>
      <c r="M122" s="1802" t="str">
        <f>'Input Data'!D16</f>
        <v>Kotakota</v>
      </c>
      <c r="N122" s="1803">
        <f>'Input Data'!E16</f>
        <v>84</v>
      </c>
      <c r="P122" s="1805"/>
      <c r="Q122" s="1815"/>
      <c r="R122" s="1816"/>
    </row>
    <row r="123" spans="1:18" ht="15.75" customHeight="1">
      <c r="A123" s="1776">
        <v>11</v>
      </c>
      <c r="B123" s="3319" t="s">
        <v>598</v>
      </c>
      <c r="C123" s="3319"/>
      <c r="D123" s="3319"/>
      <c r="E123" s="3453" t="s">
        <v>591</v>
      </c>
      <c r="F123" s="3443"/>
      <c r="G123" s="1776" t="s">
        <v>73</v>
      </c>
      <c r="H123" s="1778">
        <f>N112</f>
        <v>10</v>
      </c>
      <c r="I123" s="3454" t="str">
        <f>M112</f>
        <v>Local</v>
      </c>
      <c r="J123" s="3455"/>
      <c r="L123" s="1808" t="s">
        <v>599</v>
      </c>
      <c r="M123" s="1802">
        <f t="shared" ref="M123:M125" si="13">Q123</f>
        <v>0</v>
      </c>
      <c r="N123" s="1809">
        <f>'Input Data'!D23</f>
        <v>0</v>
      </c>
      <c r="P123" s="1810"/>
      <c r="Q123" s="1817"/>
      <c r="R123" s="1817"/>
    </row>
    <row r="124" spans="1:18" ht="15.75" customHeight="1">
      <c r="A124" s="1776">
        <v>12</v>
      </c>
      <c r="B124" s="3319" t="s">
        <v>583</v>
      </c>
      <c r="C124" s="3319"/>
      <c r="D124" s="3319"/>
      <c r="E124" s="3453" t="s">
        <v>591</v>
      </c>
      <c r="F124" s="3443"/>
      <c r="G124" s="1776" t="s">
        <v>73</v>
      </c>
      <c r="H124" s="1778">
        <f>N113</f>
        <v>5</v>
      </c>
      <c r="I124" s="3454" t="str">
        <f>M113</f>
        <v>Local</v>
      </c>
      <c r="J124" s="3455"/>
      <c r="L124" s="1801" t="s">
        <v>421</v>
      </c>
      <c r="M124" s="1802">
        <f t="shared" si="13"/>
        <v>0</v>
      </c>
      <c r="N124" s="1803" t="s">
        <v>422</v>
      </c>
      <c r="P124" s="1811"/>
      <c r="Q124" s="1817"/>
      <c r="R124" s="1817"/>
    </row>
    <row r="125" spans="1:18" ht="15.75" customHeight="1">
      <c r="A125" s="1776">
        <v>13</v>
      </c>
      <c r="B125" s="3319" t="s">
        <v>597</v>
      </c>
      <c r="C125" s="3319"/>
      <c r="D125" s="3319"/>
      <c r="E125" s="3453" t="s">
        <v>591</v>
      </c>
      <c r="F125" s="3443"/>
      <c r="G125" s="1776" t="s">
        <v>600</v>
      </c>
      <c r="H125" s="1778">
        <f>N122</f>
        <v>84</v>
      </c>
      <c r="I125" s="3454" t="str">
        <f>M122</f>
        <v>Kotakota</v>
      </c>
      <c r="J125" s="3455"/>
      <c r="L125" s="1808" t="s">
        <v>601</v>
      </c>
      <c r="M125" s="1802">
        <f t="shared" si="13"/>
        <v>0</v>
      </c>
      <c r="N125" s="1803">
        <v>2</v>
      </c>
      <c r="P125" s="1810"/>
      <c r="Q125" s="1817"/>
      <c r="R125" s="1817"/>
    </row>
    <row r="126" spans="1:18" ht="15.75" customHeight="1">
      <c r="A126" s="1776">
        <v>14</v>
      </c>
      <c r="B126" s="3319" t="s">
        <v>602</v>
      </c>
      <c r="C126" s="3319"/>
      <c r="D126" s="3319"/>
      <c r="E126" s="3443"/>
      <c r="F126" s="3443"/>
      <c r="G126" s="1776"/>
      <c r="H126" s="1778"/>
      <c r="I126" s="3456">
        <f>N123/100</f>
        <v>0</v>
      </c>
      <c r="J126" s="3456"/>
      <c r="L126" s="1812"/>
      <c r="M126" s="1813"/>
      <c r="N126" s="1813"/>
    </row>
    <row r="127" spans="1:18" ht="15.75" customHeight="1">
      <c r="A127" s="1776">
        <v>15</v>
      </c>
      <c r="B127" s="3319" t="s">
        <v>603</v>
      </c>
      <c r="C127" s="3319"/>
      <c r="D127" s="3319"/>
      <c r="E127" s="3443"/>
      <c r="F127" s="3443"/>
      <c r="G127" s="1776"/>
      <c r="H127" s="1778"/>
      <c r="I127" s="3443" t="str">
        <f>N124</f>
        <v>N</v>
      </c>
      <c r="J127" s="3443"/>
      <c r="L127" s="1812"/>
      <c r="M127" s="1813"/>
      <c r="N127" s="1813"/>
    </row>
    <row r="128" spans="1:18" ht="18.75" customHeight="1">
      <c r="A128" s="1771"/>
      <c r="B128" s="3457"/>
      <c r="C128" s="3457"/>
      <c r="D128" s="3457"/>
      <c r="E128" s="3457"/>
      <c r="F128" s="3457"/>
      <c r="G128" s="3457"/>
      <c r="H128" s="3457"/>
      <c r="I128" s="3457"/>
      <c r="J128" s="3458"/>
    </row>
    <row r="129" spans="1:13">
      <c r="B129" s="3459" t="str">
        <f>"             The Following points are observed during scrutiny of the estiamte submitted by the SE PR."&amp;L1</f>
        <v xml:space="preserve">             The Following points are observed during scrutiny of the estiamte submitted by the SE PR.Vikarabad</v>
      </c>
      <c r="C129" s="3459"/>
      <c r="D129" s="3459"/>
      <c r="E129" s="3459"/>
      <c r="F129" s="3459"/>
      <c r="G129" s="3459"/>
      <c r="H129" s="3459"/>
      <c r="I129" s="3459"/>
      <c r="J129" s="3459"/>
      <c r="L129" s="1814" t="s">
        <v>604</v>
      </c>
      <c r="M129" s="1814"/>
    </row>
    <row r="130" spans="1:13" ht="43.5" customHeight="1">
      <c r="A130" s="2074">
        <v>1</v>
      </c>
      <c r="B130" s="3460" t="s">
        <v>605</v>
      </c>
      <c r="C130" s="3460"/>
      <c r="D130" s="3460"/>
      <c r="E130" s="3460"/>
      <c r="F130" s="3460"/>
      <c r="G130" s="3460"/>
      <c r="H130" s="3460"/>
      <c r="I130" s="3460"/>
      <c r="J130" s="3460"/>
      <c r="L130" s="1846">
        <f>N7</f>
        <v>0</v>
      </c>
      <c r="M130" s="1814" t="s">
        <v>606</v>
      </c>
    </row>
    <row r="131" spans="1:13" ht="36" customHeight="1">
      <c r="A131" s="2074">
        <v>2</v>
      </c>
      <c r="B131" s="3460" t="s">
        <v>607</v>
      </c>
      <c r="C131" s="3460"/>
      <c r="D131" s="3460"/>
      <c r="E131" s="3460"/>
      <c r="F131" s="3460"/>
      <c r="G131" s="3460"/>
      <c r="H131" s="3460"/>
      <c r="I131" s="3460"/>
      <c r="J131" s="3460"/>
    </row>
    <row r="132" spans="1:13" ht="38.25" customHeight="1">
      <c r="A132" s="2074">
        <v>3</v>
      </c>
      <c r="B132" s="3460" t="s">
        <v>608</v>
      </c>
      <c r="C132" s="3460"/>
      <c r="D132" s="3460"/>
      <c r="E132" s="3460"/>
      <c r="F132" s="3460"/>
      <c r="G132" s="3460"/>
      <c r="H132" s="3460"/>
      <c r="I132" s="3460"/>
      <c r="J132" s="3460"/>
      <c r="K132" s="1563"/>
    </row>
    <row r="133" spans="1:13" ht="31.5" customHeight="1">
      <c r="A133" s="2074">
        <v>4</v>
      </c>
      <c r="B133" s="3460" t="s">
        <v>609</v>
      </c>
      <c r="C133" s="3460"/>
      <c r="D133" s="3460"/>
      <c r="E133" s="3460"/>
      <c r="F133" s="3460"/>
      <c r="G133" s="3460"/>
      <c r="H133" s="3460"/>
      <c r="I133" s="3460"/>
      <c r="J133" s="3460"/>
      <c r="K133" s="1563"/>
    </row>
    <row r="134" spans="1:13" ht="34.5" customHeight="1">
      <c r="A134" s="2074">
        <v>5</v>
      </c>
      <c r="B134" s="3461" t="s">
        <v>610</v>
      </c>
      <c r="C134" s="3461"/>
      <c r="D134" s="3461"/>
      <c r="E134" s="3461"/>
      <c r="F134" s="3461"/>
      <c r="G134" s="3461"/>
      <c r="H134" s="3461"/>
      <c r="I134" s="3461"/>
      <c r="J134" s="3461"/>
      <c r="K134" s="1563"/>
    </row>
    <row r="135" spans="1:13" ht="62.25" customHeight="1">
      <c r="A135" s="2074">
        <v>6</v>
      </c>
      <c r="B135" s="3461" t="s">
        <v>611</v>
      </c>
      <c r="C135" s="3461"/>
      <c r="D135" s="3461"/>
      <c r="E135" s="3461"/>
      <c r="F135" s="3461"/>
      <c r="G135" s="3461"/>
      <c r="H135" s="3461"/>
      <c r="I135" s="3461"/>
      <c r="J135" s="3461"/>
      <c r="K135" s="1563"/>
    </row>
    <row r="136" spans="1:13" s="1569" customFormat="1" ht="39.75" customHeight="1">
      <c r="A136" s="2075">
        <v>7</v>
      </c>
      <c r="B136" s="3461" t="s">
        <v>2593</v>
      </c>
      <c r="C136" s="3461"/>
      <c r="D136" s="3461"/>
      <c r="E136" s="3461"/>
      <c r="F136" s="3461"/>
      <c r="G136" s="3461"/>
      <c r="H136" s="3461"/>
      <c r="I136" s="3461"/>
      <c r="J136" s="3461"/>
    </row>
    <row r="137" spans="1:13" ht="35.25" customHeight="1">
      <c r="A137" s="2074">
        <v>8</v>
      </c>
      <c r="B137" s="3461" t="s">
        <v>2594</v>
      </c>
      <c r="C137" s="3461"/>
      <c r="D137" s="3461"/>
      <c r="E137" s="3461"/>
      <c r="F137" s="3461"/>
      <c r="G137" s="3461"/>
      <c r="H137" s="3461"/>
      <c r="I137" s="3461"/>
      <c r="J137" s="3461"/>
      <c r="K137" s="1563"/>
    </row>
    <row r="138" spans="1:13" ht="35.25" customHeight="1">
      <c r="A138" s="2074">
        <v>9</v>
      </c>
      <c r="B138" s="3461" t="s">
        <v>2596</v>
      </c>
      <c r="C138" s="3461"/>
      <c r="D138" s="3461"/>
      <c r="E138" s="3461"/>
      <c r="F138" s="3461"/>
      <c r="G138" s="3461"/>
      <c r="H138" s="3461"/>
      <c r="I138" s="3461"/>
      <c r="J138" s="3461"/>
      <c r="K138" s="1563"/>
    </row>
    <row r="139" spans="1:13" ht="39" customHeight="1">
      <c r="A139" s="2074">
        <v>10</v>
      </c>
      <c r="B139" s="3461" t="s">
        <v>612</v>
      </c>
      <c r="C139" s="3461"/>
      <c r="D139" s="3461"/>
      <c r="E139" s="3461"/>
      <c r="F139" s="3461"/>
      <c r="G139" s="3461"/>
      <c r="H139" s="3461"/>
      <c r="I139" s="3461"/>
      <c r="J139" s="3461"/>
      <c r="K139" s="1563"/>
    </row>
    <row r="140" spans="1:13" ht="57.9" customHeight="1">
      <c r="A140" s="2074">
        <v>11</v>
      </c>
      <c r="B140" s="3461" t="s">
        <v>613</v>
      </c>
      <c r="C140" s="3461"/>
      <c r="D140" s="3461"/>
      <c r="E140" s="3461"/>
      <c r="F140" s="3461"/>
      <c r="G140" s="3461"/>
      <c r="H140" s="3461"/>
      <c r="I140" s="3461"/>
      <c r="J140" s="3461"/>
      <c r="K140" s="1563"/>
    </row>
    <row r="141" spans="1:13" ht="81.900000000000006" customHeight="1">
      <c r="A141" s="2074">
        <v>12</v>
      </c>
      <c r="B141" s="3460" t="s">
        <v>2597</v>
      </c>
      <c r="C141" s="3460"/>
      <c r="D141" s="3460"/>
      <c r="E141" s="3460"/>
      <c r="F141" s="3460"/>
      <c r="G141" s="3460"/>
      <c r="H141" s="3460"/>
      <c r="I141" s="3460"/>
      <c r="J141" s="3460"/>
      <c r="K141" s="1563"/>
    </row>
    <row r="142" spans="1:13" ht="56.1" customHeight="1">
      <c r="A142" s="2074">
        <v>13</v>
      </c>
      <c r="B142" s="3462" t="s">
        <v>2617</v>
      </c>
      <c r="C142" s="3462"/>
      <c r="D142" s="3462"/>
      <c r="E142" s="3462"/>
      <c r="F142" s="3462"/>
      <c r="G142" s="3462"/>
      <c r="H142" s="3462"/>
      <c r="I142" s="3462"/>
      <c r="J142" s="3462"/>
      <c r="K142" s="1563"/>
    </row>
    <row r="143" spans="1:13" ht="81.75" customHeight="1">
      <c r="A143" s="2074">
        <v>14</v>
      </c>
      <c r="B143" s="3462" t="s">
        <v>2595</v>
      </c>
      <c r="C143" s="3462"/>
      <c r="D143" s="3462"/>
      <c r="E143" s="3462"/>
      <c r="F143" s="3462"/>
      <c r="G143" s="3462"/>
      <c r="H143" s="3462"/>
      <c r="I143" s="3462"/>
      <c r="J143" s="3462"/>
      <c r="K143" s="1563"/>
    </row>
    <row r="144" spans="1:13" ht="23.25" customHeight="1">
      <c r="A144" s="1572">
        <v>15</v>
      </c>
      <c r="B144" s="3463" t="str">
        <f>"The cost of estimate submitted for Rs."&amp;L166&amp;".00 Lakhs as against OAS amount of "&amp;L4&amp;".00 Lakhs "</f>
        <v xml:space="preserve">The cost of estimate submitted for Rs.500.00 Lakhs as against OAS amount of 500.00 Lakhs </v>
      </c>
      <c r="C144" s="3459"/>
      <c r="D144" s="3459"/>
      <c r="E144" s="3459"/>
      <c r="F144" s="3459"/>
      <c r="G144" s="3459"/>
      <c r="H144" s="3459"/>
      <c r="I144" s="3459"/>
      <c r="J144" s="3459"/>
      <c r="K144" s="1563"/>
    </row>
    <row r="145" spans="2:10" ht="58.5" customHeight="1">
      <c r="B145" s="3464" t="s">
        <v>614</v>
      </c>
      <c r="C145" s="3464"/>
      <c r="D145" s="3464"/>
      <c r="E145" s="3464"/>
      <c r="F145" s="3464"/>
      <c r="G145" s="3464"/>
      <c r="H145" s="3464"/>
      <c r="I145" s="3464"/>
      <c r="J145" s="3464"/>
    </row>
    <row r="146" spans="2:10" ht="25.5" customHeight="1">
      <c r="B146" s="3465" t="s">
        <v>615</v>
      </c>
      <c r="C146" s="3465"/>
      <c r="D146" s="3465"/>
      <c r="E146" s="3465"/>
      <c r="F146" s="3465"/>
      <c r="G146" s="3465"/>
      <c r="H146" s="3465"/>
      <c r="I146" s="3465"/>
      <c r="J146" s="3465"/>
    </row>
    <row r="147" spans="2:10" ht="34.950000000000003" customHeight="1">
      <c r="B147" s="1819" t="s">
        <v>616</v>
      </c>
      <c r="C147" s="1779"/>
      <c r="D147" s="1779"/>
      <c r="E147" s="1779"/>
      <c r="F147" s="1779"/>
      <c r="G147" s="1779"/>
      <c r="H147" s="1779"/>
      <c r="I147" s="1779"/>
      <c r="J147" s="1779"/>
    </row>
    <row r="148" spans="2:10" ht="51" customHeight="1">
      <c r="B148" s="3459" t="s">
        <v>617</v>
      </c>
      <c r="C148" s="3459"/>
      <c r="D148" s="3459"/>
      <c r="E148" s="3459"/>
      <c r="F148" s="3459"/>
      <c r="G148" s="3459"/>
      <c r="H148" s="3459"/>
      <c r="I148" s="3459"/>
      <c r="J148" s="3459"/>
    </row>
    <row r="149" spans="2:10" ht="30" customHeight="1">
      <c r="B149" s="1779" t="s">
        <v>618</v>
      </c>
      <c r="C149" s="3466" t="str">
        <f>'Input Data'!E1</f>
        <v>C/o HLB on R/F Amlikunta to Gundumal of Gundumal Mandal of Narayanept District.</v>
      </c>
      <c r="D149" s="3466"/>
      <c r="E149" s="3466"/>
      <c r="F149" s="3466"/>
      <c r="G149" s="3466"/>
      <c r="H149" s="3466"/>
      <c r="I149" s="3466"/>
      <c r="J149" s="1779"/>
    </row>
    <row r="150" spans="2:10" ht="28.5" customHeight="1">
      <c r="B150" s="1779"/>
      <c r="E150" s="3467" t="s">
        <v>619</v>
      </c>
      <c r="F150" s="3467"/>
      <c r="G150" s="1820">
        <f>L4</f>
        <v>500</v>
      </c>
      <c r="H150" s="1821" t="s">
        <v>329</v>
      </c>
      <c r="I150" s="1779"/>
      <c r="J150" s="1779"/>
    </row>
    <row r="151" spans="2:10" ht="33" customHeight="1">
      <c r="B151" s="1822" t="s">
        <v>620</v>
      </c>
      <c r="C151" s="3468" t="s">
        <v>621</v>
      </c>
      <c r="D151" s="3468"/>
      <c r="E151" s="3468"/>
      <c r="F151" s="3468" t="s">
        <v>7</v>
      </c>
      <c r="G151" s="3468"/>
      <c r="H151" s="1823"/>
      <c r="I151" s="1779"/>
      <c r="J151" s="1779"/>
    </row>
    <row r="152" spans="2:10" ht="18" customHeight="1">
      <c r="B152" s="1824">
        <v>1</v>
      </c>
      <c r="C152" s="3469" t="s">
        <v>622</v>
      </c>
      <c r="D152" s="3469"/>
      <c r="E152" s="3469"/>
      <c r="F152" s="3470" t="e">
        <f>GA!#REF!</f>
        <v>#REF!</v>
      </c>
      <c r="G152" s="3470"/>
      <c r="H152" s="1825"/>
      <c r="I152" s="1779"/>
      <c r="J152" s="1779"/>
    </row>
    <row r="153" spans="2:10" ht="18" customHeight="1">
      <c r="B153" s="1824">
        <f>B152+1</f>
        <v>2</v>
      </c>
      <c r="C153" s="3469" t="s">
        <v>623</v>
      </c>
      <c r="D153" s="3469"/>
      <c r="E153" s="3469"/>
      <c r="F153" s="3470">
        <f>GA!E7</f>
        <v>39666042</v>
      </c>
      <c r="G153" s="3470"/>
      <c r="H153" s="1825"/>
      <c r="I153" s="1779"/>
      <c r="J153" s="1779"/>
    </row>
    <row r="154" spans="2:10" ht="18" customHeight="1">
      <c r="B154" s="1824">
        <f>B153+1</f>
        <v>3</v>
      </c>
      <c r="C154" s="3469" t="s">
        <v>560</v>
      </c>
      <c r="D154" s="3469"/>
      <c r="E154" s="3469"/>
      <c r="F154" s="3470">
        <f>GA!E8</f>
        <v>59049</v>
      </c>
      <c r="G154" s="3470"/>
      <c r="H154" s="1825"/>
      <c r="I154" s="1779"/>
      <c r="J154" s="1779"/>
    </row>
    <row r="155" spans="2:10" ht="18" customHeight="1">
      <c r="B155" s="1824">
        <f>B154+1</f>
        <v>4</v>
      </c>
      <c r="C155" s="3469" t="s">
        <v>624</v>
      </c>
      <c r="D155" s="3469"/>
      <c r="E155" s="3469"/>
      <c r="F155" s="3470" t="e">
        <f>GA!#REF!</f>
        <v>#REF!</v>
      </c>
      <c r="G155" s="3470"/>
      <c r="H155" s="1825"/>
      <c r="I155" s="1779"/>
      <c r="J155" s="1779"/>
    </row>
    <row r="156" spans="2:10" ht="18" customHeight="1">
      <c r="B156" s="1824"/>
      <c r="C156" s="3475" t="s">
        <v>625</v>
      </c>
      <c r="D156" s="3476"/>
      <c r="E156" s="3477"/>
      <c r="F156" s="3478" t="e">
        <f>SUBTOTAL(9,F152:F155)</f>
        <v>#REF!</v>
      </c>
      <c r="G156" s="3478"/>
      <c r="H156" s="1825"/>
      <c r="I156" s="1779"/>
      <c r="J156" s="1779"/>
    </row>
    <row r="157" spans="2:10" ht="27" customHeight="1">
      <c r="B157" s="1824">
        <v>4</v>
      </c>
      <c r="C157" s="3469" t="s">
        <v>626</v>
      </c>
      <c r="D157" s="3469"/>
      <c r="E157" s="3469"/>
      <c r="F157" s="3470">
        <f>GA!E10</f>
        <v>198625</v>
      </c>
      <c r="G157" s="3470"/>
      <c r="H157" s="1825"/>
      <c r="I157" s="1779"/>
      <c r="J157" s="1779"/>
    </row>
    <row r="158" spans="2:10" ht="18" customHeight="1">
      <c r="B158" s="1824">
        <f>B157+1</f>
        <v>5</v>
      </c>
      <c r="C158" s="3469" t="s">
        <v>627</v>
      </c>
      <c r="D158" s="3469"/>
      <c r="E158" s="3469"/>
      <c r="F158" s="3470">
        <f>GA!E11</f>
        <v>39725</v>
      </c>
      <c r="G158" s="3470"/>
      <c r="H158" s="1825"/>
      <c r="I158" s="1779"/>
      <c r="J158" s="1779"/>
    </row>
    <row r="159" spans="2:10" ht="18" customHeight="1">
      <c r="B159" s="1824">
        <f>B158+1</f>
        <v>6</v>
      </c>
      <c r="C159" s="3469" t="s">
        <v>628</v>
      </c>
      <c r="D159" s="3469"/>
      <c r="E159" s="3469"/>
      <c r="F159" s="3470">
        <f>GA!E12</f>
        <v>577675</v>
      </c>
      <c r="G159" s="3470"/>
      <c r="H159" s="1825"/>
      <c r="I159" s="1779"/>
      <c r="J159" s="1779"/>
    </row>
    <row r="160" spans="2:10" ht="30" customHeight="1">
      <c r="B160" s="1824">
        <f>B159+1</f>
        <v>7</v>
      </c>
      <c r="C160" s="3469" t="s">
        <v>629</v>
      </c>
      <c r="D160" s="3469"/>
      <c r="E160" s="3469"/>
      <c r="F160" s="3470">
        <f>GA!E13</f>
        <v>173303</v>
      </c>
      <c r="G160" s="3470"/>
      <c r="H160" s="1825"/>
      <c r="I160" s="1779"/>
      <c r="J160" s="1779"/>
    </row>
    <row r="161" spans="1:14" ht="36" customHeight="1">
      <c r="B161" s="1824">
        <f>B160+1</f>
        <v>8</v>
      </c>
      <c r="C161" s="3469" t="s">
        <v>630</v>
      </c>
      <c r="D161" s="3469"/>
      <c r="E161" s="3469"/>
      <c r="F161" s="3470">
        <f>GA!E14</f>
        <v>11554</v>
      </c>
      <c r="G161" s="3470"/>
      <c r="H161" s="1825"/>
      <c r="I161" s="1779"/>
      <c r="J161" s="1779"/>
    </row>
    <row r="162" spans="1:14" s="1564" customFormat="1" ht="15.6">
      <c r="A162" s="1826"/>
      <c r="B162" s="1827">
        <f>B161+1</f>
        <v>9</v>
      </c>
      <c r="C162" s="3471" t="s">
        <v>631</v>
      </c>
      <c r="D162" s="3472"/>
      <c r="E162" s="3473"/>
      <c r="F162" s="3474">
        <f>GA!E15</f>
        <v>462140</v>
      </c>
      <c r="G162" s="3474"/>
      <c r="H162" s="1828"/>
      <c r="I162" s="1818"/>
      <c r="J162" s="1818"/>
      <c r="K162" s="1847"/>
    </row>
    <row r="163" spans="1:14" ht="18" customHeight="1">
      <c r="B163" s="1824"/>
      <c r="C163" s="3475" t="s">
        <v>625</v>
      </c>
      <c r="D163" s="3476"/>
      <c r="E163" s="3477"/>
      <c r="F163" s="3478">
        <f>GA!E16</f>
        <v>41188113</v>
      </c>
      <c r="G163" s="3478"/>
      <c r="H163" s="1825"/>
      <c r="I163" s="1779"/>
      <c r="J163" s="1779"/>
    </row>
    <row r="164" spans="1:14" ht="21.75" customHeight="1">
      <c r="B164" s="1824">
        <v>9</v>
      </c>
      <c r="C164" s="3469" t="s">
        <v>632</v>
      </c>
      <c r="D164" s="3469"/>
      <c r="E164" s="3469"/>
      <c r="F164" s="3470">
        <f>GA!E18</f>
        <v>7487999</v>
      </c>
      <c r="G164" s="3470"/>
      <c r="H164" s="1825"/>
      <c r="I164" s="1779"/>
      <c r="J164" s="1779"/>
    </row>
    <row r="165" spans="1:14" ht="34.5" customHeight="1">
      <c r="B165" s="1824">
        <v>10</v>
      </c>
      <c r="C165" s="3469" t="s">
        <v>633</v>
      </c>
      <c r="D165" s="3469"/>
      <c r="E165" s="3469"/>
      <c r="F165" s="3470">
        <f>GA!E19</f>
        <v>912007</v>
      </c>
      <c r="G165" s="3470"/>
      <c r="H165" s="1825"/>
      <c r="I165" s="1779"/>
      <c r="J165" s="1779"/>
    </row>
    <row r="166" spans="1:14" ht="30.75" customHeight="1">
      <c r="B166" s="1824"/>
      <c r="C166" s="3475" t="s">
        <v>634</v>
      </c>
      <c r="D166" s="3476"/>
      <c r="E166" s="3477"/>
      <c r="F166" s="3478">
        <f>GA!E20</f>
        <v>50000000</v>
      </c>
      <c r="G166" s="3478"/>
      <c r="H166" s="1829"/>
      <c r="I166" s="1779"/>
      <c r="J166" s="1779"/>
      <c r="K166" s="1565" t="s">
        <v>635</v>
      </c>
      <c r="L166" s="1825">
        <f>F166/100000</f>
        <v>500</v>
      </c>
    </row>
    <row r="167" spans="1:14" ht="35.25" customHeight="1">
      <c r="B167" s="3495" t="s">
        <v>636</v>
      </c>
      <c r="C167" s="3495"/>
      <c r="D167" s="3495"/>
      <c r="E167" s="3495"/>
      <c r="F167" s="3495"/>
      <c r="G167" s="3495"/>
      <c r="H167" s="3495"/>
      <c r="I167" s="3495"/>
      <c r="J167" s="3495"/>
    </row>
    <row r="168" spans="1:14" ht="62.25" customHeight="1">
      <c r="A168" s="1631" t="s">
        <v>576</v>
      </c>
      <c r="B168" s="3443" t="s">
        <v>437</v>
      </c>
      <c r="C168" s="3443"/>
      <c r="D168" s="3443"/>
      <c r="E168" s="1830" t="s">
        <v>637</v>
      </c>
      <c r="F168" s="1638" t="s">
        <v>638</v>
      </c>
      <c r="G168" s="1831" t="s">
        <v>639</v>
      </c>
      <c r="H168" s="1832" t="s">
        <v>640</v>
      </c>
      <c r="I168" s="3485" t="s">
        <v>641</v>
      </c>
      <c r="J168" s="3485"/>
      <c r="L168" s="1563">
        <v>1</v>
      </c>
      <c r="M168" s="1563">
        <v>2</v>
      </c>
      <c r="N168" s="1563">
        <f>L168+M168</f>
        <v>3</v>
      </c>
    </row>
    <row r="169" spans="1:14" ht="77.400000000000006" customHeight="1">
      <c r="A169" s="1776">
        <v>1</v>
      </c>
      <c r="B169" s="3446" t="str">
        <f>L3</f>
        <v>C/o HLB on R/F Amlikunta to Gundumal of Gundumal Mandal of Narayanept District.</v>
      </c>
      <c r="C169" s="3447"/>
      <c r="D169" s="3448"/>
      <c r="E169" s="1833">
        <f>L4</f>
        <v>500</v>
      </c>
      <c r="F169" s="1834">
        <f>L9</f>
        <v>500</v>
      </c>
      <c r="G169" s="1835">
        <f>L10</f>
        <v>37923452</v>
      </c>
      <c r="H169" s="1835">
        <f>'Schedule-A (Part-B)'!E11</f>
        <v>8752396</v>
      </c>
      <c r="I169" s="3486">
        <f>'Schedule-A'!H53</f>
        <v>37923452</v>
      </c>
      <c r="J169" s="3486"/>
    </row>
    <row r="170" spans="1:14" ht="51.6" customHeight="1">
      <c r="B170" s="3487" t="s">
        <v>2618</v>
      </c>
      <c r="C170" s="3459"/>
      <c r="D170" s="3459"/>
      <c r="E170" s="3459"/>
      <c r="F170" s="3459"/>
      <c r="G170" s="3459"/>
      <c r="H170" s="3459"/>
      <c r="I170" s="3459"/>
      <c r="J170" s="3459"/>
    </row>
    <row r="171" spans="1:14" s="178" customFormat="1" ht="49.5" hidden="1" customHeight="1">
      <c r="A171" s="1836"/>
      <c r="B171" s="1837"/>
      <c r="C171" s="1837"/>
      <c r="D171" s="1837"/>
      <c r="E171" s="1837"/>
      <c r="F171" s="1837"/>
      <c r="G171" s="1837"/>
      <c r="H171" s="1837"/>
      <c r="I171" s="1837"/>
      <c r="J171" s="1837"/>
      <c r="K171" s="285"/>
    </row>
    <row r="172" spans="1:14">
      <c r="A172" s="1838"/>
      <c r="B172" s="3488" t="s">
        <v>642</v>
      </c>
      <c r="C172" s="3488"/>
      <c r="D172" s="3488"/>
      <c r="E172" s="3488"/>
      <c r="F172" s="3488"/>
      <c r="G172" s="3488"/>
      <c r="H172" s="3488"/>
      <c r="I172" s="3488"/>
      <c r="J172" s="3488"/>
      <c r="K172" s="1848"/>
    </row>
    <row r="173" spans="1:14">
      <c r="B173" s="3489" t="s">
        <v>643</v>
      </c>
      <c r="C173" s="3489"/>
      <c r="D173" s="3489"/>
      <c r="E173" s="3489"/>
      <c r="F173" s="3489"/>
      <c r="G173" s="3489"/>
      <c r="H173" s="3489"/>
      <c r="I173" s="3489"/>
      <c r="J173" s="3489"/>
      <c r="K173" s="1842"/>
    </row>
    <row r="174" spans="1:14">
      <c r="B174" s="3489" t="str">
        <f>"Memo No."&amp;$L$2&amp;","&amp;$P$2</f>
        <v>Memo No.AE-DEE-Kosgi-KMM-SDF-2024-25,  Dt:     -09-2024</v>
      </c>
      <c r="C174" s="3489"/>
      <c r="D174" s="3489"/>
      <c r="E174" s="3489"/>
      <c r="F174" s="3489"/>
      <c r="G174" s="3489"/>
      <c r="H174" s="3489"/>
      <c r="I174" s="3489"/>
      <c r="J174" s="3489"/>
      <c r="K174" s="1842"/>
    </row>
    <row r="175" spans="1:14" ht="42" customHeight="1">
      <c r="B175" s="1840" t="s">
        <v>644</v>
      </c>
      <c r="C175" s="3482" t="str">
        <f>'Input Data'!J6&amp;" -"&amp;$L$7&amp;" Dist-"&amp;$L$3&amp;" Estt.Cost Rs."&amp;$L$4&amp;".00 Lakhs Technically Sanctioned Estimate copy communicated for taking further necessary action- Reg."</f>
        <v>SDF-2024-25 -Narayanpet Dist-C/o HLB on R/F Amlikunta to Gundumal of Gundumal Mandal of Narayanept District. Estt.Cost Rs.500.00 Lakhs Technically Sanctioned Estimate copy communicated for taking further necessary action- Reg.</v>
      </c>
      <c r="D175" s="3482"/>
      <c r="E175" s="3482"/>
      <c r="F175" s="3482"/>
      <c r="G175" s="3482"/>
      <c r="H175" s="3482"/>
      <c r="I175" s="3482"/>
      <c r="J175" s="3482"/>
      <c r="K175" s="1842"/>
    </row>
    <row r="176" spans="1:14" ht="16.5" customHeight="1">
      <c r="B176" s="1840" t="s">
        <v>645</v>
      </c>
      <c r="C176" s="3482" t="str">
        <f>$C$4</f>
        <v>1).G.O.Rt.No.309  dt: 28.11.2024 of PR &amp; RD(Roads) Dept..</v>
      </c>
      <c r="D176" s="3482"/>
      <c r="E176" s="3482"/>
      <c r="F176" s="3482"/>
      <c r="G176" s="3482"/>
      <c r="H176" s="3482"/>
      <c r="I176" s="3482"/>
      <c r="J176" s="3482"/>
      <c r="K176" s="1842"/>
    </row>
    <row r="177" spans="1:12" ht="21" customHeight="1">
      <c r="B177" s="1842"/>
      <c r="C177" s="3483" t="str">
        <f>$C$5</f>
        <v>2). SE,PR,Vikarabad vide Lr.No.T4/CRR/Wanaparthy/22 Dt: 06.09.2022</v>
      </c>
      <c r="D177" s="3483"/>
      <c r="E177" s="3483"/>
      <c r="F177" s="3483"/>
      <c r="G177" s="3483"/>
      <c r="H177" s="3483"/>
      <c r="I177" s="3483"/>
      <c r="J177" s="3483"/>
      <c r="K177" s="1842"/>
    </row>
    <row r="178" spans="1:12" s="178" customFormat="1" ht="22.5" hidden="1" customHeight="1">
      <c r="A178" s="1836"/>
      <c r="B178" s="1843"/>
      <c r="C178" s="3484" t="e">
        <f>#REF!</f>
        <v>#REF!</v>
      </c>
      <c r="D178" s="3484"/>
      <c r="E178" s="3484"/>
      <c r="F178" s="3484"/>
      <c r="G178" s="3484"/>
      <c r="H178" s="3484"/>
      <c r="I178" s="3484"/>
      <c r="J178" s="3484"/>
      <c r="K178" s="1849"/>
    </row>
    <row r="179" spans="1:12">
      <c r="B179" s="1842"/>
      <c r="C179" s="1842"/>
      <c r="D179" s="1842"/>
      <c r="E179" s="1842"/>
      <c r="F179" s="1844" t="s">
        <v>646</v>
      </c>
      <c r="G179" s="1842"/>
      <c r="H179" s="1842"/>
      <c r="I179" s="1842"/>
      <c r="J179" s="1842"/>
      <c r="K179" s="1842"/>
    </row>
    <row r="180" spans="1:12" ht="96" customHeight="1">
      <c r="B180" s="3483" t="str">
        <f>CONCATENATE("                                 The estimate submitted by the Superintending Engineer, P.R,"&amp;L1&amp;" through ref 2nd cited for the work: "&amp;'Input Data'!E1&amp;" is technically Sanctioned for Rs."&amp;L166&amp;".00 Lakhs with SSR  2024-25 against the adm. Sanction cost of Rs."&amp;'Note File'!L4&amp;".00 Lakhs  vide ref.1st cited, and the copy of the Technically Sanctioned estimate along with Schedule copies  are here with communicated for taking necessary action duly following the points mentioned below:")</f>
        <v xml:space="preserve">                                 The estimate submitted by the Superintending Engineer, P.R,Vikarabad through ref 2nd cited for the work: C/o HLB on R/F Amlikunta to Gundumal of Gundumal Mandal of Narayanept District. is technically Sanctioned for Rs.500.00 Lakhs with SSR  2024-25 against the adm. Sanction cost of Rs.500.00 Lakhs  vide ref.1st cited, and the copy of the Technically Sanctioned estimate along with Schedule copies  are here with communicated for taking necessary action duly following the points mentioned below:</v>
      </c>
      <c r="C180" s="3483"/>
      <c r="D180" s="3483"/>
      <c r="E180" s="3483"/>
      <c r="F180" s="3483"/>
      <c r="G180" s="3483"/>
      <c r="H180" s="3483"/>
      <c r="I180" s="3483"/>
      <c r="J180" s="3483"/>
      <c r="K180" s="1842"/>
      <c r="L180" s="1850" t="e">
        <f>L9+#REF!</f>
        <v>#REF!</v>
      </c>
    </row>
    <row r="181" spans="1:12" ht="39" customHeight="1">
      <c r="A181" s="1845" t="s">
        <v>647</v>
      </c>
      <c r="B181" s="3494" t="s">
        <v>648</v>
      </c>
      <c r="C181" s="3494"/>
      <c r="D181" s="3494"/>
      <c r="E181" s="3494"/>
      <c r="F181" s="3494"/>
      <c r="G181" s="3494"/>
      <c r="H181" s="3494"/>
      <c r="I181" s="3494"/>
      <c r="J181" s="3494"/>
      <c r="K181" s="1842"/>
    </row>
    <row r="182" spans="1:12" ht="34.950000000000003" customHeight="1">
      <c r="A182" s="1845" t="s">
        <v>649</v>
      </c>
      <c r="B182" s="3494" t="s">
        <v>650</v>
      </c>
      <c r="C182" s="3494"/>
      <c r="D182" s="3494"/>
      <c r="E182" s="3494"/>
      <c r="F182" s="3494"/>
      <c r="G182" s="3494"/>
      <c r="H182" s="3494"/>
      <c r="I182" s="3494"/>
      <c r="J182" s="3494"/>
      <c r="K182" s="1842"/>
    </row>
    <row r="183" spans="1:12" ht="36" customHeight="1">
      <c r="A183" s="1845" t="s">
        <v>651</v>
      </c>
      <c r="B183" s="3494" t="s">
        <v>652</v>
      </c>
      <c r="C183" s="3494"/>
      <c r="D183" s="3494"/>
      <c r="E183" s="3494"/>
      <c r="F183" s="3494"/>
      <c r="G183" s="3494"/>
      <c r="H183" s="3494"/>
      <c r="I183" s="3494"/>
      <c r="J183" s="3494"/>
      <c r="K183" s="1842"/>
    </row>
    <row r="184" spans="1:12" ht="35.25" customHeight="1">
      <c r="A184" s="1845" t="s">
        <v>653</v>
      </c>
      <c r="B184" s="3494" t="s">
        <v>654</v>
      </c>
      <c r="C184" s="3494"/>
      <c r="D184" s="3494"/>
      <c r="E184" s="3494"/>
      <c r="F184" s="3494"/>
      <c r="G184" s="3494"/>
      <c r="H184" s="3494"/>
      <c r="I184" s="3494"/>
      <c r="J184" s="3494"/>
      <c r="K184" s="1842"/>
    </row>
    <row r="185" spans="1:12" ht="51.75" customHeight="1">
      <c r="A185" s="1845" t="s">
        <v>655</v>
      </c>
      <c r="B185" s="3494" t="s">
        <v>656</v>
      </c>
      <c r="C185" s="3494"/>
      <c r="D185" s="3494"/>
      <c r="E185" s="3494"/>
      <c r="F185" s="3494"/>
      <c r="G185" s="3494"/>
      <c r="H185" s="3494"/>
      <c r="I185" s="3494"/>
      <c r="J185" s="3494"/>
      <c r="K185" s="1842"/>
    </row>
    <row r="186" spans="1:12" ht="66" customHeight="1">
      <c r="A186" s="1845" t="s">
        <v>657</v>
      </c>
      <c r="B186" s="3494" t="s">
        <v>658</v>
      </c>
      <c r="C186" s="3494"/>
      <c r="D186" s="3494"/>
      <c r="E186" s="3494"/>
      <c r="F186" s="3494"/>
      <c r="G186" s="3494"/>
      <c r="H186" s="3494"/>
      <c r="I186" s="3494"/>
      <c r="J186" s="3494"/>
      <c r="K186" s="1842"/>
    </row>
    <row r="187" spans="1:12" ht="83.1" customHeight="1">
      <c r="A187" s="1845" t="s">
        <v>659</v>
      </c>
      <c r="B187" s="3494" t="s">
        <v>660</v>
      </c>
      <c r="C187" s="3494"/>
      <c r="D187" s="3494"/>
      <c r="E187" s="3494"/>
      <c r="F187" s="3494"/>
      <c r="G187" s="3494"/>
      <c r="H187" s="3494"/>
      <c r="I187" s="3494"/>
      <c r="J187" s="3494"/>
      <c r="K187" s="1842"/>
    </row>
    <row r="188" spans="1:12" ht="78" customHeight="1">
      <c r="A188" s="1845" t="s">
        <v>661</v>
      </c>
      <c r="B188" s="3494" t="s">
        <v>2619</v>
      </c>
      <c r="C188" s="3494"/>
      <c r="D188" s="3494"/>
      <c r="E188" s="3494"/>
      <c r="F188" s="3494"/>
      <c r="G188" s="3494"/>
      <c r="H188" s="3494"/>
      <c r="I188" s="3494"/>
      <c r="J188" s="3494"/>
      <c r="K188" s="1842"/>
    </row>
    <row r="189" spans="1:12" ht="63" customHeight="1">
      <c r="A189" s="1845" t="s">
        <v>662</v>
      </c>
      <c r="B189" s="3494" t="str">
        <f>"The crust design is provided for Flexible pavement as per IRC SP 72:2015 and for Rigid pavements as per  IRC SP 62:2014 based on the trafic calculations and CBR value submitted the SE PR "&amp;L1&amp;". The necessary corrections in the crust design shall be made in case of any eronous data pertaining to either existing crust, CBR value, traffic data if any before execution of the work."</f>
        <v>The crust design is provided for Flexible pavement as per IRC SP 72:2015 and for Rigid pavements as per  IRC SP 62:2014 based on the trafic calculations and CBR value submitted the SE PR Vikarabad. The necessary corrections in the crust design shall be made in case of any eronous data pertaining to either existing crust, CBR value, traffic data if any before execution of the work.</v>
      </c>
      <c r="C189" s="3494"/>
      <c r="D189" s="3494"/>
      <c r="E189" s="3494"/>
      <c r="F189" s="3494"/>
      <c r="G189" s="3494"/>
      <c r="H189" s="3494"/>
      <c r="I189" s="3494"/>
      <c r="J189" s="3494"/>
      <c r="K189" s="1842"/>
    </row>
    <row r="190" spans="1:12" ht="54.9" customHeight="1">
      <c r="A190" s="1845" t="s">
        <v>663</v>
      </c>
      <c r="B190" s="3494" t="s">
        <v>664</v>
      </c>
      <c r="C190" s="3494"/>
      <c r="D190" s="3494"/>
      <c r="E190" s="3494"/>
      <c r="F190" s="3494"/>
      <c r="G190" s="3494"/>
      <c r="H190" s="3494"/>
      <c r="I190" s="3494"/>
      <c r="J190" s="3494"/>
      <c r="K190" s="1842"/>
    </row>
    <row r="191" spans="1:12">
      <c r="A191" s="1845"/>
      <c r="B191" s="1841"/>
      <c r="C191" s="1841"/>
      <c r="D191" s="1841"/>
      <c r="E191" s="1841"/>
      <c r="F191" s="1841"/>
      <c r="G191" s="1841"/>
      <c r="I191" s="1851" t="s">
        <v>665</v>
      </c>
      <c r="J191" s="1841"/>
      <c r="K191" s="1842"/>
    </row>
    <row r="192" spans="1:12">
      <c r="B192" s="1842"/>
      <c r="C192" s="1842"/>
      <c r="D192" s="1842"/>
      <c r="E192" s="1842"/>
      <c r="F192" s="1842"/>
      <c r="G192" s="1842"/>
      <c r="I192" s="1839" t="s">
        <v>666</v>
      </c>
      <c r="J192" s="1842"/>
      <c r="K192" s="1842"/>
    </row>
    <row r="193" spans="1:11">
      <c r="B193" s="1842"/>
      <c r="C193" s="1842"/>
      <c r="D193" s="1842"/>
      <c r="E193" s="1842"/>
      <c r="F193" s="1842"/>
      <c r="G193" s="1842"/>
      <c r="I193" s="1839" t="s">
        <v>667</v>
      </c>
      <c r="J193" s="1842"/>
      <c r="K193" s="1842"/>
    </row>
    <row r="194" spans="1:11">
      <c r="B194" s="1842" t="s">
        <v>668</v>
      </c>
      <c r="C194" s="1842"/>
      <c r="D194" s="1842"/>
      <c r="E194" s="1842"/>
      <c r="F194" s="1842"/>
      <c r="G194" s="1842"/>
      <c r="H194" s="1839"/>
      <c r="J194" s="1842"/>
      <c r="K194" s="1842"/>
    </row>
    <row r="195" spans="1:11" s="1570" customFormat="1">
      <c r="A195" s="1852"/>
      <c r="B195" s="1853" t="str">
        <f>"The Superintending Engineer (PR), "&amp;$L$1</f>
        <v>The Superintending Engineer (PR), Vikarabad</v>
      </c>
      <c r="C195" s="1853"/>
      <c r="D195" s="1853"/>
      <c r="E195" s="1853"/>
      <c r="F195" s="1853"/>
      <c r="G195" s="1853"/>
      <c r="I195" s="1853"/>
      <c r="J195" s="1853"/>
      <c r="K195" s="1858"/>
    </row>
    <row r="196" spans="1:11" s="1571" customFormat="1">
      <c r="A196" s="1854"/>
      <c r="B196" s="1842"/>
      <c r="C196" s="1842"/>
      <c r="D196" s="1842"/>
      <c r="E196" s="1855"/>
      <c r="F196" s="1856" t="s">
        <v>669</v>
      </c>
      <c r="G196" s="1855"/>
      <c r="H196" s="1855"/>
      <c r="K196" s="1842"/>
    </row>
    <row r="197" spans="1:11" s="1571" customFormat="1">
      <c r="A197" s="1854"/>
      <c r="B197" s="1842"/>
      <c r="C197" s="1842"/>
      <c r="D197" s="1842"/>
      <c r="E197" s="1855"/>
      <c r="F197" s="1856"/>
      <c r="G197" s="1855"/>
      <c r="H197" s="1855"/>
      <c r="K197" s="1842"/>
    </row>
    <row r="198" spans="1:11" s="1571" customFormat="1">
      <c r="A198" s="1854"/>
      <c r="B198" s="1842"/>
      <c r="C198" s="1842"/>
      <c r="D198" s="1842"/>
      <c r="E198" s="1855"/>
      <c r="F198" s="1856" t="s">
        <v>670</v>
      </c>
      <c r="G198" s="1855"/>
      <c r="H198" s="1855"/>
      <c r="K198" s="1842"/>
    </row>
    <row r="199" spans="1:11" s="1571" customFormat="1">
      <c r="A199" s="1854"/>
      <c r="F199" s="1854"/>
      <c r="G199" s="1854"/>
      <c r="H199" s="1857"/>
      <c r="K199" s="1859"/>
    </row>
  </sheetData>
  <protectedRanges>
    <protectedRange password="CC6F" sqref="P118:P119" name="Range1"/>
  </protectedRanges>
  <autoFilter ref="A65:AD90">
    <filterColumn colId="5">
      <filters blank="1">
        <filter val="277.50"/>
        <filter val="3"/>
        <filter val="3125.00"/>
        <filter val="3300.00"/>
        <filter val="3750.00"/>
        <filter val="599.06"/>
        <filter val="618.00"/>
        <filter val="764.00"/>
        <filter val="99.00"/>
        <filter val="No"/>
      </filters>
    </filterColumn>
  </autoFilter>
  <mergeCells count="322">
    <mergeCell ref="T51:T57"/>
    <mergeCell ref="F19:G20"/>
    <mergeCell ref="B59:C60"/>
    <mergeCell ref="A19:B20"/>
    <mergeCell ref="B186:J186"/>
    <mergeCell ref="B187:J187"/>
    <mergeCell ref="B188:J188"/>
    <mergeCell ref="B189:J189"/>
    <mergeCell ref="B190:J190"/>
    <mergeCell ref="B180:J180"/>
    <mergeCell ref="B181:J181"/>
    <mergeCell ref="B182:J182"/>
    <mergeCell ref="B183:J183"/>
    <mergeCell ref="B184:J184"/>
    <mergeCell ref="B185:J185"/>
    <mergeCell ref="C166:E166"/>
    <mergeCell ref="F166:G166"/>
    <mergeCell ref="B167:J167"/>
    <mergeCell ref="C158:E158"/>
    <mergeCell ref="F158:G158"/>
    <mergeCell ref="C159:E159"/>
    <mergeCell ref="F159:G159"/>
    <mergeCell ref="C160:E160"/>
    <mergeCell ref="F160:G160"/>
    <mergeCell ref="A4:A5"/>
    <mergeCell ref="A59:A60"/>
    <mergeCell ref="A64:A65"/>
    <mergeCell ref="B4:B5"/>
    <mergeCell ref="D59:D60"/>
    <mergeCell ref="E59:E60"/>
    <mergeCell ref="C176:J176"/>
    <mergeCell ref="C177:J177"/>
    <mergeCell ref="C178:J178"/>
    <mergeCell ref="B168:D168"/>
    <mergeCell ref="I168:J168"/>
    <mergeCell ref="B169:D169"/>
    <mergeCell ref="I169:J169"/>
    <mergeCell ref="B170:J170"/>
    <mergeCell ref="B172:J172"/>
    <mergeCell ref="B173:J173"/>
    <mergeCell ref="B174:J174"/>
    <mergeCell ref="C175:J175"/>
    <mergeCell ref="C163:E163"/>
    <mergeCell ref="F163:G163"/>
    <mergeCell ref="C164:E164"/>
    <mergeCell ref="F164:G164"/>
    <mergeCell ref="C165:E165"/>
    <mergeCell ref="F165:G165"/>
    <mergeCell ref="C162:E162"/>
    <mergeCell ref="F162:G162"/>
    <mergeCell ref="C153:E153"/>
    <mergeCell ref="F153:G153"/>
    <mergeCell ref="C154:E154"/>
    <mergeCell ref="F154:G154"/>
    <mergeCell ref="C155:E155"/>
    <mergeCell ref="F155:G155"/>
    <mergeCell ref="C156:E156"/>
    <mergeCell ref="F156:G156"/>
    <mergeCell ref="C157:E157"/>
    <mergeCell ref="F157:G157"/>
    <mergeCell ref="B148:J148"/>
    <mergeCell ref="C149:I149"/>
    <mergeCell ref="E150:F150"/>
    <mergeCell ref="C151:E151"/>
    <mergeCell ref="F151:G151"/>
    <mergeCell ref="C152:E152"/>
    <mergeCell ref="F152:G152"/>
    <mergeCell ref="C161:E161"/>
    <mergeCell ref="F161:G161"/>
    <mergeCell ref="B140:J140"/>
    <mergeCell ref="B141:J141"/>
    <mergeCell ref="B142:J142"/>
    <mergeCell ref="B134:J134"/>
    <mergeCell ref="B137:J137"/>
    <mergeCell ref="B138:J138"/>
    <mergeCell ref="B144:J144"/>
    <mergeCell ref="B145:J145"/>
    <mergeCell ref="B146:J146"/>
    <mergeCell ref="B143:J143"/>
    <mergeCell ref="B128:J128"/>
    <mergeCell ref="B129:J129"/>
    <mergeCell ref="B130:J130"/>
    <mergeCell ref="B131:J131"/>
    <mergeCell ref="B132:J132"/>
    <mergeCell ref="B133:J133"/>
    <mergeCell ref="B135:J135"/>
    <mergeCell ref="B136:J136"/>
    <mergeCell ref="B139:J139"/>
    <mergeCell ref="B125:D125"/>
    <mergeCell ref="E125:F125"/>
    <mergeCell ref="I125:J125"/>
    <mergeCell ref="B126:D126"/>
    <mergeCell ref="E126:F126"/>
    <mergeCell ref="I126:J126"/>
    <mergeCell ref="B127:D127"/>
    <mergeCell ref="E127:F127"/>
    <mergeCell ref="I127:J127"/>
    <mergeCell ref="B122:D122"/>
    <mergeCell ref="E122:F122"/>
    <mergeCell ref="I122:J122"/>
    <mergeCell ref="B123:D123"/>
    <mergeCell ref="E123:F123"/>
    <mergeCell ref="I123:J123"/>
    <mergeCell ref="B124:D124"/>
    <mergeCell ref="E124:F124"/>
    <mergeCell ref="I124:J124"/>
    <mergeCell ref="B119:D119"/>
    <mergeCell ref="E119:F119"/>
    <mergeCell ref="I119:J119"/>
    <mergeCell ref="B120:D120"/>
    <mergeCell ref="E120:F120"/>
    <mergeCell ref="I120:J120"/>
    <mergeCell ref="B121:D121"/>
    <mergeCell ref="E121:F121"/>
    <mergeCell ref="I121:J121"/>
    <mergeCell ref="B116:D116"/>
    <mergeCell ref="E116:F116"/>
    <mergeCell ref="I116:J116"/>
    <mergeCell ref="B117:D117"/>
    <mergeCell ref="E117:F117"/>
    <mergeCell ref="I117:J117"/>
    <mergeCell ref="B118:D118"/>
    <mergeCell ref="E118:F118"/>
    <mergeCell ref="I118:J118"/>
    <mergeCell ref="B113:D113"/>
    <mergeCell ref="E113:F113"/>
    <mergeCell ref="I113:J113"/>
    <mergeCell ref="B114:D114"/>
    <mergeCell ref="E114:F114"/>
    <mergeCell ref="I114:J114"/>
    <mergeCell ref="B115:D115"/>
    <mergeCell ref="E115:F115"/>
    <mergeCell ref="I115:J115"/>
    <mergeCell ref="B105:D105"/>
    <mergeCell ref="B106:D106"/>
    <mergeCell ref="B107:D107"/>
    <mergeCell ref="B108:J108"/>
    <mergeCell ref="B109:I109"/>
    <mergeCell ref="B110:G110"/>
    <mergeCell ref="H110:I110"/>
    <mergeCell ref="B112:D112"/>
    <mergeCell ref="E112:F112"/>
    <mergeCell ref="I112:J112"/>
    <mergeCell ref="B98:E98"/>
    <mergeCell ref="I98:J98"/>
    <mergeCell ref="B99:E99"/>
    <mergeCell ref="I99:J99"/>
    <mergeCell ref="B101:E101"/>
    <mergeCell ref="I101:J101"/>
    <mergeCell ref="B102:E102"/>
    <mergeCell ref="I102:J102"/>
    <mergeCell ref="B103:D103"/>
    <mergeCell ref="B100:E100"/>
    <mergeCell ref="B93:E93"/>
    <mergeCell ref="I93:J93"/>
    <mergeCell ref="B94:E94"/>
    <mergeCell ref="I94:J94"/>
    <mergeCell ref="B95:E95"/>
    <mergeCell ref="I95:J95"/>
    <mergeCell ref="B96:E96"/>
    <mergeCell ref="I96:J96"/>
    <mergeCell ref="B97:E97"/>
    <mergeCell ref="I97:J97"/>
    <mergeCell ref="B88:E88"/>
    <mergeCell ref="I88:J88"/>
    <mergeCell ref="B89:E89"/>
    <mergeCell ref="I89:J89"/>
    <mergeCell ref="F90:G90"/>
    <mergeCell ref="I90:J90"/>
    <mergeCell ref="B91:E91"/>
    <mergeCell ref="I91:J91"/>
    <mergeCell ref="B92:E92"/>
    <mergeCell ref="I92:J92"/>
    <mergeCell ref="B90:E90"/>
    <mergeCell ref="B83:E83"/>
    <mergeCell ref="I83:J83"/>
    <mergeCell ref="I84:J84"/>
    <mergeCell ref="B85:E85"/>
    <mergeCell ref="I85:J85"/>
    <mergeCell ref="B86:E86"/>
    <mergeCell ref="I86:J86"/>
    <mergeCell ref="B87:E87"/>
    <mergeCell ref="I87:J87"/>
    <mergeCell ref="B78:E78"/>
    <mergeCell ref="I78:J78"/>
    <mergeCell ref="B79:E79"/>
    <mergeCell ref="I79:J79"/>
    <mergeCell ref="B80:E80"/>
    <mergeCell ref="I80:J80"/>
    <mergeCell ref="B81:E81"/>
    <mergeCell ref="I81:J81"/>
    <mergeCell ref="B82:E82"/>
    <mergeCell ref="I82:J82"/>
    <mergeCell ref="B73:E73"/>
    <mergeCell ref="I73:J73"/>
    <mergeCell ref="B74:E74"/>
    <mergeCell ref="I74:J74"/>
    <mergeCell ref="B75:E75"/>
    <mergeCell ref="I75:J75"/>
    <mergeCell ref="B76:E76"/>
    <mergeCell ref="I76:J76"/>
    <mergeCell ref="B77:E77"/>
    <mergeCell ref="I77:J77"/>
    <mergeCell ref="B68:E68"/>
    <mergeCell ref="I68:J68"/>
    <mergeCell ref="B69:E69"/>
    <mergeCell ref="I69:J69"/>
    <mergeCell ref="B70:E70"/>
    <mergeCell ref="I70:J70"/>
    <mergeCell ref="B71:E71"/>
    <mergeCell ref="I71:J71"/>
    <mergeCell ref="B72:E72"/>
    <mergeCell ref="I72:J72"/>
    <mergeCell ref="W63:Z63"/>
    <mergeCell ref="B64:E64"/>
    <mergeCell ref="F64:H64"/>
    <mergeCell ref="I64:J64"/>
    <mergeCell ref="B65:E65"/>
    <mergeCell ref="I65:J65"/>
    <mergeCell ref="B66:E66"/>
    <mergeCell ref="I66:J66"/>
    <mergeCell ref="B67:E67"/>
    <mergeCell ref="I67:J67"/>
    <mergeCell ref="B61:C61"/>
    <mergeCell ref="I61:J61"/>
    <mergeCell ref="K61:L61"/>
    <mergeCell ref="B62:C62"/>
    <mergeCell ref="I62:J62"/>
    <mergeCell ref="B63:J63"/>
    <mergeCell ref="M63:O63"/>
    <mergeCell ref="P63:T63"/>
    <mergeCell ref="U63:V63"/>
    <mergeCell ref="C55:D55"/>
    <mergeCell ref="R55:S55"/>
    <mergeCell ref="C56:D56"/>
    <mergeCell ref="R56:S56"/>
    <mergeCell ref="B57:D57"/>
    <mergeCell ref="R57:S57"/>
    <mergeCell ref="B58:J58"/>
    <mergeCell ref="G59:J59"/>
    <mergeCell ref="I60:J60"/>
    <mergeCell ref="B51:E51"/>
    <mergeCell ref="F51:G51"/>
    <mergeCell ref="O51:S51"/>
    <mergeCell ref="C52:D52"/>
    <mergeCell ref="R52:S52"/>
    <mergeCell ref="C53:D53"/>
    <mergeCell ref="R53:S53"/>
    <mergeCell ref="C54:D54"/>
    <mergeCell ref="R54:S54"/>
    <mergeCell ref="M36:O36"/>
    <mergeCell ref="P36:T36"/>
    <mergeCell ref="U36:V36"/>
    <mergeCell ref="W36:Z36"/>
    <mergeCell ref="A37:J37"/>
    <mergeCell ref="G38:J38"/>
    <mergeCell ref="B49:E49"/>
    <mergeCell ref="F49:J49"/>
    <mergeCell ref="B50:C50"/>
    <mergeCell ref="H50:I50"/>
    <mergeCell ref="O50:S50"/>
    <mergeCell ref="A31:J31"/>
    <mergeCell ref="A32:J32"/>
    <mergeCell ref="B33:D33"/>
    <mergeCell ref="E33:G33"/>
    <mergeCell ref="B34:D34"/>
    <mergeCell ref="E34:G34"/>
    <mergeCell ref="B35:D35"/>
    <mergeCell ref="E35:G35"/>
    <mergeCell ref="B36:D36"/>
    <mergeCell ref="E36:G36"/>
    <mergeCell ref="A23:H23"/>
    <mergeCell ref="I23:J23"/>
    <mergeCell ref="A24:J24"/>
    <mergeCell ref="A25:J25"/>
    <mergeCell ref="A26:J26"/>
    <mergeCell ref="A27:J27"/>
    <mergeCell ref="A28:J28"/>
    <mergeCell ref="A29:J29"/>
    <mergeCell ref="A30:J30"/>
    <mergeCell ref="M19:O19"/>
    <mergeCell ref="P19:S19"/>
    <mergeCell ref="T19:U19"/>
    <mergeCell ref="V19:Y19"/>
    <mergeCell ref="A21:B21"/>
    <mergeCell ref="C21:E21"/>
    <mergeCell ref="F21:G21"/>
    <mergeCell ref="A22:B22"/>
    <mergeCell ref="C22:E22"/>
    <mergeCell ref="F22:G22"/>
    <mergeCell ref="B15:D15"/>
    <mergeCell ref="F15:J15"/>
    <mergeCell ref="B16:D16"/>
    <mergeCell ref="F16:J16"/>
    <mergeCell ref="B17:D17"/>
    <mergeCell ref="F17:J17"/>
    <mergeCell ref="B18:J18"/>
    <mergeCell ref="C19:E19"/>
    <mergeCell ref="H19:J19"/>
    <mergeCell ref="B1:J1"/>
    <mergeCell ref="B2:J2"/>
    <mergeCell ref="C3:J3"/>
    <mergeCell ref="C4:J4"/>
    <mergeCell ref="C5:J5"/>
    <mergeCell ref="O5:R5"/>
    <mergeCell ref="C6:J6"/>
    <mergeCell ref="B7:D7"/>
    <mergeCell ref="E7:G7"/>
    <mergeCell ref="H7:J7"/>
    <mergeCell ref="B13:D13"/>
    <mergeCell ref="F13:J13"/>
    <mergeCell ref="B14:D14"/>
    <mergeCell ref="F14:J14"/>
    <mergeCell ref="B8:J8"/>
    <mergeCell ref="B9:J9"/>
    <mergeCell ref="B10:D10"/>
    <mergeCell ref="F10:J10"/>
    <mergeCell ref="O10:R10"/>
    <mergeCell ref="B11:D11"/>
    <mergeCell ref="F11:J11"/>
    <mergeCell ref="B12:D12"/>
    <mergeCell ref="F12:J12"/>
  </mergeCells>
  <conditionalFormatting sqref="K66:K85">
    <cfRule type="cellIs" dxfId="31" priority="1" stopIfTrue="1" operator="lessThan">
      <formula>1</formula>
    </cfRule>
  </conditionalFormatting>
  <conditionalFormatting sqref="Z62 AB62">
    <cfRule type="cellIs" dxfId="30" priority="2" operator="lessThan">
      <formula>0</formula>
    </cfRule>
    <cfRule type="cellIs" dxfId="29" priority="3" operator="lessThan">
      <formula>0</formula>
    </cfRule>
    <cfRule type="cellIs" dxfId="28" priority="4" operator="lessThan">
      <formula>0</formula>
    </cfRule>
  </conditionalFormatting>
  <printOptions horizontalCentered="1"/>
  <pageMargins left="0.39370078740157499" right="0.39370078740157499" top="0.511811023622047" bottom="0.511811023622047" header="0.23622047244094499" footer="0.23622047244094499"/>
  <pageSetup paperSize="9" scale="87" orientation="portrait" r:id="rId1"/>
  <headerFooter alignWithMargins="0"/>
  <rowBreaks count="3" manualBreakCount="3">
    <brk id="146" max="9" man="1"/>
    <brk id="170" max="9" man="1"/>
    <brk id="188"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K51"/>
  <sheetViews>
    <sheetView showGridLines="0" view="pageBreakPreview" topLeftCell="A10" workbookViewId="0">
      <selection activeCell="H29" sqref="H29:P29"/>
    </sheetView>
  </sheetViews>
  <sheetFormatPr defaultColWidth="9.109375" defaultRowHeight="17.399999999999999"/>
  <cols>
    <col min="1" max="1" width="10.33203125" style="3005" customWidth="1"/>
    <col min="2" max="2" width="48" style="3005" customWidth="1"/>
    <col min="3" max="3" width="7.5546875" style="3005" customWidth="1"/>
    <col min="4" max="4" width="8.5546875" style="3005" customWidth="1"/>
    <col min="5" max="5" width="18.109375" style="3005" customWidth="1"/>
    <col min="6" max="6" width="8.44140625" style="3005" customWidth="1"/>
    <col min="7" max="7" width="18.33203125" style="3005" customWidth="1"/>
    <col min="8" max="8" width="15" style="3005" customWidth="1"/>
    <col min="9" max="9" width="16.33203125" style="3005" customWidth="1"/>
    <col min="10" max="10" width="9.109375" style="3005"/>
    <col min="11" max="11" width="11.33203125" style="3005" customWidth="1"/>
    <col min="12" max="12" width="9.109375" style="3005"/>
    <col min="13" max="13" width="11.33203125" style="3005" customWidth="1"/>
    <col min="14" max="16384" width="9.109375" style="3005"/>
  </cols>
  <sheetData>
    <row r="1" spans="1:11" ht="21" customHeight="1">
      <c r="A1" s="3496" t="s">
        <v>2602</v>
      </c>
      <c r="B1" s="3496"/>
      <c r="C1" s="3496"/>
      <c r="D1" s="3496"/>
      <c r="E1" s="3496"/>
      <c r="G1" s="3006"/>
    </row>
    <row r="2" spans="1:11" ht="36.75" customHeight="1">
      <c r="A2" s="3007" t="s">
        <v>618</v>
      </c>
      <c r="B2" s="3497" t="str">
        <f>'Input Data'!E1</f>
        <v>C/o HLB on R/F Amlikunta to Gundumal of Gundumal Mandal of Narayanept District.</v>
      </c>
      <c r="C2" s="3498"/>
      <c r="D2" s="3498"/>
      <c r="E2" s="3498"/>
      <c r="G2" s="3006"/>
    </row>
    <row r="3" spans="1:11">
      <c r="A3" s="3007"/>
      <c r="B3" s="3008" t="s">
        <v>619</v>
      </c>
      <c r="C3" s="3499">
        <f>'Input Data'!J4</f>
        <v>500</v>
      </c>
      <c r="D3" s="3500"/>
      <c r="E3" s="3009" t="s">
        <v>329</v>
      </c>
      <c r="G3" s="3006"/>
    </row>
    <row r="4" spans="1:11" s="3011" customFormat="1" ht="20.25" customHeight="1">
      <c r="A4" s="3010" t="s">
        <v>620</v>
      </c>
      <c r="B4" s="3501" t="s">
        <v>621</v>
      </c>
      <c r="C4" s="3501"/>
      <c r="D4" s="3501"/>
      <c r="E4" s="3010" t="s">
        <v>7</v>
      </c>
      <c r="G4" s="3010"/>
    </row>
    <row r="5" spans="1:11" s="3011" customFormat="1" ht="24" customHeight="1">
      <c r="A5" s="3502" t="s">
        <v>887</v>
      </c>
      <c r="B5" s="3503"/>
      <c r="C5" s="3503"/>
      <c r="D5" s="3504"/>
      <c r="E5" s="3010"/>
      <c r="G5" s="3010"/>
    </row>
    <row r="6" spans="1:11" s="3011" customFormat="1">
      <c r="A6" s="3012"/>
      <c r="B6" s="3013" t="s">
        <v>888</v>
      </c>
      <c r="C6" s="3010"/>
      <c r="D6" s="3010"/>
      <c r="E6" s="3010"/>
      <c r="G6" s="3010"/>
      <c r="H6" s="3014"/>
    </row>
    <row r="7" spans="1:11" ht="23.4" customHeight="1">
      <c r="A7" s="3010">
        <v>1</v>
      </c>
      <c r="B7" s="3006" t="s">
        <v>2693</v>
      </c>
      <c r="C7" s="3010"/>
      <c r="D7" s="3015"/>
      <c r="E7" s="3016">
        <f>'Bri estimate Final'!L103</f>
        <v>39666042</v>
      </c>
      <c r="F7" s="3017"/>
      <c r="G7" s="3018">
        <f>F7-E7</f>
        <v>-39666042</v>
      </c>
      <c r="H7" s="3014"/>
      <c r="I7" s="3005">
        <f>279184*2</f>
        <v>558368</v>
      </c>
    </row>
    <row r="8" spans="1:11" ht="23.4" customHeight="1">
      <c r="A8" s="3010">
        <v>2</v>
      </c>
      <c r="B8" s="3006" t="s">
        <v>560</v>
      </c>
      <c r="C8" s="3010"/>
      <c r="D8" s="3010"/>
      <c r="E8" s="3016">
        <f>'Road-furniture '!G18</f>
        <v>59049</v>
      </c>
      <c r="F8" s="3019"/>
      <c r="G8" s="3006"/>
      <c r="H8" s="3014"/>
      <c r="I8" s="3005">
        <f>613168</f>
        <v>613168</v>
      </c>
    </row>
    <row r="9" spans="1:11" ht="18" customHeight="1">
      <c r="A9" s="3006"/>
      <c r="B9" s="3020" t="s">
        <v>625</v>
      </c>
      <c r="C9" s="3021"/>
      <c r="D9" s="3021"/>
      <c r="E9" s="3022">
        <f>SUM(E7:E8)</f>
        <v>39725091</v>
      </c>
      <c r="G9" s="3006"/>
      <c r="H9" s="3014"/>
    </row>
    <row r="10" spans="1:11" ht="23.4" customHeight="1">
      <c r="A10" s="3010">
        <v>5</v>
      </c>
      <c r="B10" s="3007" t="s">
        <v>626</v>
      </c>
      <c r="C10" s="3023"/>
      <c r="D10" s="3010"/>
      <c r="E10" s="3016">
        <f>ROUND(E9*0.5%,0)</f>
        <v>198625</v>
      </c>
      <c r="G10" s="3024"/>
    </row>
    <row r="11" spans="1:11" ht="23.4" customHeight="1">
      <c r="A11" s="3010">
        <f>+A10+1</f>
        <v>6</v>
      </c>
      <c r="B11" s="3007" t="s">
        <v>627</v>
      </c>
      <c r="C11" s="3023"/>
      <c r="D11" s="3010"/>
      <c r="E11" s="3016">
        <f>ROUND(E9*0.1%,0)</f>
        <v>39725</v>
      </c>
      <c r="G11" s="3024"/>
    </row>
    <row r="12" spans="1:11" ht="23.4" customHeight="1">
      <c r="A12" s="3010">
        <f t="shared" ref="A12:A15" si="0">+A11+1</f>
        <v>7</v>
      </c>
      <c r="B12" s="3007" t="s">
        <v>628</v>
      </c>
      <c r="C12" s="3023"/>
      <c r="D12" s="3010"/>
      <c r="E12" s="3016">
        <f>Seigneorage!G29</f>
        <v>577675</v>
      </c>
      <c r="F12" s="3025"/>
      <c r="G12" s="3024"/>
    </row>
    <row r="13" spans="1:11" ht="24" customHeight="1">
      <c r="A13" s="3010">
        <f t="shared" si="0"/>
        <v>8</v>
      </c>
      <c r="B13" s="3007" t="s">
        <v>629</v>
      </c>
      <c r="C13" s="3023"/>
      <c r="D13" s="3010"/>
      <c r="E13" s="3016">
        <f>ROUND(E12*30%,0)</f>
        <v>173303</v>
      </c>
      <c r="F13" s="3025"/>
      <c r="G13" s="3024"/>
    </row>
    <row r="14" spans="1:11" ht="24" customHeight="1">
      <c r="A14" s="3010">
        <f t="shared" si="0"/>
        <v>9</v>
      </c>
      <c r="B14" s="3007" t="s">
        <v>630</v>
      </c>
      <c r="C14" s="3023"/>
      <c r="D14" s="3010"/>
      <c r="E14" s="3016">
        <f>ROUND(E12*2%,0)</f>
        <v>11554</v>
      </c>
      <c r="F14" s="3025"/>
      <c r="G14" s="3024"/>
    </row>
    <row r="15" spans="1:11" s="3031" customFormat="1">
      <c r="A15" s="3026">
        <f t="shared" si="0"/>
        <v>10</v>
      </c>
      <c r="B15" s="3027" t="s">
        <v>890</v>
      </c>
      <c r="C15" s="3028"/>
      <c r="D15" s="3026"/>
      <c r="E15" s="3016">
        <f>ROUND(E12*80%,0)</f>
        <v>462140</v>
      </c>
      <c r="F15" s="3029"/>
      <c r="G15" s="3030"/>
      <c r="H15" s="3031">
        <f>E12*0.008</f>
        <v>4621.4000000000005</v>
      </c>
    </row>
    <row r="16" spans="1:11" ht="23.4" customHeight="1">
      <c r="A16" s="3010"/>
      <c r="B16" s="3020" t="s">
        <v>625</v>
      </c>
      <c r="C16" s="3021"/>
      <c r="D16" s="3021"/>
      <c r="E16" s="3022">
        <f>SUM(E9:E15)</f>
        <v>41188113</v>
      </c>
      <c r="F16" s="3025"/>
      <c r="G16" s="3024"/>
      <c r="K16" s="3005">
        <f>168.5/2.5</f>
        <v>67.400000000000006</v>
      </c>
    </row>
    <row r="17" spans="1:9" ht="23.4" customHeight="1">
      <c r="A17" s="3010">
        <v>11</v>
      </c>
      <c r="B17" s="3007" t="s">
        <v>2721</v>
      </c>
      <c r="C17" s="3023"/>
      <c r="D17" s="3010"/>
      <c r="E17" s="3032">
        <f>ROUND(E16*1%,0)</f>
        <v>411881</v>
      </c>
      <c r="F17" s="3025"/>
      <c r="G17" s="3024"/>
    </row>
    <row r="18" spans="1:9" ht="23.4" customHeight="1">
      <c r="A18" s="3010">
        <v>12</v>
      </c>
      <c r="B18" s="3007" t="s">
        <v>632</v>
      </c>
      <c r="C18" s="3023"/>
      <c r="D18" s="3010"/>
      <c r="E18" s="3032">
        <f>ROUND((E16+E17)*18%,0)</f>
        <v>7487999</v>
      </c>
      <c r="F18" s="3025"/>
      <c r="G18" s="3024"/>
    </row>
    <row r="19" spans="1:9" ht="39.9" customHeight="1">
      <c r="A19" s="3010">
        <v>13</v>
      </c>
      <c r="B19" s="3007" t="s">
        <v>891</v>
      </c>
      <c r="C19" s="3010"/>
      <c r="D19" s="3010"/>
      <c r="E19" s="3033">
        <f>E20-E18-E17-E16</f>
        <v>912007</v>
      </c>
      <c r="G19" s="3034">
        <f>(C3*100000)-E16-E18-E17</f>
        <v>912007</v>
      </c>
      <c r="H19" s="3035">
        <f>+G19/E20*100</f>
        <v>1.8240139999999998</v>
      </c>
    </row>
    <row r="20" spans="1:9" ht="24.75" customHeight="1">
      <c r="A20" s="3010"/>
      <c r="B20" s="3020" t="s">
        <v>892</v>
      </c>
      <c r="C20" s="3021"/>
      <c r="D20" s="3021"/>
      <c r="E20" s="3036">
        <f>C3*100000</f>
        <v>50000000</v>
      </c>
      <c r="G20" s="3037">
        <f>+'Input Data'!J4*100000-SUM(E9:E19)</f>
        <v>-41188113</v>
      </c>
      <c r="H20" s="3005">
        <f>+E19/E9*100</f>
        <v>2.2957958736960475</v>
      </c>
    </row>
    <row r="21" spans="1:9" ht="24" hidden="1" customHeight="1">
      <c r="A21" s="3505" t="s">
        <v>893</v>
      </c>
      <c r="B21" s="3505"/>
      <c r="C21" s="3010"/>
      <c r="D21" s="3010"/>
      <c r="E21" s="3036"/>
      <c r="G21" s="3038"/>
    </row>
    <row r="22" spans="1:9" ht="21" hidden="1" customHeight="1">
      <c r="A22" s="3006"/>
      <c r="B22" s="3012" t="s">
        <v>894</v>
      </c>
      <c r="C22" s="3010"/>
      <c r="D22" s="3010"/>
      <c r="E22" s="3036"/>
      <c r="G22" s="3038"/>
    </row>
    <row r="23" spans="1:9" ht="21" hidden="1" customHeight="1">
      <c r="A23" s="3006">
        <v>1</v>
      </c>
      <c r="B23" s="3006" t="s">
        <v>895</v>
      </c>
      <c r="C23" s="3010"/>
      <c r="D23" s="3010"/>
      <c r="E23" s="3039">
        <f>'Mtc-Abs'!D15</f>
        <v>708980</v>
      </c>
      <c r="G23" s="3038"/>
    </row>
    <row r="24" spans="1:9" ht="21" hidden="1" customHeight="1">
      <c r="A24" s="3006">
        <v>2</v>
      </c>
      <c r="B24" s="3006" t="s">
        <v>896</v>
      </c>
      <c r="C24" s="3010"/>
      <c r="D24" s="3010"/>
      <c r="E24" s="3039">
        <f>'Mtc-Abs'!D16</f>
        <v>85078</v>
      </c>
      <c r="G24" s="3038"/>
    </row>
    <row r="25" spans="1:9" ht="21" hidden="1" customHeight="1">
      <c r="A25" s="3006">
        <v>3</v>
      </c>
      <c r="B25" s="3007" t="s">
        <v>897</v>
      </c>
      <c r="C25" s="3010"/>
      <c r="D25" s="3010"/>
      <c r="E25" s="3039">
        <f>'Mtc-Abs'!D17</f>
        <v>-44058</v>
      </c>
      <c r="G25" s="3038"/>
    </row>
    <row r="26" spans="1:9" ht="21" hidden="1" customHeight="1">
      <c r="A26" s="3006"/>
      <c r="B26" s="3020" t="s">
        <v>898</v>
      </c>
      <c r="C26" s="3010"/>
      <c r="D26" s="3010"/>
      <c r="E26" s="3036">
        <f>SUM(E23:E25)</f>
        <v>750000</v>
      </c>
      <c r="G26" s="3040"/>
    </row>
    <row r="27" spans="1:9" ht="21" hidden="1" customHeight="1">
      <c r="A27" s="3006"/>
      <c r="B27" s="3506" t="s">
        <v>899</v>
      </c>
      <c r="C27" s="3506"/>
      <c r="D27" s="3506"/>
      <c r="E27" s="3036">
        <f>E20+E26</f>
        <v>50750000</v>
      </c>
      <c r="F27" s="3019"/>
      <c r="G27" s="3014"/>
      <c r="H27" s="3025"/>
      <c r="I27" s="3025"/>
    </row>
    <row r="28" spans="1:9" ht="16.5" customHeight="1">
      <c r="B28" s="3041"/>
      <c r="C28" s="3041"/>
      <c r="D28" s="3041"/>
      <c r="E28" s="3041"/>
      <c r="G28" s="3014"/>
      <c r="H28" s="3025"/>
    </row>
    <row r="29" spans="1:9" ht="36" hidden="1" customHeight="1">
      <c r="A29" s="3507" t="str">
        <f>"               The work is Administratively Sanctioned for Rs."&amp;'Input Data'!J4&amp;".00 lakhs, Vide "&amp;'Input Data'!I3&amp;" under  "&amp;'Input Data'!J6</f>
        <v xml:space="preserve">               The work is Administratively Sanctioned for Rs.500.00 lakhs, Vide G.O.Rt.No.309  dt: 28.11.2024 of PR &amp; RD(Roads) Dept. under  SDF-2024-25</v>
      </c>
      <c r="B29" s="3507"/>
      <c r="C29" s="3507"/>
      <c r="D29" s="3507"/>
      <c r="E29" s="3507"/>
      <c r="G29" s="3014"/>
      <c r="H29" s="3025"/>
    </row>
    <row r="30" spans="1:9" ht="6" hidden="1" customHeight="1">
      <c r="A30" s="3042"/>
      <c r="B30" s="3043"/>
      <c r="C30" s="3041"/>
      <c r="D30" s="3041"/>
      <c r="E30" s="3041"/>
      <c r="G30" s="3014"/>
      <c r="H30" s="3025"/>
    </row>
    <row r="31" spans="1:9" ht="42.75" hidden="1" customHeight="1">
      <c r="A31" s="3507" t="str">
        <f>"                       The Estimate of work '' "&amp;'Input Data'!E1&amp;" '' is Technically sanctioned for Rs."&amp;'Note File'!L9&amp;" lakhs, and  Technically Approved for Rs."&amp;ROUND(E27/100000,2)&amp;" lakhs Vide  TSR No.          /2021-22 dated        -11-2021."</f>
        <v xml:space="preserve">                       The Estimate of work '' C/o HLB on R/F Amlikunta to Gundumal of Gundumal Mandal of Narayanept District. '' is Technically sanctioned for Rs.500 lakhs, and  Technically Approved for Rs.507.5 lakhs Vide  TSR No.          /2021-22 dated        -11-2021.</v>
      </c>
      <c r="B31" s="3507"/>
      <c r="C31" s="3507"/>
      <c r="D31" s="3507"/>
      <c r="E31" s="3507"/>
      <c r="G31" s="3014"/>
      <c r="H31" s="3025"/>
    </row>
    <row r="32" spans="1:9" ht="32.1" customHeight="1">
      <c r="A32" s="3044"/>
      <c r="B32" s="3041"/>
      <c r="C32" s="3508"/>
      <c r="D32" s="3508"/>
      <c r="E32" s="3041"/>
      <c r="G32" s="3014"/>
      <c r="H32" s="3025"/>
    </row>
    <row r="33" spans="1:11" ht="20.100000000000001" customHeight="1">
      <c r="B33" s="3045" t="s">
        <v>900</v>
      </c>
      <c r="C33" s="3509" t="s">
        <v>742</v>
      </c>
      <c r="D33" s="3509"/>
      <c r="E33" s="3509"/>
      <c r="G33" s="3014"/>
      <c r="H33" s="3025"/>
    </row>
    <row r="34" spans="1:11" ht="20.100000000000001" customHeight="1">
      <c r="B34" s="3045" t="str">
        <f>"PRSD, "&amp;'Input Data'!D6&amp;""</f>
        <v>PRSD, Maddur</v>
      </c>
      <c r="C34" s="3509" t="str">
        <f>"PRSD, "&amp;'Input Data'!D6&amp;""</f>
        <v>PRSD, Maddur</v>
      </c>
      <c r="D34" s="3509"/>
      <c r="E34" s="3509"/>
      <c r="G34" s="3014"/>
      <c r="H34" s="3025"/>
    </row>
    <row r="35" spans="1:11" ht="45" customHeight="1">
      <c r="B35" s="3041"/>
      <c r="C35" s="3041"/>
      <c r="D35" s="3041"/>
      <c r="E35" s="3041"/>
      <c r="I35" s="3046"/>
    </row>
    <row r="36" spans="1:11" ht="20.100000000000001" customHeight="1">
      <c r="B36" s="3045" t="s">
        <v>857</v>
      </c>
      <c r="C36" s="3509" t="s">
        <v>684</v>
      </c>
      <c r="D36" s="3509"/>
      <c r="E36" s="3509"/>
      <c r="I36" s="3046"/>
    </row>
    <row r="37" spans="1:11" ht="20.100000000000001" customHeight="1">
      <c r="B37" s="3011" t="str">
        <f>"PIU, "&amp;'Input Data'!D5&amp;""</f>
        <v>PIU, Narayanpet</v>
      </c>
      <c r="C37" s="3509" t="str">
        <f>"PR, Circle, "&amp;'Input Data'!D3&amp;""</f>
        <v>PR, Circle, Vikarabad</v>
      </c>
      <c r="D37" s="3509"/>
      <c r="E37" s="3509"/>
      <c r="H37" s="3011"/>
      <c r="I37" s="3047"/>
      <c r="J37" s="3011"/>
      <c r="K37" s="3048"/>
    </row>
    <row r="38" spans="1:11" ht="24.75" customHeight="1">
      <c r="B38" s="3011"/>
      <c r="C38" s="3045"/>
      <c r="D38" s="3045"/>
      <c r="E38" s="3045"/>
      <c r="H38" s="3011"/>
      <c r="I38" s="3047"/>
      <c r="J38" s="3011"/>
      <c r="K38" s="3048"/>
    </row>
    <row r="39" spans="1:11" hidden="1">
      <c r="A39" s="3044"/>
      <c r="B39" s="3041"/>
      <c r="C39" s="3049" t="s">
        <v>901</v>
      </c>
      <c r="D39" s="3041"/>
      <c r="E39" s="3041"/>
      <c r="G39" s="3014"/>
      <c r="H39" s="3025"/>
    </row>
    <row r="40" spans="1:11" ht="18.75" hidden="1" customHeight="1">
      <c r="A40" s="3044"/>
      <c r="B40" s="3041"/>
      <c r="C40" s="3049" t="s">
        <v>902</v>
      </c>
      <c r="D40" s="3041"/>
      <c r="E40" s="3041"/>
      <c r="G40" s="3014"/>
      <c r="H40" s="3025"/>
    </row>
    <row r="41" spans="1:11" ht="36.75" customHeight="1">
      <c r="A41" s="3510"/>
      <c r="B41" s="3510"/>
      <c r="C41" s="3510"/>
      <c r="D41" s="3510"/>
      <c r="E41" s="3510"/>
      <c r="H41" s="3011"/>
      <c r="I41" s="3015"/>
      <c r="J41" s="3011"/>
      <c r="K41" s="3048"/>
    </row>
    <row r="42" spans="1:11">
      <c r="A42" s="3050"/>
      <c r="B42" s="3051"/>
      <c r="C42" s="3044"/>
      <c r="D42" s="3051"/>
      <c r="E42" s="3052"/>
    </row>
    <row r="45" spans="1:11" ht="12.75" customHeight="1">
      <c r="B45" s="3011"/>
      <c r="E45" s="3048"/>
      <c r="H45" s="3048"/>
    </row>
    <row r="46" spans="1:11" ht="12.75" customHeight="1">
      <c r="A46" s="3053"/>
      <c r="B46" s="3011"/>
      <c r="E46" s="3048"/>
      <c r="H46" s="3048"/>
    </row>
    <row r="47" spans="1:11">
      <c r="A47" s="3053"/>
      <c r="E47" s="3048"/>
      <c r="F47" s="3011"/>
      <c r="G47" s="3011"/>
      <c r="H47" s="3048"/>
    </row>
    <row r="48" spans="1:11">
      <c r="A48" s="3053"/>
      <c r="E48" s="3048"/>
      <c r="F48" s="3011"/>
      <c r="G48" s="3011"/>
      <c r="H48" s="3048"/>
    </row>
    <row r="49" spans="1:8">
      <c r="A49" s="3053"/>
      <c r="E49" s="3048"/>
      <c r="F49" s="3011"/>
      <c r="G49" s="3011"/>
      <c r="H49" s="3048"/>
    </row>
    <row r="50" spans="1:8">
      <c r="A50" s="3053"/>
      <c r="B50" s="3011"/>
      <c r="D50" s="3011"/>
      <c r="E50" s="3048"/>
      <c r="F50" s="3011"/>
      <c r="G50" s="3011"/>
      <c r="H50" s="3048"/>
    </row>
    <row r="51" spans="1:8">
      <c r="A51" s="3053"/>
      <c r="B51" s="3011"/>
      <c r="D51" s="3011"/>
      <c r="E51" s="3048"/>
    </row>
  </sheetData>
  <mergeCells count="15">
    <mergeCell ref="C33:E33"/>
    <mergeCell ref="C34:E34"/>
    <mergeCell ref="C36:E36"/>
    <mergeCell ref="C37:E37"/>
    <mergeCell ref="A41:E41"/>
    <mergeCell ref="A21:B21"/>
    <mergeCell ref="B27:D27"/>
    <mergeCell ref="A29:E29"/>
    <mergeCell ref="A31:E31"/>
    <mergeCell ref="C32:D32"/>
    <mergeCell ref="A1:E1"/>
    <mergeCell ref="B2:E2"/>
    <mergeCell ref="C3:D3"/>
    <mergeCell ref="B4:D4"/>
    <mergeCell ref="A5:D5"/>
  </mergeCells>
  <printOptions horizontalCentered="1"/>
  <pageMargins left="0.51180555555555596" right="0.23611111111111099" top="0.66874999999999996" bottom="0.51180555555555596" header="0.74791666666666701" footer="0.51180555555555596"/>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7"/>
  <sheetViews>
    <sheetView view="pageBreakPreview" topLeftCell="A13" workbookViewId="0">
      <selection activeCell="F156" sqref="F156:G156"/>
    </sheetView>
  </sheetViews>
  <sheetFormatPr defaultColWidth="9.109375" defaultRowHeight="13.8"/>
  <cols>
    <col min="1" max="1" width="4.5546875" style="1551" customWidth="1"/>
    <col min="2" max="2" width="3.44140625" style="1551" customWidth="1"/>
    <col min="3" max="3" width="31.6640625" style="1551" customWidth="1"/>
    <col min="4" max="4" width="2" style="1552" customWidth="1"/>
    <col min="5" max="5" width="3.33203125" style="1551" customWidth="1"/>
    <col min="6" max="6" width="1.88671875" style="1551" customWidth="1"/>
    <col min="7" max="7" width="8" style="1551" customWidth="1"/>
    <col min="8" max="8" width="39.5546875" style="1551" customWidth="1"/>
    <col min="9" max="16384" width="9.109375" style="1551"/>
  </cols>
  <sheetData>
    <row r="2" spans="1:12" ht="18">
      <c r="A2" s="3511" t="s">
        <v>2615</v>
      </c>
      <c r="B2" s="3511"/>
      <c r="C2" s="3511"/>
      <c r="D2" s="3511"/>
      <c r="E2" s="3511"/>
      <c r="F2" s="3511"/>
      <c r="G2" s="3511"/>
      <c r="H2" s="3511"/>
      <c r="I2" s="1562"/>
      <c r="J2" s="1562"/>
      <c r="K2" s="1562"/>
      <c r="L2" s="1562"/>
    </row>
    <row r="3" spans="1:12" ht="18">
      <c r="A3" s="3511" t="s">
        <v>2614</v>
      </c>
      <c r="B3" s="3511"/>
      <c r="C3" s="3511"/>
      <c r="D3" s="3511"/>
      <c r="E3" s="3511"/>
      <c r="F3" s="3511"/>
      <c r="G3" s="3511"/>
      <c r="H3" s="3511"/>
      <c r="I3" s="1562"/>
      <c r="J3" s="1562"/>
      <c r="K3" s="1562"/>
      <c r="L3" s="1562"/>
    </row>
    <row r="4" spans="1:12" ht="15.6">
      <c r="A4" s="1553" t="s">
        <v>85</v>
      </c>
      <c r="B4" s="1553"/>
    </row>
    <row r="6" spans="1:12" s="1548" customFormat="1" ht="32.1" customHeight="1">
      <c r="A6" s="1548">
        <v>1</v>
      </c>
      <c r="B6" s="3512" t="s">
        <v>671</v>
      </c>
      <c r="C6" s="3512"/>
      <c r="D6" s="1554" t="s">
        <v>426</v>
      </c>
      <c r="E6" s="3513"/>
      <c r="F6" s="3513"/>
      <c r="G6" s="3513"/>
      <c r="H6" s="3513"/>
    </row>
    <row r="7" spans="1:12" s="1549" customFormat="1" ht="30.9" customHeight="1">
      <c r="A7" s="1549">
        <v>2</v>
      </c>
      <c r="B7" s="3514" t="s">
        <v>672</v>
      </c>
      <c r="C7" s="3514"/>
      <c r="D7" s="1556" t="s">
        <v>426</v>
      </c>
      <c r="E7" s="1557">
        <v>1</v>
      </c>
      <c r="F7" s="3515" t="s">
        <v>673</v>
      </c>
      <c r="G7" s="3515"/>
      <c r="H7" s="3515"/>
    </row>
    <row r="8" spans="1:12" ht="30.9" customHeight="1">
      <c r="D8" s="1556" t="s">
        <v>426</v>
      </c>
      <c r="E8" s="1557">
        <v>2</v>
      </c>
      <c r="F8" s="3515" t="s">
        <v>674</v>
      </c>
      <c r="G8" s="3515"/>
      <c r="H8" s="3515"/>
    </row>
    <row r="9" spans="1:12" ht="18" customHeight="1">
      <c r="D9" s="1558" t="s">
        <v>426</v>
      </c>
      <c r="E9" s="1557">
        <v>3</v>
      </c>
      <c r="F9" s="3515" t="s">
        <v>675</v>
      </c>
      <c r="G9" s="3515"/>
      <c r="H9" s="3515"/>
    </row>
    <row r="10" spans="1:12" s="1549" customFormat="1" ht="38.1" customHeight="1">
      <c r="A10" s="1549">
        <v>3</v>
      </c>
      <c r="B10" s="3514" t="s">
        <v>676</v>
      </c>
      <c r="C10" s="3514"/>
      <c r="D10" s="1556" t="s">
        <v>426</v>
      </c>
      <c r="E10" s="3515" t="str">
        <f>'Input Data'!E1</f>
        <v>C/o HLB on R/F Amlikunta to Gundumal of Gundumal Mandal of Narayanept District.</v>
      </c>
      <c r="F10" s="3515"/>
      <c r="G10" s="3515"/>
      <c r="H10" s="3515"/>
    </row>
    <row r="11" spans="1:12">
      <c r="A11" s="1551">
        <v>4</v>
      </c>
      <c r="B11" s="3516" t="s">
        <v>677</v>
      </c>
      <c r="C11" s="3516"/>
      <c r="D11" s="1558" t="s">
        <v>426</v>
      </c>
      <c r="E11" s="3517" t="s">
        <v>678</v>
      </c>
      <c r="F11" s="3517"/>
      <c r="G11" s="1559">
        <f>'Input Data'!J4</f>
        <v>500</v>
      </c>
      <c r="H11" s="1560" t="s">
        <v>329</v>
      </c>
    </row>
    <row r="12" spans="1:12" s="1550" customFormat="1" ht="36" customHeight="1">
      <c r="A12" s="1550">
        <v>5</v>
      </c>
      <c r="B12" s="3518" t="s">
        <v>679</v>
      </c>
      <c r="C12" s="3518"/>
      <c r="D12" s="1561" t="s">
        <v>426</v>
      </c>
      <c r="E12" s="3518" t="str">
        <f>'Input Data'!I3</f>
        <v>G.O.Rt.No.309  dt: 28.11.2024 of PR &amp; RD(Roads) Dept.</v>
      </c>
      <c r="F12" s="3518"/>
      <c r="G12" s="3518"/>
      <c r="H12" s="3518"/>
    </row>
    <row r="13" spans="1:12">
      <c r="A13" s="1551">
        <v>6</v>
      </c>
      <c r="B13" s="3519" t="s">
        <v>386</v>
      </c>
      <c r="C13" s="3519"/>
      <c r="D13" s="1558" t="s">
        <v>426</v>
      </c>
      <c r="E13" s="3519" t="str">
        <f>'Input Data'!J6</f>
        <v>SDF-2024-25</v>
      </c>
      <c r="F13" s="3519"/>
      <c r="G13" s="3519"/>
      <c r="H13" s="3519"/>
    </row>
    <row r="16" spans="1:12" s="1550" customFormat="1" ht="31.5" customHeight="1">
      <c r="C16" s="3518" t="s">
        <v>2621</v>
      </c>
      <c r="D16" s="3518"/>
      <c r="E16" s="3518"/>
      <c r="F16" s="3518"/>
      <c r="G16" s="3518"/>
      <c r="H16" s="3518"/>
    </row>
    <row r="17" spans="2:8" s="1549" customFormat="1" ht="38.25" customHeight="1">
      <c r="C17" s="3518" t="s">
        <v>2623</v>
      </c>
      <c r="D17" s="3518"/>
      <c r="E17" s="3518"/>
      <c r="F17" s="3518"/>
      <c r="G17" s="3518"/>
      <c r="H17" s="3518"/>
    </row>
    <row r="18" spans="2:8" s="1549" customFormat="1" ht="32.1" customHeight="1">
      <c r="C18" s="3518" t="s">
        <v>2622</v>
      </c>
      <c r="D18" s="3518"/>
      <c r="E18" s="3518"/>
      <c r="F18" s="3518"/>
      <c r="G18" s="3518"/>
      <c r="H18" s="3518"/>
    </row>
    <row r="19" spans="2:8" s="1550" customFormat="1" ht="15" hidden="1" customHeight="1">
      <c r="C19" s="3520" t="s">
        <v>680</v>
      </c>
      <c r="D19" s="3520"/>
      <c r="E19" s="3520"/>
      <c r="F19" s="3520"/>
      <c r="G19" s="3520"/>
      <c r="H19" s="3520"/>
    </row>
    <row r="20" spans="2:8" ht="19.5" customHeight="1">
      <c r="C20" s="1549" t="s">
        <v>681</v>
      </c>
    </row>
    <row r="21" spans="2:8" s="1548" customFormat="1" ht="30" customHeight="1">
      <c r="B21" s="1555">
        <v>1</v>
      </c>
      <c r="C21" s="3512" t="s">
        <v>682</v>
      </c>
      <c r="D21" s="3521"/>
      <c r="E21" s="3521"/>
      <c r="F21" s="3521"/>
      <c r="G21" s="3521"/>
      <c r="H21" s="3521"/>
    </row>
    <row r="23" spans="2:8" s="1550" customFormat="1" ht="36" customHeight="1">
      <c r="B23" s="3518" t="s">
        <v>683</v>
      </c>
      <c r="C23" s="3518"/>
      <c r="D23" s="3518"/>
      <c r="E23" s="3518"/>
      <c r="F23" s="3518"/>
      <c r="G23" s="3518"/>
      <c r="H23" s="3518"/>
    </row>
    <row r="26" spans="2:8" ht="15.6">
      <c r="H26" s="1553" t="s">
        <v>684</v>
      </c>
    </row>
    <row r="27" spans="2:8" ht="15.6">
      <c r="H27" s="1553" t="s">
        <v>2616</v>
      </c>
    </row>
  </sheetData>
  <mergeCells count="22">
    <mergeCell ref="C17:H17"/>
    <mergeCell ref="C18:H18"/>
    <mergeCell ref="C19:H19"/>
    <mergeCell ref="C21:H21"/>
    <mergeCell ref="B23:H23"/>
    <mergeCell ref="B12:C12"/>
    <mergeCell ref="E12:H12"/>
    <mergeCell ref="B13:C13"/>
    <mergeCell ref="E13:H13"/>
    <mergeCell ref="C16:H16"/>
    <mergeCell ref="F8:H8"/>
    <mergeCell ref="F9:H9"/>
    <mergeCell ref="B10:C10"/>
    <mergeCell ref="E10:H10"/>
    <mergeCell ref="B11:C11"/>
    <mergeCell ref="E11:F11"/>
    <mergeCell ref="A2:H2"/>
    <mergeCell ref="A3:H3"/>
    <mergeCell ref="B6:C6"/>
    <mergeCell ref="E6:H6"/>
    <mergeCell ref="B7:C7"/>
    <mergeCell ref="F7:H7"/>
  </mergeCells>
  <pageMargins left="0.51180555555555596" right="0.31458333333333299" top="0.55069444444444404" bottom="0.156944444444444" header="0.31458333333333299" footer="0.31458333333333299"/>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AE59"/>
  <sheetViews>
    <sheetView view="pageBreakPreview" workbookViewId="0">
      <selection activeCell="Z20" sqref="Z20"/>
    </sheetView>
  </sheetViews>
  <sheetFormatPr defaultColWidth="9.109375" defaultRowHeight="13.2"/>
  <cols>
    <col min="1" max="1" width="4.33203125" style="3055" customWidth="1"/>
    <col min="2" max="2" width="8.88671875" style="3055" customWidth="1"/>
    <col min="3" max="3" width="5.5546875" style="3055" customWidth="1"/>
    <col min="4" max="4" width="4.88671875" style="3055" customWidth="1"/>
    <col min="5" max="16" width="5.109375" style="3055" customWidth="1"/>
    <col min="17" max="17" width="5.5546875" style="3055" customWidth="1"/>
    <col min="18" max="18" width="5" style="3055" hidden="1" customWidth="1"/>
    <col min="19" max="19" width="5.5546875" style="3055" hidden="1" customWidth="1"/>
    <col min="20" max="20" width="5.5546875" style="3055" customWidth="1"/>
    <col min="21" max="21" width="7.88671875" style="3055" customWidth="1"/>
    <col min="22" max="22" width="4.5546875" style="3055" hidden="1" customWidth="1"/>
    <col min="23" max="23" width="4.6640625" style="3055" customWidth="1"/>
    <col min="24" max="41" width="9.109375" style="3055" customWidth="1"/>
    <col min="42" max="16384" width="9.109375" style="3055"/>
  </cols>
  <sheetData>
    <row r="1" spans="1:23" ht="27" customHeight="1">
      <c r="A1" s="3522" t="s">
        <v>685</v>
      </c>
      <c r="B1" s="3522"/>
      <c r="C1" s="3522"/>
      <c r="D1" s="3522"/>
      <c r="E1" s="3522"/>
      <c r="F1" s="3522"/>
      <c r="G1" s="3522"/>
      <c r="H1" s="3522"/>
      <c r="I1" s="3522"/>
      <c r="J1" s="3522"/>
      <c r="K1" s="3522"/>
      <c r="L1" s="3522"/>
      <c r="M1" s="3522"/>
      <c r="N1" s="3522"/>
      <c r="O1" s="3522"/>
      <c r="P1" s="3522"/>
      <c r="Q1" s="3522"/>
      <c r="R1" s="3522"/>
      <c r="S1" s="3522"/>
      <c r="T1" s="3522"/>
      <c r="U1" s="3522"/>
      <c r="V1" s="3522"/>
      <c r="W1" s="3054"/>
    </row>
    <row r="2" spans="1:23" s="3057" customFormat="1" ht="33.75" customHeight="1">
      <c r="A2" s="3523" t="s">
        <v>686</v>
      </c>
      <c r="B2" s="3523"/>
      <c r="C2" s="3523"/>
      <c r="D2" s="3523"/>
      <c r="E2" s="3524" t="str">
        <f>'Input Data'!E1:J1</f>
        <v>C/o HLB on R/F Amlikunta to Gundumal of Gundumal Mandal of Narayanept District.</v>
      </c>
      <c r="F2" s="3524"/>
      <c r="G2" s="3524"/>
      <c r="H2" s="3524"/>
      <c r="I2" s="3524"/>
      <c r="J2" s="3524"/>
      <c r="K2" s="3524"/>
      <c r="L2" s="3524"/>
      <c r="M2" s="3524"/>
      <c r="N2" s="3524"/>
      <c r="O2" s="3524"/>
      <c r="P2" s="3524"/>
      <c r="Q2" s="3524"/>
      <c r="R2" s="3524"/>
      <c r="S2" s="3524"/>
      <c r="T2" s="3524"/>
      <c r="U2" s="3524"/>
      <c r="V2" s="3524"/>
      <c r="W2" s="3056"/>
    </row>
    <row r="3" spans="1:23" s="3057" customFormat="1" ht="19.5" customHeight="1">
      <c r="A3" s="3058"/>
      <c r="B3" s="3058" t="s">
        <v>386</v>
      </c>
      <c r="C3" s="3058" t="str">
        <f>'Input Data'!I6</f>
        <v>SDF</v>
      </c>
      <c r="D3" s="3058" t="str">
        <f>'Input Data'!I7</f>
        <v>2024-25</v>
      </c>
      <c r="E3" s="3056"/>
      <c r="F3" s="3056"/>
      <c r="G3" s="3056"/>
      <c r="H3" s="3058"/>
      <c r="I3" s="3058"/>
      <c r="J3" s="3525"/>
      <c r="K3" s="3525"/>
      <c r="L3" s="3058" t="s">
        <v>687</v>
      </c>
      <c r="M3" s="3058"/>
      <c r="N3" s="3058"/>
      <c r="O3" s="3525">
        <f>'Input Data'!J4</f>
        <v>500</v>
      </c>
      <c r="P3" s="3525"/>
      <c r="Q3" s="3058" t="s">
        <v>329</v>
      </c>
      <c r="R3" s="3059"/>
      <c r="S3" s="3058"/>
      <c r="T3" s="3058"/>
      <c r="U3" s="3056"/>
      <c r="V3" s="3056"/>
      <c r="W3" s="3056"/>
    </row>
    <row r="4" spans="1:23" s="3060" customFormat="1" ht="78.900000000000006" hidden="1" customHeight="1">
      <c r="B4" s="3526" t="s">
        <v>688</v>
      </c>
      <c r="C4" s="3526"/>
      <c r="D4" s="3526"/>
      <c r="E4" s="3526"/>
      <c r="F4" s="3526"/>
      <c r="G4" s="3526"/>
      <c r="H4" s="3526"/>
      <c r="I4" s="3526"/>
      <c r="J4" s="3526"/>
      <c r="K4" s="3526"/>
      <c r="L4" s="3526"/>
      <c r="M4" s="3526"/>
      <c r="N4" s="3526"/>
      <c r="O4" s="3526"/>
      <c r="P4" s="3526"/>
      <c r="Q4" s="3526"/>
      <c r="R4" s="3526"/>
      <c r="S4" s="3526"/>
      <c r="T4" s="3526"/>
      <c r="U4" s="3526"/>
    </row>
    <row r="5" spans="1:23" ht="87" hidden="1" customHeight="1">
      <c r="B5" s="3527" t="s">
        <v>689</v>
      </c>
      <c r="C5" s="3527"/>
      <c r="D5" s="3527"/>
      <c r="E5" s="3527"/>
      <c r="F5" s="3527"/>
      <c r="G5" s="3527"/>
      <c r="H5" s="3527"/>
      <c r="I5" s="3527"/>
      <c r="J5" s="3527"/>
      <c r="K5" s="3527"/>
      <c r="L5" s="3527"/>
      <c r="M5" s="3527"/>
      <c r="N5" s="3527"/>
      <c r="O5" s="3527"/>
      <c r="P5" s="3527"/>
      <c r="Q5" s="3527"/>
      <c r="R5" s="3527"/>
      <c r="S5" s="3527"/>
      <c r="T5" s="3527"/>
      <c r="U5" s="3527"/>
      <c r="V5" s="3061"/>
    </row>
    <row r="6" spans="1:23" s="3060" customFormat="1" ht="46.5" hidden="1" customHeight="1">
      <c r="B6" s="3528" t="s">
        <v>690</v>
      </c>
      <c r="C6" s="3528"/>
      <c r="D6" s="3528"/>
      <c r="E6" s="3528"/>
      <c r="F6" s="3528"/>
      <c r="G6" s="3528"/>
      <c r="H6" s="3528"/>
      <c r="I6" s="3528"/>
      <c r="J6" s="3528"/>
      <c r="K6" s="3528"/>
      <c r="L6" s="3528"/>
      <c r="M6" s="3528"/>
      <c r="N6" s="3528"/>
      <c r="O6" s="3528"/>
      <c r="P6" s="3528"/>
      <c r="Q6" s="3528"/>
      <c r="R6" s="3528"/>
      <c r="S6" s="3528"/>
      <c r="T6" s="3528"/>
      <c r="U6" s="3528"/>
      <c r="V6" s="3062"/>
    </row>
    <row r="7" spans="1:23">
      <c r="A7" s="3063" t="s">
        <v>691</v>
      </c>
      <c r="B7" s="3529" t="s">
        <v>692</v>
      </c>
      <c r="C7" s="3529"/>
      <c r="D7" s="3529"/>
      <c r="E7" s="3529"/>
      <c r="F7" s="3529"/>
      <c r="G7" s="3529"/>
      <c r="H7" s="3529"/>
      <c r="I7" s="3529"/>
      <c r="J7" s="3529"/>
      <c r="K7" s="3529"/>
      <c r="L7" s="3529"/>
      <c r="M7" s="3529"/>
      <c r="N7" s="3529"/>
      <c r="O7" s="3529"/>
      <c r="P7" s="3529"/>
      <c r="Q7" s="3529"/>
      <c r="R7" s="3064"/>
      <c r="S7" s="3064"/>
      <c r="T7" s="3064"/>
      <c r="U7" s="3064"/>
      <c r="V7" s="3064"/>
    </row>
    <row r="8" spans="1:23">
      <c r="B8" s="3530" t="s">
        <v>693</v>
      </c>
      <c r="C8" s="3530"/>
      <c r="D8" s="3530"/>
      <c r="E8" s="3530"/>
      <c r="F8" s="3530"/>
      <c r="G8" s="3530"/>
      <c r="H8" s="3530"/>
      <c r="I8" s="3530"/>
      <c r="J8" s="3530"/>
      <c r="K8" s="3530"/>
      <c r="L8" s="3530"/>
      <c r="M8" s="3530"/>
      <c r="N8" s="3530"/>
      <c r="O8" s="3530"/>
      <c r="P8" s="3530"/>
      <c r="Q8" s="3530"/>
      <c r="R8" s="3065"/>
    </row>
    <row r="9" spans="1:23">
      <c r="B9" s="3065"/>
      <c r="C9" s="3065"/>
      <c r="D9" s="3065"/>
      <c r="E9" s="3065"/>
      <c r="F9" s="3065"/>
      <c r="G9" s="3065"/>
      <c r="H9" s="3065"/>
      <c r="I9" s="3065"/>
      <c r="J9" s="3065"/>
      <c r="K9" s="3065"/>
      <c r="L9" s="3065"/>
      <c r="M9" s="3065"/>
      <c r="N9" s="3065"/>
      <c r="O9" s="3065"/>
      <c r="P9" s="3065"/>
      <c r="Q9" s="3065"/>
      <c r="R9" s="3065"/>
    </row>
    <row r="10" spans="1:23">
      <c r="A10" s="3066"/>
      <c r="B10" s="3559" t="s">
        <v>694</v>
      </c>
      <c r="C10" s="3561" t="s">
        <v>453</v>
      </c>
      <c r="D10" s="3562"/>
      <c r="E10" s="3563"/>
      <c r="F10" s="3567" t="s">
        <v>695</v>
      </c>
      <c r="G10" s="3568"/>
      <c r="H10" s="3568"/>
      <c r="I10" s="3569"/>
      <c r="J10" s="3537" t="s">
        <v>696</v>
      </c>
      <c r="K10" s="3537"/>
      <c r="L10" s="3537"/>
      <c r="M10" s="3537"/>
      <c r="N10" s="3537"/>
      <c r="O10" s="3537"/>
      <c r="P10" s="3537"/>
      <c r="Q10" s="3537"/>
      <c r="S10" s="3066"/>
      <c r="T10" s="3066"/>
      <c r="U10" s="3066"/>
      <c r="V10" s="3066"/>
      <c r="W10" s="3066"/>
    </row>
    <row r="11" spans="1:23" ht="23.4" customHeight="1">
      <c r="A11" s="3066"/>
      <c r="B11" s="3560"/>
      <c r="C11" s="3564"/>
      <c r="D11" s="3565"/>
      <c r="E11" s="3566"/>
      <c r="F11" s="3570"/>
      <c r="G11" s="3571"/>
      <c r="H11" s="3571"/>
      <c r="I11" s="3572"/>
      <c r="J11" s="3538" t="s">
        <v>463</v>
      </c>
      <c r="K11" s="3539"/>
      <c r="L11" s="3538" t="s">
        <v>464</v>
      </c>
      <c r="M11" s="3540"/>
      <c r="N11" s="3539"/>
      <c r="O11" s="3538" t="s">
        <v>465</v>
      </c>
      <c r="P11" s="3540"/>
      <c r="Q11" s="3539"/>
      <c r="S11" s="3066"/>
      <c r="T11" s="3066"/>
      <c r="U11" s="3066"/>
      <c r="V11" s="3066"/>
      <c r="W11" s="3066"/>
    </row>
    <row r="12" spans="1:23" ht="28.2" customHeight="1">
      <c r="A12" s="3066"/>
      <c r="B12" s="3067">
        <v>1</v>
      </c>
      <c r="C12" s="3541" t="s">
        <v>2735</v>
      </c>
      <c r="D12" s="3541"/>
      <c r="E12" s="3541"/>
      <c r="F12" s="3542" t="s">
        <v>2978</v>
      </c>
      <c r="G12" s="3543"/>
      <c r="H12" s="3543"/>
      <c r="I12" s="3544"/>
      <c r="J12" s="3545">
        <v>1237</v>
      </c>
      <c r="K12" s="3545"/>
      <c r="L12" s="3531">
        <v>47</v>
      </c>
      <c r="M12" s="3532"/>
      <c r="N12" s="3533"/>
      <c r="O12" s="3531">
        <v>12967</v>
      </c>
      <c r="P12" s="3532"/>
      <c r="Q12" s="3533"/>
      <c r="S12" s="3066"/>
      <c r="T12" s="3066"/>
      <c r="U12" s="3066"/>
      <c r="V12" s="3066"/>
      <c r="W12" s="3066"/>
    </row>
    <row r="13" spans="1:23" ht="28.2" customHeight="1">
      <c r="A13" s="3066"/>
      <c r="B13" s="3067">
        <f>B12+1</f>
        <v>2</v>
      </c>
      <c r="C13" s="3541" t="s">
        <v>2735</v>
      </c>
      <c r="D13" s="3541"/>
      <c r="E13" s="3541"/>
      <c r="F13" s="3542" t="s">
        <v>2980</v>
      </c>
      <c r="G13" s="3543"/>
      <c r="H13" s="3543"/>
      <c r="I13" s="3544"/>
      <c r="J13" s="3531">
        <v>301</v>
      </c>
      <c r="K13" s="3533"/>
      <c r="L13" s="3531">
        <v>0</v>
      </c>
      <c r="M13" s="3532"/>
      <c r="N13" s="3533"/>
      <c r="O13" s="3531">
        <v>958</v>
      </c>
      <c r="P13" s="3532"/>
      <c r="Q13" s="3533"/>
      <c r="S13" s="3066"/>
      <c r="T13" s="3066"/>
      <c r="U13" s="3066"/>
      <c r="V13" s="3066"/>
      <c r="W13" s="3066"/>
    </row>
    <row r="14" spans="1:23" ht="28.2" hidden="1" customHeight="1">
      <c r="A14" s="3066"/>
      <c r="B14" s="3081">
        <f>B13+1</f>
        <v>3</v>
      </c>
      <c r="C14" s="3541" t="s">
        <v>2735</v>
      </c>
      <c r="D14" s="3541"/>
      <c r="E14" s="3541"/>
      <c r="F14" s="3542" t="s">
        <v>2975</v>
      </c>
      <c r="G14" s="3543"/>
      <c r="H14" s="3543"/>
      <c r="I14" s="3544"/>
      <c r="J14" s="3545">
        <v>0</v>
      </c>
      <c r="K14" s="3545"/>
      <c r="L14" s="3531">
        <v>0</v>
      </c>
      <c r="M14" s="3532"/>
      <c r="N14" s="3533"/>
      <c r="O14" s="3531">
        <v>0</v>
      </c>
      <c r="P14" s="3532"/>
      <c r="Q14" s="3533"/>
      <c r="S14" s="3066"/>
      <c r="T14" s="3066"/>
      <c r="U14" s="3066"/>
      <c r="V14" s="3066"/>
      <c r="W14" s="3066"/>
    </row>
    <row r="15" spans="1:23" ht="28.2" hidden="1" customHeight="1">
      <c r="A15" s="3066"/>
      <c r="B15" s="3081">
        <f>B14+1</f>
        <v>4</v>
      </c>
      <c r="C15" s="3541" t="s">
        <v>2735</v>
      </c>
      <c r="D15" s="3541"/>
      <c r="E15" s="3541"/>
      <c r="F15" s="3542" t="s">
        <v>2976</v>
      </c>
      <c r="G15" s="3543"/>
      <c r="H15" s="3543"/>
      <c r="I15" s="3544"/>
      <c r="J15" s="3531">
        <v>0</v>
      </c>
      <c r="K15" s="3533"/>
      <c r="L15" s="3531">
        <v>3</v>
      </c>
      <c r="M15" s="3532"/>
      <c r="N15" s="3533"/>
      <c r="O15" s="3531">
        <v>0</v>
      </c>
      <c r="P15" s="3532"/>
      <c r="Q15" s="3533"/>
      <c r="S15" s="3066"/>
      <c r="T15" s="3066"/>
      <c r="U15" s="3066"/>
      <c r="V15" s="3066"/>
      <c r="W15" s="3066"/>
    </row>
    <row r="16" spans="1:23" ht="18" customHeight="1">
      <c r="A16" s="3066"/>
      <c r="B16" s="3067"/>
      <c r="C16" s="3534"/>
      <c r="D16" s="3535"/>
      <c r="E16" s="3536"/>
      <c r="F16" s="3550" t="s">
        <v>60</v>
      </c>
      <c r="G16" s="3550"/>
      <c r="H16" s="3550"/>
      <c r="I16" s="3550"/>
      <c r="J16" s="3551">
        <f>SUM(J12:K15)</f>
        <v>1538</v>
      </c>
      <c r="K16" s="3551"/>
      <c r="L16" s="3552">
        <f>SUM(L12:N15)</f>
        <v>50</v>
      </c>
      <c r="M16" s="3553"/>
      <c r="N16" s="3554"/>
      <c r="O16" s="3552">
        <f>SUM(O12:Q15)</f>
        <v>13925</v>
      </c>
      <c r="P16" s="3553"/>
      <c r="Q16" s="3554"/>
      <c r="R16" s="3548"/>
      <c r="S16" s="3549"/>
      <c r="T16" s="3083"/>
      <c r="U16" s="3066"/>
      <c r="V16" s="3066"/>
      <c r="W16" s="3066"/>
    </row>
    <row r="17" spans="1:31" s="3068" customFormat="1"/>
    <row r="18" spans="1:31" hidden="1">
      <c r="A18" s="3066"/>
      <c r="B18" s="3069"/>
      <c r="C18" s="3069"/>
      <c r="D18" s="3069"/>
      <c r="E18" s="3069"/>
      <c r="F18" s="3069"/>
      <c r="G18" s="3069"/>
      <c r="H18" s="3069"/>
      <c r="I18" s="3069"/>
      <c r="J18" s="3069"/>
      <c r="K18" s="3069"/>
      <c r="L18" s="3069"/>
      <c r="M18" s="3069"/>
      <c r="N18" s="3069"/>
      <c r="O18" s="3069"/>
      <c r="P18" s="3069"/>
      <c r="Q18" s="3069"/>
      <c r="R18" s="3069"/>
      <c r="S18" s="3069"/>
      <c r="T18" s="3082"/>
      <c r="U18" s="3069"/>
      <c r="V18" s="3069"/>
      <c r="W18" s="3066"/>
    </row>
    <row r="19" spans="1:31" ht="27.75" customHeight="1">
      <c r="A19" s="3070"/>
      <c r="B19" s="3573" t="s">
        <v>2701</v>
      </c>
      <c r="C19" s="3573"/>
      <c r="D19" s="3573"/>
      <c r="E19" s="3573"/>
      <c r="F19" s="3573"/>
      <c r="G19" s="3573"/>
      <c r="H19" s="3573"/>
      <c r="I19" s="3573"/>
      <c r="J19" s="3573"/>
      <c r="K19" s="3573"/>
      <c r="L19" s="3573"/>
      <c r="M19" s="3573"/>
      <c r="N19" s="3573"/>
      <c r="O19" s="3573"/>
      <c r="P19" s="3573"/>
      <c r="Q19" s="3573"/>
      <c r="R19" s="3573"/>
      <c r="S19" s="3573"/>
      <c r="T19" s="3573"/>
      <c r="U19" s="3573"/>
      <c r="V19" s="3573"/>
      <c r="W19" s="3573"/>
      <c r="X19" s="3071"/>
      <c r="Y19" s="3071"/>
      <c r="Z19" s="3071"/>
      <c r="AA19" s="3071"/>
      <c r="AB19" s="3071"/>
      <c r="AC19" s="3071"/>
      <c r="AD19" s="3071"/>
      <c r="AE19" s="3071"/>
    </row>
    <row r="20" spans="1:31" s="3073" customFormat="1" ht="48.6" customHeight="1">
      <c r="A20" s="3072">
        <v>1</v>
      </c>
      <c r="B20" s="3556" t="s">
        <v>2702</v>
      </c>
      <c r="C20" s="3556"/>
      <c r="D20" s="3556"/>
      <c r="E20" s="3556"/>
      <c r="F20" s="3556"/>
      <c r="G20" s="3556"/>
      <c r="H20" s="3556"/>
      <c r="I20" s="3556"/>
      <c r="J20" s="3556"/>
      <c r="K20" s="3556"/>
      <c r="L20" s="3556"/>
      <c r="M20" s="3556"/>
      <c r="N20" s="3556"/>
      <c r="O20" s="3556"/>
      <c r="P20" s="3556"/>
      <c r="Q20" s="3556"/>
      <c r="R20" s="3556"/>
      <c r="S20" s="3556"/>
      <c r="T20" s="3556"/>
      <c r="U20" s="3556"/>
      <c r="V20" s="3556"/>
      <c r="W20" s="3556"/>
      <c r="X20" s="3071"/>
      <c r="Y20" s="3071"/>
      <c r="Z20" s="3071"/>
      <c r="AA20" s="3071"/>
      <c r="AB20" s="3071"/>
      <c r="AC20" s="3071"/>
      <c r="AD20" s="3071"/>
      <c r="AE20" s="3071"/>
    </row>
    <row r="21" spans="1:31" s="3073" customFormat="1" ht="44.4" customHeight="1">
      <c r="A21" s="3072">
        <v>2</v>
      </c>
      <c r="B21" s="3556" t="s">
        <v>2703</v>
      </c>
      <c r="C21" s="3556"/>
      <c r="D21" s="3556"/>
      <c r="E21" s="3556"/>
      <c r="F21" s="3556"/>
      <c r="G21" s="3556"/>
      <c r="H21" s="3556"/>
      <c r="I21" s="3556"/>
      <c r="J21" s="3556"/>
      <c r="K21" s="3556"/>
      <c r="L21" s="3556"/>
      <c r="M21" s="3556"/>
      <c r="N21" s="3556"/>
      <c r="O21" s="3556"/>
      <c r="P21" s="3556"/>
      <c r="Q21" s="3556"/>
      <c r="R21" s="3556"/>
      <c r="S21" s="3556"/>
      <c r="T21" s="3556"/>
      <c r="U21" s="3556"/>
      <c r="V21" s="3556"/>
      <c r="W21" s="3556"/>
    </row>
    <row r="22" spans="1:31" s="3073" customFormat="1" ht="76.8" customHeight="1">
      <c r="A22" s="3072">
        <v>3</v>
      </c>
      <c r="B22" s="3555" t="s">
        <v>2704</v>
      </c>
      <c r="C22" s="3556"/>
      <c r="D22" s="3556"/>
      <c r="E22" s="3556"/>
      <c r="F22" s="3556"/>
      <c r="G22" s="3556"/>
      <c r="H22" s="3556"/>
      <c r="I22" s="3556"/>
      <c r="J22" s="3556"/>
      <c r="K22" s="3556"/>
      <c r="L22" s="3556"/>
      <c r="M22" s="3556"/>
      <c r="N22" s="3556"/>
      <c r="O22" s="3556"/>
      <c r="P22" s="3556"/>
      <c r="Q22" s="3556"/>
      <c r="R22" s="3556"/>
      <c r="S22" s="3556"/>
      <c r="T22" s="3556"/>
      <c r="U22" s="3556"/>
      <c r="V22" s="3556"/>
      <c r="W22" s="3556"/>
    </row>
    <row r="23" spans="1:31" s="3073" customFormat="1" ht="67.8" customHeight="1">
      <c r="A23" s="3072">
        <v>4</v>
      </c>
      <c r="B23" s="3555" t="s">
        <v>2705</v>
      </c>
      <c r="C23" s="3556"/>
      <c r="D23" s="3556"/>
      <c r="E23" s="3556"/>
      <c r="F23" s="3556"/>
      <c r="G23" s="3556"/>
      <c r="H23" s="3556"/>
      <c r="I23" s="3556"/>
      <c r="J23" s="3556"/>
      <c r="K23" s="3556"/>
      <c r="L23" s="3556"/>
      <c r="M23" s="3556"/>
      <c r="N23" s="3556"/>
      <c r="O23" s="3556"/>
      <c r="P23" s="3556"/>
      <c r="Q23" s="3556"/>
      <c r="R23" s="3556"/>
      <c r="S23" s="3556"/>
      <c r="T23" s="3556"/>
      <c r="U23" s="3556"/>
      <c r="V23" s="3556"/>
      <c r="W23" s="3556"/>
    </row>
    <row r="24" spans="1:31" s="3073" customFormat="1" ht="60" customHeight="1">
      <c r="A24" s="3072">
        <v>5</v>
      </c>
      <c r="B24" s="3555" t="s">
        <v>2706</v>
      </c>
      <c r="C24" s="3556"/>
      <c r="D24" s="3556"/>
      <c r="E24" s="3556"/>
      <c r="F24" s="3556"/>
      <c r="G24" s="3556"/>
      <c r="H24" s="3556"/>
      <c r="I24" s="3556"/>
      <c r="J24" s="3556"/>
      <c r="K24" s="3556"/>
      <c r="L24" s="3556"/>
      <c r="M24" s="3556"/>
      <c r="N24" s="3556"/>
      <c r="O24" s="3556"/>
      <c r="P24" s="3556"/>
      <c r="Q24" s="3556"/>
      <c r="R24" s="3556"/>
      <c r="S24" s="3556"/>
      <c r="T24" s="3556"/>
      <c r="U24" s="3556"/>
      <c r="V24" s="3556"/>
      <c r="W24" s="3556"/>
    </row>
    <row r="25" spans="1:31" s="3073" customFormat="1" ht="60.6" customHeight="1">
      <c r="A25" s="3072">
        <v>6</v>
      </c>
      <c r="B25" s="3556" t="s">
        <v>2707</v>
      </c>
      <c r="C25" s="3556"/>
      <c r="D25" s="3556"/>
      <c r="E25" s="3556"/>
      <c r="F25" s="3556"/>
      <c r="G25" s="3556"/>
      <c r="H25" s="3556"/>
      <c r="I25" s="3556"/>
      <c r="J25" s="3556"/>
      <c r="K25" s="3556"/>
      <c r="L25" s="3556"/>
      <c r="M25" s="3556"/>
      <c r="N25" s="3556"/>
      <c r="O25" s="3556"/>
      <c r="P25" s="3556"/>
      <c r="Q25" s="3556"/>
      <c r="R25" s="3556"/>
      <c r="S25" s="3556"/>
      <c r="T25" s="3556"/>
      <c r="U25" s="3556"/>
      <c r="V25" s="3556"/>
      <c r="W25" s="3556"/>
    </row>
    <row r="26" spans="1:31" s="3073" customFormat="1" ht="67.2" customHeight="1">
      <c r="A26" s="3072">
        <v>7</v>
      </c>
      <c r="B26" s="3556" t="s">
        <v>2708</v>
      </c>
      <c r="C26" s="3556"/>
      <c r="D26" s="3556"/>
      <c r="E26" s="3556"/>
      <c r="F26" s="3556"/>
      <c r="G26" s="3556"/>
      <c r="H26" s="3556"/>
      <c r="I26" s="3556"/>
      <c r="J26" s="3556"/>
      <c r="K26" s="3556"/>
      <c r="L26" s="3556"/>
      <c r="M26" s="3556"/>
      <c r="N26" s="3556"/>
      <c r="O26" s="3556"/>
      <c r="P26" s="3556"/>
      <c r="Q26" s="3556"/>
      <c r="R26" s="3556"/>
      <c r="S26" s="3556"/>
      <c r="T26" s="3556"/>
      <c r="U26" s="3556"/>
      <c r="V26" s="3556"/>
      <c r="W26" s="3556"/>
    </row>
    <row r="27" spans="1:31" s="3073" customFormat="1" ht="26.4" customHeight="1">
      <c r="A27" s="3072">
        <v>8</v>
      </c>
      <c r="B27" s="3556" t="s">
        <v>2709</v>
      </c>
      <c r="C27" s="3556"/>
      <c r="D27" s="3556"/>
      <c r="E27" s="3556"/>
      <c r="F27" s="3556"/>
      <c r="G27" s="3556"/>
      <c r="H27" s="3556"/>
      <c r="I27" s="3556"/>
      <c r="J27" s="3556"/>
      <c r="K27" s="3556"/>
      <c r="L27" s="3556"/>
      <c r="M27" s="3556"/>
      <c r="N27" s="3556"/>
      <c r="O27" s="3556"/>
      <c r="P27" s="3556"/>
      <c r="Q27" s="3556"/>
      <c r="R27" s="3556"/>
      <c r="S27" s="3556"/>
      <c r="T27" s="3556"/>
      <c r="U27" s="3556"/>
      <c r="V27" s="3556"/>
      <c r="W27" s="3556"/>
    </row>
    <row r="28" spans="1:31" s="3073" customFormat="1" ht="61.2" customHeight="1">
      <c r="A28" s="3072">
        <v>9</v>
      </c>
      <c r="B28" s="3556" t="s">
        <v>2710</v>
      </c>
      <c r="C28" s="3556"/>
      <c r="D28" s="3556"/>
      <c r="E28" s="3556"/>
      <c r="F28" s="3556"/>
      <c r="G28" s="3556"/>
      <c r="H28" s="3556"/>
      <c r="I28" s="3556"/>
      <c r="J28" s="3556"/>
      <c r="K28" s="3556"/>
      <c r="L28" s="3556"/>
      <c r="M28" s="3556"/>
      <c r="N28" s="3556"/>
      <c r="O28" s="3556"/>
      <c r="P28" s="3556"/>
      <c r="Q28" s="3556"/>
      <c r="R28" s="3556"/>
      <c r="S28" s="3556"/>
      <c r="T28" s="3556"/>
      <c r="U28" s="3556"/>
      <c r="V28" s="3556"/>
      <c r="W28" s="3556"/>
    </row>
    <row r="29" spans="1:31" s="3073" customFormat="1" ht="66" customHeight="1">
      <c r="A29" s="3072">
        <v>10</v>
      </c>
      <c r="B29" s="3556" t="s">
        <v>2711</v>
      </c>
      <c r="C29" s="3556"/>
      <c r="D29" s="3556"/>
      <c r="E29" s="3556"/>
      <c r="F29" s="3556"/>
      <c r="G29" s="3556"/>
      <c r="H29" s="3556"/>
      <c r="I29" s="3556"/>
      <c r="J29" s="3556"/>
      <c r="K29" s="3556"/>
      <c r="L29" s="3556"/>
      <c r="M29" s="3556"/>
      <c r="N29" s="3556"/>
      <c r="O29" s="3556"/>
      <c r="P29" s="3556"/>
      <c r="Q29" s="3556"/>
      <c r="R29" s="3556"/>
      <c r="S29" s="3556"/>
      <c r="T29" s="3556"/>
      <c r="U29" s="3556"/>
      <c r="V29" s="3556"/>
      <c r="W29" s="3556"/>
    </row>
    <row r="30" spans="1:31" s="3073" customFormat="1" ht="51" customHeight="1">
      <c r="A30" s="3072">
        <v>11</v>
      </c>
      <c r="B30" s="3556" t="s">
        <v>2712</v>
      </c>
      <c r="C30" s="3556"/>
      <c r="D30" s="3556"/>
      <c r="E30" s="3556"/>
      <c r="F30" s="3556"/>
      <c r="G30" s="3556"/>
      <c r="H30" s="3556"/>
      <c r="I30" s="3556"/>
      <c r="J30" s="3556"/>
      <c r="K30" s="3556"/>
      <c r="L30" s="3556"/>
      <c r="M30" s="3556"/>
      <c r="N30" s="3556"/>
      <c r="O30" s="3556"/>
      <c r="P30" s="3556"/>
      <c r="Q30" s="3556"/>
      <c r="R30" s="3556"/>
      <c r="S30" s="3556"/>
      <c r="T30" s="3556"/>
      <c r="U30" s="3556"/>
      <c r="V30" s="3556"/>
      <c r="W30" s="3556"/>
    </row>
    <row r="31" spans="1:31" s="3073" customFormat="1" ht="71.400000000000006" customHeight="1">
      <c r="A31" s="3072">
        <v>12</v>
      </c>
      <c r="B31" s="3556" t="s">
        <v>2713</v>
      </c>
      <c r="C31" s="3556"/>
      <c r="D31" s="3556"/>
      <c r="E31" s="3556"/>
      <c r="F31" s="3556"/>
      <c r="G31" s="3556"/>
      <c r="H31" s="3556"/>
      <c r="I31" s="3556"/>
      <c r="J31" s="3556"/>
      <c r="K31" s="3556"/>
      <c r="L31" s="3556"/>
      <c r="M31" s="3556"/>
      <c r="N31" s="3556"/>
      <c r="O31" s="3556"/>
      <c r="P31" s="3556"/>
      <c r="Q31" s="3556"/>
      <c r="R31" s="3556"/>
      <c r="S31" s="3556"/>
      <c r="T31" s="3556"/>
      <c r="U31" s="3556"/>
      <c r="V31" s="3556"/>
      <c r="W31" s="3556"/>
    </row>
    <row r="32" spans="1:31" s="3073" customFormat="1" ht="61.8" customHeight="1">
      <c r="A32" s="3072">
        <v>13</v>
      </c>
      <c r="B32" s="3556" t="s">
        <v>1063</v>
      </c>
      <c r="C32" s="3556"/>
      <c r="D32" s="3556"/>
      <c r="E32" s="3556"/>
      <c r="F32" s="3556"/>
      <c r="G32" s="3556"/>
      <c r="H32" s="3556"/>
      <c r="I32" s="3556"/>
      <c r="J32" s="3556"/>
      <c r="K32" s="3556"/>
      <c r="L32" s="3556"/>
      <c r="M32" s="3556"/>
      <c r="N32" s="3556"/>
      <c r="O32" s="3556"/>
      <c r="P32" s="3556"/>
      <c r="Q32" s="3556"/>
      <c r="R32" s="3556"/>
      <c r="S32" s="3556"/>
      <c r="T32" s="3556"/>
      <c r="U32" s="3556"/>
      <c r="V32" s="3556"/>
      <c r="W32" s="3556"/>
    </row>
    <row r="33" spans="1:23" s="3073" customFormat="1" ht="74.400000000000006" customHeight="1">
      <c r="A33" s="3072">
        <v>14</v>
      </c>
      <c r="B33" s="3556" t="s">
        <v>200</v>
      </c>
      <c r="C33" s="3556"/>
      <c r="D33" s="3556"/>
      <c r="E33" s="3556"/>
      <c r="F33" s="3556"/>
      <c r="G33" s="3556"/>
      <c r="H33" s="3556"/>
      <c r="I33" s="3556" t="s">
        <v>709</v>
      </c>
      <c r="J33" s="3556"/>
      <c r="K33" s="3556"/>
      <c r="L33" s="3556"/>
      <c r="M33" s="3556"/>
      <c r="N33" s="3556"/>
      <c r="O33" s="3556"/>
      <c r="P33" s="3556" t="s">
        <v>709</v>
      </c>
      <c r="Q33" s="3556"/>
      <c r="R33" s="3556"/>
      <c r="S33" s="3556"/>
      <c r="T33" s="3556"/>
      <c r="U33" s="3556"/>
      <c r="V33" s="3556"/>
      <c r="W33" s="3556"/>
    </row>
    <row r="34" spans="1:23" s="3073" customFormat="1" ht="64.2" customHeight="1">
      <c r="A34" s="3072">
        <v>15</v>
      </c>
      <c r="B34" s="3556" t="s">
        <v>2714</v>
      </c>
      <c r="C34" s="3556"/>
      <c r="D34" s="3556"/>
      <c r="E34" s="3556"/>
      <c r="F34" s="3556"/>
      <c r="G34" s="3556"/>
      <c r="H34" s="3556"/>
      <c r="I34" s="3556"/>
      <c r="J34" s="3556"/>
      <c r="K34" s="3556"/>
      <c r="L34" s="3556"/>
      <c r="M34" s="3556"/>
      <c r="N34" s="3556"/>
      <c r="O34" s="3556"/>
      <c r="P34" s="3556"/>
      <c r="Q34" s="3556"/>
      <c r="R34" s="3556"/>
      <c r="S34" s="3556"/>
      <c r="T34" s="3556"/>
      <c r="U34" s="3556"/>
      <c r="V34" s="3556"/>
      <c r="W34" s="3556"/>
    </row>
    <row r="35" spans="1:23" s="3073" customFormat="1" ht="39" customHeight="1">
      <c r="A35" s="3072">
        <v>16</v>
      </c>
      <c r="B35" s="3556" t="s">
        <v>2715</v>
      </c>
      <c r="C35" s="3556"/>
      <c r="D35" s="3556"/>
      <c r="E35" s="3556"/>
      <c r="F35" s="3556"/>
      <c r="G35" s="3556"/>
      <c r="H35" s="3556"/>
      <c r="I35" s="3556"/>
      <c r="J35" s="3556"/>
      <c r="K35" s="3556"/>
      <c r="L35" s="3556"/>
      <c r="M35" s="3556"/>
      <c r="N35" s="3556"/>
      <c r="O35" s="3556"/>
      <c r="P35" s="3556"/>
      <c r="Q35" s="3556"/>
      <c r="R35" s="3556"/>
      <c r="S35" s="3556"/>
      <c r="T35" s="3556"/>
      <c r="U35" s="3556"/>
      <c r="V35" s="3556"/>
      <c r="W35" s="3556"/>
    </row>
    <row r="36" spans="1:23" s="3073" customFormat="1" ht="67.8" customHeight="1">
      <c r="A36" s="3072">
        <v>17</v>
      </c>
      <c r="B36" s="3556" t="s">
        <v>2716</v>
      </c>
      <c r="C36" s="3556"/>
      <c r="D36" s="3556"/>
      <c r="E36" s="3556"/>
      <c r="F36" s="3556"/>
      <c r="G36" s="3556"/>
      <c r="H36" s="3556"/>
      <c r="I36" s="3556"/>
      <c r="J36" s="3556"/>
      <c r="K36" s="3556"/>
      <c r="L36" s="3556"/>
      <c r="M36" s="3556"/>
      <c r="N36" s="3556"/>
      <c r="O36" s="3556"/>
      <c r="P36" s="3556"/>
      <c r="Q36" s="3556"/>
      <c r="R36" s="3556"/>
      <c r="S36" s="3556"/>
      <c r="T36" s="3556"/>
      <c r="U36" s="3556"/>
      <c r="V36" s="3556"/>
      <c r="W36" s="3556"/>
    </row>
    <row r="37" spans="1:23" s="3073" customFormat="1" ht="76.8" customHeight="1">
      <c r="A37" s="3072">
        <v>18</v>
      </c>
      <c r="B37" s="3556" t="s">
        <v>2717</v>
      </c>
      <c r="C37" s="3556"/>
      <c r="D37" s="3556"/>
      <c r="E37" s="3556"/>
      <c r="F37" s="3556"/>
      <c r="G37" s="3556"/>
      <c r="H37" s="3556"/>
      <c r="I37" s="3556"/>
      <c r="J37" s="3556"/>
      <c r="K37" s="3556"/>
      <c r="L37" s="3556"/>
      <c r="M37" s="3556"/>
      <c r="N37" s="3556"/>
      <c r="O37" s="3556"/>
      <c r="P37" s="3556"/>
      <c r="Q37" s="3556"/>
      <c r="R37" s="3556"/>
      <c r="S37" s="3556"/>
      <c r="T37" s="3556"/>
      <c r="U37" s="3556"/>
      <c r="V37" s="3556"/>
      <c r="W37" s="3556"/>
    </row>
    <row r="38" spans="1:23" s="3073" customFormat="1" ht="69.599999999999994" customHeight="1">
      <c r="A38" s="3072">
        <v>19</v>
      </c>
      <c r="B38" s="3556" t="s">
        <v>2718</v>
      </c>
      <c r="C38" s="3556"/>
      <c r="D38" s="3556"/>
      <c r="E38" s="3556"/>
      <c r="F38" s="3556"/>
      <c r="G38" s="3556"/>
      <c r="H38" s="3556"/>
      <c r="I38" s="3556"/>
      <c r="J38" s="3556"/>
      <c r="K38" s="3556"/>
      <c r="L38" s="3556"/>
      <c r="M38" s="3556"/>
      <c r="N38" s="3556"/>
      <c r="O38" s="3556"/>
      <c r="P38" s="3556"/>
      <c r="Q38" s="3556"/>
      <c r="R38" s="3556"/>
      <c r="S38" s="3556"/>
      <c r="T38" s="3556"/>
      <c r="U38" s="3556"/>
      <c r="V38" s="3556"/>
      <c r="W38" s="3556"/>
    </row>
    <row r="39" spans="1:23" s="3073" customFormat="1" hidden="1">
      <c r="A39" s="3074" t="s">
        <v>710</v>
      </c>
      <c r="B39" s="3547" t="s">
        <v>711</v>
      </c>
      <c r="C39" s="3547"/>
      <c r="D39" s="3547"/>
      <c r="E39" s="3547"/>
      <c r="F39" s="3547"/>
      <c r="G39" s="3547"/>
      <c r="H39" s="3547"/>
      <c r="I39" s="3547"/>
      <c r="J39" s="3547"/>
      <c r="K39" s="3547"/>
      <c r="L39" s="3547"/>
      <c r="M39" s="3547"/>
      <c r="N39" s="3547"/>
      <c r="O39" s="3547"/>
      <c r="P39" s="3547"/>
      <c r="Q39" s="3547"/>
    </row>
    <row r="40" spans="1:23" s="3073" customFormat="1" hidden="1">
      <c r="A40" s="3075" t="s">
        <v>712</v>
      </c>
      <c r="B40" s="3546" t="s">
        <v>713</v>
      </c>
      <c r="C40" s="3546"/>
      <c r="D40" s="3546"/>
      <c r="E40" s="3546"/>
      <c r="F40" s="3546"/>
      <c r="G40" s="3546"/>
      <c r="H40" s="3546"/>
      <c r="I40" s="3546"/>
      <c r="J40" s="3546"/>
      <c r="K40" s="3546"/>
      <c r="L40" s="3546"/>
      <c r="M40" s="3546"/>
      <c r="N40" s="3546"/>
      <c r="O40" s="3546"/>
      <c r="P40" s="3546"/>
      <c r="Q40" s="3546"/>
      <c r="R40" s="3546"/>
      <c r="S40" s="3546"/>
      <c r="T40" s="3546"/>
      <c r="U40" s="3546"/>
      <c r="V40" s="3546"/>
      <c r="W40" s="3546"/>
    </row>
    <row r="41" spans="1:23" s="3073" customFormat="1" hidden="1">
      <c r="A41" s="3075" t="s">
        <v>714</v>
      </c>
      <c r="B41" s="3546" t="s">
        <v>715</v>
      </c>
      <c r="C41" s="3546"/>
      <c r="D41" s="3546"/>
      <c r="E41" s="3546"/>
      <c r="F41" s="3546"/>
      <c r="G41" s="3546"/>
      <c r="H41" s="3546"/>
      <c r="I41" s="3546"/>
      <c r="J41" s="3546"/>
      <c r="K41" s="3546"/>
      <c r="L41" s="3546"/>
      <c r="M41" s="3546"/>
      <c r="N41" s="3546"/>
      <c r="O41" s="3546"/>
      <c r="P41" s="3546"/>
      <c r="Q41" s="3546"/>
      <c r="R41" s="3546"/>
      <c r="S41" s="3546"/>
      <c r="T41" s="3546"/>
      <c r="U41" s="3546"/>
      <c r="V41" s="3546"/>
      <c r="W41" s="3546"/>
    </row>
    <row r="42" spans="1:23" s="3073" customFormat="1" hidden="1">
      <c r="A42" s="3075" t="s">
        <v>716</v>
      </c>
      <c r="B42" s="3546" t="s">
        <v>717</v>
      </c>
      <c r="C42" s="3546"/>
      <c r="D42" s="3546"/>
      <c r="E42" s="3546"/>
      <c r="F42" s="3546"/>
      <c r="G42" s="3546"/>
      <c r="H42" s="3546"/>
      <c r="I42" s="3546"/>
      <c r="J42" s="3546"/>
      <c r="K42" s="3546"/>
      <c r="L42" s="3546"/>
      <c r="M42" s="3546"/>
      <c r="N42" s="3546"/>
      <c r="O42" s="3546"/>
      <c r="P42" s="3546"/>
      <c r="Q42" s="3546"/>
      <c r="R42" s="3546"/>
      <c r="S42" s="3546"/>
      <c r="T42" s="3546"/>
      <c r="U42" s="3546"/>
      <c r="V42" s="3546"/>
      <c r="W42" s="3546"/>
    </row>
    <row r="43" spans="1:23" s="3073" customFormat="1" hidden="1">
      <c r="A43" s="3075" t="s">
        <v>718</v>
      </c>
      <c r="B43" s="3546" t="s">
        <v>719</v>
      </c>
      <c r="C43" s="3546"/>
      <c r="D43" s="3546"/>
      <c r="E43" s="3546"/>
      <c r="F43" s="3546"/>
      <c r="G43" s="3546"/>
      <c r="H43" s="3546"/>
      <c r="I43" s="3546"/>
      <c r="J43" s="3546"/>
      <c r="K43" s="3546"/>
      <c r="L43" s="3546"/>
      <c r="M43" s="3546"/>
      <c r="N43" s="3546"/>
      <c r="O43" s="3546"/>
      <c r="P43" s="3546"/>
      <c r="Q43" s="3546"/>
      <c r="R43" s="3546"/>
      <c r="S43" s="3546"/>
      <c r="T43" s="3546"/>
      <c r="U43" s="3546"/>
      <c r="V43" s="3546"/>
      <c r="W43" s="3546"/>
    </row>
    <row r="44" spans="1:23" s="3073" customFormat="1" hidden="1">
      <c r="A44" s="3075" t="s">
        <v>720</v>
      </c>
      <c r="B44" s="3546" t="s">
        <v>721</v>
      </c>
      <c r="C44" s="3546"/>
      <c r="D44" s="3546"/>
      <c r="E44" s="3546"/>
      <c r="F44" s="3546"/>
      <c r="G44" s="3546"/>
      <c r="H44" s="3546"/>
      <c r="I44" s="3546"/>
      <c r="J44" s="3546"/>
      <c r="K44" s="3546"/>
      <c r="L44" s="3546"/>
      <c r="M44" s="3546"/>
      <c r="N44" s="3546"/>
      <c r="O44" s="3546"/>
      <c r="P44" s="3546"/>
      <c r="Q44" s="3546"/>
      <c r="R44" s="3546"/>
      <c r="S44" s="3546"/>
      <c r="T44" s="3546"/>
      <c r="U44" s="3546"/>
      <c r="V44" s="3546"/>
      <c r="W44" s="3546"/>
    </row>
    <row r="45" spans="1:23" s="3073" customFormat="1" hidden="1">
      <c r="A45" s="3075" t="s">
        <v>722</v>
      </c>
      <c r="B45" s="3546" t="s">
        <v>723</v>
      </c>
      <c r="C45" s="3546"/>
      <c r="D45" s="3546"/>
      <c r="E45" s="3546"/>
      <c r="F45" s="3546"/>
      <c r="G45" s="3546"/>
      <c r="H45" s="3546"/>
      <c r="I45" s="3546"/>
      <c r="J45" s="3546"/>
      <c r="K45" s="3546"/>
      <c r="L45" s="3546"/>
      <c r="M45" s="3546"/>
      <c r="N45" s="3546"/>
      <c r="O45" s="3546"/>
      <c r="P45" s="3546"/>
      <c r="Q45" s="3546"/>
      <c r="R45" s="3546"/>
      <c r="S45" s="3546"/>
      <c r="T45" s="3546"/>
      <c r="U45" s="3546"/>
      <c r="V45" s="3546"/>
      <c r="W45" s="3546"/>
    </row>
    <row r="46" spans="1:23" s="3073" customFormat="1" hidden="1">
      <c r="A46" s="3075"/>
      <c r="B46" s="3546" t="s">
        <v>724</v>
      </c>
      <c r="C46" s="3546"/>
      <c r="D46" s="3546"/>
      <c r="E46" s="3546"/>
      <c r="F46" s="3546"/>
      <c r="G46" s="3546"/>
      <c r="H46" s="3546"/>
      <c r="I46" s="3546"/>
      <c r="J46" s="3546"/>
      <c r="K46" s="3546"/>
      <c r="L46" s="3546"/>
      <c r="M46" s="3546"/>
      <c r="N46" s="3546"/>
      <c r="O46" s="3546"/>
      <c r="P46" s="3546"/>
      <c r="Q46" s="3546"/>
      <c r="R46" s="3546"/>
      <c r="S46" s="3546"/>
      <c r="T46" s="3546"/>
      <c r="U46" s="3546"/>
      <c r="V46" s="3546"/>
      <c r="W46" s="3546"/>
    </row>
    <row r="47" spans="1:23" s="3073" customFormat="1" hidden="1">
      <c r="A47" s="3075" t="s">
        <v>725</v>
      </c>
      <c r="B47" s="3546" t="s">
        <v>726</v>
      </c>
      <c r="C47" s="3546"/>
      <c r="D47" s="3546"/>
      <c r="E47" s="3546"/>
      <c r="F47" s="3546"/>
      <c r="G47" s="3546"/>
      <c r="H47" s="3546"/>
      <c r="I47" s="3546"/>
      <c r="J47" s="3546"/>
      <c r="K47" s="3546"/>
      <c r="L47" s="3546"/>
      <c r="M47" s="3546"/>
      <c r="N47" s="3546"/>
      <c r="O47" s="3546"/>
      <c r="P47" s="3546"/>
      <c r="Q47" s="3546"/>
      <c r="R47" s="3546"/>
      <c r="S47" s="3546"/>
      <c r="T47" s="3546"/>
      <c r="U47" s="3546"/>
      <c r="V47" s="3546"/>
      <c r="W47" s="3546"/>
    </row>
    <row r="48" spans="1:23">
      <c r="A48" s="3075"/>
      <c r="B48" s="3546"/>
      <c r="C48" s="3546"/>
      <c r="D48" s="3546"/>
      <c r="E48" s="3546"/>
      <c r="F48" s="3546"/>
      <c r="G48" s="3546"/>
      <c r="H48" s="3546"/>
      <c r="I48" s="3546"/>
      <c r="J48" s="3546"/>
      <c r="K48" s="3546"/>
      <c r="L48" s="3546"/>
      <c r="M48" s="3546"/>
      <c r="N48" s="3546"/>
      <c r="O48" s="3546"/>
      <c r="P48" s="3546"/>
      <c r="Q48" s="3546"/>
      <c r="R48" s="3546"/>
      <c r="S48" s="3546"/>
      <c r="T48" s="3546"/>
      <c r="U48" s="3546"/>
      <c r="V48" s="3546"/>
      <c r="W48" s="3546"/>
    </row>
    <row r="49" spans="1:23" ht="33" customHeight="1">
      <c r="A49" s="3075"/>
      <c r="B49" s="3546" t="s">
        <v>2624</v>
      </c>
      <c r="C49" s="3546"/>
      <c r="D49" s="3546"/>
      <c r="E49" s="3546"/>
      <c r="F49" s="3546"/>
      <c r="G49" s="3546"/>
      <c r="H49" s="3546"/>
      <c r="I49" s="3546"/>
      <c r="J49" s="3546"/>
      <c r="K49" s="3546"/>
      <c r="L49" s="3546"/>
      <c r="M49" s="3546"/>
      <c r="N49" s="3546"/>
      <c r="O49" s="3546"/>
      <c r="P49" s="3546"/>
      <c r="Q49" s="3546"/>
      <c r="R49" s="3546"/>
      <c r="S49" s="3546"/>
      <c r="T49" s="3546"/>
      <c r="U49" s="3546"/>
      <c r="V49" s="3546"/>
      <c r="W49" s="3546"/>
    </row>
    <row r="50" spans="1:23" ht="32.25" customHeight="1">
      <c r="B50" s="3546" t="s">
        <v>2700</v>
      </c>
      <c r="C50" s="3546"/>
      <c r="D50" s="3546"/>
      <c r="E50" s="3546"/>
      <c r="F50" s="3546"/>
      <c r="G50" s="3546"/>
      <c r="H50" s="3546"/>
      <c r="I50" s="3546"/>
      <c r="J50" s="3546"/>
      <c r="K50" s="3546"/>
      <c r="L50" s="3546"/>
      <c r="M50" s="3546"/>
      <c r="N50" s="3546"/>
      <c r="O50" s="3546"/>
      <c r="P50" s="3546"/>
      <c r="Q50" s="3546"/>
      <c r="R50" s="3546"/>
      <c r="S50" s="3546"/>
      <c r="T50" s="3546"/>
      <c r="U50" s="3546"/>
      <c r="V50" s="3546"/>
      <c r="W50" s="3546"/>
    </row>
    <row r="51" spans="1:23" ht="13.8">
      <c r="A51" s="3054"/>
      <c r="B51" s="3076"/>
      <c r="C51" s="3076"/>
      <c r="D51" s="3076"/>
      <c r="E51" s="3076"/>
      <c r="F51" s="3076"/>
      <c r="G51" s="3076"/>
      <c r="H51" s="3076"/>
      <c r="I51" s="3076"/>
      <c r="J51" s="3076"/>
      <c r="K51" s="3076"/>
      <c r="L51" s="3076"/>
      <c r="M51" s="3076"/>
      <c r="N51" s="3076"/>
      <c r="O51" s="3076"/>
      <c r="P51" s="3076"/>
      <c r="Q51" s="3076"/>
      <c r="R51" s="3076"/>
      <c r="S51" s="3076"/>
      <c r="T51" s="3076"/>
      <c r="U51" s="3076"/>
      <c r="V51" s="3076"/>
      <c r="W51" s="3054"/>
    </row>
    <row r="52" spans="1:23" ht="13.8" hidden="1">
      <c r="A52" s="3054"/>
      <c r="B52" s="3076"/>
      <c r="C52" s="3076"/>
      <c r="D52" s="3076"/>
      <c r="E52" s="3076"/>
      <c r="F52" s="3076"/>
      <c r="G52" s="3076"/>
      <c r="H52" s="3076"/>
      <c r="I52" s="3076"/>
      <c r="J52" s="3076"/>
      <c r="K52" s="3076"/>
      <c r="L52" s="3076"/>
      <c r="M52" s="3076"/>
      <c r="N52" s="3076"/>
      <c r="O52" s="3076"/>
      <c r="P52" s="3076"/>
      <c r="Q52" s="3076"/>
      <c r="R52" s="3076"/>
      <c r="S52" s="3076"/>
      <c r="T52" s="3076"/>
      <c r="U52" s="3076"/>
      <c r="V52" s="3076"/>
      <c r="W52" s="3054"/>
    </row>
    <row r="53" spans="1:23" ht="13.8">
      <c r="A53" s="3054"/>
      <c r="B53" s="3076"/>
      <c r="C53" s="3076"/>
      <c r="D53" s="3076"/>
      <c r="E53" s="3076"/>
      <c r="F53" s="3076"/>
      <c r="G53" s="3076"/>
      <c r="H53" s="3076"/>
      <c r="I53" s="3076"/>
      <c r="J53" s="3076"/>
      <c r="K53" s="3076"/>
      <c r="L53" s="3076"/>
      <c r="M53" s="3076"/>
      <c r="N53" s="3076"/>
      <c r="O53" s="3076"/>
      <c r="P53" s="3076"/>
      <c r="Q53" s="3076"/>
      <c r="R53" s="3076"/>
      <c r="S53" s="3076"/>
      <c r="T53" s="3076"/>
      <c r="U53" s="3076"/>
      <c r="V53" s="3076"/>
      <c r="W53" s="3054"/>
    </row>
    <row r="54" spans="1:23" ht="13.8">
      <c r="A54" s="3054"/>
      <c r="B54" s="3076"/>
      <c r="C54" s="3076"/>
      <c r="D54" s="3076"/>
      <c r="E54" s="3076"/>
      <c r="F54" s="3076"/>
      <c r="G54" s="3076"/>
      <c r="H54" s="3076"/>
      <c r="I54" s="3076"/>
      <c r="J54" s="3076"/>
      <c r="K54" s="3076"/>
      <c r="L54" s="3076"/>
      <c r="M54" s="3076"/>
      <c r="N54" s="3076"/>
      <c r="O54" s="3076"/>
      <c r="P54" s="3076"/>
      <c r="Q54" s="3076"/>
      <c r="R54" s="3076"/>
      <c r="S54" s="3076"/>
      <c r="T54" s="3076"/>
      <c r="U54" s="3076"/>
      <c r="V54" s="3076"/>
      <c r="W54" s="3054"/>
    </row>
    <row r="55" spans="1:23" s="3078" customFormat="1">
      <c r="A55" s="3077"/>
      <c r="B55" s="3557" t="str">
        <f>GA!B33</f>
        <v>Assistant Engineer,</v>
      </c>
      <c r="C55" s="3557"/>
      <c r="D55" s="3557"/>
      <c r="F55" s="3557" t="s">
        <v>727</v>
      </c>
      <c r="G55" s="3557"/>
      <c r="H55" s="3557"/>
      <c r="I55" s="3557"/>
      <c r="J55" s="3557"/>
      <c r="L55" s="3557" t="str">
        <f>GA!B36</f>
        <v>District Panchayat Raj Engineer,</v>
      </c>
      <c r="M55" s="3557"/>
      <c r="N55" s="3557"/>
      <c r="O55" s="3557"/>
      <c r="P55" s="3557"/>
      <c r="Q55" s="3084" t="s">
        <v>684</v>
      </c>
      <c r="R55" s="3084"/>
      <c r="S55" s="3084"/>
      <c r="T55" s="3084"/>
      <c r="U55" s="3084"/>
      <c r="V55" s="3084"/>
      <c r="W55" s="3084"/>
    </row>
    <row r="56" spans="1:23" s="3080" customFormat="1">
      <c r="A56" s="3079"/>
      <c r="B56" s="3557" t="str">
        <f>GA!B34</f>
        <v>PRSD, Maddur</v>
      </c>
      <c r="C56" s="3557"/>
      <c r="D56" s="3557"/>
      <c r="F56" s="3558" t="str">
        <f>GA!C34</f>
        <v>PRSD, Maddur</v>
      </c>
      <c r="G56" s="3558"/>
      <c r="H56" s="3558"/>
      <c r="I56" s="3558"/>
      <c r="J56" s="3558"/>
      <c r="L56" s="3557" t="str">
        <f>GA!B37</f>
        <v>PIU, Narayanpet</v>
      </c>
      <c r="M56" s="3557"/>
      <c r="N56" s="3557"/>
      <c r="O56" s="3557"/>
      <c r="P56" s="3557"/>
      <c r="Q56" s="3084" t="str">
        <f>'Road Estimate'!I99</f>
        <v>PR, Circle, Vikarabad</v>
      </c>
      <c r="R56" s="3084"/>
      <c r="S56" s="3084"/>
      <c r="T56" s="3084"/>
      <c r="U56" s="3084"/>
      <c r="V56" s="3084"/>
    </row>
    <row r="57" spans="1:23" ht="13.8">
      <c r="A57" s="3054"/>
      <c r="B57" s="3076"/>
      <c r="C57" s="3076"/>
      <c r="D57" s="3076"/>
      <c r="E57" s="3076"/>
      <c r="F57" s="3076"/>
      <c r="G57" s="3076"/>
      <c r="H57" s="3076"/>
      <c r="I57" s="3076"/>
      <c r="J57" s="3076"/>
      <c r="K57" s="3076"/>
      <c r="L57" s="3076"/>
      <c r="M57" s="3076"/>
      <c r="N57" s="3076"/>
      <c r="O57" s="3076"/>
      <c r="P57" s="3076"/>
      <c r="Q57" s="3076"/>
      <c r="R57" s="3076"/>
      <c r="S57" s="3076"/>
      <c r="T57" s="3076"/>
      <c r="U57" s="3076"/>
      <c r="V57" s="3076"/>
      <c r="W57" s="3054"/>
    </row>
    <row r="58" spans="1:23" ht="13.8">
      <c r="A58" s="3054"/>
      <c r="B58" s="3076"/>
      <c r="C58" s="3076"/>
      <c r="D58" s="3076"/>
      <c r="E58" s="3076"/>
      <c r="F58" s="3076"/>
      <c r="G58" s="3076"/>
      <c r="H58" s="3076"/>
      <c r="I58" s="3076"/>
      <c r="J58" s="3076"/>
      <c r="K58" s="3076"/>
      <c r="L58" s="3076"/>
      <c r="M58" s="3076"/>
      <c r="N58" s="3076"/>
      <c r="O58" s="3076"/>
      <c r="P58" s="3076"/>
      <c r="Q58" s="3076"/>
      <c r="R58" s="3076"/>
      <c r="S58" s="3076"/>
      <c r="T58" s="3076"/>
      <c r="U58" s="3076"/>
      <c r="V58" s="3076"/>
      <c r="W58" s="3054"/>
    </row>
    <row r="59" spans="1:23" ht="13.8">
      <c r="A59" s="3054"/>
      <c r="B59" s="3076"/>
      <c r="C59" s="3076"/>
      <c r="D59" s="3076"/>
      <c r="E59" s="3076"/>
      <c r="F59" s="3076"/>
      <c r="G59" s="3076"/>
      <c r="H59" s="3076"/>
      <c r="I59" s="3076"/>
      <c r="J59" s="3076"/>
      <c r="K59" s="3076"/>
      <c r="L59" s="3076"/>
      <c r="M59" s="3076"/>
      <c r="N59" s="3076"/>
      <c r="O59" s="3076"/>
      <c r="P59" s="3076"/>
      <c r="Q59" s="3076"/>
      <c r="R59" s="3076"/>
      <c r="S59" s="3076"/>
      <c r="T59" s="3076"/>
      <c r="U59" s="3076"/>
      <c r="V59" s="3076"/>
      <c r="W59" s="3054"/>
    </row>
  </sheetData>
  <mergeCells count="81">
    <mergeCell ref="L16:N16"/>
    <mergeCell ref="C15:E15"/>
    <mergeCell ref="F15:I15"/>
    <mergeCell ref="J15:K15"/>
    <mergeCell ref="L15:N15"/>
    <mergeCell ref="B36:W36"/>
    <mergeCell ref="B37:W37"/>
    <mergeCell ref="B19:W19"/>
    <mergeCell ref="B20:W20"/>
    <mergeCell ref="B21:W21"/>
    <mergeCell ref="B22:W22"/>
    <mergeCell ref="B23:W23"/>
    <mergeCell ref="B30:W30"/>
    <mergeCell ref="B31:W31"/>
    <mergeCell ref="B34:W34"/>
    <mergeCell ref="B35:W35"/>
    <mergeCell ref="B32:W32"/>
    <mergeCell ref="B33:W33"/>
    <mergeCell ref="B56:D56"/>
    <mergeCell ref="F56:J56"/>
    <mergeCell ref="L56:P56"/>
    <mergeCell ref="B10:B11"/>
    <mergeCell ref="C10:E11"/>
    <mergeCell ref="F10:I11"/>
    <mergeCell ref="B46:W46"/>
    <mergeCell ref="B47:W47"/>
    <mergeCell ref="B48:W48"/>
    <mergeCell ref="B49:W49"/>
    <mergeCell ref="B50:W50"/>
    <mergeCell ref="B55:D55"/>
    <mergeCell ref="F55:J55"/>
    <mergeCell ref="L55:P55"/>
    <mergeCell ref="B45:W45"/>
    <mergeCell ref="B38:W38"/>
    <mergeCell ref="B44:W44"/>
    <mergeCell ref="B39:Q39"/>
    <mergeCell ref="B40:W40"/>
    <mergeCell ref="B41:W41"/>
    <mergeCell ref="R16:S16"/>
    <mergeCell ref="F16:I16"/>
    <mergeCell ref="J16:K16"/>
    <mergeCell ref="O16:Q16"/>
    <mergeCell ref="B42:W42"/>
    <mergeCell ref="B43:W43"/>
    <mergeCell ref="B24:W24"/>
    <mergeCell ref="B25:W25"/>
    <mergeCell ref="B26:W26"/>
    <mergeCell ref="B27:W27"/>
    <mergeCell ref="B28:W28"/>
    <mergeCell ref="B29:W29"/>
    <mergeCell ref="C13:E13"/>
    <mergeCell ref="F13:I13"/>
    <mergeCell ref="J13:K13"/>
    <mergeCell ref="L13:N13"/>
    <mergeCell ref="O13:Q13"/>
    <mergeCell ref="O15:Q15"/>
    <mergeCell ref="C16:E16"/>
    <mergeCell ref="J10:Q10"/>
    <mergeCell ref="J11:K11"/>
    <mergeCell ref="L11:N11"/>
    <mergeCell ref="O11:Q11"/>
    <mergeCell ref="C12:E12"/>
    <mergeCell ref="F12:I12"/>
    <mergeCell ref="J12:K12"/>
    <mergeCell ref="L12:N12"/>
    <mergeCell ref="O12:Q12"/>
    <mergeCell ref="C14:E14"/>
    <mergeCell ref="F14:I14"/>
    <mergeCell ref="J14:K14"/>
    <mergeCell ref="L14:N14"/>
    <mergeCell ref="O14:Q14"/>
    <mergeCell ref="B4:U4"/>
    <mergeCell ref="B5:U5"/>
    <mergeCell ref="B6:U6"/>
    <mergeCell ref="B7:Q7"/>
    <mergeCell ref="B8:Q8"/>
    <mergeCell ref="A1:V1"/>
    <mergeCell ref="A2:D2"/>
    <mergeCell ref="E2:V2"/>
    <mergeCell ref="J3:K3"/>
    <mergeCell ref="O3:P3"/>
  </mergeCells>
  <printOptions horizontalCentered="1"/>
  <pageMargins left="0.43263888888888902" right="0.156944444444444" top="0.55069444444444404" bottom="0.51180555555555596" header="0.196527777777778" footer="0.31458333333333299"/>
  <pageSetup paperSize="9" scale="91"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44"/>
  <sheetViews>
    <sheetView view="pageBreakPreview" topLeftCell="A5" workbookViewId="0">
      <selection activeCell="F156" sqref="F156:G156"/>
    </sheetView>
  </sheetViews>
  <sheetFormatPr defaultColWidth="9.109375" defaultRowHeight="13.2"/>
  <cols>
    <col min="1" max="1" width="6.33203125" style="1530" customWidth="1"/>
    <col min="2" max="2" width="9.33203125" style="1530" customWidth="1"/>
    <col min="3" max="3" width="7.109375" style="1530" hidden="1" customWidth="1"/>
    <col min="4" max="4" width="0" style="1530" hidden="1" customWidth="1"/>
    <col min="5" max="6" width="8.33203125" style="1530" hidden="1" customWidth="1"/>
    <col min="7" max="8" width="8.33203125" style="1530" customWidth="1"/>
    <col min="9" max="9" width="9.109375" style="1530"/>
    <col min="10" max="10" width="7" style="1530" customWidth="1"/>
    <col min="11" max="11" width="15" style="1530" customWidth="1"/>
    <col min="12" max="16383" width="9.109375" style="1530"/>
  </cols>
  <sheetData>
    <row r="1" spans="1:11" ht="39" customHeight="1">
      <c r="A1" s="3574" t="s">
        <v>728</v>
      </c>
      <c r="B1" s="3575"/>
      <c r="C1" s="3575"/>
      <c r="D1" s="3575"/>
      <c r="E1" s="3575"/>
      <c r="F1" s="3575"/>
      <c r="G1" s="3575"/>
      <c r="H1" s="3575"/>
      <c r="I1" s="3575"/>
      <c r="J1" s="3575"/>
      <c r="K1" s="3576"/>
    </row>
    <row r="2" spans="1:11">
      <c r="A2" s="1531"/>
      <c r="K2" s="1541"/>
    </row>
    <row r="3" spans="1:11">
      <c r="A3" s="1531"/>
      <c r="K3" s="1541"/>
    </row>
    <row r="4" spans="1:11" s="1529" customFormat="1">
      <c r="A4" s="1532" t="s">
        <v>729</v>
      </c>
      <c r="C4" s="1529" t="str">
        <f>'Input Data'!E1</f>
        <v>C/o HLB on R/F Amlikunta to Gundumal of Gundumal Mandal of Narayanept District.</v>
      </c>
      <c r="K4" s="1542"/>
    </row>
    <row r="5" spans="1:11">
      <c r="A5" s="1531"/>
      <c r="K5" s="1541"/>
    </row>
    <row r="6" spans="1:11">
      <c r="A6" s="1531"/>
      <c r="K6" s="1541"/>
    </row>
    <row r="7" spans="1:11">
      <c r="A7" s="1531"/>
      <c r="K7" s="1541"/>
    </row>
    <row r="8" spans="1:11">
      <c r="A8" s="1531"/>
      <c r="K8" s="1541"/>
    </row>
    <row r="9" spans="1:11">
      <c r="A9" s="1531"/>
      <c r="J9" s="1543"/>
      <c r="K9" s="1541"/>
    </row>
    <row r="10" spans="1:11">
      <c r="A10" s="1531"/>
      <c r="J10" s="3581" t="s">
        <v>730</v>
      </c>
      <c r="K10" s="1541"/>
    </row>
    <row r="11" spans="1:11">
      <c r="A11" s="1531"/>
      <c r="C11" s="3579"/>
      <c r="J11" s="3581"/>
      <c r="K11" s="1541"/>
    </row>
    <row r="12" spans="1:11">
      <c r="A12" s="1531"/>
      <c r="C12" s="3579"/>
      <c r="J12" s="3581"/>
      <c r="K12" s="1541"/>
    </row>
    <row r="13" spans="1:11">
      <c r="A13" s="1531"/>
      <c r="C13" s="3579"/>
      <c r="J13" s="3581"/>
      <c r="K13" s="1541"/>
    </row>
    <row r="14" spans="1:11">
      <c r="A14" s="1531"/>
      <c r="C14" s="3579"/>
      <c r="J14" s="3581"/>
      <c r="K14" s="1541"/>
    </row>
    <row r="15" spans="1:11">
      <c r="A15" s="1531"/>
      <c r="C15" s="3579"/>
      <c r="J15" s="3581"/>
      <c r="K15" s="1541"/>
    </row>
    <row r="16" spans="1:11">
      <c r="A16" s="1531"/>
      <c r="C16" s="3579"/>
      <c r="I16" s="1530" t="s">
        <v>731</v>
      </c>
      <c r="J16" s="3581"/>
      <c r="K16" s="1541"/>
    </row>
    <row r="17" spans="1:11">
      <c r="A17" s="1531"/>
      <c r="C17" s="3579"/>
      <c r="D17" s="1530" t="s">
        <v>732</v>
      </c>
      <c r="J17" s="3581"/>
      <c r="K17" s="1541"/>
    </row>
    <row r="18" spans="1:11">
      <c r="A18" s="1531"/>
      <c r="C18" s="3579"/>
      <c r="J18" s="3581"/>
      <c r="K18" s="1541"/>
    </row>
    <row r="19" spans="1:11" ht="39" customHeight="1">
      <c r="A19" s="1531"/>
      <c r="C19" s="3577" t="s">
        <v>733</v>
      </c>
      <c r="D19" s="3577"/>
      <c r="E19" s="3577"/>
      <c r="F19" s="3577"/>
      <c r="G19" s="1533" t="s">
        <v>734</v>
      </c>
      <c r="H19" s="3577" t="s">
        <v>735</v>
      </c>
      <c r="I19" s="3577"/>
      <c r="J19" s="1544"/>
      <c r="K19" s="1545" t="s">
        <v>736</v>
      </c>
    </row>
    <row r="20" spans="1:11" ht="62.1" customHeight="1">
      <c r="A20" s="1531"/>
      <c r="C20" s="1534" t="s">
        <v>737</v>
      </c>
      <c r="D20" s="1535"/>
      <c r="E20" s="1536"/>
      <c r="F20" s="1537" t="s">
        <v>738</v>
      </c>
      <c r="G20" s="1535" t="s">
        <v>2626</v>
      </c>
      <c r="H20" s="1535" t="s">
        <v>2625</v>
      </c>
      <c r="I20" s="1546" t="s">
        <v>739</v>
      </c>
      <c r="J20" s="3582" t="s">
        <v>740</v>
      </c>
      <c r="K20" s="1541"/>
    </row>
    <row r="21" spans="1:11">
      <c r="A21" s="1531"/>
      <c r="C21" s="1538"/>
      <c r="J21" s="3582"/>
      <c r="K21" s="1541"/>
    </row>
    <row r="22" spans="1:11">
      <c r="A22" s="1531"/>
      <c r="C22" s="3580"/>
      <c r="J22" s="3582"/>
      <c r="K22" s="1541"/>
    </row>
    <row r="23" spans="1:11">
      <c r="A23" s="1531"/>
      <c r="C23" s="3580"/>
      <c r="J23" s="3582"/>
      <c r="K23" s="1541"/>
    </row>
    <row r="24" spans="1:11">
      <c r="A24" s="1531"/>
      <c r="C24" s="3580"/>
      <c r="J24" s="3582"/>
      <c r="K24" s="1541"/>
    </row>
    <row r="25" spans="1:11">
      <c r="A25" s="1531"/>
      <c r="C25" s="3580"/>
      <c r="J25" s="3582"/>
      <c r="K25" s="1541"/>
    </row>
    <row r="26" spans="1:11">
      <c r="A26" s="1531"/>
      <c r="J26" s="3582"/>
      <c r="K26" s="1541"/>
    </row>
    <row r="27" spans="1:11">
      <c r="A27" s="1531"/>
      <c r="J27" s="3582"/>
      <c r="K27" s="1541"/>
    </row>
    <row r="28" spans="1:11">
      <c r="A28" s="1531"/>
      <c r="J28" s="1543"/>
      <c r="K28" s="1541"/>
    </row>
    <row r="29" spans="1:11">
      <c r="A29" s="1531"/>
      <c r="K29" s="1541"/>
    </row>
    <row r="30" spans="1:11">
      <c r="A30" s="1531"/>
      <c r="K30" s="1541"/>
    </row>
    <row r="31" spans="1:11">
      <c r="A31" s="1531"/>
      <c r="K31" s="1541"/>
    </row>
    <row r="32" spans="1:11">
      <c r="A32" s="1531"/>
      <c r="K32" s="1541"/>
    </row>
    <row r="33" spans="1:11">
      <c r="A33" s="1531"/>
      <c r="K33" s="1541"/>
    </row>
    <row r="34" spans="1:11">
      <c r="A34" s="1531"/>
      <c r="K34" s="1541"/>
    </row>
    <row r="35" spans="1:11">
      <c r="A35" s="1531"/>
      <c r="K35" s="1541"/>
    </row>
    <row r="36" spans="1:11">
      <c r="A36" s="1531"/>
      <c r="K36" s="1541"/>
    </row>
    <row r="37" spans="1:11">
      <c r="A37" s="1531"/>
      <c r="B37" s="3578" t="s">
        <v>741</v>
      </c>
      <c r="C37" s="3578"/>
      <c r="D37" s="3578" t="s">
        <v>742</v>
      </c>
      <c r="E37" s="3578"/>
      <c r="F37" s="3578"/>
      <c r="G37" s="3578" t="str">
        <f>'Pipe data'!D400</f>
        <v>District Panchayat Raj Engineer,</v>
      </c>
      <c r="H37" s="3578"/>
      <c r="I37" s="3578"/>
      <c r="J37" s="3578"/>
      <c r="K37" s="1541"/>
    </row>
    <row r="38" spans="1:11">
      <c r="A38" s="1531"/>
      <c r="B38" s="3578" t="s">
        <v>743</v>
      </c>
      <c r="C38" s="3578"/>
      <c r="D38" s="3578" t="s">
        <v>743</v>
      </c>
      <c r="E38" s="3578"/>
      <c r="F38" s="3578"/>
      <c r="G38" s="3578" t="str">
        <f>'Pipe data'!D401</f>
        <v>PIU, Narayanpet</v>
      </c>
      <c r="H38" s="3578"/>
      <c r="I38" s="3578"/>
      <c r="J38" s="3578"/>
      <c r="K38" s="1541"/>
    </row>
    <row r="39" spans="1:11">
      <c r="A39" s="1531"/>
      <c r="K39" s="1541"/>
    </row>
    <row r="40" spans="1:11">
      <c r="A40" s="1531"/>
      <c r="K40" s="1541"/>
    </row>
    <row r="41" spans="1:11">
      <c r="A41" s="1531"/>
      <c r="K41" s="1541"/>
    </row>
    <row r="42" spans="1:11">
      <c r="A42" s="1531"/>
      <c r="G42" s="3578" t="str">
        <f>'Pipe data'!E400</f>
        <v>Superintending Engineer</v>
      </c>
      <c r="H42" s="3578"/>
      <c r="I42" s="3578"/>
      <c r="J42" s="3578"/>
      <c r="K42" s="1541"/>
    </row>
    <row r="43" spans="1:11">
      <c r="A43" s="1531"/>
      <c r="G43" s="3578" t="str">
        <f>'Pipe data'!E401</f>
        <v>PR, Circle, Vikarabad</v>
      </c>
      <c r="H43" s="3578"/>
      <c r="I43" s="3578"/>
      <c r="J43" s="3578"/>
      <c r="K43" s="1541"/>
    </row>
    <row r="44" spans="1:11">
      <c r="A44" s="1539"/>
      <c r="B44" s="1540"/>
      <c r="C44" s="1540"/>
      <c r="D44" s="1540"/>
      <c r="E44" s="1540"/>
      <c r="F44" s="1540"/>
      <c r="G44" s="1540"/>
      <c r="H44" s="1540"/>
      <c r="I44" s="1540"/>
      <c r="J44" s="1540"/>
      <c r="K44" s="1547"/>
    </row>
  </sheetData>
  <mergeCells count="15">
    <mergeCell ref="B38:C38"/>
    <mergeCell ref="D38:F38"/>
    <mergeCell ref="G38:J38"/>
    <mergeCell ref="G42:J42"/>
    <mergeCell ref="G43:J43"/>
    <mergeCell ref="A1:K1"/>
    <mergeCell ref="C19:F19"/>
    <mergeCell ref="H19:I19"/>
    <mergeCell ref="B37:C37"/>
    <mergeCell ref="D37:F37"/>
    <mergeCell ref="G37:J37"/>
    <mergeCell ref="C11:C18"/>
    <mergeCell ref="C22:C25"/>
    <mergeCell ref="J10:J18"/>
    <mergeCell ref="J20:J27"/>
  </mergeCells>
  <pageMargins left="0.35763888888888901" right="0.16111111111111101" top="1" bottom="0.60624999999999996" header="0.30277777777777798" footer="0.30277777777777798"/>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WN31"/>
  <sheetViews>
    <sheetView view="pageBreakPreview" workbookViewId="0">
      <selection activeCell="F156" sqref="F156:G156"/>
    </sheetView>
  </sheetViews>
  <sheetFormatPr defaultColWidth="9" defaultRowHeight="12.6"/>
  <cols>
    <col min="1" max="1" width="2.6640625" style="1490" customWidth="1"/>
    <col min="2" max="2" width="3.33203125" style="1490" customWidth="1"/>
    <col min="3" max="3" width="3.88671875" style="1490" customWidth="1"/>
    <col min="4" max="7" width="4.44140625" style="1490" customWidth="1"/>
    <col min="8" max="8" width="8.33203125" style="1490" customWidth="1"/>
    <col min="9" max="12" width="4.44140625" style="1490" customWidth="1"/>
    <col min="13" max="13" width="9.44140625" style="1490" customWidth="1"/>
    <col min="14" max="14" width="4" style="1490" customWidth="1"/>
    <col min="15" max="15" width="1.109375" style="1490" hidden="1" customWidth="1"/>
    <col min="16" max="16" width="0.44140625" style="1490" hidden="1" customWidth="1"/>
    <col min="17" max="17" width="4.44140625" style="1490" hidden="1" customWidth="1"/>
    <col min="18" max="18" width="4.44140625" style="1490" customWidth="1"/>
    <col min="19" max="19" width="1.44140625" style="1490" customWidth="1"/>
    <col min="20" max="20" width="4" style="1490" customWidth="1"/>
    <col min="21" max="25" width="4.44140625" style="1490" customWidth="1"/>
    <col min="26" max="26" width="3.44140625" style="1490" customWidth="1"/>
    <col min="27" max="27" width="5.33203125" style="1490" customWidth="1"/>
    <col min="28" max="28" width="21" style="1490" customWidth="1"/>
    <col min="29" max="29" width="4.6640625" style="1490" customWidth="1"/>
    <col min="30" max="30" width="3.88671875" style="1490" customWidth="1"/>
    <col min="31" max="32" width="9.109375" style="1490" hidden="1" customWidth="1"/>
    <col min="33" max="256" width="8.88671875" style="1490"/>
    <col min="257" max="257" width="2.6640625" style="1490" customWidth="1"/>
    <col min="258" max="258" width="3.33203125" style="1490" customWidth="1"/>
    <col min="259" max="259" width="3.88671875" style="1490" customWidth="1"/>
    <col min="260" max="268" width="4.44140625" style="1490" customWidth="1"/>
    <col min="269" max="269" width="9.44140625" style="1490" customWidth="1"/>
    <col min="270" max="270" width="4" style="1490" customWidth="1"/>
    <col min="271" max="273" width="9" style="1490" hidden="1" customWidth="1"/>
    <col min="274" max="274" width="4.44140625" style="1490" customWidth="1"/>
    <col min="275" max="275" width="1.44140625" style="1490" customWidth="1"/>
    <col min="276" max="276" width="4" style="1490" customWidth="1"/>
    <col min="277" max="281" width="4.44140625" style="1490" customWidth="1"/>
    <col min="282" max="282" width="3.44140625" style="1490" customWidth="1"/>
    <col min="283" max="283" width="5.6640625" style="1490" customWidth="1"/>
    <col min="284" max="284" width="21" style="1490" customWidth="1"/>
    <col min="285" max="285" width="4.6640625" style="1490" customWidth="1"/>
    <col min="286" max="286" width="3.88671875" style="1490" customWidth="1"/>
    <col min="287" max="288" width="9" style="1490" hidden="1" customWidth="1"/>
    <col min="289" max="512" width="8.88671875" style="1490"/>
    <col min="513" max="513" width="2.6640625" style="1490" customWidth="1"/>
    <col min="514" max="514" width="3.33203125" style="1490" customWidth="1"/>
    <col min="515" max="515" width="3.88671875" style="1490" customWidth="1"/>
    <col min="516" max="524" width="4.44140625" style="1490" customWidth="1"/>
    <col min="525" max="525" width="9.44140625" style="1490" customWidth="1"/>
    <col min="526" max="526" width="4" style="1490" customWidth="1"/>
    <col min="527" max="529" width="9" style="1490" hidden="1" customWidth="1"/>
    <col min="530" max="530" width="4.44140625" style="1490" customWidth="1"/>
    <col min="531" max="531" width="1.44140625" style="1490" customWidth="1"/>
    <col min="532" max="532" width="4" style="1490" customWidth="1"/>
    <col min="533" max="537" width="4.44140625" style="1490" customWidth="1"/>
    <col min="538" max="538" width="3.44140625" style="1490" customWidth="1"/>
    <col min="539" max="539" width="5.6640625" style="1490" customWidth="1"/>
    <col min="540" max="540" width="21" style="1490" customWidth="1"/>
    <col min="541" max="541" width="4.6640625" style="1490" customWidth="1"/>
    <col min="542" max="542" width="3.88671875" style="1490" customWidth="1"/>
    <col min="543" max="544" width="9" style="1490" hidden="1" customWidth="1"/>
    <col min="545" max="768" width="8.88671875" style="1490"/>
    <col min="769" max="769" width="2.6640625" style="1490" customWidth="1"/>
    <col min="770" max="770" width="3.33203125" style="1490" customWidth="1"/>
    <col min="771" max="771" width="3.88671875" style="1490" customWidth="1"/>
    <col min="772" max="780" width="4.44140625" style="1490" customWidth="1"/>
    <col min="781" max="781" width="9.44140625" style="1490" customWidth="1"/>
    <col min="782" max="782" width="4" style="1490" customWidth="1"/>
    <col min="783" max="785" width="9" style="1490" hidden="1" customWidth="1"/>
    <col min="786" max="786" width="4.44140625" style="1490" customWidth="1"/>
    <col min="787" max="787" width="1.44140625" style="1490" customWidth="1"/>
    <col min="788" max="788" width="4" style="1490" customWidth="1"/>
    <col min="789" max="793" width="4.44140625" style="1490" customWidth="1"/>
    <col min="794" max="794" width="3.44140625" style="1490" customWidth="1"/>
    <col min="795" max="795" width="5.6640625" style="1490" customWidth="1"/>
    <col min="796" max="796" width="21" style="1490" customWidth="1"/>
    <col min="797" max="797" width="4.6640625" style="1490" customWidth="1"/>
    <col min="798" max="798" width="3.88671875" style="1490" customWidth="1"/>
    <col min="799" max="800" width="9" style="1490" hidden="1" customWidth="1"/>
    <col min="801" max="1024" width="8.88671875" style="1490"/>
    <col min="1025" max="1025" width="2.6640625" style="1490" customWidth="1"/>
    <col min="1026" max="1026" width="3.33203125" style="1490" customWidth="1"/>
    <col min="1027" max="1027" width="3.88671875" style="1490" customWidth="1"/>
    <col min="1028" max="1036" width="4.44140625" style="1490" customWidth="1"/>
    <col min="1037" max="1037" width="9.44140625" style="1490" customWidth="1"/>
    <col min="1038" max="1038" width="4" style="1490" customWidth="1"/>
    <col min="1039" max="1041" width="9" style="1490" hidden="1" customWidth="1"/>
    <col min="1042" max="1042" width="4.44140625" style="1490" customWidth="1"/>
    <col min="1043" max="1043" width="1.44140625" style="1490" customWidth="1"/>
    <col min="1044" max="1044" width="4" style="1490" customWidth="1"/>
    <col min="1045" max="1049" width="4.44140625" style="1490" customWidth="1"/>
    <col min="1050" max="1050" width="3.44140625" style="1490" customWidth="1"/>
    <col min="1051" max="1051" width="5.6640625" style="1490" customWidth="1"/>
    <col min="1052" max="1052" width="21" style="1490" customWidth="1"/>
    <col min="1053" max="1053" width="4.6640625" style="1490" customWidth="1"/>
    <col min="1054" max="1054" width="3.88671875" style="1490" customWidth="1"/>
    <col min="1055" max="1056" width="9" style="1490" hidden="1" customWidth="1"/>
    <col min="1057" max="1280" width="8.88671875" style="1490"/>
    <col min="1281" max="1281" width="2.6640625" style="1490" customWidth="1"/>
    <col min="1282" max="1282" width="3.33203125" style="1490" customWidth="1"/>
    <col min="1283" max="1283" width="3.88671875" style="1490" customWidth="1"/>
    <col min="1284" max="1292" width="4.44140625" style="1490" customWidth="1"/>
    <col min="1293" max="1293" width="9.44140625" style="1490" customWidth="1"/>
    <col min="1294" max="1294" width="4" style="1490" customWidth="1"/>
    <col min="1295" max="1297" width="9" style="1490" hidden="1" customWidth="1"/>
    <col min="1298" max="1298" width="4.44140625" style="1490" customWidth="1"/>
    <col min="1299" max="1299" width="1.44140625" style="1490" customWidth="1"/>
    <col min="1300" max="1300" width="4" style="1490" customWidth="1"/>
    <col min="1301" max="1305" width="4.44140625" style="1490" customWidth="1"/>
    <col min="1306" max="1306" width="3.44140625" style="1490" customWidth="1"/>
    <col min="1307" max="1307" width="5.6640625" style="1490" customWidth="1"/>
    <col min="1308" max="1308" width="21" style="1490" customWidth="1"/>
    <col min="1309" max="1309" width="4.6640625" style="1490" customWidth="1"/>
    <col min="1310" max="1310" width="3.88671875" style="1490" customWidth="1"/>
    <col min="1311" max="1312" width="9" style="1490" hidden="1" customWidth="1"/>
    <col min="1313" max="1536" width="8.88671875" style="1490"/>
    <col min="1537" max="1537" width="2.6640625" style="1490" customWidth="1"/>
    <col min="1538" max="1538" width="3.33203125" style="1490" customWidth="1"/>
    <col min="1539" max="1539" width="3.88671875" style="1490" customWidth="1"/>
    <col min="1540" max="1548" width="4.44140625" style="1490" customWidth="1"/>
    <col min="1549" max="1549" width="9.44140625" style="1490" customWidth="1"/>
    <col min="1550" max="1550" width="4" style="1490" customWidth="1"/>
    <col min="1551" max="1553" width="9" style="1490" hidden="1" customWidth="1"/>
    <col min="1554" max="1554" width="4.44140625" style="1490" customWidth="1"/>
    <col min="1555" max="1555" width="1.44140625" style="1490" customWidth="1"/>
    <col min="1556" max="1556" width="4" style="1490" customWidth="1"/>
    <col min="1557" max="1561" width="4.44140625" style="1490" customWidth="1"/>
    <col min="1562" max="1562" width="3.44140625" style="1490" customWidth="1"/>
    <col min="1563" max="1563" width="5.6640625" style="1490" customWidth="1"/>
    <col min="1564" max="1564" width="21" style="1490" customWidth="1"/>
    <col min="1565" max="1565" width="4.6640625" style="1490" customWidth="1"/>
    <col min="1566" max="1566" width="3.88671875" style="1490" customWidth="1"/>
    <col min="1567" max="1568" width="9" style="1490" hidden="1" customWidth="1"/>
    <col min="1569" max="1792" width="8.88671875" style="1490"/>
    <col min="1793" max="1793" width="2.6640625" style="1490" customWidth="1"/>
    <col min="1794" max="1794" width="3.33203125" style="1490" customWidth="1"/>
    <col min="1795" max="1795" width="3.88671875" style="1490" customWidth="1"/>
    <col min="1796" max="1804" width="4.44140625" style="1490" customWidth="1"/>
    <col min="1805" max="1805" width="9.44140625" style="1490" customWidth="1"/>
    <col min="1806" max="1806" width="4" style="1490" customWidth="1"/>
    <col min="1807" max="1809" width="9" style="1490" hidden="1" customWidth="1"/>
    <col min="1810" max="1810" width="4.44140625" style="1490" customWidth="1"/>
    <col min="1811" max="1811" width="1.44140625" style="1490" customWidth="1"/>
    <col min="1812" max="1812" width="4" style="1490" customWidth="1"/>
    <col min="1813" max="1817" width="4.44140625" style="1490" customWidth="1"/>
    <col min="1818" max="1818" width="3.44140625" style="1490" customWidth="1"/>
    <col min="1819" max="1819" width="5.6640625" style="1490" customWidth="1"/>
    <col min="1820" max="1820" width="21" style="1490" customWidth="1"/>
    <col min="1821" max="1821" width="4.6640625" style="1490" customWidth="1"/>
    <col min="1822" max="1822" width="3.88671875" style="1490" customWidth="1"/>
    <col min="1823" max="1824" width="9" style="1490" hidden="1" customWidth="1"/>
    <col min="1825" max="2048" width="8.88671875" style="1490"/>
    <col min="2049" max="2049" width="2.6640625" style="1490" customWidth="1"/>
    <col min="2050" max="2050" width="3.33203125" style="1490" customWidth="1"/>
    <col min="2051" max="2051" width="3.88671875" style="1490" customWidth="1"/>
    <col min="2052" max="2060" width="4.44140625" style="1490" customWidth="1"/>
    <col min="2061" max="2061" width="9.44140625" style="1490" customWidth="1"/>
    <col min="2062" max="2062" width="4" style="1490" customWidth="1"/>
    <col min="2063" max="2065" width="9" style="1490" hidden="1" customWidth="1"/>
    <col min="2066" max="2066" width="4.44140625" style="1490" customWidth="1"/>
    <col min="2067" max="2067" width="1.44140625" style="1490" customWidth="1"/>
    <col min="2068" max="2068" width="4" style="1490" customWidth="1"/>
    <col min="2069" max="2073" width="4.44140625" style="1490" customWidth="1"/>
    <col min="2074" max="2074" width="3.44140625" style="1490" customWidth="1"/>
    <col min="2075" max="2075" width="5.6640625" style="1490" customWidth="1"/>
    <col min="2076" max="2076" width="21" style="1490" customWidth="1"/>
    <col min="2077" max="2077" width="4.6640625" style="1490" customWidth="1"/>
    <col min="2078" max="2078" width="3.88671875" style="1490" customWidth="1"/>
    <col min="2079" max="2080" width="9" style="1490" hidden="1" customWidth="1"/>
    <col min="2081" max="2304" width="8.88671875" style="1490"/>
    <col min="2305" max="2305" width="2.6640625" style="1490" customWidth="1"/>
    <col min="2306" max="2306" width="3.33203125" style="1490" customWidth="1"/>
    <col min="2307" max="2307" width="3.88671875" style="1490" customWidth="1"/>
    <col min="2308" max="2316" width="4.44140625" style="1490" customWidth="1"/>
    <col min="2317" max="2317" width="9.44140625" style="1490" customWidth="1"/>
    <col min="2318" max="2318" width="4" style="1490" customWidth="1"/>
    <col min="2319" max="2321" width="9" style="1490" hidden="1" customWidth="1"/>
    <col min="2322" max="2322" width="4.44140625" style="1490" customWidth="1"/>
    <col min="2323" max="2323" width="1.44140625" style="1490" customWidth="1"/>
    <col min="2324" max="2324" width="4" style="1490" customWidth="1"/>
    <col min="2325" max="2329" width="4.44140625" style="1490" customWidth="1"/>
    <col min="2330" max="2330" width="3.44140625" style="1490" customWidth="1"/>
    <col min="2331" max="2331" width="5.6640625" style="1490" customWidth="1"/>
    <col min="2332" max="2332" width="21" style="1490" customWidth="1"/>
    <col min="2333" max="2333" width="4.6640625" style="1490" customWidth="1"/>
    <col min="2334" max="2334" width="3.88671875" style="1490" customWidth="1"/>
    <col min="2335" max="2336" width="9" style="1490" hidden="1" customWidth="1"/>
    <col min="2337" max="2560" width="8.88671875" style="1490"/>
    <col min="2561" max="2561" width="2.6640625" style="1490" customWidth="1"/>
    <col min="2562" max="2562" width="3.33203125" style="1490" customWidth="1"/>
    <col min="2563" max="2563" width="3.88671875" style="1490" customWidth="1"/>
    <col min="2564" max="2572" width="4.44140625" style="1490" customWidth="1"/>
    <col min="2573" max="2573" width="9.44140625" style="1490" customWidth="1"/>
    <col min="2574" max="2574" width="4" style="1490" customWidth="1"/>
    <col min="2575" max="2577" width="9" style="1490" hidden="1" customWidth="1"/>
    <col min="2578" max="2578" width="4.44140625" style="1490" customWidth="1"/>
    <col min="2579" max="2579" width="1.44140625" style="1490" customWidth="1"/>
    <col min="2580" max="2580" width="4" style="1490" customWidth="1"/>
    <col min="2581" max="2585" width="4.44140625" style="1490" customWidth="1"/>
    <col min="2586" max="2586" width="3.44140625" style="1490" customWidth="1"/>
    <col min="2587" max="2587" width="5.6640625" style="1490" customWidth="1"/>
    <col min="2588" max="2588" width="21" style="1490" customWidth="1"/>
    <col min="2589" max="2589" width="4.6640625" style="1490" customWidth="1"/>
    <col min="2590" max="2590" width="3.88671875" style="1490" customWidth="1"/>
    <col min="2591" max="2592" width="9" style="1490" hidden="1" customWidth="1"/>
    <col min="2593" max="2816" width="8.88671875" style="1490"/>
    <col min="2817" max="2817" width="2.6640625" style="1490" customWidth="1"/>
    <col min="2818" max="2818" width="3.33203125" style="1490" customWidth="1"/>
    <col min="2819" max="2819" width="3.88671875" style="1490" customWidth="1"/>
    <col min="2820" max="2828" width="4.44140625" style="1490" customWidth="1"/>
    <col min="2829" max="2829" width="9.44140625" style="1490" customWidth="1"/>
    <col min="2830" max="2830" width="4" style="1490" customWidth="1"/>
    <col min="2831" max="2833" width="9" style="1490" hidden="1" customWidth="1"/>
    <col min="2834" max="2834" width="4.44140625" style="1490" customWidth="1"/>
    <col min="2835" max="2835" width="1.44140625" style="1490" customWidth="1"/>
    <col min="2836" max="2836" width="4" style="1490" customWidth="1"/>
    <col min="2837" max="2841" width="4.44140625" style="1490" customWidth="1"/>
    <col min="2842" max="2842" width="3.44140625" style="1490" customWidth="1"/>
    <col min="2843" max="2843" width="5.6640625" style="1490" customWidth="1"/>
    <col min="2844" max="2844" width="21" style="1490" customWidth="1"/>
    <col min="2845" max="2845" width="4.6640625" style="1490" customWidth="1"/>
    <col min="2846" max="2846" width="3.88671875" style="1490" customWidth="1"/>
    <col min="2847" max="2848" width="9" style="1490" hidden="1" customWidth="1"/>
    <col min="2849" max="3072" width="8.88671875" style="1490"/>
    <col min="3073" max="3073" width="2.6640625" style="1490" customWidth="1"/>
    <col min="3074" max="3074" width="3.33203125" style="1490" customWidth="1"/>
    <col min="3075" max="3075" width="3.88671875" style="1490" customWidth="1"/>
    <col min="3076" max="3084" width="4.44140625" style="1490" customWidth="1"/>
    <col min="3085" max="3085" width="9.44140625" style="1490" customWidth="1"/>
    <col min="3086" max="3086" width="4" style="1490" customWidth="1"/>
    <col min="3087" max="3089" width="9" style="1490" hidden="1" customWidth="1"/>
    <col min="3090" max="3090" width="4.44140625" style="1490" customWidth="1"/>
    <col min="3091" max="3091" width="1.44140625" style="1490" customWidth="1"/>
    <col min="3092" max="3092" width="4" style="1490" customWidth="1"/>
    <col min="3093" max="3097" width="4.44140625" style="1490" customWidth="1"/>
    <col min="3098" max="3098" width="3.44140625" style="1490" customWidth="1"/>
    <col min="3099" max="3099" width="5.6640625" style="1490" customWidth="1"/>
    <col min="3100" max="3100" width="21" style="1490" customWidth="1"/>
    <col min="3101" max="3101" width="4.6640625" style="1490" customWidth="1"/>
    <col min="3102" max="3102" width="3.88671875" style="1490" customWidth="1"/>
    <col min="3103" max="3104" width="9" style="1490" hidden="1" customWidth="1"/>
    <col min="3105" max="3328" width="8.88671875" style="1490"/>
    <col min="3329" max="3329" width="2.6640625" style="1490" customWidth="1"/>
    <col min="3330" max="3330" width="3.33203125" style="1490" customWidth="1"/>
    <col min="3331" max="3331" width="3.88671875" style="1490" customWidth="1"/>
    <col min="3332" max="3340" width="4.44140625" style="1490" customWidth="1"/>
    <col min="3341" max="3341" width="9.44140625" style="1490" customWidth="1"/>
    <col min="3342" max="3342" width="4" style="1490" customWidth="1"/>
    <col min="3343" max="3345" width="9" style="1490" hidden="1" customWidth="1"/>
    <col min="3346" max="3346" width="4.44140625" style="1490" customWidth="1"/>
    <col min="3347" max="3347" width="1.44140625" style="1490" customWidth="1"/>
    <col min="3348" max="3348" width="4" style="1490" customWidth="1"/>
    <col min="3349" max="3353" width="4.44140625" style="1490" customWidth="1"/>
    <col min="3354" max="3354" width="3.44140625" style="1490" customWidth="1"/>
    <col min="3355" max="3355" width="5.6640625" style="1490" customWidth="1"/>
    <col min="3356" max="3356" width="21" style="1490" customWidth="1"/>
    <col min="3357" max="3357" width="4.6640625" style="1490" customWidth="1"/>
    <col min="3358" max="3358" width="3.88671875" style="1490" customWidth="1"/>
    <col min="3359" max="3360" width="9" style="1490" hidden="1" customWidth="1"/>
    <col min="3361" max="3584" width="8.88671875" style="1490"/>
    <col min="3585" max="3585" width="2.6640625" style="1490" customWidth="1"/>
    <col min="3586" max="3586" width="3.33203125" style="1490" customWidth="1"/>
    <col min="3587" max="3587" width="3.88671875" style="1490" customWidth="1"/>
    <col min="3588" max="3596" width="4.44140625" style="1490" customWidth="1"/>
    <col min="3597" max="3597" width="9.44140625" style="1490" customWidth="1"/>
    <col min="3598" max="3598" width="4" style="1490" customWidth="1"/>
    <col min="3599" max="3601" width="9" style="1490" hidden="1" customWidth="1"/>
    <col min="3602" max="3602" width="4.44140625" style="1490" customWidth="1"/>
    <col min="3603" max="3603" width="1.44140625" style="1490" customWidth="1"/>
    <col min="3604" max="3604" width="4" style="1490" customWidth="1"/>
    <col min="3605" max="3609" width="4.44140625" style="1490" customWidth="1"/>
    <col min="3610" max="3610" width="3.44140625" style="1490" customWidth="1"/>
    <col min="3611" max="3611" width="5.6640625" style="1490" customWidth="1"/>
    <col min="3612" max="3612" width="21" style="1490" customWidth="1"/>
    <col min="3613" max="3613" width="4.6640625" style="1490" customWidth="1"/>
    <col min="3614" max="3614" width="3.88671875" style="1490" customWidth="1"/>
    <col min="3615" max="3616" width="9" style="1490" hidden="1" customWidth="1"/>
    <col min="3617" max="3840" width="8.88671875" style="1490"/>
    <col min="3841" max="3841" width="2.6640625" style="1490" customWidth="1"/>
    <col min="3842" max="3842" width="3.33203125" style="1490" customWidth="1"/>
    <col min="3843" max="3843" width="3.88671875" style="1490" customWidth="1"/>
    <col min="3844" max="3852" width="4.44140625" style="1490" customWidth="1"/>
    <col min="3853" max="3853" width="9.44140625" style="1490" customWidth="1"/>
    <col min="3854" max="3854" width="4" style="1490" customWidth="1"/>
    <col min="3855" max="3857" width="9" style="1490" hidden="1" customWidth="1"/>
    <col min="3858" max="3858" width="4.44140625" style="1490" customWidth="1"/>
    <col min="3859" max="3859" width="1.44140625" style="1490" customWidth="1"/>
    <col min="3860" max="3860" width="4" style="1490" customWidth="1"/>
    <col min="3861" max="3865" width="4.44140625" style="1490" customWidth="1"/>
    <col min="3866" max="3866" width="3.44140625" style="1490" customWidth="1"/>
    <col min="3867" max="3867" width="5.6640625" style="1490" customWidth="1"/>
    <col min="3868" max="3868" width="21" style="1490" customWidth="1"/>
    <col min="3869" max="3869" width="4.6640625" style="1490" customWidth="1"/>
    <col min="3870" max="3870" width="3.88671875" style="1490" customWidth="1"/>
    <col min="3871" max="3872" width="9" style="1490" hidden="1" customWidth="1"/>
    <col min="3873" max="4096" width="8.88671875" style="1490"/>
    <col min="4097" max="4097" width="2.6640625" style="1490" customWidth="1"/>
    <col min="4098" max="4098" width="3.33203125" style="1490" customWidth="1"/>
    <col min="4099" max="4099" width="3.88671875" style="1490" customWidth="1"/>
    <col min="4100" max="4108" width="4.44140625" style="1490" customWidth="1"/>
    <col min="4109" max="4109" width="9.44140625" style="1490" customWidth="1"/>
    <col min="4110" max="4110" width="4" style="1490" customWidth="1"/>
    <col min="4111" max="4113" width="9" style="1490" hidden="1" customWidth="1"/>
    <col min="4114" max="4114" width="4.44140625" style="1490" customWidth="1"/>
    <col min="4115" max="4115" width="1.44140625" style="1490" customWidth="1"/>
    <col min="4116" max="4116" width="4" style="1490" customWidth="1"/>
    <col min="4117" max="4121" width="4.44140625" style="1490" customWidth="1"/>
    <col min="4122" max="4122" width="3.44140625" style="1490" customWidth="1"/>
    <col min="4123" max="4123" width="5.6640625" style="1490" customWidth="1"/>
    <col min="4124" max="4124" width="21" style="1490" customWidth="1"/>
    <col min="4125" max="4125" width="4.6640625" style="1490" customWidth="1"/>
    <col min="4126" max="4126" width="3.88671875" style="1490" customWidth="1"/>
    <col min="4127" max="4128" width="9" style="1490" hidden="1" customWidth="1"/>
    <col min="4129" max="4352" width="8.88671875" style="1490"/>
    <col min="4353" max="4353" width="2.6640625" style="1490" customWidth="1"/>
    <col min="4354" max="4354" width="3.33203125" style="1490" customWidth="1"/>
    <col min="4355" max="4355" width="3.88671875" style="1490" customWidth="1"/>
    <col min="4356" max="4364" width="4.44140625" style="1490" customWidth="1"/>
    <col min="4365" max="4365" width="9.44140625" style="1490" customWidth="1"/>
    <col min="4366" max="4366" width="4" style="1490" customWidth="1"/>
    <col min="4367" max="4369" width="9" style="1490" hidden="1" customWidth="1"/>
    <col min="4370" max="4370" width="4.44140625" style="1490" customWidth="1"/>
    <col min="4371" max="4371" width="1.44140625" style="1490" customWidth="1"/>
    <col min="4372" max="4372" width="4" style="1490" customWidth="1"/>
    <col min="4373" max="4377" width="4.44140625" style="1490" customWidth="1"/>
    <col min="4378" max="4378" width="3.44140625" style="1490" customWidth="1"/>
    <col min="4379" max="4379" width="5.6640625" style="1490" customWidth="1"/>
    <col min="4380" max="4380" width="21" style="1490" customWidth="1"/>
    <col min="4381" max="4381" width="4.6640625" style="1490" customWidth="1"/>
    <col min="4382" max="4382" width="3.88671875" style="1490" customWidth="1"/>
    <col min="4383" max="4384" width="9" style="1490" hidden="1" customWidth="1"/>
    <col min="4385" max="4608" width="8.88671875" style="1490"/>
    <col min="4609" max="4609" width="2.6640625" style="1490" customWidth="1"/>
    <col min="4610" max="4610" width="3.33203125" style="1490" customWidth="1"/>
    <col min="4611" max="4611" width="3.88671875" style="1490" customWidth="1"/>
    <col min="4612" max="4620" width="4.44140625" style="1490" customWidth="1"/>
    <col min="4621" max="4621" width="9.44140625" style="1490" customWidth="1"/>
    <col min="4622" max="4622" width="4" style="1490" customWidth="1"/>
    <col min="4623" max="4625" width="9" style="1490" hidden="1" customWidth="1"/>
    <col min="4626" max="4626" width="4.44140625" style="1490" customWidth="1"/>
    <col min="4627" max="4627" width="1.44140625" style="1490" customWidth="1"/>
    <col min="4628" max="4628" width="4" style="1490" customWidth="1"/>
    <col min="4629" max="4633" width="4.44140625" style="1490" customWidth="1"/>
    <col min="4634" max="4634" width="3.44140625" style="1490" customWidth="1"/>
    <col min="4635" max="4635" width="5.6640625" style="1490" customWidth="1"/>
    <col min="4636" max="4636" width="21" style="1490" customWidth="1"/>
    <col min="4637" max="4637" width="4.6640625" style="1490" customWidth="1"/>
    <col min="4638" max="4638" width="3.88671875" style="1490" customWidth="1"/>
    <col min="4639" max="4640" width="9" style="1490" hidden="1" customWidth="1"/>
    <col min="4641" max="4864" width="8.88671875" style="1490"/>
    <col min="4865" max="4865" width="2.6640625" style="1490" customWidth="1"/>
    <col min="4866" max="4866" width="3.33203125" style="1490" customWidth="1"/>
    <col min="4867" max="4867" width="3.88671875" style="1490" customWidth="1"/>
    <col min="4868" max="4876" width="4.44140625" style="1490" customWidth="1"/>
    <col min="4877" max="4877" width="9.44140625" style="1490" customWidth="1"/>
    <col min="4878" max="4878" width="4" style="1490" customWidth="1"/>
    <col min="4879" max="4881" width="9" style="1490" hidden="1" customWidth="1"/>
    <col min="4882" max="4882" width="4.44140625" style="1490" customWidth="1"/>
    <col min="4883" max="4883" width="1.44140625" style="1490" customWidth="1"/>
    <col min="4884" max="4884" width="4" style="1490" customWidth="1"/>
    <col min="4885" max="4889" width="4.44140625" style="1490" customWidth="1"/>
    <col min="4890" max="4890" width="3.44140625" style="1490" customWidth="1"/>
    <col min="4891" max="4891" width="5.6640625" style="1490" customWidth="1"/>
    <col min="4892" max="4892" width="21" style="1490" customWidth="1"/>
    <col min="4893" max="4893" width="4.6640625" style="1490" customWidth="1"/>
    <col min="4894" max="4894" width="3.88671875" style="1490" customWidth="1"/>
    <col min="4895" max="4896" width="9" style="1490" hidden="1" customWidth="1"/>
    <col min="4897" max="5120" width="8.88671875" style="1490"/>
    <col min="5121" max="5121" width="2.6640625" style="1490" customWidth="1"/>
    <col min="5122" max="5122" width="3.33203125" style="1490" customWidth="1"/>
    <col min="5123" max="5123" width="3.88671875" style="1490" customWidth="1"/>
    <col min="5124" max="5132" width="4.44140625" style="1490" customWidth="1"/>
    <col min="5133" max="5133" width="9.44140625" style="1490" customWidth="1"/>
    <col min="5134" max="5134" width="4" style="1490" customWidth="1"/>
    <col min="5135" max="5137" width="9" style="1490" hidden="1" customWidth="1"/>
    <col min="5138" max="5138" width="4.44140625" style="1490" customWidth="1"/>
    <col min="5139" max="5139" width="1.44140625" style="1490" customWidth="1"/>
    <col min="5140" max="5140" width="4" style="1490" customWidth="1"/>
    <col min="5141" max="5145" width="4.44140625" style="1490" customWidth="1"/>
    <col min="5146" max="5146" width="3.44140625" style="1490" customWidth="1"/>
    <col min="5147" max="5147" width="5.6640625" style="1490" customWidth="1"/>
    <col min="5148" max="5148" width="21" style="1490" customWidth="1"/>
    <col min="5149" max="5149" width="4.6640625" style="1490" customWidth="1"/>
    <col min="5150" max="5150" width="3.88671875" style="1490" customWidth="1"/>
    <col min="5151" max="5152" width="9" style="1490" hidden="1" customWidth="1"/>
    <col min="5153" max="5376" width="8.88671875" style="1490"/>
    <col min="5377" max="5377" width="2.6640625" style="1490" customWidth="1"/>
    <col min="5378" max="5378" width="3.33203125" style="1490" customWidth="1"/>
    <col min="5379" max="5379" width="3.88671875" style="1490" customWidth="1"/>
    <col min="5380" max="5388" width="4.44140625" style="1490" customWidth="1"/>
    <col min="5389" max="5389" width="9.44140625" style="1490" customWidth="1"/>
    <col min="5390" max="5390" width="4" style="1490" customWidth="1"/>
    <col min="5391" max="5393" width="9" style="1490" hidden="1" customWidth="1"/>
    <col min="5394" max="5394" width="4.44140625" style="1490" customWidth="1"/>
    <col min="5395" max="5395" width="1.44140625" style="1490" customWidth="1"/>
    <col min="5396" max="5396" width="4" style="1490" customWidth="1"/>
    <col min="5397" max="5401" width="4.44140625" style="1490" customWidth="1"/>
    <col min="5402" max="5402" width="3.44140625" style="1490" customWidth="1"/>
    <col min="5403" max="5403" width="5.6640625" style="1490" customWidth="1"/>
    <col min="5404" max="5404" width="21" style="1490" customWidth="1"/>
    <col min="5405" max="5405" width="4.6640625" style="1490" customWidth="1"/>
    <col min="5406" max="5406" width="3.88671875" style="1490" customWidth="1"/>
    <col min="5407" max="5408" width="9" style="1490" hidden="1" customWidth="1"/>
    <col min="5409" max="5632" width="8.88671875" style="1490"/>
    <col min="5633" max="5633" width="2.6640625" style="1490" customWidth="1"/>
    <col min="5634" max="5634" width="3.33203125" style="1490" customWidth="1"/>
    <col min="5635" max="5635" width="3.88671875" style="1490" customWidth="1"/>
    <col min="5636" max="5644" width="4.44140625" style="1490" customWidth="1"/>
    <col min="5645" max="5645" width="9.44140625" style="1490" customWidth="1"/>
    <col min="5646" max="5646" width="4" style="1490" customWidth="1"/>
    <col min="5647" max="5649" width="9" style="1490" hidden="1" customWidth="1"/>
    <col min="5650" max="5650" width="4.44140625" style="1490" customWidth="1"/>
    <col min="5651" max="5651" width="1.44140625" style="1490" customWidth="1"/>
    <col min="5652" max="5652" width="4" style="1490" customWidth="1"/>
    <col min="5653" max="5657" width="4.44140625" style="1490" customWidth="1"/>
    <col min="5658" max="5658" width="3.44140625" style="1490" customWidth="1"/>
    <col min="5659" max="5659" width="5.6640625" style="1490" customWidth="1"/>
    <col min="5660" max="5660" width="21" style="1490" customWidth="1"/>
    <col min="5661" max="5661" width="4.6640625" style="1490" customWidth="1"/>
    <col min="5662" max="5662" width="3.88671875" style="1490" customWidth="1"/>
    <col min="5663" max="5664" width="9" style="1490" hidden="1" customWidth="1"/>
    <col min="5665" max="5888" width="8.88671875" style="1490"/>
    <col min="5889" max="5889" width="2.6640625" style="1490" customWidth="1"/>
    <col min="5890" max="5890" width="3.33203125" style="1490" customWidth="1"/>
    <col min="5891" max="5891" width="3.88671875" style="1490" customWidth="1"/>
    <col min="5892" max="5900" width="4.44140625" style="1490" customWidth="1"/>
    <col min="5901" max="5901" width="9.44140625" style="1490" customWidth="1"/>
    <col min="5902" max="5902" width="4" style="1490" customWidth="1"/>
    <col min="5903" max="5905" width="9" style="1490" hidden="1" customWidth="1"/>
    <col min="5906" max="5906" width="4.44140625" style="1490" customWidth="1"/>
    <col min="5907" max="5907" width="1.44140625" style="1490" customWidth="1"/>
    <col min="5908" max="5908" width="4" style="1490" customWidth="1"/>
    <col min="5909" max="5913" width="4.44140625" style="1490" customWidth="1"/>
    <col min="5914" max="5914" width="3.44140625" style="1490" customWidth="1"/>
    <col min="5915" max="5915" width="5.6640625" style="1490" customWidth="1"/>
    <col min="5916" max="5916" width="21" style="1490" customWidth="1"/>
    <col min="5917" max="5917" width="4.6640625" style="1490" customWidth="1"/>
    <col min="5918" max="5918" width="3.88671875" style="1490" customWidth="1"/>
    <col min="5919" max="5920" width="9" style="1490" hidden="1" customWidth="1"/>
    <col min="5921" max="6144" width="8.88671875" style="1490"/>
    <col min="6145" max="6145" width="2.6640625" style="1490" customWidth="1"/>
    <col min="6146" max="6146" width="3.33203125" style="1490" customWidth="1"/>
    <col min="6147" max="6147" width="3.88671875" style="1490" customWidth="1"/>
    <col min="6148" max="6156" width="4.44140625" style="1490" customWidth="1"/>
    <col min="6157" max="6157" width="9.44140625" style="1490" customWidth="1"/>
    <col min="6158" max="6158" width="4" style="1490" customWidth="1"/>
    <col min="6159" max="6161" width="9" style="1490" hidden="1" customWidth="1"/>
    <col min="6162" max="6162" width="4.44140625" style="1490" customWidth="1"/>
    <col min="6163" max="6163" width="1.44140625" style="1490" customWidth="1"/>
    <col min="6164" max="6164" width="4" style="1490" customWidth="1"/>
    <col min="6165" max="6169" width="4.44140625" style="1490" customWidth="1"/>
    <col min="6170" max="6170" width="3.44140625" style="1490" customWidth="1"/>
    <col min="6171" max="6171" width="5.6640625" style="1490" customWidth="1"/>
    <col min="6172" max="6172" width="21" style="1490" customWidth="1"/>
    <col min="6173" max="6173" width="4.6640625" style="1490" customWidth="1"/>
    <col min="6174" max="6174" width="3.88671875" style="1490" customWidth="1"/>
    <col min="6175" max="6176" width="9" style="1490" hidden="1" customWidth="1"/>
    <col min="6177" max="6400" width="8.88671875" style="1490"/>
    <col min="6401" max="6401" width="2.6640625" style="1490" customWidth="1"/>
    <col min="6402" max="6402" width="3.33203125" style="1490" customWidth="1"/>
    <col min="6403" max="6403" width="3.88671875" style="1490" customWidth="1"/>
    <col min="6404" max="6412" width="4.44140625" style="1490" customWidth="1"/>
    <col min="6413" max="6413" width="9.44140625" style="1490" customWidth="1"/>
    <col min="6414" max="6414" width="4" style="1490" customWidth="1"/>
    <col min="6415" max="6417" width="9" style="1490" hidden="1" customWidth="1"/>
    <col min="6418" max="6418" width="4.44140625" style="1490" customWidth="1"/>
    <col min="6419" max="6419" width="1.44140625" style="1490" customWidth="1"/>
    <col min="6420" max="6420" width="4" style="1490" customWidth="1"/>
    <col min="6421" max="6425" width="4.44140625" style="1490" customWidth="1"/>
    <col min="6426" max="6426" width="3.44140625" style="1490" customWidth="1"/>
    <col min="6427" max="6427" width="5.6640625" style="1490" customWidth="1"/>
    <col min="6428" max="6428" width="21" style="1490" customWidth="1"/>
    <col min="6429" max="6429" width="4.6640625" style="1490" customWidth="1"/>
    <col min="6430" max="6430" width="3.88671875" style="1490" customWidth="1"/>
    <col min="6431" max="6432" width="9" style="1490" hidden="1" customWidth="1"/>
    <col min="6433" max="6656" width="8.88671875" style="1490"/>
    <col min="6657" max="6657" width="2.6640625" style="1490" customWidth="1"/>
    <col min="6658" max="6658" width="3.33203125" style="1490" customWidth="1"/>
    <col min="6659" max="6659" width="3.88671875" style="1490" customWidth="1"/>
    <col min="6660" max="6668" width="4.44140625" style="1490" customWidth="1"/>
    <col min="6669" max="6669" width="9.44140625" style="1490" customWidth="1"/>
    <col min="6670" max="6670" width="4" style="1490" customWidth="1"/>
    <col min="6671" max="6673" width="9" style="1490" hidden="1" customWidth="1"/>
    <col min="6674" max="6674" width="4.44140625" style="1490" customWidth="1"/>
    <col min="6675" max="6675" width="1.44140625" style="1490" customWidth="1"/>
    <col min="6676" max="6676" width="4" style="1490" customWidth="1"/>
    <col min="6677" max="6681" width="4.44140625" style="1490" customWidth="1"/>
    <col min="6682" max="6682" width="3.44140625" style="1490" customWidth="1"/>
    <col min="6683" max="6683" width="5.6640625" style="1490" customWidth="1"/>
    <col min="6684" max="6684" width="21" style="1490" customWidth="1"/>
    <col min="6685" max="6685" width="4.6640625" style="1490" customWidth="1"/>
    <col min="6686" max="6686" width="3.88671875" style="1490" customWidth="1"/>
    <col min="6687" max="6688" width="9" style="1490" hidden="1" customWidth="1"/>
    <col min="6689" max="6912" width="8.88671875" style="1490"/>
    <col min="6913" max="6913" width="2.6640625" style="1490" customWidth="1"/>
    <col min="6914" max="6914" width="3.33203125" style="1490" customWidth="1"/>
    <col min="6915" max="6915" width="3.88671875" style="1490" customWidth="1"/>
    <col min="6916" max="6924" width="4.44140625" style="1490" customWidth="1"/>
    <col min="6925" max="6925" width="9.44140625" style="1490" customWidth="1"/>
    <col min="6926" max="6926" width="4" style="1490" customWidth="1"/>
    <col min="6927" max="6929" width="9" style="1490" hidden="1" customWidth="1"/>
    <col min="6930" max="6930" width="4.44140625" style="1490" customWidth="1"/>
    <col min="6931" max="6931" width="1.44140625" style="1490" customWidth="1"/>
    <col min="6932" max="6932" width="4" style="1490" customWidth="1"/>
    <col min="6933" max="6937" width="4.44140625" style="1490" customWidth="1"/>
    <col min="6938" max="6938" width="3.44140625" style="1490" customWidth="1"/>
    <col min="6939" max="6939" width="5.6640625" style="1490" customWidth="1"/>
    <col min="6940" max="6940" width="21" style="1490" customWidth="1"/>
    <col min="6941" max="6941" width="4.6640625" style="1490" customWidth="1"/>
    <col min="6942" max="6942" width="3.88671875" style="1490" customWidth="1"/>
    <col min="6943" max="6944" width="9" style="1490" hidden="1" customWidth="1"/>
    <col min="6945" max="7168" width="8.88671875" style="1490"/>
    <col min="7169" max="7169" width="2.6640625" style="1490" customWidth="1"/>
    <col min="7170" max="7170" width="3.33203125" style="1490" customWidth="1"/>
    <col min="7171" max="7171" width="3.88671875" style="1490" customWidth="1"/>
    <col min="7172" max="7180" width="4.44140625" style="1490" customWidth="1"/>
    <col min="7181" max="7181" width="9.44140625" style="1490" customWidth="1"/>
    <col min="7182" max="7182" width="4" style="1490" customWidth="1"/>
    <col min="7183" max="7185" width="9" style="1490" hidden="1" customWidth="1"/>
    <col min="7186" max="7186" width="4.44140625" style="1490" customWidth="1"/>
    <col min="7187" max="7187" width="1.44140625" style="1490" customWidth="1"/>
    <col min="7188" max="7188" width="4" style="1490" customWidth="1"/>
    <col min="7189" max="7193" width="4.44140625" style="1490" customWidth="1"/>
    <col min="7194" max="7194" width="3.44140625" style="1490" customWidth="1"/>
    <col min="7195" max="7195" width="5.6640625" style="1490" customWidth="1"/>
    <col min="7196" max="7196" width="21" style="1490" customWidth="1"/>
    <col min="7197" max="7197" width="4.6640625" style="1490" customWidth="1"/>
    <col min="7198" max="7198" width="3.88671875" style="1490" customWidth="1"/>
    <col min="7199" max="7200" width="9" style="1490" hidden="1" customWidth="1"/>
    <col min="7201" max="7424" width="8.88671875" style="1490"/>
    <col min="7425" max="7425" width="2.6640625" style="1490" customWidth="1"/>
    <col min="7426" max="7426" width="3.33203125" style="1490" customWidth="1"/>
    <col min="7427" max="7427" width="3.88671875" style="1490" customWidth="1"/>
    <col min="7428" max="7436" width="4.44140625" style="1490" customWidth="1"/>
    <col min="7437" max="7437" width="9.44140625" style="1490" customWidth="1"/>
    <col min="7438" max="7438" width="4" style="1490" customWidth="1"/>
    <col min="7439" max="7441" width="9" style="1490" hidden="1" customWidth="1"/>
    <col min="7442" max="7442" width="4.44140625" style="1490" customWidth="1"/>
    <col min="7443" max="7443" width="1.44140625" style="1490" customWidth="1"/>
    <col min="7444" max="7444" width="4" style="1490" customWidth="1"/>
    <col min="7445" max="7449" width="4.44140625" style="1490" customWidth="1"/>
    <col min="7450" max="7450" width="3.44140625" style="1490" customWidth="1"/>
    <col min="7451" max="7451" width="5.6640625" style="1490" customWidth="1"/>
    <col min="7452" max="7452" width="21" style="1490" customWidth="1"/>
    <col min="7453" max="7453" width="4.6640625" style="1490" customWidth="1"/>
    <col min="7454" max="7454" width="3.88671875" style="1490" customWidth="1"/>
    <col min="7455" max="7456" width="9" style="1490" hidden="1" customWidth="1"/>
    <col min="7457" max="7680" width="8.88671875" style="1490"/>
    <col min="7681" max="7681" width="2.6640625" style="1490" customWidth="1"/>
    <col min="7682" max="7682" width="3.33203125" style="1490" customWidth="1"/>
    <col min="7683" max="7683" width="3.88671875" style="1490" customWidth="1"/>
    <col min="7684" max="7692" width="4.44140625" style="1490" customWidth="1"/>
    <col min="7693" max="7693" width="9.44140625" style="1490" customWidth="1"/>
    <col min="7694" max="7694" width="4" style="1490" customWidth="1"/>
    <col min="7695" max="7697" width="9" style="1490" hidden="1" customWidth="1"/>
    <col min="7698" max="7698" width="4.44140625" style="1490" customWidth="1"/>
    <col min="7699" max="7699" width="1.44140625" style="1490" customWidth="1"/>
    <col min="7700" max="7700" width="4" style="1490" customWidth="1"/>
    <col min="7701" max="7705" width="4.44140625" style="1490" customWidth="1"/>
    <col min="7706" max="7706" width="3.44140625" style="1490" customWidth="1"/>
    <col min="7707" max="7707" width="5.6640625" style="1490" customWidth="1"/>
    <col min="7708" max="7708" width="21" style="1490" customWidth="1"/>
    <col min="7709" max="7709" width="4.6640625" style="1490" customWidth="1"/>
    <col min="7710" max="7710" width="3.88671875" style="1490" customWidth="1"/>
    <col min="7711" max="7712" width="9" style="1490" hidden="1" customWidth="1"/>
    <col min="7713" max="7936" width="8.88671875" style="1490"/>
    <col min="7937" max="7937" width="2.6640625" style="1490" customWidth="1"/>
    <col min="7938" max="7938" width="3.33203125" style="1490" customWidth="1"/>
    <col min="7939" max="7939" width="3.88671875" style="1490" customWidth="1"/>
    <col min="7940" max="7948" width="4.44140625" style="1490" customWidth="1"/>
    <col min="7949" max="7949" width="9.44140625" style="1490" customWidth="1"/>
    <col min="7950" max="7950" width="4" style="1490" customWidth="1"/>
    <col min="7951" max="7953" width="9" style="1490" hidden="1" customWidth="1"/>
    <col min="7954" max="7954" width="4.44140625" style="1490" customWidth="1"/>
    <col min="7955" max="7955" width="1.44140625" style="1490" customWidth="1"/>
    <col min="7956" max="7956" width="4" style="1490" customWidth="1"/>
    <col min="7957" max="7961" width="4.44140625" style="1490" customWidth="1"/>
    <col min="7962" max="7962" width="3.44140625" style="1490" customWidth="1"/>
    <col min="7963" max="7963" width="5.6640625" style="1490" customWidth="1"/>
    <col min="7964" max="7964" width="21" style="1490" customWidth="1"/>
    <col min="7965" max="7965" width="4.6640625" style="1490" customWidth="1"/>
    <col min="7966" max="7966" width="3.88671875" style="1490" customWidth="1"/>
    <col min="7967" max="7968" width="9" style="1490" hidden="1" customWidth="1"/>
    <col min="7969" max="8192" width="8.88671875" style="1490"/>
    <col min="8193" max="8193" width="2.6640625" style="1490" customWidth="1"/>
    <col min="8194" max="8194" width="3.33203125" style="1490" customWidth="1"/>
    <col min="8195" max="8195" width="3.88671875" style="1490" customWidth="1"/>
    <col min="8196" max="8204" width="4.44140625" style="1490" customWidth="1"/>
    <col min="8205" max="8205" width="9.44140625" style="1490" customWidth="1"/>
    <col min="8206" max="8206" width="4" style="1490" customWidth="1"/>
    <col min="8207" max="8209" width="9" style="1490" hidden="1" customWidth="1"/>
    <col min="8210" max="8210" width="4.44140625" style="1490" customWidth="1"/>
    <col min="8211" max="8211" width="1.44140625" style="1490" customWidth="1"/>
    <col min="8212" max="8212" width="4" style="1490" customWidth="1"/>
    <col min="8213" max="8217" width="4.44140625" style="1490" customWidth="1"/>
    <col min="8218" max="8218" width="3.44140625" style="1490" customWidth="1"/>
    <col min="8219" max="8219" width="5.6640625" style="1490" customWidth="1"/>
    <col min="8220" max="8220" width="21" style="1490" customWidth="1"/>
    <col min="8221" max="8221" width="4.6640625" style="1490" customWidth="1"/>
    <col min="8222" max="8222" width="3.88671875" style="1490" customWidth="1"/>
    <col min="8223" max="8224" width="9" style="1490" hidden="1" customWidth="1"/>
    <col min="8225" max="8448" width="8.88671875" style="1490"/>
    <col min="8449" max="8449" width="2.6640625" style="1490" customWidth="1"/>
    <col min="8450" max="8450" width="3.33203125" style="1490" customWidth="1"/>
    <col min="8451" max="8451" width="3.88671875" style="1490" customWidth="1"/>
    <col min="8452" max="8460" width="4.44140625" style="1490" customWidth="1"/>
    <col min="8461" max="8461" width="9.44140625" style="1490" customWidth="1"/>
    <col min="8462" max="8462" width="4" style="1490" customWidth="1"/>
    <col min="8463" max="8465" width="9" style="1490" hidden="1" customWidth="1"/>
    <col min="8466" max="8466" width="4.44140625" style="1490" customWidth="1"/>
    <col min="8467" max="8467" width="1.44140625" style="1490" customWidth="1"/>
    <col min="8468" max="8468" width="4" style="1490" customWidth="1"/>
    <col min="8469" max="8473" width="4.44140625" style="1490" customWidth="1"/>
    <col min="8474" max="8474" width="3.44140625" style="1490" customWidth="1"/>
    <col min="8475" max="8475" width="5.6640625" style="1490" customWidth="1"/>
    <col min="8476" max="8476" width="21" style="1490" customWidth="1"/>
    <col min="8477" max="8477" width="4.6640625" style="1490" customWidth="1"/>
    <col min="8478" max="8478" width="3.88671875" style="1490" customWidth="1"/>
    <col min="8479" max="8480" width="9" style="1490" hidden="1" customWidth="1"/>
    <col min="8481" max="8704" width="8.88671875" style="1490"/>
    <col min="8705" max="8705" width="2.6640625" style="1490" customWidth="1"/>
    <col min="8706" max="8706" width="3.33203125" style="1490" customWidth="1"/>
    <col min="8707" max="8707" width="3.88671875" style="1490" customWidth="1"/>
    <col min="8708" max="8716" width="4.44140625" style="1490" customWidth="1"/>
    <col min="8717" max="8717" width="9.44140625" style="1490" customWidth="1"/>
    <col min="8718" max="8718" width="4" style="1490" customWidth="1"/>
    <col min="8719" max="8721" width="9" style="1490" hidden="1" customWidth="1"/>
    <col min="8722" max="8722" width="4.44140625" style="1490" customWidth="1"/>
    <col min="8723" max="8723" width="1.44140625" style="1490" customWidth="1"/>
    <col min="8724" max="8724" width="4" style="1490" customWidth="1"/>
    <col min="8725" max="8729" width="4.44140625" style="1490" customWidth="1"/>
    <col min="8730" max="8730" width="3.44140625" style="1490" customWidth="1"/>
    <col min="8731" max="8731" width="5.6640625" style="1490" customWidth="1"/>
    <col min="8732" max="8732" width="21" style="1490" customWidth="1"/>
    <col min="8733" max="8733" width="4.6640625" style="1490" customWidth="1"/>
    <col min="8734" max="8734" width="3.88671875" style="1490" customWidth="1"/>
    <col min="8735" max="8736" width="9" style="1490" hidden="1" customWidth="1"/>
    <col min="8737" max="8960" width="8.88671875" style="1490"/>
    <col min="8961" max="8961" width="2.6640625" style="1490" customWidth="1"/>
    <col min="8962" max="8962" width="3.33203125" style="1490" customWidth="1"/>
    <col min="8963" max="8963" width="3.88671875" style="1490" customWidth="1"/>
    <col min="8964" max="8972" width="4.44140625" style="1490" customWidth="1"/>
    <col min="8973" max="8973" width="9.44140625" style="1490" customWidth="1"/>
    <col min="8974" max="8974" width="4" style="1490" customWidth="1"/>
    <col min="8975" max="8977" width="9" style="1490" hidden="1" customWidth="1"/>
    <col min="8978" max="8978" width="4.44140625" style="1490" customWidth="1"/>
    <col min="8979" max="8979" width="1.44140625" style="1490" customWidth="1"/>
    <col min="8980" max="8980" width="4" style="1490" customWidth="1"/>
    <col min="8981" max="8985" width="4.44140625" style="1490" customWidth="1"/>
    <col min="8986" max="8986" width="3.44140625" style="1490" customWidth="1"/>
    <col min="8987" max="8987" width="5.6640625" style="1490" customWidth="1"/>
    <col min="8988" max="8988" width="21" style="1490" customWidth="1"/>
    <col min="8989" max="8989" width="4.6640625" style="1490" customWidth="1"/>
    <col min="8990" max="8990" width="3.88671875" style="1490" customWidth="1"/>
    <col min="8991" max="8992" width="9" style="1490" hidden="1" customWidth="1"/>
    <col min="8993" max="9216" width="8.88671875" style="1490"/>
    <col min="9217" max="9217" width="2.6640625" style="1490" customWidth="1"/>
    <col min="9218" max="9218" width="3.33203125" style="1490" customWidth="1"/>
    <col min="9219" max="9219" width="3.88671875" style="1490" customWidth="1"/>
    <col min="9220" max="9228" width="4.44140625" style="1490" customWidth="1"/>
    <col min="9229" max="9229" width="9.44140625" style="1490" customWidth="1"/>
    <col min="9230" max="9230" width="4" style="1490" customWidth="1"/>
    <col min="9231" max="9233" width="9" style="1490" hidden="1" customWidth="1"/>
    <col min="9234" max="9234" width="4.44140625" style="1490" customWidth="1"/>
    <col min="9235" max="9235" width="1.44140625" style="1490" customWidth="1"/>
    <col min="9236" max="9236" width="4" style="1490" customWidth="1"/>
    <col min="9237" max="9241" width="4.44140625" style="1490" customWidth="1"/>
    <col min="9242" max="9242" width="3.44140625" style="1490" customWidth="1"/>
    <col min="9243" max="9243" width="5.6640625" style="1490" customWidth="1"/>
    <col min="9244" max="9244" width="21" style="1490" customWidth="1"/>
    <col min="9245" max="9245" width="4.6640625" style="1490" customWidth="1"/>
    <col min="9246" max="9246" width="3.88671875" style="1490" customWidth="1"/>
    <col min="9247" max="9248" width="9" style="1490" hidden="1" customWidth="1"/>
    <col min="9249" max="9472" width="8.88671875" style="1490"/>
    <col min="9473" max="9473" width="2.6640625" style="1490" customWidth="1"/>
    <col min="9474" max="9474" width="3.33203125" style="1490" customWidth="1"/>
    <col min="9475" max="9475" width="3.88671875" style="1490" customWidth="1"/>
    <col min="9476" max="9484" width="4.44140625" style="1490" customWidth="1"/>
    <col min="9485" max="9485" width="9.44140625" style="1490" customWidth="1"/>
    <col min="9486" max="9486" width="4" style="1490" customWidth="1"/>
    <col min="9487" max="9489" width="9" style="1490" hidden="1" customWidth="1"/>
    <col min="9490" max="9490" width="4.44140625" style="1490" customWidth="1"/>
    <col min="9491" max="9491" width="1.44140625" style="1490" customWidth="1"/>
    <col min="9492" max="9492" width="4" style="1490" customWidth="1"/>
    <col min="9493" max="9497" width="4.44140625" style="1490" customWidth="1"/>
    <col min="9498" max="9498" width="3.44140625" style="1490" customWidth="1"/>
    <col min="9499" max="9499" width="5.6640625" style="1490" customWidth="1"/>
    <col min="9500" max="9500" width="21" style="1490" customWidth="1"/>
    <col min="9501" max="9501" width="4.6640625" style="1490" customWidth="1"/>
    <col min="9502" max="9502" width="3.88671875" style="1490" customWidth="1"/>
    <col min="9503" max="9504" width="9" style="1490" hidden="1" customWidth="1"/>
    <col min="9505" max="9728" width="8.88671875" style="1490"/>
    <col min="9729" max="9729" width="2.6640625" style="1490" customWidth="1"/>
    <col min="9730" max="9730" width="3.33203125" style="1490" customWidth="1"/>
    <col min="9731" max="9731" width="3.88671875" style="1490" customWidth="1"/>
    <col min="9732" max="9740" width="4.44140625" style="1490" customWidth="1"/>
    <col min="9741" max="9741" width="9.44140625" style="1490" customWidth="1"/>
    <col min="9742" max="9742" width="4" style="1490" customWidth="1"/>
    <col min="9743" max="9745" width="9" style="1490" hidden="1" customWidth="1"/>
    <col min="9746" max="9746" width="4.44140625" style="1490" customWidth="1"/>
    <col min="9747" max="9747" width="1.44140625" style="1490" customWidth="1"/>
    <col min="9748" max="9748" width="4" style="1490" customWidth="1"/>
    <col min="9749" max="9753" width="4.44140625" style="1490" customWidth="1"/>
    <col min="9754" max="9754" width="3.44140625" style="1490" customWidth="1"/>
    <col min="9755" max="9755" width="5.6640625" style="1490" customWidth="1"/>
    <col min="9756" max="9756" width="21" style="1490" customWidth="1"/>
    <col min="9757" max="9757" width="4.6640625" style="1490" customWidth="1"/>
    <col min="9758" max="9758" width="3.88671875" style="1490" customWidth="1"/>
    <col min="9759" max="9760" width="9" style="1490" hidden="1" customWidth="1"/>
    <col min="9761" max="9984" width="8.88671875" style="1490"/>
    <col min="9985" max="9985" width="2.6640625" style="1490" customWidth="1"/>
    <col min="9986" max="9986" width="3.33203125" style="1490" customWidth="1"/>
    <col min="9987" max="9987" width="3.88671875" style="1490" customWidth="1"/>
    <col min="9988" max="9996" width="4.44140625" style="1490" customWidth="1"/>
    <col min="9997" max="9997" width="9.44140625" style="1490" customWidth="1"/>
    <col min="9998" max="9998" width="4" style="1490" customWidth="1"/>
    <col min="9999" max="10001" width="9" style="1490" hidden="1" customWidth="1"/>
    <col min="10002" max="10002" width="4.44140625" style="1490" customWidth="1"/>
    <col min="10003" max="10003" width="1.44140625" style="1490" customWidth="1"/>
    <col min="10004" max="10004" width="4" style="1490" customWidth="1"/>
    <col min="10005" max="10009" width="4.44140625" style="1490" customWidth="1"/>
    <col min="10010" max="10010" width="3.44140625" style="1490" customWidth="1"/>
    <col min="10011" max="10011" width="5.6640625" style="1490" customWidth="1"/>
    <col min="10012" max="10012" width="21" style="1490" customWidth="1"/>
    <col min="10013" max="10013" width="4.6640625" style="1490" customWidth="1"/>
    <col min="10014" max="10014" width="3.88671875" style="1490" customWidth="1"/>
    <col min="10015" max="10016" width="9" style="1490" hidden="1" customWidth="1"/>
    <col min="10017" max="10240" width="8.88671875" style="1490"/>
    <col min="10241" max="10241" width="2.6640625" style="1490" customWidth="1"/>
    <col min="10242" max="10242" width="3.33203125" style="1490" customWidth="1"/>
    <col min="10243" max="10243" width="3.88671875" style="1490" customWidth="1"/>
    <col min="10244" max="10252" width="4.44140625" style="1490" customWidth="1"/>
    <col min="10253" max="10253" width="9.44140625" style="1490" customWidth="1"/>
    <col min="10254" max="10254" width="4" style="1490" customWidth="1"/>
    <col min="10255" max="10257" width="9" style="1490" hidden="1" customWidth="1"/>
    <col min="10258" max="10258" width="4.44140625" style="1490" customWidth="1"/>
    <col min="10259" max="10259" width="1.44140625" style="1490" customWidth="1"/>
    <col min="10260" max="10260" width="4" style="1490" customWidth="1"/>
    <col min="10261" max="10265" width="4.44140625" style="1490" customWidth="1"/>
    <col min="10266" max="10266" width="3.44140625" style="1490" customWidth="1"/>
    <col min="10267" max="10267" width="5.6640625" style="1490" customWidth="1"/>
    <col min="10268" max="10268" width="21" style="1490" customWidth="1"/>
    <col min="10269" max="10269" width="4.6640625" style="1490" customWidth="1"/>
    <col min="10270" max="10270" width="3.88671875" style="1490" customWidth="1"/>
    <col min="10271" max="10272" width="9" style="1490" hidden="1" customWidth="1"/>
    <col min="10273" max="10496" width="8.88671875" style="1490"/>
    <col min="10497" max="10497" width="2.6640625" style="1490" customWidth="1"/>
    <col min="10498" max="10498" width="3.33203125" style="1490" customWidth="1"/>
    <col min="10499" max="10499" width="3.88671875" style="1490" customWidth="1"/>
    <col min="10500" max="10508" width="4.44140625" style="1490" customWidth="1"/>
    <col min="10509" max="10509" width="9.44140625" style="1490" customWidth="1"/>
    <col min="10510" max="10510" width="4" style="1490" customWidth="1"/>
    <col min="10511" max="10513" width="9" style="1490" hidden="1" customWidth="1"/>
    <col min="10514" max="10514" width="4.44140625" style="1490" customWidth="1"/>
    <col min="10515" max="10515" width="1.44140625" style="1490" customWidth="1"/>
    <col min="10516" max="10516" width="4" style="1490" customWidth="1"/>
    <col min="10517" max="10521" width="4.44140625" style="1490" customWidth="1"/>
    <col min="10522" max="10522" width="3.44140625" style="1490" customWidth="1"/>
    <col min="10523" max="10523" width="5.6640625" style="1490" customWidth="1"/>
    <col min="10524" max="10524" width="21" style="1490" customWidth="1"/>
    <col min="10525" max="10525" width="4.6640625" style="1490" customWidth="1"/>
    <col min="10526" max="10526" width="3.88671875" style="1490" customWidth="1"/>
    <col min="10527" max="10528" width="9" style="1490" hidden="1" customWidth="1"/>
    <col min="10529" max="10752" width="8.88671875" style="1490"/>
    <col min="10753" max="10753" width="2.6640625" style="1490" customWidth="1"/>
    <col min="10754" max="10754" width="3.33203125" style="1490" customWidth="1"/>
    <col min="10755" max="10755" width="3.88671875" style="1490" customWidth="1"/>
    <col min="10756" max="10764" width="4.44140625" style="1490" customWidth="1"/>
    <col min="10765" max="10765" width="9.44140625" style="1490" customWidth="1"/>
    <col min="10766" max="10766" width="4" style="1490" customWidth="1"/>
    <col min="10767" max="10769" width="9" style="1490" hidden="1" customWidth="1"/>
    <col min="10770" max="10770" width="4.44140625" style="1490" customWidth="1"/>
    <col min="10771" max="10771" width="1.44140625" style="1490" customWidth="1"/>
    <col min="10772" max="10772" width="4" style="1490" customWidth="1"/>
    <col min="10773" max="10777" width="4.44140625" style="1490" customWidth="1"/>
    <col min="10778" max="10778" width="3.44140625" style="1490" customWidth="1"/>
    <col min="10779" max="10779" width="5.6640625" style="1490" customWidth="1"/>
    <col min="10780" max="10780" width="21" style="1490" customWidth="1"/>
    <col min="10781" max="10781" width="4.6640625" style="1490" customWidth="1"/>
    <col min="10782" max="10782" width="3.88671875" style="1490" customWidth="1"/>
    <col min="10783" max="10784" width="9" style="1490" hidden="1" customWidth="1"/>
    <col min="10785" max="11008" width="8.88671875" style="1490"/>
    <col min="11009" max="11009" width="2.6640625" style="1490" customWidth="1"/>
    <col min="11010" max="11010" width="3.33203125" style="1490" customWidth="1"/>
    <col min="11011" max="11011" width="3.88671875" style="1490" customWidth="1"/>
    <col min="11012" max="11020" width="4.44140625" style="1490" customWidth="1"/>
    <col min="11021" max="11021" width="9.44140625" style="1490" customWidth="1"/>
    <col min="11022" max="11022" width="4" style="1490" customWidth="1"/>
    <col min="11023" max="11025" width="9" style="1490" hidden="1" customWidth="1"/>
    <col min="11026" max="11026" width="4.44140625" style="1490" customWidth="1"/>
    <col min="11027" max="11027" width="1.44140625" style="1490" customWidth="1"/>
    <col min="11028" max="11028" width="4" style="1490" customWidth="1"/>
    <col min="11029" max="11033" width="4.44140625" style="1490" customWidth="1"/>
    <col min="11034" max="11034" width="3.44140625" style="1490" customWidth="1"/>
    <col min="11035" max="11035" width="5.6640625" style="1490" customWidth="1"/>
    <col min="11036" max="11036" width="21" style="1490" customWidth="1"/>
    <col min="11037" max="11037" width="4.6640625" style="1490" customWidth="1"/>
    <col min="11038" max="11038" width="3.88671875" style="1490" customWidth="1"/>
    <col min="11039" max="11040" width="9" style="1490" hidden="1" customWidth="1"/>
    <col min="11041" max="11264" width="8.88671875" style="1490"/>
    <col min="11265" max="11265" width="2.6640625" style="1490" customWidth="1"/>
    <col min="11266" max="11266" width="3.33203125" style="1490" customWidth="1"/>
    <col min="11267" max="11267" width="3.88671875" style="1490" customWidth="1"/>
    <col min="11268" max="11276" width="4.44140625" style="1490" customWidth="1"/>
    <col min="11277" max="11277" width="9.44140625" style="1490" customWidth="1"/>
    <col min="11278" max="11278" width="4" style="1490" customWidth="1"/>
    <col min="11279" max="11281" width="9" style="1490" hidden="1" customWidth="1"/>
    <col min="11282" max="11282" width="4.44140625" style="1490" customWidth="1"/>
    <col min="11283" max="11283" width="1.44140625" style="1490" customWidth="1"/>
    <col min="11284" max="11284" width="4" style="1490" customWidth="1"/>
    <col min="11285" max="11289" width="4.44140625" style="1490" customWidth="1"/>
    <col min="11290" max="11290" width="3.44140625" style="1490" customWidth="1"/>
    <col min="11291" max="11291" width="5.6640625" style="1490" customWidth="1"/>
    <col min="11292" max="11292" width="21" style="1490" customWidth="1"/>
    <col min="11293" max="11293" width="4.6640625" style="1490" customWidth="1"/>
    <col min="11294" max="11294" width="3.88671875" style="1490" customWidth="1"/>
    <col min="11295" max="11296" width="9" style="1490" hidden="1" customWidth="1"/>
    <col min="11297" max="11520" width="8.88671875" style="1490"/>
    <col min="11521" max="11521" width="2.6640625" style="1490" customWidth="1"/>
    <col min="11522" max="11522" width="3.33203125" style="1490" customWidth="1"/>
    <col min="11523" max="11523" width="3.88671875" style="1490" customWidth="1"/>
    <col min="11524" max="11532" width="4.44140625" style="1490" customWidth="1"/>
    <col min="11533" max="11533" width="9.44140625" style="1490" customWidth="1"/>
    <col min="11534" max="11534" width="4" style="1490" customWidth="1"/>
    <col min="11535" max="11537" width="9" style="1490" hidden="1" customWidth="1"/>
    <col min="11538" max="11538" width="4.44140625" style="1490" customWidth="1"/>
    <col min="11539" max="11539" width="1.44140625" style="1490" customWidth="1"/>
    <col min="11540" max="11540" width="4" style="1490" customWidth="1"/>
    <col min="11541" max="11545" width="4.44140625" style="1490" customWidth="1"/>
    <col min="11546" max="11546" width="3.44140625" style="1490" customWidth="1"/>
    <col min="11547" max="11547" width="5.6640625" style="1490" customWidth="1"/>
    <col min="11548" max="11548" width="21" style="1490" customWidth="1"/>
    <col min="11549" max="11549" width="4.6640625" style="1490" customWidth="1"/>
    <col min="11550" max="11550" width="3.88671875" style="1490" customWidth="1"/>
    <col min="11551" max="11552" width="9" style="1490" hidden="1" customWidth="1"/>
    <col min="11553" max="11776" width="8.88671875" style="1490"/>
    <col min="11777" max="11777" width="2.6640625" style="1490" customWidth="1"/>
    <col min="11778" max="11778" width="3.33203125" style="1490" customWidth="1"/>
    <col min="11779" max="11779" width="3.88671875" style="1490" customWidth="1"/>
    <col min="11780" max="11788" width="4.44140625" style="1490" customWidth="1"/>
    <col min="11789" max="11789" width="9.44140625" style="1490" customWidth="1"/>
    <col min="11790" max="11790" width="4" style="1490" customWidth="1"/>
    <col min="11791" max="11793" width="9" style="1490" hidden="1" customWidth="1"/>
    <col min="11794" max="11794" width="4.44140625" style="1490" customWidth="1"/>
    <col min="11795" max="11795" width="1.44140625" style="1490" customWidth="1"/>
    <col min="11796" max="11796" width="4" style="1490" customWidth="1"/>
    <col min="11797" max="11801" width="4.44140625" style="1490" customWidth="1"/>
    <col min="11802" max="11802" width="3.44140625" style="1490" customWidth="1"/>
    <col min="11803" max="11803" width="5.6640625" style="1490" customWidth="1"/>
    <col min="11804" max="11804" width="21" style="1490" customWidth="1"/>
    <col min="11805" max="11805" width="4.6640625" style="1490" customWidth="1"/>
    <col min="11806" max="11806" width="3.88671875" style="1490" customWidth="1"/>
    <col min="11807" max="11808" width="9" style="1490" hidden="1" customWidth="1"/>
    <col min="11809" max="12032" width="8.88671875" style="1490"/>
    <col min="12033" max="12033" width="2.6640625" style="1490" customWidth="1"/>
    <col min="12034" max="12034" width="3.33203125" style="1490" customWidth="1"/>
    <col min="12035" max="12035" width="3.88671875" style="1490" customWidth="1"/>
    <col min="12036" max="12044" width="4.44140625" style="1490" customWidth="1"/>
    <col min="12045" max="12045" width="9.44140625" style="1490" customWidth="1"/>
    <col min="12046" max="12046" width="4" style="1490" customWidth="1"/>
    <col min="12047" max="12049" width="9" style="1490" hidden="1" customWidth="1"/>
    <col min="12050" max="12050" width="4.44140625" style="1490" customWidth="1"/>
    <col min="12051" max="12051" width="1.44140625" style="1490" customWidth="1"/>
    <col min="12052" max="12052" width="4" style="1490" customWidth="1"/>
    <col min="12053" max="12057" width="4.44140625" style="1490" customWidth="1"/>
    <col min="12058" max="12058" width="3.44140625" style="1490" customWidth="1"/>
    <col min="12059" max="12059" width="5.6640625" style="1490" customWidth="1"/>
    <col min="12060" max="12060" width="21" style="1490" customWidth="1"/>
    <col min="12061" max="12061" width="4.6640625" style="1490" customWidth="1"/>
    <col min="12062" max="12062" width="3.88671875" style="1490" customWidth="1"/>
    <col min="12063" max="12064" width="9" style="1490" hidden="1" customWidth="1"/>
    <col min="12065" max="12288" width="8.88671875" style="1490"/>
    <col min="12289" max="12289" width="2.6640625" style="1490" customWidth="1"/>
    <col min="12290" max="12290" width="3.33203125" style="1490" customWidth="1"/>
    <col min="12291" max="12291" width="3.88671875" style="1490" customWidth="1"/>
    <col min="12292" max="12300" width="4.44140625" style="1490" customWidth="1"/>
    <col min="12301" max="12301" width="9.44140625" style="1490" customWidth="1"/>
    <col min="12302" max="12302" width="4" style="1490" customWidth="1"/>
    <col min="12303" max="12305" width="9" style="1490" hidden="1" customWidth="1"/>
    <col min="12306" max="12306" width="4.44140625" style="1490" customWidth="1"/>
    <col min="12307" max="12307" width="1.44140625" style="1490" customWidth="1"/>
    <col min="12308" max="12308" width="4" style="1490" customWidth="1"/>
    <col min="12309" max="12313" width="4.44140625" style="1490" customWidth="1"/>
    <col min="12314" max="12314" width="3.44140625" style="1490" customWidth="1"/>
    <col min="12315" max="12315" width="5.6640625" style="1490" customWidth="1"/>
    <col min="12316" max="12316" width="21" style="1490" customWidth="1"/>
    <col min="12317" max="12317" width="4.6640625" style="1490" customWidth="1"/>
    <col min="12318" max="12318" width="3.88671875" style="1490" customWidth="1"/>
    <col min="12319" max="12320" width="9" style="1490" hidden="1" customWidth="1"/>
    <col min="12321" max="12544" width="8.88671875" style="1490"/>
    <col min="12545" max="12545" width="2.6640625" style="1490" customWidth="1"/>
    <col min="12546" max="12546" width="3.33203125" style="1490" customWidth="1"/>
    <col min="12547" max="12547" width="3.88671875" style="1490" customWidth="1"/>
    <col min="12548" max="12556" width="4.44140625" style="1490" customWidth="1"/>
    <col min="12557" max="12557" width="9.44140625" style="1490" customWidth="1"/>
    <col min="12558" max="12558" width="4" style="1490" customWidth="1"/>
    <col min="12559" max="12561" width="9" style="1490" hidden="1" customWidth="1"/>
    <col min="12562" max="12562" width="4.44140625" style="1490" customWidth="1"/>
    <col min="12563" max="12563" width="1.44140625" style="1490" customWidth="1"/>
    <col min="12564" max="12564" width="4" style="1490" customWidth="1"/>
    <col min="12565" max="12569" width="4.44140625" style="1490" customWidth="1"/>
    <col min="12570" max="12570" width="3.44140625" style="1490" customWidth="1"/>
    <col min="12571" max="12571" width="5.6640625" style="1490" customWidth="1"/>
    <col min="12572" max="12572" width="21" style="1490" customWidth="1"/>
    <col min="12573" max="12573" width="4.6640625" style="1490" customWidth="1"/>
    <col min="12574" max="12574" width="3.88671875" style="1490" customWidth="1"/>
    <col min="12575" max="12576" width="9" style="1490" hidden="1" customWidth="1"/>
    <col min="12577" max="12800" width="8.88671875" style="1490"/>
    <col min="12801" max="12801" width="2.6640625" style="1490" customWidth="1"/>
    <col min="12802" max="12802" width="3.33203125" style="1490" customWidth="1"/>
    <col min="12803" max="12803" width="3.88671875" style="1490" customWidth="1"/>
    <col min="12804" max="12812" width="4.44140625" style="1490" customWidth="1"/>
    <col min="12813" max="12813" width="9.44140625" style="1490" customWidth="1"/>
    <col min="12814" max="12814" width="4" style="1490" customWidth="1"/>
    <col min="12815" max="12817" width="9" style="1490" hidden="1" customWidth="1"/>
    <col min="12818" max="12818" width="4.44140625" style="1490" customWidth="1"/>
    <col min="12819" max="12819" width="1.44140625" style="1490" customWidth="1"/>
    <col min="12820" max="12820" width="4" style="1490" customWidth="1"/>
    <col min="12821" max="12825" width="4.44140625" style="1490" customWidth="1"/>
    <col min="12826" max="12826" width="3.44140625" style="1490" customWidth="1"/>
    <col min="12827" max="12827" width="5.6640625" style="1490" customWidth="1"/>
    <col min="12828" max="12828" width="21" style="1490" customWidth="1"/>
    <col min="12829" max="12829" width="4.6640625" style="1490" customWidth="1"/>
    <col min="12830" max="12830" width="3.88671875" style="1490" customWidth="1"/>
    <col min="12831" max="12832" width="9" style="1490" hidden="1" customWidth="1"/>
    <col min="12833" max="13056" width="8.88671875" style="1490"/>
    <col min="13057" max="13057" width="2.6640625" style="1490" customWidth="1"/>
    <col min="13058" max="13058" width="3.33203125" style="1490" customWidth="1"/>
    <col min="13059" max="13059" width="3.88671875" style="1490" customWidth="1"/>
    <col min="13060" max="13068" width="4.44140625" style="1490" customWidth="1"/>
    <col min="13069" max="13069" width="9.44140625" style="1490" customWidth="1"/>
    <col min="13070" max="13070" width="4" style="1490" customWidth="1"/>
    <col min="13071" max="13073" width="9" style="1490" hidden="1" customWidth="1"/>
    <col min="13074" max="13074" width="4.44140625" style="1490" customWidth="1"/>
    <col min="13075" max="13075" width="1.44140625" style="1490" customWidth="1"/>
    <col min="13076" max="13076" width="4" style="1490" customWidth="1"/>
    <col min="13077" max="13081" width="4.44140625" style="1490" customWidth="1"/>
    <col min="13082" max="13082" width="3.44140625" style="1490" customWidth="1"/>
    <col min="13083" max="13083" width="5.6640625" style="1490" customWidth="1"/>
    <col min="13084" max="13084" width="21" style="1490" customWidth="1"/>
    <col min="13085" max="13085" width="4.6640625" style="1490" customWidth="1"/>
    <col min="13086" max="13086" width="3.88671875" style="1490" customWidth="1"/>
    <col min="13087" max="13088" width="9" style="1490" hidden="1" customWidth="1"/>
    <col min="13089" max="13312" width="8.88671875" style="1490"/>
    <col min="13313" max="13313" width="2.6640625" style="1490" customWidth="1"/>
    <col min="13314" max="13314" width="3.33203125" style="1490" customWidth="1"/>
    <col min="13315" max="13315" width="3.88671875" style="1490" customWidth="1"/>
    <col min="13316" max="13324" width="4.44140625" style="1490" customWidth="1"/>
    <col min="13325" max="13325" width="9.44140625" style="1490" customWidth="1"/>
    <col min="13326" max="13326" width="4" style="1490" customWidth="1"/>
    <col min="13327" max="13329" width="9" style="1490" hidden="1" customWidth="1"/>
    <col min="13330" max="13330" width="4.44140625" style="1490" customWidth="1"/>
    <col min="13331" max="13331" width="1.44140625" style="1490" customWidth="1"/>
    <col min="13332" max="13332" width="4" style="1490" customWidth="1"/>
    <col min="13333" max="13337" width="4.44140625" style="1490" customWidth="1"/>
    <col min="13338" max="13338" width="3.44140625" style="1490" customWidth="1"/>
    <col min="13339" max="13339" width="5.6640625" style="1490" customWidth="1"/>
    <col min="13340" max="13340" width="21" style="1490" customWidth="1"/>
    <col min="13341" max="13341" width="4.6640625" style="1490" customWidth="1"/>
    <col min="13342" max="13342" width="3.88671875" style="1490" customWidth="1"/>
    <col min="13343" max="13344" width="9" style="1490" hidden="1" customWidth="1"/>
    <col min="13345" max="13568" width="8.88671875" style="1490"/>
    <col min="13569" max="13569" width="2.6640625" style="1490" customWidth="1"/>
    <col min="13570" max="13570" width="3.33203125" style="1490" customWidth="1"/>
    <col min="13571" max="13571" width="3.88671875" style="1490" customWidth="1"/>
    <col min="13572" max="13580" width="4.44140625" style="1490" customWidth="1"/>
    <col min="13581" max="13581" width="9.44140625" style="1490" customWidth="1"/>
    <col min="13582" max="13582" width="4" style="1490" customWidth="1"/>
    <col min="13583" max="13585" width="9" style="1490" hidden="1" customWidth="1"/>
    <col min="13586" max="13586" width="4.44140625" style="1490" customWidth="1"/>
    <col min="13587" max="13587" width="1.44140625" style="1490" customWidth="1"/>
    <col min="13588" max="13588" width="4" style="1490" customWidth="1"/>
    <col min="13589" max="13593" width="4.44140625" style="1490" customWidth="1"/>
    <col min="13594" max="13594" width="3.44140625" style="1490" customWidth="1"/>
    <col min="13595" max="13595" width="5.6640625" style="1490" customWidth="1"/>
    <col min="13596" max="13596" width="21" style="1490" customWidth="1"/>
    <col min="13597" max="13597" width="4.6640625" style="1490" customWidth="1"/>
    <col min="13598" max="13598" width="3.88671875" style="1490" customWidth="1"/>
    <col min="13599" max="13600" width="9" style="1490" hidden="1" customWidth="1"/>
    <col min="13601" max="13824" width="8.88671875" style="1490"/>
    <col min="13825" max="13825" width="2.6640625" style="1490" customWidth="1"/>
    <col min="13826" max="13826" width="3.33203125" style="1490" customWidth="1"/>
    <col min="13827" max="13827" width="3.88671875" style="1490" customWidth="1"/>
    <col min="13828" max="13836" width="4.44140625" style="1490" customWidth="1"/>
    <col min="13837" max="13837" width="9.44140625" style="1490" customWidth="1"/>
    <col min="13838" max="13838" width="4" style="1490" customWidth="1"/>
    <col min="13839" max="13841" width="9" style="1490" hidden="1" customWidth="1"/>
    <col min="13842" max="13842" width="4.44140625" style="1490" customWidth="1"/>
    <col min="13843" max="13843" width="1.44140625" style="1490" customWidth="1"/>
    <col min="13844" max="13844" width="4" style="1490" customWidth="1"/>
    <col min="13845" max="13849" width="4.44140625" style="1490" customWidth="1"/>
    <col min="13850" max="13850" width="3.44140625" style="1490" customWidth="1"/>
    <col min="13851" max="13851" width="5.6640625" style="1490" customWidth="1"/>
    <col min="13852" max="13852" width="21" style="1490" customWidth="1"/>
    <col min="13853" max="13853" width="4.6640625" style="1490" customWidth="1"/>
    <col min="13854" max="13854" width="3.88671875" style="1490" customWidth="1"/>
    <col min="13855" max="13856" width="9" style="1490" hidden="1" customWidth="1"/>
    <col min="13857" max="14080" width="8.88671875" style="1490"/>
    <col min="14081" max="14081" width="2.6640625" style="1490" customWidth="1"/>
    <col min="14082" max="14082" width="3.33203125" style="1490" customWidth="1"/>
    <col min="14083" max="14083" width="3.88671875" style="1490" customWidth="1"/>
    <col min="14084" max="14092" width="4.44140625" style="1490" customWidth="1"/>
    <col min="14093" max="14093" width="9.44140625" style="1490" customWidth="1"/>
    <col min="14094" max="14094" width="4" style="1490" customWidth="1"/>
    <col min="14095" max="14097" width="9" style="1490" hidden="1" customWidth="1"/>
    <col min="14098" max="14098" width="4.44140625" style="1490" customWidth="1"/>
    <col min="14099" max="14099" width="1.44140625" style="1490" customWidth="1"/>
    <col min="14100" max="14100" width="4" style="1490" customWidth="1"/>
    <col min="14101" max="14105" width="4.44140625" style="1490" customWidth="1"/>
    <col min="14106" max="14106" width="3.44140625" style="1490" customWidth="1"/>
    <col min="14107" max="14107" width="5.6640625" style="1490" customWidth="1"/>
    <col min="14108" max="14108" width="21" style="1490" customWidth="1"/>
    <col min="14109" max="14109" width="4.6640625" style="1490" customWidth="1"/>
    <col min="14110" max="14110" width="3.88671875" style="1490" customWidth="1"/>
    <col min="14111" max="14112" width="9" style="1490" hidden="1" customWidth="1"/>
    <col min="14113" max="14336" width="8.88671875" style="1490"/>
    <col min="14337" max="14337" width="2.6640625" style="1490" customWidth="1"/>
    <col min="14338" max="14338" width="3.33203125" style="1490" customWidth="1"/>
    <col min="14339" max="14339" width="3.88671875" style="1490" customWidth="1"/>
    <col min="14340" max="14348" width="4.44140625" style="1490" customWidth="1"/>
    <col min="14349" max="14349" width="9.44140625" style="1490" customWidth="1"/>
    <col min="14350" max="14350" width="4" style="1490" customWidth="1"/>
    <col min="14351" max="14353" width="9" style="1490" hidden="1" customWidth="1"/>
    <col min="14354" max="14354" width="4.44140625" style="1490" customWidth="1"/>
    <col min="14355" max="14355" width="1.44140625" style="1490" customWidth="1"/>
    <col min="14356" max="14356" width="4" style="1490" customWidth="1"/>
    <col min="14357" max="14361" width="4.44140625" style="1490" customWidth="1"/>
    <col min="14362" max="14362" width="3.44140625" style="1490" customWidth="1"/>
    <col min="14363" max="14363" width="5.6640625" style="1490" customWidth="1"/>
    <col min="14364" max="14364" width="21" style="1490" customWidth="1"/>
    <col min="14365" max="14365" width="4.6640625" style="1490" customWidth="1"/>
    <col min="14366" max="14366" width="3.88671875" style="1490" customWidth="1"/>
    <col min="14367" max="14368" width="9" style="1490" hidden="1" customWidth="1"/>
    <col min="14369" max="14592" width="8.88671875" style="1490"/>
    <col min="14593" max="14593" width="2.6640625" style="1490" customWidth="1"/>
    <col min="14594" max="14594" width="3.33203125" style="1490" customWidth="1"/>
    <col min="14595" max="14595" width="3.88671875" style="1490" customWidth="1"/>
    <col min="14596" max="14604" width="4.44140625" style="1490" customWidth="1"/>
    <col min="14605" max="14605" width="9.44140625" style="1490" customWidth="1"/>
    <col min="14606" max="14606" width="4" style="1490" customWidth="1"/>
    <col min="14607" max="14609" width="9" style="1490" hidden="1" customWidth="1"/>
    <col min="14610" max="14610" width="4.44140625" style="1490" customWidth="1"/>
    <col min="14611" max="14611" width="1.44140625" style="1490" customWidth="1"/>
    <col min="14612" max="14612" width="4" style="1490" customWidth="1"/>
    <col min="14613" max="14617" width="4.44140625" style="1490" customWidth="1"/>
    <col min="14618" max="14618" width="3.44140625" style="1490" customWidth="1"/>
    <col min="14619" max="14619" width="5.6640625" style="1490" customWidth="1"/>
    <col min="14620" max="14620" width="21" style="1490" customWidth="1"/>
    <col min="14621" max="14621" width="4.6640625" style="1490" customWidth="1"/>
    <col min="14622" max="14622" width="3.88671875" style="1490" customWidth="1"/>
    <col min="14623" max="14624" width="9" style="1490" hidden="1" customWidth="1"/>
    <col min="14625" max="14848" width="8.88671875" style="1490"/>
    <col min="14849" max="14849" width="2.6640625" style="1490" customWidth="1"/>
    <col min="14850" max="14850" width="3.33203125" style="1490" customWidth="1"/>
    <col min="14851" max="14851" width="3.88671875" style="1490" customWidth="1"/>
    <col min="14852" max="14860" width="4.44140625" style="1490" customWidth="1"/>
    <col min="14861" max="14861" width="9.44140625" style="1490" customWidth="1"/>
    <col min="14862" max="14862" width="4" style="1490" customWidth="1"/>
    <col min="14863" max="14865" width="9" style="1490" hidden="1" customWidth="1"/>
    <col min="14866" max="14866" width="4.44140625" style="1490" customWidth="1"/>
    <col min="14867" max="14867" width="1.44140625" style="1490" customWidth="1"/>
    <col min="14868" max="14868" width="4" style="1490" customWidth="1"/>
    <col min="14869" max="14873" width="4.44140625" style="1490" customWidth="1"/>
    <col min="14874" max="14874" width="3.44140625" style="1490" customWidth="1"/>
    <col min="14875" max="14875" width="5.6640625" style="1490" customWidth="1"/>
    <col min="14876" max="14876" width="21" style="1490" customWidth="1"/>
    <col min="14877" max="14877" width="4.6640625" style="1490" customWidth="1"/>
    <col min="14878" max="14878" width="3.88671875" style="1490" customWidth="1"/>
    <col min="14879" max="14880" width="9" style="1490" hidden="1" customWidth="1"/>
    <col min="14881" max="15104" width="8.88671875" style="1490"/>
    <col min="15105" max="15105" width="2.6640625" style="1490" customWidth="1"/>
    <col min="15106" max="15106" width="3.33203125" style="1490" customWidth="1"/>
    <col min="15107" max="15107" width="3.88671875" style="1490" customWidth="1"/>
    <col min="15108" max="15116" width="4.44140625" style="1490" customWidth="1"/>
    <col min="15117" max="15117" width="9.44140625" style="1490" customWidth="1"/>
    <col min="15118" max="15118" width="4" style="1490" customWidth="1"/>
    <col min="15119" max="15121" width="9" style="1490" hidden="1" customWidth="1"/>
    <col min="15122" max="15122" width="4.44140625" style="1490" customWidth="1"/>
    <col min="15123" max="15123" width="1.44140625" style="1490" customWidth="1"/>
    <col min="15124" max="15124" width="4" style="1490" customWidth="1"/>
    <col min="15125" max="15129" width="4.44140625" style="1490" customWidth="1"/>
    <col min="15130" max="15130" width="3.44140625" style="1490" customWidth="1"/>
    <col min="15131" max="15131" width="5.6640625" style="1490" customWidth="1"/>
    <col min="15132" max="15132" width="21" style="1490" customWidth="1"/>
    <col min="15133" max="15133" width="4.6640625" style="1490" customWidth="1"/>
    <col min="15134" max="15134" width="3.88671875" style="1490" customWidth="1"/>
    <col min="15135" max="15136" width="9" style="1490" hidden="1" customWidth="1"/>
    <col min="15137" max="15360" width="8.88671875" style="1490"/>
    <col min="15361" max="15361" width="2.6640625" style="1490" customWidth="1"/>
    <col min="15362" max="15362" width="3.33203125" style="1490" customWidth="1"/>
    <col min="15363" max="15363" width="3.88671875" style="1490" customWidth="1"/>
    <col min="15364" max="15372" width="4.44140625" style="1490" customWidth="1"/>
    <col min="15373" max="15373" width="9.44140625" style="1490" customWidth="1"/>
    <col min="15374" max="15374" width="4" style="1490" customWidth="1"/>
    <col min="15375" max="15377" width="9" style="1490" hidden="1" customWidth="1"/>
    <col min="15378" max="15378" width="4.44140625" style="1490" customWidth="1"/>
    <col min="15379" max="15379" width="1.44140625" style="1490" customWidth="1"/>
    <col min="15380" max="15380" width="4" style="1490" customWidth="1"/>
    <col min="15381" max="15385" width="4.44140625" style="1490" customWidth="1"/>
    <col min="15386" max="15386" width="3.44140625" style="1490" customWidth="1"/>
    <col min="15387" max="15387" width="5.6640625" style="1490" customWidth="1"/>
    <col min="15388" max="15388" width="21" style="1490" customWidth="1"/>
    <col min="15389" max="15389" width="4.6640625" style="1490" customWidth="1"/>
    <col min="15390" max="15390" width="3.88671875" style="1490" customWidth="1"/>
    <col min="15391" max="15392" width="9" style="1490" hidden="1" customWidth="1"/>
    <col min="15393" max="15616" width="8.88671875" style="1490"/>
    <col min="15617" max="15617" width="2.6640625" style="1490" customWidth="1"/>
    <col min="15618" max="15618" width="3.33203125" style="1490" customWidth="1"/>
    <col min="15619" max="15619" width="3.88671875" style="1490" customWidth="1"/>
    <col min="15620" max="15628" width="4.44140625" style="1490" customWidth="1"/>
    <col min="15629" max="15629" width="9.44140625" style="1490" customWidth="1"/>
    <col min="15630" max="15630" width="4" style="1490" customWidth="1"/>
    <col min="15631" max="15633" width="9" style="1490" hidden="1" customWidth="1"/>
    <col min="15634" max="15634" width="4.44140625" style="1490" customWidth="1"/>
    <col min="15635" max="15635" width="1.44140625" style="1490" customWidth="1"/>
    <col min="15636" max="15636" width="4" style="1490" customWidth="1"/>
    <col min="15637" max="15641" width="4.44140625" style="1490" customWidth="1"/>
    <col min="15642" max="15642" width="3.44140625" style="1490" customWidth="1"/>
    <col min="15643" max="15643" width="5.6640625" style="1490" customWidth="1"/>
    <col min="15644" max="15644" width="21" style="1490" customWidth="1"/>
    <col min="15645" max="15645" width="4.6640625" style="1490" customWidth="1"/>
    <col min="15646" max="15646" width="3.88671875" style="1490" customWidth="1"/>
    <col min="15647" max="15648" width="9" style="1490" hidden="1" customWidth="1"/>
    <col min="15649" max="15872" width="8.88671875" style="1490"/>
    <col min="15873" max="15873" width="2.6640625" style="1490" customWidth="1"/>
    <col min="15874" max="15874" width="3.33203125" style="1490" customWidth="1"/>
    <col min="15875" max="15875" width="3.88671875" style="1490" customWidth="1"/>
    <col min="15876" max="15884" width="4.44140625" style="1490" customWidth="1"/>
    <col min="15885" max="15885" width="9.44140625" style="1490" customWidth="1"/>
    <col min="15886" max="15886" width="4" style="1490" customWidth="1"/>
    <col min="15887" max="15889" width="9" style="1490" hidden="1" customWidth="1"/>
    <col min="15890" max="15890" width="4.44140625" style="1490" customWidth="1"/>
    <col min="15891" max="15891" width="1.44140625" style="1490" customWidth="1"/>
    <col min="15892" max="15892" width="4" style="1490" customWidth="1"/>
    <col min="15893" max="15897" width="4.44140625" style="1490" customWidth="1"/>
    <col min="15898" max="15898" width="3.44140625" style="1490" customWidth="1"/>
    <col min="15899" max="15899" width="5.6640625" style="1490" customWidth="1"/>
    <col min="15900" max="15900" width="21" style="1490" customWidth="1"/>
    <col min="15901" max="15901" width="4.6640625" style="1490" customWidth="1"/>
    <col min="15902" max="15902" width="3.88671875" style="1490" customWidth="1"/>
    <col min="15903" max="15904" width="9" style="1490" hidden="1" customWidth="1"/>
    <col min="15905" max="16128" width="8.88671875" style="1490"/>
    <col min="16129" max="16129" width="2.6640625" style="1490" customWidth="1"/>
    <col min="16130" max="16130" width="3.33203125" style="1490" customWidth="1"/>
    <col min="16131" max="16131" width="3.88671875" style="1490" customWidth="1"/>
    <col min="16132" max="16140" width="4.44140625" style="1490" customWidth="1"/>
    <col min="16141" max="16141" width="9.44140625" style="1490" customWidth="1"/>
    <col min="16142" max="16142" width="4" style="1490" customWidth="1"/>
    <col min="16143" max="16145" width="9" style="1490" hidden="1" customWidth="1"/>
    <col min="16146" max="16146" width="4.44140625" style="1490" customWidth="1"/>
    <col min="16147" max="16147" width="1.44140625" style="1490" customWidth="1"/>
    <col min="16148" max="16148" width="4" style="1490" customWidth="1"/>
    <col min="16149" max="16153" width="4.44140625" style="1490" customWidth="1"/>
    <col min="16154" max="16154" width="3.44140625" style="1490" customWidth="1"/>
    <col min="16155" max="16155" width="5.6640625" style="1490" customWidth="1"/>
    <col min="16156" max="16156" width="21" style="1490" customWidth="1"/>
    <col min="16157" max="16157" width="4.6640625" style="1490" customWidth="1"/>
    <col min="16158" max="16158" width="3.88671875" style="1490" customWidth="1"/>
    <col min="16159" max="16160" width="9" style="1490" hidden="1" customWidth="1"/>
    <col min="16161" max="16384" width="8.88671875" style="1490"/>
  </cols>
  <sheetData>
    <row r="1" spans="1:30">
      <c r="A1" s="1491"/>
      <c r="B1" s="1492"/>
      <c r="C1" s="1492"/>
      <c r="D1" s="1492"/>
      <c r="E1" s="1492"/>
      <c r="F1" s="1492"/>
      <c r="G1" s="1492"/>
      <c r="H1" s="1492"/>
      <c r="I1" s="1492"/>
      <c r="J1" s="1492"/>
      <c r="K1" s="1492"/>
      <c r="L1" s="1492"/>
      <c r="M1" s="1492"/>
      <c r="N1" s="1492"/>
      <c r="O1" s="1492"/>
      <c r="P1" s="1492"/>
      <c r="Q1" s="1492"/>
      <c r="R1" s="1492"/>
      <c r="S1" s="1492"/>
      <c r="T1" s="1492"/>
      <c r="U1" s="1492"/>
      <c r="V1" s="1492"/>
      <c r="W1" s="1492"/>
      <c r="X1" s="1492"/>
      <c r="Y1" s="1492"/>
      <c r="Z1" s="1492"/>
      <c r="AA1" s="1492"/>
      <c r="AB1" s="1492"/>
      <c r="AC1" s="1492"/>
      <c r="AD1" s="1522"/>
    </row>
    <row r="2" spans="1:30" ht="13.2">
      <c r="A2" s="3585" t="str">
        <f>'Input Data'!E1</f>
        <v>C/o HLB on R/F Amlikunta to Gundumal of Gundumal Mandal of Narayanept District.</v>
      </c>
      <c r="B2" s="3586"/>
      <c r="C2" s="3586"/>
      <c r="D2" s="3586"/>
      <c r="E2" s="3586"/>
      <c r="F2" s="3586"/>
      <c r="G2" s="3586"/>
      <c r="H2" s="3586"/>
      <c r="I2" s="3586"/>
      <c r="J2" s="3586"/>
      <c r="K2" s="3586"/>
      <c r="L2" s="3586"/>
      <c r="M2" s="3586"/>
      <c r="N2" s="3586"/>
      <c r="O2" s="3586"/>
      <c r="P2" s="3586"/>
      <c r="Q2" s="3586"/>
      <c r="R2" s="3586"/>
      <c r="S2" s="3586"/>
      <c r="T2" s="3586"/>
      <c r="U2" s="3586"/>
      <c r="V2" s="3586"/>
      <c r="W2" s="3586"/>
      <c r="X2" s="3586"/>
      <c r="Y2" s="3586"/>
      <c r="Z2" s="3586"/>
      <c r="AA2" s="3586"/>
      <c r="AB2" s="3586"/>
      <c r="AD2" s="1523"/>
    </row>
    <row r="3" spans="1:30" ht="13.2">
      <c r="A3" s="1493"/>
      <c r="B3" s="1494"/>
      <c r="C3" s="1494"/>
      <c r="D3" s="1494"/>
      <c r="E3" s="1494"/>
      <c r="F3" s="1494"/>
      <c r="G3" s="1494"/>
      <c r="H3" s="1494"/>
      <c r="I3" s="1494"/>
      <c r="J3" s="1494"/>
      <c r="K3" s="1494"/>
      <c r="L3" s="1494"/>
      <c r="M3" s="1494"/>
      <c r="N3" s="1494"/>
      <c r="O3" s="1494"/>
      <c r="P3" s="1494"/>
      <c r="Q3" s="1494"/>
      <c r="R3" s="1494"/>
      <c r="S3" s="1494"/>
      <c r="T3" s="1494"/>
      <c r="U3" s="1494"/>
      <c r="V3" s="1494"/>
      <c r="W3" s="1494"/>
      <c r="X3" s="1494"/>
      <c r="Y3" s="1494"/>
      <c r="Z3" s="1494"/>
      <c r="AD3" s="1523"/>
    </row>
    <row r="4" spans="1:30" ht="15" customHeight="1">
      <c r="A4" s="1495"/>
      <c r="B4" s="3587" t="s">
        <v>744</v>
      </c>
      <c r="C4" s="3587"/>
      <c r="D4" s="3587"/>
      <c r="E4" s="3587"/>
      <c r="F4" s="3587"/>
      <c r="G4" s="3587"/>
      <c r="H4" s="3587"/>
      <c r="I4" s="3587"/>
      <c r="J4" s="3587"/>
      <c r="K4" s="3587"/>
      <c r="L4" s="3587"/>
      <c r="M4" s="3587"/>
      <c r="N4" s="3587"/>
      <c r="O4" s="3587"/>
      <c r="P4" s="3587"/>
      <c r="Q4" s="3587"/>
      <c r="R4" s="3587"/>
      <c r="S4" s="3587"/>
      <c r="T4" s="3587"/>
      <c r="U4" s="3587"/>
      <c r="V4" s="3587"/>
      <c r="W4" s="3587"/>
      <c r="X4" s="3587"/>
      <c r="Y4" s="3587"/>
      <c r="Z4" s="3587"/>
      <c r="AA4" s="3587"/>
      <c r="AB4" s="3587"/>
      <c r="AD4" s="1523"/>
    </row>
    <row r="5" spans="1:30" ht="16.2">
      <c r="A5" s="1495"/>
      <c r="C5" s="1496"/>
      <c r="D5" s="1496"/>
      <c r="E5" s="1496"/>
      <c r="F5" s="1496"/>
      <c r="G5" s="1496"/>
      <c r="H5" s="1496"/>
      <c r="I5" s="1496"/>
      <c r="J5" s="1496"/>
      <c r="K5" s="1496"/>
      <c r="L5" s="1496"/>
      <c r="M5" s="1496"/>
      <c r="AD5" s="1523"/>
    </row>
    <row r="6" spans="1:30">
      <c r="A6" s="1495"/>
      <c r="B6" s="1497"/>
      <c r="L6" s="1498"/>
      <c r="AD6" s="1523"/>
    </row>
    <row r="7" spans="1:30">
      <c r="A7" s="1495"/>
      <c r="D7" s="1498"/>
      <c r="I7" s="1498"/>
      <c r="K7" s="1498"/>
      <c r="M7" s="1498"/>
      <c r="U7" s="1499"/>
      <c r="AD7" s="1523"/>
    </row>
    <row r="8" spans="1:30" ht="12.75" customHeight="1">
      <c r="A8" s="1495"/>
      <c r="AD8" s="1523"/>
    </row>
    <row r="9" spans="1:30" ht="38.4" customHeight="1">
      <c r="A9" s="1495"/>
      <c r="B9" s="1499" t="s">
        <v>745</v>
      </c>
      <c r="D9" s="1499"/>
      <c r="F9" s="1499"/>
      <c r="G9" s="1500" t="s">
        <v>2625</v>
      </c>
      <c r="H9" s="1499"/>
      <c r="I9" s="1499"/>
      <c r="J9" s="2105" t="s">
        <v>2626</v>
      </c>
      <c r="K9" s="1499"/>
      <c r="L9" s="1499"/>
      <c r="M9" s="1499"/>
      <c r="N9" s="1499"/>
      <c r="R9" s="1520"/>
      <c r="U9" s="1499"/>
      <c r="Y9" s="1499" t="s">
        <v>737</v>
      </c>
      <c r="Z9" s="1524"/>
      <c r="AA9" s="1525"/>
      <c r="AD9" s="1523"/>
    </row>
    <row r="10" spans="1:30" ht="9" customHeight="1">
      <c r="A10" s="1495"/>
      <c r="B10" s="1501"/>
      <c r="C10" s="1501"/>
      <c r="D10" s="1501"/>
      <c r="E10" s="1501"/>
      <c r="F10" s="1501"/>
      <c r="G10" s="1501"/>
      <c r="H10" s="1502"/>
      <c r="I10" s="1502"/>
      <c r="M10" s="1525" t="s">
        <v>746</v>
      </c>
      <c r="N10" s="1511"/>
      <c r="Q10" s="1501"/>
      <c r="AA10" s="1525"/>
      <c r="AB10" s="1511"/>
      <c r="AC10" s="1511"/>
      <c r="AD10" s="1526"/>
    </row>
    <row r="11" spans="1:30" ht="13.2">
      <c r="A11" s="1495"/>
      <c r="B11" s="1503"/>
      <c r="C11" s="1503"/>
      <c r="D11" s="1503"/>
      <c r="E11" s="1503"/>
      <c r="F11" s="1503"/>
      <c r="G11" s="1503"/>
      <c r="H11" s="1504" t="s">
        <v>747</v>
      </c>
      <c r="I11" s="1502"/>
      <c r="Q11" s="1503"/>
      <c r="AA11" s="1527"/>
      <c r="AB11" s="1511"/>
      <c r="AC11" s="1511"/>
      <c r="AD11" s="1526"/>
    </row>
    <row r="12" spans="1:30" ht="12" customHeight="1">
      <c r="A12" s="1495"/>
      <c r="B12" s="1503"/>
      <c r="C12" s="1505" t="s">
        <v>749</v>
      </c>
      <c r="D12" s="1503"/>
      <c r="E12" s="1503"/>
      <c r="F12" s="1503"/>
      <c r="G12" s="1503"/>
      <c r="H12" s="1505" t="s">
        <v>748</v>
      </c>
      <c r="I12" s="1503"/>
      <c r="Q12" s="1503"/>
    </row>
    <row r="13" spans="1:30" ht="17.25" hidden="1" customHeight="1">
      <c r="A13" s="1495"/>
      <c r="B13" s="1506"/>
      <c r="C13" s="1521"/>
    </row>
    <row r="14" spans="1:30" ht="14.4" customHeight="1">
      <c r="A14" s="1495"/>
      <c r="B14" s="1507"/>
      <c r="C14" s="1507" t="s">
        <v>751</v>
      </c>
      <c r="D14" s="1508"/>
      <c r="E14" s="1508"/>
      <c r="F14" s="1509"/>
      <c r="G14" s="1509"/>
      <c r="H14" s="3588" t="s">
        <v>750</v>
      </c>
      <c r="I14" s="3588"/>
      <c r="P14" s="3588"/>
      <c r="Q14" s="3588"/>
    </row>
    <row r="15" spans="1:30" ht="10.199999999999999" customHeight="1">
      <c r="A15" s="1495"/>
      <c r="B15" s="1509"/>
      <c r="C15" s="1509"/>
      <c r="D15" s="1509"/>
      <c r="E15" s="1509"/>
      <c r="F15" s="1509"/>
      <c r="G15" s="1509"/>
      <c r="H15" s="1509"/>
      <c r="I15" s="1509"/>
      <c r="Q15" s="1509"/>
    </row>
    <row r="16" spans="1:30" ht="13.2">
      <c r="A16" s="1495"/>
      <c r="B16" s="1510"/>
      <c r="C16" s="1510"/>
      <c r="D16" s="1510"/>
      <c r="E16" s="1510"/>
      <c r="F16" s="1510"/>
      <c r="G16" s="1510"/>
      <c r="H16" s="1510"/>
      <c r="I16" s="1510"/>
      <c r="Q16" s="1510"/>
      <c r="AD16" s="1523"/>
    </row>
    <row r="17" spans="1:30">
      <c r="A17" s="1495"/>
      <c r="B17" s="1490" t="s">
        <v>752</v>
      </c>
      <c r="G17" s="1511"/>
      <c r="H17" s="1511"/>
      <c r="I17" s="1511"/>
      <c r="AD17" s="1523"/>
    </row>
    <row r="18" spans="1:30">
      <c r="A18" s="1495"/>
      <c r="G18" s="1511"/>
      <c r="H18" s="1511"/>
      <c r="I18" s="1511"/>
      <c r="AD18" s="1523"/>
    </row>
    <row r="19" spans="1:30">
      <c r="A19" s="1495"/>
      <c r="G19" s="1511"/>
      <c r="H19" s="1511"/>
      <c r="I19" s="1511"/>
      <c r="AD19" s="1523"/>
    </row>
    <row r="20" spans="1:30" ht="13.2">
      <c r="A20" s="1495"/>
      <c r="B20" s="3583"/>
      <c r="C20" s="3584"/>
      <c r="E20" s="1512" t="s">
        <v>753</v>
      </c>
      <c r="I20" s="1511" t="s">
        <v>754</v>
      </c>
      <c r="J20" s="1511"/>
      <c r="K20" s="1502"/>
      <c r="L20" s="1502"/>
      <c r="M20" s="1490" t="s">
        <v>755</v>
      </c>
      <c r="N20" s="1511"/>
      <c r="AD20" s="1523"/>
    </row>
    <row r="21" spans="1:30">
      <c r="A21" s="1495"/>
      <c r="E21" s="1512"/>
      <c r="I21" s="1511"/>
      <c r="J21" s="1511"/>
      <c r="K21" s="1511"/>
      <c r="N21" s="1511"/>
      <c r="AD21" s="1523"/>
    </row>
    <row r="22" spans="1:30" ht="13.2">
      <c r="A22" s="1495"/>
      <c r="B22" s="1503"/>
      <c r="C22" s="1503"/>
      <c r="E22" s="1512" t="s">
        <v>493</v>
      </c>
      <c r="I22" s="1511" t="s">
        <v>756</v>
      </c>
      <c r="J22" s="1511"/>
      <c r="K22" s="1511"/>
      <c r="N22" s="1511"/>
      <c r="AD22" s="1523"/>
    </row>
    <row r="23" spans="1:30">
      <c r="A23" s="1495"/>
      <c r="E23" s="1512"/>
      <c r="I23" s="1511"/>
      <c r="J23" s="1511"/>
      <c r="K23" s="1511"/>
      <c r="N23" s="1511"/>
      <c r="AD23" s="1523"/>
    </row>
    <row r="24" spans="1:30" ht="13.2">
      <c r="A24" s="1495"/>
      <c r="B24" s="1513"/>
      <c r="C24" s="1514"/>
      <c r="E24" s="1512" t="s">
        <v>757</v>
      </c>
      <c r="I24" s="1511" t="s">
        <v>758</v>
      </c>
      <c r="J24" s="1511"/>
      <c r="K24" s="1511"/>
      <c r="L24" s="1510"/>
      <c r="M24" s="1490" t="s">
        <v>759</v>
      </c>
      <c r="N24" s="1511"/>
      <c r="AD24" s="1523"/>
    </row>
    <row r="25" spans="1:30" ht="13.2" thickBot="1">
      <c r="A25" s="1515"/>
      <c r="B25" s="1516"/>
      <c r="C25" s="1516"/>
      <c r="D25" s="1516"/>
      <c r="E25" s="1516"/>
      <c r="F25" s="1516"/>
      <c r="G25" s="1516"/>
      <c r="H25" s="1516"/>
      <c r="I25" s="1516"/>
      <c r="J25" s="1516"/>
      <c r="K25" s="1516"/>
      <c r="L25" s="1516"/>
      <c r="M25" s="1516"/>
      <c r="N25" s="1516"/>
      <c r="O25" s="1516"/>
      <c r="P25" s="1516"/>
      <c r="Q25" s="1516"/>
      <c r="R25" s="1516"/>
      <c r="S25" s="1516"/>
      <c r="T25" s="1516"/>
      <c r="U25" s="1516"/>
      <c r="V25" s="1516"/>
      <c r="W25" s="1516"/>
      <c r="X25" s="1516"/>
      <c r="Y25" s="1516"/>
      <c r="Z25" s="1516"/>
      <c r="AA25" s="1516"/>
      <c r="AB25" s="1516"/>
      <c r="AC25" s="1516"/>
      <c r="AD25" s="1528"/>
    </row>
    <row r="30" spans="1:30" ht="13.2">
      <c r="F30" s="1517" t="s">
        <v>760</v>
      </c>
      <c r="H30" s="1518"/>
      <c r="I30" s="1518"/>
      <c r="J30" s="1518"/>
      <c r="K30" s="1518"/>
      <c r="L30" s="1517" t="s">
        <v>727</v>
      </c>
      <c r="M30" s="1519"/>
      <c r="V30" s="1517" t="s">
        <v>761</v>
      </c>
      <c r="AB30" s="1517" t="s">
        <v>684</v>
      </c>
    </row>
    <row r="31" spans="1:30" ht="13.2">
      <c r="F31" s="1517" t="s">
        <v>762</v>
      </c>
      <c r="H31" s="1518"/>
      <c r="I31" s="1518"/>
      <c r="J31" s="1518"/>
      <c r="K31" s="1518"/>
      <c r="L31" s="1517" t="s">
        <v>762</v>
      </c>
      <c r="M31" s="1519"/>
      <c r="V31" s="1517" t="s">
        <v>763</v>
      </c>
      <c r="AB31" s="1517" t="s">
        <v>764</v>
      </c>
    </row>
  </sheetData>
  <mergeCells count="5">
    <mergeCell ref="B20:C20"/>
    <mergeCell ref="A2:AB2"/>
    <mergeCell ref="B4:AB4"/>
    <mergeCell ref="H14:I14"/>
    <mergeCell ref="P14:Q14"/>
  </mergeCells>
  <printOptions verticalCentered="1"/>
  <pageMargins left="0.64513888888888904" right="0.25138888888888899" top="0.70416666666666705" bottom="0.180555555555556" header="0.46041666666666697" footer="0.227777777777778"/>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T42"/>
  <sheetViews>
    <sheetView view="pageBreakPreview" workbookViewId="0">
      <selection activeCell="F156" sqref="F156:G156"/>
    </sheetView>
  </sheetViews>
  <sheetFormatPr defaultColWidth="9" defaultRowHeight="13.2"/>
  <cols>
    <col min="1" max="1" width="22.6640625" style="1427" customWidth="1"/>
    <col min="2" max="2" width="12.33203125" style="1427" customWidth="1"/>
    <col min="3" max="3" width="10.6640625" style="1427" customWidth="1"/>
    <col min="4" max="4" width="7.6640625" style="1427" customWidth="1"/>
    <col min="5" max="5" width="11.109375" style="1427" customWidth="1"/>
    <col min="6" max="6" width="10.6640625" style="1427" customWidth="1"/>
    <col min="7" max="7" width="10.109375" style="1427" customWidth="1"/>
    <col min="8" max="8" width="11.33203125" style="1427" customWidth="1"/>
    <col min="9" max="9" width="14.44140625" style="1428" customWidth="1"/>
    <col min="10" max="10" width="8.88671875" style="1427" customWidth="1"/>
    <col min="11" max="12" width="9.33203125" style="1427" customWidth="1"/>
    <col min="13" max="13" width="9" style="1427" customWidth="1"/>
    <col min="14" max="15" width="9.109375" style="1427"/>
    <col min="16" max="16" width="8.88671875" style="1427" customWidth="1"/>
    <col min="17" max="256" width="9.109375" style="1427"/>
    <col min="257" max="257" width="22.6640625" style="1427" customWidth="1"/>
    <col min="258" max="258" width="12.33203125" style="1427" customWidth="1"/>
    <col min="259" max="259" width="10.6640625" style="1427" customWidth="1"/>
    <col min="260" max="260" width="7.6640625" style="1427" customWidth="1"/>
    <col min="261" max="261" width="11.109375" style="1427" customWidth="1"/>
    <col min="262" max="262" width="10.6640625" style="1427" customWidth="1"/>
    <col min="263" max="263" width="10.109375" style="1427" customWidth="1"/>
    <col min="264" max="264" width="11.33203125" style="1427" customWidth="1"/>
    <col min="265" max="265" width="14.44140625" style="1427" customWidth="1"/>
    <col min="266" max="266" width="8.88671875" style="1427" customWidth="1"/>
    <col min="267" max="268" width="9.33203125" style="1427" customWidth="1"/>
    <col min="269" max="269" width="9" style="1427" customWidth="1"/>
    <col min="270" max="512" width="9.109375" style="1427"/>
    <col min="513" max="513" width="22.6640625" style="1427" customWidth="1"/>
    <col min="514" max="514" width="12.33203125" style="1427" customWidth="1"/>
    <col min="515" max="515" width="10.6640625" style="1427" customWidth="1"/>
    <col min="516" max="516" width="7.6640625" style="1427" customWidth="1"/>
    <col min="517" max="517" width="11.109375" style="1427" customWidth="1"/>
    <col min="518" max="518" width="10.6640625" style="1427" customWidth="1"/>
    <col min="519" max="519" width="10.109375" style="1427" customWidth="1"/>
    <col min="520" max="520" width="11.33203125" style="1427" customWidth="1"/>
    <col min="521" max="521" width="14.44140625" style="1427" customWidth="1"/>
    <col min="522" max="522" width="8.88671875" style="1427" customWidth="1"/>
    <col min="523" max="524" width="9.33203125" style="1427" customWidth="1"/>
    <col min="525" max="525" width="9" style="1427" customWidth="1"/>
    <col min="526" max="768" width="9.109375" style="1427"/>
    <col min="769" max="769" width="22.6640625" style="1427" customWidth="1"/>
    <col min="770" max="770" width="12.33203125" style="1427" customWidth="1"/>
    <col min="771" max="771" width="10.6640625" style="1427" customWidth="1"/>
    <col min="772" max="772" width="7.6640625" style="1427" customWidth="1"/>
    <col min="773" max="773" width="11.109375" style="1427" customWidth="1"/>
    <col min="774" max="774" width="10.6640625" style="1427" customWidth="1"/>
    <col min="775" max="775" width="10.109375" style="1427" customWidth="1"/>
    <col min="776" max="776" width="11.33203125" style="1427" customWidth="1"/>
    <col min="777" max="777" width="14.44140625" style="1427" customWidth="1"/>
    <col min="778" max="778" width="8.88671875" style="1427" customWidth="1"/>
    <col min="779" max="780" width="9.33203125" style="1427" customWidth="1"/>
    <col min="781" max="781" width="9" style="1427" customWidth="1"/>
    <col min="782" max="1024" width="9.109375" style="1427"/>
    <col min="1025" max="1025" width="22.6640625" style="1427" customWidth="1"/>
    <col min="1026" max="1026" width="12.33203125" style="1427" customWidth="1"/>
    <col min="1027" max="1027" width="10.6640625" style="1427" customWidth="1"/>
    <col min="1028" max="1028" width="7.6640625" style="1427" customWidth="1"/>
    <col min="1029" max="1029" width="11.109375" style="1427" customWidth="1"/>
    <col min="1030" max="1030" width="10.6640625" style="1427" customWidth="1"/>
    <col min="1031" max="1031" width="10.109375" style="1427" customWidth="1"/>
    <col min="1032" max="1032" width="11.33203125" style="1427" customWidth="1"/>
    <col min="1033" max="1033" width="14.44140625" style="1427" customWidth="1"/>
    <col min="1034" max="1034" width="8.88671875" style="1427" customWidth="1"/>
    <col min="1035" max="1036" width="9.33203125" style="1427" customWidth="1"/>
    <col min="1037" max="1037" width="9" style="1427" customWidth="1"/>
    <col min="1038" max="1280" width="9.109375" style="1427"/>
    <col min="1281" max="1281" width="22.6640625" style="1427" customWidth="1"/>
    <col min="1282" max="1282" width="12.33203125" style="1427" customWidth="1"/>
    <col min="1283" max="1283" width="10.6640625" style="1427" customWidth="1"/>
    <col min="1284" max="1284" width="7.6640625" style="1427" customWidth="1"/>
    <col min="1285" max="1285" width="11.109375" style="1427" customWidth="1"/>
    <col min="1286" max="1286" width="10.6640625" style="1427" customWidth="1"/>
    <col min="1287" max="1287" width="10.109375" style="1427" customWidth="1"/>
    <col min="1288" max="1288" width="11.33203125" style="1427" customWidth="1"/>
    <col min="1289" max="1289" width="14.44140625" style="1427" customWidth="1"/>
    <col min="1290" max="1290" width="8.88671875" style="1427" customWidth="1"/>
    <col min="1291" max="1292" width="9.33203125" style="1427" customWidth="1"/>
    <col min="1293" max="1293" width="9" style="1427" customWidth="1"/>
    <col min="1294" max="1536" width="9.109375" style="1427"/>
    <col min="1537" max="1537" width="22.6640625" style="1427" customWidth="1"/>
    <col min="1538" max="1538" width="12.33203125" style="1427" customWidth="1"/>
    <col min="1539" max="1539" width="10.6640625" style="1427" customWidth="1"/>
    <col min="1540" max="1540" width="7.6640625" style="1427" customWidth="1"/>
    <col min="1541" max="1541" width="11.109375" style="1427" customWidth="1"/>
    <col min="1542" max="1542" width="10.6640625" style="1427" customWidth="1"/>
    <col min="1543" max="1543" width="10.109375" style="1427" customWidth="1"/>
    <col min="1544" max="1544" width="11.33203125" style="1427" customWidth="1"/>
    <col min="1545" max="1545" width="14.44140625" style="1427" customWidth="1"/>
    <col min="1546" max="1546" width="8.88671875" style="1427" customWidth="1"/>
    <col min="1547" max="1548" width="9.33203125" style="1427" customWidth="1"/>
    <col min="1549" max="1549" width="9" style="1427" customWidth="1"/>
    <col min="1550" max="1792" width="9.109375" style="1427"/>
    <col min="1793" max="1793" width="22.6640625" style="1427" customWidth="1"/>
    <col min="1794" max="1794" width="12.33203125" style="1427" customWidth="1"/>
    <col min="1795" max="1795" width="10.6640625" style="1427" customWidth="1"/>
    <col min="1796" max="1796" width="7.6640625" style="1427" customWidth="1"/>
    <col min="1797" max="1797" width="11.109375" style="1427" customWidth="1"/>
    <col min="1798" max="1798" width="10.6640625" style="1427" customWidth="1"/>
    <col min="1799" max="1799" width="10.109375" style="1427" customWidth="1"/>
    <col min="1800" max="1800" width="11.33203125" style="1427" customWidth="1"/>
    <col min="1801" max="1801" width="14.44140625" style="1427" customWidth="1"/>
    <col min="1802" max="1802" width="8.88671875" style="1427" customWidth="1"/>
    <col min="1803" max="1804" width="9.33203125" style="1427" customWidth="1"/>
    <col min="1805" max="1805" width="9" style="1427" customWidth="1"/>
    <col min="1806" max="2048" width="9.109375" style="1427"/>
    <col min="2049" max="2049" width="22.6640625" style="1427" customWidth="1"/>
    <col min="2050" max="2050" width="12.33203125" style="1427" customWidth="1"/>
    <col min="2051" max="2051" width="10.6640625" style="1427" customWidth="1"/>
    <col min="2052" max="2052" width="7.6640625" style="1427" customWidth="1"/>
    <col min="2053" max="2053" width="11.109375" style="1427" customWidth="1"/>
    <col min="2054" max="2054" width="10.6640625" style="1427" customWidth="1"/>
    <col min="2055" max="2055" width="10.109375" style="1427" customWidth="1"/>
    <col min="2056" max="2056" width="11.33203125" style="1427" customWidth="1"/>
    <col min="2057" max="2057" width="14.44140625" style="1427" customWidth="1"/>
    <col min="2058" max="2058" width="8.88671875" style="1427" customWidth="1"/>
    <col min="2059" max="2060" width="9.33203125" style="1427" customWidth="1"/>
    <col min="2061" max="2061" width="9" style="1427" customWidth="1"/>
    <col min="2062" max="2304" width="9.109375" style="1427"/>
    <col min="2305" max="2305" width="22.6640625" style="1427" customWidth="1"/>
    <col min="2306" max="2306" width="12.33203125" style="1427" customWidth="1"/>
    <col min="2307" max="2307" width="10.6640625" style="1427" customWidth="1"/>
    <col min="2308" max="2308" width="7.6640625" style="1427" customWidth="1"/>
    <col min="2309" max="2309" width="11.109375" style="1427" customWidth="1"/>
    <col min="2310" max="2310" width="10.6640625" style="1427" customWidth="1"/>
    <col min="2311" max="2311" width="10.109375" style="1427" customWidth="1"/>
    <col min="2312" max="2312" width="11.33203125" style="1427" customWidth="1"/>
    <col min="2313" max="2313" width="14.44140625" style="1427" customWidth="1"/>
    <col min="2314" max="2314" width="8.88671875" style="1427" customWidth="1"/>
    <col min="2315" max="2316" width="9.33203125" style="1427" customWidth="1"/>
    <col min="2317" max="2317" width="9" style="1427" customWidth="1"/>
    <col min="2318" max="2560" width="9.109375" style="1427"/>
    <col min="2561" max="2561" width="22.6640625" style="1427" customWidth="1"/>
    <col min="2562" max="2562" width="12.33203125" style="1427" customWidth="1"/>
    <col min="2563" max="2563" width="10.6640625" style="1427" customWidth="1"/>
    <col min="2564" max="2564" width="7.6640625" style="1427" customWidth="1"/>
    <col min="2565" max="2565" width="11.109375" style="1427" customWidth="1"/>
    <col min="2566" max="2566" width="10.6640625" style="1427" customWidth="1"/>
    <col min="2567" max="2567" width="10.109375" style="1427" customWidth="1"/>
    <col min="2568" max="2568" width="11.33203125" style="1427" customWidth="1"/>
    <col min="2569" max="2569" width="14.44140625" style="1427" customWidth="1"/>
    <col min="2570" max="2570" width="8.88671875" style="1427" customWidth="1"/>
    <col min="2571" max="2572" width="9.33203125" style="1427" customWidth="1"/>
    <col min="2573" max="2573" width="9" style="1427" customWidth="1"/>
    <col min="2574" max="2816" width="9.109375" style="1427"/>
    <col min="2817" max="2817" width="22.6640625" style="1427" customWidth="1"/>
    <col min="2818" max="2818" width="12.33203125" style="1427" customWidth="1"/>
    <col min="2819" max="2819" width="10.6640625" style="1427" customWidth="1"/>
    <col min="2820" max="2820" width="7.6640625" style="1427" customWidth="1"/>
    <col min="2821" max="2821" width="11.109375" style="1427" customWidth="1"/>
    <col min="2822" max="2822" width="10.6640625" style="1427" customWidth="1"/>
    <col min="2823" max="2823" width="10.109375" style="1427" customWidth="1"/>
    <col min="2824" max="2824" width="11.33203125" style="1427" customWidth="1"/>
    <col min="2825" max="2825" width="14.44140625" style="1427" customWidth="1"/>
    <col min="2826" max="2826" width="8.88671875" style="1427" customWidth="1"/>
    <col min="2827" max="2828" width="9.33203125" style="1427" customWidth="1"/>
    <col min="2829" max="2829" width="9" style="1427" customWidth="1"/>
    <col min="2830" max="3072" width="9.109375" style="1427"/>
    <col min="3073" max="3073" width="22.6640625" style="1427" customWidth="1"/>
    <col min="3074" max="3074" width="12.33203125" style="1427" customWidth="1"/>
    <col min="3075" max="3075" width="10.6640625" style="1427" customWidth="1"/>
    <col min="3076" max="3076" width="7.6640625" style="1427" customWidth="1"/>
    <col min="3077" max="3077" width="11.109375" style="1427" customWidth="1"/>
    <col min="3078" max="3078" width="10.6640625" style="1427" customWidth="1"/>
    <col min="3079" max="3079" width="10.109375" style="1427" customWidth="1"/>
    <col min="3080" max="3080" width="11.33203125" style="1427" customWidth="1"/>
    <col min="3081" max="3081" width="14.44140625" style="1427" customWidth="1"/>
    <col min="3082" max="3082" width="8.88671875" style="1427" customWidth="1"/>
    <col min="3083" max="3084" width="9.33203125" style="1427" customWidth="1"/>
    <col min="3085" max="3085" width="9" style="1427" customWidth="1"/>
    <col min="3086" max="3328" width="9.109375" style="1427"/>
    <col min="3329" max="3329" width="22.6640625" style="1427" customWidth="1"/>
    <col min="3330" max="3330" width="12.33203125" style="1427" customWidth="1"/>
    <col min="3331" max="3331" width="10.6640625" style="1427" customWidth="1"/>
    <col min="3332" max="3332" width="7.6640625" style="1427" customWidth="1"/>
    <col min="3333" max="3333" width="11.109375" style="1427" customWidth="1"/>
    <col min="3334" max="3334" width="10.6640625" style="1427" customWidth="1"/>
    <col min="3335" max="3335" width="10.109375" style="1427" customWidth="1"/>
    <col min="3336" max="3336" width="11.33203125" style="1427" customWidth="1"/>
    <col min="3337" max="3337" width="14.44140625" style="1427" customWidth="1"/>
    <col min="3338" max="3338" width="8.88671875" style="1427" customWidth="1"/>
    <col min="3339" max="3340" width="9.33203125" style="1427" customWidth="1"/>
    <col min="3341" max="3341" width="9" style="1427" customWidth="1"/>
    <col min="3342" max="3584" width="9.109375" style="1427"/>
    <col min="3585" max="3585" width="22.6640625" style="1427" customWidth="1"/>
    <col min="3586" max="3586" width="12.33203125" style="1427" customWidth="1"/>
    <col min="3587" max="3587" width="10.6640625" style="1427" customWidth="1"/>
    <col min="3588" max="3588" width="7.6640625" style="1427" customWidth="1"/>
    <col min="3589" max="3589" width="11.109375" style="1427" customWidth="1"/>
    <col min="3590" max="3590" width="10.6640625" style="1427" customWidth="1"/>
    <col min="3591" max="3591" width="10.109375" style="1427" customWidth="1"/>
    <col min="3592" max="3592" width="11.33203125" style="1427" customWidth="1"/>
    <col min="3593" max="3593" width="14.44140625" style="1427" customWidth="1"/>
    <col min="3594" max="3594" width="8.88671875" style="1427" customWidth="1"/>
    <col min="3595" max="3596" width="9.33203125" style="1427" customWidth="1"/>
    <col min="3597" max="3597" width="9" style="1427" customWidth="1"/>
    <col min="3598" max="3840" width="9.109375" style="1427"/>
    <col min="3841" max="3841" width="22.6640625" style="1427" customWidth="1"/>
    <col min="3842" max="3842" width="12.33203125" style="1427" customWidth="1"/>
    <col min="3843" max="3843" width="10.6640625" style="1427" customWidth="1"/>
    <col min="3844" max="3844" width="7.6640625" style="1427" customWidth="1"/>
    <col min="3845" max="3845" width="11.109375" style="1427" customWidth="1"/>
    <col min="3846" max="3846" width="10.6640625" style="1427" customWidth="1"/>
    <col min="3847" max="3847" width="10.109375" style="1427" customWidth="1"/>
    <col min="3848" max="3848" width="11.33203125" style="1427" customWidth="1"/>
    <col min="3849" max="3849" width="14.44140625" style="1427" customWidth="1"/>
    <col min="3850" max="3850" width="8.88671875" style="1427" customWidth="1"/>
    <col min="3851" max="3852" width="9.33203125" style="1427" customWidth="1"/>
    <col min="3853" max="3853" width="9" style="1427" customWidth="1"/>
    <col min="3854" max="4096" width="9.109375" style="1427"/>
    <col min="4097" max="4097" width="22.6640625" style="1427" customWidth="1"/>
    <col min="4098" max="4098" width="12.33203125" style="1427" customWidth="1"/>
    <col min="4099" max="4099" width="10.6640625" style="1427" customWidth="1"/>
    <col min="4100" max="4100" width="7.6640625" style="1427" customWidth="1"/>
    <col min="4101" max="4101" width="11.109375" style="1427" customWidth="1"/>
    <col min="4102" max="4102" width="10.6640625" style="1427" customWidth="1"/>
    <col min="4103" max="4103" width="10.109375" style="1427" customWidth="1"/>
    <col min="4104" max="4104" width="11.33203125" style="1427" customWidth="1"/>
    <col min="4105" max="4105" width="14.44140625" style="1427" customWidth="1"/>
    <col min="4106" max="4106" width="8.88671875" style="1427" customWidth="1"/>
    <col min="4107" max="4108" width="9.33203125" style="1427" customWidth="1"/>
    <col min="4109" max="4109" width="9" style="1427" customWidth="1"/>
    <col min="4110" max="4352" width="9.109375" style="1427"/>
    <col min="4353" max="4353" width="22.6640625" style="1427" customWidth="1"/>
    <col min="4354" max="4354" width="12.33203125" style="1427" customWidth="1"/>
    <col min="4355" max="4355" width="10.6640625" style="1427" customWidth="1"/>
    <col min="4356" max="4356" width="7.6640625" style="1427" customWidth="1"/>
    <col min="4357" max="4357" width="11.109375" style="1427" customWidth="1"/>
    <col min="4358" max="4358" width="10.6640625" style="1427" customWidth="1"/>
    <col min="4359" max="4359" width="10.109375" style="1427" customWidth="1"/>
    <col min="4360" max="4360" width="11.33203125" style="1427" customWidth="1"/>
    <col min="4361" max="4361" width="14.44140625" style="1427" customWidth="1"/>
    <col min="4362" max="4362" width="8.88671875" style="1427" customWidth="1"/>
    <col min="4363" max="4364" width="9.33203125" style="1427" customWidth="1"/>
    <col min="4365" max="4365" width="9" style="1427" customWidth="1"/>
    <col min="4366" max="4608" width="9.109375" style="1427"/>
    <col min="4609" max="4609" width="22.6640625" style="1427" customWidth="1"/>
    <col min="4610" max="4610" width="12.33203125" style="1427" customWidth="1"/>
    <col min="4611" max="4611" width="10.6640625" style="1427" customWidth="1"/>
    <col min="4612" max="4612" width="7.6640625" style="1427" customWidth="1"/>
    <col min="4613" max="4613" width="11.109375" style="1427" customWidth="1"/>
    <col min="4614" max="4614" width="10.6640625" style="1427" customWidth="1"/>
    <col min="4615" max="4615" width="10.109375" style="1427" customWidth="1"/>
    <col min="4616" max="4616" width="11.33203125" style="1427" customWidth="1"/>
    <col min="4617" max="4617" width="14.44140625" style="1427" customWidth="1"/>
    <col min="4618" max="4618" width="8.88671875" style="1427" customWidth="1"/>
    <col min="4619" max="4620" width="9.33203125" style="1427" customWidth="1"/>
    <col min="4621" max="4621" width="9" style="1427" customWidth="1"/>
    <col min="4622" max="4864" width="9.109375" style="1427"/>
    <col min="4865" max="4865" width="22.6640625" style="1427" customWidth="1"/>
    <col min="4866" max="4866" width="12.33203125" style="1427" customWidth="1"/>
    <col min="4867" max="4867" width="10.6640625" style="1427" customWidth="1"/>
    <col min="4868" max="4868" width="7.6640625" style="1427" customWidth="1"/>
    <col min="4869" max="4869" width="11.109375" style="1427" customWidth="1"/>
    <col min="4870" max="4870" width="10.6640625" style="1427" customWidth="1"/>
    <col min="4871" max="4871" width="10.109375" style="1427" customWidth="1"/>
    <col min="4872" max="4872" width="11.33203125" style="1427" customWidth="1"/>
    <col min="4873" max="4873" width="14.44140625" style="1427" customWidth="1"/>
    <col min="4874" max="4874" width="8.88671875" style="1427" customWidth="1"/>
    <col min="4875" max="4876" width="9.33203125" style="1427" customWidth="1"/>
    <col min="4877" max="4877" width="9" style="1427" customWidth="1"/>
    <col min="4878" max="5120" width="9.109375" style="1427"/>
    <col min="5121" max="5121" width="22.6640625" style="1427" customWidth="1"/>
    <col min="5122" max="5122" width="12.33203125" style="1427" customWidth="1"/>
    <col min="5123" max="5123" width="10.6640625" style="1427" customWidth="1"/>
    <col min="5124" max="5124" width="7.6640625" style="1427" customWidth="1"/>
    <col min="5125" max="5125" width="11.109375" style="1427" customWidth="1"/>
    <col min="5126" max="5126" width="10.6640625" style="1427" customWidth="1"/>
    <col min="5127" max="5127" width="10.109375" style="1427" customWidth="1"/>
    <col min="5128" max="5128" width="11.33203125" style="1427" customWidth="1"/>
    <col min="5129" max="5129" width="14.44140625" style="1427" customWidth="1"/>
    <col min="5130" max="5130" width="8.88671875" style="1427" customWidth="1"/>
    <col min="5131" max="5132" width="9.33203125" style="1427" customWidth="1"/>
    <col min="5133" max="5133" width="9" style="1427" customWidth="1"/>
    <col min="5134" max="5376" width="9.109375" style="1427"/>
    <col min="5377" max="5377" width="22.6640625" style="1427" customWidth="1"/>
    <col min="5378" max="5378" width="12.33203125" style="1427" customWidth="1"/>
    <col min="5379" max="5379" width="10.6640625" style="1427" customWidth="1"/>
    <col min="5380" max="5380" width="7.6640625" style="1427" customWidth="1"/>
    <col min="5381" max="5381" width="11.109375" style="1427" customWidth="1"/>
    <col min="5382" max="5382" width="10.6640625" style="1427" customWidth="1"/>
    <col min="5383" max="5383" width="10.109375" style="1427" customWidth="1"/>
    <col min="5384" max="5384" width="11.33203125" style="1427" customWidth="1"/>
    <col min="5385" max="5385" width="14.44140625" style="1427" customWidth="1"/>
    <col min="5386" max="5386" width="8.88671875" style="1427" customWidth="1"/>
    <col min="5387" max="5388" width="9.33203125" style="1427" customWidth="1"/>
    <col min="5389" max="5389" width="9" style="1427" customWidth="1"/>
    <col min="5390" max="5632" width="9.109375" style="1427"/>
    <col min="5633" max="5633" width="22.6640625" style="1427" customWidth="1"/>
    <col min="5634" max="5634" width="12.33203125" style="1427" customWidth="1"/>
    <col min="5635" max="5635" width="10.6640625" style="1427" customWidth="1"/>
    <col min="5636" max="5636" width="7.6640625" style="1427" customWidth="1"/>
    <col min="5637" max="5637" width="11.109375" style="1427" customWidth="1"/>
    <col min="5638" max="5638" width="10.6640625" style="1427" customWidth="1"/>
    <col min="5639" max="5639" width="10.109375" style="1427" customWidth="1"/>
    <col min="5640" max="5640" width="11.33203125" style="1427" customWidth="1"/>
    <col min="5641" max="5641" width="14.44140625" style="1427" customWidth="1"/>
    <col min="5642" max="5642" width="8.88671875" style="1427" customWidth="1"/>
    <col min="5643" max="5644" width="9.33203125" style="1427" customWidth="1"/>
    <col min="5645" max="5645" width="9" style="1427" customWidth="1"/>
    <col min="5646" max="5888" width="9.109375" style="1427"/>
    <col min="5889" max="5889" width="22.6640625" style="1427" customWidth="1"/>
    <col min="5890" max="5890" width="12.33203125" style="1427" customWidth="1"/>
    <col min="5891" max="5891" width="10.6640625" style="1427" customWidth="1"/>
    <col min="5892" max="5892" width="7.6640625" style="1427" customWidth="1"/>
    <col min="5893" max="5893" width="11.109375" style="1427" customWidth="1"/>
    <col min="5894" max="5894" width="10.6640625" style="1427" customWidth="1"/>
    <col min="5895" max="5895" width="10.109375" style="1427" customWidth="1"/>
    <col min="5896" max="5896" width="11.33203125" style="1427" customWidth="1"/>
    <col min="5897" max="5897" width="14.44140625" style="1427" customWidth="1"/>
    <col min="5898" max="5898" width="8.88671875" style="1427" customWidth="1"/>
    <col min="5899" max="5900" width="9.33203125" style="1427" customWidth="1"/>
    <col min="5901" max="5901" width="9" style="1427" customWidth="1"/>
    <col min="5902" max="6144" width="9.109375" style="1427"/>
    <col min="6145" max="6145" width="22.6640625" style="1427" customWidth="1"/>
    <col min="6146" max="6146" width="12.33203125" style="1427" customWidth="1"/>
    <col min="6147" max="6147" width="10.6640625" style="1427" customWidth="1"/>
    <col min="6148" max="6148" width="7.6640625" style="1427" customWidth="1"/>
    <col min="6149" max="6149" width="11.109375" style="1427" customWidth="1"/>
    <col min="6150" max="6150" width="10.6640625" style="1427" customWidth="1"/>
    <col min="6151" max="6151" width="10.109375" style="1427" customWidth="1"/>
    <col min="6152" max="6152" width="11.33203125" style="1427" customWidth="1"/>
    <col min="6153" max="6153" width="14.44140625" style="1427" customWidth="1"/>
    <col min="6154" max="6154" width="8.88671875" style="1427" customWidth="1"/>
    <col min="6155" max="6156" width="9.33203125" style="1427" customWidth="1"/>
    <col min="6157" max="6157" width="9" style="1427" customWidth="1"/>
    <col min="6158" max="6400" width="9.109375" style="1427"/>
    <col min="6401" max="6401" width="22.6640625" style="1427" customWidth="1"/>
    <col min="6402" max="6402" width="12.33203125" style="1427" customWidth="1"/>
    <col min="6403" max="6403" width="10.6640625" style="1427" customWidth="1"/>
    <col min="6404" max="6404" width="7.6640625" style="1427" customWidth="1"/>
    <col min="6405" max="6405" width="11.109375" style="1427" customWidth="1"/>
    <col min="6406" max="6406" width="10.6640625" style="1427" customWidth="1"/>
    <col min="6407" max="6407" width="10.109375" style="1427" customWidth="1"/>
    <col min="6408" max="6408" width="11.33203125" style="1427" customWidth="1"/>
    <col min="6409" max="6409" width="14.44140625" style="1427" customWidth="1"/>
    <col min="6410" max="6410" width="8.88671875" style="1427" customWidth="1"/>
    <col min="6411" max="6412" width="9.33203125" style="1427" customWidth="1"/>
    <col min="6413" max="6413" width="9" style="1427" customWidth="1"/>
    <col min="6414" max="6656" width="9.109375" style="1427"/>
    <col min="6657" max="6657" width="22.6640625" style="1427" customWidth="1"/>
    <col min="6658" max="6658" width="12.33203125" style="1427" customWidth="1"/>
    <col min="6659" max="6659" width="10.6640625" style="1427" customWidth="1"/>
    <col min="6660" max="6660" width="7.6640625" style="1427" customWidth="1"/>
    <col min="6661" max="6661" width="11.109375" style="1427" customWidth="1"/>
    <col min="6662" max="6662" width="10.6640625" style="1427" customWidth="1"/>
    <col min="6663" max="6663" width="10.109375" style="1427" customWidth="1"/>
    <col min="6664" max="6664" width="11.33203125" style="1427" customWidth="1"/>
    <col min="6665" max="6665" width="14.44140625" style="1427" customWidth="1"/>
    <col min="6666" max="6666" width="8.88671875" style="1427" customWidth="1"/>
    <col min="6667" max="6668" width="9.33203125" style="1427" customWidth="1"/>
    <col min="6669" max="6669" width="9" style="1427" customWidth="1"/>
    <col min="6670" max="6912" width="9.109375" style="1427"/>
    <col min="6913" max="6913" width="22.6640625" style="1427" customWidth="1"/>
    <col min="6914" max="6914" width="12.33203125" style="1427" customWidth="1"/>
    <col min="6915" max="6915" width="10.6640625" style="1427" customWidth="1"/>
    <col min="6916" max="6916" width="7.6640625" style="1427" customWidth="1"/>
    <col min="6917" max="6917" width="11.109375" style="1427" customWidth="1"/>
    <col min="6918" max="6918" width="10.6640625" style="1427" customWidth="1"/>
    <col min="6919" max="6919" width="10.109375" style="1427" customWidth="1"/>
    <col min="6920" max="6920" width="11.33203125" style="1427" customWidth="1"/>
    <col min="6921" max="6921" width="14.44140625" style="1427" customWidth="1"/>
    <col min="6922" max="6922" width="8.88671875" style="1427" customWidth="1"/>
    <col min="6923" max="6924" width="9.33203125" style="1427" customWidth="1"/>
    <col min="6925" max="6925" width="9" style="1427" customWidth="1"/>
    <col min="6926" max="7168" width="9.109375" style="1427"/>
    <col min="7169" max="7169" width="22.6640625" style="1427" customWidth="1"/>
    <col min="7170" max="7170" width="12.33203125" style="1427" customWidth="1"/>
    <col min="7171" max="7171" width="10.6640625" style="1427" customWidth="1"/>
    <col min="7172" max="7172" width="7.6640625" style="1427" customWidth="1"/>
    <col min="7173" max="7173" width="11.109375" style="1427" customWidth="1"/>
    <col min="7174" max="7174" width="10.6640625" style="1427" customWidth="1"/>
    <col min="7175" max="7175" width="10.109375" style="1427" customWidth="1"/>
    <col min="7176" max="7176" width="11.33203125" style="1427" customWidth="1"/>
    <col min="7177" max="7177" width="14.44140625" style="1427" customWidth="1"/>
    <col min="7178" max="7178" width="8.88671875" style="1427" customWidth="1"/>
    <col min="7179" max="7180" width="9.33203125" style="1427" customWidth="1"/>
    <col min="7181" max="7181" width="9" style="1427" customWidth="1"/>
    <col min="7182" max="7424" width="9.109375" style="1427"/>
    <col min="7425" max="7425" width="22.6640625" style="1427" customWidth="1"/>
    <col min="7426" max="7426" width="12.33203125" style="1427" customWidth="1"/>
    <col min="7427" max="7427" width="10.6640625" style="1427" customWidth="1"/>
    <col min="7428" max="7428" width="7.6640625" style="1427" customWidth="1"/>
    <col min="7429" max="7429" width="11.109375" style="1427" customWidth="1"/>
    <col min="7430" max="7430" width="10.6640625" style="1427" customWidth="1"/>
    <col min="7431" max="7431" width="10.109375" style="1427" customWidth="1"/>
    <col min="7432" max="7432" width="11.33203125" style="1427" customWidth="1"/>
    <col min="7433" max="7433" width="14.44140625" style="1427" customWidth="1"/>
    <col min="7434" max="7434" width="8.88671875" style="1427" customWidth="1"/>
    <col min="7435" max="7436" width="9.33203125" style="1427" customWidth="1"/>
    <col min="7437" max="7437" width="9" style="1427" customWidth="1"/>
    <col min="7438" max="7680" width="9.109375" style="1427"/>
    <col min="7681" max="7681" width="22.6640625" style="1427" customWidth="1"/>
    <col min="7682" max="7682" width="12.33203125" style="1427" customWidth="1"/>
    <col min="7683" max="7683" width="10.6640625" style="1427" customWidth="1"/>
    <col min="7684" max="7684" width="7.6640625" style="1427" customWidth="1"/>
    <col min="7685" max="7685" width="11.109375" style="1427" customWidth="1"/>
    <col min="7686" max="7686" width="10.6640625" style="1427" customWidth="1"/>
    <col min="7687" max="7687" width="10.109375" style="1427" customWidth="1"/>
    <col min="7688" max="7688" width="11.33203125" style="1427" customWidth="1"/>
    <col min="7689" max="7689" width="14.44140625" style="1427" customWidth="1"/>
    <col min="7690" max="7690" width="8.88671875" style="1427" customWidth="1"/>
    <col min="7691" max="7692" width="9.33203125" style="1427" customWidth="1"/>
    <col min="7693" max="7693" width="9" style="1427" customWidth="1"/>
    <col min="7694" max="7936" width="9.109375" style="1427"/>
    <col min="7937" max="7937" width="22.6640625" style="1427" customWidth="1"/>
    <col min="7938" max="7938" width="12.33203125" style="1427" customWidth="1"/>
    <col min="7939" max="7939" width="10.6640625" style="1427" customWidth="1"/>
    <col min="7940" max="7940" width="7.6640625" style="1427" customWidth="1"/>
    <col min="7941" max="7941" width="11.109375" style="1427" customWidth="1"/>
    <col min="7942" max="7942" width="10.6640625" style="1427" customWidth="1"/>
    <col min="7943" max="7943" width="10.109375" style="1427" customWidth="1"/>
    <col min="7944" max="7944" width="11.33203125" style="1427" customWidth="1"/>
    <col min="7945" max="7945" width="14.44140625" style="1427" customWidth="1"/>
    <col min="7946" max="7946" width="8.88671875" style="1427" customWidth="1"/>
    <col min="7947" max="7948" width="9.33203125" style="1427" customWidth="1"/>
    <col min="7949" max="7949" width="9" style="1427" customWidth="1"/>
    <col min="7950" max="8192" width="9.109375" style="1427"/>
    <col min="8193" max="8193" width="22.6640625" style="1427" customWidth="1"/>
    <col min="8194" max="8194" width="12.33203125" style="1427" customWidth="1"/>
    <col min="8195" max="8195" width="10.6640625" style="1427" customWidth="1"/>
    <col min="8196" max="8196" width="7.6640625" style="1427" customWidth="1"/>
    <col min="8197" max="8197" width="11.109375" style="1427" customWidth="1"/>
    <col min="8198" max="8198" width="10.6640625" style="1427" customWidth="1"/>
    <col min="8199" max="8199" width="10.109375" style="1427" customWidth="1"/>
    <col min="8200" max="8200" width="11.33203125" style="1427" customWidth="1"/>
    <col min="8201" max="8201" width="14.44140625" style="1427" customWidth="1"/>
    <col min="8202" max="8202" width="8.88671875" style="1427" customWidth="1"/>
    <col min="8203" max="8204" width="9.33203125" style="1427" customWidth="1"/>
    <col min="8205" max="8205" width="9" style="1427" customWidth="1"/>
    <col min="8206" max="8448" width="9.109375" style="1427"/>
    <col min="8449" max="8449" width="22.6640625" style="1427" customWidth="1"/>
    <col min="8450" max="8450" width="12.33203125" style="1427" customWidth="1"/>
    <col min="8451" max="8451" width="10.6640625" style="1427" customWidth="1"/>
    <col min="8452" max="8452" width="7.6640625" style="1427" customWidth="1"/>
    <col min="8453" max="8453" width="11.109375" style="1427" customWidth="1"/>
    <col min="8454" max="8454" width="10.6640625" style="1427" customWidth="1"/>
    <col min="8455" max="8455" width="10.109375" style="1427" customWidth="1"/>
    <col min="8456" max="8456" width="11.33203125" style="1427" customWidth="1"/>
    <col min="8457" max="8457" width="14.44140625" style="1427" customWidth="1"/>
    <col min="8458" max="8458" width="8.88671875" style="1427" customWidth="1"/>
    <col min="8459" max="8460" width="9.33203125" style="1427" customWidth="1"/>
    <col min="8461" max="8461" width="9" style="1427" customWidth="1"/>
    <col min="8462" max="8704" width="9.109375" style="1427"/>
    <col min="8705" max="8705" width="22.6640625" style="1427" customWidth="1"/>
    <col min="8706" max="8706" width="12.33203125" style="1427" customWidth="1"/>
    <col min="8707" max="8707" width="10.6640625" style="1427" customWidth="1"/>
    <col min="8708" max="8708" width="7.6640625" style="1427" customWidth="1"/>
    <col min="8709" max="8709" width="11.109375" style="1427" customWidth="1"/>
    <col min="8710" max="8710" width="10.6640625" style="1427" customWidth="1"/>
    <col min="8711" max="8711" width="10.109375" style="1427" customWidth="1"/>
    <col min="8712" max="8712" width="11.33203125" style="1427" customWidth="1"/>
    <col min="8713" max="8713" width="14.44140625" style="1427" customWidth="1"/>
    <col min="8714" max="8714" width="8.88671875" style="1427" customWidth="1"/>
    <col min="8715" max="8716" width="9.33203125" style="1427" customWidth="1"/>
    <col min="8717" max="8717" width="9" style="1427" customWidth="1"/>
    <col min="8718" max="8960" width="9.109375" style="1427"/>
    <col min="8961" max="8961" width="22.6640625" style="1427" customWidth="1"/>
    <col min="8962" max="8962" width="12.33203125" style="1427" customWidth="1"/>
    <col min="8963" max="8963" width="10.6640625" style="1427" customWidth="1"/>
    <col min="8964" max="8964" width="7.6640625" style="1427" customWidth="1"/>
    <col min="8965" max="8965" width="11.109375" style="1427" customWidth="1"/>
    <col min="8966" max="8966" width="10.6640625" style="1427" customWidth="1"/>
    <col min="8967" max="8967" width="10.109375" style="1427" customWidth="1"/>
    <col min="8968" max="8968" width="11.33203125" style="1427" customWidth="1"/>
    <col min="8969" max="8969" width="14.44140625" style="1427" customWidth="1"/>
    <col min="8970" max="8970" width="8.88671875" style="1427" customWidth="1"/>
    <col min="8971" max="8972" width="9.33203125" style="1427" customWidth="1"/>
    <col min="8973" max="8973" width="9" style="1427" customWidth="1"/>
    <col min="8974" max="9216" width="9.109375" style="1427"/>
    <col min="9217" max="9217" width="22.6640625" style="1427" customWidth="1"/>
    <col min="9218" max="9218" width="12.33203125" style="1427" customWidth="1"/>
    <col min="9219" max="9219" width="10.6640625" style="1427" customWidth="1"/>
    <col min="9220" max="9220" width="7.6640625" style="1427" customWidth="1"/>
    <col min="9221" max="9221" width="11.109375" style="1427" customWidth="1"/>
    <col min="9222" max="9222" width="10.6640625" style="1427" customWidth="1"/>
    <col min="9223" max="9223" width="10.109375" style="1427" customWidth="1"/>
    <col min="9224" max="9224" width="11.33203125" style="1427" customWidth="1"/>
    <col min="9225" max="9225" width="14.44140625" style="1427" customWidth="1"/>
    <col min="9226" max="9226" width="8.88671875" style="1427" customWidth="1"/>
    <col min="9227" max="9228" width="9.33203125" style="1427" customWidth="1"/>
    <col min="9229" max="9229" width="9" style="1427" customWidth="1"/>
    <col min="9230" max="9472" width="9.109375" style="1427"/>
    <col min="9473" max="9473" width="22.6640625" style="1427" customWidth="1"/>
    <col min="9474" max="9474" width="12.33203125" style="1427" customWidth="1"/>
    <col min="9475" max="9475" width="10.6640625" style="1427" customWidth="1"/>
    <col min="9476" max="9476" width="7.6640625" style="1427" customWidth="1"/>
    <col min="9477" max="9477" width="11.109375" style="1427" customWidth="1"/>
    <col min="9478" max="9478" width="10.6640625" style="1427" customWidth="1"/>
    <col min="9479" max="9479" width="10.109375" style="1427" customWidth="1"/>
    <col min="9480" max="9480" width="11.33203125" style="1427" customWidth="1"/>
    <col min="9481" max="9481" width="14.44140625" style="1427" customWidth="1"/>
    <col min="9482" max="9482" width="8.88671875" style="1427" customWidth="1"/>
    <col min="9483" max="9484" width="9.33203125" style="1427" customWidth="1"/>
    <col min="9485" max="9485" width="9" style="1427" customWidth="1"/>
    <col min="9486" max="9728" width="9.109375" style="1427"/>
    <col min="9729" max="9729" width="22.6640625" style="1427" customWidth="1"/>
    <col min="9730" max="9730" width="12.33203125" style="1427" customWidth="1"/>
    <col min="9731" max="9731" width="10.6640625" style="1427" customWidth="1"/>
    <col min="9732" max="9732" width="7.6640625" style="1427" customWidth="1"/>
    <col min="9733" max="9733" width="11.109375" style="1427" customWidth="1"/>
    <col min="9734" max="9734" width="10.6640625" style="1427" customWidth="1"/>
    <col min="9735" max="9735" width="10.109375" style="1427" customWidth="1"/>
    <col min="9736" max="9736" width="11.33203125" style="1427" customWidth="1"/>
    <col min="9737" max="9737" width="14.44140625" style="1427" customWidth="1"/>
    <col min="9738" max="9738" width="8.88671875" style="1427" customWidth="1"/>
    <col min="9739" max="9740" width="9.33203125" style="1427" customWidth="1"/>
    <col min="9741" max="9741" width="9" style="1427" customWidth="1"/>
    <col min="9742" max="9984" width="9.109375" style="1427"/>
    <col min="9985" max="9985" width="22.6640625" style="1427" customWidth="1"/>
    <col min="9986" max="9986" width="12.33203125" style="1427" customWidth="1"/>
    <col min="9987" max="9987" width="10.6640625" style="1427" customWidth="1"/>
    <col min="9988" max="9988" width="7.6640625" style="1427" customWidth="1"/>
    <col min="9989" max="9989" width="11.109375" style="1427" customWidth="1"/>
    <col min="9990" max="9990" width="10.6640625" style="1427" customWidth="1"/>
    <col min="9991" max="9991" width="10.109375" style="1427" customWidth="1"/>
    <col min="9992" max="9992" width="11.33203125" style="1427" customWidth="1"/>
    <col min="9993" max="9993" width="14.44140625" style="1427" customWidth="1"/>
    <col min="9994" max="9994" width="8.88671875" style="1427" customWidth="1"/>
    <col min="9995" max="9996" width="9.33203125" style="1427" customWidth="1"/>
    <col min="9997" max="9997" width="9" style="1427" customWidth="1"/>
    <col min="9998" max="10240" width="9.109375" style="1427"/>
    <col min="10241" max="10241" width="22.6640625" style="1427" customWidth="1"/>
    <col min="10242" max="10242" width="12.33203125" style="1427" customWidth="1"/>
    <col min="10243" max="10243" width="10.6640625" style="1427" customWidth="1"/>
    <col min="10244" max="10244" width="7.6640625" style="1427" customWidth="1"/>
    <col min="10245" max="10245" width="11.109375" style="1427" customWidth="1"/>
    <col min="10246" max="10246" width="10.6640625" style="1427" customWidth="1"/>
    <col min="10247" max="10247" width="10.109375" style="1427" customWidth="1"/>
    <col min="10248" max="10248" width="11.33203125" style="1427" customWidth="1"/>
    <col min="10249" max="10249" width="14.44140625" style="1427" customWidth="1"/>
    <col min="10250" max="10250" width="8.88671875" style="1427" customWidth="1"/>
    <col min="10251" max="10252" width="9.33203125" style="1427" customWidth="1"/>
    <col min="10253" max="10253" width="9" style="1427" customWidth="1"/>
    <col min="10254" max="10496" width="9.109375" style="1427"/>
    <col min="10497" max="10497" width="22.6640625" style="1427" customWidth="1"/>
    <col min="10498" max="10498" width="12.33203125" style="1427" customWidth="1"/>
    <col min="10499" max="10499" width="10.6640625" style="1427" customWidth="1"/>
    <col min="10500" max="10500" width="7.6640625" style="1427" customWidth="1"/>
    <col min="10501" max="10501" width="11.109375" style="1427" customWidth="1"/>
    <col min="10502" max="10502" width="10.6640625" style="1427" customWidth="1"/>
    <col min="10503" max="10503" width="10.109375" style="1427" customWidth="1"/>
    <col min="10504" max="10504" width="11.33203125" style="1427" customWidth="1"/>
    <col min="10505" max="10505" width="14.44140625" style="1427" customWidth="1"/>
    <col min="10506" max="10506" width="8.88671875" style="1427" customWidth="1"/>
    <col min="10507" max="10508" width="9.33203125" style="1427" customWidth="1"/>
    <col min="10509" max="10509" width="9" style="1427" customWidth="1"/>
    <col min="10510" max="10752" width="9.109375" style="1427"/>
    <col min="10753" max="10753" width="22.6640625" style="1427" customWidth="1"/>
    <col min="10754" max="10754" width="12.33203125" style="1427" customWidth="1"/>
    <col min="10755" max="10755" width="10.6640625" style="1427" customWidth="1"/>
    <col min="10756" max="10756" width="7.6640625" style="1427" customWidth="1"/>
    <col min="10757" max="10757" width="11.109375" style="1427" customWidth="1"/>
    <col min="10758" max="10758" width="10.6640625" style="1427" customWidth="1"/>
    <col min="10759" max="10759" width="10.109375" style="1427" customWidth="1"/>
    <col min="10760" max="10760" width="11.33203125" style="1427" customWidth="1"/>
    <col min="10761" max="10761" width="14.44140625" style="1427" customWidth="1"/>
    <col min="10762" max="10762" width="8.88671875" style="1427" customWidth="1"/>
    <col min="10763" max="10764" width="9.33203125" style="1427" customWidth="1"/>
    <col min="10765" max="10765" width="9" style="1427" customWidth="1"/>
    <col min="10766" max="11008" width="9.109375" style="1427"/>
    <col min="11009" max="11009" width="22.6640625" style="1427" customWidth="1"/>
    <col min="11010" max="11010" width="12.33203125" style="1427" customWidth="1"/>
    <col min="11011" max="11011" width="10.6640625" style="1427" customWidth="1"/>
    <col min="11012" max="11012" width="7.6640625" style="1427" customWidth="1"/>
    <col min="11013" max="11013" width="11.109375" style="1427" customWidth="1"/>
    <col min="11014" max="11014" width="10.6640625" style="1427" customWidth="1"/>
    <col min="11015" max="11015" width="10.109375" style="1427" customWidth="1"/>
    <col min="11016" max="11016" width="11.33203125" style="1427" customWidth="1"/>
    <col min="11017" max="11017" width="14.44140625" style="1427" customWidth="1"/>
    <col min="11018" max="11018" width="8.88671875" style="1427" customWidth="1"/>
    <col min="11019" max="11020" width="9.33203125" style="1427" customWidth="1"/>
    <col min="11021" max="11021" width="9" style="1427" customWidth="1"/>
    <col min="11022" max="11264" width="9.109375" style="1427"/>
    <col min="11265" max="11265" width="22.6640625" style="1427" customWidth="1"/>
    <col min="11266" max="11266" width="12.33203125" style="1427" customWidth="1"/>
    <col min="11267" max="11267" width="10.6640625" style="1427" customWidth="1"/>
    <col min="11268" max="11268" width="7.6640625" style="1427" customWidth="1"/>
    <col min="11269" max="11269" width="11.109375" style="1427" customWidth="1"/>
    <col min="11270" max="11270" width="10.6640625" style="1427" customWidth="1"/>
    <col min="11271" max="11271" width="10.109375" style="1427" customWidth="1"/>
    <col min="11272" max="11272" width="11.33203125" style="1427" customWidth="1"/>
    <col min="11273" max="11273" width="14.44140625" style="1427" customWidth="1"/>
    <col min="11274" max="11274" width="8.88671875" style="1427" customWidth="1"/>
    <col min="11275" max="11276" width="9.33203125" style="1427" customWidth="1"/>
    <col min="11277" max="11277" width="9" style="1427" customWidth="1"/>
    <col min="11278" max="11520" width="9.109375" style="1427"/>
    <col min="11521" max="11521" width="22.6640625" style="1427" customWidth="1"/>
    <col min="11522" max="11522" width="12.33203125" style="1427" customWidth="1"/>
    <col min="11523" max="11523" width="10.6640625" style="1427" customWidth="1"/>
    <col min="11524" max="11524" width="7.6640625" style="1427" customWidth="1"/>
    <col min="11525" max="11525" width="11.109375" style="1427" customWidth="1"/>
    <col min="11526" max="11526" width="10.6640625" style="1427" customWidth="1"/>
    <col min="11527" max="11527" width="10.109375" style="1427" customWidth="1"/>
    <col min="11528" max="11528" width="11.33203125" style="1427" customWidth="1"/>
    <col min="11529" max="11529" width="14.44140625" style="1427" customWidth="1"/>
    <col min="11530" max="11530" width="8.88671875" style="1427" customWidth="1"/>
    <col min="11531" max="11532" width="9.33203125" style="1427" customWidth="1"/>
    <col min="11533" max="11533" width="9" style="1427" customWidth="1"/>
    <col min="11534" max="11776" width="9.109375" style="1427"/>
    <col min="11777" max="11777" width="22.6640625" style="1427" customWidth="1"/>
    <col min="11778" max="11778" width="12.33203125" style="1427" customWidth="1"/>
    <col min="11779" max="11779" width="10.6640625" style="1427" customWidth="1"/>
    <col min="11780" max="11780" width="7.6640625" style="1427" customWidth="1"/>
    <col min="11781" max="11781" width="11.109375" style="1427" customWidth="1"/>
    <col min="11782" max="11782" width="10.6640625" style="1427" customWidth="1"/>
    <col min="11783" max="11783" width="10.109375" style="1427" customWidth="1"/>
    <col min="11784" max="11784" width="11.33203125" style="1427" customWidth="1"/>
    <col min="11785" max="11785" width="14.44140625" style="1427" customWidth="1"/>
    <col min="11786" max="11786" width="8.88671875" style="1427" customWidth="1"/>
    <col min="11787" max="11788" width="9.33203125" style="1427" customWidth="1"/>
    <col min="11789" max="11789" width="9" style="1427" customWidth="1"/>
    <col min="11790" max="12032" width="9.109375" style="1427"/>
    <col min="12033" max="12033" width="22.6640625" style="1427" customWidth="1"/>
    <col min="12034" max="12034" width="12.33203125" style="1427" customWidth="1"/>
    <col min="12035" max="12035" width="10.6640625" style="1427" customWidth="1"/>
    <col min="12036" max="12036" width="7.6640625" style="1427" customWidth="1"/>
    <col min="12037" max="12037" width="11.109375" style="1427" customWidth="1"/>
    <col min="12038" max="12038" width="10.6640625" style="1427" customWidth="1"/>
    <col min="12039" max="12039" width="10.109375" style="1427" customWidth="1"/>
    <col min="12040" max="12040" width="11.33203125" style="1427" customWidth="1"/>
    <col min="12041" max="12041" width="14.44140625" style="1427" customWidth="1"/>
    <col min="12042" max="12042" width="8.88671875" style="1427" customWidth="1"/>
    <col min="12043" max="12044" width="9.33203125" style="1427" customWidth="1"/>
    <col min="12045" max="12045" width="9" style="1427" customWidth="1"/>
    <col min="12046" max="12288" width="9.109375" style="1427"/>
    <col min="12289" max="12289" width="22.6640625" style="1427" customWidth="1"/>
    <col min="12290" max="12290" width="12.33203125" style="1427" customWidth="1"/>
    <col min="12291" max="12291" width="10.6640625" style="1427" customWidth="1"/>
    <col min="12292" max="12292" width="7.6640625" style="1427" customWidth="1"/>
    <col min="12293" max="12293" width="11.109375" style="1427" customWidth="1"/>
    <col min="12294" max="12294" width="10.6640625" style="1427" customWidth="1"/>
    <col min="12295" max="12295" width="10.109375" style="1427" customWidth="1"/>
    <col min="12296" max="12296" width="11.33203125" style="1427" customWidth="1"/>
    <col min="12297" max="12297" width="14.44140625" style="1427" customWidth="1"/>
    <col min="12298" max="12298" width="8.88671875" style="1427" customWidth="1"/>
    <col min="12299" max="12300" width="9.33203125" style="1427" customWidth="1"/>
    <col min="12301" max="12301" width="9" style="1427" customWidth="1"/>
    <col min="12302" max="12544" width="9.109375" style="1427"/>
    <col min="12545" max="12545" width="22.6640625" style="1427" customWidth="1"/>
    <col min="12546" max="12546" width="12.33203125" style="1427" customWidth="1"/>
    <col min="12547" max="12547" width="10.6640625" style="1427" customWidth="1"/>
    <col min="12548" max="12548" width="7.6640625" style="1427" customWidth="1"/>
    <col min="12549" max="12549" width="11.109375" style="1427" customWidth="1"/>
    <col min="12550" max="12550" width="10.6640625" style="1427" customWidth="1"/>
    <col min="12551" max="12551" width="10.109375" style="1427" customWidth="1"/>
    <col min="12552" max="12552" width="11.33203125" style="1427" customWidth="1"/>
    <col min="12553" max="12553" width="14.44140625" style="1427" customWidth="1"/>
    <col min="12554" max="12554" width="8.88671875" style="1427" customWidth="1"/>
    <col min="12555" max="12556" width="9.33203125" style="1427" customWidth="1"/>
    <col min="12557" max="12557" width="9" style="1427" customWidth="1"/>
    <col min="12558" max="12800" width="9.109375" style="1427"/>
    <col min="12801" max="12801" width="22.6640625" style="1427" customWidth="1"/>
    <col min="12802" max="12802" width="12.33203125" style="1427" customWidth="1"/>
    <col min="12803" max="12803" width="10.6640625" style="1427" customWidth="1"/>
    <col min="12804" max="12804" width="7.6640625" style="1427" customWidth="1"/>
    <col min="12805" max="12805" width="11.109375" style="1427" customWidth="1"/>
    <col min="12806" max="12806" width="10.6640625" style="1427" customWidth="1"/>
    <col min="12807" max="12807" width="10.109375" style="1427" customWidth="1"/>
    <col min="12808" max="12808" width="11.33203125" style="1427" customWidth="1"/>
    <col min="12809" max="12809" width="14.44140625" style="1427" customWidth="1"/>
    <col min="12810" max="12810" width="8.88671875" style="1427" customWidth="1"/>
    <col min="12811" max="12812" width="9.33203125" style="1427" customWidth="1"/>
    <col min="12813" max="12813" width="9" style="1427" customWidth="1"/>
    <col min="12814" max="13056" width="9.109375" style="1427"/>
    <col min="13057" max="13057" width="22.6640625" style="1427" customWidth="1"/>
    <col min="13058" max="13058" width="12.33203125" style="1427" customWidth="1"/>
    <col min="13059" max="13059" width="10.6640625" style="1427" customWidth="1"/>
    <col min="13060" max="13060" width="7.6640625" style="1427" customWidth="1"/>
    <col min="13061" max="13061" width="11.109375" style="1427" customWidth="1"/>
    <col min="13062" max="13062" width="10.6640625" style="1427" customWidth="1"/>
    <col min="13063" max="13063" width="10.109375" style="1427" customWidth="1"/>
    <col min="13064" max="13064" width="11.33203125" style="1427" customWidth="1"/>
    <col min="13065" max="13065" width="14.44140625" style="1427" customWidth="1"/>
    <col min="13066" max="13066" width="8.88671875" style="1427" customWidth="1"/>
    <col min="13067" max="13068" width="9.33203125" style="1427" customWidth="1"/>
    <col min="13069" max="13069" width="9" style="1427" customWidth="1"/>
    <col min="13070" max="13312" width="9.109375" style="1427"/>
    <col min="13313" max="13313" width="22.6640625" style="1427" customWidth="1"/>
    <col min="13314" max="13314" width="12.33203125" style="1427" customWidth="1"/>
    <col min="13315" max="13315" width="10.6640625" style="1427" customWidth="1"/>
    <col min="13316" max="13316" width="7.6640625" style="1427" customWidth="1"/>
    <col min="13317" max="13317" width="11.109375" style="1427" customWidth="1"/>
    <col min="13318" max="13318" width="10.6640625" style="1427" customWidth="1"/>
    <col min="13319" max="13319" width="10.109375" style="1427" customWidth="1"/>
    <col min="13320" max="13320" width="11.33203125" style="1427" customWidth="1"/>
    <col min="13321" max="13321" width="14.44140625" style="1427" customWidth="1"/>
    <col min="13322" max="13322" width="8.88671875" style="1427" customWidth="1"/>
    <col min="13323" max="13324" width="9.33203125" style="1427" customWidth="1"/>
    <col min="13325" max="13325" width="9" style="1427" customWidth="1"/>
    <col min="13326" max="13568" width="9.109375" style="1427"/>
    <col min="13569" max="13569" width="22.6640625" style="1427" customWidth="1"/>
    <col min="13570" max="13570" width="12.33203125" style="1427" customWidth="1"/>
    <col min="13571" max="13571" width="10.6640625" style="1427" customWidth="1"/>
    <col min="13572" max="13572" width="7.6640625" style="1427" customWidth="1"/>
    <col min="13573" max="13573" width="11.109375" style="1427" customWidth="1"/>
    <col min="13574" max="13574" width="10.6640625" style="1427" customWidth="1"/>
    <col min="13575" max="13575" width="10.109375" style="1427" customWidth="1"/>
    <col min="13576" max="13576" width="11.33203125" style="1427" customWidth="1"/>
    <col min="13577" max="13577" width="14.44140625" style="1427" customWidth="1"/>
    <col min="13578" max="13578" width="8.88671875" style="1427" customWidth="1"/>
    <col min="13579" max="13580" width="9.33203125" style="1427" customWidth="1"/>
    <col min="13581" max="13581" width="9" style="1427" customWidth="1"/>
    <col min="13582" max="13824" width="9.109375" style="1427"/>
    <col min="13825" max="13825" width="22.6640625" style="1427" customWidth="1"/>
    <col min="13826" max="13826" width="12.33203125" style="1427" customWidth="1"/>
    <col min="13827" max="13827" width="10.6640625" style="1427" customWidth="1"/>
    <col min="13828" max="13828" width="7.6640625" style="1427" customWidth="1"/>
    <col min="13829" max="13829" width="11.109375" style="1427" customWidth="1"/>
    <col min="13830" max="13830" width="10.6640625" style="1427" customWidth="1"/>
    <col min="13831" max="13831" width="10.109375" style="1427" customWidth="1"/>
    <col min="13832" max="13832" width="11.33203125" style="1427" customWidth="1"/>
    <col min="13833" max="13833" width="14.44140625" style="1427" customWidth="1"/>
    <col min="13834" max="13834" width="8.88671875" style="1427" customWidth="1"/>
    <col min="13835" max="13836" width="9.33203125" style="1427" customWidth="1"/>
    <col min="13837" max="13837" width="9" style="1427" customWidth="1"/>
    <col min="13838" max="14080" width="9.109375" style="1427"/>
    <col min="14081" max="14081" width="22.6640625" style="1427" customWidth="1"/>
    <col min="14082" max="14082" width="12.33203125" style="1427" customWidth="1"/>
    <col min="14083" max="14083" width="10.6640625" style="1427" customWidth="1"/>
    <col min="14084" max="14084" width="7.6640625" style="1427" customWidth="1"/>
    <col min="14085" max="14085" width="11.109375" style="1427" customWidth="1"/>
    <col min="14086" max="14086" width="10.6640625" style="1427" customWidth="1"/>
    <col min="14087" max="14087" width="10.109375" style="1427" customWidth="1"/>
    <col min="14088" max="14088" width="11.33203125" style="1427" customWidth="1"/>
    <col min="14089" max="14089" width="14.44140625" style="1427" customWidth="1"/>
    <col min="14090" max="14090" width="8.88671875" style="1427" customWidth="1"/>
    <col min="14091" max="14092" width="9.33203125" style="1427" customWidth="1"/>
    <col min="14093" max="14093" width="9" style="1427" customWidth="1"/>
    <col min="14094" max="14336" width="9.109375" style="1427"/>
    <col min="14337" max="14337" width="22.6640625" style="1427" customWidth="1"/>
    <col min="14338" max="14338" width="12.33203125" style="1427" customWidth="1"/>
    <col min="14339" max="14339" width="10.6640625" style="1427" customWidth="1"/>
    <col min="14340" max="14340" width="7.6640625" style="1427" customWidth="1"/>
    <col min="14341" max="14341" width="11.109375" style="1427" customWidth="1"/>
    <col min="14342" max="14342" width="10.6640625" style="1427" customWidth="1"/>
    <col min="14343" max="14343" width="10.109375" style="1427" customWidth="1"/>
    <col min="14344" max="14344" width="11.33203125" style="1427" customWidth="1"/>
    <col min="14345" max="14345" width="14.44140625" style="1427" customWidth="1"/>
    <col min="14346" max="14346" width="8.88671875" style="1427" customWidth="1"/>
    <col min="14347" max="14348" width="9.33203125" style="1427" customWidth="1"/>
    <col min="14349" max="14349" width="9" style="1427" customWidth="1"/>
    <col min="14350" max="14592" width="9.109375" style="1427"/>
    <col min="14593" max="14593" width="22.6640625" style="1427" customWidth="1"/>
    <col min="14594" max="14594" width="12.33203125" style="1427" customWidth="1"/>
    <col min="14595" max="14595" width="10.6640625" style="1427" customWidth="1"/>
    <col min="14596" max="14596" width="7.6640625" style="1427" customWidth="1"/>
    <col min="14597" max="14597" width="11.109375" style="1427" customWidth="1"/>
    <col min="14598" max="14598" width="10.6640625" style="1427" customWidth="1"/>
    <col min="14599" max="14599" width="10.109375" style="1427" customWidth="1"/>
    <col min="14600" max="14600" width="11.33203125" style="1427" customWidth="1"/>
    <col min="14601" max="14601" width="14.44140625" style="1427" customWidth="1"/>
    <col min="14602" max="14602" width="8.88671875" style="1427" customWidth="1"/>
    <col min="14603" max="14604" width="9.33203125" style="1427" customWidth="1"/>
    <col min="14605" max="14605" width="9" style="1427" customWidth="1"/>
    <col min="14606" max="14848" width="9.109375" style="1427"/>
    <col min="14849" max="14849" width="22.6640625" style="1427" customWidth="1"/>
    <col min="14850" max="14850" width="12.33203125" style="1427" customWidth="1"/>
    <col min="14851" max="14851" width="10.6640625" style="1427" customWidth="1"/>
    <col min="14852" max="14852" width="7.6640625" style="1427" customWidth="1"/>
    <col min="14853" max="14853" width="11.109375" style="1427" customWidth="1"/>
    <col min="14854" max="14854" width="10.6640625" style="1427" customWidth="1"/>
    <col min="14855" max="14855" width="10.109375" style="1427" customWidth="1"/>
    <col min="14856" max="14856" width="11.33203125" style="1427" customWidth="1"/>
    <col min="14857" max="14857" width="14.44140625" style="1427" customWidth="1"/>
    <col min="14858" max="14858" width="8.88671875" style="1427" customWidth="1"/>
    <col min="14859" max="14860" width="9.33203125" style="1427" customWidth="1"/>
    <col min="14861" max="14861" width="9" style="1427" customWidth="1"/>
    <col min="14862" max="15104" width="9.109375" style="1427"/>
    <col min="15105" max="15105" width="22.6640625" style="1427" customWidth="1"/>
    <col min="15106" max="15106" width="12.33203125" style="1427" customWidth="1"/>
    <col min="15107" max="15107" width="10.6640625" style="1427" customWidth="1"/>
    <col min="15108" max="15108" width="7.6640625" style="1427" customWidth="1"/>
    <col min="15109" max="15109" width="11.109375" style="1427" customWidth="1"/>
    <col min="15110" max="15110" width="10.6640625" style="1427" customWidth="1"/>
    <col min="15111" max="15111" width="10.109375" style="1427" customWidth="1"/>
    <col min="15112" max="15112" width="11.33203125" style="1427" customWidth="1"/>
    <col min="15113" max="15113" width="14.44140625" style="1427" customWidth="1"/>
    <col min="15114" max="15114" width="8.88671875" style="1427" customWidth="1"/>
    <col min="15115" max="15116" width="9.33203125" style="1427" customWidth="1"/>
    <col min="15117" max="15117" width="9" style="1427" customWidth="1"/>
    <col min="15118" max="15360" width="9.109375" style="1427"/>
    <col min="15361" max="15361" width="22.6640625" style="1427" customWidth="1"/>
    <col min="15362" max="15362" width="12.33203125" style="1427" customWidth="1"/>
    <col min="15363" max="15363" width="10.6640625" style="1427" customWidth="1"/>
    <col min="15364" max="15364" width="7.6640625" style="1427" customWidth="1"/>
    <col min="15365" max="15365" width="11.109375" style="1427" customWidth="1"/>
    <col min="15366" max="15366" width="10.6640625" style="1427" customWidth="1"/>
    <col min="15367" max="15367" width="10.109375" style="1427" customWidth="1"/>
    <col min="15368" max="15368" width="11.33203125" style="1427" customWidth="1"/>
    <col min="15369" max="15369" width="14.44140625" style="1427" customWidth="1"/>
    <col min="15370" max="15370" width="8.88671875" style="1427" customWidth="1"/>
    <col min="15371" max="15372" width="9.33203125" style="1427" customWidth="1"/>
    <col min="15373" max="15373" width="9" style="1427" customWidth="1"/>
    <col min="15374" max="15616" width="9.109375" style="1427"/>
    <col min="15617" max="15617" width="22.6640625" style="1427" customWidth="1"/>
    <col min="15618" max="15618" width="12.33203125" style="1427" customWidth="1"/>
    <col min="15619" max="15619" width="10.6640625" style="1427" customWidth="1"/>
    <col min="15620" max="15620" width="7.6640625" style="1427" customWidth="1"/>
    <col min="15621" max="15621" width="11.109375" style="1427" customWidth="1"/>
    <col min="15622" max="15622" width="10.6640625" style="1427" customWidth="1"/>
    <col min="15623" max="15623" width="10.109375" style="1427" customWidth="1"/>
    <col min="15624" max="15624" width="11.33203125" style="1427" customWidth="1"/>
    <col min="15625" max="15625" width="14.44140625" style="1427" customWidth="1"/>
    <col min="15626" max="15626" width="8.88671875" style="1427" customWidth="1"/>
    <col min="15627" max="15628" width="9.33203125" style="1427" customWidth="1"/>
    <col min="15629" max="15629" width="9" style="1427" customWidth="1"/>
    <col min="15630" max="15872" width="9.109375" style="1427"/>
    <col min="15873" max="15873" width="22.6640625" style="1427" customWidth="1"/>
    <col min="15874" max="15874" width="12.33203125" style="1427" customWidth="1"/>
    <col min="15875" max="15875" width="10.6640625" style="1427" customWidth="1"/>
    <col min="15876" max="15876" width="7.6640625" style="1427" customWidth="1"/>
    <col min="15877" max="15877" width="11.109375" style="1427" customWidth="1"/>
    <col min="15878" max="15878" width="10.6640625" style="1427" customWidth="1"/>
    <col min="15879" max="15879" width="10.109375" style="1427" customWidth="1"/>
    <col min="15880" max="15880" width="11.33203125" style="1427" customWidth="1"/>
    <col min="15881" max="15881" width="14.44140625" style="1427" customWidth="1"/>
    <col min="15882" max="15882" width="8.88671875" style="1427" customWidth="1"/>
    <col min="15883" max="15884" width="9.33203125" style="1427" customWidth="1"/>
    <col min="15885" max="15885" width="9" style="1427" customWidth="1"/>
    <col min="15886" max="16128" width="9.109375" style="1427"/>
    <col min="16129" max="16129" width="22.6640625" style="1427" customWidth="1"/>
    <col min="16130" max="16130" width="12.33203125" style="1427" customWidth="1"/>
    <col min="16131" max="16131" width="10.6640625" style="1427" customWidth="1"/>
    <col min="16132" max="16132" width="7.6640625" style="1427" customWidth="1"/>
    <col min="16133" max="16133" width="11.109375" style="1427" customWidth="1"/>
    <col min="16134" max="16134" width="10.6640625" style="1427" customWidth="1"/>
    <col min="16135" max="16135" width="10.109375" style="1427" customWidth="1"/>
    <col min="16136" max="16136" width="11.33203125" style="1427" customWidth="1"/>
    <col min="16137" max="16137" width="14.44140625" style="1427" customWidth="1"/>
    <col min="16138" max="16138" width="8.88671875" style="1427" customWidth="1"/>
    <col min="16139" max="16140" width="9.33203125" style="1427" customWidth="1"/>
    <col min="16141" max="16141" width="9" style="1427" customWidth="1"/>
    <col min="16142" max="16384" width="9.109375" style="1427"/>
  </cols>
  <sheetData>
    <row r="1" spans="1:20" ht="15.6">
      <c r="A1" s="3589" t="s">
        <v>765</v>
      </c>
      <c r="B1" s="3589"/>
      <c r="C1" s="3589"/>
      <c r="D1" s="3589"/>
      <c r="E1" s="3589"/>
      <c r="F1" s="3589"/>
      <c r="G1" s="3589"/>
      <c r="H1" s="3589"/>
      <c r="I1" s="3589"/>
      <c r="J1" s="3589"/>
      <c r="K1" s="3589"/>
      <c r="L1" s="3589"/>
      <c r="M1" s="3589"/>
    </row>
    <row r="2" spans="1:20" ht="15.6">
      <c r="A2" s="3589" t="s">
        <v>766</v>
      </c>
      <c r="B2" s="3589"/>
      <c r="C2" s="3589"/>
      <c r="D2" s="3589"/>
      <c r="E2" s="3589"/>
      <c r="F2" s="3589"/>
      <c r="G2" s="3589"/>
      <c r="H2" s="3589"/>
      <c r="I2" s="3589"/>
      <c r="J2" s="3589"/>
      <c r="K2" s="3589"/>
      <c r="L2" s="3589"/>
      <c r="M2" s="3589"/>
    </row>
    <row r="3" spans="1:20" ht="20.25" customHeight="1">
      <c r="A3" s="3590" t="str">
        <f>'Input Data'!E1</f>
        <v>C/o HLB on R/F Amlikunta to Gundumal of Gundumal Mandal of Narayanept District.</v>
      </c>
      <c r="B3" s="3590"/>
      <c r="C3" s="3590"/>
      <c r="D3" s="3590"/>
      <c r="E3" s="3590"/>
      <c r="F3" s="3590"/>
      <c r="G3" s="3590"/>
      <c r="H3" s="3590"/>
      <c r="I3" s="3590"/>
      <c r="J3" s="3590"/>
      <c r="K3" s="3590"/>
      <c r="L3" s="3590"/>
      <c r="M3" s="3590"/>
    </row>
    <row r="4" spans="1:20">
      <c r="A4" s="3603" t="s">
        <v>57</v>
      </c>
      <c r="B4" s="3591" t="s">
        <v>697</v>
      </c>
      <c r="C4" s="3591"/>
      <c r="D4" s="3591"/>
      <c r="E4" s="3591"/>
      <c r="F4" s="3591"/>
      <c r="G4" s="3591"/>
      <c r="H4" s="3591"/>
      <c r="I4" s="3591"/>
      <c r="J4" s="3591"/>
      <c r="K4" s="3591"/>
      <c r="L4" s="3591"/>
      <c r="M4" s="3604" t="s">
        <v>60</v>
      </c>
    </row>
    <row r="5" spans="1:20" s="1424" customFormat="1" ht="33.75" customHeight="1">
      <c r="A5" s="3603"/>
      <c r="B5" s="1431" t="s">
        <v>698</v>
      </c>
      <c r="C5" s="1431" t="s">
        <v>699</v>
      </c>
      <c r="D5" s="3606" t="s">
        <v>700</v>
      </c>
      <c r="E5" s="3607"/>
      <c r="F5" s="3608"/>
      <c r="G5" s="3609" t="s">
        <v>701</v>
      </c>
      <c r="H5" s="3609"/>
      <c r="I5" s="3609"/>
      <c r="J5" s="1431" t="s">
        <v>702</v>
      </c>
      <c r="K5" s="1431" t="s">
        <v>703</v>
      </c>
      <c r="L5" s="1431" t="s">
        <v>704</v>
      </c>
      <c r="M5" s="3605"/>
      <c r="Q5" s="1489"/>
      <c r="R5" s="1489"/>
      <c r="S5" s="1489"/>
      <c r="T5" s="1489"/>
    </row>
    <row r="6" spans="1:20" s="1424" customFormat="1">
      <c r="A6" s="1432"/>
      <c r="B6" s="1433"/>
      <c r="C6" s="1433"/>
      <c r="D6" s="1434" t="s">
        <v>705</v>
      </c>
      <c r="E6" s="1434" t="s">
        <v>706</v>
      </c>
      <c r="F6" s="1434" t="s">
        <v>707</v>
      </c>
      <c r="G6" s="1434" t="s">
        <v>705</v>
      </c>
      <c r="H6" s="1434" t="s">
        <v>706</v>
      </c>
      <c r="I6" s="1434" t="s">
        <v>707</v>
      </c>
      <c r="J6" s="1433"/>
      <c r="K6" s="1433"/>
      <c r="L6" s="1433"/>
      <c r="M6" s="1433"/>
      <c r="Q6" s="1489"/>
      <c r="R6" s="1489"/>
      <c r="S6" s="1489"/>
      <c r="T6" s="1489"/>
    </row>
    <row r="7" spans="1:20" ht="33.75" customHeight="1">
      <c r="A7" s="2073" t="s">
        <v>2599</v>
      </c>
      <c r="B7" s="1435">
        <v>5</v>
      </c>
      <c r="C7" s="1435">
        <v>35</v>
      </c>
      <c r="D7" s="1435">
        <v>9</v>
      </c>
      <c r="E7" s="1435">
        <v>7</v>
      </c>
      <c r="F7" s="1435">
        <v>0</v>
      </c>
      <c r="G7" s="1435">
        <v>4</v>
      </c>
      <c r="H7" s="1435">
        <v>3</v>
      </c>
      <c r="I7" s="1435">
        <v>0</v>
      </c>
      <c r="J7" s="1435">
        <v>25</v>
      </c>
      <c r="K7" s="1435">
        <v>0</v>
      </c>
      <c r="L7" s="1435">
        <v>0</v>
      </c>
      <c r="M7" s="1467">
        <f>SUM(B7:L7)</f>
        <v>88</v>
      </c>
      <c r="O7" s="1468">
        <f>G30</f>
        <v>72982.87</v>
      </c>
      <c r="Q7" s="1489"/>
      <c r="R7" s="1489"/>
      <c r="S7" s="1489"/>
      <c r="T7" s="1489"/>
    </row>
    <row r="8" spans="1:20" ht="30" customHeight="1">
      <c r="A8" s="2073" t="s">
        <v>2600</v>
      </c>
      <c r="B8" s="1435">
        <v>4</v>
      </c>
      <c r="C8" s="1435">
        <v>45</v>
      </c>
      <c r="D8" s="1435">
        <v>6</v>
      </c>
      <c r="E8" s="1435">
        <v>5</v>
      </c>
      <c r="F8" s="1435">
        <v>0</v>
      </c>
      <c r="G8" s="1435">
        <v>3</v>
      </c>
      <c r="H8" s="1435">
        <v>3</v>
      </c>
      <c r="I8" s="1435">
        <v>0</v>
      </c>
      <c r="J8" s="1435">
        <v>30</v>
      </c>
      <c r="K8" s="1435">
        <v>0</v>
      </c>
      <c r="L8" s="1435">
        <v>0</v>
      </c>
      <c r="M8" s="1467">
        <f>SUM(B8:L8)</f>
        <v>96</v>
      </c>
    </row>
    <row r="9" spans="1:20" ht="33" customHeight="1">
      <c r="A9" s="2073" t="s">
        <v>2601</v>
      </c>
      <c r="B9" s="1435">
        <v>4</v>
      </c>
      <c r="C9" s="1435">
        <v>33</v>
      </c>
      <c r="D9" s="1435">
        <v>9</v>
      </c>
      <c r="E9" s="1435">
        <v>8</v>
      </c>
      <c r="F9" s="1435">
        <v>0</v>
      </c>
      <c r="G9" s="1435">
        <v>3</v>
      </c>
      <c r="H9" s="1435">
        <v>3</v>
      </c>
      <c r="I9" s="1435">
        <v>0</v>
      </c>
      <c r="J9" s="1435">
        <v>35</v>
      </c>
      <c r="K9" s="1435">
        <v>0</v>
      </c>
      <c r="L9" s="1435">
        <v>0</v>
      </c>
      <c r="M9" s="1467">
        <f>SUM(B9:L9)</f>
        <v>95</v>
      </c>
    </row>
    <row r="10" spans="1:20" ht="14.25" customHeight="1">
      <c r="A10" s="1436" t="s">
        <v>60</v>
      </c>
      <c r="B10" s="1437">
        <f>B9+B8+B7</f>
        <v>13</v>
      </c>
      <c r="C10" s="1437">
        <f t="shared" ref="C10:L10" si="0">C9+C8+C7</f>
        <v>113</v>
      </c>
      <c r="D10" s="1437">
        <f t="shared" si="0"/>
        <v>24</v>
      </c>
      <c r="E10" s="1437">
        <f t="shared" si="0"/>
        <v>20</v>
      </c>
      <c r="F10" s="1437">
        <f t="shared" si="0"/>
        <v>0</v>
      </c>
      <c r="G10" s="1437">
        <f t="shared" si="0"/>
        <v>10</v>
      </c>
      <c r="H10" s="1437">
        <f t="shared" si="0"/>
        <v>9</v>
      </c>
      <c r="I10" s="1437">
        <f t="shared" si="0"/>
        <v>0</v>
      </c>
      <c r="J10" s="1437">
        <f t="shared" si="0"/>
        <v>90</v>
      </c>
      <c r="K10" s="1437">
        <f t="shared" si="0"/>
        <v>0</v>
      </c>
      <c r="L10" s="1437">
        <f t="shared" si="0"/>
        <v>0</v>
      </c>
      <c r="M10" s="1467">
        <f>SUM(B10:L10)</f>
        <v>279</v>
      </c>
      <c r="N10" s="1469" t="s">
        <v>466</v>
      </c>
    </row>
    <row r="11" spans="1:20" s="1425" customFormat="1" ht="27" customHeight="1">
      <c r="A11" s="1438" t="s">
        <v>768</v>
      </c>
      <c r="B11" s="1439">
        <f t="shared" ref="B11:J11" si="1">ROUND(B10/3,0)</f>
        <v>4</v>
      </c>
      <c r="C11" s="1439">
        <f t="shared" si="1"/>
        <v>38</v>
      </c>
      <c r="D11" s="1439">
        <f t="shared" si="1"/>
        <v>8</v>
      </c>
      <c r="E11" s="1439">
        <f t="shared" si="1"/>
        <v>7</v>
      </c>
      <c r="F11" s="1439">
        <f t="shared" si="1"/>
        <v>0</v>
      </c>
      <c r="G11" s="1439">
        <f t="shared" si="1"/>
        <v>3</v>
      </c>
      <c r="H11" s="1439">
        <f t="shared" si="1"/>
        <v>3</v>
      </c>
      <c r="I11" s="1439">
        <f t="shared" si="1"/>
        <v>0</v>
      </c>
      <c r="J11" s="1439">
        <f t="shared" si="1"/>
        <v>30</v>
      </c>
      <c r="K11" s="1439">
        <f>K10/3</f>
        <v>0</v>
      </c>
      <c r="L11" s="1439">
        <f>ROUND(L10/3,0)</f>
        <v>0</v>
      </c>
      <c r="M11" s="1439">
        <f>SUM(B11:L11)</f>
        <v>93</v>
      </c>
      <c r="N11" s="1470">
        <f>D11+E11+F11+G11+H11+I11</f>
        <v>21</v>
      </c>
      <c r="O11" s="1471"/>
    </row>
    <row r="12" spans="1:20">
      <c r="A12" s="1430" t="s">
        <v>769</v>
      </c>
      <c r="B12" s="1440"/>
      <c r="C12" s="1440"/>
      <c r="E12" s="1441" t="s">
        <v>770</v>
      </c>
      <c r="F12" s="1430"/>
      <c r="G12" s="1442">
        <f>M11</f>
        <v>93</v>
      </c>
      <c r="H12" s="1443" t="s">
        <v>708</v>
      </c>
      <c r="I12" s="1472">
        <v>0</v>
      </c>
      <c r="J12" s="1430" t="s">
        <v>771</v>
      </c>
    </row>
    <row r="13" spans="1:20">
      <c r="A13" s="1430" t="s">
        <v>772</v>
      </c>
      <c r="B13" s="1440"/>
      <c r="C13" s="1440"/>
      <c r="E13" s="1441" t="s">
        <v>773</v>
      </c>
      <c r="F13" s="1430"/>
      <c r="G13" s="1444">
        <f>IF(I12=0,G12,ROUNDUP(G12/2,0))</f>
        <v>93</v>
      </c>
      <c r="H13" s="1443" t="s">
        <v>708</v>
      </c>
      <c r="J13" s="1430" t="s">
        <v>774</v>
      </c>
    </row>
    <row r="14" spans="1:20">
      <c r="A14" s="1430" t="s">
        <v>775</v>
      </c>
      <c r="B14" s="1440"/>
      <c r="C14" s="1440"/>
      <c r="E14" s="1441"/>
      <c r="F14" s="1430"/>
      <c r="G14" s="1445">
        <f>IF(I12=1,G12,ROUNDUP(G12*2,0))</f>
        <v>186</v>
      </c>
      <c r="H14" s="1443" t="s">
        <v>708</v>
      </c>
    </row>
    <row r="15" spans="1:20">
      <c r="A15" s="1440" t="s">
        <v>776</v>
      </c>
      <c r="B15" s="1440"/>
      <c r="E15" s="1441" t="s">
        <v>777</v>
      </c>
      <c r="G15" s="1441">
        <v>2</v>
      </c>
      <c r="H15" s="1446"/>
      <c r="I15" s="1473"/>
      <c r="J15" s="1474">
        <v>75</v>
      </c>
      <c r="K15" s="1440" t="s">
        <v>778</v>
      </c>
    </row>
    <row r="16" spans="1:20">
      <c r="A16" s="1440" t="s">
        <v>779</v>
      </c>
      <c r="B16" s="1447"/>
      <c r="C16" s="1440"/>
      <c r="E16" s="1441" t="s">
        <v>780</v>
      </c>
      <c r="F16" s="1430"/>
      <c r="G16" s="1442">
        <f>ROUND(G13+(1.2*G13*J15)/365,0)</f>
        <v>116</v>
      </c>
      <c r="H16" s="1443" t="s">
        <v>708</v>
      </c>
      <c r="I16" s="1427" t="s">
        <v>781</v>
      </c>
      <c r="L16" s="1475"/>
      <c r="M16" s="1475"/>
      <c r="N16" s="1475"/>
      <c r="O16" s="1475"/>
      <c r="P16" s="1475"/>
    </row>
    <row r="17" spans="1:18">
      <c r="A17" s="1448"/>
      <c r="B17" s="1447"/>
      <c r="C17" s="1440"/>
      <c r="D17" s="1443" t="s">
        <v>782</v>
      </c>
      <c r="E17" s="1449"/>
      <c r="F17" s="1446"/>
      <c r="G17" s="1442"/>
      <c r="H17" s="1442"/>
      <c r="I17" s="1449"/>
      <c r="K17" s="1430" t="s">
        <v>783</v>
      </c>
      <c r="L17" s="1475"/>
      <c r="M17" s="1475"/>
      <c r="N17" s="1475"/>
      <c r="O17" s="1428"/>
      <c r="P17" s="1475"/>
    </row>
    <row r="18" spans="1:18" ht="17.399999999999999">
      <c r="A18" s="1427" t="s">
        <v>784</v>
      </c>
      <c r="B18" s="1447"/>
      <c r="C18" s="1440"/>
      <c r="E18" s="1441" t="s">
        <v>785</v>
      </c>
      <c r="F18" s="1443"/>
      <c r="G18" s="1442">
        <f>ROUND(G16*1.06^2,0)</f>
        <v>130</v>
      </c>
      <c r="H18" s="1443" t="s">
        <v>708</v>
      </c>
      <c r="J18" s="1429" t="s">
        <v>786</v>
      </c>
      <c r="L18" s="1475"/>
      <c r="M18" s="1475"/>
      <c r="N18" s="1475"/>
      <c r="O18" s="1475"/>
      <c r="P18" s="1475"/>
    </row>
    <row r="19" spans="1:18">
      <c r="A19" s="1427" t="s">
        <v>787</v>
      </c>
      <c r="E19" s="1428"/>
      <c r="H19" s="1450"/>
      <c r="L19" s="1475"/>
      <c r="M19" s="1475"/>
      <c r="N19" s="1475"/>
      <c r="O19" s="1475"/>
      <c r="P19" s="1475"/>
    </row>
    <row r="20" spans="1:18">
      <c r="E20" s="1441" t="s">
        <v>788</v>
      </c>
      <c r="F20" s="1430"/>
      <c r="G20" s="1441">
        <f>ROUND(((D11)/M11)*G18,0)</f>
        <v>11</v>
      </c>
      <c r="H20" s="1443" t="s">
        <v>708</v>
      </c>
      <c r="J20" s="1427" t="s">
        <v>789</v>
      </c>
      <c r="L20" s="1475"/>
      <c r="M20" s="1475"/>
      <c r="N20" s="1475"/>
      <c r="O20" s="1475"/>
      <c r="P20" s="1475"/>
    </row>
    <row r="21" spans="1:18">
      <c r="E21" s="1441" t="s">
        <v>788</v>
      </c>
      <c r="F21" s="1430"/>
      <c r="G21" s="1441">
        <f>ROUND(((E11)/M11)*G18,0)</f>
        <v>10</v>
      </c>
      <c r="H21" s="1443" t="s">
        <v>708</v>
      </c>
      <c r="J21" s="1427" t="s">
        <v>790</v>
      </c>
      <c r="L21" s="1475"/>
      <c r="M21" s="1475"/>
      <c r="N21" s="1475"/>
      <c r="O21" s="1475"/>
      <c r="P21" s="1475"/>
    </row>
    <row r="22" spans="1:18">
      <c r="A22" s="1427" t="s">
        <v>791</v>
      </c>
      <c r="E22" s="1441" t="s">
        <v>788</v>
      </c>
      <c r="F22" s="1430"/>
      <c r="G22" s="1441">
        <f>ROUND(((F11)/M11)*G18,0)</f>
        <v>0</v>
      </c>
      <c r="H22" s="1443" t="s">
        <v>708</v>
      </c>
      <c r="J22" s="1427" t="s">
        <v>792</v>
      </c>
      <c r="L22" s="1475"/>
      <c r="M22" s="1475"/>
      <c r="N22" s="1475"/>
      <c r="O22" s="1475"/>
      <c r="P22" s="1475"/>
    </row>
    <row r="23" spans="1:18">
      <c r="A23" s="1427" t="s">
        <v>793</v>
      </c>
      <c r="E23" s="1441" t="s">
        <v>794</v>
      </c>
      <c r="F23" s="1430"/>
      <c r="G23" s="1442">
        <f>ROUND(((G11)/M11)*G18,0)</f>
        <v>4</v>
      </c>
      <c r="H23" s="1443" t="s">
        <v>708</v>
      </c>
      <c r="J23" s="1427" t="s">
        <v>795</v>
      </c>
      <c r="L23" s="1475"/>
      <c r="M23" s="1475"/>
      <c r="N23" s="1475"/>
      <c r="O23" s="1475"/>
      <c r="P23" s="1475"/>
    </row>
    <row r="24" spans="1:18">
      <c r="E24" s="1441" t="s">
        <v>794</v>
      </c>
      <c r="F24" s="1430"/>
      <c r="G24" s="1441">
        <f>ROUND(((H11)/M11)*G18,0)</f>
        <v>4</v>
      </c>
      <c r="H24" s="1443" t="s">
        <v>708</v>
      </c>
      <c r="J24" s="1427" t="s">
        <v>796</v>
      </c>
      <c r="L24" s="1475"/>
      <c r="M24" s="1475"/>
      <c r="N24" s="1475"/>
      <c r="O24" s="1475"/>
      <c r="P24" s="1475"/>
    </row>
    <row r="25" spans="1:18">
      <c r="E25" s="1441" t="s">
        <v>794</v>
      </c>
      <c r="F25" s="1430"/>
      <c r="G25" s="1441">
        <f>ROUND(((I11)/M11)*G18,0)</f>
        <v>0</v>
      </c>
      <c r="H25" s="1443" t="s">
        <v>708</v>
      </c>
      <c r="J25" s="1427" t="s">
        <v>797</v>
      </c>
      <c r="L25" s="1475"/>
      <c r="M25" s="1475"/>
      <c r="N25" s="1475"/>
      <c r="O25" s="1475"/>
      <c r="P25" s="1475"/>
    </row>
    <row r="26" spans="1:18" ht="15.75" customHeight="1">
      <c r="A26" s="1430" t="s">
        <v>798</v>
      </c>
      <c r="D26" s="1430"/>
      <c r="E26" s="1441"/>
      <c r="F26" s="1430"/>
      <c r="G26" s="1441"/>
      <c r="H26" s="1441"/>
      <c r="I26" s="1441"/>
      <c r="J26" s="1476" t="s">
        <v>799</v>
      </c>
      <c r="K26" s="1475"/>
      <c r="L26" s="1475"/>
      <c r="N26" s="1475"/>
      <c r="O26" s="1475"/>
      <c r="P26" s="1475"/>
    </row>
    <row r="27" spans="1:18" ht="15.75" customHeight="1">
      <c r="A27" s="3610" t="s">
        <v>800</v>
      </c>
      <c r="B27" s="3610"/>
      <c r="C27" s="3610"/>
      <c r="D27" s="1450"/>
      <c r="E27" s="1443" t="s">
        <v>801</v>
      </c>
      <c r="F27" s="1430"/>
      <c r="G27" s="1441"/>
      <c r="H27" s="1441"/>
      <c r="I27" s="1441"/>
      <c r="J27" s="1477" t="s">
        <v>802</v>
      </c>
      <c r="K27" s="1477" t="s">
        <v>803</v>
      </c>
      <c r="L27" s="1477" t="s">
        <v>706</v>
      </c>
      <c r="M27" s="1477" t="s">
        <v>804</v>
      </c>
      <c r="N27" s="1475"/>
      <c r="O27" s="1475"/>
      <c r="P27" s="1475"/>
    </row>
    <row r="28" spans="1:18" ht="15.75" customHeight="1">
      <c r="E28" s="1441" t="s">
        <v>805</v>
      </c>
      <c r="F28" s="1451" t="str">
        <f>"("&amp;K28&amp;"x"&amp;G23&amp;") + ("&amp;L28&amp;"x"&amp;G24&amp;") + ("&amp;M28&amp;"x"&amp;G25&amp;") + ("&amp;K29&amp;"x"&amp;G20&amp;") + ("&amp;L29&amp;"x"&amp;G21&amp;") + ("&amp;M29&amp;"x"&amp;G22&amp;")"</f>
        <v>(2.58x4) + (0.31x4) + (2.86x0) + (0.31x11) + (0.02x10) + (0.34x0)</v>
      </c>
      <c r="I28" s="1441"/>
      <c r="J28" s="1477" t="s">
        <v>806</v>
      </c>
      <c r="K28" s="1477">
        <v>2.58</v>
      </c>
      <c r="L28" s="1477">
        <v>0.31</v>
      </c>
      <c r="M28" s="1477">
        <v>2.86</v>
      </c>
      <c r="N28" s="1428"/>
      <c r="O28" s="1428"/>
      <c r="P28" s="1475"/>
    </row>
    <row r="29" spans="1:18" ht="15.75" customHeight="1">
      <c r="D29" s="1440"/>
      <c r="E29" s="1441" t="s">
        <v>805</v>
      </c>
      <c r="F29" s="1430"/>
      <c r="G29" s="1447">
        <f>ROUND(G20*K29+G21*L29+G22*M29+G23*K28+G24*L28+G25*M28,2)</f>
        <v>15.17</v>
      </c>
      <c r="H29" s="1430" t="s">
        <v>807</v>
      </c>
      <c r="I29" s="1449"/>
      <c r="J29" s="1478" t="s">
        <v>808</v>
      </c>
      <c r="K29" s="1478">
        <v>0.31</v>
      </c>
      <c r="L29" s="1478">
        <v>0.02</v>
      </c>
      <c r="M29" s="1478">
        <v>0.34</v>
      </c>
      <c r="N29" s="1449"/>
      <c r="O29" s="1428"/>
      <c r="P29" s="1475"/>
    </row>
    <row r="30" spans="1:18" ht="17.399999999999999">
      <c r="A30" s="3611" t="s">
        <v>809</v>
      </c>
      <c r="B30" s="3611"/>
      <c r="C30" s="3611"/>
      <c r="D30" s="1440"/>
      <c r="E30" s="1441" t="s">
        <v>810</v>
      </c>
      <c r="F30" s="1430"/>
      <c r="G30" s="3612">
        <f>G29*4811*1</f>
        <v>72982.87</v>
      </c>
      <c r="H30" s="3613"/>
      <c r="I30" s="1479" t="s">
        <v>811</v>
      </c>
      <c r="J30" s="1440"/>
      <c r="K30" s="1440"/>
      <c r="L30" s="1449"/>
      <c r="M30" s="1475"/>
      <c r="N30" s="1475"/>
      <c r="O30" s="1475"/>
      <c r="P30" s="1475"/>
      <c r="Q30" s="1427">
        <f>1.075^15</f>
        <v>2.9588773528094912</v>
      </c>
      <c r="R30" s="1427">
        <f>Q30-1</f>
        <v>1.9588773528094912</v>
      </c>
    </row>
    <row r="31" spans="1:18">
      <c r="D31" s="1430"/>
      <c r="E31" s="1430"/>
      <c r="F31" s="1430"/>
      <c r="G31" s="1440"/>
      <c r="H31" s="1452" t="s">
        <v>812</v>
      </c>
      <c r="I31" s="1449"/>
      <c r="J31" s="1440"/>
      <c r="K31" s="1440"/>
      <c r="L31" s="1449"/>
      <c r="M31" s="1475"/>
      <c r="N31" s="1475"/>
      <c r="O31" s="1475"/>
      <c r="P31" s="1475"/>
      <c r="R31" s="1427">
        <f>365*R30</f>
        <v>714.99023377546428</v>
      </c>
    </row>
    <row r="32" spans="1:18" ht="45.6" customHeight="1">
      <c r="A32" s="3592"/>
      <c r="B32" s="3593"/>
      <c r="C32" s="3594"/>
      <c r="D32" s="3595"/>
      <c r="E32" s="3596"/>
      <c r="F32" s="3597"/>
      <c r="G32" s="3598"/>
      <c r="H32" s="3599"/>
      <c r="I32" s="3599"/>
      <c r="J32" s="3600"/>
      <c r="K32" s="3601"/>
      <c r="L32" s="3601"/>
      <c r="M32" s="3602"/>
      <c r="N32" s="1475"/>
      <c r="O32" s="1475"/>
      <c r="P32" s="1475"/>
    </row>
    <row r="33" spans="1:18">
      <c r="A33" s="1453"/>
      <c r="B33" s="1454" t="s">
        <v>813</v>
      </c>
      <c r="C33" s="1455"/>
      <c r="D33" s="1456"/>
      <c r="E33" s="1457" t="s">
        <v>814</v>
      </c>
      <c r="F33" s="1458"/>
      <c r="G33" s="1459"/>
      <c r="H33" s="1454" t="s">
        <v>761</v>
      </c>
      <c r="I33" s="1480"/>
      <c r="J33" s="1481" t="s">
        <v>684</v>
      </c>
      <c r="K33" s="1482"/>
      <c r="L33" s="1482"/>
      <c r="M33" s="1483"/>
      <c r="N33" s="1475"/>
      <c r="O33" s="1475"/>
      <c r="P33" s="1475"/>
    </row>
    <row r="34" spans="1:18" s="1426" customFormat="1">
      <c r="A34" s="1460"/>
      <c r="B34" s="1461" t="str">
        <f>'Bridge Data'!C678</f>
        <v>PRSD, Maddur</v>
      </c>
      <c r="C34" s="1462"/>
      <c r="D34" s="1463"/>
      <c r="E34" s="1464" t="str">
        <f>'Bridge Data'!G678</f>
        <v>PRSD, Maddur</v>
      </c>
      <c r="F34" s="1465"/>
      <c r="G34" s="1463"/>
      <c r="H34" s="1461" t="str">
        <f>'Bridge Data'!C682</f>
        <v>PIU, Narayanpet</v>
      </c>
      <c r="I34" s="1484"/>
      <c r="J34" s="1485"/>
      <c r="K34" s="1486" t="str">
        <f>'Bridge Data'!G682</f>
        <v>PR, Circle, Vikarabad</v>
      </c>
      <c r="L34" s="1487"/>
      <c r="M34" s="1488"/>
      <c r="N34" s="1440"/>
    </row>
    <row r="35" spans="1:18">
      <c r="B35" s="1428"/>
      <c r="K35" s="1428"/>
      <c r="R35" s="1427">
        <f>R31/0.075</f>
        <v>9533.203117006191</v>
      </c>
    </row>
    <row r="36" spans="1:18">
      <c r="B36" s="1428"/>
      <c r="K36" s="1428"/>
      <c r="R36" s="1427">
        <f>R35*382*0.75*2.5</f>
        <v>6828156.7325556846</v>
      </c>
    </row>
    <row r="37" spans="1:18">
      <c r="B37" s="1428"/>
      <c r="J37" s="1428"/>
      <c r="K37" s="1428"/>
      <c r="R37" s="1427" t="s">
        <v>815</v>
      </c>
    </row>
    <row r="38" spans="1:18">
      <c r="B38" s="1428"/>
      <c r="K38" s="1428"/>
      <c r="L38" s="1428"/>
    </row>
    <row r="39" spans="1:18">
      <c r="B39" s="1428"/>
      <c r="K39" s="1428"/>
    </row>
    <row r="40" spans="1:18">
      <c r="B40" s="1428"/>
      <c r="K40" s="1428"/>
    </row>
    <row r="42" spans="1:18">
      <c r="D42" s="1466"/>
      <c r="E42" s="1466"/>
      <c r="F42" s="1466"/>
    </row>
  </sheetData>
  <protectedRanges>
    <protectedRange sqref="A7:A9" name="Range2"/>
    <protectedRange sqref="I12" name="Range3"/>
    <protectedRange sqref="B7:L9" name="Range2_1"/>
  </protectedRanges>
  <mergeCells count="15">
    <mergeCell ref="A1:M1"/>
    <mergeCell ref="A2:M2"/>
    <mergeCell ref="A3:M3"/>
    <mergeCell ref="B4:L4"/>
    <mergeCell ref="A32:C32"/>
    <mergeCell ref="D32:F32"/>
    <mergeCell ref="G32:I32"/>
    <mergeCell ref="J32:M32"/>
    <mergeCell ref="A4:A5"/>
    <mergeCell ref="M4:M5"/>
    <mergeCell ref="D5:F5"/>
    <mergeCell ref="G5:I5"/>
    <mergeCell ref="A27:C27"/>
    <mergeCell ref="A30:C30"/>
    <mergeCell ref="G30:H30"/>
  </mergeCells>
  <pageMargins left="0.74803149606299202" right="0.74803149606299202" top="0.39370078740157499" bottom="0.196850393700787" header="0.196850393700787" footer="0.196850393700787"/>
  <pageSetup paperSize="9" scale="87" orientation="landscape" r:id="rId1"/>
  <headerFooter scaleWithDoc="0" alignWithMargins="0"/>
  <colBreaks count="1" manualBreakCount="1">
    <brk id="1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P36"/>
  <sheetViews>
    <sheetView view="pageBreakPreview" workbookViewId="0">
      <selection activeCell="F156" sqref="F156:G156"/>
    </sheetView>
  </sheetViews>
  <sheetFormatPr defaultColWidth="9" defaultRowHeight="14.4"/>
  <cols>
    <col min="1" max="1" width="7" style="1340" customWidth="1"/>
    <col min="2" max="2" width="12.44140625" style="1340" customWidth="1"/>
    <col min="3" max="3" width="23" style="1340" customWidth="1"/>
    <col min="4" max="4" width="13.6640625" style="1341" customWidth="1"/>
    <col min="5" max="5" width="9" style="1340" customWidth="1"/>
    <col min="6" max="6" width="1.6640625" style="1340" customWidth="1"/>
    <col min="7" max="7" width="8.88671875" style="1340"/>
    <col min="8" max="8" width="16.44140625" style="1340" customWidth="1"/>
    <col min="9" max="256" width="8.88671875" style="1340"/>
    <col min="257" max="257" width="7" style="1340" customWidth="1"/>
    <col min="258" max="258" width="12.44140625" style="1340" customWidth="1"/>
    <col min="259" max="259" width="23" style="1340" customWidth="1"/>
    <col min="260" max="260" width="13.6640625" style="1340" customWidth="1"/>
    <col min="261" max="261" width="9" style="1340" customWidth="1"/>
    <col min="262" max="262" width="1.6640625" style="1340" customWidth="1"/>
    <col min="263" max="263" width="8.88671875" style="1340"/>
    <col min="264" max="264" width="16.44140625" style="1340" customWidth="1"/>
    <col min="265" max="512" width="8.88671875" style="1340"/>
    <col min="513" max="513" width="7" style="1340" customWidth="1"/>
    <col min="514" max="514" width="12.44140625" style="1340" customWidth="1"/>
    <col min="515" max="515" width="23" style="1340" customWidth="1"/>
    <col min="516" max="516" width="13.6640625" style="1340" customWidth="1"/>
    <col min="517" max="517" width="9" style="1340" customWidth="1"/>
    <col min="518" max="518" width="1.6640625" style="1340" customWidth="1"/>
    <col min="519" max="519" width="8.88671875" style="1340"/>
    <col min="520" max="520" width="16.44140625" style="1340" customWidth="1"/>
    <col min="521" max="768" width="8.88671875" style="1340"/>
    <col min="769" max="769" width="7" style="1340" customWidth="1"/>
    <col min="770" max="770" width="12.44140625" style="1340" customWidth="1"/>
    <col min="771" max="771" width="23" style="1340" customWidth="1"/>
    <col min="772" max="772" width="13.6640625" style="1340" customWidth="1"/>
    <col min="773" max="773" width="9" style="1340" customWidth="1"/>
    <col min="774" max="774" width="1.6640625" style="1340" customWidth="1"/>
    <col min="775" max="775" width="8.88671875" style="1340"/>
    <col min="776" max="776" width="16.44140625" style="1340" customWidth="1"/>
    <col min="777" max="1024" width="8.88671875" style="1340"/>
    <col min="1025" max="1025" width="7" style="1340" customWidth="1"/>
    <col min="1026" max="1026" width="12.44140625" style="1340" customWidth="1"/>
    <col min="1027" max="1027" width="23" style="1340" customWidth="1"/>
    <col min="1028" max="1028" width="13.6640625" style="1340" customWidth="1"/>
    <col min="1029" max="1029" width="9" style="1340" customWidth="1"/>
    <col min="1030" max="1030" width="1.6640625" style="1340" customWidth="1"/>
    <col min="1031" max="1031" width="8.88671875" style="1340"/>
    <col min="1032" max="1032" width="16.44140625" style="1340" customWidth="1"/>
    <col min="1033" max="1280" width="8.88671875" style="1340"/>
    <col min="1281" max="1281" width="7" style="1340" customWidth="1"/>
    <col min="1282" max="1282" width="12.44140625" style="1340" customWidth="1"/>
    <col min="1283" max="1283" width="23" style="1340" customWidth="1"/>
    <col min="1284" max="1284" width="13.6640625" style="1340" customWidth="1"/>
    <col min="1285" max="1285" width="9" style="1340" customWidth="1"/>
    <col min="1286" max="1286" width="1.6640625" style="1340" customWidth="1"/>
    <col min="1287" max="1287" width="8.88671875" style="1340"/>
    <col min="1288" max="1288" width="16.44140625" style="1340" customWidth="1"/>
    <col min="1289" max="1536" width="8.88671875" style="1340"/>
    <col min="1537" max="1537" width="7" style="1340" customWidth="1"/>
    <col min="1538" max="1538" width="12.44140625" style="1340" customWidth="1"/>
    <col min="1539" max="1539" width="23" style="1340" customWidth="1"/>
    <col min="1540" max="1540" width="13.6640625" style="1340" customWidth="1"/>
    <col min="1541" max="1541" width="9" style="1340" customWidth="1"/>
    <col min="1542" max="1542" width="1.6640625" style="1340" customWidth="1"/>
    <col min="1543" max="1543" width="8.88671875" style="1340"/>
    <col min="1544" max="1544" width="16.44140625" style="1340" customWidth="1"/>
    <col min="1545" max="1792" width="8.88671875" style="1340"/>
    <col min="1793" max="1793" width="7" style="1340" customWidth="1"/>
    <col min="1794" max="1794" width="12.44140625" style="1340" customWidth="1"/>
    <col min="1795" max="1795" width="23" style="1340" customWidth="1"/>
    <col min="1796" max="1796" width="13.6640625" style="1340" customWidth="1"/>
    <col min="1797" max="1797" width="9" style="1340" customWidth="1"/>
    <col min="1798" max="1798" width="1.6640625" style="1340" customWidth="1"/>
    <col min="1799" max="1799" width="8.88671875" style="1340"/>
    <col min="1800" max="1800" width="16.44140625" style="1340" customWidth="1"/>
    <col min="1801" max="2048" width="8.88671875" style="1340"/>
    <col min="2049" max="2049" width="7" style="1340" customWidth="1"/>
    <col min="2050" max="2050" width="12.44140625" style="1340" customWidth="1"/>
    <col min="2051" max="2051" width="23" style="1340" customWidth="1"/>
    <col min="2052" max="2052" width="13.6640625" style="1340" customWidth="1"/>
    <col min="2053" max="2053" width="9" style="1340" customWidth="1"/>
    <col min="2054" max="2054" width="1.6640625" style="1340" customWidth="1"/>
    <col min="2055" max="2055" width="8.88671875" style="1340"/>
    <col min="2056" max="2056" width="16.44140625" style="1340" customWidth="1"/>
    <col min="2057" max="2304" width="8.88671875" style="1340"/>
    <col min="2305" max="2305" width="7" style="1340" customWidth="1"/>
    <col min="2306" max="2306" width="12.44140625" style="1340" customWidth="1"/>
    <col min="2307" max="2307" width="23" style="1340" customWidth="1"/>
    <col min="2308" max="2308" width="13.6640625" style="1340" customWidth="1"/>
    <col min="2309" max="2309" width="9" style="1340" customWidth="1"/>
    <col min="2310" max="2310" width="1.6640625" style="1340" customWidth="1"/>
    <col min="2311" max="2311" width="8.88671875" style="1340"/>
    <col min="2312" max="2312" width="16.44140625" style="1340" customWidth="1"/>
    <col min="2313" max="2560" width="8.88671875" style="1340"/>
    <col min="2561" max="2561" width="7" style="1340" customWidth="1"/>
    <col min="2562" max="2562" width="12.44140625" style="1340" customWidth="1"/>
    <col min="2563" max="2563" width="23" style="1340" customWidth="1"/>
    <col min="2564" max="2564" width="13.6640625" style="1340" customWidth="1"/>
    <col min="2565" max="2565" width="9" style="1340" customWidth="1"/>
    <col min="2566" max="2566" width="1.6640625" style="1340" customWidth="1"/>
    <col min="2567" max="2567" width="8.88671875" style="1340"/>
    <col min="2568" max="2568" width="16.44140625" style="1340" customWidth="1"/>
    <col min="2569" max="2816" width="8.88671875" style="1340"/>
    <col min="2817" max="2817" width="7" style="1340" customWidth="1"/>
    <col min="2818" max="2818" width="12.44140625" style="1340" customWidth="1"/>
    <col min="2819" max="2819" width="23" style="1340" customWidth="1"/>
    <col min="2820" max="2820" width="13.6640625" style="1340" customWidth="1"/>
    <col min="2821" max="2821" width="9" style="1340" customWidth="1"/>
    <col min="2822" max="2822" width="1.6640625" style="1340" customWidth="1"/>
    <col min="2823" max="2823" width="8.88671875" style="1340"/>
    <col min="2824" max="2824" width="16.44140625" style="1340" customWidth="1"/>
    <col min="2825" max="3072" width="8.88671875" style="1340"/>
    <col min="3073" max="3073" width="7" style="1340" customWidth="1"/>
    <col min="3074" max="3074" width="12.44140625" style="1340" customWidth="1"/>
    <col min="3075" max="3075" width="23" style="1340" customWidth="1"/>
    <col min="3076" max="3076" width="13.6640625" style="1340" customWidth="1"/>
    <col min="3077" max="3077" width="9" style="1340" customWidth="1"/>
    <col min="3078" max="3078" width="1.6640625" style="1340" customWidth="1"/>
    <col min="3079" max="3079" width="8.88671875" style="1340"/>
    <col min="3080" max="3080" width="16.44140625" style="1340" customWidth="1"/>
    <col min="3081" max="3328" width="8.88671875" style="1340"/>
    <col min="3329" max="3329" width="7" style="1340" customWidth="1"/>
    <col min="3330" max="3330" width="12.44140625" style="1340" customWidth="1"/>
    <col min="3331" max="3331" width="23" style="1340" customWidth="1"/>
    <col min="3332" max="3332" width="13.6640625" style="1340" customWidth="1"/>
    <col min="3333" max="3333" width="9" style="1340" customWidth="1"/>
    <col min="3334" max="3334" width="1.6640625" style="1340" customWidth="1"/>
    <col min="3335" max="3335" width="8.88671875" style="1340"/>
    <col min="3336" max="3336" width="16.44140625" style="1340" customWidth="1"/>
    <col min="3337" max="3584" width="8.88671875" style="1340"/>
    <col min="3585" max="3585" width="7" style="1340" customWidth="1"/>
    <col min="3586" max="3586" width="12.44140625" style="1340" customWidth="1"/>
    <col min="3587" max="3587" width="23" style="1340" customWidth="1"/>
    <col min="3588" max="3588" width="13.6640625" style="1340" customWidth="1"/>
    <col min="3589" max="3589" width="9" style="1340" customWidth="1"/>
    <col min="3590" max="3590" width="1.6640625" style="1340" customWidth="1"/>
    <col min="3591" max="3591" width="8.88671875" style="1340"/>
    <col min="3592" max="3592" width="16.44140625" style="1340" customWidth="1"/>
    <col min="3593" max="3840" width="8.88671875" style="1340"/>
    <col min="3841" max="3841" width="7" style="1340" customWidth="1"/>
    <col min="3842" max="3842" width="12.44140625" style="1340" customWidth="1"/>
    <col min="3843" max="3843" width="23" style="1340" customWidth="1"/>
    <col min="3844" max="3844" width="13.6640625" style="1340" customWidth="1"/>
    <col min="3845" max="3845" width="9" style="1340" customWidth="1"/>
    <col min="3846" max="3846" width="1.6640625" style="1340" customWidth="1"/>
    <col min="3847" max="3847" width="8.88671875" style="1340"/>
    <col min="3848" max="3848" width="16.44140625" style="1340" customWidth="1"/>
    <col min="3849" max="4096" width="8.88671875" style="1340"/>
    <col min="4097" max="4097" width="7" style="1340" customWidth="1"/>
    <col min="4098" max="4098" width="12.44140625" style="1340" customWidth="1"/>
    <col min="4099" max="4099" width="23" style="1340" customWidth="1"/>
    <col min="4100" max="4100" width="13.6640625" style="1340" customWidth="1"/>
    <col min="4101" max="4101" width="9" style="1340" customWidth="1"/>
    <col min="4102" max="4102" width="1.6640625" style="1340" customWidth="1"/>
    <col min="4103" max="4103" width="8.88671875" style="1340"/>
    <col min="4104" max="4104" width="16.44140625" style="1340" customWidth="1"/>
    <col min="4105" max="4352" width="8.88671875" style="1340"/>
    <col min="4353" max="4353" width="7" style="1340" customWidth="1"/>
    <col min="4354" max="4354" width="12.44140625" style="1340" customWidth="1"/>
    <col min="4355" max="4355" width="23" style="1340" customWidth="1"/>
    <col min="4356" max="4356" width="13.6640625" style="1340" customWidth="1"/>
    <col min="4357" max="4357" width="9" style="1340" customWidth="1"/>
    <col min="4358" max="4358" width="1.6640625" style="1340" customWidth="1"/>
    <col min="4359" max="4359" width="8.88671875" style="1340"/>
    <col min="4360" max="4360" width="16.44140625" style="1340" customWidth="1"/>
    <col min="4361" max="4608" width="8.88671875" style="1340"/>
    <col min="4609" max="4609" width="7" style="1340" customWidth="1"/>
    <col min="4610" max="4610" width="12.44140625" style="1340" customWidth="1"/>
    <col min="4611" max="4611" width="23" style="1340" customWidth="1"/>
    <col min="4612" max="4612" width="13.6640625" style="1340" customWidth="1"/>
    <col min="4613" max="4613" width="9" style="1340" customWidth="1"/>
    <col min="4614" max="4614" width="1.6640625" style="1340" customWidth="1"/>
    <col min="4615" max="4615" width="8.88671875" style="1340"/>
    <col min="4616" max="4616" width="16.44140625" style="1340" customWidth="1"/>
    <col min="4617" max="4864" width="8.88671875" style="1340"/>
    <col min="4865" max="4865" width="7" style="1340" customWidth="1"/>
    <col min="4866" max="4866" width="12.44140625" style="1340" customWidth="1"/>
    <col min="4867" max="4867" width="23" style="1340" customWidth="1"/>
    <col min="4868" max="4868" width="13.6640625" style="1340" customWidth="1"/>
    <col min="4869" max="4869" width="9" style="1340" customWidth="1"/>
    <col min="4870" max="4870" width="1.6640625" style="1340" customWidth="1"/>
    <col min="4871" max="4871" width="8.88671875" style="1340"/>
    <col min="4872" max="4872" width="16.44140625" style="1340" customWidth="1"/>
    <col min="4873" max="5120" width="8.88671875" style="1340"/>
    <col min="5121" max="5121" width="7" style="1340" customWidth="1"/>
    <col min="5122" max="5122" width="12.44140625" style="1340" customWidth="1"/>
    <col min="5123" max="5123" width="23" style="1340" customWidth="1"/>
    <col min="5124" max="5124" width="13.6640625" style="1340" customWidth="1"/>
    <col min="5125" max="5125" width="9" style="1340" customWidth="1"/>
    <col min="5126" max="5126" width="1.6640625" style="1340" customWidth="1"/>
    <col min="5127" max="5127" width="8.88671875" style="1340"/>
    <col min="5128" max="5128" width="16.44140625" style="1340" customWidth="1"/>
    <col min="5129" max="5376" width="8.88671875" style="1340"/>
    <col min="5377" max="5377" width="7" style="1340" customWidth="1"/>
    <col min="5378" max="5378" width="12.44140625" style="1340" customWidth="1"/>
    <col min="5379" max="5379" width="23" style="1340" customWidth="1"/>
    <col min="5380" max="5380" width="13.6640625" style="1340" customWidth="1"/>
    <col min="5381" max="5381" width="9" style="1340" customWidth="1"/>
    <col min="5382" max="5382" width="1.6640625" style="1340" customWidth="1"/>
    <col min="5383" max="5383" width="8.88671875" style="1340"/>
    <col min="5384" max="5384" width="16.44140625" style="1340" customWidth="1"/>
    <col min="5385" max="5632" width="8.88671875" style="1340"/>
    <col min="5633" max="5633" width="7" style="1340" customWidth="1"/>
    <col min="5634" max="5634" width="12.44140625" style="1340" customWidth="1"/>
    <col min="5635" max="5635" width="23" style="1340" customWidth="1"/>
    <col min="5636" max="5636" width="13.6640625" style="1340" customWidth="1"/>
    <col min="5637" max="5637" width="9" style="1340" customWidth="1"/>
    <col min="5638" max="5638" width="1.6640625" style="1340" customWidth="1"/>
    <col min="5639" max="5639" width="8.88671875" style="1340"/>
    <col min="5640" max="5640" width="16.44140625" style="1340" customWidth="1"/>
    <col min="5641" max="5888" width="8.88671875" style="1340"/>
    <col min="5889" max="5889" width="7" style="1340" customWidth="1"/>
    <col min="5890" max="5890" width="12.44140625" style="1340" customWidth="1"/>
    <col min="5891" max="5891" width="23" style="1340" customWidth="1"/>
    <col min="5892" max="5892" width="13.6640625" style="1340" customWidth="1"/>
    <col min="5893" max="5893" width="9" style="1340" customWidth="1"/>
    <col min="5894" max="5894" width="1.6640625" style="1340" customWidth="1"/>
    <col min="5895" max="5895" width="8.88671875" style="1340"/>
    <col min="5896" max="5896" width="16.44140625" style="1340" customWidth="1"/>
    <col min="5897" max="6144" width="8.88671875" style="1340"/>
    <col min="6145" max="6145" width="7" style="1340" customWidth="1"/>
    <col min="6146" max="6146" width="12.44140625" style="1340" customWidth="1"/>
    <col min="6147" max="6147" width="23" style="1340" customWidth="1"/>
    <col min="6148" max="6148" width="13.6640625" style="1340" customWidth="1"/>
    <col min="6149" max="6149" width="9" style="1340" customWidth="1"/>
    <col min="6150" max="6150" width="1.6640625" style="1340" customWidth="1"/>
    <col min="6151" max="6151" width="8.88671875" style="1340"/>
    <col min="6152" max="6152" width="16.44140625" style="1340" customWidth="1"/>
    <col min="6153" max="6400" width="8.88671875" style="1340"/>
    <col min="6401" max="6401" width="7" style="1340" customWidth="1"/>
    <col min="6402" max="6402" width="12.44140625" style="1340" customWidth="1"/>
    <col min="6403" max="6403" width="23" style="1340" customWidth="1"/>
    <col min="6404" max="6404" width="13.6640625" style="1340" customWidth="1"/>
    <col min="6405" max="6405" width="9" style="1340" customWidth="1"/>
    <col min="6406" max="6406" width="1.6640625" style="1340" customWidth="1"/>
    <col min="6407" max="6407" width="8.88671875" style="1340"/>
    <col min="6408" max="6408" width="16.44140625" style="1340" customWidth="1"/>
    <col min="6409" max="6656" width="8.88671875" style="1340"/>
    <col min="6657" max="6657" width="7" style="1340" customWidth="1"/>
    <col min="6658" max="6658" width="12.44140625" style="1340" customWidth="1"/>
    <col min="6659" max="6659" width="23" style="1340" customWidth="1"/>
    <col min="6660" max="6660" width="13.6640625" style="1340" customWidth="1"/>
    <col min="6661" max="6661" width="9" style="1340" customWidth="1"/>
    <col min="6662" max="6662" width="1.6640625" style="1340" customWidth="1"/>
    <col min="6663" max="6663" width="8.88671875" style="1340"/>
    <col min="6664" max="6664" width="16.44140625" style="1340" customWidth="1"/>
    <col min="6665" max="6912" width="8.88671875" style="1340"/>
    <col min="6913" max="6913" width="7" style="1340" customWidth="1"/>
    <col min="6914" max="6914" width="12.44140625" style="1340" customWidth="1"/>
    <col min="6915" max="6915" width="23" style="1340" customWidth="1"/>
    <col min="6916" max="6916" width="13.6640625" style="1340" customWidth="1"/>
    <col min="6917" max="6917" width="9" style="1340" customWidth="1"/>
    <col min="6918" max="6918" width="1.6640625" style="1340" customWidth="1"/>
    <col min="6919" max="6919" width="8.88671875" style="1340"/>
    <col min="6920" max="6920" width="16.44140625" style="1340" customWidth="1"/>
    <col min="6921" max="7168" width="8.88671875" style="1340"/>
    <col min="7169" max="7169" width="7" style="1340" customWidth="1"/>
    <col min="7170" max="7170" width="12.44140625" style="1340" customWidth="1"/>
    <col min="7171" max="7171" width="23" style="1340" customWidth="1"/>
    <col min="7172" max="7172" width="13.6640625" style="1340" customWidth="1"/>
    <col min="7173" max="7173" width="9" style="1340" customWidth="1"/>
    <col min="7174" max="7174" width="1.6640625" style="1340" customWidth="1"/>
    <col min="7175" max="7175" width="8.88671875" style="1340"/>
    <col min="7176" max="7176" width="16.44140625" style="1340" customWidth="1"/>
    <col min="7177" max="7424" width="8.88671875" style="1340"/>
    <col min="7425" max="7425" width="7" style="1340" customWidth="1"/>
    <col min="7426" max="7426" width="12.44140625" style="1340" customWidth="1"/>
    <col min="7427" max="7427" width="23" style="1340" customWidth="1"/>
    <col min="7428" max="7428" width="13.6640625" style="1340" customWidth="1"/>
    <col min="7429" max="7429" width="9" style="1340" customWidth="1"/>
    <col min="7430" max="7430" width="1.6640625" style="1340" customWidth="1"/>
    <col min="7431" max="7431" width="8.88671875" style="1340"/>
    <col min="7432" max="7432" width="16.44140625" style="1340" customWidth="1"/>
    <col min="7433" max="7680" width="8.88671875" style="1340"/>
    <col min="7681" max="7681" width="7" style="1340" customWidth="1"/>
    <col min="7682" max="7682" width="12.44140625" style="1340" customWidth="1"/>
    <col min="7683" max="7683" width="23" style="1340" customWidth="1"/>
    <col min="7684" max="7684" width="13.6640625" style="1340" customWidth="1"/>
    <col min="7685" max="7685" width="9" style="1340" customWidth="1"/>
    <col min="7686" max="7686" width="1.6640625" style="1340" customWidth="1"/>
    <col min="7687" max="7687" width="8.88671875" style="1340"/>
    <col min="7688" max="7688" width="16.44140625" style="1340" customWidth="1"/>
    <col min="7689" max="7936" width="8.88671875" style="1340"/>
    <col min="7937" max="7937" width="7" style="1340" customWidth="1"/>
    <col min="7938" max="7938" width="12.44140625" style="1340" customWidth="1"/>
    <col min="7939" max="7939" width="23" style="1340" customWidth="1"/>
    <col min="7940" max="7940" width="13.6640625" style="1340" customWidth="1"/>
    <col min="7941" max="7941" width="9" style="1340" customWidth="1"/>
    <col min="7942" max="7942" width="1.6640625" style="1340" customWidth="1"/>
    <col min="7943" max="7943" width="8.88671875" style="1340"/>
    <col min="7944" max="7944" width="16.44140625" style="1340" customWidth="1"/>
    <col min="7945" max="8192" width="8.88671875" style="1340"/>
    <col min="8193" max="8193" width="7" style="1340" customWidth="1"/>
    <col min="8194" max="8194" width="12.44140625" style="1340" customWidth="1"/>
    <col min="8195" max="8195" width="23" style="1340" customWidth="1"/>
    <col min="8196" max="8196" width="13.6640625" style="1340" customWidth="1"/>
    <col min="8197" max="8197" width="9" style="1340" customWidth="1"/>
    <col min="8198" max="8198" width="1.6640625" style="1340" customWidth="1"/>
    <col min="8199" max="8199" width="8.88671875" style="1340"/>
    <col min="8200" max="8200" width="16.44140625" style="1340" customWidth="1"/>
    <col min="8201" max="8448" width="8.88671875" style="1340"/>
    <col min="8449" max="8449" width="7" style="1340" customWidth="1"/>
    <col min="8450" max="8450" width="12.44140625" style="1340" customWidth="1"/>
    <col min="8451" max="8451" width="23" style="1340" customWidth="1"/>
    <col min="8452" max="8452" width="13.6640625" style="1340" customWidth="1"/>
    <col min="8453" max="8453" width="9" style="1340" customWidth="1"/>
    <col min="8454" max="8454" width="1.6640625" style="1340" customWidth="1"/>
    <col min="8455" max="8455" width="8.88671875" style="1340"/>
    <col min="8456" max="8456" width="16.44140625" style="1340" customWidth="1"/>
    <col min="8457" max="8704" width="8.88671875" style="1340"/>
    <col min="8705" max="8705" width="7" style="1340" customWidth="1"/>
    <col min="8706" max="8706" width="12.44140625" style="1340" customWidth="1"/>
    <col min="8707" max="8707" width="23" style="1340" customWidth="1"/>
    <col min="8708" max="8708" width="13.6640625" style="1340" customWidth="1"/>
    <col min="8709" max="8709" width="9" style="1340" customWidth="1"/>
    <col min="8710" max="8710" width="1.6640625" style="1340" customWidth="1"/>
    <col min="8711" max="8711" width="8.88671875" style="1340"/>
    <col min="8712" max="8712" width="16.44140625" style="1340" customWidth="1"/>
    <col min="8713" max="8960" width="8.88671875" style="1340"/>
    <col min="8961" max="8961" width="7" style="1340" customWidth="1"/>
    <col min="8962" max="8962" width="12.44140625" style="1340" customWidth="1"/>
    <col min="8963" max="8963" width="23" style="1340" customWidth="1"/>
    <col min="8964" max="8964" width="13.6640625" style="1340" customWidth="1"/>
    <col min="8965" max="8965" width="9" style="1340" customWidth="1"/>
    <col min="8966" max="8966" width="1.6640625" style="1340" customWidth="1"/>
    <col min="8967" max="8967" width="8.88671875" style="1340"/>
    <col min="8968" max="8968" width="16.44140625" style="1340" customWidth="1"/>
    <col min="8969" max="9216" width="8.88671875" style="1340"/>
    <col min="9217" max="9217" width="7" style="1340" customWidth="1"/>
    <col min="9218" max="9218" width="12.44140625" style="1340" customWidth="1"/>
    <col min="9219" max="9219" width="23" style="1340" customWidth="1"/>
    <col min="9220" max="9220" width="13.6640625" style="1340" customWidth="1"/>
    <col min="9221" max="9221" width="9" style="1340" customWidth="1"/>
    <col min="9222" max="9222" width="1.6640625" style="1340" customWidth="1"/>
    <col min="9223" max="9223" width="8.88671875" style="1340"/>
    <col min="9224" max="9224" width="16.44140625" style="1340" customWidth="1"/>
    <col min="9225" max="9472" width="8.88671875" style="1340"/>
    <col min="9473" max="9473" width="7" style="1340" customWidth="1"/>
    <col min="9474" max="9474" width="12.44140625" style="1340" customWidth="1"/>
    <col min="9475" max="9475" width="23" style="1340" customWidth="1"/>
    <col min="9476" max="9476" width="13.6640625" style="1340" customWidth="1"/>
    <col min="9477" max="9477" width="9" style="1340" customWidth="1"/>
    <col min="9478" max="9478" width="1.6640625" style="1340" customWidth="1"/>
    <col min="9479" max="9479" width="8.88671875" style="1340"/>
    <col min="9480" max="9480" width="16.44140625" style="1340" customWidth="1"/>
    <col min="9481" max="9728" width="8.88671875" style="1340"/>
    <col min="9729" max="9729" width="7" style="1340" customWidth="1"/>
    <col min="9730" max="9730" width="12.44140625" style="1340" customWidth="1"/>
    <col min="9731" max="9731" width="23" style="1340" customWidth="1"/>
    <col min="9732" max="9732" width="13.6640625" style="1340" customWidth="1"/>
    <col min="9733" max="9733" width="9" style="1340" customWidth="1"/>
    <col min="9734" max="9734" width="1.6640625" style="1340" customWidth="1"/>
    <col min="9735" max="9735" width="8.88671875" style="1340"/>
    <col min="9736" max="9736" width="16.44140625" style="1340" customWidth="1"/>
    <col min="9737" max="9984" width="8.88671875" style="1340"/>
    <col min="9985" max="9985" width="7" style="1340" customWidth="1"/>
    <col min="9986" max="9986" width="12.44140625" style="1340" customWidth="1"/>
    <col min="9987" max="9987" width="23" style="1340" customWidth="1"/>
    <col min="9988" max="9988" width="13.6640625" style="1340" customWidth="1"/>
    <col min="9989" max="9989" width="9" style="1340" customWidth="1"/>
    <col min="9990" max="9990" width="1.6640625" style="1340" customWidth="1"/>
    <col min="9991" max="9991" width="8.88671875" style="1340"/>
    <col min="9992" max="9992" width="16.44140625" style="1340" customWidth="1"/>
    <col min="9993" max="10240" width="8.88671875" style="1340"/>
    <col min="10241" max="10241" width="7" style="1340" customWidth="1"/>
    <col min="10242" max="10242" width="12.44140625" style="1340" customWidth="1"/>
    <col min="10243" max="10243" width="23" style="1340" customWidth="1"/>
    <col min="10244" max="10244" width="13.6640625" style="1340" customWidth="1"/>
    <col min="10245" max="10245" width="9" style="1340" customWidth="1"/>
    <col min="10246" max="10246" width="1.6640625" style="1340" customWidth="1"/>
    <col min="10247" max="10247" width="8.88671875" style="1340"/>
    <col min="10248" max="10248" width="16.44140625" style="1340" customWidth="1"/>
    <col min="10249" max="10496" width="8.88671875" style="1340"/>
    <col min="10497" max="10497" width="7" style="1340" customWidth="1"/>
    <col min="10498" max="10498" width="12.44140625" style="1340" customWidth="1"/>
    <col min="10499" max="10499" width="23" style="1340" customWidth="1"/>
    <col min="10500" max="10500" width="13.6640625" style="1340" customWidth="1"/>
    <col min="10501" max="10501" width="9" style="1340" customWidth="1"/>
    <col min="10502" max="10502" width="1.6640625" style="1340" customWidth="1"/>
    <col min="10503" max="10503" width="8.88671875" style="1340"/>
    <col min="10504" max="10504" width="16.44140625" style="1340" customWidth="1"/>
    <col min="10505" max="10752" width="8.88671875" style="1340"/>
    <col min="10753" max="10753" width="7" style="1340" customWidth="1"/>
    <col min="10754" max="10754" width="12.44140625" style="1340" customWidth="1"/>
    <col min="10755" max="10755" width="23" style="1340" customWidth="1"/>
    <col min="10756" max="10756" width="13.6640625" style="1340" customWidth="1"/>
    <col min="10757" max="10757" width="9" style="1340" customWidth="1"/>
    <col min="10758" max="10758" width="1.6640625" style="1340" customWidth="1"/>
    <col min="10759" max="10759" width="8.88671875" style="1340"/>
    <col min="10760" max="10760" width="16.44140625" style="1340" customWidth="1"/>
    <col min="10761" max="11008" width="8.88671875" style="1340"/>
    <col min="11009" max="11009" width="7" style="1340" customWidth="1"/>
    <col min="11010" max="11010" width="12.44140625" style="1340" customWidth="1"/>
    <col min="11011" max="11011" width="23" style="1340" customWidth="1"/>
    <col min="11012" max="11012" width="13.6640625" style="1340" customWidth="1"/>
    <col min="11013" max="11013" width="9" style="1340" customWidth="1"/>
    <col min="11014" max="11014" width="1.6640625" style="1340" customWidth="1"/>
    <col min="11015" max="11015" width="8.88671875" style="1340"/>
    <col min="11016" max="11016" width="16.44140625" style="1340" customWidth="1"/>
    <col min="11017" max="11264" width="8.88671875" style="1340"/>
    <col min="11265" max="11265" width="7" style="1340" customWidth="1"/>
    <col min="11266" max="11266" width="12.44140625" style="1340" customWidth="1"/>
    <col min="11267" max="11267" width="23" style="1340" customWidth="1"/>
    <col min="11268" max="11268" width="13.6640625" style="1340" customWidth="1"/>
    <col min="11269" max="11269" width="9" style="1340" customWidth="1"/>
    <col min="11270" max="11270" width="1.6640625" style="1340" customWidth="1"/>
    <col min="11271" max="11271" width="8.88671875" style="1340"/>
    <col min="11272" max="11272" width="16.44140625" style="1340" customWidth="1"/>
    <col min="11273" max="11520" width="8.88671875" style="1340"/>
    <col min="11521" max="11521" width="7" style="1340" customWidth="1"/>
    <col min="11522" max="11522" width="12.44140625" style="1340" customWidth="1"/>
    <col min="11523" max="11523" width="23" style="1340" customWidth="1"/>
    <col min="11524" max="11524" width="13.6640625" style="1340" customWidth="1"/>
    <col min="11525" max="11525" width="9" style="1340" customWidth="1"/>
    <col min="11526" max="11526" width="1.6640625" style="1340" customWidth="1"/>
    <col min="11527" max="11527" width="8.88671875" style="1340"/>
    <col min="11528" max="11528" width="16.44140625" style="1340" customWidth="1"/>
    <col min="11529" max="11776" width="8.88671875" style="1340"/>
    <col min="11777" max="11777" width="7" style="1340" customWidth="1"/>
    <col min="11778" max="11778" width="12.44140625" style="1340" customWidth="1"/>
    <col min="11779" max="11779" width="23" style="1340" customWidth="1"/>
    <col min="11780" max="11780" width="13.6640625" style="1340" customWidth="1"/>
    <col min="11781" max="11781" width="9" style="1340" customWidth="1"/>
    <col min="11782" max="11782" width="1.6640625" style="1340" customWidth="1"/>
    <col min="11783" max="11783" width="8.88671875" style="1340"/>
    <col min="11784" max="11784" width="16.44140625" style="1340" customWidth="1"/>
    <col min="11785" max="12032" width="8.88671875" style="1340"/>
    <col min="12033" max="12033" width="7" style="1340" customWidth="1"/>
    <col min="12034" max="12034" width="12.44140625" style="1340" customWidth="1"/>
    <col min="12035" max="12035" width="23" style="1340" customWidth="1"/>
    <col min="12036" max="12036" width="13.6640625" style="1340" customWidth="1"/>
    <col min="12037" max="12037" width="9" style="1340" customWidth="1"/>
    <col min="12038" max="12038" width="1.6640625" style="1340" customWidth="1"/>
    <col min="12039" max="12039" width="8.88671875" style="1340"/>
    <col min="12040" max="12040" width="16.44140625" style="1340" customWidth="1"/>
    <col min="12041" max="12288" width="8.88671875" style="1340"/>
    <col min="12289" max="12289" width="7" style="1340" customWidth="1"/>
    <col min="12290" max="12290" width="12.44140625" style="1340" customWidth="1"/>
    <col min="12291" max="12291" width="23" style="1340" customWidth="1"/>
    <col min="12292" max="12292" width="13.6640625" style="1340" customWidth="1"/>
    <col min="12293" max="12293" width="9" style="1340" customWidth="1"/>
    <col min="12294" max="12294" width="1.6640625" style="1340" customWidth="1"/>
    <col min="12295" max="12295" width="8.88671875" style="1340"/>
    <col min="12296" max="12296" width="16.44140625" style="1340" customWidth="1"/>
    <col min="12297" max="12544" width="8.88671875" style="1340"/>
    <col min="12545" max="12545" width="7" style="1340" customWidth="1"/>
    <col min="12546" max="12546" width="12.44140625" style="1340" customWidth="1"/>
    <col min="12547" max="12547" width="23" style="1340" customWidth="1"/>
    <col min="12548" max="12548" width="13.6640625" style="1340" customWidth="1"/>
    <col min="12549" max="12549" width="9" style="1340" customWidth="1"/>
    <col min="12550" max="12550" width="1.6640625" style="1340" customWidth="1"/>
    <col min="12551" max="12551" width="8.88671875" style="1340"/>
    <col min="12552" max="12552" width="16.44140625" style="1340" customWidth="1"/>
    <col min="12553" max="12800" width="8.88671875" style="1340"/>
    <col min="12801" max="12801" width="7" style="1340" customWidth="1"/>
    <col min="12802" max="12802" width="12.44140625" style="1340" customWidth="1"/>
    <col min="12803" max="12803" width="23" style="1340" customWidth="1"/>
    <col min="12804" max="12804" width="13.6640625" style="1340" customWidth="1"/>
    <col min="12805" max="12805" width="9" style="1340" customWidth="1"/>
    <col min="12806" max="12806" width="1.6640625" style="1340" customWidth="1"/>
    <col min="12807" max="12807" width="8.88671875" style="1340"/>
    <col min="12808" max="12808" width="16.44140625" style="1340" customWidth="1"/>
    <col min="12809" max="13056" width="8.88671875" style="1340"/>
    <col min="13057" max="13057" width="7" style="1340" customWidth="1"/>
    <col min="13058" max="13058" width="12.44140625" style="1340" customWidth="1"/>
    <col min="13059" max="13059" width="23" style="1340" customWidth="1"/>
    <col min="13060" max="13060" width="13.6640625" style="1340" customWidth="1"/>
    <col min="13061" max="13061" width="9" style="1340" customWidth="1"/>
    <col min="13062" max="13062" width="1.6640625" style="1340" customWidth="1"/>
    <col min="13063" max="13063" width="8.88671875" style="1340"/>
    <col min="13064" max="13064" width="16.44140625" style="1340" customWidth="1"/>
    <col min="13065" max="13312" width="8.88671875" style="1340"/>
    <col min="13313" max="13313" width="7" style="1340" customWidth="1"/>
    <col min="13314" max="13314" width="12.44140625" style="1340" customWidth="1"/>
    <col min="13315" max="13315" width="23" style="1340" customWidth="1"/>
    <col min="13316" max="13316" width="13.6640625" style="1340" customWidth="1"/>
    <col min="13317" max="13317" width="9" style="1340" customWidth="1"/>
    <col min="13318" max="13318" width="1.6640625" style="1340" customWidth="1"/>
    <col min="13319" max="13319" width="8.88671875" style="1340"/>
    <col min="13320" max="13320" width="16.44140625" style="1340" customWidth="1"/>
    <col min="13321" max="13568" width="8.88671875" style="1340"/>
    <col min="13569" max="13569" width="7" style="1340" customWidth="1"/>
    <col min="13570" max="13570" width="12.44140625" style="1340" customWidth="1"/>
    <col min="13571" max="13571" width="23" style="1340" customWidth="1"/>
    <col min="13572" max="13572" width="13.6640625" style="1340" customWidth="1"/>
    <col min="13573" max="13573" width="9" style="1340" customWidth="1"/>
    <col min="13574" max="13574" width="1.6640625" style="1340" customWidth="1"/>
    <col min="13575" max="13575" width="8.88671875" style="1340"/>
    <col min="13576" max="13576" width="16.44140625" style="1340" customWidth="1"/>
    <col min="13577" max="13824" width="8.88671875" style="1340"/>
    <col min="13825" max="13825" width="7" style="1340" customWidth="1"/>
    <col min="13826" max="13826" width="12.44140625" style="1340" customWidth="1"/>
    <col min="13827" max="13827" width="23" style="1340" customWidth="1"/>
    <col min="13828" max="13828" width="13.6640625" style="1340" customWidth="1"/>
    <col min="13829" max="13829" width="9" style="1340" customWidth="1"/>
    <col min="13830" max="13830" width="1.6640625" style="1340" customWidth="1"/>
    <col min="13831" max="13831" width="8.88671875" style="1340"/>
    <col min="13832" max="13832" width="16.44140625" style="1340" customWidth="1"/>
    <col min="13833" max="14080" width="8.88671875" style="1340"/>
    <col min="14081" max="14081" width="7" style="1340" customWidth="1"/>
    <col min="14082" max="14082" width="12.44140625" style="1340" customWidth="1"/>
    <col min="14083" max="14083" width="23" style="1340" customWidth="1"/>
    <col min="14084" max="14084" width="13.6640625" style="1340" customWidth="1"/>
    <col min="14085" max="14085" width="9" style="1340" customWidth="1"/>
    <col min="14086" max="14086" width="1.6640625" style="1340" customWidth="1"/>
    <col min="14087" max="14087" width="8.88671875" style="1340"/>
    <col min="14088" max="14088" width="16.44140625" style="1340" customWidth="1"/>
    <col min="14089" max="14336" width="8.88671875" style="1340"/>
    <col min="14337" max="14337" width="7" style="1340" customWidth="1"/>
    <col min="14338" max="14338" width="12.44140625" style="1340" customWidth="1"/>
    <col min="14339" max="14339" width="23" style="1340" customWidth="1"/>
    <col min="14340" max="14340" width="13.6640625" style="1340" customWidth="1"/>
    <col min="14341" max="14341" width="9" style="1340" customWidth="1"/>
    <col min="14342" max="14342" width="1.6640625" style="1340" customWidth="1"/>
    <col min="14343" max="14343" width="8.88671875" style="1340"/>
    <col min="14344" max="14344" width="16.44140625" style="1340" customWidth="1"/>
    <col min="14345" max="14592" width="8.88671875" style="1340"/>
    <col min="14593" max="14593" width="7" style="1340" customWidth="1"/>
    <col min="14594" max="14594" width="12.44140625" style="1340" customWidth="1"/>
    <col min="14595" max="14595" width="23" style="1340" customWidth="1"/>
    <col min="14596" max="14596" width="13.6640625" style="1340" customWidth="1"/>
    <col min="14597" max="14597" width="9" style="1340" customWidth="1"/>
    <col min="14598" max="14598" width="1.6640625" style="1340" customWidth="1"/>
    <col min="14599" max="14599" width="8.88671875" style="1340"/>
    <col min="14600" max="14600" width="16.44140625" style="1340" customWidth="1"/>
    <col min="14601" max="14848" width="8.88671875" style="1340"/>
    <col min="14849" max="14849" width="7" style="1340" customWidth="1"/>
    <col min="14850" max="14850" width="12.44140625" style="1340" customWidth="1"/>
    <col min="14851" max="14851" width="23" style="1340" customWidth="1"/>
    <col min="14852" max="14852" width="13.6640625" style="1340" customWidth="1"/>
    <col min="14853" max="14853" width="9" style="1340" customWidth="1"/>
    <col min="14854" max="14854" width="1.6640625" style="1340" customWidth="1"/>
    <col min="14855" max="14855" width="8.88671875" style="1340"/>
    <col min="14856" max="14856" width="16.44140625" style="1340" customWidth="1"/>
    <col min="14857" max="15104" width="8.88671875" style="1340"/>
    <col min="15105" max="15105" width="7" style="1340" customWidth="1"/>
    <col min="15106" max="15106" width="12.44140625" style="1340" customWidth="1"/>
    <col min="15107" max="15107" width="23" style="1340" customWidth="1"/>
    <col min="15108" max="15108" width="13.6640625" style="1340" customWidth="1"/>
    <col min="15109" max="15109" width="9" style="1340" customWidth="1"/>
    <col min="15110" max="15110" width="1.6640625" style="1340" customWidth="1"/>
    <col min="15111" max="15111" width="8.88671875" style="1340"/>
    <col min="15112" max="15112" width="16.44140625" style="1340" customWidth="1"/>
    <col min="15113" max="15360" width="8.88671875" style="1340"/>
    <col min="15361" max="15361" width="7" style="1340" customWidth="1"/>
    <col min="15362" max="15362" width="12.44140625" style="1340" customWidth="1"/>
    <col min="15363" max="15363" width="23" style="1340" customWidth="1"/>
    <col min="15364" max="15364" width="13.6640625" style="1340" customWidth="1"/>
    <col min="15365" max="15365" width="9" style="1340" customWidth="1"/>
    <col min="15366" max="15366" width="1.6640625" style="1340" customWidth="1"/>
    <col min="15367" max="15367" width="8.88671875" style="1340"/>
    <col min="15368" max="15368" width="16.44140625" style="1340" customWidth="1"/>
    <col min="15369" max="15616" width="8.88671875" style="1340"/>
    <col min="15617" max="15617" width="7" style="1340" customWidth="1"/>
    <col min="15618" max="15618" width="12.44140625" style="1340" customWidth="1"/>
    <col min="15619" max="15619" width="23" style="1340" customWidth="1"/>
    <col min="15620" max="15620" width="13.6640625" style="1340" customWidth="1"/>
    <col min="15621" max="15621" width="9" style="1340" customWidth="1"/>
    <col min="15622" max="15622" width="1.6640625" style="1340" customWidth="1"/>
    <col min="15623" max="15623" width="8.88671875" style="1340"/>
    <col min="15624" max="15624" width="16.44140625" style="1340" customWidth="1"/>
    <col min="15625" max="15872" width="8.88671875" style="1340"/>
    <col min="15873" max="15873" width="7" style="1340" customWidth="1"/>
    <col min="15874" max="15874" width="12.44140625" style="1340" customWidth="1"/>
    <col min="15875" max="15875" width="23" style="1340" customWidth="1"/>
    <col min="15876" max="15876" width="13.6640625" style="1340" customWidth="1"/>
    <col min="15877" max="15877" width="9" style="1340" customWidth="1"/>
    <col min="15878" max="15878" width="1.6640625" style="1340" customWidth="1"/>
    <col min="15879" max="15879" width="8.88671875" style="1340"/>
    <col min="15880" max="15880" width="16.44140625" style="1340" customWidth="1"/>
    <col min="15881" max="16128" width="8.88671875" style="1340"/>
    <col min="16129" max="16129" width="7" style="1340" customWidth="1"/>
    <col min="16130" max="16130" width="12.44140625" style="1340" customWidth="1"/>
    <col min="16131" max="16131" width="23" style="1340" customWidth="1"/>
    <col min="16132" max="16132" width="13.6640625" style="1340" customWidth="1"/>
    <col min="16133" max="16133" width="9" style="1340" customWidth="1"/>
    <col min="16134" max="16134" width="1.6640625" style="1340" customWidth="1"/>
    <col min="16135" max="16135" width="8.88671875" style="1340"/>
    <col min="16136" max="16136" width="16.44140625" style="1340" customWidth="1"/>
    <col min="16137" max="16384" width="8.88671875" style="1340"/>
  </cols>
  <sheetData>
    <row r="1" spans="1:12" ht="22.95" customHeight="1">
      <c r="B1" s="1342" t="s">
        <v>816</v>
      </c>
      <c r="C1" s="1342" t="s">
        <v>767</v>
      </c>
      <c r="D1" s="1343" t="s">
        <v>817</v>
      </c>
      <c r="E1" s="1343"/>
      <c r="F1" s="3643" t="str">
        <f>'Input Data'!E1</f>
        <v>C/o HLB on R/F Amlikunta to Gundumal of Gundumal Mandal of Narayanept District.</v>
      </c>
      <c r="G1" s="3643"/>
      <c r="H1" s="3643"/>
      <c r="I1" s="3643"/>
      <c r="J1" s="3643"/>
      <c r="K1" s="3643"/>
      <c r="L1" s="3643"/>
    </row>
    <row r="2" spans="1:12" ht="22.95" customHeight="1">
      <c r="B2" s="1342" t="s">
        <v>818</v>
      </c>
      <c r="C2" s="1344" t="str">
        <f>'Input Data'!D4</f>
        <v>Narayanpet</v>
      </c>
      <c r="F2" s="3643"/>
      <c r="G2" s="3643"/>
      <c r="H2" s="3643"/>
      <c r="I2" s="3643"/>
      <c r="J2" s="3643"/>
      <c r="K2" s="3643"/>
      <c r="L2" s="3643"/>
    </row>
    <row r="3" spans="1:12" ht="22.95" customHeight="1">
      <c r="B3" s="1345" t="s">
        <v>819</v>
      </c>
      <c r="C3" s="3614" t="str">
        <f>'Input Data'!D7</f>
        <v>Kosgi</v>
      </c>
      <c r="D3" s="3615"/>
    </row>
    <row r="4" spans="1:12">
      <c r="A4" s="1346"/>
      <c r="D4" s="1347"/>
      <c r="E4" s="1348"/>
      <c r="F4" s="1348"/>
      <c r="G4" s="1349"/>
      <c r="H4" s="1350"/>
      <c r="I4" s="1350"/>
      <c r="J4" s="1350"/>
      <c r="K4" s="1350"/>
      <c r="L4" s="1396"/>
    </row>
    <row r="5" spans="1:12">
      <c r="A5" s="1351"/>
      <c r="B5" s="1352" t="s">
        <v>820</v>
      </c>
      <c r="G5" s="1353"/>
      <c r="H5" s="1354" t="s">
        <v>821</v>
      </c>
      <c r="I5" s="1278"/>
      <c r="J5" s="1278"/>
      <c r="K5" s="1278"/>
      <c r="L5" s="1397"/>
    </row>
    <row r="6" spans="1:12">
      <c r="A6" s="1351"/>
      <c r="G6" s="1353"/>
      <c r="H6" s="1278"/>
      <c r="I6" s="1278"/>
      <c r="J6" s="1278"/>
      <c r="K6" s="1398" t="s">
        <v>822</v>
      </c>
      <c r="L6" s="1399" t="s">
        <v>823</v>
      </c>
    </row>
    <row r="7" spans="1:12">
      <c r="A7" s="1351"/>
      <c r="D7" s="3621" t="s">
        <v>824</v>
      </c>
      <c r="E7" s="3623" t="s">
        <v>825</v>
      </c>
      <c r="F7" s="1355"/>
      <c r="G7" s="1353"/>
      <c r="H7" s="1278"/>
      <c r="I7" s="1278"/>
      <c r="J7" s="1278"/>
      <c r="K7" s="1278"/>
      <c r="L7" s="1397"/>
    </row>
    <row r="8" spans="1:12">
      <c r="A8" s="1351"/>
      <c r="D8" s="3622"/>
      <c r="E8" s="3623"/>
      <c r="F8" s="1355"/>
      <c r="G8" s="1353"/>
      <c r="H8" s="3616" t="s">
        <v>826</v>
      </c>
      <c r="I8" s="3616"/>
      <c r="J8" s="3616"/>
      <c r="K8" s="1400">
        <f>'TRAFF-Count-ESAL-Cal'!G12</f>
        <v>93</v>
      </c>
      <c r="L8" s="1401">
        <f>'TRAFF-Count-ESAL-Cal'!G16</f>
        <v>116</v>
      </c>
    </row>
    <row r="9" spans="1:12" ht="15" customHeight="1">
      <c r="A9" s="1351"/>
      <c r="B9" s="3617" t="s">
        <v>827</v>
      </c>
      <c r="C9" s="3618"/>
      <c r="D9" s="1356">
        <f>'TRAFF-Count-ESAL-Cal'!B11</f>
        <v>4</v>
      </c>
      <c r="E9" s="1357"/>
      <c r="F9" s="1358"/>
      <c r="G9" s="1353"/>
      <c r="H9" s="1278"/>
      <c r="I9" s="1278"/>
      <c r="J9" s="1278"/>
      <c r="K9" s="1278"/>
      <c r="L9" s="1397"/>
    </row>
    <row r="10" spans="1:12" ht="14.25" customHeight="1">
      <c r="A10" s="1351"/>
      <c r="B10" s="3619" t="s">
        <v>828</v>
      </c>
      <c r="C10" s="3620"/>
      <c r="D10" s="1359">
        <v>0</v>
      </c>
      <c r="E10" s="1360"/>
      <c r="F10" s="1341"/>
      <c r="G10" s="1353"/>
      <c r="H10" s="3616" t="s">
        <v>829</v>
      </c>
      <c r="I10" s="3616"/>
      <c r="J10" s="3616"/>
      <c r="K10" s="1400">
        <f>SUM('TRAFF-Count-ESAL-Cal'!D11:I11)</f>
        <v>21</v>
      </c>
      <c r="L10" s="1401">
        <f>SUM('TRAFF-Count-ESAL-Cal'!G20:G25)</f>
        <v>29</v>
      </c>
    </row>
    <row r="11" spans="1:12">
      <c r="A11" s="1351"/>
      <c r="B11" s="3621" t="s">
        <v>830</v>
      </c>
      <c r="C11" s="1361" t="s">
        <v>803</v>
      </c>
      <c r="D11" s="1362">
        <f>'TRAFF-Count-ESAL-Cal'!G11</f>
        <v>3</v>
      </c>
      <c r="E11" s="1363">
        <v>2.58</v>
      </c>
      <c r="F11" s="1364"/>
      <c r="G11" s="1353"/>
      <c r="H11" s="1278"/>
      <c r="I11" s="1278"/>
      <c r="J11" s="1278"/>
      <c r="K11" s="1278"/>
      <c r="L11" s="1397"/>
    </row>
    <row r="12" spans="1:12" ht="15" customHeight="1">
      <c r="A12" s="1351"/>
      <c r="B12" s="3621"/>
      <c r="C12" s="1361" t="s">
        <v>706</v>
      </c>
      <c r="D12" s="1359">
        <f>'TRAFF-Count-ESAL-Cal'!H11</f>
        <v>3</v>
      </c>
      <c r="E12" s="1365">
        <v>0.31</v>
      </c>
      <c r="F12" s="1366"/>
      <c r="G12" s="1353"/>
      <c r="H12" s="3624" t="s">
        <v>831</v>
      </c>
      <c r="I12" s="3625"/>
      <c r="J12" s="3625"/>
      <c r="K12" s="1402">
        <f>'TRAFF-Count-ESAL-Cal'!G18</f>
        <v>130</v>
      </c>
      <c r="L12" s="1397"/>
    </row>
    <row r="13" spans="1:12">
      <c r="A13" s="1351"/>
      <c r="B13" s="3621"/>
      <c r="C13" s="1361" t="s">
        <v>832</v>
      </c>
      <c r="D13" s="1359">
        <f>'TRAFF-Count-ESAL-Cal'!I11</f>
        <v>0</v>
      </c>
      <c r="E13" s="1367">
        <v>2.86</v>
      </c>
      <c r="F13" s="1366"/>
      <c r="G13" s="1353"/>
      <c r="H13" s="1368"/>
      <c r="I13" s="1368"/>
      <c r="J13" s="1368"/>
      <c r="K13" s="1403"/>
      <c r="L13" s="1397"/>
    </row>
    <row r="14" spans="1:12">
      <c r="A14" s="1351"/>
      <c r="B14" s="3621" t="s">
        <v>833</v>
      </c>
      <c r="C14" s="1361" t="s">
        <v>803</v>
      </c>
      <c r="D14" s="1362">
        <f>'TRAFF-Count-ESAL-Cal'!D11</f>
        <v>8</v>
      </c>
      <c r="E14" s="1369">
        <v>0.31</v>
      </c>
      <c r="F14" s="1366"/>
      <c r="G14" s="1353"/>
      <c r="H14" s="3616" t="s">
        <v>834</v>
      </c>
      <c r="I14" s="3616"/>
      <c r="J14" s="3624"/>
      <c r="K14" s="1404">
        <f>'TRAFF-Count-ESAL-Cal'!G30</f>
        <v>72982.87</v>
      </c>
      <c r="L14" s="1397"/>
    </row>
    <row r="15" spans="1:12" ht="15" customHeight="1">
      <c r="A15" s="1351"/>
      <c r="B15" s="3621"/>
      <c r="C15" s="1361" t="s">
        <v>706</v>
      </c>
      <c r="D15" s="1359">
        <f>'TRAFF-Count-ESAL-Cal'!E11</f>
        <v>7</v>
      </c>
      <c r="E15" s="1370">
        <v>0.02</v>
      </c>
      <c r="F15" s="1371"/>
      <c r="G15" s="1353"/>
      <c r="H15" s="1278"/>
      <c r="I15" s="1278"/>
      <c r="J15" s="1278"/>
      <c r="K15" s="1278"/>
      <c r="L15" s="1397"/>
    </row>
    <row r="16" spans="1:12" ht="27.9" customHeight="1">
      <c r="A16" s="1351"/>
      <c r="B16" s="3621"/>
      <c r="C16" s="1361" t="s">
        <v>832</v>
      </c>
      <c r="D16" s="1359">
        <f>'TRAFF-Count-ESAL-Cal'!F11</f>
        <v>0</v>
      </c>
      <c r="E16" s="1370">
        <v>0.34</v>
      </c>
      <c r="F16" s="1371"/>
      <c r="G16" s="1353"/>
      <c r="H16" s="3626" t="s">
        <v>835</v>
      </c>
      <c r="I16" s="3627"/>
      <c r="J16" s="1405" t="s">
        <v>836</v>
      </c>
      <c r="K16" s="1406">
        <f>IF(AND(K14&gt;10000,K14&lt;30000),1,0)+IF(AND(K14&gt;30000,K14&lt;60000),2,0)+IF(AND(K14&gt;60000,K14&lt;100000),3,0)+IF(AND(K14&gt;100000,K14&lt;200000),4,0)+IF(AND(K14&gt;200000,K14&lt;300000),5,0)+IF(AND(K14&gt;300000,K14&lt;600000),6,0)+IF(AND(K14&gt;600000,K14&lt;1000000),7,0)</f>
        <v>3</v>
      </c>
      <c r="L16" s="1397"/>
    </row>
    <row r="17" spans="1:12">
      <c r="A17" s="1351"/>
      <c r="B17" s="3619" t="s">
        <v>837</v>
      </c>
      <c r="C17" s="3620"/>
      <c r="D17" s="1359">
        <f>'TRAFF-Count-ESAL-Cal'!C11</f>
        <v>38</v>
      </c>
      <c r="E17" s="3646"/>
      <c r="F17" s="1364"/>
      <c r="G17" s="1353"/>
      <c r="H17" s="1278"/>
      <c r="I17" s="1278"/>
      <c r="J17" s="1278"/>
      <c r="K17" s="1278"/>
      <c r="L17" s="1397"/>
    </row>
    <row r="18" spans="1:12">
      <c r="A18" s="1351"/>
      <c r="B18" s="3617" t="s">
        <v>838</v>
      </c>
      <c r="C18" s="3628"/>
      <c r="D18" s="1359">
        <f>'TRAFF-Count-ESAL-Cal'!J11</f>
        <v>30</v>
      </c>
      <c r="E18" s="3647"/>
      <c r="F18" s="1364"/>
      <c r="G18" s="1353"/>
      <c r="H18" s="1278"/>
      <c r="I18" s="1278"/>
      <c r="J18" s="1278"/>
      <c r="K18" s="1407"/>
      <c r="L18" s="1397"/>
    </row>
    <row r="19" spans="1:12">
      <c r="A19" s="1351"/>
      <c r="B19" s="3621" t="s">
        <v>839</v>
      </c>
      <c r="C19" s="1361" t="s">
        <v>840</v>
      </c>
      <c r="D19" s="1359">
        <f>'TRAFF-Count-ESAL-Cal'!K11</f>
        <v>0</v>
      </c>
      <c r="E19" s="3647"/>
      <c r="F19" s="1364"/>
      <c r="G19" s="1353"/>
      <c r="H19" s="1278"/>
      <c r="I19" s="1278"/>
      <c r="J19" s="1278"/>
      <c r="K19" s="1408"/>
      <c r="L19" s="1397"/>
    </row>
    <row r="20" spans="1:12">
      <c r="A20" s="1351"/>
      <c r="B20" s="3621"/>
      <c r="C20" s="1361" t="s">
        <v>841</v>
      </c>
      <c r="D20" s="1372">
        <f>'TRAFF-Count-ESAL-Cal'!L11</f>
        <v>0</v>
      </c>
      <c r="E20" s="3648"/>
      <c r="F20" s="1364"/>
      <c r="G20" s="1353"/>
      <c r="H20" s="1373"/>
      <c r="I20" s="1373"/>
      <c r="J20" s="1373"/>
      <c r="K20" s="1409" t="s">
        <v>842</v>
      </c>
      <c r="L20" s="1397"/>
    </row>
    <row r="21" spans="1:12">
      <c r="A21" s="1351"/>
      <c r="B21" s="1374"/>
      <c r="C21" s="1375"/>
      <c r="D21" s="1376"/>
      <c r="E21" s="1358"/>
      <c r="F21" s="1364"/>
      <c r="G21" s="1353"/>
      <c r="H21" s="3659" t="s">
        <v>843</v>
      </c>
      <c r="I21" s="3660"/>
      <c r="J21" s="3661"/>
      <c r="K21" s="1410">
        <v>30</v>
      </c>
      <c r="L21" s="1397"/>
    </row>
    <row r="22" spans="1:12" ht="17.25" customHeight="1">
      <c r="A22" s="1351"/>
      <c r="B22" s="3629" t="s">
        <v>844</v>
      </c>
      <c r="C22" s="3630"/>
      <c r="D22" s="3631"/>
      <c r="E22" s="1370">
        <v>2</v>
      </c>
      <c r="F22" s="1364"/>
      <c r="G22" s="1353"/>
      <c r="H22" s="3632" t="s">
        <v>845</v>
      </c>
      <c r="I22" s="3633"/>
      <c r="J22" s="3634"/>
      <c r="K22" s="1411">
        <v>150</v>
      </c>
      <c r="L22" s="1397"/>
    </row>
    <row r="23" spans="1:12" ht="15.6">
      <c r="A23" s="1351"/>
      <c r="B23" s="1377"/>
      <c r="C23" s="1377"/>
      <c r="D23" s="1377"/>
      <c r="E23" s="1358"/>
      <c r="F23" s="1364"/>
      <c r="G23" s="1353"/>
      <c r="H23" s="3635" t="s">
        <v>846</v>
      </c>
      <c r="I23" s="3636"/>
      <c r="J23" s="3637"/>
      <c r="K23" s="1412">
        <f>'ESAL-calculation '!H43</f>
        <v>0</v>
      </c>
      <c r="L23" s="1397"/>
    </row>
    <row r="24" spans="1:12" ht="15" customHeight="1">
      <c r="A24" s="1351"/>
      <c r="B24" s="3638" t="s">
        <v>847</v>
      </c>
      <c r="C24" s="3638"/>
      <c r="D24" s="3639"/>
      <c r="E24" s="1378" t="s">
        <v>244</v>
      </c>
      <c r="F24" s="1364"/>
      <c r="G24" s="1353"/>
      <c r="H24" s="3640" t="s">
        <v>848</v>
      </c>
      <c r="I24" s="3641"/>
      <c r="J24" s="3642"/>
      <c r="K24" s="1413">
        <v>175</v>
      </c>
      <c r="L24" s="1397"/>
    </row>
    <row r="25" spans="1:12">
      <c r="A25" s="1351"/>
      <c r="B25" s="3649" t="s">
        <v>849</v>
      </c>
      <c r="C25" s="3650"/>
      <c r="D25" s="3650"/>
      <c r="E25" s="1370">
        <v>2</v>
      </c>
      <c r="F25" s="1364"/>
      <c r="G25" s="1353"/>
      <c r="H25" s="3651" t="s">
        <v>850</v>
      </c>
      <c r="I25" s="3652"/>
      <c r="J25" s="3653"/>
      <c r="K25" s="1409">
        <f>'ESAL-calculation '!H45</f>
        <v>0</v>
      </c>
      <c r="L25" s="1397" t="s">
        <v>851</v>
      </c>
    </row>
    <row r="26" spans="1:12">
      <c r="A26" s="1351"/>
      <c r="B26" s="3654" t="s">
        <v>852</v>
      </c>
      <c r="C26" s="3654"/>
      <c r="D26" s="3655"/>
      <c r="E26" s="1379">
        <v>75</v>
      </c>
      <c r="F26" s="1364"/>
      <c r="G26" s="1353"/>
      <c r="H26" s="1368"/>
      <c r="I26" s="1368"/>
      <c r="J26" s="1368"/>
      <c r="K26" s="1414"/>
      <c r="L26" s="1397"/>
    </row>
    <row r="27" spans="1:12">
      <c r="A27" s="1351"/>
      <c r="B27" s="3649" t="s">
        <v>853</v>
      </c>
      <c r="C27" s="3650"/>
      <c r="D27" s="3650"/>
      <c r="E27" s="1379">
        <v>1</v>
      </c>
      <c r="F27" s="1364"/>
      <c r="G27" s="1353"/>
      <c r="H27" s="1368"/>
      <c r="I27" s="1368"/>
      <c r="J27" s="1368"/>
      <c r="K27" s="1414"/>
      <c r="L27" s="1397"/>
    </row>
    <row r="28" spans="1:12">
      <c r="A28" s="1351"/>
      <c r="E28" s="1358"/>
      <c r="G28" s="1353"/>
      <c r="H28" s="1278"/>
      <c r="I28" s="1278"/>
      <c r="J28" s="1278"/>
      <c r="K28" s="1278"/>
      <c r="L28" s="1397"/>
    </row>
    <row r="29" spans="1:12">
      <c r="A29" s="1351"/>
      <c r="B29" s="3656" t="s">
        <v>854</v>
      </c>
      <c r="C29" s="3656"/>
      <c r="D29" s="3649"/>
      <c r="E29" s="1370">
        <v>4</v>
      </c>
      <c r="G29" s="1353"/>
      <c r="H29" s="3657" t="s">
        <v>855</v>
      </c>
      <c r="I29" s="3657"/>
      <c r="J29" s="3658"/>
      <c r="K29" s="1415">
        <f>'ESAL-calculation '!H47</f>
        <v>325</v>
      </c>
      <c r="L29" s="1397"/>
    </row>
    <row r="30" spans="1:12">
      <c r="A30" s="1380"/>
      <c r="B30" s="1381"/>
      <c r="C30" s="1381"/>
      <c r="D30" s="1382"/>
      <c r="E30" s="1381"/>
      <c r="F30" s="1381"/>
      <c r="G30" s="1383"/>
      <c r="H30" s="1384"/>
      <c r="I30" s="1384"/>
      <c r="J30" s="1384"/>
      <c r="K30" s="1384"/>
      <c r="L30" s="1416"/>
    </row>
    <row r="34" spans="1:16" s="1338" customFormat="1" ht="21" customHeight="1">
      <c r="A34" s="3644"/>
      <c r="B34" s="3644"/>
      <c r="C34" s="3644"/>
      <c r="D34" s="3645"/>
      <c r="E34" s="3645"/>
      <c r="F34" s="3645"/>
      <c r="G34" s="3644"/>
      <c r="H34" s="3644"/>
      <c r="I34" s="3644"/>
      <c r="J34" s="3644"/>
      <c r="K34" s="3644"/>
      <c r="L34" s="3644"/>
      <c r="M34" s="3644"/>
      <c r="N34" s="1417"/>
      <c r="O34" s="1417"/>
      <c r="P34" s="1417"/>
    </row>
    <row r="35" spans="1:16" s="1338" customFormat="1" ht="13.2">
      <c r="A35" s="1385"/>
      <c r="B35" s="1386" t="s">
        <v>856</v>
      </c>
      <c r="C35" s="1387"/>
      <c r="D35" s="1386" t="s">
        <v>814</v>
      </c>
      <c r="E35" s="1386"/>
      <c r="F35" s="1388"/>
      <c r="G35" s="1389"/>
      <c r="H35" s="1386" t="s">
        <v>857</v>
      </c>
      <c r="I35" s="1418"/>
      <c r="J35" s="1419"/>
      <c r="K35" s="1386" t="s">
        <v>684</v>
      </c>
      <c r="L35" s="1385"/>
      <c r="M35" s="1420"/>
      <c r="N35" s="1417"/>
      <c r="O35" s="1417"/>
      <c r="P35" s="1417"/>
    </row>
    <row r="36" spans="1:16" s="1339" customFormat="1" ht="13.2">
      <c r="A36" s="1390"/>
      <c r="B36" s="1391" t="str">
        <f>'TRAFF-Count-ESAL-Cal'!B34</f>
        <v>PRSD, Maddur</v>
      </c>
      <c r="C36" s="1392"/>
      <c r="D36" s="1393" t="str">
        <f>'TRAFF-Count-ESAL-Cal'!E34</f>
        <v>PRSD, Maddur</v>
      </c>
      <c r="E36" s="1393"/>
      <c r="F36" s="1394"/>
      <c r="G36" s="1395"/>
      <c r="H36" s="1391" t="str">
        <f>'TRAFF-Count-ESAL-Cal'!H34</f>
        <v>PIU, Narayanpet</v>
      </c>
      <c r="I36" s="1421"/>
      <c r="J36" s="1422"/>
      <c r="K36" s="1423" t="str">
        <f>'TRAFF-Count-ESAL-Cal'!K34</f>
        <v>PR, Circle, Vikarabad</v>
      </c>
      <c r="L36" s="1390"/>
      <c r="M36" s="1390"/>
    </row>
  </sheetData>
  <mergeCells count="33">
    <mergeCell ref="F1:L2"/>
    <mergeCell ref="A34:C34"/>
    <mergeCell ref="D34:F34"/>
    <mergeCell ref="G34:I34"/>
    <mergeCell ref="J34:M34"/>
    <mergeCell ref="B11:B13"/>
    <mergeCell ref="B14:B16"/>
    <mergeCell ref="B19:B20"/>
    <mergeCell ref="E17:E20"/>
    <mergeCell ref="B25:D25"/>
    <mergeCell ref="H25:J25"/>
    <mergeCell ref="B26:D26"/>
    <mergeCell ref="B27:D27"/>
    <mergeCell ref="B29:D29"/>
    <mergeCell ref="H29:J29"/>
    <mergeCell ref="H21:J21"/>
    <mergeCell ref="B22:D22"/>
    <mergeCell ref="H22:J22"/>
    <mergeCell ref="H23:J23"/>
    <mergeCell ref="B24:D24"/>
    <mergeCell ref="H24:J24"/>
    <mergeCell ref="H12:J12"/>
    <mergeCell ref="H14:J14"/>
    <mergeCell ref="H16:I16"/>
    <mergeCell ref="B17:C17"/>
    <mergeCell ref="B18:C18"/>
    <mergeCell ref="C3:D3"/>
    <mergeCell ref="H8:J8"/>
    <mergeCell ref="B9:C9"/>
    <mergeCell ref="B10:C10"/>
    <mergeCell ref="H10:J10"/>
    <mergeCell ref="D7:D8"/>
    <mergeCell ref="E7:E8"/>
  </mergeCells>
  <pageMargins left="0.87" right="0.7" top="0.75" bottom="0.75" header="0.3" footer="0.3"/>
  <pageSetup paperSize="9" scale="8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47"/>
  <sheetViews>
    <sheetView view="pageBreakPreview" topLeftCell="A25" zoomScaleNormal="90" workbookViewId="0">
      <selection activeCell="I79" sqref="I79"/>
    </sheetView>
  </sheetViews>
  <sheetFormatPr defaultColWidth="9" defaultRowHeight="14.4"/>
  <cols>
    <col min="1" max="1" width="10.33203125" style="1293" customWidth="1"/>
    <col min="2" max="2" width="7" style="1293" customWidth="1"/>
    <col min="3" max="3" width="7.33203125" style="1293" customWidth="1"/>
    <col min="4" max="4" width="9.33203125" style="1293" customWidth="1"/>
    <col min="5" max="5" width="12" style="1293" customWidth="1"/>
    <col min="6" max="7" width="11.88671875" style="1293" customWidth="1"/>
    <col min="8" max="8" width="13.33203125" style="1293" customWidth="1"/>
    <col min="9" max="9" width="13.6640625" style="1293" customWidth="1"/>
    <col min="10" max="10" width="11.44140625" style="1293" customWidth="1"/>
    <col min="11" max="11" width="13.88671875" style="1293" customWidth="1"/>
    <col min="12" max="12" width="12.44140625" style="1293" customWidth="1"/>
    <col min="13" max="13" width="16.44140625" style="1294" customWidth="1"/>
    <col min="14" max="256" width="9.109375" style="1293"/>
    <col min="257" max="257" width="10.33203125" style="1293" customWidth="1"/>
    <col min="258" max="258" width="7" style="1293" customWidth="1"/>
    <col min="259" max="259" width="7.33203125" style="1293" customWidth="1"/>
    <col min="260" max="260" width="9.33203125" style="1293" customWidth="1"/>
    <col min="261" max="261" width="12" style="1293" customWidth="1"/>
    <col min="262" max="263" width="11.88671875" style="1293" customWidth="1"/>
    <col min="264" max="264" width="13.33203125" style="1293" customWidth="1"/>
    <col min="265" max="265" width="13.6640625" style="1293" customWidth="1"/>
    <col min="266" max="266" width="11.44140625" style="1293" customWidth="1"/>
    <col min="267" max="267" width="13.88671875" style="1293" customWidth="1"/>
    <col min="268" max="268" width="12.44140625" style="1293" customWidth="1"/>
    <col min="269" max="269" width="16.44140625" style="1293" customWidth="1"/>
    <col min="270" max="512" width="9.109375" style="1293"/>
    <col min="513" max="513" width="10.33203125" style="1293" customWidth="1"/>
    <col min="514" max="514" width="7" style="1293" customWidth="1"/>
    <col min="515" max="515" width="7.33203125" style="1293" customWidth="1"/>
    <col min="516" max="516" width="9.33203125" style="1293" customWidth="1"/>
    <col min="517" max="517" width="12" style="1293" customWidth="1"/>
    <col min="518" max="519" width="11.88671875" style="1293" customWidth="1"/>
    <col min="520" max="520" width="13.33203125" style="1293" customWidth="1"/>
    <col min="521" max="521" width="13.6640625" style="1293" customWidth="1"/>
    <col min="522" max="522" width="11.44140625" style="1293" customWidth="1"/>
    <col min="523" max="523" width="13.88671875" style="1293" customWidth="1"/>
    <col min="524" max="524" width="12.44140625" style="1293" customWidth="1"/>
    <col min="525" max="525" width="16.44140625" style="1293" customWidth="1"/>
    <col min="526" max="768" width="9.109375" style="1293"/>
    <col min="769" max="769" width="10.33203125" style="1293" customWidth="1"/>
    <col min="770" max="770" width="7" style="1293" customWidth="1"/>
    <col min="771" max="771" width="7.33203125" style="1293" customWidth="1"/>
    <col min="772" max="772" width="9.33203125" style="1293" customWidth="1"/>
    <col min="773" max="773" width="12" style="1293" customWidth="1"/>
    <col min="774" max="775" width="11.88671875" style="1293" customWidth="1"/>
    <col min="776" max="776" width="13.33203125" style="1293" customWidth="1"/>
    <col min="777" max="777" width="13.6640625" style="1293" customWidth="1"/>
    <col min="778" max="778" width="11.44140625" style="1293" customWidth="1"/>
    <col min="779" max="779" width="13.88671875" style="1293" customWidth="1"/>
    <col min="780" max="780" width="12.44140625" style="1293" customWidth="1"/>
    <col min="781" max="781" width="16.44140625" style="1293" customWidth="1"/>
    <col min="782" max="1024" width="9.109375" style="1293"/>
    <col min="1025" max="1025" width="10.33203125" style="1293" customWidth="1"/>
    <col min="1026" max="1026" width="7" style="1293" customWidth="1"/>
    <col min="1027" max="1027" width="7.33203125" style="1293" customWidth="1"/>
    <col min="1028" max="1028" width="9.33203125" style="1293" customWidth="1"/>
    <col min="1029" max="1029" width="12" style="1293" customWidth="1"/>
    <col min="1030" max="1031" width="11.88671875" style="1293" customWidth="1"/>
    <col min="1032" max="1032" width="13.33203125" style="1293" customWidth="1"/>
    <col min="1033" max="1033" width="13.6640625" style="1293" customWidth="1"/>
    <col min="1034" max="1034" width="11.44140625" style="1293" customWidth="1"/>
    <col min="1035" max="1035" width="13.88671875" style="1293" customWidth="1"/>
    <col min="1036" max="1036" width="12.44140625" style="1293" customWidth="1"/>
    <col min="1037" max="1037" width="16.44140625" style="1293" customWidth="1"/>
    <col min="1038" max="1280" width="9.109375" style="1293"/>
    <col min="1281" max="1281" width="10.33203125" style="1293" customWidth="1"/>
    <col min="1282" max="1282" width="7" style="1293" customWidth="1"/>
    <col min="1283" max="1283" width="7.33203125" style="1293" customWidth="1"/>
    <col min="1284" max="1284" width="9.33203125" style="1293" customWidth="1"/>
    <col min="1285" max="1285" width="12" style="1293" customWidth="1"/>
    <col min="1286" max="1287" width="11.88671875" style="1293" customWidth="1"/>
    <col min="1288" max="1288" width="13.33203125" style="1293" customWidth="1"/>
    <col min="1289" max="1289" width="13.6640625" style="1293" customWidth="1"/>
    <col min="1290" max="1290" width="11.44140625" style="1293" customWidth="1"/>
    <col min="1291" max="1291" width="13.88671875" style="1293" customWidth="1"/>
    <col min="1292" max="1292" width="12.44140625" style="1293" customWidth="1"/>
    <col min="1293" max="1293" width="16.44140625" style="1293" customWidth="1"/>
    <col min="1294" max="1536" width="9.109375" style="1293"/>
    <col min="1537" max="1537" width="10.33203125" style="1293" customWidth="1"/>
    <col min="1538" max="1538" width="7" style="1293" customWidth="1"/>
    <col min="1539" max="1539" width="7.33203125" style="1293" customWidth="1"/>
    <col min="1540" max="1540" width="9.33203125" style="1293" customWidth="1"/>
    <col min="1541" max="1541" width="12" style="1293" customWidth="1"/>
    <col min="1542" max="1543" width="11.88671875" style="1293" customWidth="1"/>
    <col min="1544" max="1544" width="13.33203125" style="1293" customWidth="1"/>
    <col min="1545" max="1545" width="13.6640625" style="1293" customWidth="1"/>
    <col min="1546" max="1546" width="11.44140625" style="1293" customWidth="1"/>
    <col min="1547" max="1547" width="13.88671875" style="1293" customWidth="1"/>
    <col min="1548" max="1548" width="12.44140625" style="1293" customWidth="1"/>
    <col min="1549" max="1549" width="16.44140625" style="1293" customWidth="1"/>
    <col min="1550" max="1792" width="9.109375" style="1293"/>
    <col min="1793" max="1793" width="10.33203125" style="1293" customWidth="1"/>
    <col min="1794" max="1794" width="7" style="1293" customWidth="1"/>
    <col min="1795" max="1795" width="7.33203125" style="1293" customWidth="1"/>
    <col min="1796" max="1796" width="9.33203125" style="1293" customWidth="1"/>
    <col min="1797" max="1797" width="12" style="1293" customWidth="1"/>
    <col min="1798" max="1799" width="11.88671875" style="1293" customWidth="1"/>
    <col min="1800" max="1800" width="13.33203125" style="1293" customWidth="1"/>
    <col min="1801" max="1801" width="13.6640625" style="1293" customWidth="1"/>
    <col min="1802" max="1802" width="11.44140625" style="1293" customWidth="1"/>
    <col min="1803" max="1803" width="13.88671875" style="1293" customWidth="1"/>
    <col min="1804" max="1804" width="12.44140625" style="1293" customWidth="1"/>
    <col min="1805" max="1805" width="16.44140625" style="1293" customWidth="1"/>
    <col min="1806" max="2048" width="9.109375" style="1293"/>
    <col min="2049" max="2049" width="10.33203125" style="1293" customWidth="1"/>
    <col min="2050" max="2050" width="7" style="1293" customWidth="1"/>
    <col min="2051" max="2051" width="7.33203125" style="1293" customWidth="1"/>
    <col min="2052" max="2052" width="9.33203125" style="1293" customWidth="1"/>
    <col min="2053" max="2053" width="12" style="1293" customWidth="1"/>
    <col min="2054" max="2055" width="11.88671875" style="1293" customWidth="1"/>
    <col min="2056" max="2056" width="13.33203125" style="1293" customWidth="1"/>
    <col min="2057" max="2057" width="13.6640625" style="1293" customWidth="1"/>
    <col min="2058" max="2058" width="11.44140625" style="1293" customWidth="1"/>
    <col min="2059" max="2059" width="13.88671875" style="1293" customWidth="1"/>
    <col min="2060" max="2060" width="12.44140625" style="1293" customWidth="1"/>
    <col min="2061" max="2061" width="16.44140625" style="1293" customWidth="1"/>
    <col min="2062" max="2304" width="9.109375" style="1293"/>
    <col min="2305" max="2305" width="10.33203125" style="1293" customWidth="1"/>
    <col min="2306" max="2306" width="7" style="1293" customWidth="1"/>
    <col min="2307" max="2307" width="7.33203125" style="1293" customWidth="1"/>
    <col min="2308" max="2308" width="9.33203125" style="1293" customWidth="1"/>
    <col min="2309" max="2309" width="12" style="1293" customWidth="1"/>
    <col min="2310" max="2311" width="11.88671875" style="1293" customWidth="1"/>
    <col min="2312" max="2312" width="13.33203125" style="1293" customWidth="1"/>
    <col min="2313" max="2313" width="13.6640625" style="1293" customWidth="1"/>
    <col min="2314" max="2314" width="11.44140625" style="1293" customWidth="1"/>
    <col min="2315" max="2315" width="13.88671875" style="1293" customWidth="1"/>
    <col min="2316" max="2316" width="12.44140625" style="1293" customWidth="1"/>
    <col min="2317" max="2317" width="16.44140625" style="1293" customWidth="1"/>
    <col min="2318" max="2560" width="9.109375" style="1293"/>
    <col min="2561" max="2561" width="10.33203125" style="1293" customWidth="1"/>
    <col min="2562" max="2562" width="7" style="1293" customWidth="1"/>
    <col min="2563" max="2563" width="7.33203125" style="1293" customWidth="1"/>
    <col min="2564" max="2564" width="9.33203125" style="1293" customWidth="1"/>
    <col min="2565" max="2565" width="12" style="1293" customWidth="1"/>
    <col min="2566" max="2567" width="11.88671875" style="1293" customWidth="1"/>
    <col min="2568" max="2568" width="13.33203125" style="1293" customWidth="1"/>
    <col min="2569" max="2569" width="13.6640625" style="1293" customWidth="1"/>
    <col min="2570" max="2570" width="11.44140625" style="1293" customWidth="1"/>
    <col min="2571" max="2571" width="13.88671875" style="1293" customWidth="1"/>
    <col min="2572" max="2572" width="12.44140625" style="1293" customWidth="1"/>
    <col min="2573" max="2573" width="16.44140625" style="1293" customWidth="1"/>
    <col min="2574" max="2816" width="9.109375" style="1293"/>
    <col min="2817" max="2817" width="10.33203125" style="1293" customWidth="1"/>
    <col min="2818" max="2818" width="7" style="1293" customWidth="1"/>
    <col min="2819" max="2819" width="7.33203125" style="1293" customWidth="1"/>
    <col min="2820" max="2820" width="9.33203125" style="1293" customWidth="1"/>
    <col min="2821" max="2821" width="12" style="1293" customWidth="1"/>
    <col min="2822" max="2823" width="11.88671875" style="1293" customWidth="1"/>
    <col min="2824" max="2824" width="13.33203125" style="1293" customWidth="1"/>
    <col min="2825" max="2825" width="13.6640625" style="1293" customWidth="1"/>
    <col min="2826" max="2826" width="11.44140625" style="1293" customWidth="1"/>
    <col min="2827" max="2827" width="13.88671875" style="1293" customWidth="1"/>
    <col min="2828" max="2828" width="12.44140625" style="1293" customWidth="1"/>
    <col min="2829" max="2829" width="16.44140625" style="1293" customWidth="1"/>
    <col min="2830" max="3072" width="9.109375" style="1293"/>
    <col min="3073" max="3073" width="10.33203125" style="1293" customWidth="1"/>
    <col min="3074" max="3074" width="7" style="1293" customWidth="1"/>
    <col min="3075" max="3075" width="7.33203125" style="1293" customWidth="1"/>
    <col min="3076" max="3076" width="9.33203125" style="1293" customWidth="1"/>
    <col min="3077" max="3077" width="12" style="1293" customWidth="1"/>
    <col min="3078" max="3079" width="11.88671875" style="1293" customWidth="1"/>
    <col min="3080" max="3080" width="13.33203125" style="1293" customWidth="1"/>
    <col min="3081" max="3081" width="13.6640625" style="1293" customWidth="1"/>
    <col min="3082" max="3082" width="11.44140625" style="1293" customWidth="1"/>
    <col min="3083" max="3083" width="13.88671875" style="1293" customWidth="1"/>
    <col min="3084" max="3084" width="12.44140625" style="1293" customWidth="1"/>
    <col min="3085" max="3085" width="16.44140625" style="1293" customWidth="1"/>
    <col min="3086" max="3328" width="9.109375" style="1293"/>
    <col min="3329" max="3329" width="10.33203125" style="1293" customWidth="1"/>
    <col min="3330" max="3330" width="7" style="1293" customWidth="1"/>
    <col min="3331" max="3331" width="7.33203125" style="1293" customWidth="1"/>
    <col min="3332" max="3332" width="9.33203125" style="1293" customWidth="1"/>
    <col min="3333" max="3333" width="12" style="1293" customWidth="1"/>
    <col min="3334" max="3335" width="11.88671875" style="1293" customWidth="1"/>
    <col min="3336" max="3336" width="13.33203125" style="1293" customWidth="1"/>
    <col min="3337" max="3337" width="13.6640625" style="1293" customWidth="1"/>
    <col min="3338" max="3338" width="11.44140625" style="1293" customWidth="1"/>
    <col min="3339" max="3339" width="13.88671875" style="1293" customWidth="1"/>
    <col min="3340" max="3340" width="12.44140625" style="1293" customWidth="1"/>
    <col min="3341" max="3341" width="16.44140625" style="1293" customWidth="1"/>
    <col min="3342" max="3584" width="9.109375" style="1293"/>
    <col min="3585" max="3585" width="10.33203125" style="1293" customWidth="1"/>
    <col min="3586" max="3586" width="7" style="1293" customWidth="1"/>
    <col min="3587" max="3587" width="7.33203125" style="1293" customWidth="1"/>
    <col min="3588" max="3588" width="9.33203125" style="1293" customWidth="1"/>
    <col min="3589" max="3589" width="12" style="1293" customWidth="1"/>
    <col min="3590" max="3591" width="11.88671875" style="1293" customWidth="1"/>
    <col min="3592" max="3592" width="13.33203125" style="1293" customWidth="1"/>
    <col min="3593" max="3593" width="13.6640625" style="1293" customWidth="1"/>
    <col min="3594" max="3594" width="11.44140625" style="1293" customWidth="1"/>
    <col min="3595" max="3595" width="13.88671875" style="1293" customWidth="1"/>
    <col min="3596" max="3596" width="12.44140625" style="1293" customWidth="1"/>
    <col min="3597" max="3597" width="16.44140625" style="1293" customWidth="1"/>
    <col min="3598" max="3840" width="9.109375" style="1293"/>
    <col min="3841" max="3841" width="10.33203125" style="1293" customWidth="1"/>
    <col min="3842" max="3842" width="7" style="1293" customWidth="1"/>
    <col min="3843" max="3843" width="7.33203125" style="1293" customWidth="1"/>
    <col min="3844" max="3844" width="9.33203125" style="1293" customWidth="1"/>
    <col min="3845" max="3845" width="12" style="1293" customWidth="1"/>
    <col min="3846" max="3847" width="11.88671875" style="1293" customWidth="1"/>
    <col min="3848" max="3848" width="13.33203125" style="1293" customWidth="1"/>
    <col min="3849" max="3849" width="13.6640625" style="1293" customWidth="1"/>
    <col min="3850" max="3850" width="11.44140625" style="1293" customWidth="1"/>
    <col min="3851" max="3851" width="13.88671875" style="1293" customWidth="1"/>
    <col min="3852" max="3852" width="12.44140625" style="1293" customWidth="1"/>
    <col min="3853" max="3853" width="16.44140625" style="1293" customWidth="1"/>
    <col min="3854" max="4096" width="9.109375" style="1293"/>
    <col min="4097" max="4097" width="10.33203125" style="1293" customWidth="1"/>
    <col min="4098" max="4098" width="7" style="1293" customWidth="1"/>
    <col min="4099" max="4099" width="7.33203125" style="1293" customWidth="1"/>
    <col min="4100" max="4100" width="9.33203125" style="1293" customWidth="1"/>
    <col min="4101" max="4101" width="12" style="1293" customWidth="1"/>
    <col min="4102" max="4103" width="11.88671875" style="1293" customWidth="1"/>
    <col min="4104" max="4104" width="13.33203125" style="1293" customWidth="1"/>
    <col min="4105" max="4105" width="13.6640625" style="1293" customWidth="1"/>
    <col min="4106" max="4106" width="11.44140625" style="1293" customWidth="1"/>
    <col min="4107" max="4107" width="13.88671875" style="1293" customWidth="1"/>
    <col min="4108" max="4108" width="12.44140625" style="1293" customWidth="1"/>
    <col min="4109" max="4109" width="16.44140625" style="1293" customWidth="1"/>
    <col min="4110" max="4352" width="9.109375" style="1293"/>
    <col min="4353" max="4353" width="10.33203125" style="1293" customWidth="1"/>
    <col min="4354" max="4354" width="7" style="1293" customWidth="1"/>
    <col min="4355" max="4355" width="7.33203125" style="1293" customWidth="1"/>
    <col min="4356" max="4356" width="9.33203125" style="1293" customWidth="1"/>
    <col min="4357" max="4357" width="12" style="1293" customWidth="1"/>
    <col min="4358" max="4359" width="11.88671875" style="1293" customWidth="1"/>
    <col min="4360" max="4360" width="13.33203125" style="1293" customWidth="1"/>
    <col min="4361" max="4361" width="13.6640625" style="1293" customWidth="1"/>
    <col min="4362" max="4362" width="11.44140625" style="1293" customWidth="1"/>
    <col min="4363" max="4363" width="13.88671875" style="1293" customWidth="1"/>
    <col min="4364" max="4364" width="12.44140625" style="1293" customWidth="1"/>
    <col min="4365" max="4365" width="16.44140625" style="1293" customWidth="1"/>
    <col min="4366" max="4608" width="9.109375" style="1293"/>
    <col min="4609" max="4609" width="10.33203125" style="1293" customWidth="1"/>
    <col min="4610" max="4610" width="7" style="1293" customWidth="1"/>
    <col min="4611" max="4611" width="7.33203125" style="1293" customWidth="1"/>
    <col min="4612" max="4612" width="9.33203125" style="1293" customWidth="1"/>
    <col min="4613" max="4613" width="12" style="1293" customWidth="1"/>
    <col min="4614" max="4615" width="11.88671875" style="1293" customWidth="1"/>
    <col min="4616" max="4616" width="13.33203125" style="1293" customWidth="1"/>
    <col min="4617" max="4617" width="13.6640625" style="1293" customWidth="1"/>
    <col min="4618" max="4618" width="11.44140625" style="1293" customWidth="1"/>
    <col min="4619" max="4619" width="13.88671875" style="1293" customWidth="1"/>
    <col min="4620" max="4620" width="12.44140625" style="1293" customWidth="1"/>
    <col min="4621" max="4621" width="16.44140625" style="1293" customWidth="1"/>
    <col min="4622" max="4864" width="9.109375" style="1293"/>
    <col min="4865" max="4865" width="10.33203125" style="1293" customWidth="1"/>
    <col min="4866" max="4866" width="7" style="1293" customWidth="1"/>
    <col min="4867" max="4867" width="7.33203125" style="1293" customWidth="1"/>
    <col min="4868" max="4868" width="9.33203125" style="1293" customWidth="1"/>
    <col min="4869" max="4869" width="12" style="1293" customWidth="1"/>
    <col min="4870" max="4871" width="11.88671875" style="1293" customWidth="1"/>
    <col min="4872" max="4872" width="13.33203125" style="1293" customWidth="1"/>
    <col min="4873" max="4873" width="13.6640625" style="1293" customWidth="1"/>
    <col min="4874" max="4874" width="11.44140625" style="1293" customWidth="1"/>
    <col min="4875" max="4875" width="13.88671875" style="1293" customWidth="1"/>
    <col min="4876" max="4876" width="12.44140625" style="1293" customWidth="1"/>
    <col min="4877" max="4877" width="16.44140625" style="1293" customWidth="1"/>
    <col min="4878" max="5120" width="9.109375" style="1293"/>
    <col min="5121" max="5121" width="10.33203125" style="1293" customWidth="1"/>
    <col min="5122" max="5122" width="7" style="1293" customWidth="1"/>
    <col min="5123" max="5123" width="7.33203125" style="1293" customWidth="1"/>
    <col min="5124" max="5124" width="9.33203125" style="1293" customWidth="1"/>
    <col min="5125" max="5125" width="12" style="1293" customWidth="1"/>
    <col min="5126" max="5127" width="11.88671875" style="1293" customWidth="1"/>
    <col min="5128" max="5128" width="13.33203125" style="1293" customWidth="1"/>
    <col min="5129" max="5129" width="13.6640625" style="1293" customWidth="1"/>
    <col min="5130" max="5130" width="11.44140625" style="1293" customWidth="1"/>
    <col min="5131" max="5131" width="13.88671875" style="1293" customWidth="1"/>
    <col min="5132" max="5132" width="12.44140625" style="1293" customWidth="1"/>
    <col min="5133" max="5133" width="16.44140625" style="1293" customWidth="1"/>
    <col min="5134" max="5376" width="9.109375" style="1293"/>
    <col min="5377" max="5377" width="10.33203125" style="1293" customWidth="1"/>
    <col min="5378" max="5378" width="7" style="1293" customWidth="1"/>
    <col min="5379" max="5379" width="7.33203125" style="1293" customWidth="1"/>
    <col min="5380" max="5380" width="9.33203125" style="1293" customWidth="1"/>
    <col min="5381" max="5381" width="12" style="1293" customWidth="1"/>
    <col min="5382" max="5383" width="11.88671875" style="1293" customWidth="1"/>
    <col min="5384" max="5384" width="13.33203125" style="1293" customWidth="1"/>
    <col min="5385" max="5385" width="13.6640625" style="1293" customWidth="1"/>
    <col min="5386" max="5386" width="11.44140625" style="1293" customWidth="1"/>
    <col min="5387" max="5387" width="13.88671875" style="1293" customWidth="1"/>
    <col min="5388" max="5388" width="12.44140625" style="1293" customWidth="1"/>
    <col min="5389" max="5389" width="16.44140625" style="1293" customWidth="1"/>
    <col min="5390" max="5632" width="9.109375" style="1293"/>
    <col min="5633" max="5633" width="10.33203125" style="1293" customWidth="1"/>
    <col min="5634" max="5634" width="7" style="1293" customWidth="1"/>
    <col min="5635" max="5635" width="7.33203125" style="1293" customWidth="1"/>
    <col min="5636" max="5636" width="9.33203125" style="1293" customWidth="1"/>
    <col min="5637" max="5637" width="12" style="1293" customWidth="1"/>
    <col min="5638" max="5639" width="11.88671875" style="1293" customWidth="1"/>
    <col min="5640" max="5640" width="13.33203125" style="1293" customWidth="1"/>
    <col min="5641" max="5641" width="13.6640625" style="1293" customWidth="1"/>
    <col min="5642" max="5642" width="11.44140625" style="1293" customWidth="1"/>
    <col min="5643" max="5643" width="13.88671875" style="1293" customWidth="1"/>
    <col min="5644" max="5644" width="12.44140625" style="1293" customWidth="1"/>
    <col min="5645" max="5645" width="16.44140625" style="1293" customWidth="1"/>
    <col min="5646" max="5888" width="9.109375" style="1293"/>
    <col min="5889" max="5889" width="10.33203125" style="1293" customWidth="1"/>
    <col min="5890" max="5890" width="7" style="1293" customWidth="1"/>
    <col min="5891" max="5891" width="7.33203125" style="1293" customWidth="1"/>
    <col min="5892" max="5892" width="9.33203125" style="1293" customWidth="1"/>
    <col min="5893" max="5893" width="12" style="1293" customWidth="1"/>
    <col min="5894" max="5895" width="11.88671875" style="1293" customWidth="1"/>
    <col min="5896" max="5896" width="13.33203125" style="1293" customWidth="1"/>
    <col min="5897" max="5897" width="13.6640625" style="1293" customWidth="1"/>
    <col min="5898" max="5898" width="11.44140625" style="1293" customWidth="1"/>
    <col min="5899" max="5899" width="13.88671875" style="1293" customWidth="1"/>
    <col min="5900" max="5900" width="12.44140625" style="1293" customWidth="1"/>
    <col min="5901" max="5901" width="16.44140625" style="1293" customWidth="1"/>
    <col min="5902" max="6144" width="9.109375" style="1293"/>
    <col min="6145" max="6145" width="10.33203125" style="1293" customWidth="1"/>
    <col min="6146" max="6146" width="7" style="1293" customWidth="1"/>
    <col min="6147" max="6147" width="7.33203125" style="1293" customWidth="1"/>
    <col min="6148" max="6148" width="9.33203125" style="1293" customWidth="1"/>
    <col min="6149" max="6149" width="12" style="1293" customWidth="1"/>
    <col min="6150" max="6151" width="11.88671875" style="1293" customWidth="1"/>
    <col min="6152" max="6152" width="13.33203125" style="1293" customWidth="1"/>
    <col min="6153" max="6153" width="13.6640625" style="1293" customWidth="1"/>
    <col min="6154" max="6154" width="11.44140625" style="1293" customWidth="1"/>
    <col min="6155" max="6155" width="13.88671875" style="1293" customWidth="1"/>
    <col min="6156" max="6156" width="12.44140625" style="1293" customWidth="1"/>
    <col min="6157" max="6157" width="16.44140625" style="1293" customWidth="1"/>
    <col min="6158" max="6400" width="9.109375" style="1293"/>
    <col min="6401" max="6401" width="10.33203125" style="1293" customWidth="1"/>
    <col min="6402" max="6402" width="7" style="1293" customWidth="1"/>
    <col min="6403" max="6403" width="7.33203125" style="1293" customWidth="1"/>
    <col min="6404" max="6404" width="9.33203125" style="1293" customWidth="1"/>
    <col min="6405" max="6405" width="12" style="1293" customWidth="1"/>
    <col min="6406" max="6407" width="11.88671875" style="1293" customWidth="1"/>
    <col min="6408" max="6408" width="13.33203125" style="1293" customWidth="1"/>
    <col min="6409" max="6409" width="13.6640625" style="1293" customWidth="1"/>
    <col min="6410" max="6410" width="11.44140625" style="1293" customWidth="1"/>
    <col min="6411" max="6411" width="13.88671875" style="1293" customWidth="1"/>
    <col min="6412" max="6412" width="12.44140625" style="1293" customWidth="1"/>
    <col min="6413" max="6413" width="16.44140625" style="1293" customWidth="1"/>
    <col min="6414" max="6656" width="9.109375" style="1293"/>
    <col min="6657" max="6657" width="10.33203125" style="1293" customWidth="1"/>
    <col min="6658" max="6658" width="7" style="1293" customWidth="1"/>
    <col min="6659" max="6659" width="7.33203125" style="1293" customWidth="1"/>
    <col min="6660" max="6660" width="9.33203125" style="1293" customWidth="1"/>
    <col min="6661" max="6661" width="12" style="1293" customWidth="1"/>
    <col min="6662" max="6663" width="11.88671875" style="1293" customWidth="1"/>
    <col min="6664" max="6664" width="13.33203125" style="1293" customWidth="1"/>
    <col min="6665" max="6665" width="13.6640625" style="1293" customWidth="1"/>
    <col min="6666" max="6666" width="11.44140625" style="1293" customWidth="1"/>
    <col min="6667" max="6667" width="13.88671875" style="1293" customWidth="1"/>
    <col min="6668" max="6668" width="12.44140625" style="1293" customWidth="1"/>
    <col min="6669" max="6669" width="16.44140625" style="1293" customWidth="1"/>
    <col min="6670" max="6912" width="9.109375" style="1293"/>
    <col min="6913" max="6913" width="10.33203125" style="1293" customWidth="1"/>
    <col min="6914" max="6914" width="7" style="1293" customWidth="1"/>
    <col min="6915" max="6915" width="7.33203125" style="1293" customWidth="1"/>
    <col min="6916" max="6916" width="9.33203125" style="1293" customWidth="1"/>
    <col min="6917" max="6917" width="12" style="1293" customWidth="1"/>
    <col min="6918" max="6919" width="11.88671875" style="1293" customWidth="1"/>
    <col min="6920" max="6920" width="13.33203125" style="1293" customWidth="1"/>
    <col min="6921" max="6921" width="13.6640625" style="1293" customWidth="1"/>
    <col min="6922" max="6922" width="11.44140625" style="1293" customWidth="1"/>
    <col min="6923" max="6923" width="13.88671875" style="1293" customWidth="1"/>
    <col min="6924" max="6924" width="12.44140625" style="1293" customWidth="1"/>
    <col min="6925" max="6925" width="16.44140625" style="1293" customWidth="1"/>
    <col min="6926" max="7168" width="9.109375" style="1293"/>
    <col min="7169" max="7169" width="10.33203125" style="1293" customWidth="1"/>
    <col min="7170" max="7170" width="7" style="1293" customWidth="1"/>
    <col min="7171" max="7171" width="7.33203125" style="1293" customWidth="1"/>
    <col min="7172" max="7172" width="9.33203125" style="1293" customWidth="1"/>
    <col min="7173" max="7173" width="12" style="1293" customWidth="1"/>
    <col min="7174" max="7175" width="11.88671875" style="1293" customWidth="1"/>
    <col min="7176" max="7176" width="13.33203125" style="1293" customWidth="1"/>
    <col min="7177" max="7177" width="13.6640625" style="1293" customWidth="1"/>
    <col min="7178" max="7178" width="11.44140625" style="1293" customWidth="1"/>
    <col min="7179" max="7179" width="13.88671875" style="1293" customWidth="1"/>
    <col min="7180" max="7180" width="12.44140625" style="1293" customWidth="1"/>
    <col min="7181" max="7181" width="16.44140625" style="1293" customWidth="1"/>
    <col min="7182" max="7424" width="9.109375" style="1293"/>
    <col min="7425" max="7425" width="10.33203125" style="1293" customWidth="1"/>
    <col min="7426" max="7426" width="7" style="1293" customWidth="1"/>
    <col min="7427" max="7427" width="7.33203125" style="1293" customWidth="1"/>
    <col min="7428" max="7428" width="9.33203125" style="1293" customWidth="1"/>
    <col min="7429" max="7429" width="12" style="1293" customWidth="1"/>
    <col min="7430" max="7431" width="11.88671875" style="1293" customWidth="1"/>
    <col min="7432" max="7432" width="13.33203125" style="1293" customWidth="1"/>
    <col min="7433" max="7433" width="13.6640625" style="1293" customWidth="1"/>
    <col min="7434" max="7434" width="11.44140625" style="1293" customWidth="1"/>
    <col min="7435" max="7435" width="13.88671875" style="1293" customWidth="1"/>
    <col min="7436" max="7436" width="12.44140625" style="1293" customWidth="1"/>
    <col min="7437" max="7437" width="16.44140625" style="1293" customWidth="1"/>
    <col min="7438" max="7680" width="9.109375" style="1293"/>
    <col min="7681" max="7681" width="10.33203125" style="1293" customWidth="1"/>
    <col min="7682" max="7682" width="7" style="1293" customWidth="1"/>
    <col min="7683" max="7683" width="7.33203125" style="1293" customWidth="1"/>
    <col min="7684" max="7684" width="9.33203125" style="1293" customWidth="1"/>
    <col min="7685" max="7685" width="12" style="1293" customWidth="1"/>
    <col min="7686" max="7687" width="11.88671875" style="1293" customWidth="1"/>
    <col min="7688" max="7688" width="13.33203125" style="1293" customWidth="1"/>
    <col min="7689" max="7689" width="13.6640625" style="1293" customWidth="1"/>
    <col min="7690" max="7690" width="11.44140625" style="1293" customWidth="1"/>
    <col min="7691" max="7691" width="13.88671875" style="1293" customWidth="1"/>
    <col min="7692" max="7692" width="12.44140625" style="1293" customWidth="1"/>
    <col min="7693" max="7693" width="16.44140625" style="1293" customWidth="1"/>
    <col min="7694" max="7936" width="9.109375" style="1293"/>
    <col min="7937" max="7937" width="10.33203125" style="1293" customWidth="1"/>
    <col min="7938" max="7938" width="7" style="1293" customWidth="1"/>
    <col min="7939" max="7939" width="7.33203125" style="1293" customWidth="1"/>
    <col min="7940" max="7940" width="9.33203125" style="1293" customWidth="1"/>
    <col min="7941" max="7941" width="12" style="1293" customWidth="1"/>
    <col min="7942" max="7943" width="11.88671875" style="1293" customWidth="1"/>
    <col min="7944" max="7944" width="13.33203125" style="1293" customWidth="1"/>
    <col min="7945" max="7945" width="13.6640625" style="1293" customWidth="1"/>
    <col min="7946" max="7946" width="11.44140625" style="1293" customWidth="1"/>
    <col min="7947" max="7947" width="13.88671875" style="1293" customWidth="1"/>
    <col min="7948" max="7948" width="12.44140625" style="1293" customWidth="1"/>
    <col min="7949" max="7949" width="16.44140625" style="1293" customWidth="1"/>
    <col min="7950" max="8192" width="9.109375" style="1293"/>
    <col min="8193" max="8193" width="10.33203125" style="1293" customWidth="1"/>
    <col min="8194" max="8194" width="7" style="1293" customWidth="1"/>
    <col min="8195" max="8195" width="7.33203125" style="1293" customWidth="1"/>
    <col min="8196" max="8196" width="9.33203125" style="1293" customWidth="1"/>
    <col min="8197" max="8197" width="12" style="1293" customWidth="1"/>
    <col min="8198" max="8199" width="11.88671875" style="1293" customWidth="1"/>
    <col min="8200" max="8200" width="13.33203125" style="1293" customWidth="1"/>
    <col min="8201" max="8201" width="13.6640625" style="1293" customWidth="1"/>
    <col min="8202" max="8202" width="11.44140625" style="1293" customWidth="1"/>
    <col min="8203" max="8203" width="13.88671875" style="1293" customWidth="1"/>
    <col min="8204" max="8204" width="12.44140625" style="1293" customWidth="1"/>
    <col min="8205" max="8205" width="16.44140625" style="1293" customWidth="1"/>
    <col min="8206" max="8448" width="9.109375" style="1293"/>
    <col min="8449" max="8449" width="10.33203125" style="1293" customWidth="1"/>
    <col min="8450" max="8450" width="7" style="1293" customWidth="1"/>
    <col min="8451" max="8451" width="7.33203125" style="1293" customWidth="1"/>
    <col min="8452" max="8452" width="9.33203125" style="1293" customWidth="1"/>
    <col min="8453" max="8453" width="12" style="1293" customWidth="1"/>
    <col min="8454" max="8455" width="11.88671875" style="1293" customWidth="1"/>
    <col min="8456" max="8456" width="13.33203125" style="1293" customWidth="1"/>
    <col min="8457" max="8457" width="13.6640625" style="1293" customWidth="1"/>
    <col min="8458" max="8458" width="11.44140625" style="1293" customWidth="1"/>
    <col min="8459" max="8459" width="13.88671875" style="1293" customWidth="1"/>
    <col min="8460" max="8460" width="12.44140625" style="1293" customWidth="1"/>
    <col min="8461" max="8461" width="16.44140625" style="1293" customWidth="1"/>
    <col min="8462" max="8704" width="9.109375" style="1293"/>
    <col min="8705" max="8705" width="10.33203125" style="1293" customWidth="1"/>
    <col min="8706" max="8706" width="7" style="1293" customWidth="1"/>
    <col min="8707" max="8707" width="7.33203125" style="1293" customWidth="1"/>
    <col min="8708" max="8708" width="9.33203125" style="1293" customWidth="1"/>
    <col min="8709" max="8709" width="12" style="1293" customWidth="1"/>
    <col min="8710" max="8711" width="11.88671875" style="1293" customWidth="1"/>
    <col min="8712" max="8712" width="13.33203125" style="1293" customWidth="1"/>
    <col min="8713" max="8713" width="13.6640625" style="1293" customWidth="1"/>
    <col min="8714" max="8714" width="11.44140625" style="1293" customWidth="1"/>
    <col min="8715" max="8715" width="13.88671875" style="1293" customWidth="1"/>
    <col min="8716" max="8716" width="12.44140625" style="1293" customWidth="1"/>
    <col min="8717" max="8717" width="16.44140625" style="1293" customWidth="1"/>
    <col min="8718" max="8960" width="9.109375" style="1293"/>
    <col min="8961" max="8961" width="10.33203125" style="1293" customWidth="1"/>
    <col min="8962" max="8962" width="7" style="1293" customWidth="1"/>
    <col min="8963" max="8963" width="7.33203125" style="1293" customWidth="1"/>
    <col min="8964" max="8964" width="9.33203125" style="1293" customWidth="1"/>
    <col min="8965" max="8965" width="12" style="1293" customWidth="1"/>
    <col min="8966" max="8967" width="11.88671875" style="1293" customWidth="1"/>
    <col min="8968" max="8968" width="13.33203125" style="1293" customWidth="1"/>
    <col min="8969" max="8969" width="13.6640625" style="1293" customWidth="1"/>
    <col min="8970" max="8970" width="11.44140625" style="1293" customWidth="1"/>
    <col min="8971" max="8971" width="13.88671875" style="1293" customWidth="1"/>
    <col min="8972" max="8972" width="12.44140625" style="1293" customWidth="1"/>
    <col min="8973" max="8973" width="16.44140625" style="1293" customWidth="1"/>
    <col min="8974" max="9216" width="9.109375" style="1293"/>
    <col min="9217" max="9217" width="10.33203125" style="1293" customWidth="1"/>
    <col min="9218" max="9218" width="7" style="1293" customWidth="1"/>
    <col min="9219" max="9219" width="7.33203125" style="1293" customWidth="1"/>
    <col min="9220" max="9220" width="9.33203125" style="1293" customWidth="1"/>
    <col min="9221" max="9221" width="12" style="1293" customWidth="1"/>
    <col min="9222" max="9223" width="11.88671875" style="1293" customWidth="1"/>
    <col min="9224" max="9224" width="13.33203125" style="1293" customWidth="1"/>
    <col min="9225" max="9225" width="13.6640625" style="1293" customWidth="1"/>
    <col min="9226" max="9226" width="11.44140625" style="1293" customWidth="1"/>
    <col min="9227" max="9227" width="13.88671875" style="1293" customWidth="1"/>
    <col min="9228" max="9228" width="12.44140625" style="1293" customWidth="1"/>
    <col min="9229" max="9229" width="16.44140625" style="1293" customWidth="1"/>
    <col min="9230" max="9472" width="9.109375" style="1293"/>
    <col min="9473" max="9473" width="10.33203125" style="1293" customWidth="1"/>
    <col min="9474" max="9474" width="7" style="1293" customWidth="1"/>
    <col min="9475" max="9475" width="7.33203125" style="1293" customWidth="1"/>
    <col min="9476" max="9476" width="9.33203125" style="1293" customWidth="1"/>
    <col min="9477" max="9477" width="12" style="1293" customWidth="1"/>
    <col min="9478" max="9479" width="11.88671875" style="1293" customWidth="1"/>
    <col min="9480" max="9480" width="13.33203125" style="1293" customWidth="1"/>
    <col min="9481" max="9481" width="13.6640625" style="1293" customWidth="1"/>
    <col min="9482" max="9482" width="11.44140625" style="1293" customWidth="1"/>
    <col min="9483" max="9483" width="13.88671875" style="1293" customWidth="1"/>
    <col min="9484" max="9484" width="12.44140625" style="1293" customWidth="1"/>
    <col min="9485" max="9485" width="16.44140625" style="1293" customWidth="1"/>
    <col min="9486" max="9728" width="9.109375" style="1293"/>
    <col min="9729" max="9729" width="10.33203125" style="1293" customWidth="1"/>
    <col min="9730" max="9730" width="7" style="1293" customWidth="1"/>
    <col min="9731" max="9731" width="7.33203125" style="1293" customWidth="1"/>
    <col min="9732" max="9732" width="9.33203125" style="1293" customWidth="1"/>
    <col min="9733" max="9733" width="12" style="1293" customWidth="1"/>
    <col min="9734" max="9735" width="11.88671875" style="1293" customWidth="1"/>
    <col min="9736" max="9736" width="13.33203125" style="1293" customWidth="1"/>
    <col min="9737" max="9737" width="13.6640625" style="1293" customWidth="1"/>
    <col min="9738" max="9738" width="11.44140625" style="1293" customWidth="1"/>
    <col min="9739" max="9739" width="13.88671875" style="1293" customWidth="1"/>
    <col min="9740" max="9740" width="12.44140625" style="1293" customWidth="1"/>
    <col min="9741" max="9741" width="16.44140625" style="1293" customWidth="1"/>
    <col min="9742" max="9984" width="9.109375" style="1293"/>
    <col min="9985" max="9985" width="10.33203125" style="1293" customWidth="1"/>
    <col min="9986" max="9986" width="7" style="1293" customWidth="1"/>
    <col min="9987" max="9987" width="7.33203125" style="1293" customWidth="1"/>
    <col min="9988" max="9988" width="9.33203125" style="1293" customWidth="1"/>
    <col min="9989" max="9989" width="12" style="1293" customWidth="1"/>
    <col min="9990" max="9991" width="11.88671875" style="1293" customWidth="1"/>
    <col min="9992" max="9992" width="13.33203125" style="1293" customWidth="1"/>
    <col min="9993" max="9993" width="13.6640625" style="1293" customWidth="1"/>
    <col min="9994" max="9994" width="11.44140625" style="1293" customWidth="1"/>
    <col min="9995" max="9995" width="13.88671875" style="1293" customWidth="1"/>
    <col min="9996" max="9996" width="12.44140625" style="1293" customWidth="1"/>
    <col min="9997" max="9997" width="16.44140625" style="1293" customWidth="1"/>
    <col min="9998" max="10240" width="9.109375" style="1293"/>
    <col min="10241" max="10241" width="10.33203125" style="1293" customWidth="1"/>
    <col min="10242" max="10242" width="7" style="1293" customWidth="1"/>
    <col min="10243" max="10243" width="7.33203125" style="1293" customWidth="1"/>
    <col min="10244" max="10244" width="9.33203125" style="1293" customWidth="1"/>
    <col min="10245" max="10245" width="12" style="1293" customWidth="1"/>
    <col min="10246" max="10247" width="11.88671875" style="1293" customWidth="1"/>
    <col min="10248" max="10248" width="13.33203125" style="1293" customWidth="1"/>
    <col min="10249" max="10249" width="13.6640625" style="1293" customWidth="1"/>
    <col min="10250" max="10250" width="11.44140625" style="1293" customWidth="1"/>
    <col min="10251" max="10251" width="13.88671875" style="1293" customWidth="1"/>
    <col min="10252" max="10252" width="12.44140625" style="1293" customWidth="1"/>
    <col min="10253" max="10253" width="16.44140625" style="1293" customWidth="1"/>
    <col min="10254" max="10496" width="9.109375" style="1293"/>
    <col min="10497" max="10497" width="10.33203125" style="1293" customWidth="1"/>
    <col min="10498" max="10498" width="7" style="1293" customWidth="1"/>
    <col min="10499" max="10499" width="7.33203125" style="1293" customWidth="1"/>
    <col min="10500" max="10500" width="9.33203125" style="1293" customWidth="1"/>
    <col min="10501" max="10501" width="12" style="1293" customWidth="1"/>
    <col min="10502" max="10503" width="11.88671875" style="1293" customWidth="1"/>
    <col min="10504" max="10504" width="13.33203125" style="1293" customWidth="1"/>
    <col min="10505" max="10505" width="13.6640625" style="1293" customWidth="1"/>
    <col min="10506" max="10506" width="11.44140625" style="1293" customWidth="1"/>
    <col min="10507" max="10507" width="13.88671875" style="1293" customWidth="1"/>
    <col min="10508" max="10508" width="12.44140625" style="1293" customWidth="1"/>
    <col min="10509" max="10509" width="16.44140625" style="1293" customWidth="1"/>
    <col min="10510" max="10752" width="9.109375" style="1293"/>
    <col min="10753" max="10753" width="10.33203125" style="1293" customWidth="1"/>
    <col min="10754" max="10754" width="7" style="1293" customWidth="1"/>
    <col min="10755" max="10755" width="7.33203125" style="1293" customWidth="1"/>
    <col min="10756" max="10756" width="9.33203125" style="1293" customWidth="1"/>
    <col min="10757" max="10757" width="12" style="1293" customWidth="1"/>
    <col min="10758" max="10759" width="11.88671875" style="1293" customWidth="1"/>
    <col min="10760" max="10760" width="13.33203125" style="1293" customWidth="1"/>
    <col min="10761" max="10761" width="13.6640625" style="1293" customWidth="1"/>
    <col min="10762" max="10762" width="11.44140625" style="1293" customWidth="1"/>
    <col min="10763" max="10763" width="13.88671875" style="1293" customWidth="1"/>
    <col min="10764" max="10764" width="12.44140625" style="1293" customWidth="1"/>
    <col min="10765" max="10765" width="16.44140625" style="1293" customWidth="1"/>
    <col min="10766" max="11008" width="9.109375" style="1293"/>
    <col min="11009" max="11009" width="10.33203125" style="1293" customWidth="1"/>
    <col min="11010" max="11010" width="7" style="1293" customWidth="1"/>
    <col min="11011" max="11011" width="7.33203125" style="1293" customWidth="1"/>
    <col min="11012" max="11012" width="9.33203125" style="1293" customWidth="1"/>
    <col min="11013" max="11013" width="12" style="1293" customWidth="1"/>
    <col min="11014" max="11015" width="11.88671875" style="1293" customWidth="1"/>
    <col min="11016" max="11016" width="13.33203125" style="1293" customWidth="1"/>
    <col min="11017" max="11017" width="13.6640625" style="1293" customWidth="1"/>
    <col min="11018" max="11018" width="11.44140625" style="1293" customWidth="1"/>
    <col min="11019" max="11019" width="13.88671875" style="1293" customWidth="1"/>
    <col min="11020" max="11020" width="12.44140625" style="1293" customWidth="1"/>
    <col min="11021" max="11021" width="16.44140625" style="1293" customWidth="1"/>
    <col min="11022" max="11264" width="9.109375" style="1293"/>
    <col min="11265" max="11265" width="10.33203125" style="1293" customWidth="1"/>
    <col min="11266" max="11266" width="7" style="1293" customWidth="1"/>
    <col min="11267" max="11267" width="7.33203125" style="1293" customWidth="1"/>
    <col min="11268" max="11268" width="9.33203125" style="1293" customWidth="1"/>
    <col min="11269" max="11269" width="12" style="1293" customWidth="1"/>
    <col min="11270" max="11271" width="11.88671875" style="1293" customWidth="1"/>
    <col min="11272" max="11272" width="13.33203125" style="1293" customWidth="1"/>
    <col min="11273" max="11273" width="13.6640625" style="1293" customWidth="1"/>
    <col min="11274" max="11274" width="11.44140625" style="1293" customWidth="1"/>
    <col min="11275" max="11275" width="13.88671875" style="1293" customWidth="1"/>
    <col min="11276" max="11276" width="12.44140625" style="1293" customWidth="1"/>
    <col min="11277" max="11277" width="16.44140625" style="1293" customWidth="1"/>
    <col min="11278" max="11520" width="9.109375" style="1293"/>
    <col min="11521" max="11521" width="10.33203125" style="1293" customWidth="1"/>
    <col min="11522" max="11522" width="7" style="1293" customWidth="1"/>
    <col min="11523" max="11523" width="7.33203125" style="1293" customWidth="1"/>
    <col min="11524" max="11524" width="9.33203125" style="1293" customWidth="1"/>
    <col min="11525" max="11525" width="12" style="1293" customWidth="1"/>
    <col min="11526" max="11527" width="11.88671875" style="1293" customWidth="1"/>
    <col min="11528" max="11528" width="13.33203125" style="1293" customWidth="1"/>
    <col min="11529" max="11529" width="13.6640625" style="1293" customWidth="1"/>
    <col min="11530" max="11530" width="11.44140625" style="1293" customWidth="1"/>
    <col min="11531" max="11531" width="13.88671875" style="1293" customWidth="1"/>
    <col min="11532" max="11532" width="12.44140625" style="1293" customWidth="1"/>
    <col min="11533" max="11533" width="16.44140625" style="1293" customWidth="1"/>
    <col min="11534" max="11776" width="9.109375" style="1293"/>
    <col min="11777" max="11777" width="10.33203125" style="1293" customWidth="1"/>
    <col min="11778" max="11778" width="7" style="1293" customWidth="1"/>
    <col min="11779" max="11779" width="7.33203125" style="1293" customWidth="1"/>
    <col min="11780" max="11780" width="9.33203125" style="1293" customWidth="1"/>
    <col min="11781" max="11781" width="12" style="1293" customWidth="1"/>
    <col min="11782" max="11783" width="11.88671875" style="1293" customWidth="1"/>
    <col min="11784" max="11784" width="13.33203125" style="1293" customWidth="1"/>
    <col min="11785" max="11785" width="13.6640625" style="1293" customWidth="1"/>
    <col min="11786" max="11786" width="11.44140625" style="1293" customWidth="1"/>
    <col min="11787" max="11787" width="13.88671875" style="1293" customWidth="1"/>
    <col min="11788" max="11788" width="12.44140625" style="1293" customWidth="1"/>
    <col min="11789" max="11789" width="16.44140625" style="1293" customWidth="1"/>
    <col min="11790" max="12032" width="9.109375" style="1293"/>
    <col min="12033" max="12033" width="10.33203125" style="1293" customWidth="1"/>
    <col min="12034" max="12034" width="7" style="1293" customWidth="1"/>
    <col min="12035" max="12035" width="7.33203125" style="1293" customWidth="1"/>
    <col min="12036" max="12036" width="9.33203125" style="1293" customWidth="1"/>
    <col min="12037" max="12037" width="12" style="1293" customWidth="1"/>
    <col min="12038" max="12039" width="11.88671875" style="1293" customWidth="1"/>
    <col min="12040" max="12040" width="13.33203125" style="1293" customWidth="1"/>
    <col min="12041" max="12041" width="13.6640625" style="1293" customWidth="1"/>
    <col min="12042" max="12042" width="11.44140625" style="1293" customWidth="1"/>
    <col min="12043" max="12043" width="13.88671875" style="1293" customWidth="1"/>
    <col min="12044" max="12044" width="12.44140625" style="1293" customWidth="1"/>
    <col min="12045" max="12045" width="16.44140625" style="1293" customWidth="1"/>
    <col min="12046" max="12288" width="9.109375" style="1293"/>
    <col min="12289" max="12289" width="10.33203125" style="1293" customWidth="1"/>
    <col min="12290" max="12290" width="7" style="1293" customWidth="1"/>
    <col min="12291" max="12291" width="7.33203125" style="1293" customWidth="1"/>
    <col min="12292" max="12292" width="9.33203125" style="1293" customWidth="1"/>
    <col min="12293" max="12293" width="12" style="1293" customWidth="1"/>
    <col min="12294" max="12295" width="11.88671875" style="1293" customWidth="1"/>
    <col min="12296" max="12296" width="13.33203125" style="1293" customWidth="1"/>
    <col min="12297" max="12297" width="13.6640625" style="1293" customWidth="1"/>
    <col min="12298" max="12298" width="11.44140625" style="1293" customWidth="1"/>
    <col min="12299" max="12299" width="13.88671875" style="1293" customWidth="1"/>
    <col min="12300" max="12300" width="12.44140625" style="1293" customWidth="1"/>
    <col min="12301" max="12301" width="16.44140625" style="1293" customWidth="1"/>
    <col min="12302" max="12544" width="9.109375" style="1293"/>
    <col min="12545" max="12545" width="10.33203125" style="1293" customWidth="1"/>
    <col min="12546" max="12546" width="7" style="1293" customWidth="1"/>
    <col min="12547" max="12547" width="7.33203125" style="1293" customWidth="1"/>
    <col min="12548" max="12548" width="9.33203125" style="1293" customWidth="1"/>
    <col min="12549" max="12549" width="12" style="1293" customWidth="1"/>
    <col min="12550" max="12551" width="11.88671875" style="1293" customWidth="1"/>
    <col min="12552" max="12552" width="13.33203125" style="1293" customWidth="1"/>
    <col min="12553" max="12553" width="13.6640625" style="1293" customWidth="1"/>
    <col min="12554" max="12554" width="11.44140625" style="1293" customWidth="1"/>
    <col min="12555" max="12555" width="13.88671875" style="1293" customWidth="1"/>
    <col min="12556" max="12556" width="12.44140625" style="1293" customWidth="1"/>
    <col min="12557" max="12557" width="16.44140625" style="1293" customWidth="1"/>
    <col min="12558" max="12800" width="9.109375" style="1293"/>
    <col min="12801" max="12801" width="10.33203125" style="1293" customWidth="1"/>
    <col min="12802" max="12802" width="7" style="1293" customWidth="1"/>
    <col min="12803" max="12803" width="7.33203125" style="1293" customWidth="1"/>
    <col min="12804" max="12804" width="9.33203125" style="1293" customWidth="1"/>
    <col min="12805" max="12805" width="12" style="1293" customWidth="1"/>
    <col min="12806" max="12807" width="11.88671875" style="1293" customWidth="1"/>
    <col min="12808" max="12808" width="13.33203125" style="1293" customWidth="1"/>
    <col min="12809" max="12809" width="13.6640625" style="1293" customWidth="1"/>
    <col min="12810" max="12810" width="11.44140625" style="1293" customWidth="1"/>
    <col min="12811" max="12811" width="13.88671875" style="1293" customWidth="1"/>
    <col min="12812" max="12812" width="12.44140625" style="1293" customWidth="1"/>
    <col min="12813" max="12813" width="16.44140625" style="1293" customWidth="1"/>
    <col min="12814" max="13056" width="9.109375" style="1293"/>
    <col min="13057" max="13057" width="10.33203125" style="1293" customWidth="1"/>
    <col min="13058" max="13058" width="7" style="1293" customWidth="1"/>
    <col min="13059" max="13059" width="7.33203125" style="1293" customWidth="1"/>
    <col min="13060" max="13060" width="9.33203125" style="1293" customWidth="1"/>
    <col min="13061" max="13061" width="12" style="1293" customWidth="1"/>
    <col min="13062" max="13063" width="11.88671875" style="1293" customWidth="1"/>
    <col min="13064" max="13064" width="13.33203125" style="1293" customWidth="1"/>
    <col min="13065" max="13065" width="13.6640625" style="1293" customWidth="1"/>
    <col min="13066" max="13066" width="11.44140625" style="1293" customWidth="1"/>
    <col min="13067" max="13067" width="13.88671875" style="1293" customWidth="1"/>
    <col min="13068" max="13068" width="12.44140625" style="1293" customWidth="1"/>
    <col min="13069" max="13069" width="16.44140625" style="1293" customWidth="1"/>
    <col min="13070" max="13312" width="9.109375" style="1293"/>
    <col min="13313" max="13313" width="10.33203125" style="1293" customWidth="1"/>
    <col min="13314" max="13314" width="7" style="1293" customWidth="1"/>
    <col min="13315" max="13315" width="7.33203125" style="1293" customWidth="1"/>
    <col min="13316" max="13316" width="9.33203125" style="1293" customWidth="1"/>
    <col min="13317" max="13317" width="12" style="1293" customWidth="1"/>
    <col min="13318" max="13319" width="11.88671875" style="1293" customWidth="1"/>
    <col min="13320" max="13320" width="13.33203125" style="1293" customWidth="1"/>
    <col min="13321" max="13321" width="13.6640625" style="1293" customWidth="1"/>
    <col min="13322" max="13322" width="11.44140625" style="1293" customWidth="1"/>
    <col min="13323" max="13323" width="13.88671875" style="1293" customWidth="1"/>
    <col min="13324" max="13324" width="12.44140625" style="1293" customWidth="1"/>
    <col min="13325" max="13325" width="16.44140625" style="1293" customWidth="1"/>
    <col min="13326" max="13568" width="9.109375" style="1293"/>
    <col min="13569" max="13569" width="10.33203125" style="1293" customWidth="1"/>
    <col min="13570" max="13570" width="7" style="1293" customWidth="1"/>
    <col min="13571" max="13571" width="7.33203125" style="1293" customWidth="1"/>
    <col min="13572" max="13572" width="9.33203125" style="1293" customWidth="1"/>
    <col min="13573" max="13573" width="12" style="1293" customWidth="1"/>
    <col min="13574" max="13575" width="11.88671875" style="1293" customWidth="1"/>
    <col min="13576" max="13576" width="13.33203125" style="1293" customWidth="1"/>
    <col min="13577" max="13577" width="13.6640625" style="1293" customWidth="1"/>
    <col min="13578" max="13578" width="11.44140625" style="1293" customWidth="1"/>
    <col min="13579" max="13579" width="13.88671875" style="1293" customWidth="1"/>
    <col min="13580" max="13580" width="12.44140625" style="1293" customWidth="1"/>
    <col min="13581" max="13581" width="16.44140625" style="1293" customWidth="1"/>
    <col min="13582" max="13824" width="9.109375" style="1293"/>
    <col min="13825" max="13825" width="10.33203125" style="1293" customWidth="1"/>
    <col min="13826" max="13826" width="7" style="1293" customWidth="1"/>
    <col min="13827" max="13827" width="7.33203125" style="1293" customWidth="1"/>
    <col min="13828" max="13828" width="9.33203125" style="1293" customWidth="1"/>
    <col min="13829" max="13829" width="12" style="1293" customWidth="1"/>
    <col min="13830" max="13831" width="11.88671875" style="1293" customWidth="1"/>
    <col min="13832" max="13832" width="13.33203125" style="1293" customWidth="1"/>
    <col min="13833" max="13833" width="13.6640625" style="1293" customWidth="1"/>
    <col min="13834" max="13834" width="11.44140625" style="1293" customWidth="1"/>
    <col min="13835" max="13835" width="13.88671875" style="1293" customWidth="1"/>
    <col min="13836" max="13836" width="12.44140625" style="1293" customWidth="1"/>
    <col min="13837" max="13837" width="16.44140625" style="1293" customWidth="1"/>
    <col min="13838" max="14080" width="9.109375" style="1293"/>
    <col min="14081" max="14081" width="10.33203125" style="1293" customWidth="1"/>
    <col min="14082" max="14082" width="7" style="1293" customWidth="1"/>
    <col min="14083" max="14083" width="7.33203125" style="1293" customWidth="1"/>
    <col min="14084" max="14084" width="9.33203125" style="1293" customWidth="1"/>
    <col min="14085" max="14085" width="12" style="1293" customWidth="1"/>
    <col min="14086" max="14087" width="11.88671875" style="1293" customWidth="1"/>
    <col min="14088" max="14088" width="13.33203125" style="1293" customWidth="1"/>
    <col min="14089" max="14089" width="13.6640625" style="1293" customWidth="1"/>
    <col min="14090" max="14090" width="11.44140625" style="1293" customWidth="1"/>
    <col min="14091" max="14091" width="13.88671875" style="1293" customWidth="1"/>
    <col min="14092" max="14092" width="12.44140625" style="1293" customWidth="1"/>
    <col min="14093" max="14093" width="16.44140625" style="1293" customWidth="1"/>
    <col min="14094" max="14336" width="9.109375" style="1293"/>
    <col min="14337" max="14337" width="10.33203125" style="1293" customWidth="1"/>
    <col min="14338" max="14338" width="7" style="1293" customWidth="1"/>
    <col min="14339" max="14339" width="7.33203125" style="1293" customWidth="1"/>
    <col min="14340" max="14340" width="9.33203125" style="1293" customWidth="1"/>
    <col min="14341" max="14341" width="12" style="1293" customWidth="1"/>
    <col min="14342" max="14343" width="11.88671875" style="1293" customWidth="1"/>
    <col min="14344" max="14344" width="13.33203125" style="1293" customWidth="1"/>
    <col min="14345" max="14345" width="13.6640625" style="1293" customWidth="1"/>
    <col min="14346" max="14346" width="11.44140625" style="1293" customWidth="1"/>
    <col min="14347" max="14347" width="13.88671875" style="1293" customWidth="1"/>
    <col min="14348" max="14348" width="12.44140625" style="1293" customWidth="1"/>
    <col min="14349" max="14349" width="16.44140625" style="1293" customWidth="1"/>
    <col min="14350" max="14592" width="9.109375" style="1293"/>
    <col min="14593" max="14593" width="10.33203125" style="1293" customWidth="1"/>
    <col min="14594" max="14594" width="7" style="1293" customWidth="1"/>
    <col min="14595" max="14595" width="7.33203125" style="1293" customWidth="1"/>
    <col min="14596" max="14596" width="9.33203125" style="1293" customWidth="1"/>
    <col min="14597" max="14597" width="12" style="1293" customWidth="1"/>
    <col min="14598" max="14599" width="11.88671875" style="1293" customWidth="1"/>
    <col min="14600" max="14600" width="13.33203125" style="1293" customWidth="1"/>
    <col min="14601" max="14601" width="13.6640625" style="1293" customWidth="1"/>
    <col min="14602" max="14602" width="11.44140625" style="1293" customWidth="1"/>
    <col min="14603" max="14603" width="13.88671875" style="1293" customWidth="1"/>
    <col min="14604" max="14604" width="12.44140625" style="1293" customWidth="1"/>
    <col min="14605" max="14605" width="16.44140625" style="1293" customWidth="1"/>
    <col min="14606" max="14848" width="9.109375" style="1293"/>
    <col min="14849" max="14849" width="10.33203125" style="1293" customWidth="1"/>
    <col min="14850" max="14850" width="7" style="1293" customWidth="1"/>
    <col min="14851" max="14851" width="7.33203125" style="1293" customWidth="1"/>
    <col min="14852" max="14852" width="9.33203125" style="1293" customWidth="1"/>
    <col min="14853" max="14853" width="12" style="1293" customWidth="1"/>
    <col min="14854" max="14855" width="11.88671875" style="1293" customWidth="1"/>
    <col min="14856" max="14856" width="13.33203125" style="1293" customWidth="1"/>
    <col min="14857" max="14857" width="13.6640625" style="1293" customWidth="1"/>
    <col min="14858" max="14858" width="11.44140625" style="1293" customWidth="1"/>
    <col min="14859" max="14859" width="13.88671875" style="1293" customWidth="1"/>
    <col min="14860" max="14860" width="12.44140625" style="1293" customWidth="1"/>
    <col min="14861" max="14861" width="16.44140625" style="1293" customWidth="1"/>
    <col min="14862" max="15104" width="9.109375" style="1293"/>
    <col min="15105" max="15105" width="10.33203125" style="1293" customWidth="1"/>
    <col min="15106" max="15106" width="7" style="1293" customWidth="1"/>
    <col min="15107" max="15107" width="7.33203125" style="1293" customWidth="1"/>
    <col min="15108" max="15108" width="9.33203125" style="1293" customWidth="1"/>
    <col min="15109" max="15109" width="12" style="1293" customWidth="1"/>
    <col min="15110" max="15111" width="11.88671875" style="1293" customWidth="1"/>
    <col min="15112" max="15112" width="13.33203125" style="1293" customWidth="1"/>
    <col min="15113" max="15113" width="13.6640625" style="1293" customWidth="1"/>
    <col min="15114" max="15114" width="11.44140625" style="1293" customWidth="1"/>
    <col min="15115" max="15115" width="13.88671875" style="1293" customWidth="1"/>
    <col min="15116" max="15116" width="12.44140625" style="1293" customWidth="1"/>
    <col min="15117" max="15117" width="16.44140625" style="1293" customWidth="1"/>
    <col min="15118" max="15360" width="9.109375" style="1293"/>
    <col min="15361" max="15361" width="10.33203125" style="1293" customWidth="1"/>
    <col min="15362" max="15362" width="7" style="1293" customWidth="1"/>
    <col min="15363" max="15363" width="7.33203125" style="1293" customWidth="1"/>
    <col min="15364" max="15364" width="9.33203125" style="1293" customWidth="1"/>
    <col min="15365" max="15365" width="12" style="1293" customWidth="1"/>
    <col min="15366" max="15367" width="11.88671875" style="1293" customWidth="1"/>
    <col min="15368" max="15368" width="13.33203125" style="1293" customWidth="1"/>
    <col min="15369" max="15369" width="13.6640625" style="1293" customWidth="1"/>
    <col min="15370" max="15370" width="11.44140625" style="1293" customWidth="1"/>
    <col min="15371" max="15371" width="13.88671875" style="1293" customWidth="1"/>
    <col min="15372" max="15372" width="12.44140625" style="1293" customWidth="1"/>
    <col min="15373" max="15373" width="16.44140625" style="1293" customWidth="1"/>
    <col min="15374" max="15616" width="9.109375" style="1293"/>
    <col min="15617" max="15617" width="10.33203125" style="1293" customWidth="1"/>
    <col min="15618" max="15618" width="7" style="1293" customWidth="1"/>
    <col min="15619" max="15619" width="7.33203125" style="1293" customWidth="1"/>
    <col min="15620" max="15620" width="9.33203125" style="1293" customWidth="1"/>
    <col min="15621" max="15621" width="12" style="1293" customWidth="1"/>
    <col min="15622" max="15623" width="11.88671875" style="1293" customWidth="1"/>
    <col min="15624" max="15624" width="13.33203125" style="1293" customWidth="1"/>
    <col min="15625" max="15625" width="13.6640625" style="1293" customWidth="1"/>
    <col min="15626" max="15626" width="11.44140625" style="1293" customWidth="1"/>
    <col min="15627" max="15627" width="13.88671875" style="1293" customWidth="1"/>
    <col min="15628" max="15628" width="12.44140625" style="1293" customWidth="1"/>
    <col min="15629" max="15629" width="16.44140625" style="1293" customWidth="1"/>
    <col min="15630" max="15872" width="9.109375" style="1293"/>
    <col min="15873" max="15873" width="10.33203125" style="1293" customWidth="1"/>
    <col min="15874" max="15874" width="7" style="1293" customWidth="1"/>
    <col min="15875" max="15875" width="7.33203125" style="1293" customWidth="1"/>
    <col min="15876" max="15876" width="9.33203125" style="1293" customWidth="1"/>
    <col min="15877" max="15877" width="12" style="1293" customWidth="1"/>
    <col min="15878" max="15879" width="11.88671875" style="1293" customWidth="1"/>
    <col min="15880" max="15880" width="13.33203125" style="1293" customWidth="1"/>
    <col min="15881" max="15881" width="13.6640625" style="1293" customWidth="1"/>
    <col min="15882" max="15882" width="11.44140625" style="1293" customWidth="1"/>
    <col min="15883" max="15883" width="13.88671875" style="1293" customWidth="1"/>
    <col min="15884" max="15884" width="12.44140625" style="1293" customWidth="1"/>
    <col min="15885" max="15885" width="16.44140625" style="1293" customWidth="1"/>
    <col min="15886" max="16128" width="9.109375" style="1293"/>
    <col min="16129" max="16129" width="10.33203125" style="1293" customWidth="1"/>
    <col min="16130" max="16130" width="7" style="1293" customWidth="1"/>
    <col min="16131" max="16131" width="7.33203125" style="1293" customWidth="1"/>
    <col min="16132" max="16132" width="9.33203125" style="1293" customWidth="1"/>
    <col min="16133" max="16133" width="12" style="1293" customWidth="1"/>
    <col min="16134" max="16135" width="11.88671875" style="1293" customWidth="1"/>
    <col min="16136" max="16136" width="13.33203125" style="1293" customWidth="1"/>
    <col min="16137" max="16137" width="13.6640625" style="1293" customWidth="1"/>
    <col min="16138" max="16138" width="11.44140625" style="1293" customWidth="1"/>
    <col min="16139" max="16139" width="13.88671875" style="1293" customWidth="1"/>
    <col min="16140" max="16140" width="12.44140625" style="1293" customWidth="1"/>
    <col min="16141" max="16141" width="16.44140625" style="1293" customWidth="1"/>
    <col min="16142" max="16384" width="9.109375" style="1293"/>
  </cols>
  <sheetData>
    <row r="2" spans="1:13" s="1290" customFormat="1" ht="45" customHeight="1">
      <c r="A2" s="3667" t="s">
        <v>858</v>
      </c>
      <c r="B2" s="3667" t="s">
        <v>828</v>
      </c>
      <c r="C2" s="3662" t="s">
        <v>830</v>
      </c>
      <c r="D2" s="3662"/>
      <c r="E2" s="3662"/>
      <c r="F2" s="3662" t="s">
        <v>859</v>
      </c>
      <c r="G2" s="3662"/>
      <c r="H2" s="3662"/>
      <c r="I2" s="3667" t="s">
        <v>837</v>
      </c>
      <c r="J2" s="3667" t="s">
        <v>838</v>
      </c>
      <c r="K2" s="3662" t="s">
        <v>860</v>
      </c>
      <c r="L2" s="3662"/>
      <c r="M2" s="3667" t="s">
        <v>861</v>
      </c>
    </row>
    <row r="3" spans="1:13">
      <c r="A3" s="3668"/>
      <c r="B3" s="3668"/>
      <c r="C3" s="1295" t="s">
        <v>803</v>
      </c>
      <c r="D3" s="1295" t="s">
        <v>706</v>
      </c>
      <c r="E3" s="1295" t="s">
        <v>832</v>
      </c>
      <c r="F3" s="1295" t="s">
        <v>803</v>
      </c>
      <c r="G3" s="1295" t="s">
        <v>706</v>
      </c>
      <c r="H3" s="1295" t="s">
        <v>862</v>
      </c>
      <c r="I3" s="3668"/>
      <c r="J3" s="3668"/>
      <c r="K3" s="1295" t="s">
        <v>840</v>
      </c>
      <c r="L3" s="1295" t="s">
        <v>841</v>
      </c>
      <c r="M3" s="3668"/>
    </row>
    <row r="4" spans="1:13">
      <c r="A4" s="1296">
        <f>'ESAL-result'!D9</f>
        <v>4</v>
      </c>
      <c r="B4" s="1297">
        <f>'ESAL-result'!D10:D10</f>
        <v>0</v>
      </c>
      <c r="C4" s="1297">
        <f>'ESAL-result'!D11</f>
        <v>3</v>
      </c>
      <c r="D4" s="1297">
        <f>'ESAL-result'!D12</f>
        <v>3</v>
      </c>
      <c r="E4" s="1297">
        <f>'ESAL-result'!D13</f>
        <v>0</v>
      </c>
      <c r="F4" s="1297">
        <f>'ESAL-result'!D14</f>
        <v>8</v>
      </c>
      <c r="G4" s="1297">
        <f>'ESAL-result'!D15</f>
        <v>7</v>
      </c>
      <c r="H4" s="1297">
        <f>'ESAL-result'!D16</f>
        <v>0</v>
      </c>
      <c r="I4" s="1297">
        <f>'ESAL-result'!D17:D17</f>
        <v>38</v>
      </c>
      <c r="J4" s="1297">
        <f>'ESAL-result'!D18</f>
        <v>30</v>
      </c>
      <c r="K4" s="1297">
        <f>'ESAL-result'!D19</f>
        <v>0</v>
      </c>
      <c r="L4" s="1297">
        <f>'ESAL-result'!D20</f>
        <v>0</v>
      </c>
      <c r="M4" s="1297">
        <f>SUM(A4:L4)</f>
        <v>93</v>
      </c>
    </row>
    <row r="5" spans="1:13" s="1291" customFormat="1">
      <c r="A5" s="1298"/>
      <c r="B5" s="1298"/>
      <c r="C5" s="1298"/>
      <c r="D5" s="1298"/>
      <c r="E5" s="1298"/>
      <c r="F5" s="1298"/>
      <c r="G5" s="1298"/>
      <c r="H5" s="1298"/>
      <c r="I5" s="1298"/>
      <c r="J5" s="1298"/>
      <c r="K5" s="1298"/>
      <c r="L5" s="1298"/>
      <c r="M5" s="1298"/>
    </row>
    <row r="6" spans="1:13">
      <c r="A6" s="1299"/>
      <c r="B6" s="1299"/>
      <c r="C6" s="1299"/>
      <c r="D6" s="3663" t="s">
        <v>863</v>
      </c>
      <c r="E6" s="3663"/>
      <c r="F6" s="3663"/>
      <c r="G6" s="1300">
        <f>'ESAL-result'!E25</f>
        <v>2</v>
      </c>
      <c r="H6" s="1299"/>
      <c r="I6" s="3664" t="s">
        <v>864</v>
      </c>
      <c r="J6" s="3665"/>
      <c r="K6" s="3665"/>
      <c r="L6" s="3666"/>
      <c r="M6" s="1300" t="str">
        <f>'ESAL-result'!E24</f>
        <v>NO</v>
      </c>
    </row>
    <row r="7" spans="1:13">
      <c r="D7" s="3671" t="s">
        <v>865</v>
      </c>
      <c r="E7" s="3671"/>
      <c r="F7" s="3671"/>
      <c r="G7" s="1301">
        <f>'ESAL-result'!E27</f>
        <v>1</v>
      </c>
      <c r="I7" s="3672" t="s">
        <v>866</v>
      </c>
      <c r="J7" s="3672"/>
      <c r="K7" s="3672"/>
      <c r="L7" s="3672"/>
      <c r="M7" s="1318">
        <f>'ESAL-result'!E26</f>
        <v>75</v>
      </c>
    </row>
    <row r="8" spans="1:13">
      <c r="I8" s="3673" t="s">
        <v>867</v>
      </c>
      <c r="J8" s="3674"/>
      <c r="K8" s="3674"/>
      <c r="L8" s="3675"/>
      <c r="M8" s="1301">
        <f>IF(M6="yes",M4/2,M4)</f>
        <v>93</v>
      </c>
    </row>
    <row r="9" spans="1:13">
      <c r="I9" s="3673" t="s">
        <v>868</v>
      </c>
      <c r="J9" s="3674"/>
      <c r="K9" s="3674"/>
      <c r="L9" s="3675"/>
      <c r="M9" s="1319">
        <f>ROUND(M8+((0.6*G7*M7*G6*M8)/365),0)</f>
        <v>116</v>
      </c>
    </row>
    <row r="10" spans="1:13">
      <c r="I10" s="3673" t="s">
        <v>869</v>
      </c>
      <c r="J10" s="3674"/>
      <c r="K10" s="3674"/>
      <c r="L10" s="3675"/>
      <c r="M10" s="1320">
        <f>ROUND(M9*((1.06)^'ESAL-result'!E22),0)</f>
        <v>130</v>
      </c>
    </row>
    <row r="11" spans="1:13" ht="15" customHeight="1">
      <c r="I11" s="3673" t="s">
        <v>870</v>
      </c>
      <c r="J11" s="3674"/>
      <c r="K11" s="3674"/>
      <c r="L11" s="3675"/>
      <c r="M11" s="1321">
        <f>M10/M4</f>
        <v>1.3978494623655915</v>
      </c>
    </row>
    <row r="12" spans="1:13" ht="15" hidden="1" customHeight="1">
      <c r="A12" s="1302">
        <f>M11</f>
        <v>1.3978494623655915</v>
      </c>
      <c r="B12" s="1302">
        <f>M11</f>
        <v>1.3978494623655915</v>
      </c>
      <c r="C12" s="1302">
        <f>M11</f>
        <v>1.3978494623655915</v>
      </c>
      <c r="D12" s="1302">
        <f>M11</f>
        <v>1.3978494623655915</v>
      </c>
      <c r="E12" s="1302">
        <f>M11</f>
        <v>1.3978494623655915</v>
      </c>
      <c r="F12" s="1302">
        <f>M11</f>
        <v>1.3978494623655915</v>
      </c>
      <c r="G12" s="1302">
        <f>M11</f>
        <v>1.3978494623655915</v>
      </c>
      <c r="H12" s="1302">
        <f>M11</f>
        <v>1.3978494623655915</v>
      </c>
      <c r="I12" s="1302">
        <f>M11</f>
        <v>1.3978494623655915</v>
      </c>
      <c r="J12" s="1302">
        <f>M11</f>
        <v>1.3978494623655915</v>
      </c>
      <c r="K12" s="1302">
        <f>M11</f>
        <v>1.3978494623655915</v>
      </c>
      <c r="L12" s="1302">
        <f>M11</f>
        <v>1.3978494623655915</v>
      </c>
      <c r="M12" s="1322"/>
    </row>
    <row r="13" spans="1:13" ht="15" customHeight="1">
      <c r="A13" s="1302"/>
      <c r="B13" s="1302"/>
      <c r="C13" s="1302"/>
      <c r="D13" s="1302"/>
      <c r="E13" s="1302"/>
      <c r="F13" s="1302"/>
      <c r="G13" s="1302"/>
      <c r="H13" s="1302" t="s">
        <v>85</v>
      </c>
      <c r="I13" s="1302"/>
      <c r="J13" s="1302"/>
      <c r="K13" s="1302"/>
      <c r="L13" s="1302"/>
      <c r="M13" s="1322"/>
    </row>
    <row r="14" spans="1:13">
      <c r="A14" s="3689" t="s">
        <v>858</v>
      </c>
      <c r="B14" s="3689" t="s">
        <v>828</v>
      </c>
      <c r="C14" s="3689" t="s">
        <v>830</v>
      </c>
      <c r="D14" s="3689"/>
      <c r="E14" s="3689"/>
      <c r="F14" s="3689" t="s">
        <v>871</v>
      </c>
      <c r="G14" s="3689"/>
      <c r="H14" s="3689"/>
      <c r="I14" s="3669" t="s">
        <v>837</v>
      </c>
      <c r="J14" s="3669" t="s">
        <v>838</v>
      </c>
      <c r="K14" s="3689" t="s">
        <v>860</v>
      </c>
      <c r="L14" s="3689"/>
      <c r="M14" s="3698"/>
    </row>
    <row r="15" spans="1:13" ht="43.5" customHeight="1">
      <c r="A15" s="3689"/>
      <c r="B15" s="3689"/>
      <c r="C15" s="1300" t="s">
        <v>803</v>
      </c>
      <c r="D15" s="1300" t="s">
        <v>706</v>
      </c>
      <c r="E15" s="1300" t="s">
        <v>832</v>
      </c>
      <c r="F15" s="1300" t="s">
        <v>803</v>
      </c>
      <c r="G15" s="1300" t="s">
        <v>706</v>
      </c>
      <c r="H15" s="1300" t="s">
        <v>862</v>
      </c>
      <c r="I15" s="3670"/>
      <c r="J15" s="3670"/>
      <c r="K15" s="1300" t="s">
        <v>840</v>
      </c>
      <c r="L15" s="1300" t="s">
        <v>841</v>
      </c>
      <c r="M15" s="3698"/>
    </row>
    <row r="16" spans="1:13" s="1292" customFormat="1">
      <c r="A16" s="1303">
        <f>ROUND(A4*A12,0)</f>
        <v>6</v>
      </c>
      <c r="B16" s="1303">
        <f>ROUND(B4*B12,0)</f>
        <v>0</v>
      </c>
      <c r="C16" s="1303">
        <f>ROUND(C4*C12,0)</f>
        <v>4</v>
      </c>
      <c r="D16" s="1303">
        <f t="shared" ref="D16:L16" si="0">ROUND(D4*D12,0)</f>
        <v>4</v>
      </c>
      <c r="E16" s="1303">
        <f t="shared" si="0"/>
        <v>0</v>
      </c>
      <c r="F16" s="1303">
        <f t="shared" si="0"/>
        <v>11</v>
      </c>
      <c r="G16" s="1303">
        <f t="shared" si="0"/>
        <v>10</v>
      </c>
      <c r="H16" s="1303">
        <f t="shared" si="0"/>
        <v>0</v>
      </c>
      <c r="I16" s="1303">
        <f t="shared" si="0"/>
        <v>53</v>
      </c>
      <c r="J16" s="1303">
        <f t="shared" si="0"/>
        <v>42</v>
      </c>
      <c r="K16" s="1303">
        <f t="shared" si="0"/>
        <v>0</v>
      </c>
      <c r="L16" s="1303">
        <f t="shared" si="0"/>
        <v>0</v>
      </c>
      <c r="M16" s="1323"/>
    </row>
    <row r="18" spans="1:13">
      <c r="A18" s="3690" t="s">
        <v>872</v>
      </c>
      <c r="B18" s="3691" t="s">
        <v>873</v>
      </c>
      <c r="C18" s="3697" t="s">
        <v>830</v>
      </c>
      <c r="D18" s="3689"/>
      <c r="E18" s="3689"/>
      <c r="F18" s="3689" t="s">
        <v>85</v>
      </c>
      <c r="G18" s="3689"/>
      <c r="H18" s="3689"/>
    </row>
    <row r="19" spans="1:13">
      <c r="A19" s="3690"/>
      <c r="B19" s="3691"/>
      <c r="C19" s="1304" t="s">
        <v>803</v>
      </c>
      <c r="D19" s="1300" t="s">
        <v>706</v>
      </c>
      <c r="E19" s="1300" t="s">
        <v>832</v>
      </c>
      <c r="F19" s="1300" t="s">
        <v>803</v>
      </c>
      <c r="G19" s="1300" t="s">
        <v>706</v>
      </c>
      <c r="H19" s="1300" t="s">
        <v>862</v>
      </c>
    </row>
    <row r="20" spans="1:13">
      <c r="A20" s="3690"/>
      <c r="B20" s="3691"/>
      <c r="C20" s="1305">
        <f>'ESAL-result'!E11</f>
        <v>2.58</v>
      </c>
      <c r="D20" s="1306">
        <f>'ESAL-result'!E12</f>
        <v>0.31</v>
      </c>
      <c r="E20" s="1306">
        <f>'ESAL-result'!E13</f>
        <v>2.86</v>
      </c>
      <c r="F20" s="1306">
        <f>'ESAL-result'!E14</f>
        <v>0.31</v>
      </c>
      <c r="G20" s="1306">
        <f>'ESAL-result'!E15</f>
        <v>0.02</v>
      </c>
      <c r="H20" s="1306">
        <f>'ESAL-result'!E16</f>
        <v>0.34</v>
      </c>
    </row>
    <row r="21" spans="1:13">
      <c r="A21" s="3690"/>
      <c r="B21" s="3695"/>
      <c r="C21" s="3696"/>
      <c r="D21" s="3696"/>
      <c r="E21" s="3696"/>
      <c r="F21" s="3696"/>
      <c r="G21" s="3696"/>
      <c r="H21" s="3696"/>
    </row>
    <row r="22" spans="1:13">
      <c r="A22" s="3690"/>
      <c r="B22" s="3692" t="s">
        <v>874</v>
      </c>
      <c r="C22" s="3697" t="s">
        <v>830</v>
      </c>
      <c r="D22" s="3689"/>
      <c r="E22" s="3689"/>
      <c r="F22" s="3689" t="s">
        <v>871</v>
      </c>
      <c r="G22" s="3689"/>
      <c r="H22" s="3689"/>
      <c r="I22" s="3711" t="s">
        <v>875</v>
      </c>
    </row>
    <row r="23" spans="1:13">
      <c r="A23" s="3690"/>
      <c r="B23" s="3693"/>
      <c r="C23" s="1304" t="s">
        <v>803</v>
      </c>
      <c r="D23" s="1300" t="s">
        <v>706</v>
      </c>
      <c r="E23" s="1300" t="s">
        <v>832</v>
      </c>
      <c r="F23" s="1300" t="s">
        <v>803</v>
      </c>
      <c r="G23" s="1300" t="s">
        <v>706</v>
      </c>
      <c r="H23" s="1300" t="s">
        <v>862</v>
      </c>
      <c r="I23" s="3712"/>
    </row>
    <row r="24" spans="1:13">
      <c r="A24" s="3690"/>
      <c r="B24" s="3694"/>
      <c r="C24" s="1307">
        <f t="shared" ref="C24:H24" si="1">C16*C20</f>
        <v>10.32</v>
      </c>
      <c r="D24" s="1303">
        <f t="shared" si="1"/>
        <v>1.24</v>
      </c>
      <c r="E24" s="1303">
        <f t="shared" si="1"/>
        <v>0</v>
      </c>
      <c r="F24" s="1303">
        <f t="shared" si="1"/>
        <v>3.41</v>
      </c>
      <c r="G24" s="1303">
        <f t="shared" si="1"/>
        <v>0.2</v>
      </c>
      <c r="H24" s="1303">
        <f t="shared" si="1"/>
        <v>0</v>
      </c>
      <c r="I24" s="1324">
        <f>ROUNDUP(SUM(C24:H24),2)</f>
        <v>15.17</v>
      </c>
      <c r="K24" s="3672" t="s">
        <v>875</v>
      </c>
      <c r="L24" s="3672"/>
      <c r="M24" s="1325">
        <f>I24</f>
        <v>15.17</v>
      </c>
    </row>
    <row r="25" spans="1:13">
      <c r="K25" s="3708"/>
      <c r="L25" s="3709"/>
      <c r="M25" s="3710"/>
    </row>
    <row r="26" spans="1:13">
      <c r="K26" s="3707" t="s">
        <v>876</v>
      </c>
      <c r="L26" s="3707"/>
      <c r="M26" s="1325">
        <f>M24*4811*1</f>
        <v>72982.87</v>
      </c>
    </row>
    <row r="27" spans="1:13">
      <c r="K27" s="3708"/>
      <c r="L27" s="3709"/>
      <c r="M27" s="3710"/>
    </row>
    <row r="28" spans="1:13">
      <c r="K28" s="3671" t="s">
        <v>877</v>
      </c>
      <c r="L28" s="3671"/>
      <c r="M28" s="1325">
        <f>IF(K4=0,1,(IF(AND(M10&gt;100,M10&lt;150),((((L43-L42)/(K43-K42))*(M10-K42))+L42),0)+IF(AND(M10&gt;150,M10&lt;200),((((L44-L43)/(K44-K43))*(M10-K43))+L43),0)+IF(AND(M10&gt;200,M10&lt;300),((((L45-L44)/(K45-K44))*(M10-K44))+L44),0)+IF(AND(M10&gt;300,M10&lt;400),((((L46-L45)/(K46-K45))*(M10-K45))+L45),0)+IF(AND(M10&gt;400,M10&lt;500),((((L47-L46)/(K47-K46))*(M10-K46))+L46),0)))</f>
        <v>1</v>
      </c>
    </row>
    <row r="29" spans="1:13">
      <c r="K29" s="3708"/>
      <c r="L29" s="3709"/>
      <c r="M29" s="3710"/>
    </row>
    <row r="30" spans="1:13">
      <c r="K30" s="3671" t="s">
        <v>834</v>
      </c>
      <c r="L30" s="3671"/>
      <c r="M30" s="1301">
        <f>M26*M28</f>
        <v>72982.87</v>
      </c>
    </row>
    <row r="31" spans="1:13">
      <c r="K31" s="1326"/>
      <c r="L31" s="1326"/>
    </row>
    <row r="32" spans="1:13" ht="21">
      <c r="H32" s="1308"/>
      <c r="K32" s="1327" t="s">
        <v>835</v>
      </c>
      <c r="L32" s="1328" t="s">
        <v>836</v>
      </c>
      <c r="M32" s="1329">
        <f>IF(AND(M30&gt;10000,M30&lt;30000),1,0)+IF(AND(M30&gt;30000,M30&lt;60000),2,0)+IF(AND(M30&gt;60000,M30&lt;100000),3,0)+IF(AND(M30&gt;100000,M30&lt;200000),4,0)+IF(AND(M30&gt;200000,M30&lt;300000),5,0)+IF(AND(M30&gt;300000,M30&lt;600000),6,0)+IF(AND(M30&gt;600000,M30&lt;1000000),7,0)</f>
        <v>3</v>
      </c>
    </row>
    <row r="35" spans="2:13">
      <c r="G35" s="1299" t="s">
        <v>878</v>
      </c>
    </row>
    <row r="36" spans="2:13" ht="31.2">
      <c r="D36" s="1309" t="s">
        <v>468</v>
      </c>
      <c r="E36" s="1310">
        <f>'ESAL-result'!$E$29</f>
        <v>4</v>
      </c>
      <c r="G36" s="1299">
        <f>IF(E36=2,1,0)+IF(AND(E36&gt;=3,E36&lt;=4),2,0)+IF(AND(E36&gt;=5,E36&lt;=6),3,0)+IF(AND(E36&gt;=7,E36&lt;=9),4,0)+IF(AND(E36&gt;=10,E36&lt;=15),5,0)</f>
        <v>2</v>
      </c>
      <c r="I36" s="1330" t="s">
        <v>835</v>
      </c>
      <c r="J36" s="1331" t="s">
        <v>836</v>
      </c>
      <c r="K36" s="1332">
        <f>M32</f>
        <v>3</v>
      </c>
    </row>
    <row r="39" spans="2:13">
      <c r="B39" s="3676" t="s">
        <v>879</v>
      </c>
      <c r="C39" s="3676"/>
      <c r="D39" s="3676"/>
    </row>
    <row r="40" spans="2:13" ht="18">
      <c r="H40" s="1311" t="s">
        <v>842</v>
      </c>
      <c r="J40" s="3677" t="s">
        <v>880</v>
      </c>
      <c r="K40" s="3678"/>
      <c r="L40" s="3678"/>
      <c r="M40" s="3679"/>
    </row>
    <row r="41" spans="2:13" ht="34.5" customHeight="1">
      <c r="E41" s="3680" t="s">
        <v>843</v>
      </c>
      <c r="F41" s="3681"/>
      <c r="G41" s="3682"/>
      <c r="H41" s="1312">
        <f>INDEX('ESAL-Data'!B30:H34,'ESAL-calculation '!G36,'ESAL-calculation '!M32)</f>
        <v>75</v>
      </c>
      <c r="I41" s="1291"/>
      <c r="J41" s="1333"/>
      <c r="M41" s="1334"/>
    </row>
    <row r="42" spans="2:13" ht="33" customHeight="1">
      <c r="E42" s="3683" t="s">
        <v>845</v>
      </c>
      <c r="F42" s="3684"/>
      <c r="G42" s="3685"/>
      <c r="H42" s="1313">
        <f>INDEX('ESAL-Data'!B23:H27,'ESAL-calculation '!G36,'ESAL-calculation '!M32)</f>
        <v>100</v>
      </c>
      <c r="J42" s="1333"/>
      <c r="K42" s="1300">
        <v>100</v>
      </c>
      <c r="L42" s="1300">
        <v>1.7</v>
      </c>
      <c r="M42" s="1334"/>
    </row>
    <row r="43" spans="2:13" ht="27" customHeight="1">
      <c r="E43" s="3686" t="s">
        <v>846</v>
      </c>
      <c r="F43" s="3687"/>
      <c r="G43" s="3688"/>
      <c r="H43" s="1314">
        <f>INDEX('ESAL-Data'!B16:H20,'ESAL-calculation '!G36,'ESAL-calculation '!M32)</f>
        <v>0</v>
      </c>
      <c r="J43" s="1333"/>
      <c r="K43" s="1300">
        <v>150</v>
      </c>
      <c r="L43" s="1300">
        <v>1.25</v>
      </c>
      <c r="M43" s="1334"/>
    </row>
    <row r="44" spans="2:13" ht="30" customHeight="1">
      <c r="E44" s="3699" t="s">
        <v>848</v>
      </c>
      <c r="F44" s="3700"/>
      <c r="G44" s="3701"/>
      <c r="H44" s="1315">
        <f>INDEX('ESAL-Data'!B9:H13,'ESAL-calculation '!G36,'ESAL-calculation '!M32)</f>
        <v>150</v>
      </c>
      <c r="J44" s="1333"/>
      <c r="K44" s="1300">
        <v>200</v>
      </c>
      <c r="L44" s="1300">
        <v>1.2</v>
      </c>
      <c r="M44" s="1334"/>
    </row>
    <row r="45" spans="2:13" ht="29.25" customHeight="1">
      <c r="E45" s="3702" t="s">
        <v>850</v>
      </c>
      <c r="F45" s="3703"/>
      <c r="G45" s="3704"/>
      <c r="H45" s="1316">
        <f>INDEX('ESAL-Data'!B2:H6,'ESAL-calculation '!G36,'ESAL-calculation '!M32)</f>
        <v>0</v>
      </c>
      <c r="J45" s="1333"/>
      <c r="K45" s="1300">
        <v>300</v>
      </c>
      <c r="L45" s="1300">
        <v>1.1499999999999999</v>
      </c>
      <c r="M45" s="1334"/>
    </row>
    <row r="46" spans="2:13">
      <c r="J46" s="1333"/>
      <c r="K46" s="1300">
        <v>400</v>
      </c>
      <c r="L46" s="1300">
        <v>1.1000000000000001</v>
      </c>
      <c r="M46" s="1334"/>
    </row>
    <row r="47" spans="2:13" ht="21">
      <c r="F47" s="3705" t="s">
        <v>855</v>
      </c>
      <c r="G47" s="3706"/>
      <c r="H47" s="1317">
        <f>SUM(H41:H45)</f>
        <v>325</v>
      </c>
      <c r="J47" s="1335"/>
      <c r="K47" s="1336">
        <v>500</v>
      </c>
      <c r="L47" s="1336">
        <v>1.07</v>
      </c>
      <c r="M47" s="1337"/>
    </row>
  </sheetData>
  <mergeCells count="48">
    <mergeCell ref="M2:M3"/>
    <mergeCell ref="M14:M15"/>
    <mergeCell ref="E44:G44"/>
    <mergeCell ref="E45:G45"/>
    <mergeCell ref="F47:G47"/>
    <mergeCell ref="K26:L26"/>
    <mergeCell ref="K27:M27"/>
    <mergeCell ref="K28:L28"/>
    <mergeCell ref="K29:M29"/>
    <mergeCell ref="K30:L30"/>
    <mergeCell ref="K24:L24"/>
    <mergeCell ref="K25:M25"/>
    <mergeCell ref="I22:I23"/>
    <mergeCell ref="I11:L11"/>
    <mergeCell ref="K14:L14"/>
    <mergeCell ref="I14:I15"/>
    <mergeCell ref="A2:A3"/>
    <mergeCell ref="A14:A15"/>
    <mergeCell ref="A18:A24"/>
    <mergeCell ref="B2:B3"/>
    <mergeCell ref="B14:B15"/>
    <mergeCell ref="B18:B20"/>
    <mergeCell ref="B22:B24"/>
    <mergeCell ref="B21:H21"/>
    <mergeCell ref="C22:E22"/>
    <mergeCell ref="F22:H22"/>
    <mergeCell ref="C14:E14"/>
    <mergeCell ref="F14:H14"/>
    <mergeCell ref="C18:E18"/>
    <mergeCell ref="F18:H18"/>
    <mergeCell ref="C2:E2"/>
    <mergeCell ref="F2:H2"/>
    <mergeCell ref="B39:D39"/>
    <mergeCell ref="J40:M40"/>
    <mergeCell ref="E41:G41"/>
    <mergeCell ref="E42:G42"/>
    <mergeCell ref="E43:G43"/>
    <mergeCell ref="J14:J15"/>
    <mergeCell ref="D7:F7"/>
    <mergeCell ref="I7:L7"/>
    <mergeCell ref="I8:L8"/>
    <mergeCell ref="I9:L9"/>
    <mergeCell ref="I10:L10"/>
    <mergeCell ref="K2:L2"/>
    <mergeCell ref="D6:F6"/>
    <mergeCell ref="I6:L6"/>
    <mergeCell ref="I2:I3"/>
    <mergeCell ref="J2:J3"/>
  </mergeCells>
  <pageMargins left="0.2" right="0.2" top="0.75" bottom="0.75" header="0.3" footer="0.3"/>
  <pageSetup paperSize="9" scale="9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L34"/>
  <sheetViews>
    <sheetView workbookViewId="0">
      <selection activeCell="I79" sqref="I79"/>
    </sheetView>
  </sheetViews>
  <sheetFormatPr defaultColWidth="9" defaultRowHeight="14.4"/>
  <cols>
    <col min="1" max="1" width="8.88671875" style="1278"/>
    <col min="2" max="2" width="14.88671875" style="1278" customWidth="1"/>
    <col min="3" max="257" width="8.88671875" style="1278"/>
    <col min="258" max="258" width="14.88671875" style="1278" customWidth="1"/>
    <col min="259" max="513" width="8.88671875" style="1278"/>
    <col min="514" max="514" width="14.88671875" style="1278" customWidth="1"/>
    <col min="515" max="769" width="8.88671875" style="1278"/>
    <col min="770" max="770" width="14.88671875" style="1278" customWidth="1"/>
    <col min="771" max="1025" width="8.88671875" style="1278"/>
    <col min="1026" max="1026" width="14.88671875" style="1278" customWidth="1"/>
    <col min="1027" max="1281" width="8.88671875" style="1278"/>
    <col min="1282" max="1282" width="14.88671875" style="1278" customWidth="1"/>
    <col min="1283" max="1537" width="8.88671875" style="1278"/>
    <col min="1538" max="1538" width="14.88671875" style="1278" customWidth="1"/>
    <col min="1539" max="1793" width="8.88671875" style="1278"/>
    <col min="1794" max="1794" width="14.88671875" style="1278" customWidth="1"/>
    <col min="1795" max="2049" width="8.88671875" style="1278"/>
    <col min="2050" max="2050" width="14.88671875" style="1278" customWidth="1"/>
    <col min="2051" max="2305" width="8.88671875" style="1278"/>
    <col min="2306" max="2306" width="14.88671875" style="1278" customWidth="1"/>
    <col min="2307" max="2561" width="8.88671875" style="1278"/>
    <col min="2562" max="2562" width="14.88671875" style="1278" customWidth="1"/>
    <col min="2563" max="2817" width="8.88671875" style="1278"/>
    <col min="2818" max="2818" width="14.88671875" style="1278" customWidth="1"/>
    <col min="2819" max="3073" width="8.88671875" style="1278"/>
    <col min="3074" max="3074" width="14.88671875" style="1278" customWidth="1"/>
    <col min="3075" max="3329" width="8.88671875" style="1278"/>
    <col min="3330" max="3330" width="14.88671875" style="1278" customWidth="1"/>
    <col min="3331" max="3585" width="8.88671875" style="1278"/>
    <col min="3586" max="3586" width="14.88671875" style="1278" customWidth="1"/>
    <col min="3587" max="3841" width="8.88671875" style="1278"/>
    <col min="3842" max="3842" width="14.88671875" style="1278" customWidth="1"/>
    <col min="3843" max="4097" width="8.88671875" style="1278"/>
    <col min="4098" max="4098" width="14.88671875" style="1278" customWidth="1"/>
    <col min="4099" max="4353" width="8.88671875" style="1278"/>
    <col min="4354" max="4354" width="14.88671875" style="1278" customWidth="1"/>
    <col min="4355" max="4609" width="8.88671875" style="1278"/>
    <col min="4610" max="4610" width="14.88671875" style="1278" customWidth="1"/>
    <col min="4611" max="4865" width="8.88671875" style="1278"/>
    <col min="4866" max="4866" width="14.88671875" style="1278" customWidth="1"/>
    <col min="4867" max="5121" width="8.88671875" style="1278"/>
    <col min="5122" max="5122" width="14.88671875" style="1278" customWidth="1"/>
    <col min="5123" max="5377" width="8.88671875" style="1278"/>
    <col min="5378" max="5378" width="14.88671875" style="1278" customWidth="1"/>
    <col min="5379" max="5633" width="8.88671875" style="1278"/>
    <col min="5634" max="5634" width="14.88671875" style="1278" customWidth="1"/>
    <col min="5635" max="5889" width="8.88671875" style="1278"/>
    <col min="5890" max="5890" width="14.88671875" style="1278" customWidth="1"/>
    <col min="5891" max="6145" width="8.88671875" style="1278"/>
    <col min="6146" max="6146" width="14.88671875" style="1278" customWidth="1"/>
    <col min="6147" max="6401" width="8.88671875" style="1278"/>
    <col min="6402" max="6402" width="14.88671875" style="1278" customWidth="1"/>
    <col min="6403" max="6657" width="8.88671875" style="1278"/>
    <col min="6658" max="6658" width="14.88671875" style="1278" customWidth="1"/>
    <col min="6659" max="6913" width="8.88671875" style="1278"/>
    <col min="6914" max="6914" width="14.88671875" style="1278" customWidth="1"/>
    <col min="6915" max="7169" width="8.88671875" style="1278"/>
    <col min="7170" max="7170" width="14.88671875" style="1278" customWidth="1"/>
    <col min="7171" max="7425" width="8.88671875" style="1278"/>
    <col min="7426" max="7426" width="14.88671875" style="1278" customWidth="1"/>
    <col min="7427" max="7681" width="8.88671875" style="1278"/>
    <col min="7682" max="7682" width="14.88671875" style="1278" customWidth="1"/>
    <col min="7683" max="7937" width="8.88671875" style="1278"/>
    <col min="7938" max="7938" width="14.88671875" style="1278" customWidth="1"/>
    <col min="7939" max="8193" width="8.88671875" style="1278"/>
    <col min="8194" max="8194" width="14.88671875" style="1278" customWidth="1"/>
    <col min="8195" max="8449" width="8.88671875" style="1278"/>
    <col min="8450" max="8450" width="14.88671875" style="1278" customWidth="1"/>
    <col min="8451" max="8705" width="8.88671875" style="1278"/>
    <col min="8706" max="8706" width="14.88671875" style="1278" customWidth="1"/>
    <col min="8707" max="8961" width="8.88671875" style="1278"/>
    <col min="8962" max="8962" width="14.88671875" style="1278" customWidth="1"/>
    <col min="8963" max="9217" width="8.88671875" style="1278"/>
    <col min="9218" max="9218" width="14.88671875" style="1278" customWidth="1"/>
    <col min="9219" max="9473" width="8.88671875" style="1278"/>
    <col min="9474" max="9474" width="14.88671875" style="1278" customWidth="1"/>
    <col min="9475" max="9729" width="8.88671875" style="1278"/>
    <col min="9730" max="9730" width="14.88671875" style="1278" customWidth="1"/>
    <col min="9731" max="9985" width="8.88671875" style="1278"/>
    <col min="9986" max="9986" width="14.88671875" style="1278" customWidth="1"/>
    <col min="9987" max="10241" width="8.88671875" style="1278"/>
    <col min="10242" max="10242" width="14.88671875" style="1278" customWidth="1"/>
    <col min="10243" max="10497" width="8.88671875" style="1278"/>
    <col min="10498" max="10498" width="14.88671875" style="1278" customWidth="1"/>
    <col min="10499" max="10753" width="8.88671875" style="1278"/>
    <col min="10754" max="10754" width="14.88671875" style="1278" customWidth="1"/>
    <col min="10755" max="11009" width="8.88671875" style="1278"/>
    <col min="11010" max="11010" width="14.88671875" style="1278" customWidth="1"/>
    <col min="11011" max="11265" width="8.88671875" style="1278"/>
    <col min="11266" max="11266" width="14.88671875" style="1278" customWidth="1"/>
    <col min="11267" max="11521" width="8.88671875" style="1278"/>
    <col min="11522" max="11522" width="14.88671875" style="1278" customWidth="1"/>
    <col min="11523" max="11777" width="8.88671875" style="1278"/>
    <col min="11778" max="11778" width="14.88671875" style="1278" customWidth="1"/>
    <col min="11779" max="12033" width="8.88671875" style="1278"/>
    <col min="12034" max="12034" width="14.88671875" style="1278" customWidth="1"/>
    <col min="12035" max="12289" width="8.88671875" style="1278"/>
    <col min="12290" max="12290" width="14.88671875" style="1278" customWidth="1"/>
    <col min="12291" max="12545" width="8.88671875" style="1278"/>
    <col min="12546" max="12546" width="14.88671875" style="1278" customWidth="1"/>
    <col min="12547" max="12801" width="8.88671875" style="1278"/>
    <col min="12802" max="12802" width="14.88671875" style="1278" customWidth="1"/>
    <col min="12803" max="13057" width="8.88671875" style="1278"/>
    <col min="13058" max="13058" width="14.88671875" style="1278" customWidth="1"/>
    <col min="13059" max="13313" width="8.88671875" style="1278"/>
    <col min="13314" max="13314" width="14.88671875" style="1278" customWidth="1"/>
    <col min="13315" max="13569" width="8.88671875" style="1278"/>
    <col min="13570" max="13570" width="14.88671875" style="1278" customWidth="1"/>
    <col min="13571" max="13825" width="8.88671875" style="1278"/>
    <col min="13826" max="13826" width="14.88671875" style="1278" customWidth="1"/>
    <col min="13827" max="14081" width="8.88671875" style="1278"/>
    <col min="14082" max="14082" width="14.88671875" style="1278" customWidth="1"/>
    <col min="14083" max="14337" width="8.88671875" style="1278"/>
    <col min="14338" max="14338" width="14.88671875" style="1278" customWidth="1"/>
    <col min="14339" max="14593" width="8.88671875" style="1278"/>
    <col min="14594" max="14594" width="14.88671875" style="1278" customWidth="1"/>
    <col min="14595" max="14849" width="8.88671875" style="1278"/>
    <col min="14850" max="14850" width="14.88671875" style="1278" customWidth="1"/>
    <col min="14851" max="15105" width="8.88671875" style="1278"/>
    <col min="15106" max="15106" width="14.88671875" style="1278" customWidth="1"/>
    <col min="15107" max="15361" width="8.88671875" style="1278"/>
    <col min="15362" max="15362" width="14.88671875" style="1278" customWidth="1"/>
    <col min="15363" max="15617" width="8.88671875" style="1278"/>
    <col min="15618" max="15618" width="14.88671875" style="1278" customWidth="1"/>
    <col min="15619" max="15873" width="8.88671875" style="1278"/>
    <col min="15874" max="15874" width="14.88671875" style="1278" customWidth="1"/>
    <col min="15875" max="16129" width="8.88671875" style="1278"/>
    <col min="16130" max="16130" width="14.88671875" style="1278" customWidth="1"/>
    <col min="16131" max="16384" width="8.88671875" style="1278"/>
  </cols>
  <sheetData>
    <row r="1" spans="1:12">
      <c r="A1" s="1279" t="s">
        <v>468</v>
      </c>
      <c r="B1" s="1280">
        <v>1</v>
      </c>
      <c r="C1" s="1281">
        <v>2</v>
      </c>
      <c r="D1" s="1281">
        <v>3</v>
      </c>
      <c r="E1" s="1281">
        <v>4</v>
      </c>
      <c r="F1" s="1281">
        <v>5</v>
      </c>
      <c r="G1" s="1281">
        <v>6</v>
      </c>
      <c r="H1" s="1282">
        <v>7</v>
      </c>
    </row>
    <row r="2" spans="1:12" ht="12.75" customHeight="1">
      <c r="A2" s="1283">
        <v>1</v>
      </c>
      <c r="B2" s="1284">
        <v>100</v>
      </c>
      <c r="C2" s="1285">
        <v>100</v>
      </c>
      <c r="D2" s="1285">
        <v>100</v>
      </c>
      <c r="E2" s="1285">
        <v>150</v>
      </c>
      <c r="F2" s="1285">
        <v>150</v>
      </c>
      <c r="G2" s="1285">
        <v>150</v>
      </c>
      <c r="H2" s="1285">
        <v>225</v>
      </c>
    </row>
    <row r="3" spans="1:12" ht="12" customHeight="1">
      <c r="A3" s="1286">
        <v>2</v>
      </c>
      <c r="B3" s="1287">
        <v>0</v>
      </c>
      <c r="C3" s="1288">
        <v>0</v>
      </c>
      <c r="D3" s="1288">
        <v>0</v>
      </c>
      <c r="E3" s="1288">
        <v>100</v>
      </c>
      <c r="F3" s="1288">
        <v>150</v>
      </c>
      <c r="G3" s="1288">
        <v>150</v>
      </c>
      <c r="H3" s="1288">
        <v>150</v>
      </c>
    </row>
    <row r="4" spans="1:12" ht="15" customHeight="1">
      <c r="A4" s="1286">
        <v>3</v>
      </c>
      <c r="B4" s="1287">
        <v>0</v>
      </c>
      <c r="C4" s="1288">
        <v>0</v>
      </c>
      <c r="D4" s="1288">
        <v>0</v>
      </c>
      <c r="E4" s="1288">
        <v>0</v>
      </c>
      <c r="F4" s="1288">
        <v>0</v>
      </c>
      <c r="G4" s="1288">
        <v>100</v>
      </c>
      <c r="H4" s="1288">
        <v>100</v>
      </c>
      <c r="J4" s="3713" t="s">
        <v>881</v>
      </c>
      <c r="K4" s="3713"/>
      <c r="L4" s="3713"/>
    </row>
    <row r="5" spans="1:12" ht="15.75" customHeight="1">
      <c r="A5" s="1286">
        <v>4</v>
      </c>
      <c r="B5" s="1287">
        <v>0</v>
      </c>
      <c r="C5" s="1288">
        <v>0</v>
      </c>
      <c r="D5" s="1288">
        <v>0</v>
      </c>
      <c r="E5" s="1288">
        <v>0</v>
      </c>
      <c r="F5" s="1288">
        <v>0</v>
      </c>
      <c r="G5" s="1288">
        <v>0</v>
      </c>
      <c r="H5" s="1288">
        <v>0</v>
      </c>
    </row>
    <row r="6" spans="1:12" ht="15.75" customHeight="1">
      <c r="A6" s="1289">
        <v>5</v>
      </c>
      <c r="B6" s="1287">
        <v>0</v>
      </c>
      <c r="C6" s="1288">
        <v>0</v>
      </c>
      <c r="D6" s="1288">
        <v>0</v>
      </c>
      <c r="E6" s="1288">
        <v>0</v>
      </c>
      <c r="F6" s="1288">
        <v>0</v>
      </c>
      <c r="G6" s="1288">
        <v>0</v>
      </c>
      <c r="H6" s="1288">
        <v>0</v>
      </c>
    </row>
    <row r="8" spans="1:12">
      <c r="A8" s="1279" t="s">
        <v>468</v>
      </c>
      <c r="B8" s="1280">
        <v>1</v>
      </c>
      <c r="C8" s="1281">
        <v>2</v>
      </c>
      <c r="D8" s="1281">
        <v>3</v>
      </c>
      <c r="E8" s="1281">
        <v>4</v>
      </c>
      <c r="F8" s="1281">
        <v>5</v>
      </c>
      <c r="G8" s="1281">
        <v>6</v>
      </c>
      <c r="H8" s="1282">
        <v>7</v>
      </c>
    </row>
    <row r="9" spans="1:12">
      <c r="A9" s="1283">
        <v>1</v>
      </c>
      <c r="B9" s="1284">
        <v>0</v>
      </c>
      <c r="C9" s="1285">
        <v>0</v>
      </c>
      <c r="D9" s="1285">
        <v>100</v>
      </c>
      <c r="E9" s="1285">
        <v>100</v>
      </c>
      <c r="F9" s="1285">
        <v>150</v>
      </c>
      <c r="G9" s="1285">
        <v>225</v>
      </c>
      <c r="H9" s="1285">
        <v>200</v>
      </c>
    </row>
    <row r="10" spans="1:12">
      <c r="A10" s="1286">
        <v>2</v>
      </c>
      <c r="B10" s="1287">
        <v>0</v>
      </c>
      <c r="C10" s="1288">
        <v>0</v>
      </c>
      <c r="D10" s="1288">
        <v>150</v>
      </c>
      <c r="E10" s="1288">
        <v>100</v>
      </c>
      <c r="F10" s="1288">
        <v>100</v>
      </c>
      <c r="G10" s="1288">
        <v>100</v>
      </c>
      <c r="H10" s="1288">
        <v>150</v>
      </c>
      <c r="J10" s="3713" t="s">
        <v>882</v>
      </c>
      <c r="K10" s="3713"/>
      <c r="L10" s="3713"/>
    </row>
    <row r="11" spans="1:12">
      <c r="A11" s="1286">
        <v>3</v>
      </c>
      <c r="B11" s="1287">
        <v>0</v>
      </c>
      <c r="C11" s="1288">
        <v>0</v>
      </c>
      <c r="D11" s="1288">
        <v>0</v>
      </c>
      <c r="E11" s="1288">
        <v>125</v>
      </c>
      <c r="F11" s="1288">
        <v>150</v>
      </c>
      <c r="G11" s="1288">
        <v>100</v>
      </c>
      <c r="H11" s="1288">
        <v>100</v>
      </c>
    </row>
    <row r="12" spans="1:12">
      <c r="A12" s="1286">
        <v>4</v>
      </c>
      <c r="B12" s="1287">
        <v>0</v>
      </c>
      <c r="C12" s="1288">
        <v>0</v>
      </c>
      <c r="D12" s="1288">
        <v>0</v>
      </c>
      <c r="E12" s="1288">
        <v>100</v>
      </c>
      <c r="F12" s="1288">
        <v>125</v>
      </c>
      <c r="G12" s="1288">
        <v>150</v>
      </c>
      <c r="H12" s="1288">
        <v>150</v>
      </c>
    </row>
    <row r="13" spans="1:12">
      <c r="A13" s="1289">
        <v>5</v>
      </c>
      <c r="B13" s="1287">
        <v>0</v>
      </c>
      <c r="C13" s="1288">
        <v>0</v>
      </c>
      <c r="D13" s="1288">
        <v>0</v>
      </c>
      <c r="E13" s="1288">
        <v>0</v>
      </c>
      <c r="F13" s="1288">
        <v>100</v>
      </c>
      <c r="G13" s="1288">
        <v>125</v>
      </c>
      <c r="H13" s="1288">
        <v>125</v>
      </c>
    </row>
    <row r="15" spans="1:12">
      <c r="A15" s="1279" t="s">
        <v>468</v>
      </c>
      <c r="B15" s="1280">
        <v>1</v>
      </c>
      <c r="C15" s="1281">
        <v>2</v>
      </c>
      <c r="D15" s="1281">
        <v>3</v>
      </c>
      <c r="E15" s="1281">
        <v>4</v>
      </c>
      <c r="F15" s="1281">
        <v>5</v>
      </c>
      <c r="G15" s="1281">
        <v>6</v>
      </c>
      <c r="H15" s="1282">
        <v>7</v>
      </c>
    </row>
    <row r="16" spans="1:12">
      <c r="A16" s="1283">
        <v>1</v>
      </c>
      <c r="B16" s="1284">
        <v>200</v>
      </c>
      <c r="C16" s="1285">
        <v>150</v>
      </c>
      <c r="D16" s="1285">
        <v>0</v>
      </c>
      <c r="E16" s="1285">
        <v>0</v>
      </c>
      <c r="F16" s="1285">
        <v>0</v>
      </c>
      <c r="G16" s="1285">
        <v>0</v>
      </c>
      <c r="H16" s="1285">
        <v>0</v>
      </c>
    </row>
    <row r="17" spans="1:12">
      <c r="A17" s="1286">
        <v>2</v>
      </c>
      <c r="B17" s="1287">
        <v>200</v>
      </c>
      <c r="C17" s="1288">
        <v>275</v>
      </c>
      <c r="D17" s="1288">
        <v>0</v>
      </c>
      <c r="E17" s="1288">
        <v>0</v>
      </c>
      <c r="F17" s="1288">
        <v>0</v>
      </c>
      <c r="G17" s="1288">
        <v>0</v>
      </c>
      <c r="H17" s="1288">
        <v>0</v>
      </c>
      <c r="J17" s="3713" t="s">
        <v>497</v>
      </c>
      <c r="K17" s="3713"/>
      <c r="L17" s="3713"/>
    </row>
    <row r="18" spans="1:12">
      <c r="A18" s="1286">
        <v>3</v>
      </c>
      <c r="B18" s="1287">
        <v>175</v>
      </c>
      <c r="C18" s="1288">
        <v>250</v>
      </c>
      <c r="D18" s="1288">
        <v>275</v>
      </c>
      <c r="E18" s="1288">
        <v>0</v>
      </c>
      <c r="F18" s="1288">
        <v>0</v>
      </c>
      <c r="G18" s="1288">
        <v>0</v>
      </c>
      <c r="H18" s="1288">
        <v>0</v>
      </c>
    </row>
    <row r="19" spans="1:12">
      <c r="A19" s="1286">
        <v>4</v>
      </c>
      <c r="B19" s="1287">
        <v>150</v>
      </c>
      <c r="C19" s="1288">
        <v>175</v>
      </c>
      <c r="D19" s="1288">
        <v>225</v>
      </c>
      <c r="E19" s="1288">
        <v>0</v>
      </c>
      <c r="F19" s="1288">
        <v>0</v>
      </c>
      <c r="G19" s="1288">
        <v>0</v>
      </c>
      <c r="H19" s="1288">
        <v>0</v>
      </c>
    </row>
    <row r="20" spans="1:12">
      <c r="A20" s="1289">
        <v>5</v>
      </c>
      <c r="B20" s="1287">
        <v>125</v>
      </c>
      <c r="C20" s="1288">
        <v>150</v>
      </c>
      <c r="D20" s="1288">
        <v>175</v>
      </c>
      <c r="E20" s="1288">
        <v>0</v>
      </c>
      <c r="F20" s="1288">
        <v>0</v>
      </c>
      <c r="G20" s="1288">
        <v>0</v>
      </c>
      <c r="H20" s="1288">
        <v>0</v>
      </c>
    </row>
    <row r="22" spans="1:12">
      <c r="A22" s="1279" t="s">
        <v>468</v>
      </c>
      <c r="B22" s="1280">
        <v>1</v>
      </c>
      <c r="C22" s="1281">
        <v>2</v>
      </c>
      <c r="D22" s="1281">
        <v>3</v>
      </c>
      <c r="E22" s="1281">
        <v>4</v>
      </c>
      <c r="F22" s="1281">
        <v>5</v>
      </c>
      <c r="G22" s="1281">
        <v>6</v>
      </c>
      <c r="H22" s="1282">
        <v>7</v>
      </c>
    </row>
    <row r="23" spans="1:12">
      <c r="A23" s="1283">
        <v>1</v>
      </c>
      <c r="B23" s="1284">
        <v>0</v>
      </c>
      <c r="C23" s="1285">
        <v>0</v>
      </c>
      <c r="D23" s="1285">
        <v>100</v>
      </c>
      <c r="E23" s="1285">
        <v>100</v>
      </c>
      <c r="F23" s="1285">
        <v>100</v>
      </c>
      <c r="G23" s="1285">
        <v>100</v>
      </c>
      <c r="H23" s="1285">
        <v>150</v>
      </c>
    </row>
    <row r="24" spans="1:12">
      <c r="A24" s="1286">
        <v>2</v>
      </c>
      <c r="B24" s="1287">
        <v>0</v>
      </c>
      <c r="C24" s="1288">
        <v>0</v>
      </c>
      <c r="D24" s="1288">
        <v>100</v>
      </c>
      <c r="E24" s="1288">
        <v>100</v>
      </c>
      <c r="F24" s="1288">
        <v>100</v>
      </c>
      <c r="G24" s="1288">
        <v>150</v>
      </c>
      <c r="H24" s="1288">
        <v>150</v>
      </c>
      <c r="J24" s="3713" t="s">
        <v>883</v>
      </c>
      <c r="K24" s="3713"/>
      <c r="L24" s="3713"/>
    </row>
    <row r="25" spans="1:12">
      <c r="A25" s="1286">
        <v>3</v>
      </c>
      <c r="B25" s="1287">
        <v>0</v>
      </c>
      <c r="C25" s="1288">
        <v>0</v>
      </c>
      <c r="D25" s="1288">
        <v>0</v>
      </c>
      <c r="E25" s="1288">
        <v>100</v>
      </c>
      <c r="F25" s="1288">
        <v>100</v>
      </c>
      <c r="G25" s="1288">
        <v>100</v>
      </c>
      <c r="H25" s="1288">
        <v>150</v>
      </c>
    </row>
    <row r="26" spans="1:12">
      <c r="A26" s="1286">
        <v>4</v>
      </c>
      <c r="B26" s="1287">
        <v>0</v>
      </c>
      <c r="C26" s="1288">
        <v>0</v>
      </c>
      <c r="D26" s="1288">
        <v>0</v>
      </c>
      <c r="E26" s="1288">
        <v>100</v>
      </c>
      <c r="F26" s="1288">
        <v>100</v>
      </c>
      <c r="G26" s="1288">
        <v>100</v>
      </c>
      <c r="H26" s="1288">
        <v>150</v>
      </c>
    </row>
    <row r="27" spans="1:12">
      <c r="A27" s="1289">
        <v>5</v>
      </c>
      <c r="B27" s="1287">
        <v>0</v>
      </c>
      <c r="C27" s="1288">
        <v>0</v>
      </c>
      <c r="D27" s="1288">
        <v>0</v>
      </c>
      <c r="E27" s="1288">
        <v>150</v>
      </c>
      <c r="F27" s="1288">
        <v>100</v>
      </c>
      <c r="G27" s="1288">
        <v>100</v>
      </c>
      <c r="H27" s="1288">
        <v>150</v>
      </c>
    </row>
    <row r="29" spans="1:12">
      <c r="A29" s="1279" t="s">
        <v>468</v>
      </c>
      <c r="B29" s="1280">
        <v>1</v>
      </c>
      <c r="C29" s="1281">
        <v>2</v>
      </c>
      <c r="D29" s="1281">
        <v>3</v>
      </c>
      <c r="E29" s="1281">
        <v>4</v>
      </c>
      <c r="F29" s="1281">
        <v>5</v>
      </c>
      <c r="G29" s="1281">
        <v>6</v>
      </c>
      <c r="H29" s="1282">
        <v>7</v>
      </c>
    </row>
    <row r="30" spans="1:12">
      <c r="A30" s="1283">
        <v>1</v>
      </c>
      <c r="B30" s="1284">
        <v>0</v>
      </c>
      <c r="C30" s="1285">
        <v>75</v>
      </c>
      <c r="D30" s="1285">
        <v>75</v>
      </c>
      <c r="E30" s="1285">
        <v>75</v>
      </c>
      <c r="F30" s="1285">
        <v>75</v>
      </c>
      <c r="G30" s="1285">
        <v>75</v>
      </c>
      <c r="H30" s="1285">
        <v>75</v>
      </c>
    </row>
    <row r="31" spans="1:12">
      <c r="A31" s="1286">
        <v>2</v>
      </c>
      <c r="B31" s="1287">
        <v>0</v>
      </c>
      <c r="C31" s="1288">
        <v>0</v>
      </c>
      <c r="D31" s="1288">
        <v>75</v>
      </c>
      <c r="E31" s="1288">
        <v>75</v>
      </c>
      <c r="F31" s="1288">
        <v>75</v>
      </c>
      <c r="G31" s="1288">
        <v>75</v>
      </c>
      <c r="H31" s="1288">
        <v>75</v>
      </c>
      <c r="J31" s="3714" t="s">
        <v>884</v>
      </c>
      <c r="K31" s="3715"/>
      <c r="L31" s="3716"/>
    </row>
    <row r="32" spans="1:12">
      <c r="A32" s="1286">
        <v>3</v>
      </c>
      <c r="B32" s="1287">
        <v>0</v>
      </c>
      <c r="C32" s="1288">
        <v>0</v>
      </c>
      <c r="D32" s="1288">
        <v>0</v>
      </c>
      <c r="E32" s="1288">
        <v>75</v>
      </c>
      <c r="F32" s="1288">
        <v>75</v>
      </c>
      <c r="G32" s="1288">
        <v>75</v>
      </c>
      <c r="H32" s="1288">
        <v>75</v>
      </c>
      <c r="J32" s="3717"/>
      <c r="K32" s="3718"/>
      <c r="L32" s="3719"/>
    </row>
    <row r="33" spans="1:8">
      <c r="A33" s="1286">
        <v>4</v>
      </c>
      <c r="B33" s="1287">
        <v>0</v>
      </c>
      <c r="C33" s="1288">
        <v>0</v>
      </c>
      <c r="D33" s="1288">
        <v>0</v>
      </c>
      <c r="E33" s="1288">
        <v>75</v>
      </c>
      <c r="F33" s="1288">
        <v>75</v>
      </c>
      <c r="G33" s="1288">
        <v>75</v>
      </c>
      <c r="H33" s="1288">
        <v>75</v>
      </c>
    </row>
    <row r="34" spans="1:8">
      <c r="A34" s="1289">
        <v>5</v>
      </c>
      <c r="B34" s="1287">
        <v>0</v>
      </c>
      <c r="C34" s="1288">
        <v>0</v>
      </c>
      <c r="D34" s="1288">
        <v>0</v>
      </c>
      <c r="E34" s="1288">
        <v>75</v>
      </c>
      <c r="F34" s="1288">
        <v>75</v>
      </c>
      <c r="G34" s="1288">
        <v>75</v>
      </c>
      <c r="H34" s="1288">
        <v>75</v>
      </c>
    </row>
  </sheetData>
  <sheetProtection password="CC6F" sheet="1" objects="1" scenarios="1"/>
  <mergeCells count="5">
    <mergeCell ref="J4:L4"/>
    <mergeCell ref="J10:L10"/>
    <mergeCell ref="J17:L17"/>
    <mergeCell ref="J24:L24"/>
    <mergeCell ref="J31:L32"/>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AJ1025"/>
  <sheetViews>
    <sheetView view="pageBreakPreview" topLeftCell="A11" workbookViewId="0">
      <selection activeCell="AB4" sqref="AB4"/>
    </sheetView>
  </sheetViews>
  <sheetFormatPr defaultColWidth="9.109375" defaultRowHeight="13.2"/>
  <cols>
    <col min="1" max="17" width="5.33203125" style="1240" customWidth="1"/>
    <col min="18" max="20" width="1.5546875" style="1240" customWidth="1"/>
    <col min="21" max="28" width="2.6640625" style="1240" customWidth="1"/>
    <col min="29" max="29" width="5" style="1240" customWidth="1"/>
    <col min="30" max="34" width="2.6640625" style="1240" customWidth="1"/>
    <col min="35" max="35" width="9.109375" style="1240" customWidth="1"/>
    <col min="36" max="16384" width="9.109375" style="1240"/>
  </cols>
  <sheetData>
    <row r="1" spans="2:35" ht="25.5" customHeight="1">
      <c r="AI1" s="1277"/>
    </row>
    <row r="2" spans="2:35" ht="25.5" customHeight="1">
      <c r="AI2" s="1277"/>
    </row>
    <row r="3" spans="2:35" ht="25.5" customHeight="1">
      <c r="B3" s="1241"/>
      <c r="C3" s="3721" t="s">
        <v>423</v>
      </c>
      <c r="D3" s="3721"/>
      <c r="E3" s="3721"/>
      <c r="F3" s="3721"/>
      <c r="G3" s="3721"/>
      <c r="H3" s="3721"/>
      <c r="I3" s="3721"/>
      <c r="J3" s="3721"/>
      <c r="K3" s="3721"/>
      <c r="L3" s="3721"/>
      <c r="M3" s="3721"/>
      <c r="N3" s="3721"/>
      <c r="O3" s="3721"/>
      <c r="P3" s="1259"/>
      <c r="Q3" s="1241"/>
      <c r="AI3" s="1277"/>
    </row>
    <row r="4" spans="2:35" ht="30">
      <c r="B4" s="1241"/>
      <c r="C4" s="3721"/>
      <c r="D4" s="3721"/>
      <c r="E4" s="3721"/>
      <c r="F4" s="3721"/>
      <c r="G4" s="3721"/>
      <c r="H4" s="3721"/>
      <c r="I4" s="3721"/>
      <c r="J4" s="3721"/>
      <c r="K4" s="3721"/>
      <c r="L4" s="3721"/>
      <c r="M4" s="3721"/>
      <c r="N4" s="3721"/>
      <c r="O4" s="3721"/>
      <c r="P4" s="1259"/>
      <c r="Q4" s="1241"/>
      <c r="AI4" s="1277"/>
    </row>
    <row r="5" spans="2:35" ht="12.75" customHeight="1">
      <c r="B5" s="1242"/>
      <c r="C5" s="3721"/>
      <c r="D5" s="3721"/>
      <c r="E5" s="3721"/>
      <c r="F5" s="3721"/>
      <c r="G5" s="3721"/>
      <c r="H5" s="3721"/>
      <c r="I5" s="3721"/>
      <c r="J5" s="3721"/>
      <c r="K5" s="3721"/>
      <c r="L5" s="3721"/>
      <c r="M5" s="3721"/>
      <c r="N5" s="3721"/>
      <c r="O5" s="3721"/>
      <c r="P5" s="1243"/>
      <c r="Q5" s="1242"/>
      <c r="AI5" s="1277"/>
    </row>
    <row r="6" spans="2:35" ht="25.5" customHeight="1">
      <c r="B6" s="1242"/>
      <c r="C6" s="1243"/>
      <c r="D6" s="1243"/>
      <c r="E6" s="1243"/>
      <c r="F6" s="1243"/>
      <c r="G6" s="1243"/>
      <c r="H6" s="1243"/>
      <c r="I6" s="1243"/>
      <c r="J6" s="1243"/>
      <c r="K6" s="1243"/>
      <c r="L6" s="1243"/>
      <c r="M6" s="1243"/>
      <c r="N6" s="1243"/>
      <c r="O6" s="1243"/>
      <c r="P6" s="1243"/>
      <c r="Q6" s="1242"/>
      <c r="AI6" s="1277"/>
    </row>
    <row r="7" spans="2:35" ht="25.5" customHeight="1">
      <c r="B7" s="1242"/>
      <c r="C7" s="1243"/>
      <c r="D7" s="3722" t="s">
        <v>424</v>
      </c>
      <c r="E7" s="3722"/>
      <c r="F7" s="3722"/>
      <c r="G7" s="3722"/>
      <c r="H7" s="3722"/>
      <c r="I7" s="3722"/>
      <c r="J7" s="3722"/>
      <c r="K7" s="3722"/>
      <c r="L7" s="3722"/>
      <c r="M7" s="3722"/>
      <c r="N7" s="3722"/>
      <c r="O7" s="1243"/>
      <c r="P7" s="1243"/>
      <c r="Q7" s="1242"/>
      <c r="AI7" s="1277"/>
    </row>
    <row r="8" spans="2:35" ht="25.5" customHeight="1">
      <c r="B8" s="1242"/>
      <c r="C8" s="1243"/>
      <c r="D8" s="3722"/>
      <c r="E8" s="3722"/>
      <c r="F8" s="3722"/>
      <c r="G8" s="3722"/>
      <c r="H8" s="3722"/>
      <c r="I8" s="3722"/>
      <c r="J8" s="3722"/>
      <c r="K8" s="3722"/>
      <c r="L8" s="3722"/>
      <c r="M8" s="3722"/>
      <c r="N8" s="3722"/>
      <c r="O8" s="1243"/>
      <c r="P8" s="1243"/>
      <c r="Q8" s="1242"/>
      <c r="AI8" s="1277"/>
    </row>
    <row r="9" spans="2:35" ht="3" customHeight="1">
      <c r="B9" s="1242"/>
      <c r="C9" s="1243"/>
      <c r="D9" s="3722"/>
      <c r="E9" s="3722"/>
      <c r="F9" s="3722"/>
      <c r="G9" s="3722"/>
      <c r="H9" s="3722"/>
      <c r="I9" s="3722"/>
      <c r="J9" s="3722"/>
      <c r="K9" s="3722"/>
      <c r="L9" s="3722"/>
      <c r="M9" s="3722"/>
      <c r="N9" s="3722"/>
      <c r="O9" s="1243"/>
      <c r="P9" s="1243"/>
      <c r="Q9" s="1242"/>
      <c r="AI9" s="1277"/>
    </row>
    <row r="10" spans="2:35" ht="6.75" customHeight="1">
      <c r="B10" s="1242"/>
      <c r="C10" s="1243"/>
      <c r="D10" s="1244"/>
      <c r="E10" s="1244"/>
      <c r="F10" s="1244"/>
      <c r="G10" s="1244"/>
      <c r="H10" s="1244"/>
      <c r="I10" s="1244"/>
      <c r="J10" s="1244"/>
      <c r="K10" s="1244"/>
      <c r="L10" s="1244"/>
      <c r="M10" s="1244"/>
      <c r="N10" s="1244"/>
      <c r="O10" s="1243"/>
      <c r="P10" s="1243"/>
      <c r="Q10" s="1242"/>
      <c r="AI10" s="1277"/>
    </row>
    <row r="11" spans="2:35" ht="25.5" customHeight="1">
      <c r="B11" s="1245"/>
      <c r="C11" s="1246"/>
      <c r="D11" s="1245"/>
      <c r="E11" s="1245"/>
      <c r="F11" s="1245"/>
      <c r="G11" s="1245"/>
      <c r="H11" s="1245"/>
      <c r="I11" s="1244"/>
      <c r="J11" s="3725"/>
      <c r="K11" s="3725"/>
      <c r="L11" s="3725"/>
      <c r="M11" s="3725"/>
      <c r="N11" s="1245"/>
      <c r="O11" s="1245"/>
      <c r="P11" s="1245"/>
      <c r="Q11" s="1242"/>
      <c r="X11" s="1270"/>
      <c r="AI11" s="1277"/>
    </row>
    <row r="12" spans="2:35" ht="25.5" customHeight="1">
      <c r="B12" s="1245"/>
      <c r="C12" s="1246" t="s">
        <v>425</v>
      </c>
      <c r="D12" s="1245"/>
      <c r="E12" s="1245"/>
      <c r="F12" s="1245"/>
      <c r="G12" s="1245"/>
      <c r="H12" s="1245"/>
      <c r="I12" s="1244" t="s">
        <v>426</v>
      </c>
      <c r="J12" s="1246" t="s">
        <v>885</v>
      </c>
      <c r="K12" s="1245"/>
      <c r="L12" s="1245"/>
      <c r="M12" s="1245"/>
      <c r="N12" s="1245"/>
      <c r="O12" s="1245"/>
      <c r="P12" s="1245"/>
      <c r="Q12" s="1242"/>
      <c r="X12" s="1270"/>
      <c r="AI12" s="1277"/>
    </row>
    <row r="13" spans="2:35" ht="15.75" customHeight="1">
      <c r="B13" s="1245"/>
      <c r="C13" s="1245"/>
      <c r="D13" s="1245"/>
      <c r="E13" s="1245"/>
      <c r="F13" s="1245"/>
      <c r="G13" s="1245"/>
      <c r="H13" s="1245"/>
      <c r="I13" s="1245"/>
      <c r="J13" s="1245"/>
      <c r="K13" s="1245"/>
      <c r="L13" s="1245"/>
      <c r="M13" s="1245"/>
      <c r="N13" s="1245"/>
      <c r="O13" s="1245"/>
      <c r="P13" s="1245"/>
      <c r="AI13" s="1277"/>
    </row>
    <row r="14" spans="2:35" ht="25.5" customHeight="1">
      <c r="C14"/>
      <c r="D14"/>
      <c r="E14"/>
      <c r="F14"/>
      <c r="G14"/>
      <c r="H14"/>
      <c r="I14"/>
      <c r="J14"/>
      <c r="K14"/>
      <c r="L14"/>
      <c r="M14"/>
      <c r="N14"/>
      <c r="O14"/>
      <c r="P14" s="1260"/>
      <c r="Q14" s="1271"/>
      <c r="AI14" s="1277"/>
    </row>
    <row r="15" spans="2:35" ht="25.5" customHeight="1">
      <c r="B15" s="1247"/>
      <c r="C15" s="1248" t="s">
        <v>427</v>
      </c>
      <c r="D15" s="1249"/>
      <c r="E15" s="1249"/>
      <c r="F15" s="1249"/>
      <c r="G15" s="1245"/>
      <c r="H15" s="1245"/>
      <c r="I15"/>
      <c r="J15"/>
      <c r="K15"/>
      <c r="L15"/>
      <c r="M15"/>
      <c r="N15"/>
      <c r="O15"/>
      <c r="P15" s="1261"/>
      <c r="Q15" s="1272"/>
      <c r="AI15" s="1277"/>
    </row>
    <row r="16" spans="2:35" ht="24.6">
      <c r="C16" s="3723" t="str">
        <f>'Input Data'!E1</f>
        <v>C/o HLB on R/F Amlikunta to Gundumal of Gundumal Mandal of Narayanept District.</v>
      </c>
      <c r="D16" s="3724"/>
      <c r="E16" s="3724"/>
      <c r="F16" s="3724"/>
      <c r="G16" s="3724"/>
      <c r="H16" s="3724"/>
      <c r="I16" s="3724"/>
      <c r="J16" s="3724"/>
      <c r="K16" s="3724"/>
      <c r="L16" s="3724"/>
      <c r="M16" s="3724"/>
      <c r="N16" s="3724"/>
      <c r="O16" s="3724"/>
      <c r="P16" s="3724"/>
      <c r="Q16" s="1272"/>
      <c r="AI16" s="1277"/>
    </row>
    <row r="17" spans="3:36" ht="24.6">
      <c r="C17" s="3724"/>
      <c r="D17" s="3724"/>
      <c r="E17" s="3724"/>
      <c r="F17" s="3724"/>
      <c r="G17" s="3724"/>
      <c r="H17" s="3724"/>
      <c r="I17" s="3724"/>
      <c r="J17" s="3724"/>
      <c r="K17" s="3724"/>
      <c r="L17" s="3724"/>
      <c r="M17" s="3724"/>
      <c r="N17" s="3724"/>
      <c r="O17" s="3724"/>
      <c r="P17" s="3724"/>
      <c r="Q17" s="1272"/>
      <c r="AI17" s="1277"/>
    </row>
    <row r="18" spans="3:36" ht="43.5" customHeight="1">
      <c r="C18" s="3724"/>
      <c r="D18" s="3724"/>
      <c r="E18" s="3724"/>
      <c r="F18" s="3724"/>
      <c r="G18" s="3724"/>
      <c r="H18" s="3724"/>
      <c r="I18" s="3724"/>
      <c r="J18" s="3724"/>
      <c r="K18" s="3724"/>
      <c r="L18" s="3724"/>
      <c r="M18" s="3724"/>
      <c r="N18" s="3724"/>
      <c r="O18" s="3724"/>
      <c r="P18" s="3724"/>
      <c r="Q18" s="1272"/>
      <c r="AI18" s="1277"/>
      <c r="AJ18" s="1250"/>
    </row>
    <row r="19" spans="3:36" ht="39.75" hidden="1" customHeight="1">
      <c r="C19" s="3724"/>
      <c r="D19" s="3724"/>
      <c r="E19" s="3724"/>
      <c r="F19" s="3724"/>
      <c r="G19" s="3724"/>
      <c r="H19" s="3724"/>
      <c r="I19" s="3724"/>
      <c r="J19" s="3724"/>
      <c r="K19" s="3724"/>
      <c r="L19" s="3724"/>
      <c r="M19" s="3724"/>
      <c r="N19" s="3724"/>
      <c r="O19" s="3724"/>
      <c r="P19" s="3724"/>
      <c r="Q19" s="1272"/>
      <c r="AI19" s="1277"/>
    </row>
    <row r="20" spans="3:36" ht="25.5" customHeight="1">
      <c r="C20" s="1250"/>
      <c r="D20"/>
      <c r="E20"/>
      <c r="F20"/>
      <c r="G20"/>
      <c r="H20"/>
      <c r="I20"/>
      <c r="J20"/>
      <c r="K20"/>
      <c r="L20"/>
      <c r="M20"/>
      <c r="N20"/>
      <c r="O20"/>
      <c r="P20"/>
      <c r="Q20" s="1272"/>
      <c r="AI20" s="1277"/>
    </row>
    <row r="21" spans="3:36" s="1238" customFormat="1" ht="25.5" customHeight="1">
      <c r="D21" s="3726" t="s">
        <v>428</v>
      </c>
      <c r="E21" s="3726"/>
      <c r="F21" s="3726"/>
      <c r="G21" s="3726"/>
      <c r="H21" s="3726"/>
      <c r="I21" s="3726"/>
      <c r="J21" s="3726"/>
      <c r="K21" s="1262" t="s">
        <v>426</v>
      </c>
      <c r="L21" s="1263" t="s">
        <v>429</v>
      </c>
      <c r="M21" s="3727">
        <f>+'Input Data'!$J$4</f>
        <v>500</v>
      </c>
      <c r="N21" s="3727"/>
      <c r="O21" s="1264" t="s">
        <v>329</v>
      </c>
      <c r="P21" s="1265"/>
      <c r="Q21" s="1273"/>
      <c r="AI21" s="1277"/>
    </row>
    <row r="22" spans="3:36" s="1238" customFormat="1" ht="25.5" customHeight="1">
      <c r="C22" s="1251"/>
      <c r="D22" s="3726" t="s">
        <v>886</v>
      </c>
      <c r="E22" s="3726"/>
      <c r="F22" s="3726"/>
      <c r="G22" s="3726"/>
      <c r="H22" s="3726"/>
      <c r="I22" s="3726"/>
      <c r="J22" s="3726"/>
      <c r="K22" s="1262" t="s">
        <v>426</v>
      </c>
      <c r="L22" s="3727">
        <f>+'Input Data'!$J$5</f>
        <v>0</v>
      </c>
      <c r="M22" s="3727"/>
      <c r="N22" s="1263" t="s">
        <v>394</v>
      </c>
      <c r="O22" s="1251"/>
      <c r="P22" s="1251"/>
      <c r="Q22" s="1274"/>
      <c r="AI22" s="1277"/>
    </row>
    <row r="23" spans="3:36" s="1239" customFormat="1" ht="25.5" customHeight="1">
      <c r="C23" s="1252"/>
      <c r="D23" s="1250"/>
      <c r="E23" s="1250"/>
      <c r="F23" s="1250"/>
      <c r="G23" s="1250"/>
      <c r="H23" s="1250"/>
      <c r="I23" s="1250"/>
      <c r="J23" s="1250"/>
      <c r="K23" s="1250"/>
      <c r="L23" s="1250"/>
      <c r="M23" s="1250"/>
      <c r="N23" s="1252"/>
      <c r="O23" s="1266"/>
      <c r="P23" s="1267"/>
      <c r="Q23" s="1275"/>
      <c r="AI23" s="1277"/>
    </row>
    <row r="24" spans="3:36" s="1239" customFormat="1" ht="25.5" customHeight="1">
      <c r="C24" s="1253"/>
      <c r="D24" s="1250"/>
      <c r="E24" s="1250"/>
      <c r="F24" s="1250"/>
      <c r="G24" s="1250"/>
      <c r="H24" s="1250"/>
      <c r="I24" s="1250"/>
      <c r="J24" s="1250"/>
      <c r="K24" s="1250"/>
      <c r="L24" s="1250"/>
      <c r="M24" s="1250"/>
      <c r="N24" s="1268"/>
      <c r="O24" s="1268"/>
      <c r="P24" s="1268"/>
      <c r="Q24" s="1276"/>
      <c r="AI24" s="1277"/>
    </row>
    <row r="25" spans="3:36" s="1239" customFormat="1" ht="25.5" customHeight="1">
      <c r="C25" s="1254"/>
      <c r="D25" s="1254"/>
      <c r="E25" s="1254"/>
      <c r="F25" s="1250"/>
      <c r="G25" s="1250"/>
      <c r="H25" s="1250"/>
      <c r="I25" s="1250"/>
      <c r="J25" s="1250"/>
      <c r="K25" s="1250"/>
      <c r="L25" s="1250"/>
      <c r="M25" s="1254"/>
      <c r="N25" s="1254"/>
      <c r="O25" s="1254"/>
      <c r="P25" s="1254"/>
      <c r="Q25" s="1257"/>
      <c r="AI25" s="1277"/>
    </row>
    <row r="26" spans="3:36" s="1239" customFormat="1" ht="25.5" customHeight="1">
      <c r="C26" s="3720" t="s">
        <v>375</v>
      </c>
      <c r="D26" s="3720"/>
      <c r="E26" s="3720"/>
      <c r="F26" s="3720"/>
      <c r="G26" s="1256" t="s">
        <v>432</v>
      </c>
      <c r="H26" s="3720" t="str">
        <f>+'Input Data'!$D$3</f>
        <v>Vikarabad</v>
      </c>
      <c r="I26" s="3720"/>
      <c r="J26" s="3720"/>
      <c r="K26" s="3720"/>
      <c r="L26" s="3720"/>
      <c r="M26" s="3720"/>
      <c r="N26" s="3720"/>
      <c r="O26" s="3720"/>
      <c r="P26" s="3720"/>
      <c r="Q26" s="1257"/>
      <c r="AI26" s="1277"/>
    </row>
    <row r="27" spans="3:36" s="1239" customFormat="1" ht="25.5" customHeight="1">
      <c r="C27" s="3720" t="s">
        <v>377</v>
      </c>
      <c r="D27" s="3720"/>
      <c r="E27" s="3720"/>
      <c r="F27" s="3720"/>
      <c r="G27" s="1256" t="s">
        <v>432</v>
      </c>
      <c r="H27" s="3720" t="str">
        <f>+'Input Data'!$D$4</f>
        <v>Narayanpet</v>
      </c>
      <c r="I27" s="3720"/>
      <c r="J27" s="3720"/>
      <c r="K27" s="3720"/>
      <c r="L27" s="3720"/>
      <c r="M27" s="3720"/>
      <c r="N27" s="3720"/>
      <c r="O27" s="3720"/>
      <c r="P27" s="3720"/>
      <c r="Q27" s="1257"/>
      <c r="AI27" s="1277"/>
    </row>
    <row r="28" spans="3:36" s="1239" customFormat="1" ht="25.5" customHeight="1">
      <c r="C28" s="3720" t="s">
        <v>381</v>
      </c>
      <c r="D28" s="3720"/>
      <c r="E28" s="3720"/>
      <c r="F28" s="3720"/>
      <c r="G28" s="1256" t="s">
        <v>432</v>
      </c>
      <c r="H28" s="3720" t="str">
        <f>+'Input Data'!$D$5</f>
        <v>Narayanpet</v>
      </c>
      <c r="I28" s="3720"/>
      <c r="J28" s="3720"/>
      <c r="K28" s="3720"/>
      <c r="L28" s="3720"/>
      <c r="M28" s="3720"/>
      <c r="N28" s="3720"/>
      <c r="O28" s="3720"/>
      <c r="P28" s="1269"/>
      <c r="Q28" s="1257"/>
      <c r="AI28" s="1277"/>
    </row>
    <row r="29" spans="3:36" s="1239" customFormat="1" ht="25.5" customHeight="1">
      <c r="C29" s="3720" t="s">
        <v>385</v>
      </c>
      <c r="D29" s="3720"/>
      <c r="E29" s="3720"/>
      <c r="F29" s="3720"/>
      <c r="G29" s="1256" t="s">
        <v>432</v>
      </c>
      <c r="H29" s="3720" t="str">
        <f>+'Input Data'!$D$6</f>
        <v>Maddur</v>
      </c>
      <c r="I29" s="3720"/>
      <c r="J29" s="3720"/>
      <c r="K29" s="3720"/>
      <c r="L29" s="3720"/>
      <c r="M29" s="3720"/>
      <c r="N29" s="3720"/>
      <c r="O29" s="3720"/>
      <c r="P29" s="1255"/>
      <c r="Q29" s="1257"/>
      <c r="AI29" s="1277"/>
    </row>
    <row r="30" spans="3:36" s="1239" customFormat="1" ht="25.5" customHeight="1">
      <c r="C30" s="3720" t="s">
        <v>388</v>
      </c>
      <c r="D30" s="3720"/>
      <c r="E30" s="3720"/>
      <c r="F30" s="3720"/>
      <c r="G30" s="1256" t="s">
        <v>432</v>
      </c>
      <c r="H30" s="3720" t="str">
        <f>+'Input Data'!$D$7</f>
        <v>Kosgi</v>
      </c>
      <c r="I30" s="3720"/>
      <c r="J30" s="3720"/>
      <c r="K30" s="3720"/>
      <c r="L30" s="3720"/>
      <c r="M30" s="3720"/>
      <c r="N30" s="3720"/>
      <c r="O30" s="3720"/>
      <c r="P30" s="3720"/>
      <c r="Q30" s="1257"/>
      <c r="AI30" s="1277"/>
    </row>
    <row r="31" spans="3:36" s="1239" customFormat="1" ht="25.5" customHeight="1">
      <c r="C31" s="1257"/>
      <c r="D31" s="1257"/>
      <c r="E31" s="1257"/>
      <c r="F31" s="1257"/>
      <c r="G31" s="1257"/>
      <c r="H31" s="1257"/>
      <c r="I31" s="1257"/>
      <c r="J31" s="1257"/>
      <c r="K31" s="1257"/>
      <c r="L31" s="1257"/>
      <c r="M31" s="1257"/>
      <c r="N31" s="1257"/>
      <c r="O31" s="1257"/>
      <c r="P31" s="1257"/>
      <c r="Q31" s="1257"/>
      <c r="AI31" s="1277"/>
    </row>
    <row r="32" spans="3:36" s="1239" customFormat="1" ht="25.5" customHeight="1">
      <c r="C32" s="1257"/>
      <c r="D32" s="1257"/>
      <c r="E32" s="1257"/>
      <c r="F32" s="1257"/>
      <c r="G32" s="1257"/>
      <c r="H32" s="1257"/>
      <c r="I32" s="1257"/>
      <c r="J32" s="1257"/>
      <c r="K32" s="1257"/>
      <c r="L32" s="1257"/>
      <c r="M32" s="1257"/>
      <c r="N32" s="1257"/>
      <c r="O32" s="1257"/>
      <c r="P32" s="1257"/>
      <c r="Q32" s="1257"/>
      <c r="AI32" s="1277"/>
    </row>
    <row r="33" spans="8:35">
      <c r="AI33" s="1277"/>
    </row>
    <row r="34" spans="8:35">
      <c r="AI34" s="1277"/>
    </row>
    <row r="35" spans="8:35">
      <c r="AI35" s="1277"/>
    </row>
    <row r="36" spans="8:35">
      <c r="AI36" s="1277"/>
    </row>
    <row r="37" spans="8:35">
      <c r="AI37" s="1277"/>
    </row>
    <row r="38" spans="8:35">
      <c r="H38" s="1258"/>
      <c r="AI38" s="1277"/>
    </row>
    <row r="39" spans="8:35">
      <c r="AI39" s="1277"/>
    </row>
    <row r="40" spans="8:35">
      <c r="AI40" s="1277"/>
    </row>
    <row r="41" spans="8:35">
      <c r="AI41" s="1277"/>
    </row>
    <row r="42" spans="8:35">
      <c r="AI42" s="1277"/>
    </row>
    <row r="43" spans="8:35">
      <c r="AI43" s="1277"/>
    </row>
    <row r="44" spans="8:35">
      <c r="AI44" s="1277"/>
    </row>
    <row r="45" spans="8:35">
      <c r="AI45" s="1277"/>
    </row>
    <row r="46" spans="8:35">
      <c r="AI46" s="1277"/>
    </row>
    <row r="47" spans="8:35">
      <c r="AI47" s="1277"/>
    </row>
    <row r="48" spans="8:35">
      <c r="AI48" s="1277"/>
    </row>
    <row r="49" spans="35:35">
      <c r="AI49" s="1277"/>
    </row>
    <row r="50" spans="35:35">
      <c r="AI50" s="1277"/>
    </row>
    <row r="51" spans="35:35">
      <c r="AI51" s="1277"/>
    </row>
    <row r="52" spans="35:35">
      <c r="AI52" s="1277"/>
    </row>
    <row r="53" spans="35:35">
      <c r="AI53" s="1277"/>
    </row>
    <row r="54" spans="35:35">
      <c r="AI54" s="1277"/>
    </row>
    <row r="55" spans="35:35">
      <c r="AI55" s="1277"/>
    </row>
    <row r="56" spans="35:35">
      <c r="AI56" s="1277"/>
    </row>
    <row r="57" spans="35:35">
      <c r="AI57" s="1277"/>
    </row>
    <row r="58" spans="35:35">
      <c r="AI58" s="1277"/>
    </row>
    <row r="59" spans="35:35">
      <c r="AI59" s="1277"/>
    </row>
    <row r="60" spans="35:35">
      <c r="AI60" s="1277"/>
    </row>
    <row r="61" spans="35:35">
      <c r="AI61" s="1277"/>
    </row>
    <row r="62" spans="35:35">
      <c r="AI62" s="1277"/>
    </row>
    <row r="63" spans="35:35">
      <c r="AI63" s="1277"/>
    </row>
    <row r="64" spans="35:35">
      <c r="AI64" s="1277"/>
    </row>
    <row r="65" spans="35:35">
      <c r="AI65" s="1277"/>
    </row>
    <row r="66" spans="35:35">
      <c r="AI66" s="1277"/>
    </row>
    <row r="67" spans="35:35">
      <c r="AI67" s="1277"/>
    </row>
    <row r="68" spans="35:35">
      <c r="AI68" s="1277"/>
    </row>
    <row r="69" spans="35:35">
      <c r="AI69" s="1277"/>
    </row>
    <row r="70" spans="35:35">
      <c r="AI70" s="1277"/>
    </row>
    <row r="71" spans="35:35">
      <c r="AI71" s="1277"/>
    </row>
    <row r="72" spans="35:35">
      <c r="AI72" s="1277"/>
    </row>
    <row r="73" spans="35:35">
      <c r="AI73" s="1277"/>
    </row>
    <row r="74" spans="35:35">
      <c r="AI74" s="1277"/>
    </row>
    <row r="75" spans="35:35">
      <c r="AI75" s="1277"/>
    </row>
    <row r="76" spans="35:35">
      <c r="AI76" s="1277"/>
    </row>
    <row r="77" spans="35:35">
      <c r="AI77" s="1277"/>
    </row>
    <row r="78" spans="35:35">
      <c r="AI78" s="1277"/>
    </row>
    <row r="79" spans="35:35">
      <c r="AI79" s="1277"/>
    </row>
    <row r="80" spans="35:35">
      <c r="AI80" s="1277"/>
    </row>
    <row r="81" spans="35:35">
      <c r="AI81" s="1277"/>
    </row>
    <row r="82" spans="35:35">
      <c r="AI82" s="1277"/>
    </row>
    <row r="83" spans="35:35">
      <c r="AI83" s="1277"/>
    </row>
    <row r="84" spans="35:35">
      <c r="AI84" s="1277"/>
    </row>
    <row r="85" spans="35:35">
      <c r="AI85" s="1277"/>
    </row>
    <row r="86" spans="35:35">
      <c r="AI86" s="1277"/>
    </row>
    <row r="87" spans="35:35">
      <c r="AI87" s="1277"/>
    </row>
    <row r="88" spans="35:35">
      <c r="AI88" s="1277"/>
    </row>
    <row r="89" spans="35:35">
      <c r="AI89" s="1277"/>
    </row>
    <row r="90" spans="35:35">
      <c r="AI90" s="1277"/>
    </row>
    <row r="91" spans="35:35">
      <c r="AI91" s="1277"/>
    </row>
    <row r="92" spans="35:35">
      <c r="AI92" s="1277"/>
    </row>
    <row r="93" spans="35:35">
      <c r="AI93" s="1277"/>
    </row>
    <row r="94" spans="35:35">
      <c r="AI94" s="1277"/>
    </row>
    <row r="95" spans="35:35">
      <c r="AI95" s="1277"/>
    </row>
    <row r="96" spans="35:35">
      <c r="AI96" s="1277"/>
    </row>
    <row r="97" spans="35:35">
      <c r="AI97" s="1277"/>
    </row>
    <row r="98" spans="35:35">
      <c r="AI98" s="1277"/>
    </row>
    <row r="99" spans="35:35">
      <c r="AI99" s="1277"/>
    </row>
    <row r="100" spans="35:35">
      <c r="AI100" s="1277"/>
    </row>
    <row r="101" spans="35:35">
      <c r="AI101" s="1277"/>
    </row>
    <row r="102" spans="35:35">
      <c r="AI102" s="1277"/>
    </row>
    <row r="103" spans="35:35">
      <c r="AI103" s="1277"/>
    </row>
    <row r="104" spans="35:35">
      <c r="AI104" s="1277"/>
    </row>
    <row r="105" spans="35:35">
      <c r="AI105" s="1277"/>
    </row>
    <row r="106" spans="35:35">
      <c r="AI106" s="1277"/>
    </row>
    <row r="107" spans="35:35">
      <c r="AI107" s="1277"/>
    </row>
    <row r="108" spans="35:35">
      <c r="AI108" s="1277"/>
    </row>
    <row r="109" spans="35:35">
      <c r="AI109" s="1277"/>
    </row>
    <row r="110" spans="35:35">
      <c r="AI110" s="1277"/>
    </row>
    <row r="111" spans="35:35">
      <c r="AI111" s="1277"/>
    </row>
    <row r="112" spans="35:35">
      <c r="AI112" s="1277"/>
    </row>
    <row r="113" spans="35:35">
      <c r="AI113" s="1277"/>
    </row>
    <row r="114" spans="35:35">
      <c r="AI114" s="1277"/>
    </row>
    <row r="115" spans="35:35">
      <c r="AI115" s="1277"/>
    </row>
    <row r="116" spans="35:35">
      <c r="AI116" s="1277"/>
    </row>
    <row r="117" spans="35:35">
      <c r="AI117" s="1277"/>
    </row>
    <row r="118" spans="35:35">
      <c r="AI118" s="1277"/>
    </row>
    <row r="119" spans="35:35">
      <c r="AI119" s="1277"/>
    </row>
    <row r="120" spans="35:35">
      <c r="AI120" s="1277"/>
    </row>
    <row r="121" spans="35:35">
      <c r="AI121" s="1277"/>
    </row>
    <row r="122" spans="35:35">
      <c r="AI122" s="1277"/>
    </row>
    <row r="123" spans="35:35">
      <c r="AI123" s="1277"/>
    </row>
    <row r="124" spans="35:35">
      <c r="AI124" s="1277"/>
    </row>
    <row r="125" spans="35:35">
      <c r="AI125" s="1277"/>
    </row>
    <row r="126" spans="35:35">
      <c r="AI126" s="1277"/>
    </row>
    <row r="127" spans="35:35">
      <c r="AI127" s="1277"/>
    </row>
    <row r="128" spans="35:35">
      <c r="AI128" s="1277"/>
    </row>
    <row r="129" spans="35:35">
      <c r="AI129" s="1277"/>
    </row>
    <row r="130" spans="35:35">
      <c r="AI130" s="1277"/>
    </row>
    <row r="131" spans="35:35">
      <c r="AI131" s="1277"/>
    </row>
    <row r="132" spans="35:35">
      <c r="AI132" s="1277"/>
    </row>
    <row r="133" spans="35:35">
      <c r="AI133" s="1277"/>
    </row>
    <row r="134" spans="35:35">
      <c r="AI134" s="1277"/>
    </row>
    <row r="135" spans="35:35">
      <c r="AI135" s="1277"/>
    </row>
    <row r="136" spans="35:35">
      <c r="AI136" s="1277"/>
    </row>
    <row r="137" spans="35:35">
      <c r="AI137" s="1277"/>
    </row>
    <row r="138" spans="35:35">
      <c r="AI138" s="1277"/>
    </row>
    <row r="139" spans="35:35">
      <c r="AI139" s="1277"/>
    </row>
    <row r="140" spans="35:35">
      <c r="AI140" s="1277"/>
    </row>
    <row r="141" spans="35:35">
      <c r="AI141" s="1277"/>
    </row>
    <row r="142" spans="35:35">
      <c r="AI142" s="1277"/>
    </row>
    <row r="143" spans="35:35">
      <c r="AI143" s="1277"/>
    </row>
    <row r="144" spans="35:35">
      <c r="AI144" s="1277"/>
    </row>
    <row r="145" spans="35:35">
      <c r="AI145" s="1277"/>
    </row>
    <row r="146" spans="35:35">
      <c r="AI146" s="1277"/>
    </row>
    <row r="147" spans="35:35">
      <c r="AI147" s="1277"/>
    </row>
    <row r="148" spans="35:35">
      <c r="AI148" s="1277"/>
    </row>
    <row r="149" spans="35:35">
      <c r="AI149" s="1277"/>
    </row>
    <row r="150" spans="35:35">
      <c r="AI150" s="1277"/>
    </row>
    <row r="151" spans="35:35">
      <c r="AI151" s="1277"/>
    </row>
    <row r="152" spans="35:35">
      <c r="AI152" s="1277"/>
    </row>
    <row r="153" spans="35:35">
      <c r="AI153" s="1277"/>
    </row>
    <row r="154" spans="35:35">
      <c r="AI154" s="1277"/>
    </row>
    <row r="155" spans="35:35">
      <c r="AI155" s="1277"/>
    </row>
    <row r="156" spans="35:35">
      <c r="AI156" s="1277"/>
    </row>
    <row r="157" spans="35:35">
      <c r="AI157" s="1277"/>
    </row>
    <row r="158" spans="35:35">
      <c r="AI158" s="1277"/>
    </row>
    <row r="159" spans="35:35">
      <c r="AI159" s="1277"/>
    </row>
    <row r="160" spans="35:35">
      <c r="AI160" s="1277"/>
    </row>
    <row r="161" spans="35:35">
      <c r="AI161" s="1277"/>
    </row>
    <row r="162" spans="35:35">
      <c r="AI162" s="1277"/>
    </row>
    <row r="163" spans="35:35">
      <c r="AI163" s="1277"/>
    </row>
    <row r="164" spans="35:35">
      <c r="AI164" s="1277"/>
    </row>
    <row r="165" spans="35:35">
      <c r="AI165" s="1277"/>
    </row>
    <row r="166" spans="35:35">
      <c r="AI166" s="1277"/>
    </row>
    <row r="167" spans="35:35">
      <c r="AI167" s="1277"/>
    </row>
    <row r="168" spans="35:35">
      <c r="AI168" s="1277"/>
    </row>
    <row r="169" spans="35:35">
      <c r="AI169" s="1277"/>
    </row>
    <row r="170" spans="35:35">
      <c r="AI170" s="1277"/>
    </row>
    <row r="171" spans="35:35">
      <c r="AI171" s="1277"/>
    </row>
    <row r="172" spans="35:35">
      <c r="AI172" s="1277"/>
    </row>
    <row r="173" spans="35:35">
      <c r="AI173" s="1277"/>
    </row>
    <row r="174" spans="35:35">
      <c r="AI174" s="1277"/>
    </row>
    <row r="175" spans="35:35">
      <c r="AI175" s="1277"/>
    </row>
    <row r="176" spans="35:35">
      <c r="AI176" s="1277"/>
    </row>
    <row r="177" spans="35:35">
      <c r="AI177" s="1277"/>
    </row>
    <row r="178" spans="35:35">
      <c r="AI178" s="1277"/>
    </row>
    <row r="179" spans="35:35">
      <c r="AI179" s="1277"/>
    </row>
    <row r="180" spans="35:35">
      <c r="AI180" s="1277"/>
    </row>
    <row r="181" spans="35:35">
      <c r="AI181" s="1277"/>
    </row>
    <row r="182" spans="35:35">
      <c r="AI182" s="1277"/>
    </row>
    <row r="183" spans="35:35">
      <c r="AI183" s="1277"/>
    </row>
    <row r="184" spans="35:35">
      <c r="AI184" s="1277"/>
    </row>
    <row r="185" spans="35:35">
      <c r="AI185" s="1277"/>
    </row>
    <row r="186" spans="35:35">
      <c r="AI186" s="1277"/>
    </row>
    <row r="187" spans="35:35">
      <c r="AI187" s="1277"/>
    </row>
    <row r="188" spans="35:35">
      <c r="AI188" s="1277"/>
    </row>
    <row r="189" spans="35:35">
      <c r="AI189" s="1277"/>
    </row>
    <row r="190" spans="35:35">
      <c r="AI190" s="1277"/>
    </row>
    <row r="191" spans="35:35">
      <c r="AI191" s="1277"/>
    </row>
    <row r="192" spans="35:35">
      <c r="AI192" s="1277"/>
    </row>
    <row r="193" spans="35:35">
      <c r="AI193" s="1277"/>
    </row>
    <row r="194" spans="35:35">
      <c r="AI194" s="1277"/>
    </row>
    <row r="195" spans="35:35">
      <c r="AI195" s="1277"/>
    </row>
    <row r="196" spans="35:35">
      <c r="AI196" s="1277"/>
    </row>
    <row r="197" spans="35:35">
      <c r="AI197" s="1277"/>
    </row>
    <row r="198" spans="35:35">
      <c r="AI198" s="1277"/>
    </row>
    <row r="199" spans="35:35">
      <c r="AI199" s="1277"/>
    </row>
    <row r="200" spans="35:35">
      <c r="AI200" s="1277"/>
    </row>
    <row r="201" spans="35:35">
      <c r="AI201" s="1277"/>
    </row>
    <row r="202" spans="35:35">
      <c r="AI202" s="1277"/>
    </row>
    <row r="203" spans="35:35">
      <c r="AI203" s="1277"/>
    </row>
    <row r="204" spans="35:35">
      <c r="AI204" s="1277"/>
    </row>
    <row r="205" spans="35:35">
      <c r="AI205" s="1277"/>
    </row>
    <row r="206" spans="35:35">
      <c r="AI206" s="1277"/>
    </row>
    <row r="207" spans="35:35">
      <c r="AI207" s="1277"/>
    </row>
    <row r="208" spans="35:35">
      <c r="AI208" s="1277"/>
    </row>
    <row r="209" spans="35:35">
      <c r="AI209" s="1277"/>
    </row>
    <row r="210" spans="35:35">
      <c r="AI210" s="1277"/>
    </row>
    <row r="211" spans="35:35">
      <c r="AI211" s="1277"/>
    </row>
    <row r="212" spans="35:35">
      <c r="AI212" s="1277"/>
    </row>
    <row r="213" spans="35:35">
      <c r="AI213" s="1277"/>
    </row>
    <row r="214" spans="35:35">
      <c r="AI214" s="1277"/>
    </row>
    <row r="215" spans="35:35">
      <c r="AI215" s="1277"/>
    </row>
    <row r="216" spans="35:35">
      <c r="AI216" s="1277"/>
    </row>
    <row r="217" spans="35:35">
      <c r="AI217" s="1277"/>
    </row>
    <row r="218" spans="35:35">
      <c r="AI218" s="1277"/>
    </row>
    <row r="219" spans="35:35">
      <c r="AI219" s="1277"/>
    </row>
    <row r="220" spans="35:35">
      <c r="AI220" s="1277"/>
    </row>
    <row r="221" spans="35:35">
      <c r="AI221" s="1277"/>
    </row>
    <row r="222" spans="35:35">
      <c r="AI222" s="1277"/>
    </row>
    <row r="223" spans="35:35">
      <c r="AI223" s="1277"/>
    </row>
    <row r="224" spans="35:35">
      <c r="AI224" s="1277"/>
    </row>
    <row r="225" spans="35:35">
      <c r="AI225" s="1277"/>
    </row>
    <row r="226" spans="35:35">
      <c r="AI226" s="1277"/>
    </row>
    <row r="227" spans="35:35">
      <c r="AI227" s="1277"/>
    </row>
    <row r="228" spans="35:35">
      <c r="AI228" s="1277"/>
    </row>
    <row r="229" spans="35:35">
      <c r="AI229" s="1277"/>
    </row>
    <row r="230" spans="35:35">
      <c r="AI230" s="1277"/>
    </row>
    <row r="231" spans="35:35">
      <c r="AI231" s="1277"/>
    </row>
    <row r="232" spans="35:35">
      <c r="AI232" s="1277"/>
    </row>
    <row r="233" spans="35:35">
      <c r="AI233" s="1277"/>
    </row>
    <row r="234" spans="35:35">
      <c r="AI234" s="1277"/>
    </row>
    <row r="235" spans="35:35">
      <c r="AI235" s="1277"/>
    </row>
    <row r="236" spans="35:35">
      <c r="AI236" s="1277"/>
    </row>
    <row r="237" spans="35:35">
      <c r="AI237" s="1277"/>
    </row>
    <row r="238" spans="35:35">
      <c r="AI238" s="1277"/>
    </row>
    <row r="239" spans="35:35">
      <c r="AI239" s="1277"/>
    </row>
    <row r="240" spans="35:35">
      <c r="AI240" s="1277"/>
    </row>
    <row r="241" spans="35:35">
      <c r="AI241" s="1277"/>
    </row>
    <row r="242" spans="35:35">
      <c r="AI242" s="1277"/>
    </row>
    <row r="243" spans="35:35">
      <c r="AI243" s="1277"/>
    </row>
    <row r="244" spans="35:35">
      <c r="AI244" s="1277"/>
    </row>
    <row r="245" spans="35:35">
      <c r="AI245" s="1277"/>
    </row>
    <row r="246" spans="35:35">
      <c r="AI246" s="1277"/>
    </row>
    <row r="247" spans="35:35">
      <c r="AI247" s="1277"/>
    </row>
    <row r="248" spans="35:35">
      <c r="AI248" s="1277"/>
    </row>
    <row r="249" spans="35:35">
      <c r="AI249" s="1277"/>
    </row>
    <row r="250" spans="35:35">
      <c r="AI250" s="1277"/>
    </row>
    <row r="251" spans="35:35">
      <c r="AI251" s="1277"/>
    </row>
    <row r="252" spans="35:35">
      <c r="AI252" s="1277"/>
    </row>
    <row r="253" spans="35:35">
      <c r="AI253" s="1277"/>
    </row>
    <row r="254" spans="35:35">
      <c r="AI254" s="1277"/>
    </row>
    <row r="255" spans="35:35">
      <c r="AI255" s="1277"/>
    </row>
    <row r="256" spans="35:35">
      <c r="AI256" s="1277"/>
    </row>
    <row r="257" spans="35:35">
      <c r="AI257" s="1277"/>
    </row>
    <row r="258" spans="35:35">
      <c r="AI258" s="1277"/>
    </row>
    <row r="259" spans="35:35">
      <c r="AI259" s="1277"/>
    </row>
    <row r="260" spans="35:35">
      <c r="AI260" s="1277"/>
    </row>
    <row r="261" spans="35:35">
      <c r="AI261" s="1277"/>
    </row>
    <row r="262" spans="35:35">
      <c r="AI262" s="1277"/>
    </row>
    <row r="263" spans="35:35">
      <c r="AI263" s="1277"/>
    </row>
    <row r="264" spans="35:35">
      <c r="AI264" s="1277"/>
    </row>
    <row r="265" spans="35:35">
      <c r="AI265" s="1277"/>
    </row>
    <row r="266" spans="35:35">
      <c r="AI266" s="1277"/>
    </row>
    <row r="267" spans="35:35">
      <c r="AI267" s="1277"/>
    </row>
    <row r="268" spans="35:35">
      <c r="AI268" s="1277"/>
    </row>
    <row r="269" spans="35:35">
      <c r="AI269" s="1277"/>
    </row>
    <row r="270" spans="35:35">
      <c r="AI270" s="1277"/>
    </row>
    <row r="271" spans="35:35">
      <c r="AI271" s="1277"/>
    </row>
    <row r="272" spans="35:35">
      <c r="AI272" s="1277"/>
    </row>
    <row r="273" spans="35:35">
      <c r="AI273" s="1277"/>
    </row>
    <row r="274" spans="35:35">
      <c r="AI274" s="1277"/>
    </row>
    <row r="275" spans="35:35">
      <c r="AI275" s="1277"/>
    </row>
    <row r="276" spans="35:35">
      <c r="AI276" s="1277"/>
    </row>
    <row r="277" spans="35:35">
      <c r="AI277" s="1277"/>
    </row>
    <row r="278" spans="35:35">
      <c r="AI278" s="1277"/>
    </row>
    <row r="279" spans="35:35">
      <c r="AI279" s="1277"/>
    </row>
    <row r="280" spans="35:35">
      <c r="AI280" s="1277"/>
    </row>
    <row r="281" spans="35:35">
      <c r="AI281" s="1277"/>
    </row>
    <row r="282" spans="35:35">
      <c r="AI282" s="1277"/>
    </row>
    <row r="283" spans="35:35">
      <c r="AI283" s="1277"/>
    </row>
    <row r="284" spans="35:35">
      <c r="AI284" s="1277"/>
    </row>
    <row r="285" spans="35:35">
      <c r="AI285" s="1277"/>
    </row>
    <row r="286" spans="35:35">
      <c r="AI286" s="1277"/>
    </row>
    <row r="287" spans="35:35">
      <c r="AI287" s="1277"/>
    </row>
    <row r="288" spans="35:35">
      <c r="AI288" s="1277"/>
    </row>
    <row r="289" spans="35:35">
      <c r="AI289" s="1277"/>
    </row>
    <row r="290" spans="35:35">
      <c r="AI290" s="1277"/>
    </row>
    <row r="291" spans="35:35">
      <c r="AI291" s="1277"/>
    </row>
    <row r="292" spans="35:35">
      <c r="AI292" s="1277"/>
    </row>
    <row r="293" spans="35:35">
      <c r="AI293" s="1277"/>
    </row>
    <row r="294" spans="35:35">
      <c r="AI294" s="1277"/>
    </row>
    <row r="295" spans="35:35">
      <c r="AI295" s="1277"/>
    </row>
    <row r="296" spans="35:35">
      <c r="AI296" s="1277"/>
    </row>
    <row r="297" spans="35:35">
      <c r="AI297" s="1277"/>
    </row>
    <row r="298" spans="35:35">
      <c r="AI298" s="1277"/>
    </row>
    <row r="299" spans="35:35">
      <c r="AI299" s="1277"/>
    </row>
    <row r="300" spans="35:35">
      <c r="AI300" s="1277"/>
    </row>
    <row r="301" spans="35:35">
      <c r="AI301" s="1277"/>
    </row>
    <row r="302" spans="35:35">
      <c r="AI302" s="1277"/>
    </row>
    <row r="303" spans="35:35">
      <c r="AI303" s="1277"/>
    </row>
    <row r="304" spans="35:35">
      <c r="AI304" s="1277"/>
    </row>
    <row r="305" spans="35:35">
      <c r="AI305" s="1277"/>
    </row>
    <row r="306" spans="35:35">
      <c r="AI306" s="1277"/>
    </row>
    <row r="307" spans="35:35">
      <c r="AI307" s="1277"/>
    </row>
    <row r="308" spans="35:35">
      <c r="AI308" s="1277"/>
    </row>
    <row r="309" spans="35:35">
      <c r="AI309" s="1277"/>
    </row>
    <row r="310" spans="35:35">
      <c r="AI310" s="1277"/>
    </row>
    <row r="311" spans="35:35">
      <c r="AI311" s="1277"/>
    </row>
    <row r="312" spans="35:35">
      <c r="AI312" s="1277"/>
    </row>
    <row r="313" spans="35:35">
      <c r="AI313" s="1277"/>
    </row>
    <row r="314" spans="35:35">
      <c r="AI314" s="1277"/>
    </row>
    <row r="315" spans="35:35">
      <c r="AI315" s="1277"/>
    </row>
    <row r="316" spans="35:35">
      <c r="AI316" s="1277"/>
    </row>
    <row r="317" spans="35:35">
      <c r="AI317" s="1277"/>
    </row>
    <row r="318" spans="35:35">
      <c r="AI318" s="1277"/>
    </row>
    <row r="319" spans="35:35">
      <c r="AI319" s="1277"/>
    </row>
    <row r="320" spans="35:35">
      <c r="AI320" s="1277"/>
    </row>
    <row r="321" spans="35:35">
      <c r="AI321" s="1277"/>
    </row>
    <row r="322" spans="35:35">
      <c r="AI322" s="1277"/>
    </row>
    <row r="323" spans="35:35">
      <c r="AI323" s="1277"/>
    </row>
    <row r="324" spans="35:35">
      <c r="AI324" s="1277"/>
    </row>
    <row r="325" spans="35:35">
      <c r="AI325" s="1277"/>
    </row>
    <row r="326" spans="35:35">
      <c r="AI326" s="1277"/>
    </row>
    <row r="327" spans="35:35">
      <c r="AI327" s="1277"/>
    </row>
    <row r="328" spans="35:35">
      <c r="AI328" s="1277"/>
    </row>
    <row r="329" spans="35:35">
      <c r="AI329" s="1277"/>
    </row>
    <row r="330" spans="35:35">
      <c r="AI330" s="1277"/>
    </row>
    <row r="331" spans="35:35">
      <c r="AI331" s="1277"/>
    </row>
    <row r="332" spans="35:35">
      <c r="AI332" s="1277"/>
    </row>
    <row r="333" spans="35:35">
      <c r="AI333" s="1277"/>
    </row>
    <row r="334" spans="35:35">
      <c r="AI334" s="1277"/>
    </row>
    <row r="335" spans="35:35">
      <c r="AI335" s="1277"/>
    </row>
    <row r="336" spans="35:35">
      <c r="AI336" s="1277"/>
    </row>
    <row r="337" spans="35:35">
      <c r="AI337" s="1277"/>
    </row>
    <row r="338" spans="35:35">
      <c r="AI338" s="1277"/>
    </row>
    <row r="339" spans="35:35">
      <c r="AI339" s="1277"/>
    </row>
    <row r="340" spans="35:35">
      <c r="AI340" s="1277"/>
    </row>
    <row r="341" spans="35:35">
      <c r="AI341" s="1277"/>
    </row>
    <row r="342" spans="35:35">
      <c r="AI342" s="1277"/>
    </row>
    <row r="343" spans="35:35">
      <c r="AI343" s="1277"/>
    </row>
    <row r="344" spans="35:35">
      <c r="AI344" s="1277"/>
    </row>
    <row r="345" spans="35:35">
      <c r="AI345" s="1277"/>
    </row>
    <row r="346" spans="35:35">
      <c r="AI346" s="1277"/>
    </row>
    <row r="347" spans="35:35">
      <c r="AI347" s="1277"/>
    </row>
    <row r="348" spans="35:35">
      <c r="AI348" s="1277"/>
    </row>
    <row r="349" spans="35:35">
      <c r="AI349" s="1277"/>
    </row>
    <row r="350" spans="35:35">
      <c r="AI350" s="1277"/>
    </row>
    <row r="351" spans="35:35">
      <c r="AI351" s="1277"/>
    </row>
    <row r="352" spans="35:35">
      <c r="AI352" s="1277"/>
    </row>
    <row r="353" spans="35:35">
      <c r="AI353" s="1277"/>
    </row>
    <row r="354" spans="35:35">
      <c r="AI354" s="1277"/>
    </row>
    <row r="355" spans="35:35">
      <c r="AI355" s="1277"/>
    </row>
    <row r="356" spans="35:35">
      <c r="AI356" s="1277"/>
    </row>
    <row r="357" spans="35:35">
      <c r="AI357" s="1277"/>
    </row>
    <row r="358" spans="35:35">
      <c r="AI358" s="1277"/>
    </row>
    <row r="359" spans="35:35">
      <c r="AI359" s="1277"/>
    </row>
    <row r="360" spans="35:35">
      <c r="AI360" s="1277"/>
    </row>
    <row r="361" spans="35:35">
      <c r="AI361" s="1277"/>
    </row>
    <row r="362" spans="35:35">
      <c r="AI362" s="1277"/>
    </row>
    <row r="363" spans="35:35">
      <c r="AI363" s="1277"/>
    </row>
    <row r="364" spans="35:35">
      <c r="AI364" s="1277"/>
    </row>
    <row r="365" spans="35:35">
      <c r="AI365" s="1277"/>
    </row>
    <row r="366" spans="35:35">
      <c r="AI366" s="1277"/>
    </row>
    <row r="367" spans="35:35">
      <c r="AI367" s="1277"/>
    </row>
    <row r="368" spans="35:35">
      <c r="AI368" s="1277"/>
    </row>
    <row r="369" spans="35:35">
      <c r="AI369" s="1277"/>
    </row>
    <row r="370" spans="35:35">
      <c r="AI370" s="1277"/>
    </row>
    <row r="371" spans="35:35">
      <c r="AI371" s="1277"/>
    </row>
    <row r="372" spans="35:35">
      <c r="AI372" s="1277"/>
    </row>
    <row r="373" spans="35:35">
      <c r="AI373" s="1277"/>
    </row>
    <row r="374" spans="35:35">
      <c r="AI374" s="1277"/>
    </row>
    <row r="375" spans="35:35">
      <c r="AI375" s="1277"/>
    </row>
    <row r="376" spans="35:35">
      <c r="AI376" s="1277"/>
    </row>
    <row r="377" spans="35:35">
      <c r="AI377" s="1277"/>
    </row>
    <row r="378" spans="35:35">
      <c r="AI378" s="1277"/>
    </row>
    <row r="379" spans="35:35">
      <c r="AI379" s="1277"/>
    </row>
    <row r="380" spans="35:35">
      <c r="AI380" s="1277"/>
    </row>
    <row r="381" spans="35:35">
      <c r="AI381" s="1277"/>
    </row>
    <row r="382" spans="35:35">
      <c r="AI382" s="1277"/>
    </row>
    <row r="383" spans="35:35">
      <c r="AI383" s="1277"/>
    </row>
    <row r="384" spans="35:35">
      <c r="AI384" s="1277"/>
    </row>
    <row r="385" spans="35:35">
      <c r="AI385" s="1277"/>
    </row>
    <row r="386" spans="35:35">
      <c r="AI386" s="1277"/>
    </row>
    <row r="387" spans="35:35">
      <c r="AI387" s="1277"/>
    </row>
    <row r="388" spans="35:35">
      <c r="AI388" s="1277"/>
    </row>
    <row r="389" spans="35:35">
      <c r="AI389" s="1277"/>
    </row>
    <row r="390" spans="35:35">
      <c r="AI390" s="1277"/>
    </row>
    <row r="391" spans="35:35">
      <c r="AI391" s="1277"/>
    </row>
    <row r="392" spans="35:35">
      <c r="AI392" s="1277"/>
    </row>
    <row r="393" spans="35:35">
      <c r="AI393" s="1277"/>
    </row>
    <row r="394" spans="35:35">
      <c r="AI394" s="1277"/>
    </row>
    <row r="395" spans="35:35">
      <c r="AI395" s="1277"/>
    </row>
    <row r="396" spans="35:35">
      <c r="AI396" s="1277"/>
    </row>
    <row r="397" spans="35:35">
      <c r="AI397" s="1277"/>
    </row>
    <row r="398" spans="35:35">
      <c r="AI398" s="1277"/>
    </row>
    <row r="399" spans="35:35">
      <c r="AI399" s="1277"/>
    </row>
    <row r="400" spans="35:35">
      <c r="AI400" s="1277"/>
    </row>
    <row r="401" spans="35:35">
      <c r="AI401" s="1277"/>
    </row>
    <row r="402" spans="35:35">
      <c r="AI402" s="1277"/>
    </row>
    <row r="403" spans="35:35">
      <c r="AI403" s="1277"/>
    </row>
    <row r="404" spans="35:35">
      <c r="AI404" s="1277"/>
    </row>
    <row r="405" spans="35:35">
      <c r="AI405" s="1277"/>
    </row>
    <row r="406" spans="35:35">
      <c r="AI406" s="1277"/>
    </row>
    <row r="407" spans="35:35">
      <c r="AI407" s="1277"/>
    </row>
    <row r="408" spans="35:35">
      <c r="AI408" s="1277"/>
    </row>
    <row r="409" spans="35:35">
      <c r="AI409" s="1277"/>
    </row>
    <row r="410" spans="35:35">
      <c r="AI410" s="1277"/>
    </row>
    <row r="411" spans="35:35">
      <c r="AI411" s="1277"/>
    </row>
    <row r="412" spans="35:35">
      <c r="AI412" s="1277"/>
    </row>
    <row r="413" spans="35:35">
      <c r="AI413" s="1277"/>
    </row>
    <row r="414" spans="35:35">
      <c r="AI414" s="1277"/>
    </row>
    <row r="415" spans="35:35">
      <c r="AI415" s="1277"/>
    </row>
    <row r="416" spans="35:35">
      <c r="AI416" s="1277"/>
    </row>
    <row r="417" spans="35:35">
      <c r="AI417" s="1277"/>
    </row>
    <row r="418" spans="35:35">
      <c r="AI418" s="1277"/>
    </row>
    <row r="419" spans="35:35">
      <c r="AI419" s="1277"/>
    </row>
    <row r="420" spans="35:35">
      <c r="AI420" s="1277"/>
    </row>
    <row r="421" spans="35:35">
      <c r="AI421" s="1277"/>
    </row>
    <row r="422" spans="35:35">
      <c r="AI422" s="1277"/>
    </row>
    <row r="423" spans="35:35">
      <c r="AI423" s="1277"/>
    </row>
    <row r="424" spans="35:35">
      <c r="AI424" s="1277"/>
    </row>
    <row r="425" spans="35:35">
      <c r="AI425" s="1277"/>
    </row>
    <row r="426" spans="35:35">
      <c r="AI426" s="1277"/>
    </row>
    <row r="427" spans="35:35">
      <c r="AI427" s="1277"/>
    </row>
    <row r="428" spans="35:35">
      <c r="AI428" s="1277"/>
    </row>
    <row r="429" spans="35:35">
      <c r="AI429" s="1277"/>
    </row>
    <row r="430" spans="35:35">
      <c r="AI430" s="1277"/>
    </row>
    <row r="431" spans="35:35">
      <c r="AI431" s="1277"/>
    </row>
    <row r="432" spans="35:35">
      <c r="AI432" s="1277"/>
    </row>
    <row r="433" spans="35:35">
      <c r="AI433" s="1277"/>
    </row>
    <row r="434" spans="35:35">
      <c r="AI434" s="1277"/>
    </row>
    <row r="435" spans="35:35">
      <c r="AI435" s="1277"/>
    </row>
    <row r="436" spans="35:35">
      <c r="AI436" s="1277"/>
    </row>
    <row r="437" spans="35:35">
      <c r="AI437" s="1277"/>
    </row>
    <row r="438" spans="35:35">
      <c r="AI438" s="1277"/>
    </row>
    <row r="439" spans="35:35">
      <c r="AI439" s="1277"/>
    </row>
    <row r="440" spans="35:35">
      <c r="AI440" s="1277"/>
    </row>
    <row r="441" spans="35:35">
      <c r="AI441" s="1277"/>
    </row>
    <row r="442" spans="35:35">
      <c r="AI442" s="1277"/>
    </row>
    <row r="443" spans="35:35">
      <c r="AI443" s="1277"/>
    </row>
    <row r="444" spans="35:35">
      <c r="AI444" s="1277"/>
    </row>
    <row r="445" spans="35:35">
      <c r="AI445" s="1277"/>
    </row>
    <row r="446" spans="35:35">
      <c r="AI446" s="1277"/>
    </row>
    <row r="447" spans="35:35">
      <c r="AI447" s="1277"/>
    </row>
    <row r="448" spans="35:35">
      <c r="AI448" s="1277"/>
    </row>
    <row r="449" spans="35:35">
      <c r="AI449" s="1277"/>
    </row>
    <row r="450" spans="35:35">
      <c r="AI450" s="1277"/>
    </row>
    <row r="451" spans="35:35">
      <c r="AI451" s="1277"/>
    </row>
    <row r="452" spans="35:35">
      <c r="AI452" s="1277"/>
    </row>
    <row r="453" spans="35:35">
      <c r="AI453" s="1277"/>
    </row>
    <row r="454" spans="35:35">
      <c r="AI454" s="1277"/>
    </row>
    <row r="455" spans="35:35">
      <c r="AI455" s="1277"/>
    </row>
    <row r="456" spans="35:35">
      <c r="AI456" s="1277"/>
    </row>
    <row r="457" spans="35:35">
      <c r="AI457" s="1277"/>
    </row>
    <row r="458" spans="35:35">
      <c r="AI458" s="1277"/>
    </row>
    <row r="459" spans="35:35">
      <c r="AI459" s="1277"/>
    </row>
    <row r="460" spans="35:35">
      <c r="AI460" s="1277"/>
    </row>
    <row r="461" spans="35:35">
      <c r="AI461" s="1277"/>
    </row>
    <row r="462" spans="35:35">
      <c r="AI462" s="1277"/>
    </row>
    <row r="463" spans="35:35">
      <c r="AI463" s="1277"/>
    </row>
    <row r="464" spans="35:35">
      <c r="AI464" s="1277"/>
    </row>
    <row r="465" spans="35:35">
      <c r="AI465" s="1277"/>
    </row>
    <row r="466" spans="35:35">
      <c r="AI466" s="1277"/>
    </row>
    <row r="467" spans="35:35">
      <c r="AI467" s="1277"/>
    </row>
    <row r="468" spans="35:35">
      <c r="AI468" s="1277"/>
    </row>
    <row r="469" spans="35:35">
      <c r="AI469" s="1277"/>
    </row>
    <row r="470" spans="35:35">
      <c r="AI470" s="1277"/>
    </row>
    <row r="471" spans="35:35">
      <c r="AI471" s="1277"/>
    </row>
    <row r="472" spans="35:35">
      <c r="AI472" s="1277"/>
    </row>
    <row r="473" spans="35:35">
      <c r="AI473" s="1277"/>
    </row>
    <row r="474" spans="35:35">
      <c r="AI474" s="1277"/>
    </row>
    <row r="475" spans="35:35">
      <c r="AI475" s="1277"/>
    </row>
    <row r="476" spans="35:35">
      <c r="AI476" s="1277"/>
    </row>
    <row r="477" spans="35:35">
      <c r="AI477" s="1277"/>
    </row>
    <row r="478" spans="35:35">
      <c r="AI478" s="1277"/>
    </row>
    <row r="479" spans="35:35">
      <c r="AI479" s="1277"/>
    </row>
    <row r="480" spans="35:35">
      <c r="AI480" s="1277"/>
    </row>
    <row r="481" spans="35:35">
      <c r="AI481" s="1277"/>
    </row>
    <row r="482" spans="35:35">
      <c r="AI482" s="1277"/>
    </row>
    <row r="483" spans="35:35">
      <c r="AI483" s="1277"/>
    </row>
    <row r="484" spans="35:35">
      <c r="AI484" s="1277"/>
    </row>
    <row r="485" spans="35:35">
      <c r="AI485" s="1277"/>
    </row>
    <row r="486" spans="35:35">
      <c r="AI486" s="1277"/>
    </row>
    <row r="487" spans="35:35">
      <c r="AI487" s="1277"/>
    </row>
    <row r="488" spans="35:35">
      <c r="AI488" s="1277"/>
    </row>
    <row r="489" spans="35:35">
      <c r="AI489" s="1277"/>
    </row>
    <row r="490" spans="35:35">
      <c r="AI490" s="1277"/>
    </row>
    <row r="491" spans="35:35">
      <c r="AI491" s="1277"/>
    </row>
    <row r="492" spans="35:35">
      <c r="AI492" s="1277"/>
    </row>
    <row r="493" spans="35:35">
      <c r="AI493" s="1277"/>
    </row>
    <row r="494" spans="35:35">
      <c r="AI494" s="1277"/>
    </row>
    <row r="495" spans="35:35">
      <c r="AI495" s="1277"/>
    </row>
    <row r="496" spans="35:35">
      <c r="AI496" s="1277"/>
    </row>
    <row r="497" spans="35:35">
      <c r="AI497" s="1277"/>
    </row>
    <row r="498" spans="35:35">
      <c r="AI498" s="1277"/>
    </row>
    <row r="499" spans="35:35">
      <c r="AI499" s="1277"/>
    </row>
    <row r="500" spans="35:35">
      <c r="AI500" s="1277"/>
    </row>
    <row r="501" spans="35:35">
      <c r="AI501" s="1277"/>
    </row>
    <row r="502" spans="35:35">
      <c r="AI502" s="1277"/>
    </row>
    <row r="503" spans="35:35">
      <c r="AI503" s="1277"/>
    </row>
    <row r="504" spans="35:35">
      <c r="AI504" s="1277"/>
    </row>
    <row r="505" spans="35:35">
      <c r="AI505" s="1277"/>
    </row>
    <row r="506" spans="35:35">
      <c r="AI506" s="1277"/>
    </row>
    <row r="507" spans="35:35">
      <c r="AI507" s="1277"/>
    </row>
    <row r="508" spans="35:35">
      <c r="AI508" s="1277"/>
    </row>
    <row r="509" spans="35:35">
      <c r="AI509" s="1277"/>
    </row>
    <row r="510" spans="35:35">
      <c r="AI510" s="1277"/>
    </row>
    <row r="511" spans="35:35">
      <c r="AI511" s="1277"/>
    </row>
    <row r="512" spans="35:35">
      <c r="AI512" s="1277"/>
    </row>
    <row r="513" spans="35:35">
      <c r="AI513" s="1277"/>
    </row>
    <row r="514" spans="35:35">
      <c r="AI514" s="1277"/>
    </row>
    <row r="515" spans="35:35">
      <c r="AI515" s="1277"/>
    </row>
    <row r="516" spans="35:35">
      <c r="AI516" s="1277"/>
    </row>
    <row r="517" spans="35:35">
      <c r="AI517" s="1277"/>
    </row>
    <row r="518" spans="35:35">
      <c r="AI518" s="1277"/>
    </row>
    <row r="519" spans="35:35">
      <c r="AI519" s="1277"/>
    </row>
    <row r="520" spans="35:35">
      <c r="AI520" s="1277"/>
    </row>
    <row r="521" spans="35:35">
      <c r="AI521" s="1277"/>
    </row>
    <row r="522" spans="35:35">
      <c r="AI522" s="1277"/>
    </row>
    <row r="523" spans="35:35">
      <c r="AI523" s="1277"/>
    </row>
    <row r="524" spans="35:35">
      <c r="AI524" s="1277"/>
    </row>
    <row r="525" spans="35:35">
      <c r="AI525" s="1277"/>
    </row>
    <row r="526" spans="35:35">
      <c r="AI526" s="1277"/>
    </row>
    <row r="527" spans="35:35">
      <c r="AI527" s="1277"/>
    </row>
    <row r="528" spans="35:35">
      <c r="AI528" s="1277"/>
    </row>
    <row r="529" spans="35:35">
      <c r="AI529" s="1277"/>
    </row>
    <row r="530" spans="35:35">
      <c r="AI530" s="1277"/>
    </row>
    <row r="531" spans="35:35">
      <c r="AI531" s="1277"/>
    </row>
    <row r="532" spans="35:35">
      <c r="AI532" s="1277"/>
    </row>
    <row r="533" spans="35:35">
      <c r="AI533" s="1277"/>
    </row>
    <row r="534" spans="35:35">
      <c r="AI534" s="1277"/>
    </row>
    <row r="535" spans="35:35">
      <c r="AI535" s="1277"/>
    </row>
    <row r="536" spans="35:35">
      <c r="AI536" s="1277"/>
    </row>
    <row r="537" spans="35:35">
      <c r="AI537" s="1277"/>
    </row>
    <row r="538" spans="35:35">
      <c r="AI538" s="1277"/>
    </row>
    <row r="539" spans="35:35">
      <c r="AI539" s="1277"/>
    </row>
    <row r="540" spans="35:35">
      <c r="AI540" s="1277"/>
    </row>
    <row r="541" spans="35:35">
      <c r="AI541" s="1277"/>
    </row>
    <row r="542" spans="35:35">
      <c r="AI542" s="1277"/>
    </row>
    <row r="543" spans="35:35">
      <c r="AI543" s="1277"/>
    </row>
    <row r="544" spans="35:35">
      <c r="AI544" s="1277"/>
    </row>
    <row r="545" spans="35:35">
      <c r="AI545" s="1277"/>
    </row>
    <row r="546" spans="35:35">
      <c r="AI546" s="1277"/>
    </row>
    <row r="547" spans="35:35">
      <c r="AI547" s="1277"/>
    </row>
    <row r="548" spans="35:35">
      <c r="AI548" s="1277"/>
    </row>
    <row r="549" spans="35:35">
      <c r="AI549" s="1277"/>
    </row>
    <row r="550" spans="35:35">
      <c r="AI550" s="1277"/>
    </row>
    <row r="551" spans="35:35">
      <c r="AI551" s="1277"/>
    </row>
    <row r="552" spans="35:35">
      <c r="AI552" s="1277"/>
    </row>
    <row r="553" spans="35:35">
      <c r="AI553" s="1277"/>
    </row>
    <row r="554" spans="35:35">
      <c r="AI554" s="1277"/>
    </row>
    <row r="555" spans="35:35">
      <c r="AI555" s="1277"/>
    </row>
    <row r="556" spans="35:35">
      <c r="AI556" s="1277"/>
    </row>
    <row r="557" spans="35:35">
      <c r="AI557" s="1277"/>
    </row>
    <row r="558" spans="35:35">
      <c r="AI558" s="1277"/>
    </row>
    <row r="559" spans="35:35">
      <c r="AI559" s="1277"/>
    </row>
    <row r="560" spans="35:35">
      <c r="AI560" s="1277"/>
    </row>
    <row r="561" spans="35:35">
      <c r="AI561" s="1277"/>
    </row>
    <row r="562" spans="35:35">
      <c r="AI562" s="1277"/>
    </row>
    <row r="563" spans="35:35">
      <c r="AI563" s="1277"/>
    </row>
    <row r="564" spans="35:35">
      <c r="AI564" s="1277"/>
    </row>
    <row r="565" spans="35:35">
      <c r="AI565" s="1277"/>
    </row>
    <row r="566" spans="35:35">
      <c r="AI566" s="1277"/>
    </row>
    <row r="567" spans="35:35">
      <c r="AI567" s="1277"/>
    </row>
    <row r="568" spans="35:35">
      <c r="AI568" s="1277"/>
    </row>
    <row r="569" spans="35:35">
      <c r="AI569" s="1277"/>
    </row>
    <row r="570" spans="35:35">
      <c r="AI570" s="1277"/>
    </row>
    <row r="571" spans="35:35">
      <c r="AI571" s="1277"/>
    </row>
    <row r="572" spans="35:35">
      <c r="AI572" s="1277"/>
    </row>
    <row r="573" spans="35:35">
      <c r="AI573" s="1277"/>
    </row>
    <row r="574" spans="35:35">
      <c r="AI574" s="1277"/>
    </row>
    <row r="575" spans="35:35">
      <c r="AI575" s="1277"/>
    </row>
    <row r="576" spans="35:35">
      <c r="AI576" s="1277"/>
    </row>
    <row r="577" spans="35:35">
      <c r="AI577" s="1277"/>
    </row>
    <row r="578" spans="35:35">
      <c r="AI578" s="1277"/>
    </row>
    <row r="579" spans="35:35">
      <c r="AI579" s="1277"/>
    </row>
    <row r="580" spans="35:35">
      <c r="AI580" s="1277"/>
    </row>
    <row r="581" spans="35:35">
      <c r="AI581" s="1277"/>
    </row>
    <row r="582" spans="35:35">
      <c r="AI582" s="1277"/>
    </row>
    <row r="583" spans="35:35">
      <c r="AI583" s="1277"/>
    </row>
    <row r="584" spans="35:35">
      <c r="AI584" s="1277"/>
    </row>
    <row r="585" spans="35:35">
      <c r="AI585" s="1277"/>
    </row>
    <row r="586" spans="35:35">
      <c r="AI586" s="1277"/>
    </row>
    <row r="587" spans="35:35">
      <c r="AI587" s="1277"/>
    </row>
    <row r="588" spans="35:35">
      <c r="AI588" s="1277"/>
    </row>
    <row r="589" spans="35:35">
      <c r="AI589" s="1277"/>
    </row>
    <row r="590" spans="35:35">
      <c r="AI590" s="1277"/>
    </row>
    <row r="591" spans="35:35">
      <c r="AI591" s="1277"/>
    </row>
    <row r="592" spans="35:35">
      <c r="AI592" s="1277"/>
    </row>
    <row r="593" spans="35:35">
      <c r="AI593" s="1277"/>
    </row>
    <row r="594" spans="35:35">
      <c r="AI594" s="1277"/>
    </row>
    <row r="595" spans="35:35">
      <c r="AI595" s="1277"/>
    </row>
    <row r="596" spans="35:35">
      <c r="AI596" s="1277"/>
    </row>
    <row r="597" spans="35:35">
      <c r="AI597" s="1277"/>
    </row>
    <row r="598" spans="35:35">
      <c r="AI598" s="1277"/>
    </row>
    <row r="599" spans="35:35">
      <c r="AI599" s="1277"/>
    </row>
    <row r="600" spans="35:35">
      <c r="AI600" s="1277"/>
    </row>
    <row r="601" spans="35:35">
      <c r="AI601" s="1277"/>
    </row>
    <row r="602" spans="35:35">
      <c r="AI602" s="1277"/>
    </row>
    <row r="603" spans="35:35">
      <c r="AI603" s="1277"/>
    </row>
    <row r="604" spans="35:35">
      <c r="AI604" s="1277"/>
    </row>
    <row r="605" spans="35:35">
      <c r="AI605" s="1277"/>
    </row>
    <row r="606" spans="35:35">
      <c r="AI606" s="1277"/>
    </row>
    <row r="607" spans="35:35">
      <c r="AI607" s="1277"/>
    </row>
    <row r="608" spans="35:35">
      <c r="AI608" s="1277"/>
    </row>
    <row r="609" spans="35:35">
      <c r="AI609" s="1277"/>
    </row>
    <row r="610" spans="35:35">
      <c r="AI610" s="1277"/>
    </row>
    <row r="611" spans="35:35">
      <c r="AI611" s="1277"/>
    </row>
    <row r="612" spans="35:35">
      <c r="AI612" s="1277"/>
    </row>
    <row r="613" spans="35:35">
      <c r="AI613" s="1277"/>
    </row>
    <row r="614" spans="35:35">
      <c r="AI614" s="1277"/>
    </row>
    <row r="615" spans="35:35">
      <c r="AI615" s="1277"/>
    </row>
    <row r="616" spans="35:35">
      <c r="AI616" s="1277"/>
    </row>
    <row r="617" spans="35:35">
      <c r="AI617" s="1277"/>
    </row>
    <row r="618" spans="35:35">
      <c r="AI618" s="1277"/>
    </row>
    <row r="619" spans="35:35">
      <c r="AI619" s="1277"/>
    </row>
    <row r="620" spans="35:35">
      <c r="AI620" s="1277"/>
    </row>
    <row r="621" spans="35:35">
      <c r="AI621" s="1277"/>
    </row>
    <row r="622" spans="35:35">
      <c r="AI622" s="1277"/>
    </row>
    <row r="623" spans="35:35">
      <c r="AI623" s="1277"/>
    </row>
    <row r="624" spans="35:35">
      <c r="AI624" s="1277"/>
    </row>
    <row r="625" spans="35:35">
      <c r="AI625" s="1277"/>
    </row>
    <row r="626" spans="35:35">
      <c r="AI626" s="1277"/>
    </row>
    <row r="627" spans="35:35">
      <c r="AI627" s="1277"/>
    </row>
    <row r="628" spans="35:35">
      <c r="AI628" s="1277"/>
    </row>
    <row r="629" spans="35:35">
      <c r="AI629" s="1277"/>
    </row>
    <row r="630" spans="35:35">
      <c r="AI630" s="1277"/>
    </row>
    <row r="631" spans="35:35">
      <c r="AI631" s="1277"/>
    </row>
    <row r="632" spans="35:35">
      <c r="AI632" s="1277"/>
    </row>
    <row r="633" spans="35:35">
      <c r="AI633" s="1277"/>
    </row>
    <row r="634" spans="35:35">
      <c r="AI634" s="1277"/>
    </row>
    <row r="635" spans="35:35">
      <c r="AI635" s="1277"/>
    </row>
    <row r="636" spans="35:35">
      <c r="AI636" s="1277"/>
    </row>
    <row r="637" spans="35:35">
      <c r="AI637" s="1277"/>
    </row>
    <row r="638" spans="35:35">
      <c r="AI638" s="1277"/>
    </row>
    <row r="639" spans="35:35">
      <c r="AI639" s="1277"/>
    </row>
    <row r="640" spans="35:35">
      <c r="AI640" s="1277"/>
    </row>
    <row r="641" spans="35:35">
      <c r="AI641" s="1277"/>
    </row>
    <row r="642" spans="35:35">
      <c r="AI642" s="1277"/>
    </row>
    <row r="643" spans="35:35">
      <c r="AI643" s="1277"/>
    </row>
    <row r="644" spans="35:35">
      <c r="AI644" s="1277"/>
    </row>
    <row r="645" spans="35:35">
      <c r="AI645" s="1277"/>
    </row>
    <row r="646" spans="35:35">
      <c r="AI646" s="1277"/>
    </row>
    <row r="647" spans="35:35">
      <c r="AI647" s="1277"/>
    </row>
    <row r="648" spans="35:35">
      <c r="AI648" s="1277"/>
    </row>
    <row r="649" spans="35:35">
      <c r="AI649" s="1277"/>
    </row>
    <row r="650" spans="35:35">
      <c r="AI650" s="1277"/>
    </row>
    <row r="651" spans="35:35">
      <c r="AI651" s="1277"/>
    </row>
    <row r="652" spans="35:35">
      <c r="AI652" s="1277"/>
    </row>
    <row r="653" spans="35:35">
      <c r="AI653" s="1277"/>
    </row>
    <row r="654" spans="35:35">
      <c r="AI654" s="1277"/>
    </row>
    <row r="655" spans="35:35">
      <c r="AI655" s="1277"/>
    </row>
    <row r="656" spans="35:35">
      <c r="AI656" s="1277"/>
    </row>
    <row r="657" spans="35:35">
      <c r="AI657" s="1277"/>
    </row>
    <row r="658" spans="35:35">
      <c r="AI658" s="1277"/>
    </row>
    <row r="659" spans="35:35">
      <c r="AI659" s="1277"/>
    </row>
    <row r="660" spans="35:35">
      <c r="AI660" s="1277"/>
    </row>
    <row r="661" spans="35:35">
      <c r="AI661" s="1277"/>
    </row>
    <row r="662" spans="35:35">
      <c r="AI662" s="1277"/>
    </row>
    <row r="663" spans="35:35">
      <c r="AI663" s="1277"/>
    </row>
    <row r="664" spans="35:35">
      <c r="AI664" s="1277"/>
    </row>
    <row r="665" spans="35:35">
      <c r="AI665" s="1277"/>
    </row>
    <row r="666" spans="35:35">
      <c r="AI666" s="1277"/>
    </row>
    <row r="667" spans="35:35">
      <c r="AI667" s="1277"/>
    </row>
    <row r="668" spans="35:35">
      <c r="AI668" s="1277"/>
    </row>
    <row r="669" spans="35:35">
      <c r="AI669" s="1277"/>
    </row>
    <row r="670" spans="35:35">
      <c r="AI670" s="1277"/>
    </row>
    <row r="671" spans="35:35">
      <c r="AI671" s="1277"/>
    </row>
    <row r="672" spans="35:35">
      <c r="AI672" s="1277"/>
    </row>
    <row r="673" spans="35:35">
      <c r="AI673" s="1277"/>
    </row>
    <row r="674" spans="35:35">
      <c r="AI674" s="1277"/>
    </row>
    <row r="675" spans="35:35">
      <c r="AI675" s="1277"/>
    </row>
    <row r="676" spans="35:35">
      <c r="AI676" s="1277"/>
    </row>
    <row r="677" spans="35:35">
      <c r="AI677" s="1277"/>
    </row>
    <row r="678" spans="35:35">
      <c r="AI678" s="1277"/>
    </row>
    <row r="679" spans="35:35">
      <c r="AI679" s="1277"/>
    </row>
    <row r="680" spans="35:35">
      <c r="AI680" s="1277"/>
    </row>
    <row r="681" spans="35:35">
      <c r="AI681" s="1277"/>
    </row>
    <row r="682" spans="35:35">
      <c r="AI682" s="1277"/>
    </row>
    <row r="683" spans="35:35">
      <c r="AI683" s="1277"/>
    </row>
    <row r="684" spans="35:35">
      <c r="AI684" s="1277"/>
    </row>
    <row r="685" spans="35:35">
      <c r="AI685" s="1277"/>
    </row>
    <row r="686" spans="35:35">
      <c r="AI686" s="1277"/>
    </row>
    <row r="687" spans="35:35">
      <c r="AI687" s="1277"/>
    </row>
    <row r="688" spans="35:35">
      <c r="AI688" s="1277"/>
    </row>
    <row r="689" spans="35:35">
      <c r="AI689" s="1277"/>
    </row>
    <row r="690" spans="35:35">
      <c r="AI690" s="1277"/>
    </row>
    <row r="691" spans="35:35">
      <c r="AI691" s="1277"/>
    </row>
    <row r="692" spans="35:35">
      <c r="AI692" s="1277"/>
    </row>
    <row r="693" spans="35:35">
      <c r="AI693" s="1277"/>
    </row>
    <row r="694" spans="35:35">
      <c r="AI694" s="1277"/>
    </row>
    <row r="695" spans="35:35">
      <c r="AI695" s="1277"/>
    </row>
    <row r="696" spans="35:35">
      <c r="AI696" s="1277"/>
    </row>
    <row r="697" spans="35:35">
      <c r="AI697" s="1277"/>
    </row>
    <row r="698" spans="35:35">
      <c r="AI698" s="1277"/>
    </row>
    <row r="699" spans="35:35">
      <c r="AI699" s="1277"/>
    </row>
    <row r="700" spans="35:35">
      <c r="AI700" s="1277"/>
    </row>
    <row r="701" spans="35:35">
      <c r="AI701" s="1277"/>
    </row>
    <row r="702" spans="35:35">
      <c r="AI702" s="1277"/>
    </row>
    <row r="703" spans="35:35">
      <c r="AI703" s="1277"/>
    </row>
    <row r="704" spans="35:35">
      <c r="AI704" s="1277"/>
    </row>
    <row r="705" spans="35:35">
      <c r="AI705" s="1277"/>
    </row>
    <row r="706" spans="35:35">
      <c r="AI706" s="1277"/>
    </row>
    <row r="707" spans="35:35">
      <c r="AI707" s="1277"/>
    </row>
    <row r="708" spans="35:35">
      <c r="AI708" s="1277"/>
    </row>
    <row r="709" spans="35:35">
      <c r="AI709" s="1277"/>
    </row>
    <row r="710" spans="35:35">
      <c r="AI710" s="1277"/>
    </row>
    <row r="711" spans="35:35">
      <c r="AI711" s="1277"/>
    </row>
    <row r="712" spans="35:35">
      <c r="AI712" s="1277"/>
    </row>
    <row r="713" spans="35:35">
      <c r="AI713" s="1277"/>
    </row>
    <row r="714" spans="35:35">
      <c r="AI714" s="1277"/>
    </row>
    <row r="715" spans="35:35">
      <c r="AI715" s="1277"/>
    </row>
    <row r="716" spans="35:35">
      <c r="AI716" s="1277"/>
    </row>
    <row r="717" spans="35:35">
      <c r="AI717" s="1277"/>
    </row>
    <row r="718" spans="35:35">
      <c r="AI718" s="1277"/>
    </row>
    <row r="719" spans="35:35">
      <c r="AI719" s="1277"/>
    </row>
    <row r="720" spans="35:35">
      <c r="AI720" s="1277"/>
    </row>
    <row r="721" spans="35:35">
      <c r="AI721" s="1277"/>
    </row>
    <row r="722" spans="35:35">
      <c r="AI722" s="1277"/>
    </row>
    <row r="723" spans="35:35">
      <c r="AI723" s="1277"/>
    </row>
    <row r="724" spans="35:35">
      <c r="AI724" s="1277"/>
    </row>
    <row r="725" spans="35:35">
      <c r="AI725" s="1277"/>
    </row>
    <row r="726" spans="35:35">
      <c r="AI726" s="1277"/>
    </row>
    <row r="727" spans="35:35">
      <c r="AI727" s="1277"/>
    </row>
    <row r="728" spans="35:35">
      <c r="AI728" s="1277"/>
    </row>
    <row r="729" spans="35:35">
      <c r="AI729" s="1277"/>
    </row>
    <row r="730" spans="35:35">
      <c r="AI730" s="1277"/>
    </row>
    <row r="731" spans="35:35">
      <c r="AI731" s="1277"/>
    </row>
    <row r="732" spans="35:35">
      <c r="AI732" s="1277"/>
    </row>
    <row r="733" spans="35:35">
      <c r="AI733" s="1277"/>
    </row>
    <row r="734" spans="35:35">
      <c r="AI734" s="1277"/>
    </row>
    <row r="735" spans="35:35">
      <c r="AI735" s="1277"/>
    </row>
    <row r="736" spans="35:35">
      <c r="AI736" s="1277"/>
    </row>
    <row r="737" spans="35:35">
      <c r="AI737" s="1277"/>
    </row>
    <row r="738" spans="35:35">
      <c r="AI738" s="1277"/>
    </row>
    <row r="739" spans="35:35">
      <c r="AI739" s="1277"/>
    </row>
    <row r="740" spans="35:35">
      <c r="AI740" s="1277"/>
    </row>
    <row r="741" spans="35:35">
      <c r="AI741" s="1277"/>
    </row>
    <row r="742" spans="35:35">
      <c r="AI742" s="1277"/>
    </row>
    <row r="743" spans="35:35">
      <c r="AI743" s="1277"/>
    </row>
    <row r="744" spans="35:35">
      <c r="AI744" s="1277"/>
    </row>
    <row r="745" spans="35:35">
      <c r="AI745" s="1277"/>
    </row>
    <row r="746" spans="35:35">
      <c r="AI746" s="1277"/>
    </row>
    <row r="747" spans="35:35">
      <c r="AI747" s="1277"/>
    </row>
    <row r="748" spans="35:35">
      <c r="AI748" s="1277"/>
    </row>
    <row r="749" spans="35:35">
      <c r="AI749" s="1277"/>
    </row>
    <row r="750" spans="35:35">
      <c r="AI750" s="1277"/>
    </row>
    <row r="751" spans="35:35">
      <c r="AI751" s="1277"/>
    </row>
    <row r="752" spans="35:35">
      <c r="AI752" s="1277"/>
    </row>
    <row r="753" spans="35:35">
      <c r="AI753" s="1277"/>
    </row>
    <row r="754" spans="35:35">
      <c r="AI754" s="1277"/>
    </row>
    <row r="755" spans="35:35">
      <c r="AI755" s="1277"/>
    </row>
    <row r="756" spans="35:35">
      <c r="AI756" s="1277"/>
    </row>
    <row r="757" spans="35:35">
      <c r="AI757" s="1277"/>
    </row>
    <row r="758" spans="35:35">
      <c r="AI758" s="1277"/>
    </row>
    <row r="759" spans="35:35">
      <c r="AI759" s="1277"/>
    </row>
    <row r="760" spans="35:35">
      <c r="AI760" s="1277"/>
    </row>
    <row r="761" spans="35:35">
      <c r="AI761" s="1277"/>
    </row>
    <row r="762" spans="35:35">
      <c r="AI762" s="1277"/>
    </row>
    <row r="763" spans="35:35">
      <c r="AI763" s="1277"/>
    </row>
    <row r="764" spans="35:35">
      <c r="AI764" s="1277"/>
    </row>
    <row r="765" spans="35:35">
      <c r="AI765" s="1277"/>
    </row>
    <row r="766" spans="35:35">
      <c r="AI766" s="1277"/>
    </row>
    <row r="767" spans="35:35">
      <c r="AI767" s="1277"/>
    </row>
    <row r="768" spans="35:35">
      <c r="AI768" s="1277"/>
    </row>
    <row r="769" spans="35:35">
      <c r="AI769" s="1277"/>
    </row>
    <row r="770" spans="35:35">
      <c r="AI770" s="1277"/>
    </row>
    <row r="771" spans="35:35">
      <c r="AI771" s="1277"/>
    </row>
    <row r="772" spans="35:35">
      <c r="AI772" s="1277"/>
    </row>
    <row r="773" spans="35:35">
      <c r="AI773" s="1277"/>
    </row>
    <row r="774" spans="35:35">
      <c r="AI774" s="1277"/>
    </row>
    <row r="775" spans="35:35">
      <c r="AI775" s="1277"/>
    </row>
    <row r="776" spans="35:35">
      <c r="AI776" s="1277"/>
    </row>
    <row r="777" spans="35:35">
      <c r="AI777" s="1277"/>
    </row>
    <row r="778" spans="35:35">
      <c r="AI778" s="1277"/>
    </row>
    <row r="779" spans="35:35">
      <c r="AI779" s="1277"/>
    </row>
    <row r="780" spans="35:35">
      <c r="AI780" s="1277"/>
    </row>
    <row r="781" spans="35:35">
      <c r="AI781" s="1277"/>
    </row>
    <row r="782" spans="35:35">
      <c r="AI782" s="1277"/>
    </row>
    <row r="783" spans="35:35">
      <c r="AI783" s="1277"/>
    </row>
    <row r="784" spans="35:35">
      <c r="AI784" s="1277"/>
    </row>
    <row r="785" spans="35:35">
      <c r="AI785" s="1277"/>
    </row>
    <row r="786" spans="35:35">
      <c r="AI786" s="1277"/>
    </row>
    <row r="787" spans="35:35">
      <c r="AI787" s="1277"/>
    </row>
    <row r="788" spans="35:35">
      <c r="AI788" s="1277"/>
    </row>
    <row r="789" spans="35:35">
      <c r="AI789" s="1277"/>
    </row>
    <row r="790" spans="35:35">
      <c r="AI790" s="1277"/>
    </row>
    <row r="791" spans="35:35">
      <c r="AI791" s="1277"/>
    </row>
    <row r="792" spans="35:35">
      <c r="AI792" s="1277"/>
    </row>
    <row r="793" spans="35:35">
      <c r="AI793" s="1277"/>
    </row>
    <row r="794" spans="35:35">
      <c r="AI794" s="1277"/>
    </row>
    <row r="795" spans="35:35">
      <c r="AI795" s="1277"/>
    </row>
    <row r="796" spans="35:35">
      <c r="AI796" s="1277"/>
    </row>
    <row r="797" spans="35:35">
      <c r="AI797" s="1277"/>
    </row>
    <row r="798" spans="35:35">
      <c r="AI798" s="1277"/>
    </row>
    <row r="799" spans="35:35">
      <c r="AI799" s="1277"/>
    </row>
    <row r="800" spans="35:35">
      <c r="AI800" s="1277"/>
    </row>
    <row r="801" spans="35:35">
      <c r="AI801" s="1277"/>
    </row>
    <row r="802" spans="35:35">
      <c r="AI802" s="1277"/>
    </row>
    <row r="803" spans="35:35">
      <c r="AI803" s="1277"/>
    </row>
    <row r="804" spans="35:35">
      <c r="AI804" s="1277"/>
    </row>
    <row r="805" spans="35:35">
      <c r="AI805" s="1277"/>
    </row>
    <row r="806" spans="35:35">
      <c r="AI806" s="1277"/>
    </row>
    <row r="807" spans="35:35">
      <c r="AI807" s="1277"/>
    </row>
    <row r="808" spans="35:35">
      <c r="AI808" s="1277"/>
    </row>
    <row r="809" spans="35:35">
      <c r="AI809" s="1277"/>
    </row>
    <row r="810" spans="35:35">
      <c r="AI810" s="1277"/>
    </row>
    <row r="811" spans="35:35">
      <c r="AI811" s="1277"/>
    </row>
    <row r="812" spans="35:35">
      <c r="AI812" s="1277"/>
    </row>
    <row r="813" spans="35:35">
      <c r="AI813" s="1277"/>
    </row>
    <row r="814" spans="35:35">
      <c r="AI814" s="1277"/>
    </row>
    <row r="815" spans="35:35">
      <c r="AI815" s="1277"/>
    </row>
    <row r="816" spans="35:35">
      <c r="AI816" s="1277"/>
    </row>
    <row r="817" spans="35:35">
      <c r="AI817" s="1277"/>
    </row>
    <row r="818" spans="35:35">
      <c r="AI818" s="1277"/>
    </row>
    <row r="819" spans="35:35">
      <c r="AI819" s="1277"/>
    </row>
    <row r="820" spans="35:35">
      <c r="AI820" s="1277"/>
    </row>
    <row r="821" spans="35:35">
      <c r="AI821" s="1277"/>
    </row>
    <row r="822" spans="35:35">
      <c r="AI822" s="1277"/>
    </row>
    <row r="823" spans="35:35">
      <c r="AI823" s="1277"/>
    </row>
    <row r="824" spans="35:35">
      <c r="AI824" s="1277"/>
    </row>
    <row r="825" spans="35:35">
      <c r="AI825" s="1277"/>
    </row>
    <row r="826" spans="35:35">
      <c r="AI826" s="1277"/>
    </row>
    <row r="827" spans="35:35">
      <c r="AI827" s="1277"/>
    </row>
    <row r="828" spans="35:35">
      <c r="AI828" s="1277"/>
    </row>
    <row r="829" spans="35:35">
      <c r="AI829" s="1277"/>
    </row>
    <row r="830" spans="35:35">
      <c r="AI830" s="1277"/>
    </row>
    <row r="831" spans="35:35">
      <c r="AI831" s="1277"/>
    </row>
    <row r="832" spans="35:35">
      <c r="AI832" s="1277"/>
    </row>
    <row r="833" spans="35:35">
      <c r="AI833" s="1277"/>
    </row>
    <row r="834" spans="35:35">
      <c r="AI834" s="1277"/>
    </row>
    <row r="835" spans="35:35">
      <c r="AI835" s="1277"/>
    </row>
    <row r="836" spans="35:35">
      <c r="AI836" s="1277"/>
    </row>
    <row r="837" spans="35:35">
      <c r="AI837" s="1277"/>
    </row>
    <row r="838" spans="35:35">
      <c r="AI838" s="1277"/>
    </row>
    <row r="839" spans="35:35">
      <c r="AI839" s="1277"/>
    </row>
    <row r="840" spans="35:35">
      <c r="AI840" s="1277"/>
    </row>
    <row r="841" spans="35:35">
      <c r="AI841" s="1277"/>
    </row>
    <row r="842" spans="35:35">
      <c r="AI842" s="1277"/>
    </row>
    <row r="843" spans="35:35">
      <c r="AI843" s="1277"/>
    </row>
    <row r="844" spans="35:35">
      <c r="AI844" s="1277"/>
    </row>
    <row r="845" spans="35:35">
      <c r="AI845" s="1277"/>
    </row>
    <row r="846" spans="35:35">
      <c r="AI846" s="1277"/>
    </row>
    <row r="847" spans="35:35">
      <c r="AI847" s="1277"/>
    </row>
    <row r="848" spans="35:35">
      <c r="AI848" s="1277"/>
    </row>
    <row r="849" spans="35:35">
      <c r="AI849" s="1277"/>
    </row>
    <row r="850" spans="35:35">
      <c r="AI850" s="1277"/>
    </row>
    <row r="851" spans="35:35">
      <c r="AI851" s="1277"/>
    </row>
    <row r="852" spans="35:35">
      <c r="AI852" s="1277"/>
    </row>
    <row r="853" spans="35:35">
      <c r="AI853" s="1277"/>
    </row>
    <row r="854" spans="35:35">
      <c r="AI854" s="1277"/>
    </row>
    <row r="855" spans="35:35">
      <c r="AI855" s="1277"/>
    </row>
    <row r="856" spans="35:35">
      <c r="AI856" s="1277"/>
    </row>
    <row r="857" spans="35:35">
      <c r="AI857" s="1277"/>
    </row>
    <row r="858" spans="35:35">
      <c r="AI858" s="1277"/>
    </row>
    <row r="859" spans="35:35">
      <c r="AI859" s="1277"/>
    </row>
    <row r="860" spans="35:35">
      <c r="AI860" s="1277"/>
    </row>
    <row r="861" spans="35:35">
      <c r="AI861" s="1277"/>
    </row>
    <row r="862" spans="35:35">
      <c r="AI862" s="1277"/>
    </row>
    <row r="863" spans="35:35">
      <c r="AI863" s="1277"/>
    </row>
    <row r="864" spans="35:35">
      <c r="AI864" s="1277"/>
    </row>
    <row r="865" spans="35:35">
      <c r="AI865" s="1277"/>
    </row>
    <row r="866" spans="35:35">
      <c r="AI866" s="1277"/>
    </row>
    <row r="867" spans="35:35">
      <c r="AI867" s="1277"/>
    </row>
    <row r="868" spans="35:35">
      <c r="AI868" s="1277"/>
    </row>
    <row r="869" spans="35:35">
      <c r="AI869" s="1277"/>
    </row>
    <row r="870" spans="35:35">
      <c r="AI870" s="1277"/>
    </row>
    <row r="871" spans="35:35">
      <c r="AI871" s="1277"/>
    </row>
    <row r="872" spans="35:35">
      <c r="AI872" s="1277"/>
    </row>
    <row r="873" spans="35:35">
      <c r="AI873" s="1277"/>
    </row>
    <row r="874" spans="35:35">
      <c r="AI874" s="1277"/>
    </row>
    <row r="875" spans="35:35">
      <c r="AI875" s="1277"/>
    </row>
    <row r="876" spans="35:35">
      <c r="AI876" s="1277"/>
    </row>
    <row r="877" spans="35:35">
      <c r="AI877" s="1277"/>
    </row>
    <row r="878" spans="35:35">
      <c r="AI878" s="1277"/>
    </row>
    <row r="879" spans="35:35">
      <c r="AI879" s="1277"/>
    </row>
    <row r="880" spans="35:35">
      <c r="AI880" s="1277"/>
    </row>
    <row r="881" spans="35:35">
      <c r="AI881" s="1277"/>
    </row>
    <row r="882" spans="35:35">
      <c r="AI882" s="1277"/>
    </row>
    <row r="883" spans="35:35">
      <c r="AI883" s="1277"/>
    </row>
    <row r="884" spans="35:35">
      <c r="AI884" s="1277"/>
    </row>
    <row r="885" spans="35:35">
      <c r="AI885" s="1277"/>
    </row>
    <row r="886" spans="35:35">
      <c r="AI886" s="1277"/>
    </row>
    <row r="887" spans="35:35">
      <c r="AI887" s="1277"/>
    </row>
    <row r="888" spans="35:35">
      <c r="AI888" s="1277"/>
    </row>
    <row r="889" spans="35:35">
      <c r="AI889" s="1277"/>
    </row>
    <row r="890" spans="35:35">
      <c r="AI890" s="1277"/>
    </row>
    <row r="891" spans="35:35">
      <c r="AI891" s="1277"/>
    </row>
    <row r="892" spans="35:35">
      <c r="AI892" s="1277"/>
    </row>
    <row r="893" spans="35:35">
      <c r="AI893" s="1277"/>
    </row>
    <row r="894" spans="35:35">
      <c r="AI894" s="1277"/>
    </row>
    <row r="895" spans="35:35">
      <c r="AI895" s="1277"/>
    </row>
    <row r="896" spans="35:35">
      <c r="AI896" s="1277"/>
    </row>
    <row r="897" spans="35:35">
      <c r="AI897" s="1277"/>
    </row>
    <row r="898" spans="35:35">
      <c r="AI898" s="1277"/>
    </row>
    <row r="899" spans="35:35">
      <c r="AI899" s="1277"/>
    </row>
    <row r="900" spans="35:35">
      <c r="AI900" s="1277"/>
    </row>
    <row r="901" spans="35:35">
      <c r="AI901" s="1277"/>
    </row>
    <row r="902" spans="35:35">
      <c r="AI902" s="1277"/>
    </row>
    <row r="903" spans="35:35">
      <c r="AI903" s="1277"/>
    </row>
    <row r="904" spans="35:35">
      <c r="AI904" s="1277"/>
    </row>
    <row r="905" spans="35:35">
      <c r="AI905" s="1277"/>
    </row>
    <row r="906" spans="35:35">
      <c r="AI906" s="1277"/>
    </row>
    <row r="907" spans="35:35">
      <c r="AI907" s="1277"/>
    </row>
    <row r="908" spans="35:35">
      <c r="AI908" s="1277"/>
    </row>
    <row r="909" spans="35:35">
      <c r="AI909" s="1277"/>
    </row>
    <row r="910" spans="35:35">
      <c r="AI910" s="1277"/>
    </row>
    <row r="911" spans="35:35">
      <c r="AI911" s="1277"/>
    </row>
    <row r="912" spans="35:35">
      <c r="AI912" s="1277"/>
    </row>
    <row r="913" spans="35:35">
      <c r="AI913" s="1277"/>
    </row>
    <row r="914" spans="35:35">
      <c r="AI914" s="1277"/>
    </row>
    <row r="915" spans="35:35">
      <c r="AI915" s="1277"/>
    </row>
    <row r="916" spans="35:35">
      <c r="AI916" s="1277"/>
    </row>
    <row r="917" spans="35:35">
      <c r="AI917" s="1277"/>
    </row>
    <row r="918" spans="35:35">
      <c r="AI918" s="1277"/>
    </row>
    <row r="919" spans="35:35">
      <c r="AI919" s="1277"/>
    </row>
    <row r="920" spans="35:35">
      <c r="AI920" s="1277"/>
    </row>
    <row r="921" spans="35:35">
      <c r="AI921" s="1277"/>
    </row>
    <row r="922" spans="35:35">
      <c r="AI922" s="1277"/>
    </row>
    <row r="923" spans="35:35">
      <c r="AI923" s="1277"/>
    </row>
    <row r="924" spans="35:35">
      <c r="AI924" s="1277"/>
    </row>
    <row r="925" spans="35:35">
      <c r="AI925" s="1277"/>
    </row>
    <row r="926" spans="35:35">
      <c r="AI926" s="1277"/>
    </row>
    <row r="927" spans="35:35">
      <c r="AI927" s="1277"/>
    </row>
    <row r="928" spans="35:35">
      <c r="AI928" s="1277"/>
    </row>
    <row r="929" spans="35:35">
      <c r="AI929" s="1277"/>
    </row>
    <row r="930" spans="35:35">
      <c r="AI930" s="1277"/>
    </row>
    <row r="931" spans="35:35">
      <c r="AI931" s="1277"/>
    </row>
    <row r="932" spans="35:35">
      <c r="AI932" s="1277"/>
    </row>
    <row r="933" spans="35:35">
      <c r="AI933" s="1277"/>
    </row>
    <row r="934" spans="35:35">
      <c r="AI934" s="1277"/>
    </row>
    <row r="935" spans="35:35">
      <c r="AI935" s="1277"/>
    </row>
    <row r="936" spans="35:35">
      <c r="AI936" s="1277"/>
    </row>
    <row r="937" spans="35:35">
      <c r="AI937" s="1277"/>
    </row>
    <row r="938" spans="35:35">
      <c r="AI938" s="1277"/>
    </row>
    <row r="939" spans="35:35">
      <c r="AI939" s="1277"/>
    </row>
    <row r="940" spans="35:35">
      <c r="AI940" s="1277"/>
    </row>
    <row r="941" spans="35:35">
      <c r="AI941" s="1277"/>
    </row>
    <row r="942" spans="35:35">
      <c r="AI942" s="1277"/>
    </row>
    <row r="943" spans="35:35">
      <c r="AI943" s="1277"/>
    </row>
    <row r="944" spans="35:35">
      <c r="AI944" s="1277"/>
    </row>
    <row r="945" spans="35:35">
      <c r="AI945" s="1277"/>
    </row>
    <row r="946" spans="35:35">
      <c r="AI946" s="1277"/>
    </row>
    <row r="947" spans="35:35">
      <c r="AI947" s="1277"/>
    </row>
    <row r="948" spans="35:35">
      <c r="AI948" s="1277"/>
    </row>
    <row r="949" spans="35:35">
      <c r="AI949" s="1277"/>
    </row>
    <row r="950" spans="35:35">
      <c r="AI950" s="1277"/>
    </row>
    <row r="951" spans="35:35">
      <c r="AI951" s="1277"/>
    </row>
    <row r="952" spans="35:35">
      <c r="AI952" s="1277"/>
    </row>
    <row r="953" spans="35:35">
      <c r="AI953" s="1277"/>
    </row>
    <row r="954" spans="35:35">
      <c r="AI954" s="1277"/>
    </row>
    <row r="955" spans="35:35">
      <c r="AI955" s="1277"/>
    </row>
    <row r="956" spans="35:35">
      <c r="AI956" s="1277"/>
    </row>
    <row r="957" spans="35:35">
      <c r="AI957" s="1277"/>
    </row>
    <row r="958" spans="35:35">
      <c r="AI958" s="1277"/>
    </row>
    <row r="959" spans="35:35">
      <c r="AI959" s="1277"/>
    </row>
    <row r="960" spans="35:35">
      <c r="AI960" s="1277"/>
    </row>
    <row r="961" spans="35:35">
      <c r="AI961" s="1277"/>
    </row>
    <row r="962" spans="35:35">
      <c r="AI962" s="1277"/>
    </row>
    <row r="963" spans="35:35">
      <c r="AI963" s="1277"/>
    </row>
    <row r="964" spans="35:35">
      <c r="AI964" s="1277"/>
    </row>
    <row r="965" spans="35:35">
      <c r="AI965" s="1277"/>
    </row>
    <row r="966" spans="35:35">
      <c r="AI966" s="1277"/>
    </row>
    <row r="967" spans="35:35">
      <c r="AI967" s="1277"/>
    </row>
    <row r="968" spans="35:35">
      <c r="AI968" s="1277"/>
    </row>
    <row r="969" spans="35:35">
      <c r="AI969" s="1277"/>
    </row>
    <row r="970" spans="35:35">
      <c r="AI970" s="1277"/>
    </row>
    <row r="971" spans="35:35">
      <c r="AI971" s="1277"/>
    </row>
    <row r="972" spans="35:35">
      <c r="AI972" s="1277"/>
    </row>
    <row r="973" spans="35:35">
      <c r="AI973" s="1277"/>
    </row>
    <row r="974" spans="35:35">
      <c r="AI974" s="1277"/>
    </row>
    <row r="975" spans="35:35">
      <c r="AI975" s="1277"/>
    </row>
    <row r="976" spans="35:35">
      <c r="AI976" s="1277"/>
    </row>
    <row r="977" spans="35:35">
      <c r="AI977" s="1277"/>
    </row>
    <row r="978" spans="35:35">
      <c r="AI978" s="1277"/>
    </row>
    <row r="979" spans="35:35">
      <c r="AI979" s="1277"/>
    </row>
    <row r="980" spans="35:35">
      <c r="AI980" s="1277"/>
    </row>
    <row r="981" spans="35:35">
      <c r="AI981" s="1277"/>
    </row>
    <row r="982" spans="35:35">
      <c r="AI982" s="1277"/>
    </row>
    <row r="983" spans="35:35">
      <c r="AI983" s="1277"/>
    </row>
    <row r="984" spans="35:35">
      <c r="AI984" s="1277"/>
    </row>
    <row r="985" spans="35:35">
      <c r="AI985" s="1277"/>
    </row>
    <row r="986" spans="35:35">
      <c r="AI986" s="1277"/>
    </row>
    <row r="987" spans="35:35">
      <c r="AI987" s="1277"/>
    </row>
    <row r="988" spans="35:35">
      <c r="AI988" s="1277"/>
    </row>
    <row r="989" spans="35:35">
      <c r="AI989" s="1277"/>
    </row>
    <row r="990" spans="35:35">
      <c r="AI990" s="1277"/>
    </row>
    <row r="991" spans="35:35">
      <c r="AI991" s="1277"/>
    </row>
    <row r="992" spans="35:35">
      <c r="AI992" s="1277"/>
    </row>
    <row r="993" spans="35:35">
      <c r="AI993" s="1277"/>
    </row>
    <row r="994" spans="35:35">
      <c r="AI994" s="1277"/>
    </row>
    <row r="995" spans="35:35">
      <c r="AI995" s="1277"/>
    </row>
    <row r="996" spans="35:35">
      <c r="AI996" s="1277"/>
    </row>
    <row r="997" spans="35:35">
      <c r="AI997" s="1277"/>
    </row>
    <row r="998" spans="35:35">
      <c r="AI998" s="1277"/>
    </row>
    <row r="999" spans="35:35">
      <c r="AI999" s="1277"/>
    </row>
    <row r="1000" spans="35:35">
      <c r="AI1000" s="1277"/>
    </row>
    <row r="1001" spans="35:35">
      <c r="AI1001" s="1277"/>
    </row>
    <row r="1002" spans="35:35">
      <c r="AI1002" s="1277"/>
    </row>
    <row r="1003" spans="35:35">
      <c r="AI1003" s="1277"/>
    </row>
    <row r="1004" spans="35:35">
      <c r="AI1004" s="1277"/>
    </row>
    <row r="1005" spans="35:35">
      <c r="AI1005" s="1277"/>
    </row>
    <row r="1006" spans="35:35">
      <c r="AI1006" s="1277"/>
    </row>
    <row r="1007" spans="35:35">
      <c r="AI1007" s="1277"/>
    </row>
    <row r="1008" spans="35:35">
      <c r="AI1008" s="1277"/>
    </row>
    <row r="1009" spans="35:35">
      <c r="AI1009" s="1277"/>
    </row>
    <row r="1010" spans="35:35">
      <c r="AI1010" s="1277"/>
    </row>
    <row r="1011" spans="35:35">
      <c r="AI1011" s="1277"/>
    </row>
    <row r="1012" spans="35:35">
      <c r="AI1012" s="1277"/>
    </row>
    <row r="1013" spans="35:35">
      <c r="AI1013" s="1277"/>
    </row>
    <row r="1014" spans="35:35">
      <c r="AI1014" s="1277"/>
    </row>
    <row r="1015" spans="35:35">
      <c r="AI1015" s="1277"/>
    </row>
    <row r="1016" spans="35:35">
      <c r="AI1016" s="1277"/>
    </row>
    <row r="1017" spans="35:35">
      <c r="AI1017" s="1277"/>
    </row>
    <row r="1018" spans="35:35">
      <c r="AI1018" s="1277"/>
    </row>
    <row r="1019" spans="35:35">
      <c r="AI1019" s="1277"/>
    </row>
    <row r="1020" spans="35:35">
      <c r="AI1020" s="1277"/>
    </row>
    <row r="1021" spans="35:35">
      <c r="AI1021" s="1277"/>
    </row>
    <row r="1022" spans="35:35">
      <c r="AI1022" s="1277"/>
    </row>
    <row r="1023" spans="35:35">
      <c r="AI1023" s="1277"/>
    </row>
    <row r="1024" spans="35:35">
      <c r="AI1024" s="1277"/>
    </row>
    <row r="1025" spans="35:35">
      <c r="AI1025" s="1277"/>
    </row>
  </sheetData>
  <mergeCells count="18">
    <mergeCell ref="C3:O5"/>
    <mergeCell ref="D7:N9"/>
    <mergeCell ref="C16:P19"/>
    <mergeCell ref="C26:F26"/>
    <mergeCell ref="H26:P26"/>
    <mergeCell ref="J11:M11"/>
    <mergeCell ref="D21:J21"/>
    <mergeCell ref="M21:N21"/>
    <mergeCell ref="D22:J22"/>
    <mergeCell ref="L22:M22"/>
    <mergeCell ref="C29:F29"/>
    <mergeCell ref="H29:O29"/>
    <mergeCell ref="C30:F30"/>
    <mergeCell ref="H30:P30"/>
    <mergeCell ref="C27:F27"/>
    <mergeCell ref="H27:P27"/>
    <mergeCell ref="C28:F28"/>
    <mergeCell ref="H28:O28"/>
  </mergeCells>
  <conditionalFormatting sqref="AI1:AI1025">
    <cfRule type="cellIs" dxfId="27" priority="1" stopIfTrue="1" operator="lessThan">
      <formula>1</formula>
    </cfRule>
  </conditionalFormatting>
  <printOptions horizontalCentered="1" verticalCentered="1"/>
  <pageMargins left="0.75" right="0.5" top="0.5" bottom="0.5" header="0.5" footer="0.5"/>
  <pageSetup paperSize="9" scale="95"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
  <sheetViews>
    <sheetView view="pageBreakPreview" topLeftCell="A4" workbookViewId="0">
      <selection activeCell="Q22" sqref="Q22"/>
    </sheetView>
  </sheetViews>
  <sheetFormatPr defaultColWidth="9" defaultRowHeight="13.2"/>
  <sheetData/>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filterMode="1">
    <tabColor rgb="FFFF0000"/>
  </sheetPr>
  <dimension ref="A1:N474"/>
  <sheetViews>
    <sheetView view="pageBreakPreview" zoomScale="85" zoomScaleSheetLayoutView="85" workbookViewId="0">
      <selection activeCell="D9" sqref="D9"/>
    </sheetView>
  </sheetViews>
  <sheetFormatPr defaultColWidth="8.88671875" defaultRowHeight="14.4"/>
  <cols>
    <col min="1" max="1" width="6.33203125" style="995" customWidth="1"/>
    <col min="2" max="2" width="11.44140625" style="996" customWidth="1"/>
    <col min="3" max="3" width="9.109375" style="995"/>
    <col min="4" max="4" width="69.5546875" style="993" customWidth="1"/>
    <col min="5" max="5" width="9.5546875" style="993" customWidth="1"/>
    <col min="6" max="6" width="8.5546875" style="997" customWidth="1"/>
    <col min="7" max="7" width="11.33203125" style="993" customWidth="1"/>
    <col min="8" max="8" width="15.33203125" style="993" customWidth="1"/>
    <col min="9" max="9" width="15" style="993" customWidth="1"/>
    <col min="10" max="10" width="14.44140625" style="993" customWidth="1"/>
    <col min="11" max="11" width="15.33203125" style="993" customWidth="1"/>
    <col min="12" max="16384" width="8.88671875" style="993"/>
  </cols>
  <sheetData>
    <row r="1" spans="1:14">
      <c r="A1" s="3728" t="s">
        <v>1026</v>
      </c>
      <c r="B1" s="3728"/>
      <c r="C1" s="3728"/>
      <c r="D1" s="3728"/>
      <c r="E1" s="3728"/>
      <c r="F1" s="3728"/>
      <c r="G1" s="3728"/>
      <c r="H1" s="3728"/>
    </row>
    <row r="2" spans="1:14">
      <c r="A2" s="3728" t="s">
        <v>1027</v>
      </c>
      <c r="B2" s="3728"/>
      <c r="C2" s="3728"/>
      <c r="D2" s="3728"/>
      <c r="E2" s="3728"/>
      <c r="F2" s="3728"/>
      <c r="G2" s="3728"/>
      <c r="H2" s="3728"/>
    </row>
    <row r="3" spans="1:14" ht="32.4" customHeight="1">
      <c r="A3" s="998" t="s">
        <v>1028</v>
      </c>
      <c r="B3" s="999"/>
      <c r="C3" s="2205"/>
      <c r="D3" s="3729" t="str">
        <f>+'Input Data'!E1</f>
        <v>C/o HLB on R/F Amlikunta to Gundumal of Gundumal Mandal of Narayanept District.</v>
      </c>
      <c r="E3" s="3729"/>
      <c r="F3" s="3729"/>
      <c r="G3" s="3729"/>
      <c r="H3" s="3729"/>
    </row>
    <row r="4" spans="1:14">
      <c r="A4" s="1000" t="s">
        <v>1029</v>
      </c>
      <c r="B4" s="1001"/>
      <c r="C4" s="1002">
        <f>+'Input Data'!J4</f>
        <v>500</v>
      </c>
      <c r="D4" s="1003" t="s">
        <v>329</v>
      </c>
      <c r="E4" s="650" t="s">
        <v>386</v>
      </c>
      <c r="F4" s="3730" t="str">
        <f>'Input Data'!J6</f>
        <v>SDF-2024-25</v>
      </c>
      <c r="G4" s="3730"/>
      <c r="H4" s="651" t="str">
        <f>"NIT.No-"&amp;'Input Data'!L5</f>
        <v>NIT.No--</v>
      </c>
    </row>
    <row r="5" spans="1:14" ht="75" customHeight="1">
      <c r="A5" s="650" t="s">
        <v>1030</v>
      </c>
      <c r="B5" s="3731" t="s">
        <v>1031</v>
      </c>
      <c r="C5" s="3732"/>
      <c r="D5" s="3731"/>
      <c r="E5" s="3731"/>
      <c r="F5" s="3731"/>
      <c r="G5" s="3731"/>
      <c r="H5" s="3731"/>
    </row>
    <row r="6" spans="1:14" ht="60" customHeight="1">
      <c r="A6" s="650" t="s">
        <v>1032</v>
      </c>
      <c r="B6" s="3731" t="s">
        <v>1033</v>
      </c>
      <c r="C6" s="3732"/>
      <c r="D6" s="3731"/>
      <c r="E6" s="3731"/>
      <c r="F6" s="3731"/>
      <c r="G6" s="3731"/>
      <c r="H6" s="3731"/>
    </row>
    <row r="7" spans="1:14" ht="17.399999999999999" customHeight="1">
      <c r="A7" s="650" t="s">
        <v>1034</v>
      </c>
      <c r="B7" s="3734" t="s">
        <v>1035</v>
      </c>
      <c r="C7" s="3732"/>
      <c r="D7" s="3734"/>
      <c r="E7" s="3734"/>
      <c r="F7" s="3734"/>
      <c r="G7" s="3734"/>
      <c r="H7" s="3734"/>
    </row>
    <row r="8" spans="1:14" ht="28.95" customHeight="1">
      <c r="A8" s="650" t="s">
        <v>1036</v>
      </c>
      <c r="B8" s="3731" t="s">
        <v>1037</v>
      </c>
      <c r="C8" s="3732"/>
      <c r="D8" s="3731"/>
      <c r="E8" s="3731"/>
      <c r="F8" s="3731"/>
      <c r="G8" s="3731"/>
      <c r="H8" s="3731"/>
    </row>
    <row r="9" spans="1:14" ht="86.4">
      <c r="A9" s="1005" t="s">
        <v>459</v>
      </c>
      <c r="B9" s="1006" t="s">
        <v>1038</v>
      </c>
      <c r="C9" s="1005" t="s">
        <v>579</v>
      </c>
      <c r="D9" s="1005" t="s">
        <v>1039</v>
      </c>
      <c r="E9" s="1005" t="s">
        <v>1040</v>
      </c>
      <c r="F9" s="1007" t="s">
        <v>1041</v>
      </c>
      <c r="G9" s="1008" t="s">
        <v>1042</v>
      </c>
      <c r="H9" s="1005" t="s">
        <v>531</v>
      </c>
    </row>
    <row r="10" spans="1:14">
      <c r="A10" s="1005">
        <v>1</v>
      </c>
      <c r="B10" s="1005">
        <v>2</v>
      </c>
      <c r="C10" s="1005">
        <v>3</v>
      </c>
      <c r="D10" s="1005">
        <v>4</v>
      </c>
      <c r="E10" s="1005">
        <v>5</v>
      </c>
      <c r="F10" s="1007">
        <v>6</v>
      </c>
      <c r="G10" s="1005">
        <v>7</v>
      </c>
      <c r="H10" s="1005">
        <v>8</v>
      </c>
    </row>
    <row r="11" spans="1:14" s="648" customFormat="1">
      <c r="A11" s="1005"/>
      <c r="B11" s="1006"/>
      <c r="C11" s="1005">
        <v>1</v>
      </c>
      <c r="D11" s="2207" t="s">
        <v>2722</v>
      </c>
      <c r="E11" s="1009"/>
      <c r="F11" s="1007"/>
      <c r="G11" s="1009"/>
      <c r="H11" s="1009"/>
      <c r="L11" s="1010">
        <v>1</v>
      </c>
      <c r="M11" s="1010">
        <v>0</v>
      </c>
      <c r="N11" s="1019">
        <f>H11</f>
        <v>0</v>
      </c>
    </row>
    <row r="12" spans="1:14" s="648" customFormat="1" ht="106.95" customHeight="1">
      <c r="A12" s="1010">
        <f>L12</f>
        <v>1</v>
      </c>
      <c r="B12" s="1011">
        <f>+'Bri estimate Final'!I9</f>
        <v>966.37999999999988</v>
      </c>
      <c r="C12" s="711" t="s">
        <v>31</v>
      </c>
      <c r="D12" s="1004" t="str">
        <f>+'Bri estimate Final'!B6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2" s="718" t="s">
        <v>1052</v>
      </c>
      <c r="F12" s="1012" t="s">
        <v>53</v>
      </c>
      <c r="G12" s="1013">
        <f>+'Bri estimate Final'!J9</f>
        <v>136.06920584583335</v>
      </c>
      <c r="H12" s="1014">
        <f>ROUND(B12*G12,0)</f>
        <v>131495</v>
      </c>
      <c r="L12" s="1020">
        <f t="shared" ref="L12" si="0">IF(M12=M11,0,M12)</f>
        <v>1</v>
      </c>
      <c r="M12" s="1020">
        <f>IF(N12&gt;0,(M11+1),M11)</f>
        <v>1</v>
      </c>
      <c r="N12" s="1019">
        <f>H12</f>
        <v>131495</v>
      </c>
    </row>
    <row r="13" spans="1:14" s="648" customFormat="1" ht="43.2" hidden="1" customHeight="1">
      <c r="A13" s="1010">
        <f t="shared" ref="A13:A40" si="1">L13</f>
        <v>0</v>
      </c>
      <c r="B13" s="1011">
        <f>'Road Estimate'!I12</f>
        <v>0</v>
      </c>
      <c r="C13" s="653" t="s">
        <v>31</v>
      </c>
      <c r="D13" s="1004" t="str">
        <f>'Road Estimate'!B10</f>
        <v xml:space="preserve">Scarifying the granular surface  to a depth of 50 mm by Mechanical means and re-using the scarified material with all leads and lifts  as per MoRT&amp;H (5th Revision) Specn. No.305.4.3    </v>
      </c>
      <c r="E13" s="664" t="s">
        <v>1043</v>
      </c>
      <c r="F13" s="1012" t="s">
        <v>53</v>
      </c>
      <c r="G13" s="1013">
        <f>'Road Estimate'!J12</f>
        <v>43.84</v>
      </c>
      <c r="H13" s="1014">
        <f>ROUND(B13*G13,0)</f>
        <v>0</v>
      </c>
      <c r="L13" s="1020">
        <f>IF(M13=M12,0,M13)</f>
        <v>0</v>
      </c>
      <c r="M13" s="1020">
        <f>IF(N13&gt;0,(M12+1),M12)</f>
        <v>1</v>
      </c>
      <c r="N13" s="1019">
        <f>H13</f>
        <v>0</v>
      </c>
    </row>
    <row r="14" spans="1:14" s="648" customFormat="1" ht="86.4" hidden="1" customHeight="1">
      <c r="A14" s="1010">
        <f t="shared" si="1"/>
        <v>0</v>
      </c>
      <c r="B14" s="1011">
        <f>'Road Estimate'!I16</f>
        <v>0</v>
      </c>
      <c r="C14" s="653" t="s">
        <v>31</v>
      </c>
      <c r="D14" s="1004" t="str">
        <f>'Road Estimate'!B14</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E14" s="664" t="s">
        <v>1044</v>
      </c>
      <c r="F14" s="1012" t="s">
        <v>53</v>
      </c>
      <c r="G14" s="1013">
        <f>'Road Estimate'!$J$16</f>
        <v>140.15</v>
      </c>
      <c r="H14" s="1014">
        <f t="shared" ref="H14:H40" si="2">ROUND(B14*G14,0)</f>
        <v>0</v>
      </c>
      <c r="L14" s="1020">
        <f t="shared" ref="L14:L29" si="3">IF(M14=M13,0,M14)</f>
        <v>0</v>
      </c>
      <c r="M14" s="1020">
        <f t="shared" ref="M14:M29" si="4">IF(N14&gt;0,(M13+1),M13)</f>
        <v>1</v>
      </c>
      <c r="N14" s="1019">
        <f t="shared" ref="N14:N30" si="5">H14</f>
        <v>0</v>
      </c>
    </row>
    <row r="15" spans="1:14" s="648" customFormat="1" ht="148.19999999999999" customHeight="1">
      <c r="A15" s="1010">
        <f t="shared" si="1"/>
        <v>2</v>
      </c>
      <c r="B15" s="1011">
        <f>+'Bri estimate Final'!I18</f>
        <v>175.77</v>
      </c>
      <c r="C15" s="653" t="s">
        <v>31</v>
      </c>
      <c r="D15" s="1004" t="str">
        <f>+'Bri estimate Final'!B15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5" s="718" t="s">
        <v>2725</v>
      </c>
      <c r="F15" s="1012" t="s">
        <v>53</v>
      </c>
      <c r="G15" s="1013">
        <f>+'Bri estimate Final'!J18</f>
        <v>6547.95</v>
      </c>
      <c r="H15" s="1014">
        <f t="shared" si="2"/>
        <v>1150933</v>
      </c>
      <c r="L15" s="1020">
        <f t="shared" si="3"/>
        <v>2</v>
      </c>
      <c r="M15" s="1020">
        <f t="shared" si="4"/>
        <v>2</v>
      </c>
      <c r="N15" s="1019">
        <f t="shared" si="5"/>
        <v>1150933</v>
      </c>
    </row>
    <row r="16" spans="1:14" s="648" customFormat="1" ht="43.2" hidden="1" customHeight="1">
      <c r="A16" s="1010">
        <f t="shared" si="1"/>
        <v>0</v>
      </c>
      <c r="B16" s="1011">
        <f>'Road Estimate'!I24</f>
        <v>0</v>
      </c>
      <c r="C16" s="653" t="s">
        <v>353</v>
      </c>
      <c r="D16" s="1004" t="str">
        <f>'Road Estimate'!B22</f>
        <v xml:space="preserve">Scarifying the existing bitumen surface  to a depth of 50 mm by Mechanical means and disposal of scarified material with all leads and lifts upto 1000 Mtrs as per MoRT&amp;H (5th Revision) Specn. No.305.4.3    </v>
      </c>
      <c r="E16" s="664" t="s">
        <v>1045</v>
      </c>
      <c r="F16" s="1012" t="s">
        <v>137</v>
      </c>
      <c r="G16" s="1013">
        <f>'Road Estimate'!$J$24</f>
        <v>11.24</v>
      </c>
      <c r="H16" s="1014">
        <f t="shared" ref="H16" si="6">ROUND(B16*G16,0)</f>
        <v>0</v>
      </c>
      <c r="L16" s="1020">
        <f>IF(M16=M15,0,M16)</f>
        <v>0</v>
      </c>
      <c r="M16" s="1020">
        <f>IF(N16&gt;0,(M15+1),M15)</f>
        <v>2</v>
      </c>
      <c r="N16" s="1019">
        <f t="shared" si="5"/>
        <v>0</v>
      </c>
    </row>
    <row r="17" spans="1:14" s="648" customFormat="1" ht="129.6">
      <c r="A17" s="1010">
        <f t="shared" si="1"/>
        <v>3</v>
      </c>
      <c r="B17" s="1011">
        <f>+'Bri estimate Final'!I23</f>
        <v>874.39</v>
      </c>
      <c r="C17" s="653" t="s">
        <v>31</v>
      </c>
      <c r="D17" s="1015" t="str">
        <f>+'Bri estimate Final'!B20</f>
        <v xml:space="preserve">Vibrated reinforced cement concrete M30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Raft foundation)  </v>
      </c>
      <c r="E17" s="718" t="s">
        <v>2725</v>
      </c>
      <c r="F17" s="1012" t="s">
        <v>53</v>
      </c>
      <c r="G17" s="1013">
        <f>+'Bri estimate Final'!J23</f>
        <v>8315.23</v>
      </c>
      <c r="H17" s="1014">
        <f t="shared" si="2"/>
        <v>7270754</v>
      </c>
      <c r="L17" s="1020">
        <f t="shared" si="3"/>
        <v>3</v>
      </c>
      <c r="M17" s="1020">
        <f t="shared" si="4"/>
        <v>3</v>
      </c>
      <c r="N17" s="1019">
        <f t="shared" si="5"/>
        <v>7270754</v>
      </c>
    </row>
    <row r="18" spans="1:14" s="648" customFormat="1" ht="151.19999999999999" customHeight="1">
      <c r="A18" s="1010">
        <f t="shared" si="1"/>
        <v>4</v>
      </c>
      <c r="B18" s="1011">
        <f>+'Bri estimate Final'!I32</f>
        <v>399.15</v>
      </c>
      <c r="C18" s="653" t="s">
        <v>31</v>
      </c>
      <c r="D18" s="2206" t="str">
        <f>+'Bri estimate Final'!B25</f>
        <v>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8" s="718" t="s">
        <v>2725</v>
      </c>
      <c r="F18" s="1012" t="s">
        <v>53</v>
      </c>
      <c r="G18" s="1013">
        <f>+'Bri estimate Final'!J32</f>
        <v>7841.16</v>
      </c>
      <c r="H18" s="1014">
        <f t="shared" si="2"/>
        <v>3129799</v>
      </c>
      <c r="L18" s="1020">
        <f t="shared" si="3"/>
        <v>4</v>
      </c>
      <c r="M18" s="1020">
        <f t="shared" si="4"/>
        <v>4</v>
      </c>
      <c r="N18" s="1019">
        <f t="shared" si="5"/>
        <v>3129799</v>
      </c>
    </row>
    <row r="19" spans="1:14" s="648" customFormat="1" ht="144" hidden="1" customHeight="1">
      <c r="A19" s="1010">
        <f t="shared" si="1"/>
        <v>0</v>
      </c>
      <c r="B19" s="1011">
        <f>'Road Estimate'!I39</f>
        <v>0</v>
      </c>
      <c r="C19" s="653" t="s">
        <v>31</v>
      </c>
      <c r="D19" s="1004" t="str">
        <f>'Road Estimate'!B36</f>
        <v>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v>
      </c>
      <c r="E19" s="664" t="s">
        <v>1046</v>
      </c>
      <c r="F19" s="1012" t="s">
        <v>53</v>
      </c>
      <c r="G19" s="1013">
        <f>'Road Estimate'!$J$39</f>
        <v>2702.52</v>
      </c>
      <c r="H19" s="1014">
        <f t="shared" ref="H19" si="7">ROUND(B19*G19,0)</f>
        <v>0</v>
      </c>
      <c r="L19" s="1020">
        <f>IF(M19=M18,0,M19)</f>
        <v>0</v>
      </c>
      <c r="M19" s="1020">
        <f>IF(N19&gt;0,(M18+1),M18)</f>
        <v>4</v>
      </c>
      <c r="N19" s="1019">
        <f t="shared" si="5"/>
        <v>0</v>
      </c>
    </row>
    <row r="20" spans="1:14" s="648" customFormat="1" ht="129.6" hidden="1" customHeight="1">
      <c r="A20" s="1010">
        <f t="shared" si="1"/>
        <v>0</v>
      </c>
      <c r="B20" s="1011">
        <f>'Road Estimate'!I44</f>
        <v>0</v>
      </c>
      <c r="C20" s="653" t="s">
        <v>31</v>
      </c>
      <c r="D20" s="1004" t="str">
        <f>'Road Estimate'!B41</f>
        <v>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v>
      </c>
      <c r="E20" s="664" t="s">
        <v>1046</v>
      </c>
      <c r="F20" s="1012" t="s">
        <v>53</v>
      </c>
      <c r="G20" s="1013">
        <f>'Road Estimate'!$J$44</f>
        <v>2888.47</v>
      </c>
      <c r="H20" s="1014">
        <f t="shared" ref="H20" si="8">ROUND(B20*G20,0)</f>
        <v>0</v>
      </c>
      <c r="L20" s="1020">
        <f t="shared" si="3"/>
        <v>0</v>
      </c>
      <c r="M20" s="1020">
        <f t="shared" si="4"/>
        <v>4</v>
      </c>
      <c r="N20" s="1019">
        <f t="shared" si="5"/>
        <v>0</v>
      </c>
    </row>
    <row r="21" spans="1:14" s="648" customFormat="1" ht="151.94999999999999" customHeight="1">
      <c r="A21" s="1010">
        <f t="shared" si="1"/>
        <v>5</v>
      </c>
      <c r="B21" s="1011">
        <f>+'Bri estimate Final'!I39</f>
        <v>574.14</v>
      </c>
      <c r="C21" s="653" t="s">
        <v>31</v>
      </c>
      <c r="D21" s="2206" t="str">
        <f>+'Bri estimate Final'!B35</f>
        <v>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21" s="718" t="s">
        <v>2725</v>
      </c>
      <c r="F21" s="1012" t="s">
        <v>53</v>
      </c>
      <c r="G21" s="1013">
        <f>+'Bri estimate Final'!J39</f>
        <v>8293.5400000000009</v>
      </c>
      <c r="H21" s="1014">
        <f t="shared" si="2"/>
        <v>4761653</v>
      </c>
      <c r="L21" s="1020">
        <f t="shared" si="3"/>
        <v>5</v>
      </c>
      <c r="M21" s="1020">
        <f t="shared" si="4"/>
        <v>5</v>
      </c>
      <c r="N21" s="1019">
        <f t="shared" si="5"/>
        <v>4761653</v>
      </c>
    </row>
    <row r="22" spans="1:14" s="648" customFormat="1" ht="108.6" customHeight="1">
      <c r="A22" s="1010">
        <f t="shared" si="1"/>
        <v>6</v>
      </c>
      <c r="B22" s="1011">
        <f>+'Bri estimate Final'!I46</f>
        <v>301.48</v>
      </c>
      <c r="C22" s="711" t="s">
        <v>31</v>
      </c>
      <c r="D22" s="1004" t="str">
        <f>+'Bri estimate Final'!B41</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22" s="718" t="s">
        <v>2725</v>
      </c>
      <c r="F22" s="1012" t="s">
        <v>53</v>
      </c>
      <c r="G22" s="1013">
        <f>+'Bri estimate Final'!J46</f>
        <v>8813.32</v>
      </c>
      <c r="H22" s="1014">
        <f t="shared" si="2"/>
        <v>2657040</v>
      </c>
      <c r="L22" s="1020">
        <f t="shared" si="3"/>
        <v>6</v>
      </c>
      <c r="M22" s="1020">
        <f t="shared" si="4"/>
        <v>6</v>
      </c>
      <c r="N22" s="1019">
        <f t="shared" si="5"/>
        <v>2657040</v>
      </c>
    </row>
    <row r="23" spans="1:14" s="648" customFormat="1" ht="129.6">
      <c r="A23" s="1010">
        <f t="shared" si="1"/>
        <v>7</v>
      </c>
      <c r="B23" s="1011">
        <f>+'Bri estimate Final'!I52</f>
        <v>373.68</v>
      </c>
      <c r="C23" s="711" t="s">
        <v>31</v>
      </c>
      <c r="D23" s="1004" t="str">
        <f>+'Bri estimate Final'!B49</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23" s="718" t="s">
        <v>2724</v>
      </c>
      <c r="F23" s="1012" t="s">
        <v>53</v>
      </c>
      <c r="G23" s="1013">
        <f>+'Bri estimate Final'!J52</f>
        <v>9582.9500000000007</v>
      </c>
      <c r="H23" s="1014">
        <f t="shared" si="2"/>
        <v>3580957</v>
      </c>
      <c r="L23" s="1020">
        <f t="shared" si="3"/>
        <v>7</v>
      </c>
      <c r="M23" s="1020">
        <f t="shared" si="4"/>
        <v>7</v>
      </c>
      <c r="N23" s="1019">
        <f t="shared" si="5"/>
        <v>3580957</v>
      </c>
    </row>
    <row r="24" spans="1:14" s="648" customFormat="1" ht="187.2" hidden="1" customHeight="1">
      <c r="A24" s="1010">
        <f t="shared" si="1"/>
        <v>0</v>
      </c>
      <c r="B24" s="1011">
        <f>'Road Estimate'!I63</f>
        <v>0</v>
      </c>
      <c r="C24" s="653" t="s">
        <v>353</v>
      </c>
      <c r="D24" s="1004" t="str">
        <f>'Road Estimate'!B61</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E24" s="664" t="s">
        <v>1047</v>
      </c>
      <c r="F24" s="1012" t="s">
        <v>137</v>
      </c>
      <c r="G24" s="1013">
        <f>'Road Estimate'!$J$63</f>
        <v>148.82</v>
      </c>
      <c r="H24" s="1014">
        <f t="shared" ref="H24" si="9">ROUND(B24*G24,0)</f>
        <v>0</v>
      </c>
      <c r="L24" s="1020">
        <f>IF(M24=M23,0,M24)</f>
        <v>0</v>
      </c>
      <c r="M24" s="1020">
        <f>IF(N24&gt;0,(M23+1),M23)</f>
        <v>7</v>
      </c>
      <c r="N24" s="1019">
        <f t="shared" si="5"/>
        <v>0</v>
      </c>
    </row>
    <row r="25" spans="1:14" s="648" customFormat="1" ht="216" hidden="1" customHeight="1">
      <c r="A25" s="1010">
        <f t="shared" si="1"/>
        <v>0</v>
      </c>
      <c r="B25" s="1011">
        <f>'Road Estimate'!I67</f>
        <v>0</v>
      </c>
      <c r="C25" s="653" t="s">
        <v>353</v>
      </c>
      <c r="D25" s="1004" t="str">
        <f>'Road Estimate'!B65</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E25" s="664" t="s">
        <v>1048</v>
      </c>
      <c r="F25" s="1012" t="s">
        <v>137</v>
      </c>
      <c r="G25" s="1013">
        <f>'Road Estimate'!$J$67</f>
        <v>59.72</v>
      </c>
      <c r="H25" s="1014">
        <f t="shared" ref="H25" si="10">ROUND(B25*G25,0)</f>
        <v>0</v>
      </c>
      <c r="L25" s="1020">
        <f t="shared" si="3"/>
        <v>0</v>
      </c>
      <c r="M25" s="1020">
        <f t="shared" si="4"/>
        <v>7</v>
      </c>
      <c r="N25" s="1019">
        <f t="shared" si="5"/>
        <v>0</v>
      </c>
    </row>
    <row r="26" spans="1:14" s="648" customFormat="1" ht="144" hidden="1" customHeight="1">
      <c r="A26" s="1010">
        <f t="shared" si="1"/>
        <v>0</v>
      </c>
      <c r="B26" s="1011">
        <f>'Road Estimate'!I71</f>
        <v>0</v>
      </c>
      <c r="C26" s="653" t="s">
        <v>31</v>
      </c>
      <c r="D26" s="1004" t="str">
        <f>'Road Estimate'!B69</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E26" s="664" t="s">
        <v>1049</v>
      </c>
      <c r="F26" s="1012" t="s">
        <v>53</v>
      </c>
      <c r="G26" s="1013">
        <f>'Road Estimate'!$J$71</f>
        <v>9626.73</v>
      </c>
      <c r="H26" s="1014">
        <f t="shared" si="2"/>
        <v>0</v>
      </c>
      <c r="L26" s="1020">
        <f t="shared" si="3"/>
        <v>0</v>
      </c>
      <c r="M26" s="1020">
        <f t="shared" si="4"/>
        <v>7</v>
      </c>
      <c r="N26" s="1019">
        <f t="shared" si="5"/>
        <v>0</v>
      </c>
    </row>
    <row r="27" spans="1:14" s="648" customFormat="1" ht="72" hidden="1" customHeight="1">
      <c r="A27" s="1010">
        <f t="shared" si="1"/>
        <v>0</v>
      </c>
      <c r="B27" s="1011">
        <f>'Road Estimate'!I75</f>
        <v>0</v>
      </c>
      <c r="C27" s="653" t="s">
        <v>353</v>
      </c>
      <c r="D27" s="1004" t="str">
        <f>'Road Estimate'!B73</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E27" s="664" t="s">
        <v>1050</v>
      </c>
      <c r="F27" s="1012" t="s">
        <v>137</v>
      </c>
      <c r="G27" s="1013">
        <f>'Road Estimate'!$J$75</f>
        <v>12.4</v>
      </c>
      <c r="H27" s="1014">
        <f t="shared" ref="H27" si="11">ROUND(B27*G27,0)</f>
        <v>0</v>
      </c>
      <c r="L27" s="1020">
        <f t="shared" si="3"/>
        <v>0</v>
      </c>
      <c r="M27" s="1020">
        <f t="shared" si="4"/>
        <v>7</v>
      </c>
      <c r="N27" s="1019">
        <f t="shared" si="5"/>
        <v>0</v>
      </c>
    </row>
    <row r="28" spans="1:14" s="648" customFormat="1" ht="100.95" hidden="1" customHeight="1">
      <c r="A28" s="1010">
        <f t="shared" si="1"/>
        <v>0</v>
      </c>
      <c r="B28" s="1011">
        <f>'Road Estimate'!I79</f>
        <v>0</v>
      </c>
      <c r="C28" s="653" t="s">
        <v>353</v>
      </c>
      <c r="D28" s="1004" t="str">
        <f>'Road Estimate'!B77</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E28" s="664" t="s">
        <v>1051</v>
      </c>
      <c r="F28" s="1012" t="s">
        <v>137</v>
      </c>
      <c r="G28" s="1013">
        <f>'Road Estimate'!$J$79</f>
        <v>10458.16</v>
      </c>
      <c r="H28" s="1014">
        <f t="shared" si="2"/>
        <v>0</v>
      </c>
      <c r="L28" s="1020">
        <f t="shared" si="3"/>
        <v>0</v>
      </c>
      <c r="M28" s="1020">
        <f t="shared" si="4"/>
        <v>7</v>
      </c>
      <c r="N28" s="1019">
        <f t="shared" si="5"/>
        <v>0</v>
      </c>
    </row>
    <row r="29" spans="1:14" s="648" customFormat="1" ht="69" customHeight="1">
      <c r="A29" s="1010">
        <f t="shared" si="1"/>
        <v>8</v>
      </c>
      <c r="B29" s="1011">
        <f>+'Bri estimate Final'!I56</f>
        <v>148.75</v>
      </c>
      <c r="C29" s="653" t="s">
        <v>31</v>
      </c>
      <c r="D29" s="1004" t="str">
        <f>+'Bri estimate Final'!B54</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E29" s="718" t="s">
        <v>1056</v>
      </c>
      <c r="F29" s="1012" t="s">
        <v>53</v>
      </c>
      <c r="G29" s="1013">
        <f>+'Bri estimate Final'!J56</f>
        <v>801.15</v>
      </c>
      <c r="H29" s="1014">
        <f t="shared" si="2"/>
        <v>119171</v>
      </c>
      <c r="L29" s="1020">
        <f t="shared" si="3"/>
        <v>8</v>
      </c>
      <c r="M29" s="1020">
        <f t="shared" si="4"/>
        <v>8</v>
      </c>
      <c r="N29" s="1019">
        <f t="shared" si="5"/>
        <v>119171</v>
      </c>
    </row>
    <row r="30" spans="1:14" s="648" customFormat="1" ht="139.19999999999999" customHeight="1">
      <c r="A30" s="1010">
        <f t="shared" si="1"/>
        <v>9</v>
      </c>
      <c r="B30" s="1011">
        <f>+'Bri estimate Final'!I60</f>
        <v>48.42</v>
      </c>
      <c r="C30" s="653" t="s">
        <v>31</v>
      </c>
      <c r="D30" s="1004" t="str">
        <f>+'Bri estimate Final'!B58</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30" s="718" t="s">
        <v>2723</v>
      </c>
      <c r="F30" s="1012" t="s">
        <v>53</v>
      </c>
      <c r="G30" s="1013">
        <f>+'Bri estimate Final'!J60</f>
        <v>8090.44</v>
      </c>
      <c r="H30" s="1014">
        <f t="shared" si="2"/>
        <v>391739</v>
      </c>
      <c r="L30" s="1020">
        <f>IF(M30=M29,0,M30)</f>
        <v>9</v>
      </c>
      <c r="M30" s="1020">
        <f>IF(N30&gt;0,(M29+1),M29)</f>
        <v>9</v>
      </c>
      <c r="N30" s="1019">
        <f t="shared" si="5"/>
        <v>391739</v>
      </c>
    </row>
    <row r="31" spans="1:14" s="648" customFormat="1" ht="129.6" hidden="1">
      <c r="A31" s="1010">
        <f t="shared" si="1"/>
        <v>10</v>
      </c>
      <c r="B31" s="1011">
        <f>+'Bri estimate Final'!I64</f>
        <v>6048</v>
      </c>
      <c r="C31" s="326" t="s">
        <v>31</v>
      </c>
      <c r="D31" s="2204" t="str">
        <f>+'Bri estimate Final'!B62</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31" s="718" t="s">
        <v>1044</v>
      </c>
      <c r="F31" s="1012" t="s">
        <v>53</v>
      </c>
      <c r="G31" s="1011">
        <f>+'Bri estimate Final'!J64</f>
        <v>297.89</v>
      </c>
      <c r="H31" s="1014">
        <f t="shared" si="2"/>
        <v>1801639</v>
      </c>
      <c r="L31" s="1020">
        <f t="shared" ref="L31:L43" si="12">IF(M31=M30,0,M31)</f>
        <v>10</v>
      </c>
      <c r="M31" s="1020">
        <f t="shared" ref="M31:M40" si="13">IF(N31&gt;0,(M30+1),M30)</f>
        <v>10</v>
      </c>
      <c r="N31" s="1019">
        <f t="shared" ref="N31:N40" si="14">H31</f>
        <v>1801639</v>
      </c>
    </row>
    <row r="32" spans="1:14" s="648" customFormat="1" ht="115.2">
      <c r="A32" s="1010">
        <f t="shared" si="1"/>
        <v>11</v>
      </c>
      <c r="B32" s="1011">
        <f>+'Bri estimate Final'!I68</f>
        <v>7.88</v>
      </c>
      <c r="C32" s="711" t="s">
        <v>31</v>
      </c>
      <c r="D32" s="2204" t="str">
        <f>+'Bri estimate Final'!B66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E32" s="718" t="s">
        <v>2725</v>
      </c>
      <c r="F32" s="2208" t="s">
        <v>53</v>
      </c>
      <c r="G32" s="1011">
        <f>+'Bri estimate Final'!J68</f>
        <v>7050.69</v>
      </c>
      <c r="H32" s="1014">
        <f t="shared" si="2"/>
        <v>55559</v>
      </c>
      <c r="L32" s="1020">
        <f t="shared" si="12"/>
        <v>11</v>
      </c>
      <c r="M32" s="1020">
        <f t="shared" si="13"/>
        <v>11</v>
      </c>
      <c r="N32" s="1019">
        <f t="shared" si="14"/>
        <v>55559</v>
      </c>
    </row>
    <row r="33" spans="1:14" s="648" customFormat="1" ht="129.6">
      <c r="A33" s="1010">
        <f t="shared" si="1"/>
        <v>12</v>
      </c>
      <c r="B33" s="1011">
        <f>+'Bri estimate Final'!I72</f>
        <v>7.88</v>
      </c>
      <c r="C33" s="711" t="s">
        <v>31</v>
      </c>
      <c r="D33" s="2204" t="str">
        <f>+'Bri estimate Final'!B70</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E33" s="718" t="s">
        <v>2727</v>
      </c>
      <c r="F33" s="2208" t="s">
        <v>53</v>
      </c>
      <c r="G33" s="1011">
        <f>+'Bri estimate Final'!J72</f>
        <v>8198.74</v>
      </c>
      <c r="H33" s="1014">
        <f t="shared" si="2"/>
        <v>64606</v>
      </c>
      <c r="L33" s="1020">
        <f t="shared" si="12"/>
        <v>12</v>
      </c>
      <c r="M33" s="1020">
        <f t="shared" si="13"/>
        <v>12</v>
      </c>
      <c r="N33" s="1019">
        <f t="shared" si="14"/>
        <v>64606</v>
      </c>
    </row>
    <row r="34" spans="1:14" s="648" customFormat="1" ht="86.4">
      <c r="A34" s="1010">
        <f t="shared" si="1"/>
        <v>13</v>
      </c>
      <c r="B34" s="1011">
        <f>+'Bri estimate Final'!I76</f>
        <v>158.91999999999999</v>
      </c>
      <c r="C34" s="711" t="s">
        <v>107</v>
      </c>
      <c r="D34" s="2204" t="str">
        <f>+'Bri estimate Final'!B74</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E34" s="718" t="s">
        <v>2728</v>
      </c>
      <c r="F34" s="2208" t="s">
        <v>112</v>
      </c>
      <c r="G34" s="1011">
        <f>+'Bri estimate Final'!J76</f>
        <v>642.07593751082038</v>
      </c>
      <c r="H34" s="1014">
        <f t="shared" si="2"/>
        <v>102039</v>
      </c>
      <c r="L34" s="1020">
        <f t="shared" si="12"/>
        <v>13</v>
      </c>
      <c r="M34" s="1020">
        <f t="shared" si="13"/>
        <v>13</v>
      </c>
      <c r="N34" s="1019">
        <f t="shared" si="14"/>
        <v>102039</v>
      </c>
    </row>
    <row r="35" spans="1:14" s="648" customFormat="1" ht="115.2">
      <c r="A35" s="1010">
        <f t="shared" si="1"/>
        <v>14</v>
      </c>
      <c r="B35" s="1011">
        <f>+'Bri estimate Final'!I80</f>
        <v>280</v>
      </c>
      <c r="C35" s="711" t="s">
        <v>107</v>
      </c>
      <c r="D35" s="2204" t="str">
        <f>+'Bri estimate Final'!B78</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E35" s="718" t="s">
        <v>2729</v>
      </c>
      <c r="F35" s="2208" t="s">
        <v>112</v>
      </c>
      <c r="G35" s="1011">
        <f>+'Bri estimate Final'!J80</f>
        <v>711.68633333333332</v>
      </c>
      <c r="H35" s="1014">
        <f t="shared" si="2"/>
        <v>199272</v>
      </c>
      <c r="L35" s="1020">
        <f t="shared" si="12"/>
        <v>14</v>
      </c>
      <c r="M35" s="1020">
        <f t="shared" si="13"/>
        <v>14</v>
      </c>
      <c r="N35" s="1019">
        <f t="shared" si="14"/>
        <v>199272</v>
      </c>
    </row>
    <row r="36" spans="1:14" s="648" customFormat="1" ht="144">
      <c r="A36" s="1010">
        <f t="shared" si="1"/>
        <v>15</v>
      </c>
      <c r="B36" s="1011">
        <f>+'Bri estimate Final'!I84</f>
        <v>26.57</v>
      </c>
      <c r="C36" s="711" t="s">
        <v>31</v>
      </c>
      <c r="D36" s="2204" t="str">
        <f>+'Bri estimate Final'!B82</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E36" s="718" t="s">
        <v>1056</v>
      </c>
      <c r="F36" s="2208" t="s">
        <v>53</v>
      </c>
      <c r="G36" s="1011">
        <f>+'Bri estimate Final'!J84</f>
        <v>2587.65</v>
      </c>
      <c r="H36" s="1014">
        <f t="shared" si="2"/>
        <v>68754</v>
      </c>
      <c r="L36" s="1020">
        <f t="shared" si="12"/>
        <v>15</v>
      </c>
      <c r="M36" s="1020">
        <f t="shared" si="13"/>
        <v>15</v>
      </c>
      <c r="N36" s="1019">
        <f t="shared" si="14"/>
        <v>68754</v>
      </c>
    </row>
    <row r="37" spans="1:14" s="648" customFormat="1" ht="57.6">
      <c r="A37" s="1010">
        <f t="shared" si="1"/>
        <v>16</v>
      </c>
      <c r="B37" s="1011">
        <f>+'Bri estimate Final'!I90</f>
        <v>1156.71</v>
      </c>
      <c r="C37" s="711" t="s">
        <v>31</v>
      </c>
      <c r="D37" s="2204" t="str">
        <f>+'Bri estimate Final'!B86</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37" s="718" t="s">
        <v>1053</v>
      </c>
      <c r="F37" s="2208" t="s">
        <v>53</v>
      </c>
      <c r="G37" s="1011">
        <f>+'Bri estimate Final'!J90</f>
        <v>2216.91</v>
      </c>
      <c r="H37" s="1014">
        <f t="shared" si="2"/>
        <v>2564322</v>
      </c>
      <c r="L37" s="1020">
        <f t="shared" si="12"/>
        <v>16</v>
      </c>
      <c r="M37" s="1020">
        <f t="shared" si="13"/>
        <v>16</v>
      </c>
      <c r="N37" s="1019">
        <f t="shared" si="14"/>
        <v>2564322</v>
      </c>
    </row>
    <row r="38" spans="1:14" s="648" customFormat="1" ht="144">
      <c r="A38" s="1010">
        <f t="shared" si="1"/>
        <v>17</v>
      </c>
      <c r="B38" s="1011">
        <f>+'Bri estimate Final'!I94</f>
        <v>96</v>
      </c>
      <c r="C38" s="711" t="s">
        <v>66</v>
      </c>
      <c r="D38" s="2204" t="str">
        <f>+'Bri estimate Final'!B93</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E38" s="718" t="s">
        <v>2726</v>
      </c>
      <c r="F38" s="2208" t="s">
        <v>1054</v>
      </c>
      <c r="G38" s="1011">
        <f>+'Bri estimate Final'!J94</f>
        <v>74877.55</v>
      </c>
      <c r="H38" s="1014">
        <f t="shared" si="2"/>
        <v>7188245</v>
      </c>
      <c r="L38" s="1020">
        <f t="shared" si="12"/>
        <v>17</v>
      </c>
      <c r="M38" s="1020">
        <f t="shared" si="13"/>
        <v>17</v>
      </c>
      <c r="N38" s="1019">
        <f t="shared" si="14"/>
        <v>7188245</v>
      </c>
    </row>
    <row r="39" spans="1:14" s="648" customFormat="1" ht="144">
      <c r="A39" s="1010">
        <f t="shared" si="1"/>
        <v>18</v>
      </c>
      <c r="B39" s="1011">
        <f>+'Bri estimate Final'!I98</f>
        <v>29</v>
      </c>
      <c r="C39" s="711" t="s">
        <v>66</v>
      </c>
      <c r="D39" s="2204" t="str">
        <f>+'Bri estimate Final'!B97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E39" s="718" t="s">
        <v>2726</v>
      </c>
      <c r="F39" s="2208" t="s">
        <v>1054</v>
      </c>
      <c r="G39" s="1011">
        <f>+'Bri estimate Final'!J98</f>
        <v>75210.44</v>
      </c>
      <c r="H39" s="1014">
        <f t="shared" si="2"/>
        <v>2181103</v>
      </c>
      <c r="L39" s="1020">
        <f t="shared" si="12"/>
        <v>18</v>
      </c>
      <c r="M39" s="1020">
        <f t="shared" si="13"/>
        <v>18</v>
      </c>
      <c r="N39" s="1019">
        <f t="shared" si="14"/>
        <v>2181103</v>
      </c>
    </row>
    <row r="40" spans="1:14" s="648" customFormat="1" ht="144">
      <c r="A40" s="1010">
        <f t="shared" si="1"/>
        <v>19</v>
      </c>
      <c r="B40" s="1011">
        <f>+'Bri estimate Final'!I101</f>
        <v>29</v>
      </c>
      <c r="C40" s="711" t="s">
        <v>66</v>
      </c>
      <c r="D40" s="2204" t="str">
        <f>+'Bri estimate Final'!B100</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40" s="718" t="s">
        <v>2726</v>
      </c>
      <c r="F40" s="2208" t="s">
        <v>1054</v>
      </c>
      <c r="G40" s="1011">
        <f>+'Bri estimate Final'!J101</f>
        <v>77481.45</v>
      </c>
      <c r="H40" s="1014">
        <f t="shared" si="2"/>
        <v>2246962</v>
      </c>
      <c r="L40" s="1020">
        <f t="shared" si="12"/>
        <v>19</v>
      </c>
      <c r="M40" s="1020">
        <f t="shared" si="13"/>
        <v>19</v>
      </c>
      <c r="N40" s="1019">
        <f t="shared" si="14"/>
        <v>2246962</v>
      </c>
    </row>
    <row r="41" spans="1:14" s="648" customFormat="1">
      <c r="A41" s="1010"/>
      <c r="B41" s="1011"/>
      <c r="C41" s="651">
        <v>5</v>
      </c>
      <c r="D41" s="1003" t="s">
        <v>560</v>
      </c>
      <c r="E41" s="664"/>
      <c r="F41" s="1016"/>
      <c r="G41" s="1026"/>
      <c r="H41" s="1014"/>
      <c r="I41" s="1021"/>
      <c r="J41" s="1022"/>
      <c r="K41" s="1023"/>
      <c r="L41" s="1020">
        <f t="shared" si="12"/>
        <v>0</v>
      </c>
      <c r="M41" s="1020">
        <f t="shared" ref="M41:M43" si="15">IF(N41&gt;0,(M40+1),M40)</f>
        <v>19</v>
      </c>
      <c r="N41" s="1019">
        <f t="shared" ref="N41:N43" si="16">H41</f>
        <v>0</v>
      </c>
    </row>
    <row r="42" spans="1:14" s="648" customFormat="1" ht="71.25" customHeight="1">
      <c r="A42" s="1010">
        <f t="shared" ref="A42:A50" si="17">L42</f>
        <v>20</v>
      </c>
      <c r="B42" s="1027">
        <f>'Road-furniture '!C5</f>
        <v>2</v>
      </c>
      <c r="C42" s="1013" t="s">
        <v>553</v>
      </c>
      <c r="D42" s="1004" t="s">
        <v>1070</v>
      </c>
      <c r="E42" s="664" t="s">
        <v>1071</v>
      </c>
      <c r="F42" s="1016" t="s">
        <v>241</v>
      </c>
      <c r="G42" s="1018">
        <f>'Road-furniture '!$E$5</f>
        <v>3061.9873815519522</v>
      </c>
      <c r="H42" s="1014">
        <f t="shared" ref="H42:H43" si="18">ROUND(B42*G42,0)</f>
        <v>6124</v>
      </c>
      <c r="L42" s="1020">
        <f t="shared" si="12"/>
        <v>20</v>
      </c>
      <c r="M42" s="1020">
        <f t="shared" si="15"/>
        <v>20</v>
      </c>
      <c r="N42" s="1019">
        <f t="shared" si="16"/>
        <v>6124</v>
      </c>
    </row>
    <row r="43" spans="1:14" s="648" customFormat="1" ht="79.2" customHeight="1">
      <c r="A43" s="1010">
        <f t="shared" si="17"/>
        <v>21</v>
      </c>
      <c r="B43" s="1027">
        <f>'Road-furniture '!C6</f>
        <v>2</v>
      </c>
      <c r="C43" s="1013" t="s">
        <v>553</v>
      </c>
      <c r="D43" s="1004" t="s">
        <v>1072</v>
      </c>
      <c r="E43" s="664" t="s">
        <v>1071</v>
      </c>
      <c r="F43" s="1016" t="s">
        <v>241</v>
      </c>
      <c r="G43" s="1018">
        <f>'Road-furniture '!$E$6</f>
        <v>1009.3963435712323</v>
      </c>
      <c r="H43" s="1014">
        <f t="shared" si="18"/>
        <v>2019</v>
      </c>
      <c r="L43" s="1020">
        <f t="shared" si="12"/>
        <v>21</v>
      </c>
      <c r="M43" s="1020">
        <f t="shared" si="15"/>
        <v>21</v>
      </c>
      <c r="N43" s="1019">
        <f t="shared" si="16"/>
        <v>2019</v>
      </c>
    </row>
    <row r="44" spans="1:14" s="648" customFormat="1" ht="234.6" customHeight="1">
      <c r="A44" s="1010">
        <f t="shared" si="17"/>
        <v>22</v>
      </c>
      <c r="B44" s="1027">
        <f>'Road-furniture '!C8</f>
        <v>2</v>
      </c>
      <c r="C44" s="1013" t="s">
        <v>553</v>
      </c>
      <c r="D44" s="1004" t="str">
        <f>'Road-furniture '!B7</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E44" s="664" t="s">
        <v>1073</v>
      </c>
      <c r="F44" s="1016" t="s">
        <v>241</v>
      </c>
      <c r="G44" s="1018">
        <f>'Road-furniture '!$E$8</f>
        <v>17444.593424758499</v>
      </c>
      <c r="H44" s="1014">
        <f t="shared" ref="H44:H46" si="19">ROUND(B44*G44,0)</f>
        <v>34889</v>
      </c>
      <c r="L44" s="1020">
        <f t="shared" ref="L44:L50" si="20">IF(M44=M43,0,M44)</f>
        <v>22</v>
      </c>
      <c r="M44" s="1020">
        <f t="shared" ref="M44:M50" si="21">IF(N44&gt;0,(M43+1),M43)</f>
        <v>22</v>
      </c>
      <c r="N44" s="1019">
        <f t="shared" ref="N44:N50" si="22">H44</f>
        <v>34889</v>
      </c>
    </row>
    <row r="45" spans="1:14" s="648" customFormat="1" ht="190.95" customHeight="1">
      <c r="A45" s="1010">
        <f t="shared" si="17"/>
        <v>23</v>
      </c>
      <c r="B45" s="1027">
        <f>'Road-furniture '!C10</f>
        <v>2</v>
      </c>
      <c r="C45" s="1013" t="s">
        <v>553</v>
      </c>
      <c r="D45" s="1004" t="str">
        <f>'Road-furniture '!B9</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E45" s="664" t="s">
        <v>1073</v>
      </c>
      <c r="F45" s="1016" t="s">
        <v>241</v>
      </c>
      <c r="G45" s="1018">
        <f>'Road-furniture '!$E$10</f>
        <v>2988.8674190850002</v>
      </c>
      <c r="H45" s="1014">
        <f t="shared" si="19"/>
        <v>5978</v>
      </c>
      <c r="L45" s="1020">
        <f t="shared" si="20"/>
        <v>23</v>
      </c>
      <c r="M45" s="1020">
        <f t="shared" si="21"/>
        <v>23</v>
      </c>
      <c r="N45" s="1019">
        <f t="shared" si="22"/>
        <v>5978</v>
      </c>
    </row>
    <row r="46" spans="1:14" s="648" customFormat="1" ht="168.6" customHeight="1">
      <c r="A46" s="1010">
        <f t="shared" si="17"/>
        <v>24</v>
      </c>
      <c r="B46" s="1027">
        <f>'Road-furniture '!C12</f>
        <v>4</v>
      </c>
      <c r="C46" s="1013" t="s">
        <v>553</v>
      </c>
      <c r="D46" s="1004" t="str">
        <f>'Road-furniture '!B11</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E46" s="664" t="s">
        <v>1073</v>
      </c>
      <c r="F46" s="1016" t="s">
        <v>241</v>
      </c>
      <c r="G46" s="1018">
        <f>'Road-furniture '!$E$12</f>
        <v>2509.6553502269999</v>
      </c>
      <c r="H46" s="1014">
        <f t="shared" si="19"/>
        <v>10039</v>
      </c>
      <c r="I46" s="1022">
        <f>SUM(H42:H46)</f>
        <v>59049</v>
      </c>
      <c r="L46" s="1020">
        <f t="shared" si="20"/>
        <v>24</v>
      </c>
      <c r="M46" s="1020">
        <f t="shared" si="21"/>
        <v>24</v>
      </c>
      <c r="N46" s="1019">
        <f t="shared" si="22"/>
        <v>10039</v>
      </c>
    </row>
    <row r="47" spans="1:14" s="648" customFormat="1" hidden="1">
      <c r="A47" s="1010">
        <f t="shared" si="17"/>
        <v>0</v>
      </c>
      <c r="B47" s="1027"/>
      <c r="C47" s="1013"/>
      <c r="D47" s="1003" t="s">
        <v>889</v>
      </c>
      <c r="E47" s="664"/>
      <c r="F47" s="1016"/>
      <c r="G47" s="1018"/>
      <c r="H47" s="1014"/>
      <c r="I47" s="1022"/>
      <c r="L47" s="1020">
        <v>0</v>
      </c>
      <c r="M47" s="1020">
        <f t="shared" si="21"/>
        <v>24</v>
      </c>
      <c r="N47" s="1019">
        <f t="shared" si="22"/>
        <v>0</v>
      </c>
    </row>
    <row r="48" spans="1:14" s="648" customFormat="1" ht="60.9" hidden="1" customHeight="1">
      <c r="A48" s="1010">
        <f t="shared" si="17"/>
        <v>0</v>
      </c>
      <c r="B48" s="1028">
        <f>'RSI-Estt'!I12</f>
        <v>0</v>
      </c>
      <c r="C48" s="1013" t="s">
        <v>553</v>
      </c>
      <c r="D48" s="1004" t="str">
        <f>'RSI-Estt'!B6</f>
        <v>Cost, supply and fixing on road of Reflective Studs - RMP (Twin Moulded Shanks) including cost and conveyance and all labour charges and including contractors profit &amp; Over head charges,  but excluding  GST etc,. Complete.</v>
      </c>
      <c r="E48" s="664" t="s">
        <v>1074</v>
      </c>
      <c r="F48" s="1016" t="s">
        <v>1055</v>
      </c>
      <c r="G48" s="1018">
        <f>'RSI-Estt'!J12</f>
        <v>399</v>
      </c>
      <c r="H48" s="1014">
        <f>ROUND(B48*G48,0)</f>
        <v>0</v>
      </c>
      <c r="I48" s="1022"/>
      <c r="L48" s="1020">
        <f t="shared" si="20"/>
        <v>0</v>
      </c>
      <c r="M48" s="1020">
        <f t="shared" si="21"/>
        <v>24</v>
      </c>
      <c r="N48" s="1019">
        <f t="shared" si="22"/>
        <v>0</v>
      </c>
    </row>
    <row r="49" spans="1:14" s="648" customFormat="1" ht="60.9" hidden="1" customHeight="1">
      <c r="A49" s="1010">
        <f t="shared" si="17"/>
        <v>0</v>
      </c>
      <c r="B49" s="1028">
        <f>'RSI-Estt'!I18</f>
        <v>0</v>
      </c>
      <c r="C49" s="1013" t="s">
        <v>353</v>
      </c>
      <c r="D49" s="1004" t="str">
        <f>'RSI-Estt'!B14</f>
        <v>Cost, supply and Painting on road of Thermoplastic Paint of 2.50 mm thick including cost and conveyance and all labour charges and including contractors profit &amp; Over head charges,  but excluding  GST etc,. Complete.</v>
      </c>
      <c r="E49" s="664"/>
      <c r="F49" s="1016" t="s">
        <v>137</v>
      </c>
      <c r="G49" s="1018">
        <f>'RSI-Estt'!J18</f>
        <v>728</v>
      </c>
      <c r="H49" s="1014">
        <f>ROUND(B49*G49,0)</f>
        <v>0</v>
      </c>
      <c r="I49" s="1022"/>
      <c r="L49" s="1020">
        <f t="shared" si="20"/>
        <v>0</v>
      </c>
      <c r="M49" s="1020">
        <f t="shared" si="21"/>
        <v>24</v>
      </c>
      <c r="N49" s="1019">
        <f t="shared" si="22"/>
        <v>0</v>
      </c>
    </row>
    <row r="50" spans="1:14" s="994" customFormat="1" ht="60.9" hidden="1" customHeight="1">
      <c r="A50" s="1010">
        <f t="shared" si="17"/>
        <v>0</v>
      </c>
      <c r="B50" s="2109">
        <f>'RSI-Estt'!I26</f>
        <v>0</v>
      </c>
      <c r="C50" s="1013" t="s">
        <v>353</v>
      </c>
      <c r="D50" s="1004" t="str">
        <f>'RSI-Estt'!B24</f>
        <v>Cost, supply and Painting on road for Rumble strips 7.5mm thick (in 3 layers each of 2.5mm thick)  including cost and conveyance and all labour charges and including contractors profit &amp; Over head charges,  but excluding  GST etc,. Complete.</v>
      </c>
      <c r="E50" s="650"/>
      <c r="F50" s="1016" t="s">
        <v>137</v>
      </c>
      <c r="G50" s="2108">
        <f>'RSI-Estt'!J26</f>
        <v>2107</v>
      </c>
      <c r="H50" s="1014">
        <f>ROUND(B50*G50,0)</f>
        <v>0</v>
      </c>
      <c r="I50" s="1021"/>
      <c r="L50" s="1020">
        <f t="shared" si="20"/>
        <v>0</v>
      </c>
      <c r="M50" s="1020">
        <f t="shared" si="21"/>
        <v>24</v>
      </c>
      <c r="N50" s="1019">
        <f t="shared" si="22"/>
        <v>0</v>
      </c>
    </row>
    <row r="51" spans="1:14" s="648" customFormat="1" hidden="1">
      <c r="A51" s="1010"/>
      <c r="B51" s="1011"/>
      <c r="C51" s="1013"/>
      <c r="D51" s="1004"/>
      <c r="E51" s="664"/>
      <c r="F51" s="1016"/>
      <c r="G51" s="1018"/>
      <c r="H51" s="1014"/>
      <c r="I51" s="1022">
        <f>SUM(H42:H48)</f>
        <v>59049</v>
      </c>
      <c r="J51" s="1022">
        <f>'Road-furniture '!G18</f>
        <v>59049</v>
      </c>
      <c r="K51" s="1023">
        <f>I51-J51</f>
        <v>0</v>
      </c>
      <c r="L51" s="1020">
        <f>IF(M51=M49,0,M51)</f>
        <v>0</v>
      </c>
      <c r="M51" s="1020">
        <f>IF(N51&gt;0,(M49+1),M49)</f>
        <v>24</v>
      </c>
      <c r="N51" s="1019">
        <f t="shared" ref="N51:N55" si="23">H51</f>
        <v>0</v>
      </c>
    </row>
    <row r="52" spans="1:14" s="994" customFormat="1" ht="30" hidden="1" customHeight="1">
      <c r="A52" s="1010"/>
      <c r="B52" s="1024"/>
      <c r="C52" s="1030"/>
      <c r="D52" s="1003"/>
      <c r="E52" s="1025"/>
      <c r="F52" s="1017"/>
      <c r="G52" s="1029"/>
      <c r="H52" s="1031">
        <f>SUBTOTAL(9,H12:H50)</f>
        <v>37923452</v>
      </c>
      <c r="I52" s="1035" t="e">
        <f>I51+#REF!+#REF!+#REF!</f>
        <v>#REF!</v>
      </c>
      <c r="J52" s="1036">
        <f>GA!E9</f>
        <v>39725091</v>
      </c>
      <c r="K52" s="1037" t="e">
        <f>I52-J52</f>
        <v>#REF!</v>
      </c>
      <c r="L52" s="1020">
        <f>IF(M52=M51,0,M52)</f>
        <v>0</v>
      </c>
      <c r="M52" s="1020">
        <f>+M51</f>
        <v>24</v>
      </c>
      <c r="N52" s="1019">
        <f t="shared" si="23"/>
        <v>37923452</v>
      </c>
    </row>
    <row r="53" spans="1:14" s="994" customFormat="1">
      <c r="A53" s="653"/>
      <c r="B53" s="1024"/>
      <c r="C53" s="651"/>
      <c r="D53" s="2112" t="str">
        <f>"Total no. of items in the Schedule is "&amp;A46&amp;" only"</f>
        <v>Total no. of items in the Schedule is 24 only</v>
      </c>
      <c r="E53" s="1025"/>
      <c r="F53" s="1017"/>
      <c r="G53" s="1025"/>
      <c r="H53" s="1031">
        <f>H52</f>
        <v>37923452</v>
      </c>
      <c r="I53" s="1038" t="e">
        <f>+GA!E9+'Schedule-A'!#REF!</f>
        <v>#REF!</v>
      </c>
      <c r="J53" s="1039" t="e">
        <f>+H53-I53</f>
        <v>#REF!</v>
      </c>
      <c r="L53" s="1020">
        <v>1</v>
      </c>
      <c r="M53" s="1020" t="e">
        <f>IF(N53&gt;0,(#REF!+1),#REF!)</f>
        <v>#REF!</v>
      </c>
      <c r="N53" s="1019">
        <f t="shared" si="23"/>
        <v>37923452</v>
      </c>
    </row>
    <row r="54" spans="1:14" ht="18.600000000000001" hidden="1" customHeight="1">
      <c r="D54" s="2113"/>
      <c r="E54" s="1032"/>
      <c r="F54" s="1033"/>
      <c r="G54" s="1034"/>
      <c r="L54" s="1020" t="e">
        <f>IF(M54=M53,0,M54)</f>
        <v>#REF!</v>
      </c>
      <c r="M54" s="1020" t="e">
        <f>IF(N54&gt;0,(M53+1),M53)</f>
        <v>#REF!</v>
      </c>
      <c r="N54" s="1019">
        <f t="shared" si="23"/>
        <v>0</v>
      </c>
    </row>
    <row r="55" spans="1:14" hidden="1">
      <c r="D55" s="1040"/>
      <c r="E55" s="3733" t="s">
        <v>1075</v>
      </c>
      <c r="F55" s="3733"/>
      <c r="G55" s="3733"/>
      <c r="L55" s="1020" t="e">
        <f>IF(M55=M54,0,M55)</f>
        <v>#REF!</v>
      </c>
      <c r="M55" s="1020" t="e">
        <f>IF(N55&gt;0,(M54+1),M54)</f>
        <v>#REF!</v>
      </c>
      <c r="N55" s="1019">
        <f t="shared" si="23"/>
        <v>0</v>
      </c>
    </row>
    <row r="56" spans="1:14">
      <c r="D56" s="1040"/>
      <c r="E56" s="1041"/>
      <c r="F56" s="1041"/>
      <c r="G56" s="1041"/>
    </row>
    <row r="57" spans="1:14">
      <c r="D57" s="1040"/>
      <c r="E57" s="3735" t="s">
        <v>2730</v>
      </c>
      <c r="F57" s="3735"/>
      <c r="G57" s="3735"/>
    </row>
    <row r="58" spans="1:14">
      <c r="D58" s="1040"/>
      <c r="E58" s="3733" t="s">
        <v>1076</v>
      </c>
      <c r="F58" s="3733"/>
      <c r="G58" s="3733"/>
    </row>
    <row r="59" spans="1:14">
      <c r="D59" s="1040"/>
      <c r="E59" s="3733" t="s">
        <v>1077</v>
      </c>
      <c r="F59" s="3733"/>
      <c r="G59" s="3733"/>
    </row>
    <row r="60" spans="1:14">
      <c r="D60" s="1042"/>
    </row>
    <row r="61" spans="1:14">
      <c r="D61" s="1042"/>
    </row>
    <row r="62" spans="1:14">
      <c r="D62" s="1042"/>
    </row>
    <row r="63" spans="1:14">
      <c r="D63" s="1042"/>
    </row>
    <row r="64" spans="1:14">
      <c r="D64" s="1042"/>
    </row>
    <row r="65" spans="4:4">
      <c r="D65" s="1042"/>
    </row>
    <row r="66" spans="4:4">
      <c r="D66" s="1042"/>
    </row>
    <row r="67" spans="4:4">
      <c r="D67" s="1042"/>
    </row>
    <row r="68" spans="4:4">
      <c r="D68" s="1042"/>
    </row>
    <row r="69" spans="4:4">
      <c r="D69" s="1042"/>
    </row>
    <row r="70" spans="4:4">
      <c r="D70" s="1042"/>
    </row>
    <row r="71" spans="4:4">
      <c r="D71" s="1042"/>
    </row>
    <row r="72" spans="4:4">
      <c r="D72" s="1042"/>
    </row>
    <row r="73" spans="4:4">
      <c r="D73" s="1042"/>
    </row>
    <row r="74" spans="4:4">
      <c r="D74" s="1042"/>
    </row>
    <row r="75" spans="4:4">
      <c r="D75" s="1042"/>
    </row>
    <row r="76" spans="4:4">
      <c r="D76" s="1042"/>
    </row>
    <row r="77" spans="4:4">
      <c r="D77" s="1042"/>
    </row>
    <row r="78" spans="4:4">
      <c r="D78" s="1042"/>
    </row>
    <row r="79" spans="4:4">
      <c r="D79" s="1042"/>
    </row>
    <row r="80" spans="4:4">
      <c r="D80" s="1042"/>
    </row>
    <row r="81" spans="4:4">
      <c r="D81" s="1042"/>
    </row>
    <row r="82" spans="4:4">
      <c r="D82" s="1042"/>
    </row>
    <row r="83" spans="4:4">
      <c r="D83" s="1042"/>
    </row>
    <row r="84" spans="4:4">
      <c r="D84" s="1042"/>
    </row>
    <row r="85" spans="4:4">
      <c r="D85" s="1042"/>
    </row>
    <row r="86" spans="4:4">
      <c r="D86" s="1042"/>
    </row>
    <row r="87" spans="4:4">
      <c r="D87" s="1042"/>
    </row>
    <row r="88" spans="4:4">
      <c r="D88" s="1042"/>
    </row>
    <row r="89" spans="4:4">
      <c r="D89" s="1042"/>
    </row>
    <row r="90" spans="4:4">
      <c r="D90" s="1042"/>
    </row>
    <row r="91" spans="4:4">
      <c r="D91" s="1042"/>
    </row>
    <row r="92" spans="4:4">
      <c r="D92" s="1042"/>
    </row>
    <row r="93" spans="4:4">
      <c r="D93" s="1042"/>
    </row>
    <row r="94" spans="4:4">
      <c r="D94" s="1042"/>
    </row>
    <row r="95" spans="4:4">
      <c r="D95" s="1042"/>
    </row>
    <row r="96" spans="4:4">
      <c r="D96" s="1042"/>
    </row>
    <row r="97" spans="4:4">
      <c r="D97" s="1042"/>
    </row>
    <row r="98" spans="4:4">
      <c r="D98" s="1042"/>
    </row>
    <row r="99" spans="4:4">
      <c r="D99" s="1042"/>
    </row>
    <row r="100" spans="4:4">
      <c r="D100" s="1042"/>
    </row>
    <row r="101" spans="4:4">
      <c r="D101" s="1042"/>
    </row>
    <row r="102" spans="4:4">
      <c r="D102" s="1042"/>
    </row>
    <row r="103" spans="4:4">
      <c r="D103" s="1042"/>
    </row>
    <row r="104" spans="4:4">
      <c r="D104" s="1042"/>
    </row>
    <row r="105" spans="4:4">
      <c r="D105" s="1042"/>
    </row>
    <row r="106" spans="4:4">
      <c r="D106" s="1042"/>
    </row>
    <row r="107" spans="4:4">
      <c r="D107" s="1042"/>
    </row>
    <row r="108" spans="4:4">
      <c r="D108" s="1042"/>
    </row>
    <row r="109" spans="4:4">
      <c r="D109" s="1042"/>
    </row>
    <row r="110" spans="4:4">
      <c r="D110" s="1042"/>
    </row>
    <row r="111" spans="4:4">
      <c r="D111" s="1042"/>
    </row>
    <row r="112" spans="4:4">
      <c r="D112" s="1042"/>
    </row>
    <row r="113" spans="4:4">
      <c r="D113" s="1042"/>
    </row>
    <row r="114" spans="4:4">
      <c r="D114" s="1042"/>
    </row>
    <row r="115" spans="4:4">
      <c r="D115" s="1042"/>
    </row>
    <row r="116" spans="4:4">
      <c r="D116" s="1042"/>
    </row>
    <row r="117" spans="4:4">
      <c r="D117" s="1042"/>
    </row>
    <row r="118" spans="4:4">
      <c r="D118" s="1042"/>
    </row>
    <row r="119" spans="4:4">
      <c r="D119" s="1042"/>
    </row>
    <row r="120" spans="4:4">
      <c r="D120" s="1042"/>
    </row>
    <row r="121" spans="4:4">
      <c r="D121" s="1042"/>
    </row>
    <row r="122" spans="4:4">
      <c r="D122" s="1042"/>
    </row>
    <row r="123" spans="4:4">
      <c r="D123" s="1042"/>
    </row>
    <row r="124" spans="4:4">
      <c r="D124" s="1042"/>
    </row>
    <row r="125" spans="4:4">
      <c r="D125" s="1042"/>
    </row>
    <row r="126" spans="4:4">
      <c r="D126" s="1042"/>
    </row>
    <row r="127" spans="4:4">
      <c r="D127" s="1042"/>
    </row>
    <row r="128" spans="4:4">
      <c r="D128" s="1042"/>
    </row>
    <row r="129" spans="4:4">
      <c r="D129" s="1042"/>
    </row>
    <row r="130" spans="4:4">
      <c r="D130" s="1042"/>
    </row>
    <row r="131" spans="4:4">
      <c r="D131" s="1042"/>
    </row>
    <row r="132" spans="4:4">
      <c r="D132" s="1042"/>
    </row>
    <row r="133" spans="4:4">
      <c r="D133" s="1042"/>
    </row>
    <row r="134" spans="4:4">
      <c r="D134" s="1042"/>
    </row>
    <row r="135" spans="4:4">
      <c r="D135" s="1042"/>
    </row>
    <row r="136" spans="4:4">
      <c r="D136" s="1042"/>
    </row>
    <row r="137" spans="4:4">
      <c r="D137" s="1042"/>
    </row>
    <row r="138" spans="4:4">
      <c r="D138" s="1042"/>
    </row>
    <row r="139" spans="4:4">
      <c r="D139" s="1042"/>
    </row>
    <row r="140" spans="4:4">
      <c r="D140" s="1042"/>
    </row>
    <row r="141" spans="4:4">
      <c r="D141" s="1042"/>
    </row>
    <row r="142" spans="4:4">
      <c r="D142" s="1042"/>
    </row>
    <row r="143" spans="4:4">
      <c r="D143" s="1042"/>
    </row>
    <row r="144" spans="4:4">
      <c r="D144" s="1042"/>
    </row>
    <row r="145" spans="4:4">
      <c r="D145" s="1042"/>
    </row>
    <row r="146" spans="4:4">
      <c r="D146" s="1042"/>
    </row>
    <row r="147" spans="4:4">
      <c r="D147" s="1042"/>
    </row>
    <row r="148" spans="4:4">
      <c r="D148" s="1042"/>
    </row>
    <row r="149" spans="4:4">
      <c r="D149" s="1042"/>
    </row>
    <row r="150" spans="4:4">
      <c r="D150" s="1042"/>
    </row>
    <row r="151" spans="4:4">
      <c r="D151" s="1042"/>
    </row>
    <row r="152" spans="4:4">
      <c r="D152" s="1042"/>
    </row>
    <row r="153" spans="4:4">
      <c r="D153" s="1042"/>
    </row>
    <row r="154" spans="4:4">
      <c r="D154" s="1042"/>
    </row>
    <row r="155" spans="4:4">
      <c r="D155" s="1042"/>
    </row>
    <row r="156" spans="4:4">
      <c r="D156" s="1042"/>
    </row>
    <row r="157" spans="4:4">
      <c r="D157" s="1042"/>
    </row>
    <row r="158" spans="4:4">
      <c r="D158" s="1042"/>
    </row>
    <row r="159" spans="4:4">
      <c r="D159" s="1042"/>
    </row>
    <row r="160" spans="4:4">
      <c r="D160" s="1042"/>
    </row>
    <row r="161" spans="4:4">
      <c r="D161" s="1042"/>
    </row>
    <row r="162" spans="4:4">
      <c r="D162" s="1042"/>
    </row>
    <row r="163" spans="4:4">
      <c r="D163" s="1042"/>
    </row>
    <row r="164" spans="4:4">
      <c r="D164" s="1042"/>
    </row>
    <row r="165" spans="4:4">
      <c r="D165" s="1042"/>
    </row>
    <row r="166" spans="4:4">
      <c r="D166" s="1042"/>
    </row>
    <row r="167" spans="4:4">
      <c r="D167" s="1042"/>
    </row>
    <row r="168" spans="4:4">
      <c r="D168" s="1042"/>
    </row>
    <row r="169" spans="4:4">
      <c r="D169" s="1042"/>
    </row>
    <row r="170" spans="4:4">
      <c r="D170" s="1042"/>
    </row>
    <row r="171" spans="4:4">
      <c r="D171" s="1042"/>
    </row>
    <row r="172" spans="4:4">
      <c r="D172" s="1042"/>
    </row>
    <row r="173" spans="4:4">
      <c r="D173" s="1042"/>
    </row>
    <row r="174" spans="4:4">
      <c r="D174" s="1042"/>
    </row>
    <row r="175" spans="4:4">
      <c r="D175" s="1042"/>
    </row>
    <row r="176" spans="4:4">
      <c r="D176" s="1042"/>
    </row>
    <row r="177" spans="4:4">
      <c r="D177" s="1042"/>
    </row>
    <row r="178" spans="4:4">
      <c r="D178" s="1042"/>
    </row>
    <row r="179" spans="4:4">
      <c r="D179" s="1042"/>
    </row>
    <row r="180" spans="4:4">
      <c r="D180" s="1042"/>
    </row>
    <row r="181" spans="4:4">
      <c r="D181" s="1042"/>
    </row>
    <row r="182" spans="4:4">
      <c r="D182" s="1042"/>
    </row>
    <row r="183" spans="4:4">
      <c r="D183" s="1042"/>
    </row>
    <row r="184" spans="4:4">
      <c r="D184" s="1042"/>
    </row>
    <row r="185" spans="4:4">
      <c r="D185" s="1042"/>
    </row>
    <row r="186" spans="4:4">
      <c r="D186" s="1042"/>
    </row>
    <row r="187" spans="4:4">
      <c r="D187" s="1042"/>
    </row>
    <row r="188" spans="4:4">
      <c r="D188" s="1042"/>
    </row>
    <row r="189" spans="4:4">
      <c r="D189" s="1042"/>
    </row>
    <row r="190" spans="4:4">
      <c r="D190" s="1042"/>
    </row>
    <row r="191" spans="4:4">
      <c r="D191" s="1042"/>
    </row>
    <row r="192" spans="4:4">
      <c r="D192" s="1042"/>
    </row>
    <row r="193" spans="4:4">
      <c r="D193" s="1042"/>
    </row>
    <row r="194" spans="4:4">
      <c r="D194" s="1042"/>
    </row>
    <row r="195" spans="4:4">
      <c r="D195" s="1042"/>
    </row>
    <row r="196" spans="4:4">
      <c r="D196" s="1042"/>
    </row>
    <row r="197" spans="4:4">
      <c r="D197" s="1042"/>
    </row>
    <row r="198" spans="4:4">
      <c r="D198" s="1042"/>
    </row>
    <row r="199" spans="4:4">
      <c r="D199" s="1042"/>
    </row>
    <row r="200" spans="4:4">
      <c r="D200" s="1042"/>
    </row>
    <row r="201" spans="4:4">
      <c r="D201" s="1042"/>
    </row>
    <row r="202" spans="4:4">
      <c r="D202" s="1042"/>
    </row>
    <row r="203" spans="4:4">
      <c r="D203" s="1042"/>
    </row>
    <row r="204" spans="4:4">
      <c r="D204" s="1042"/>
    </row>
    <row r="205" spans="4:4">
      <c r="D205" s="1042"/>
    </row>
    <row r="206" spans="4:4">
      <c r="D206" s="1042"/>
    </row>
    <row r="207" spans="4:4">
      <c r="D207" s="1042"/>
    </row>
    <row r="208" spans="4:4">
      <c r="D208" s="1042"/>
    </row>
    <row r="209" spans="4:4">
      <c r="D209" s="1042"/>
    </row>
    <row r="210" spans="4:4">
      <c r="D210" s="1042"/>
    </row>
    <row r="211" spans="4:4">
      <c r="D211" s="1042"/>
    </row>
    <row r="212" spans="4:4">
      <c r="D212" s="1042"/>
    </row>
    <row r="213" spans="4:4">
      <c r="D213" s="1042"/>
    </row>
    <row r="214" spans="4:4">
      <c r="D214" s="1042"/>
    </row>
    <row r="215" spans="4:4">
      <c r="D215" s="1042"/>
    </row>
    <row r="216" spans="4:4">
      <c r="D216" s="1042"/>
    </row>
    <row r="217" spans="4:4">
      <c r="D217" s="1042"/>
    </row>
    <row r="218" spans="4:4">
      <c r="D218" s="1042"/>
    </row>
    <row r="219" spans="4:4">
      <c r="D219" s="1042"/>
    </row>
    <row r="220" spans="4:4">
      <c r="D220" s="1042"/>
    </row>
    <row r="221" spans="4:4">
      <c r="D221" s="1042"/>
    </row>
    <row r="222" spans="4:4">
      <c r="D222" s="1042"/>
    </row>
    <row r="223" spans="4:4">
      <c r="D223" s="1042"/>
    </row>
    <row r="224" spans="4:4">
      <c r="D224" s="1042"/>
    </row>
    <row r="225" spans="4:4">
      <c r="D225" s="1042"/>
    </row>
    <row r="226" spans="4:4">
      <c r="D226" s="1042"/>
    </row>
    <row r="227" spans="4:4">
      <c r="D227" s="1042"/>
    </row>
    <row r="228" spans="4:4">
      <c r="D228" s="1042"/>
    </row>
    <row r="229" spans="4:4">
      <c r="D229" s="1042"/>
    </row>
    <row r="230" spans="4:4">
      <c r="D230" s="1042"/>
    </row>
    <row r="231" spans="4:4">
      <c r="D231" s="1042"/>
    </row>
    <row r="232" spans="4:4">
      <c r="D232" s="1042"/>
    </row>
    <row r="233" spans="4:4">
      <c r="D233" s="1042"/>
    </row>
    <row r="234" spans="4:4">
      <c r="D234" s="1042"/>
    </row>
    <row r="235" spans="4:4">
      <c r="D235" s="1042"/>
    </row>
    <row r="236" spans="4:4">
      <c r="D236" s="1042"/>
    </row>
    <row r="237" spans="4:4">
      <c r="D237" s="1042"/>
    </row>
    <row r="238" spans="4:4">
      <c r="D238" s="1042"/>
    </row>
    <row r="239" spans="4:4">
      <c r="D239" s="1042"/>
    </row>
    <row r="240" spans="4:4">
      <c r="D240" s="1042"/>
    </row>
    <row r="241" spans="4:4">
      <c r="D241" s="1042"/>
    </row>
    <row r="242" spans="4:4">
      <c r="D242" s="1042"/>
    </row>
    <row r="243" spans="4:4">
      <c r="D243" s="1042"/>
    </row>
    <row r="244" spans="4:4">
      <c r="D244" s="1042"/>
    </row>
    <row r="245" spans="4:4">
      <c r="D245" s="1042"/>
    </row>
    <row r="246" spans="4:4">
      <c r="D246" s="1042"/>
    </row>
    <row r="247" spans="4:4">
      <c r="D247" s="1042"/>
    </row>
    <row r="248" spans="4:4">
      <c r="D248" s="1042"/>
    </row>
    <row r="249" spans="4:4">
      <c r="D249" s="1042"/>
    </row>
    <row r="250" spans="4:4">
      <c r="D250" s="1042"/>
    </row>
    <row r="251" spans="4:4">
      <c r="D251" s="1042"/>
    </row>
    <row r="252" spans="4:4">
      <c r="D252" s="1042"/>
    </row>
    <row r="253" spans="4:4">
      <c r="D253" s="1042"/>
    </row>
    <row r="254" spans="4:4">
      <c r="D254" s="1042"/>
    </row>
    <row r="255" spans="4:4">
      <c r="D255" s="1042"/>
    </row>
    <row r="256" spans="4:4">
      <c r="D256" s="1042"/>
    </row>
    <row r="257" spans="4:4">
      <c r="D257" s="1042"/>
    </row>
    <row r="258" spans="4:4">
      <c r="D258" s="1042"/>
    </row>
    <row r="259" spans="4:4">
      <c r="D259" s="1042"/>
    </row>
    <row r="260" spans="4:4">
      <c r="D260" s="1042"/>
    </row>
    <row r="261" spans="4:4">
      <c r="D261" s="1042"/>
    </row>
    <row r="262" spans="4:4">
      <c r="D262" s="1042"/>
    </row>
    <row r="263" spans="4:4">
      <c r="D263" s="1042"/>
    </row>
    <row r="264" spans="4:4">
      <c r="D264" s="1042"/>
    </row>
    <row r="265" spans="4:4">
      <c r="D265" s="1042"/>
    </row>
    <row r="266" spans="4:4">
      <c r="D266" s="1042"/>
    </row>
    <row r="267" spans="4:4">
      <c r="D267" s="1042"/>
    </row>
    <row r="268" spans="4:4">
      <c r="D268" s="1042"/>
    </row>
    <row r="269" spans="4:4">
      <c r="D269" s="1042"/>
    </row>
    <row r="270" spans="4:4">
      <c r="D270" s="1042"/>
    </row>
    <row r="271" spans="4:4">
      <c r="D271" s="1042"/>
    </row>
    <row r="272" spans="4:4">
      <c r="D272" s="1042"/>
    </row>
    <row r="273" spans="4:4">
      <c r="D273" s="1042"/>
    </row>
    <row r="274" spans="4:4">
      <c r="D274" s="1042"/>
    </row>
    <row r="275" spans="4:4">
      <c r="D275" s="1042"/>
    </row>
    <row r="276" spans="4:4">
      <c r="D276" s="1042"/>
    </row>
    <row r="277" spans="4:4">
      <c r="D277" s="1042"/>
    </row>
    <row r="278" spans="4:4">
      <c r="D278" s="1042"/>
    </row>
    <row r="279" spans="4:4">
      <c r="D279" s="1042"/>
    </row>
    <row r="280" spans="4:4">
      <c r="D280" s="1042"/>
    </row>
    <row r="281" spans="4:4">
      <c r="D281" s="1042"/>
    </row>
    <row r="282" spans="4:4">
      <c r="D282" s="1042"/>
    </row>
    <row r="283" spans="4:4">
      <c r="D283" s="1042"/>
    </row>
    <row r="284" spans="4:4">
      <c r="D284" s="1042"/>
    </row>
    <row r="285" spans="4:4">
      <c r="D285" s="1042"/>
    </row>
    <row r="286" spans="4:4">
      <c r="D286" s="1042"/>
    </row>
    <row r="287" spans="4:4">
      <c r="D287" s="1042"/>
    </row>
    <row r="288" spans="4:4">
      <c r="D288" s="1042"/>
    </row>
    <row r="289" spans="4:4">
      <c r="D289" s="1042"/>
    </row>
    <row r="290" spans="4:4">
      <c r="D290" s="1042"/>
    </row>
    <row r="291" spans="4:4">
      <c r="D291" s="1042"/>
    </row>
    <row r="292" spans="4:4">
      <c r="D292" s="1042"/>
    </row>
    <row r="293" spans="4:4">
      <c r="D293" s="1042"/>
    </row>
    <row r="294" spans="4:4">
      <c r="D294" s="1042"/>
    </row>
    <row r="295" spans="4:4">
      <c r="D295" s="1042"/>
    </row>
    <row r="296" spans="4:4">
      <c r="D296" s="1042"/>
    </row>
    <row r="297" spans="4:4">
      <c r="D297" s="1042"/>
    </row>
    <row r="298" spans="4:4">
      <c r="D298" s="1042"/>
    </row>
    <row r="299" spans="4:4">
      <c r="D299" s="1042"/>
    </row>
    <row r="300" spans="4:4">
      <c r="D300" s="1042"/>
    </row>
    <row r="301" spans="4:4">
      <c r="D301" s="1042"/>
    </row>
    <row r="302" spans="4:4">
      <c r="D302" s="1042"/>
    </row>
    <row r="303" spans="4:4">
      <c r="D303" s="1042"/>
    </row>
    <row r="304" spans="4:4">
      <c r="D304" s="1042"/>
    </row>
    <row r="305" spans="4:4">
      <c r="D305" s="1042"/>
    </row>
    <row r="306" spans="4:4">
      <c r="D306" s="1042"/>
    </row>
    <row r="307" spans="4:4">
      <c r="D307" s="1042"/>
    </row>
    <row r="308" spans="4:4">
      <c r="D308" s="1042"/>
    </row>
    <row r="309" spans="4:4">
      <c r="D309" s="1042"/>
    </row>
    <row r="310" spans="4:4">
      <c r="D310" s="1042"/>
    </row>
    <row r="311" spans="4:4">
      <c r="D311" s="1042"/>
    </row>
    <row r="312" spans="4:4">
      <c r="D312" s="1042"/>
    </row>
    <row r="313" spans="4:4">
      <c r="D313" s="1042"/>
    </row>
    <row r="314" spans="4:4">
      <c r="D314" s="1042"/>
    </row>
    <row r="315" spans="4:4">
      <c r="D315" s="1042"/>
    </row>
    <row r="316" spans="4:4">
      <c r="D316" s="1042"/>
    </row>
    <row r="317" spans="4:4">
      <c r="D317" s="1042"/>
    </row>
    <row r="318" spans="4:4">
      <c r="D318" s="1042"/>
    </row>
    <row r="319" spans="4:4">
      <c r="D319" s="1042"/>
    </row>
    <row r="320" spans="4:4">
      <c r="D320" s="1042"/>
    </row>
    <row r="321" spans="4:4">
      <c r="D321" s="1042"/>
    </row>
    <row r="322" spans="4:4">
      <c r="D322" s="1042"/>
    </row>
    <row r="323" spans="4:4">
      <c r="D323" s="1042"/>
    </row>
    <row r="324" spans="4:4">
      <c r="D324" s="1042"/>
    </row>
    <row r="325" spans="4:4">
      <c r="D325" s="1042"/>
    </row>
    <row r="326" spans="4:4">
      <c r="D326" s="1042"/>
    </row>
    <row r="327" spans="4:4">
      <c r="D327" s="1042"/>
    </row>
    <row r="328" spans="4:4">
      <c r="D328" s="1042"/>
    </row>
    <row r="329" spans="4:4">
      <c r="D329" s="1042"/>
    </row>
    <row r="330" spans="4:4">
      <c r="D330" s="1042"/>
    </row>
    <row r="331" spans="4:4">
      <c r="D331" s="1042"/>
    </row>
    <row r="332" spans="4:4">
      <c r="D332" s="1042"/>
    </row>
    <row r="333" spans="4:4">
      <c r="D333" s="1042"/>
    </row>
    <row r="334" spans="4:4">
      <c r="D334" s="1042"/>
    </row>
    <row r="335" spans="4:4">
      <c r="D335" s="1042"/>
    </row>
    <row r="336" spans="4:4">
      <c r="D336" s="1042"/>
    </row>
    <row r="337" spans="4:4">
      <c r="D337" s="1042"/>
    </row>
    <row r="338" spans="4:4">
      <c r="D338" s="1042"/>
    </row>
    <row r="339" spans="4:4">
      <c r="D339" s="1042"/>
    </row>
    <row r="340" spans="4:4">
      <c r="D340" s="1042"/>
    </row>
    <row r="341" spans="4:4">
      <c r="D341" s="1042"/>
    </row>
    <row r="342" spans="4:4">
      <c r="D342" s="1042"/>
    </row>
    <row r="343" spans="4:4">
      <c r="D343" s="1042"/>
    </row>
    <row r="344" spans="4:4">
      <c r="D344" s="1042"/>
    </row>
    <row r="345" spans="4:4">
      <c r="D345" s="1042"/>
    </row>
    <row r="346" spans="4:4">
      <c r="D346" s="1042"/>
    </row>
    <row r="347" spans="4:4">
      <c r="D347" s="1042"/>
    </row>
    <row r="348" spans="4:4">
      <c r="D348" s="1042"/>
    </row>
    <row r="349" spans="4:4">
      <c r="D349" s="1042"/>
    </row>
    <row r="350" spans="4:4">
      <c r="D350" s="1042"/>
    </row>
    <row r="351" spans="4:4">
      <c r="D351" s="1042"/>
    </row>
    <row r="352" spans="4:4">
      <c r="D352" s="1042"/>
    </row>
    <row r="353" spans="4:4">
      <c r="D353" s="1042"/>
    </row>
    <row r="354" spans="4:4">
      <c r="D354" s="1042"/>
    </row>
    <row r="355" spans="4:4">
      <c r="D355" s="1042"/>
    </row>
    <row r="356" spans="4:4">
      <c r="D356" s="1042"/>
    </row>
    <row r="357" spans="4:4">
      <c r="D357" s="1042"/>
    </row>
    <row r="358" spans="4:4">
      <c r="D358" s="1042"/>
    </row>
    <row r="359" spans="4:4">
      <c r="D359" s="1042"/>
    </row>
    <row r="360" spans="4:4">
      <c r="D360" s="1042"/>
    </row>
    <row r="361" spans="4:4">
      <c r="D361" s="1042"/>
    </row>
    <row r="362" spans="4:4">
      <c r="D362" s="1042"/>
    </row>
    <row r="363" spans="4:4">
      <c r="D363" s="1042"/>
    </row>
    <row r="364" spans="4:4">
      <c r="D364" s="1042"/>
    </row>
    <row r="365" spans="4:4">
      <c r="D365" s="1042"/>
    </row>
    <row r="366" spans="4:4">
      <c r="D366" s="1042"/>
    </row>
    <row r="367" spans="4:4">
      <c r="D367" s="1042"/>
    </row>
    <row r="368" spans="4:4">
      <c r="D368" s="1042"/>
    </row>
    <row r="369" spans="4:4">
      <c r="D369" s="1042"/>
    </row>
    <row r="370" spans="4:4">
      <c r="D370" s="1042"/>
    </row>
    <row r="371" spans="4:4">
      <c r="D371" s="1042"/>
    </row>
    <row r="372" spans="4:4">
      <c r="D372" s="1042"/>
    </row>
    <row r="373" spans="4:4">
      <c r="D373" s="1042"/>
    </row>
    <row r="374" spans="4:4">
      <c r="D374" s="1042"/>
    </row>
    <row r="375" spans="4:4">
      <c r="D375" s="1042"/>
    </row>
    <row r="376" spans="4:4">
      <c r="D376" s="1042"/>
    </row>
    <row r="377" spans="4:4">
      <c r="D377" s="1042"/>
    </row>
    <row r="378" spans="4:4">
      <c r="D378" s="1042"/>
    </row>
    <row r="379" spans="4:4">
      <c r="D379" s="1042"/>
    </row>
    <row r="380" spans="4:4">
      <c r="D380" s="1042"/>
    </row>
    <row r="381" spans="4:4">
      <c r="D381" s="1042"/>
    </row>
    <row r="382" spans="4:4">
      <c r="D382" s="1042"/>
    </row>
    <row r="383" spans="4:4">
      <c r="D383" s="1042"/>
    </row>
    <row r="384" spans="4:4">
      <c r="D384" s="1042"/>
    </row>
    <row r="385" spans="4:4">
      <c r="D385" s="1042"/>
    </row>
    <row r="386" spans="4:4">
      <c r="D386" s="1042"/>
    </row>
    <row r="387" spans="4:4">
      <c r="D387" s="1042"/>
    </row>
    <row r="388" spans="4:4">
      <c r="D388" s="1042"/>
    </row>
    <row r="389" spans="4:4">
      <c r="D389" s="1042"/>
    </row>
    <row r="390" spans="4:4">
      <c r="D390" s="1042"/>
    </row>
    <row r="391" spans="4:4">
      <c r="D391" s="1042"/>
    </row>
    <row r="392" spans="4:4">
      <c r="D392" s="1042"/>
    </row>
    <row r="393" spans="4:4">
      <c r="D393" s="1042"/>
    </row>
    <row r="394" spans="4:4">
      <c r="D394" s="1042"/>
    </row>
    <row r="395" spans="4:4">
      <c r="D395" s="1042"/>
    </row>
    <row r="396" spans="4:4">
      <c r="D396" s="1042"/>
    </row>
    <row r="397" spans="4:4">
      <c r="D397" s="1042"/>
    </row>
    <row r="398" spans="4:4">
      <c r="D398" s="1042"/>
    </row>
    <row r="399" spans="4:4">
      <c r="D399" s="1042"/>
    </row>
    <row r="400" spans="4:4">
      <c r="D400" s="1042"/>
    </row>
    <row r="401" spans="4:4">
      <c r="D401" s="1042"/>
    </row>
    <row r="402" spans="4:4">
      <c r="D402" s="1042"/>
    </row>
    <row r="403" spans="4:4">
      <c r="D403" s="1042"/>
    </row>
    <row r="404" spans="4:4">
      <c r="D404" s="1042"/>
    </row>
    <row r="405" spans="4:4">
      <c r="D405" s="1042"/>
    </row>
    <row r="406" spans="4:4">
      <c r="D406" s="1042"/>
    </row>
    <row r="407" spans="4:4">
      <c r="D407" s="1042"/>
    </row>
    <row r="408" spans="4:4">
      <c r="D408" s="1042"/>
    </row>
    <row r="409" spans="4:4">
      <c r="D409" s="1042"/>
    </row>
    <row r="410" spans="4:4">
      <c r="D410" s="1042"/>
    </row>
    <row r="411" spans="4:4">
      <c r="D411" s="1042"/>
    </row>
    <row r="412" spans="4:4">
      <c r="D412" s="1042"/>
    </row>
    <row r="413" spans="4:4">
      <c r="D413" s="1042"/>
    </row>
    <row r="414" spans="4:4">
      <c r="D414" s="1042"/>
    </row>
    <row r="415" spans="4:4">
      <c r="D415" s="1042"/>
    </row>
    <row r="416" spans="4:4">
      <c r="D416" s="1042"/>
    </row>
    <row r="417" spans="4:4">
      <c r="D417" s="1042"/>
    </row>
    <row r="418" spans="4:4">
      <c r="D418" s="1042"/>
    </row>
    <row r="419" spans="4:4">
      <c r="D419" s="1042"/>
    </row>
    <row r="420" spans="4:4">
      <c r="D420" s="1042"/>
    </row>
    <row r="421" spans="4:4">
      <c r="D421" s="1042"/>
    </row>
    <row r="422" spans="4:4">
      <c r="D422" s="1042"/>
    </row>
    <row r="423" spans="4:4">
      <c r="D423" s="1042"/>
    </row>
    <row r="424" spans="4:4">
      <c r="D424" s="1042"/>
    </row>
    <row r="425" spans="4:4">
      <c r="D425" s="1042"/>
    </row>
    <row r="426" spans="4:4">
      <c r="D426" s="1042"/>
    </row>
    <row r="427" spans="4:4">
      <c r="D427" s="1042"/>
    </row>
    <row r="428" spans="4:4">
      <c r="D428" s="1042"/>
    </row>
    <row r="429" spans="4:4">
      <c r="D429" s="1042"/>
    </row>
    <row r="430" spans="4:4">
      <c r="D430" s="1042"/>
    </row>
    <row r="431" spans="4:4">
      <c r="D431" s="1042"/>
    </row>
    <row r="432" spans="4:4">
      <c r="D432" s="1042"/>
    </row>
    <row r="433" spans="4:4">
      <c r="D433" s="1042"/>
    </row>
    <row r="434" spans="4:4">
      <c r="D434" s="1042"/>
    </row>
    <row r="435" spans="4:4">
      <c r="D435" s="1042"/>
    </row>
    <row r="436" spans="4:4">
      <c r="D436" s="1042"/>
    </row>
    <row r="437" spans="4:4">
      <c r="D437" s="1042"/>
    </row>
    <row r="438" spans="4:4">
      <c r="D438" s="1042"/>
    </row>
    <row r="439" spans="4:4">
      <c r="D439" s="1042"/>
    </row>
    <row r="440" spans="4:4">
      <c r="D440" s="1042"/>
    </row>
    <row r="441" spans="4:4">
      <c r="D441" s="1042"/>
    </row>
    <row r="442" spans="4:4">
      <c r="D442" s="1042"/>
    </row>
    <row r="443" spans="4:4">
      <c r="D443" s="1042"/>
    </row>
    <row r="444" spans="4:4">
      <c r="D444" s="1042"/>
    </row>
    <row r="445" spans="4:4">
      <c r="D445" s="1042"/>
    </row>
    <row r="446" spans="4:4">
      <c r="D446" s="1042"/>
    </row>
    <row r="447" spans="4:4">
      <c r="D447" s="1042"/>
    </row>
    <row r="448" spans="4:4">
      <c r="D448" s="1042"/>
    </row>
    <row r="449" spans="4:4">
      <c r="D449" s="1042"/>
    </row>
    <row r="450" spans="4:4">
      <c r="D450" s="1042"/>
    </row>
    <row r="451" spans="4:4">
      <c r="D451" s="1042"/>
    </row>
    <row r="452" spans="4:4">
      <c r="D452" s="1042"/>
    </row>
    <row r="453" spans="4:4">
      <c r="D453" s="1042"/>
    </row>
    <row r="454" spans="4:4">
      <c r="D454" s="1042"/>
    </row>
    <row r="455" spans="4:4">
      <c r="D455" s="1042"/>
    </row>
    <row r="456" spans="4:4">
      <c r="D456" s="1042"/>
    </row>
    <row r="457" spans="4:4">
      <c r="D457" s="1042"/>
    </row>
    <row r="458" spans="4:4">
      <c r="D458" s="1042"/>
    </row>
    <row r="459" spans="4:4">
      <c r="D459" s="1042"/>
    </row>
    <row r="460" spans="4:4">
      <c r="D460" s="1042"/>
    </row>
    <row r="461" spans="4:4">
      <c r="D461" s="1042"/>
    </row>
    <row r="462" spans="4:4">
      <c r="D462" s="1042"/>
    </row>
    <row r="463" spans="4:4">
      <c r="D463" s="1042"/>
    </row>
    <row r="464" spans="4:4">
      <c r="D464" s="1042"/>
    </row>
    <row r="465" spans="4:4">
      <c r="D465" s="1042"/>
    </row>
    <row r="466" spans="4:4">
      <c r="D466" s="1042"/>
    </row>
    <row r="467" spans="4:4">
      <c r="D467" s="1042"/>
    </row>
    <row r="468" spans="4:4">
      <c r="D468" s="1042"/>
    </row>
    <row r="469" spans="4:4">
      <c r="D469" s="1042"/>
    </row>
    <row r="470" spans="4:4">
      <c r="D470" s="1042"/>
    </row>
    <row r="471" spans="4:4">
      <c r="D471" s="1042"/>
    </row>
    <row r="472" spans="4:4">
      <c r="D472" s="1042"/>
    </row>
    <row r="473" spans="4:4">
      <c r="D473" s="1042"/>
    </row>
    <row r="474" spans="4:4">
      <c r="D474" s="1042"/>
    </row>
  </sheetData>
  <autoFilter ref="A10:P55">
    <filterColumn colId="11">
      <filters>
        <filter val="1"/>
        <filter val="10"/>
        <filter val="11"/>
        <filter val="12"/>
        <filter val="13"/>
        <filter val="14"/>
        <filter val="15"/>
        <filter val="16"/>
        <filter val="17"/>
        <filter val="18"/>
        <filter val="19"/>
        <filter val="2"/>
        <filter val="20"/>
        <filter val="21"/>
        <filter val="22"/>
        <filter val="23"/>
        <filter val="24"/>
        <filter val="25"/>
        <filter val="26"/>
        <filter val="27"/>
        <filter val="28"/>
        <filter val="29"/>
        <filter val="3"/>
        <filter val="4"/>
        <filter val="5"/>
        <filter val="6"/>
        <filter val="7"/>
        <filter val="8"/>
        <filter val="9"/>
      </filters>
    </filterColumn>
  </autoFilter>
  <mergeCells count="12">
    <mergeCell ref="E58:G58"/>
    <mergeCell ref="E59:G59"/>
    <mergeCell ref="B6:H6"/>
    <mergeCell ref="B7:H7"/>
    <mergeCell ref="B8:H8"/>
    <mergeCell ref="E55:G55"/>
    <mergeCell ref="E57:G57"/>
    <mergeCell ref="A1:H1"/>
    <mergeCell ref="A2:H2"/>
    <mergeCell ref="D3:H3"/>
    <mergeCell ref="F4:G4"/>
    <mergeCell ref="B5:H5"/>
  </mergeCells>
  <conditionalFormatting sqref="L12:L55 A12:A52">
    <cfRule type="cellIs" dxfId="26" priority="5" stopIfTrue="1" operator="lessThan">
      <formula>1</formula>
    </cfRule>
  </conditionalFormatting>
  <conditionalFormatting sqref="H12:H53">
    <cfRule type="cellIs" dxfId="25" priority="6" operator="lessThanOrEqual">
      <formula>0</formula>
    </cfRule>
  </conditionalFormatting>
  <pageMargins left="0.70866141732283505" right="0.70866141732283505" top="0.643700787" bottom="0.55118110236220497" header="0.31496062992126" footer="0.31496062992126"/>
  <pageSetup paperSize="9" scale="94" orientation="landscape" r:id="rId1"/>
  <headerFooter>
    <oddHeader>&amp;CPage &amp;P of &amp;N</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9" tint="-0.249977111117893"/>
  </sheetPr>
  <dimension ref="A1:K29"/>
  <sheetViews>
    <sheetView view="pageBreakPreview" zoomScale="85" zoomScaleSheetLayoutView="85" workbookViewId="0">
      <selection activeCell="B25" sqref="B25:E25"/>
    </sheetView>
  </sheetViews>
  <sheetFormatPr defaultColWidth="9.109375" defaultRowHeight="13.8"/>
  <cols>
    <col min="1" max="1" width="5.44140625" style="964" customWidth="1"/>
    <col min="2" max="2" width="39.44140625" style="964" customWidth="1"/>
    <col min="3" max="3" width="20.6640625" style="964" customWidth="1"/>
    <col min="4" max="5" width="16" style="964" customWidth="1"/>
    <col min="6" max="6" width="9.44140625" style="964" customWidth="1"/>
    <col min="7" max="16384" width="9.109375" style="964"/>
  </cols>
  <sheetData>
    <row r="1" spans="1:11" ht="15" customHeight="1">
      <c r="A1" s="3736" t="s">
        <v>1078</v>
      </c>
      <c r="B1" s="3736"/>
      <c r="C1" s="3736"/>
      <c r="D1" s="3736"/>
      <c r="E1" s="3736"/>
      <c r="F1" s="3736"/>
      <c r="G1" s="3736"/>
      <c r="H1" s="966"/>
      <c r="I1" s="966"/>
      <c r="J1" s="987"/>
    </row>
    <row r="2" spans="1:11" s="961" customFormat="1" ht="15" customHeight="1">
      <c r="A2" s="3737" t="s">
        <v>1079</v>
      </c>
      <c r="B2" s="3737"/>
      <c r="C2" s="3737"/>
      <c r="D2" s="3737"/>
      <c r="E2" s="3737"/>
      <c r="F2" s="3737"/>
      <c r="G2" s="3737"/>
      <c r="H2" s="968"/>
      <c r="I2" s="968"/>
      <c r="J2" s="988"/>
    </row>
    <row r="3" spans="1:11" s="961" customFormat="1" ht="15" customHeight="1">
      <c r="A3" s="967"/>
      <c r="B3" s="967"/>
      <c r="C3" s="967"/>
      <c r="D3" s="967"/>
      <c r="E3" s="967"/>
      <c r="F3" s="967"/>
      <c r="G3" s="967"/>
      <c r="H3" s="967"/>
      <c r="I3" s="967"/>
      <c r="J3" s="988"/>
    </row>
    <row r="4" spans="1:11" s="961" customFormat="1" ht="30" customHeight="1">
      <c r="A4" s="3737" t="str">
        <f>'Schedule-A'!D3</f>
        <v>C/o HLB on R/F Amlikunta to Gundumal of Gundumal Mandal of Narayanept District.</v>
      </c>
      <c r="B4" s="3737"/>
      <c r="C4" s="3737"/>
      <c r="D4" s="3737"/>
      <c r="E4" s="3737"/>
      <c r="F4" s="3737"/>
      <c r="G4" s="3737"/>
      <c r="H4" s="968"/>
      <c r="I4" s="968"/>
      <c r="J4" s="989"/>
    </row>
    <row r="5" spans="1:11" s="962" customFormat="1" ht="18.75" customHeight="1">
      <c r="A5" s="969">
        <v>1</v>
      </c>
      <c r="B5" s="3738" t="s">
        <v>627</v>
      </c>
      <c r="C5" s="3738"/>
      <c r="D5" s="970"/>
      <c r="E5" s="971">
        <f>GA!E11</f>
        <v>39725</v>
      </c>
      <c r="F5" s="972"/>
      <c r="G5" s="972"/>
      <c r="H5" s="972"/>
      <c r="I5" s="972"/>
    </row>
    <row r="6" spans="1:11" s="962" customFormat="1" ht="18.75" customHeight="1">
      <c r="A6" s="969">
        <v>2</v>
      </c>
      <c r="B6" s="3738" t="s">
        <v>1080</v>
      </c>
      <c r="C6" s="3738"/>
      <c r="D6" s="973"/>
      <c r="E6" s="971">
        <f>GA!E12</f>
        <v>577675</v>
      </c>
      <c r="F6" s="972"/>
      <c r="G6" s="972"/>
      <c r="H6" s="972"/>
      <c r="I6" s="972"/>
    </row>
    <row r="7" spans="1:11" s="962" customFormat="1" ht="18.75" customHeight="1">
      <c r="A7" s="969">
        <v>3</v>
      </c>
      <c r="B7" s="3738" t="s">
        <v>1081</v>
      </c>
      <c r="C7" s="3738"/>
      <c r="D7" s="973"/>
      <c r="E7" s="971">
        <f>GA!E13</f>
        <v>173303</v>
      </c>
      <c r="F7" s="972"/>
      <c r="G7" s="972"/>
      <c r="H7" s="972"/>
      <c r="I7" s="972"/>
    </row>
    <row r="8" spans="1:11" s="962" customFormat="1" ht="18.75" customHeight="1">
      <c r="A8" s="969">
        <v>4</v>
      </c>
      <c r="B8" s="3738" t="s">
        <v>1082</v>
      </c>
      <c r="C8" s="3738"/>
      <c r="D8" s="973"/>
      <c r="E8" s="971">
        <f>GA!E14</f>
        <v>11554</v>
      </c>
      <c r="F8" s="972"/>
      <c r="G8" s="972"/>
      <c r="H8" s="972"/>
      <c r="I8" s="972"/>
    </row>
    <row r="9" spans="1:11" s="962" customFormat="1" ht="18.75" customHeight="1">
      <c r="A9" s="969">
        <v>5</v>
      </c>
      <c r="B9" s="3738" t="s">
        <v>1083</v>
      </c>
      <c r="C9" s="3738"/>
      <c r="D9" s="973"/>
      <c r="E9" s="971">
        <f>GA!E18</f>
        <v>7487999</v>
      </c>
      <c r="F9" s="972"/>
      <c r="G9" s="972"/>
      <c r="H9" s="972"/>
      <c r="I9" s="972"/>
    </row>
    <row r="10" spans="1:11" s="962" customFormat="1" ht="14.4">
      <c r="A10" s="969">
        <v>6</v>
      </c>
      <c r="B10" s="974" t="str">
        <f>GA!B15</f>
        <v>Add 0.8 times permit fee on Seign Charges</v>
      </c>
      <c r="C10" s="975"/>
      <c r="D10" s="973"/>
      <c r="E10" s="971">
        <f>GA!E15</f>
        <v>462140</v>
      </c>
      <c r="F10" s="972"/>
      <c r="G10" s="972"/>
      <c r="H10" s="972"/>
      <c r="I10" s="972"/>
    </row>
    <row r="11" spans="1:11" s="963" customFormat="1" ht="18.75" customHeight="1">
      <c r="A11" s="976"/>
      <c r="B11" s="3739" t="s">
        <v>60</v>
      </c>
      <c r="C11" s="3740"/>
      <c r="D11" s="977" t="s">
        <v>429</v>
      </c>
      <c r="E11" s="978">
        <f>SUM(E5:E10)</f>
        <v>8752396</v>
      </c>
      <c r="F11" s="979"/>
      <c r="G11" s="979"/>
      <c r="H11" s="979"/>
      <c r="I11" s="979"/>
    </row>
    <row r="12" spans="1:11" ht="15.6">
      <c r="A12" s="965"/>
      <c r="B12" s="980"/>
      <c r="C12" s="981"/>
      <c r="D12" s="982"/>
      <c r="E12" s="982"/>
      <c r="F12" s="982"/>
      <c r="G12" s="983"/>
      <c r="H12" s="983"/>
      <c r="I12" s="983"/>
      <c r="J12" s="987"/>
    </row>
    <row r="13" spans="1:11" ht="82.2" customHeight="1">
      <c r="A13" s="984"/>
      <c r="B13" s="3741" t="s">
        <v>1084</v>
      </c>
      <c r="C13" s="3741"/>
      <c r="D13" s="3741"/>
      <c r="E13" s="3741"/>
      <c r="F13" s="986"/>
      <c r="G13" s="986"/>
      <c r="H13" s="986"/>
      <c r="I13" s="986"/>
      <c r="J13" s="988"/>
    </row>
    <row r="14" spans="1:11" ht="15.6">
      <c r="A14" s="984"/>
      <c r="B14" s="985"/>
      <c r="C14" s="985"/>
      <c r="D14" s="3733" t="s">
        <v>1075</v>
      </c>
      <c r="E14" s="3733"/>
      <c r="F14" s="3733"/>
      <c r="G14" s="986"/>
      <c r="H14" s="986"/>
      <c r="I14" s="986"/>
      <c r="J14" s="988"/>
    </row>
    <row r="15" spans="1:11" ht="14.4">
      <c r="A15" s="984"/>
      <c r="B15" s="984"/>
      <c r="C15" s="984"/>
      <c r="D15" s="984"/>
      <c r="E15" s="984"/>
      <c r="F15" s="984"/>
      <c r="G15" s="984"/>
      <c r="H15" s="984"/>
      <c r="I15" s="984"/>
      <c r="J15" s="990"/>
    </row>
    <row r="16" spans="1:11" ht="14.4">
      <c r="A16" s="984"/>
      <c r="B16" s="984"/>
      <c r="C16" s="984"/>
      <c r="D16" s="3748" t="s">
        <v>2690</v>
      </c>
      <c r="E16" s="3749"/>
      <c r="F16" s="3749"/>
      <c r="G16" s="984"/>
      <c r="H16" s="984"/>
      <c r="I16" s="984"/>
      <c r="J16" s="991"/>
      <c r="K16" s="992"/>
    </row>
    <row r="17" spans="1:11" ht="15" customHeight="1">
      <c r="A17" s="984"/>
      <c r="B17" s="984"/>
      <c r="C17" s="984"/>
      <c r="D17" s="3733" t="s">
        <v>1076</v>
      </c>
      <c r="E17" s="3733"/>
      <c r="F17" s="3733"/>
      <c r="G17" s="984"/>
      <c r="H17" s="984"/>
      <c r="I17" s="984"/>
      <c r="J17" s="991"/>
      <c r="K17" s="992"/>
    </row>
    <row r="18" spans="1:11" ht="15" customHeight="1">
      <c r="A18" s="984"/>
      <c r="B18" s="984"/>
      <c r="C18" s="984"/>
      <c r="D18" s="3733" t="s">
        <v>1077</v>
      </c>
      <c r="E18" s="3733"/>
      <c r="F18" s="3733"/>
      <c r="G18" s="984"/>
      <c r="H18" s="984"/>
      <c r="I18" s="984"/>
      <c r="J18" s="991"/>
      <c r="K18" s="992"/>
    </row>
    <row r="25" spans="1:11" ht="14.4">
      <c r="B25" s="3741"/>
      <c r="C25" s="3741"/>
      <c r="D25" s="3741"/>
      <c r="E25" s="3741"/>
    </row>
    <row r="28" spans="1:11" ht="37.950000000000003" customHeight="1">
      <c r="B28" s="3742" t="s">
        <v>1085</v>
      </c>
      <c r="C28" s="3743"/>
      <c r="D28" s="3743"/>
      <c r="E28" s="3744"/>
    </row>
    <row r="29" spans="1:11" ht="198" customHeight="1">
      <c r="B29" s="3745" t="s">
        <v>1086</v>
      </c>
      <c r="C29" s="3746"/>
      <c r="D29" s="3746"/>
      <c r="E29" s="3747"/>
    </row>
  </sheetData>
  <mergeCells count="17">
    <mergeCell ref="B28:E28"/>
    <mergeCell ref="B29:E29"/>
    <mergeCell ref="D14:F14"/>
    <mergeCell ref="D16:F16"/>
    <mergeCell ref="D17:F17"/>
    <mergeCell ref="D18:F18"/>
    <mergeCell ref="B25:E25"/>
    <mergeCell ref="B7:C7"/>
    <mergeCell ref="B8:C8"/>
    <mergeCell ref="B9:C9"/>
    <mergeCell ref="B11:C11"/>
    <mergeCell ref="B13:E13"/>
    <mergeCell ref="A1:G1"/>
    <mergeCell ref="A2:G2"/>
    <mergeCell ref="A4:G4"/>
    <mergeCell ref="B5:C5"/>
    <mergeCell ref="B6:C6"/>
  </mergeCells>
  <printOptions horizontalCentered="1"/>
  <pageMargins left="0.77" right="0.49" top="0.8" bottom="0.98425196850393704" header="0.511811023622047" footer="0.511811023622047"/>
  <pageSetup paperSize="9" orientation="landscape" verticalDpi="18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9" tint="-0.249977111117893"/>
  </sheetPr>
  <dimension ref="A1:S101"/>
  <sheetViews>
    <sheetView view="pageBreakPreview" topLeftCell="A60" workbookViewId="0">
      <selection activeCell="F156" sqref="F156:G156"/>
    </sheetView>
  </sheetViews>
  <sheetFormatPr defaultColWidth="8.88671875" defaultRowHeight="14.4"/>
  <cols>
    <col min="1" max="1" width="6.44140625" style="316" customWidth="1"/>
    <col min="2" max="2" width="21.88671875" style="318" customWidth="1"/>
    <col min="3" max="5" width="3.33203125" style="318" customWidth="1"/>
    <col min="6" max="6" width="8" style="320" customWidth="1"/>
    <col min="7" max="7" width="7.109375" style="320" customWidth="1"/>
    <col min="8" max="8" width="6.88671875" style="320" customWidth="1"/>
    <col min="9" max="9" width="9.5546875" style="320" customWidth="1"/>
    <col min="10" max="10" width="9" style="319" customWidth="1"/>
    <col min="11" max="11" width="6.109375" style="320" customWidth="1"/>
    <col min="12" max="12" width="12" style="319" customWidth="1"/>
    <col min="13" max="16" width="9.109375" style="318" hidden="1" customWidth="1"/>
    <col min="17" max="18" width="9.109375" style="318"/>
    <col min="19" max="19" width="9.33203125" style="318" customWidth="1"/>
    <col min="20" max="16384" width="8.88671875" style="318"/>
  </cols>
  <sheetData>
    <row r="1" spans="1:12" ht="21" customHeight="1">
      <c r="A1" s="3750" t="s">
        <v>2673</v>
      </c>
      <c r="B1" s="3751"/>
      <c r="C1" s="3751"/>
      <c r="D1" s="3751"/>
      <c r="E1" s="3751"/>
      <c r="F1" s="3751"/>
      <c r="G1" s="3751"/>
      <c r="H1" s="3751"/>
      <c r="I1" s="3751"/>
      <c r="J1" s="3751"/>
      <c r="K1" s="3751"/>
      <c r="L1" s="3751"/>
    </row>
    <row r="2" spans="1:12" ht="29.1" customHeight="1">
      <c r="A2" s="3752" t="s">
        <v>676</v>
      </c>
      <c r="B2" s="3752"/>
      <c r="C2" s="3753" t="str">
        <f>'Input Data'!E1</f>
        <v>C/o HLB on R/F Amlikunta to Gundumal of Gundumal Mandal of Narayanept District.</v>
      </c>
      <c r="D2" s="3753"/>
      <c r="E2" s="3753"/>
      <c r="F2" s="3753"/>
      <c r="G2" s="3753"/>
      <c r="H2" s="3753"/>
      <c r="I2" s="3753"/>
      <c r="J2" s="3753"/>
      <c r="K2" s="3753"/>
      <c r="L2" s="3753"/>
    </row>
    <row r="3" spans="1:12" s="320" customFormat="1">
      <c r="A3" s="1178" t="s">
        <v>903</v>
      </c>
      <c r="B3" s="322" t="s">
        <v>904</v>
      </c>
      <c r="C3" s="3754" t="s">
        <v>905</v>
      </c>
      <c r="D3" s="3755"/>
      <c r="E3" s="3756"/>
      <c r="F3" s="322" t="s">
        <v>180</v>
      </c>
      <c r="G3" s="322" t="s">
        <v>732</v>
      </c>
      <c r="H3" s="322" t="s">
        <v>906</v>
      </c>
      <c r="I3" s="323" t="s">
        <v>3</v>
      </c>
      <c r="J3" s="321" t="s">
        <v>5</v>
      </c>
      <c r="K3" s="321" t="s">
        <v>579</v>
      </c>
      <c r="L3" s="322" t="s">
        <v>7</v>
      </c>
    </row>
    <row r="4" spans="1:12" s="320" customFormat="1">
      <c r="A4" s="321">
        <v>1</v>
      </c>
      <c r="B4" s="321">
        <v>2</v>
      </c>
      <c r="C4" s="3757">
        <v>3</v>
      </c>
      <c r="D4" s="3757"/>
      <c r="E4" s="3757"/>
      <c r="F4" s="321">
        <v>4</v>
      </c>
      <c r="G4" s="321">
        <v>5</v>
      </c>
      <c r="H4" s="321">
        <v>6</v>
      </c>
      <c r="I4" s="321">
        <v>7</v>
      </c>
      <c r="J4" s="321">
        <v>8</v>
      </c>
      <c r="K4" s="321">
        <v>9</v>
      </c>
      <c r="L4" s="321">
        <v>10</v>
      </c>
    </row>
    <row r="5" spans="1:12" ht="91.5" customHeight="1">
      <c r="A5" s="1179">
        <v>1</v>
      </c>
      <c r="B5" s="3758" t="str">
        <f>'Road data'!B5:G5</f>
        <v>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v>
      </c>
      <c r="C5" s="3758"/>
      <c r="D5" s="3758"/>
      <c r="E5" s="3758"/>
      <c r="F5" s="3758"/>
      <c r="G5" s="3758"/>
      <c r="H5" s="3758"/>
      <c r="I5" s="3758"/>
      <c r="J5" s="3758"/>
      <c r="K5" s="3758"/>
      <c r="L5" s="1210"/>
    </row>
    <row r="6" spans="1:12" ht="20.100000000000001" customHeight="1">
      <c r="A6" s="1181"/>
      <c r="B6" s="1182" t="s">
        <v>2674</v>
      </c>
      <c r="C6" s="1183">
        <v>1</v>
      </c>
      <c r="D6" s="1183" t="s">
        <v>907</v>
      </c>
      <c r="E6" s="1183">
        <v>2</v>
      </c>
      <c r="F6" s="1184">
        <v>1220</v>
      </c>
      <c r="G6" s="1185">
        <v>2.5</v>
      </c>
      <c r="H6" s="1185"/>
      <c r="I6" s="1211">
        <f>C6*E6*F6*G6</f>
        <v>6100</v>
      </c>
      <c r="J6" s="1202"/>
      <c r="K6" s="1182"/>
      <c r="L6" s="1212"/>
    </row>
    <row r="7" spans="1:12" ht="20.100000000000001" customHeight="1">
      <c r="A7" s="1181"/>
      <c r="B7" s="1186" t="s">
        <v>908</v>
      </c>
      <c r="C7" s="1183"/>
      <c r="D7" s="1183"/>
      <c r="E7" s="1183"/>
      <c r="F7" s="1187"/>
      <c r="G7" s="1185"/>
      <c r="H7" s="1185"/>
      <c r="I7" s="1211">
        <f>-(I6)*40%</f>
        <v>-2440</v>
      </c>
      <c r="J7" s="1202"/>
      <c r="K7" s="1182"/>
      <c r="L7" s="1212"/>
    </row>
    <row r="8" spans="1:12" ht="20.100000000000001" customHeight="1">
      <c r="A8" s="1181"/>
      <c r="B8" s="1182"/>
      <c r="C8" s="1182"/>
      <c r="D8" s="1182"/>
      <c r="E8" s="1182"/>
      <c r="F8" s="1181"/>
      <c r="G8" s="1181"/>
      <c r="H8" s="1181"/>
      <c r="I8" s="1213">
        <f>SUM(I6:I7)</f>
        <v>3660</v>
      </c>
      <c r="J8" s="1214">
        <f>'Road data'!G22</f>
        <v>4.32</v>
      </c>
      <c r="K8" s="1182">
        <v>1</v>
      </c>
      <c r="L8" s="1212">
        <f>ROUND(I8*J8,0)</f>
        <v>15811</v>
      </c>
    </row>
    <row r="9" spans="1:12" ht="20.100000000000001" customHeight="1">
      <c r="A9" s="1188"/>
      <c r="B9" s="1182"/>
      <c r="C9" s="1182"/>
      <c r="D9" s="1182"/>
      <c r="E9" s="1182"/>
      <c r="F9" s="1181"/>
      <c r="G9" s="1181"/>
      <c r="H9" s="1181"/>
      <c r="I9" s="1213" t="s">
        <v>353</v>
      </c>
      <c r="J9" s="1214"/>
      <c r="K9" s="1182" t="s">
        <v>353</v>
      </c>
      <c r="L9" s="1212"/>
    </row>
    <row r="10" spans="1:12" ht="76.5" hidden="1" customHeight="1">
      <c r="A10" s="1189">
        <v>2</v>
      </c>
      <c r="B10" s="3758" t="str">
        <f>'Road data'!B255:G255</f>
        <v xml:space="preserve">Scarifying the granular surface  to a depth of 50 mm by Mechanical means and re-using the scarified material with all leads and lifts  as per MoRT&amp;H (5th Revision) Specn. No.305.4.3    </v>
      </c>
      <c r="C10" s="3758"/>
      <c r="D10" s="3758"/>
      <c r="E10" s="3758"/>
      <c r="F10" s="3758"/>
      <c r="G10" s="3758"/>
      <c r="H10" s="3758"/>
      <c r="I10" s="3758"/>
      <c r="J10" s="3758"/>
      <c r="K10" s="3758"/>
      <c r="L10" s="1212"/>
    </row>
    <row r="11" spans="1:12" ht="27" hidden="1" customHeight="1">
      <c r="A11" s="1189"/>
      <c r="B11" s="1182" t="str">
        <f>B6</f>
        <v>0/000 to 1/220 km</v>
      </c>
      <c r="C11" s="1190">
        <v>0</v>
      </c>
      <c r="D11" s="1190" t="s">
        <v>907</v>
      </c>
      <c r="E11" s="1191">
        <v>1</v>
      </c>
      <c r="F11" s="1192">
        <v>1000</v>
      </c>
      <c r="G11" s="1192">
        <v>3.75</v>
      </c>
      <c r="H11" s="1193"/>
      <c r="I11" s="1211">
        <f>C11*E11*F11*G11</f>
        <v>0</v>
      </c>
      <c r="J11" s="1180"/>
      <c r="K11" s="1195"/>
      <c r="L11" s="1210"/>
    </row>
    <row r="12" spans="1:12" ht="19.95" hidden="1" customHeight="1">
      <c r="A12" s="1189"/>
      <c r="B12" s="1194"/>
      <c r="C12" s="1195"/>
      <c r="D12" s="1195"/>
      <c r="E12" s="1195"/>
      <c r="F12" s="1181"/>
      <c r="G12" s="1181"/>
      <c r="H12" s="1181"/>
      <c r="I12" s="1213">
        <f>SUM(I11)</f>
        <v>0</v>
      </c>
      <c r="J12" s="1214">
        <f>'Road data'!G270</f>
        <v>43.84</v>
      </c>
      <c r="K12" s="1182">
        <v>1</v>
      </c>
      <c r="L12" s="1212">
        <f>ROUND(I12*J12,0)</f>
        <v>0</v>
      </c>
    </row>
    <row r="13" spans="1:12" ht="14.25" hidden="1" customHeight="1">
      <c r="A13" s="1189"/>
      <c r="B13" s="1195"/>
      <c r="C13" s="1195"/>
      <c r="D13" s="1195"/>
      <c r="E13" s="1195"/>
      <c r="F13" s="1181"/>
      <c r="G13" s="1181"/>
      <c r="H13" s="1181"/>
      <c r="I13" s="1214" t="s">
        <v>353</v>
      </c>
      <c r="J13" s="1214"/>
      <c r="K13" s="1182" t="s">
        <v>353</v>
      </c>
      <c r="L13" s="1212"/>
    </row>
    <row r="14" spans="1:12" ht="95.25" hidden="1" customHeight="1">
      <c r="A14" s="1189">
        <v>2</v>
      </c>
      <c r="B14" s="3758" t="str">
        <f>'Road data'!B117:G117</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C14" s="3758"/>
      <c r="D14" s="3758"/>
      <c r="E14" s="3758"/>
      <c r="F14" s="3758"/>
      <c r="G14" s="3758"/>
      <c r="H14" s="3758"/>
      <c r="I14" s="3758"/>
      <c r="J14" s="3758"/>
      <c r="K14" s="3758"/>
      <c r="L14" s="1210"/>
    </row>
    <row r="15" spans="1:12" ht="14.25" hidden="1" customHeight="1">
      <c r="A15" s="1189"/>
      <c r="B15" s="1180" t="str">
        <f>B11</f>
        <v>0/000 to 1/220 km</v>
      </c>
      <c r="C15" s="1190">
        <v>0</v>
      </c>
      <c r="D15" s="1190" t="s">
        <v>907</v>
      </c>
      <c r="E15" s="1191">
        <v>2</v>
      </c>
      <c r="F15" s="1196">
        <v>2100</v>
      </c>
      <c r="G15" s="1197">
        <v>1.03</v>
      </c>
      <c r="H15" s="1197">
        <v>0.2</v>
      </c>
      <c r="I15" s="1211">
        <f>C15*E15*F15*G15</f>
        <v>0</v>
      </c>
      <c r="J15" s="1180"/>
      <c r="K15" s="1195"/>
      <c r="L15" s="1210"/>
    </row>
    <row r="16" spans="1:12" s="317" customFormat="1" ht="14.25" hidden="1" customHeight="1">
      <c r="A16" s="1198"/>
      <c r="B16" s="1199"/>
      <c r="C16" s="1200"/>
      <c r="D16" s="1200"/>
      <c r="E16" s="1200"/>
      <c r="F16" s="1201"/>
      <c r="G16" s="1201"/>
      <c r="H16" s="1201"/>
      <c r="I16" s="1216">
        <f>SUM(I15)</f>
        <v>0</v>
      </c>
      <c r="J16" s="1217">
        <f>'Road data'!G134</f>
        <v>140.15</v>
      </c>
      <c r="K16" s="1200">
        <v>1</v>
      </c>
      <c r="L16" s="1218">
        <f>ROUND(I16*J16,0)</f>
        <v>0</v>
      </c>
    </row>
    <row r="17" spans="1:19" ht="14.25" hidden="1" customHeight="1">
      <c r="A17" s="1189"/>
      <c r="B17" s="1195"/>
      <c r="C17" s="1195"/>
      <c r="D17" s="1195"/>
      <c r="E17" s="1195"/>
      <c r="F17" s="1181"/>
      <c r="G17" s="1181"/>
      <c r="H17" s="1181"/>
      <c r="I17" s="1213" t="s">
        <v>73</v>
      </c>
      <c r="J17" s="1214"/>
      <c r="K17" s="1182" t="s">
        <v>31</v>
      </c>
      <c r="L17" s="1212"/>
      <c r="S17" s="325"/>
    </row>
    <row r="18" spans="1:19" ht="133.5" customHeight="1">
      <c r="A18" s="1189">
        <v>2</v>
      </c>
      <c r="B18" s="3758"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18" s="3758"/>
      <c r="D18" s="3758"/>
      <c r="E18" s="3758"/>
      <c r="F18" s="3758"/>
      <c r="G18" s="3758"/>
      <c r="H18" s="3758"/>
      <c r="I18" s="3758"/>
      <c r="J18" s="3758"/>
      <c r="K18" s="3758"/>
      <c r="L18" s="1210"/>
    </row>
    <row r="19" spans="1:19" ht="14.25" customHeight="1">
      <c r="A19" s="1188"/>
      <c r="B19" s="1202"/>
      <c r="C19" s="1183"/>
      <c r="D19" s="1183"/>
      <c r="E19" s="1203"/>
      <c r="F19" s="1192"/>
      <c r="G19" s="1193"/>
      <c r="H19" s="1193"/>
      <c r="I19" s="1211">
        <f>1.22*3500</f>
        <v>4270</v>
      </c>
      <c r="J19" s="1202"/>
      <c r="K19" s="1182"/>
      <c r="L19" s="1212"/>
    </row>
    <row r="20" spans="1:19" ht="14.25" customHeight="1">
      <c r="A20" s="1181"/>
      <c r="B20" s="1182" t="s">
        <v>909</v>
      </c>
      <c r="C20" s="1182"/>
      <c r="D20" s="1182"/>
      <c r="E20" s="1182"/>
      <c r="F20" s="1181"/>
      <c r="G20" s="1181"/>
      <c r="H20" s="1181"/>
      <c r="I20" s="1213">
        <f>SUM(I19)</f>
        <v>4270</v>
      </c>
      <c r="J20" s="1214">
        <f>'Road data'!G188</f>
        <v>297.89</v>
      </c>
      <c r="K20" s="1182">
        <v>1</v>
      </c>
      <c r="L20" s="1212">
        <f>ROUND(I20*J20,0)</f>
        <v>1271990</v>
      </c>
    </row>
    <row r="21" spans="1:19" ht="14.25" customHeight="1">
      <c r="A21" s="1181"/>
      <c r="B21" s="1182" t="s">
        <v>2632</v>
      </c>
      <c r="C21" s="1182"/>
      <c r="D21" s="1182"/>
      <c r="E21" s="1182"/>
      <c r="F21" s="1181"/>
      <c r="G21" s="1181"/>
      <c r="H21" s="1181"/>
      <c r="I21" s="1213" t="s">
        <v>73</v>
      </c>
      <c r="J21" s="1214"/>
      <c r="K21" s="1182" t="s">
        <v>31</v>
      </c>
      <c r="L21" s="1212"/>
    </row>
    <row r="22" spans="1:19" ht="93.75" hidden="1" customHeight="1">
      <c r="A22" s="1179"/>
      <c r="B22" s="3758" t="str">
        <f>'Road data'!B272:G272</f>
        <v xml:space="preserve">Scarifying the existing bitumen surface  to a depth of 50 mm by Mechanical means and disposal of scarified material with all leads and lifts upto 1000 Mtrs as per MoRT&amp;H (5th Revision) Specn. No.305.4.3    </v>
      </c>
      <c r="C22" s="3758"/>
      <c r="D22" s="3758"/>
      <c r="E22" s="3758"/>
      <c r="F22" s="3758"/>
      <c r="G22" s="3758"/>
      <c r="H22" s="3758"/>
      <c r="I22" s="3758"/>
      <c r="J22" s="3758"/>
      <c r="K22" s="3758"/>
      <c r="L22" s="1210"/>
    </row>
    <row r="23" spans="1:19" ht="14.25" hidden="1" customHeight="1">
      <c r="A23" s="1179"/>
      <c r="B23" s="1182" t="s">
        <v>910</v>
      </c>
      <c r="C23" s="1190">
        <v>1</v>
      </c>
      <c r="D23" s="1190" t="s">
        <v>907</v>
      </c>
      <c r="E23" s="1191">
        <v>1</v>
      </c>
      <c r="F23" s="1192">
        <v>0</v>
      </c>
      <c r="G23" s="1192">
        <v>3.75</v>
      </c>
      <c r="H23" s="1193"/>
      <c r="I23" s="1211">
        <f>C23*E23*F23*G23</f>
        <v>0</v>
      </c>
      <c r="J23" s="1180"/>
      <c r="K23" s="1195"/>
      <c r="L23" s="1210"/>
    </row>
    <row r="24" spans="1:19" ht="14.25" hidden="1" customHeight="1">
      <c r="A24" s="1179"/>
      <c r="B24" s="1194"/>
      <c r="C24" s="1195"/>
      <c r="D24" s="1195"/>
      <c r="E24" s="1195"/>
      <c r="F24" s="1181"/>
      <c r="G24" s="1181"/>
      <c r="H24" s="1181"/>
      <c r="I24" s="1213">
        <f>SUM(I23)</f>
        <v>0</v>
      </c>
      <c r="J24" s="1214">
        <f>'Road data'!G290</f>
        <v>11.24</v>
      </c>
      <c r="K24" s="1182">
        <v>1</v>
      </c>
      <c r="L24" s="1212">
        <f>ROUND(I24*J24,0)</f>
        <v>0</v>
      </c>
    </row>
    <row r="25" spans="1:19" ht="14.25" hidden="1" customHeight="1">
      <c r="A25" s="1179"/>
      <c r="B25" s="1195"/>
      <c r="C25" s="1195"/>
      <c r="D25" s="1195"/>
      <c r="E25" s="1195"/>
      <c r="F25" s="1181"/>
      <c r="G25" s="1181"/>
      <c r="H25" s="1181"/>
      <c r="I25" s="1214" t="s">
        <v>353</v>
      </c>
      <c r="J25" s="1214"/>
      <c r="K25" s="1182" t="s">
        <v>353</v>
      </c>
      <c r="L25" s="1212"/>
    </row>
    <row r="26" spans="1:19" ht="87" customHeight="1">
      <c r="A26" s="1179">
        <v>3</v>
      </c>
      <c r="B26" s="3758" t="str">
        <f>'Road data'!B228:G228</f>
        <v>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v>
      </c>
      <c r="C26" s="3758"/>
      <c r="D26" s="3758"/>
      <c r="E26" s="3758"/>
      <c r="F26" s="3758"/>
      <c r="G26" s="3758"/>
      <c r="H26" s="3758"/>
      <c r="I26" s="3758"/>
      <c r="J26" s="3758"/>
      <c r="K26" s="3758"/>
      <c r="L26" s="1210"/>
    </row>
    <row r="27" spans="1:19" s="1176" customFormat="1" ht="24.75" customHeight="1">
      <c r="A27" s="1204"/>
      <c r="B27" s="1182" t="str">
        <f>B6</f>
        <v>0/000 to 1/220 km</v>
      </c>
      <c r="C27" s="1183">
        <v>1</v>
      </c>
      <c r="D27" s="1183" t="s">
        <v>907</v>
      </c>
      <c r="E27" s="1203">
        <v>2</v>
      </c>
      <c r="F27" s="1192">
        <f>F6</f>
        <v>1220</v>
      </c>
      <c r="G27" s="1193">
        <v>1.875</v>
      </c>
      <c r="H27" s="1193">
        <v>0.18</v>
      </c>
      <c r="I27" s="1211">
        <f t="shared" ref="I27" si="0">ROUND(C27*E27*F27*G27*H27,2)</f>
        <v>823.5</v>
      </c>
      <c r="J27" s="1219"/>
      <c r="K27" s="1219"/>
      <c r="L27" s="1220"/>
    </row>
    <row r="28" spans="1:19" s="1176" customFormat="1" ht="32.25" customHeight="1">
      <c r="A28" s="1204"/>
      <c r="B28" s="1182" t="s">
        <v>2675</v>
      </c>
      <c r="C28" s="1183">
        <v>-1</v>
      </c>
      <c r="D28" s="1183" t="s">
        <v>907</v>
      </c>
      <c r="E28" s="1203">
        <v>2</v>
      </c>
      <c r="F28" s="1192">
        <v>30</v>
      </c>
      <c r="G28" s="1193">
        <v>1.875</v>
      </c>
      <c r="H28" s="1193">
        <v>0.18</v>
      </c>
      <c r="I28" s="1211">
        <f t="shared" ref="I28" si="1">ROUND(C28*E28*F28*G28*H28,2)</f>
        <v>-20.25</v>
      </c>
      <c r="J28" s="1219"/>
      <c r="K28" s="1219"/>
      <c r="L28" s="1220"/>
    </row>
    <row r="29" spans="1:19" ht="14.25" customHeight="1">
      <c r="A29" s="1181"/>
      <c r="B29" s="1182"/>
      <c r="C29" s="1182"/>
      <c r="D29" s="1182"/>
      <c r="E29" s="1182"/>
      <c r="F29" s="1181"/>
      <c r="G29" s="1181"/>
      <c r="H29" s="1181"/>
      <c r="I29" s="1213">
        <f>SUM(I27:I28)</f>
        <v>803.25</v>
      </c>
      <c r="J29" s="1214">
        <f>'Road data'!G253</f>
        <v>317.13</v>
      </c>
      <c r="K29" s="1182">
        <v>1</v>
      </c>
      <c r="L29" s="1212">
        <f>ROUND(I29*J29,0)</f>
        <v>254735</v>
      </c>
    </row>
    <row r="30" spans="1:19" ht="14.25" customHeight="1">
      <c r="A30" s="1181"/>
      <c r="B30" s="1182"/>
      <c r="C30" s="1182"/>
      <c r="D30" s="1182"/>
      <c r="E30" s="1182"/>
      <c r="F30" s="1181"/>
      <c r="G30" s="1181"/>
      <c r="H30" s="1181"/>
      <c r="I30" s="1213" t="s">
        <v>73</v>
      </c>
      <c r="J30" s="1214"/>
      <c r="K30" s="1182" t="s">
        <v>31</v>
      </c>
      <c r="L30" s="1212"/>
    </row>
    <row r="31" spans="1:19" ht="138" customHeight="1">
      <c r="A31" s="1179">
        <v>4</v>
      </c>
      <c r="B31" s="3758" t="str">
        <f>'Road data'!B295:G295</f>
        <v>Construction of Granular sub-base by providing   HBG material confirming to Grading - VI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v>
      </c>
      <c r="C31" s="3758"/>
      <c r="D31" s="3758"/>
      <c r="E31" s="3758"/>
      <c r="F31" s="3758"/>
      <c r="G31" s="3758"/>
      <c r="H31" s="3758"/>
      <c r="I31" s="3758"/>
      <c r="J31" s="3758"/>
      <c r="K31" s="3758"/>
      <c r="L31" s="1210"/>
    </row>
    <row r="32" spans="1:19" ht="28.5" customHeight="1">
      <c r="A32" s="1181"/>
      <c r="B32" s="1182" t="str">
        <f>B27</f>
        <v>0/000 to 1/220 km</v>
      </c>
      <c r="C32" s="1183">
        <v>1</v>
      </c>
      <c r="D32" s="1183" t="s">
        <v>907</v>
      </c>
      <c r="E32" s="1203">
        <v>1</v>
      </c>
      <c r="F32" s="1192">
        <f>F27</f>
        <v>1220</v>
      </c>
      <c r="G32" s="1193">
        <v>4</v>
      </c>
      <c r="H32" s="1193">
        <v>0.17499999999999999</v>
      </c>
      <c r="I32" s="1211">
        <f t="shared" ref="I32" si="2">ROUND(C32*E32*F32*G32*H32,2)</f>
        <v>854</v>
      </c>
      <c r="J32" s="1221"/>
      <c r="K32" s="1202"/>
      <c r="L32" s="1212"/>
    </row>
    <row r="33" spans="1:12" ht="33.75" customHeight="1">
      <c r="A33" s="1181"/>
      <c r="B33" s="1182" t="str">
        <f>B28</f>
        <v>Deduction for CD at Ch 1/000</v>
      </c>
      <c r="C33" s="1183">
        <v>-1</v>
      </c>
      <c r="D33" s="1183" t="s">
        <v>907</v>
      </c>
      <c r="E33" s="1203">
        <v>1</v>
      </c>
      <c r="F33" s="1192">
        <f>F28</f>
        <v>30</v>
      </c>
      <c r="G33" s="1193">
        <v>4</v>
      </c>
      <c r="H33" s="1193">
        <v>0.17499999999999999</v>
      </c>
      <c r="I33" s="1211">
        <f t="shared" ref="I33" si="3">ROUND(C33*E33*F33*G33*H33,2)</f>
        <v>-21</v>
      </c>
      <c r="J33" s="1221"/>
      <c r="K33" s="1202"/>
      <c r="L33" s="1212"/>
    </row>
    <row r="34" spans="1:12" ht="14.25" customHeight="1">
      <c r="A34" s="1181"/>
      <c r="B34" s="1182"/>
      <c r="C34" s="1182"/>
      <c r="D34" s="1182"/>
      <c r="E34" s="1182"/>
      <c r="F34" s="1181"/>
      <c r="G34" s="1181"/>
      <c r="H34" s="1181"/>
      <c r="I34" s="1213">
        <f>SUM(I32:I33)</f>
        <v>833</v>
      </c>
      <c r="J34" s="1214">
        <f>'Road data'!G324</f>
        <v>2776.66</v>
      </c>
      <c r="K34" s="1182">
        <v>1</v>
      </c>
      <c r="L34" s="1212">
        <f>ROUND(I34*J34,0)</f>
        <v>2312958</v>
      </c>
    </row>
    <row r="35" spans="1:12" ht="14.25" customHeight="1">
      <c r="A35" s="1181"/>
      <c r="B35" s="1182"/>
      <c r="C35" s="1182"/>
      <c r="D35" s="1182"/>
      <c r="E35" s="1182"/>
      <c r="F35" s="1181"/>
      <c r="G35" s="1181"/>
      <c r="H35" s="1181"/>
      <c r="I35" s="1213" t="s">
        <v>73</v>
      </c>
      <c r="J35" s="1214"/>
      <c r="K35" s="1182" t="s">
        <v>31</v>
      </c>
      <c r="L35" s="1212"/>
    </row>
    <row r="36" spans="1:12" ht="154.5" hidden="1" customHeight="1">
      <c r="A36" s="1179">
        <v>7</v>
      </c>
      <c r="B36" s="3758" t="str">
        <f>'Road data'!B327:G327</f>
        <v>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v>
      </c>
      <c r="C36" s="3758"/>
      <c r="D36" s="3758"/>
      <c r="E36" s="3758"/>
      <c r="F36" s="3758"/>
      <c r="G36" s="3758"/>
      <c r="H36" s="3758"/>
      <c r="I36" s="3758"/>
      <c r="J36" s="3758"/>
      <c r="K36" s="3758"/>
      <c r="L36" s="1210"/>
    </row>
    <row r="37" spans="1:12" ht="14.25" hidden="1" customHeight="1">
      <c r="A37" s="1205"/>
      <c r="B37" s="1200" t="s">
        <v>911</v>
      </c>
      <c r="C37" s="1190">
        <v>1</v>
      </c>
      <c r="D37" s="1190" t="s">
        <v>907</v>
      </c>
      <c r="E37" s="1190">
        <v>1</v>
      </c>
      <c r="F37" s="1206"/>
      <c r="G37" s="1196">
        <v>3.75</v>
      </c>
      <c r="H37" s="1197">
        <v>0.1</v>
      </c>
      <c r="I37" s="1215">
        <f t="shared" ref="I37" si="4">ROUND(C37*E37*F37*G37*H37,2)</f>
        <v>0</v>
      </c>
      <c r="J37" s="1222"/>
      <c r="K37" s="1223"/>
      <c r="L37" s="1224"/>
    </row>
    <row r="38" spans="1:12" ht="14.25" hidden="1" customHeight="1">
      <c r="A38" s="1205"/>
      <c r="B38" s="1200" t="s">
        <v>911</v>
      </c>
      <c r="C38" s="1190">
        <v>1</v>
      </c>
      <c r="D38" s="1190" t="s">
        <v>907</v>
      </c>
      <c r="E38" s="1190">
        <v>1</v>
      </c>
      <c r="F38" s="1206"/>
      <c r="G38" s="1196">
        <v>3.75</v>
      </c>
      <c r="H38" s="1197">
        <v>0.15</v>
      </c>
      <c r="I38" s="1215">
        <f t="shared" ref="I38" si="5">ROUND(C38*E38*F38*G38*H38,2)</f>
        <v>0</v>
      </c>
      <c r="J38" s="1222"/>
      <c r="K38" s="1223"/>
      <c r="L38" s="1224"/>
    </row>
    <row r="39" spans="1:12" ht="14.25" hidden="1" customHeight="1">
      <c r="A39" s="1201"/>
      <c r="B39" s="1200"/>
      <c r="C39" s="1200"/>
      <c r="D39" s="1200"/>
      <c r="E39" s="1200"/>
      <c r="F39" s="1201"/>
      <c r="G39" s="1201"/>
      <c r="H39" s="1201"/>
      <c r="I39" s="1225">
        <f>SUM(I37:I38)</f>
        <v>0</v>
      </c>
      <c r="J39" s="1217">
        <f>'Road data'!G362</f>
        <v>2702.52</v>
      </c>
      <c r="K39" s="1200">
        <v>1</v>
      </c>
      <c r="L39" s="1218">
        <f>ROUND(I39*J39,0)</f>
        <v>0</v>
      </c>
    </row>
    <row r="40" spans="1:12" ht="14.25" hidden="1" customHeight="1">
      <c r="A40" s="1179"/>
      <c r="B40" s="1195"/>
      <c r="C40" s="1195"/>
      <c r="D40" s="1195"/>
      <c r="E40" s="1195"/>
      <c r="F40" s="1181"/>
      <c r="G40" s="1181"/>
      <c r="H40" s="1181"/>
      <c r="I40" s="1213" t="s">
        <v>73</v>
      </c>
      <c r="J40" s="1214"/>
      <c r="K40" s="1182" t="s">
        <v>31</v>
      </c>
      <c r="L40" s="1212"/>
    </row>
    <row r="41" spans="1:12" ht="142.5" hidden="1" customHeight="1">
      <c r="A41" s="1179">
        <v>8</v>
      </c>
      <c r="B41" s="3758" t="str">
        <f>'Road data'!B366:G366</f>
        <v>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v>
      </c>
      <c r="C41" s="3758"/>
      <c r="D41" s="3758"/>
      <c r="E41" s="3758"/>
      <c r="F41" s="3758"/>
      <c r="G41" s="3758"/>
      <c r="H41" s="3758"/>
      <c r="I41" s="3758"/>
      <c r="J41" s="3758"/>
      <c r="K41" s="3758"/>
      <c r="L41" s="1210"/>
    </row>
    <row r="42" spans="1:12" ht="14.25" hidden="1" customHeight="1">
      <c r="A42" s="1205"/>
      <c r="B42" s="1200" t="s">
        <v>911</v>
      </c>
      <c r="C42" s="1190">
        <v>1</v>
      </c>
      <c r="D42" s="1190" t="s">
        <v>907</v>
      </c>
      <c r="E42" s="1190">
        <v>1</v>
      </c>
      <c r="F42" s="1196">
        <v>0</v>
      </c>
      <c r="G42" s="1196">
        <v>3.75</v>
      </c>
      <c r="H42" s="1197">
        <v>0.22500000000000001</v>
      </c>
      <c r="I42" s="1215">
        <f t="shared" ref="I42" si="6">ROUND(C42*E42*F42*G42*H42,2)</f>
        <v>0</v>
      </c>
      <c r="J42" s="1222"/>
      <c r="K42" s="1223"/>
      <c r="L42" s="1224"/>
    </row>
    <row r="43" spans="1:12" ht="14.25" hidden="1" customHeight="1">
      <c r="A43" s="1205"/>
      <c r="B43" s="1194"/>
      <c r="C43" s="1190"/>
      <c r="D43" s="1190"/>
      <c r="E43" s="1190"/>
      <c r="F43" s="1207"/>
      <c r="G43" s="1208"/>
      <c r="H43" s="1208"/>
      <c r="I43" s="1215"/>
      <c r="J43" s="1222"/>
      <c r="K43" s="1223"/>
      <c r="L43" s="1224"/>
    </row>
    <row r="44" spans="1:12" ht="14.25" hidden="1" customHeight="1">
      <c r="A44" s="1201"/>
      <c r="B44" s="1200"/>
      <c r="C44" s="1200"/>
      <c r="D44" s="1200"/>
      <c r="E44" s="1200"/>
      <c r="F44" s="1201"/>
      <c r="G44" s="1201"/>
      <c r="H44" s="1201"/>
      <c r="I44" s="1225">
        <f>SUM(I42:I43)</f>
        <v>0</v>
      </c>
      <c r="J44" s="1217">
        <f>'Road data'!G398</f>
        <v>2888.47</v>
      </c>
      <c r="K44" s="1200">
        <v>1</v>
      </c>
      <c r="L44" s="1218">
        <f>ROUND(I44*J44,0)</f>
        <v>0</v>
      </c>
    </row>
    <row r="45" spans="1:12" ht="14.25" hidden="1" customHeight="1">
      <c r="A45" s="1179"/>
      <c r="B45" s="1195"/>
      <c r="C45" s="1195"/>
      <c r="D45" s="1195"/>
      <c r="E45" s="1195"/>
      <c r="F45" s="1181"/>
      <c r="G45" s="1181"/>
      <c r="H45" s="1181"/>
      <c r="I45" s="1213" t="s">
        <v>73</v>
      </c>
      <c r="J45" s="1214"/>
      <c r="K45" s="1182" t="s">
        <v>31</v>
      </c>
      <c r="L45" s="1212"/>
    </row>
    <row r="46" spans="1:12" ht="128.25" customHeight="1">
      <c r="A46" s="1179">
        <v>5</v>
      </c>
      <c r="B46" s="3758" t="str">
        <f>'Road data'!B400:G400</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v>
      </c>
      <c r="C46" s="3758"/>
      <c r="D46" s="3758"/>
      <c r="E46" s="3758"/>
      <c r="F46" s="3758"/>
      <c r="G46" s="3758"/>
      <c r="H46" s="3758"/>
      <c r="I46" s="3758"/>
      <c r="J46" s="3758"/>
      <c r="K46" s="3758"/>
      <c r="L46" s="1210"/>
    </row>
    <row r="47" spans="1:12" s="1177" customFormat="1" ht="30.75" customHeight="1">
      <c r="A47" s="1204"/>
      <c r="B47" s="1182" t="str">
        <f>B32</f>
        <v>0/000 to 1/220 km</v>
      </c>
      <c r="C47" s="1183">
        <v>1</v>
      </c>
      <c r="D47" s="1183" t="s">
        <v>907</v>
      </c>
      <c r="E47" s="1203">
        <v>1</v>
      </c>
      <c r="F47" s="1192">
        <f>F32</f>
        <v>1220</v>
      </c>
      <c r="G47" s="1193">
        <v>3.75</v>
      </c>
      <c r="H47" s="1193">
        <v>0.15</v>
      </c>
      <c r="I47" s="1211">
        <f t="shared" ref="I47" si="7">ROUND(C47*E47*F47*G47*H47,2)</f>
        <v>686.25</v>
      </c>
      <c r="J47" s="1219"/>
      <c r="K47" s="1202"/>
      <c r="L47" s="1220"/>
    </row>
    <row r="48" spans="1:12" s="1177" customFormat="1" ht="30" customHeight="1">
      <c r="A48" s="1204"/>
      <c r="B48" s="1182" t="str">
        <f>B33</f>
        <v>Deduction for CD at Ch 1/000</v>
      </c>
      <c r="C48" s="1183">
        <v>-1</v>
      </c>
      <c r="D48" s="1183" t="s">
        <v>907</v>
      </c>
      <c r="E48" s="1203">
        <v>1</v>
      </c>
      <c r="F48" s="1192">
        <f>F33</f>
        <v>30</v>
      </c>
      <c r="G48" s="1193">
        <v>3.75</v>
      </c>
      <c r="H48" s="1193">
        <v>0.15</v>
      </c>
      <c r="I48" s="1211">
        <f t="shared" ref="I48" si="8">ROUND(C48*E48*F48*G48*H48,2)</f>
        <v>-16.88</v>
      </c>
      <c r="J48" s="1219"/>
      <c r="K48" s="1202"/>
      <c r="L48" s="1220"/>
    </row>
    <row r="49" spans="1:12" ht="14.25" customHeight="1">
      <c r="A49" s="1181"/>
      <c r="B49" s="1182"/>
      <c r="C49" s="1182"/>
      <c r="D49" s="1182"/>
      <c r="E49" s="1182"/>
      <c r="F49" s="1181"/>
      <c r="G49" s="1181"/>
      <c r="H49" s="1181"/>
      <c r="I49" s="1213">
        <f>SUM(I47:I48)</f>
        <v>669.37</v>
      </c>
      <c r="J49" s="1214">
        <f>'Road data'!G431</f>
        <v>3190.33</v>
      </c>
      <c r="K49" s="1182">
        <v>1</v>
      </c>
      <c r="L49" s="1212">
        <f>ROUND(I49*J49,0)</f>
        <v>2135511</v>
      </c>
    </row>
    <row r="50" spans="1:12" ht="14.25" customHeight="1">
      <c r="A50" s="1181"/>
      <c r="B50" s="1182"/>
      <c r="C50" s="1182"/>
      <c r="D50" s="1182"/>
      <c r="E50" s="1182"/>
      <c r="F50" s="1181"/>
      <c r="G50" s="1181"/>
      <c r="H50" s="1181"/>
      <c r="I50" s="1213" t="s">
        <v>73</v>
      </c>
      <c r="J50" s="1214"/>
      <c r="K50" s="1182" t="s">
        <v>31</v>
      </c>
      <c r="L50" s="1212"/>
    </row>
    <row r="51" spans="1:12" ht="107.25" customHeight="1">
      <c r="A51" s="1179">
        <v>6</v>
      </c>
      <c r="B51" s="3758" t="str">
        <f>'Road data'!B481:G481</f>
        <v>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v>
      </c>
      <c r="C51" s="3758"/>
      <c r="D51" s="3758"/>
      <c r="E51" s="3758"/>
      <c r="F51" s="3758"/>
      <c r="G51" s="3758"/>
      <c r="H51" s="3758"/>
      <c r="I51" s="3758"/>
      <c r="J51" s="3758"/>
      <c r="K51" s="3758"/>
      <c r="L51" s="1210"/>
    </row>
    <row r="52" spans="1:12" ht="33.75" customHeight="1">
      <c r="A52" s="1181"/>
      <c r="B52" s="1182" t="str">
        <f>B47</f>
        <v>0/000 to 1/220 km</v>
      </c>
      <c r="C52" s="1183">
        <v>1</v>
      </c>
      <c r="D52" s="1183" t="s">
        <v>907</v>
      </c>
      <c r="E52" s="1203">
        <v>1</v>
      </c>
      <c r="F52" s="1192">
        <f>F47</f>
        <v>1220</v>
      </c>
      <c r="G52" s="1192">
        <f>G47</f>
        <v>3.75</v>
      </c>
      <c r="H52" s="1185"/>
      <c r="I52" s="1211">
        <f>F52*G52</f>
        <v>4575</v>
      </c>
      <c r="J52" s="1202"/>
      <c r="K52" s="1202"/>
      <c r="L52" s="1212"/>
    </row>
    <row r="53" spans="1:12" ht="29.25" customHeight="1">
      <c r="A53" s="1181"/>
      <c r="B53" s="1182" t="str">
        <f>B48</f>
        <v>Deduction for CD at Ch 1/000</v>
      </c>
      <c r="C53" s="1183">
        <v>-1</v>
      </c>
      <c r="D53" s="1183" t="s">
        <v>907</v>
      </c>
      <c r="E53" s="1203">
        <v>1</v>
      </c>
      <c r="F53" s="1192">
        <f>F48</f>
        <v>30</v>
      </c>
      <c r="G53" s="1192">
        <f>G48</f>
        <v>3.75</v>
      </c>
      <c r="H53" s="1185"/>
      <c r="I53" s="1211">
        <f>F53*G53*C53</f>
        <v>-112.5</v>
      </c>
      <c r="J53" s="1202"/>
      <c r="K53" s="1202"/>
      <c r="L53" s="1212"/>
    </row>
    <row r="54" spans="1:12" ht="14.25" customHeight="1">
      <c r="A54" s="1181"/>
      <c r="B54" s="1182"/>
      <c r="C54" s="1182"/>
      <c r="D54" s="1182"/>
      <c r="E54" s="1182"/>
      <c r="F54" s="1181"/>
      <c r="G54" s="1181"/>
      <c r="H54" s="1181"/>
      <c r="I54" s="1213">
        <f>SUM(I52:I53)</f>
        <v>4462.5</v>
      </c>
      <c r="J54" s="1214">
        <f>'Road data'!G505</f>
        <v>62</v>
      </c>
      <c r="K54" s="1182">
        <v>1</v>
      </c>
      <c r="L54" s="1212">
        <f>ROUND(I54*J54,0)</f>
        <v>276675</v>
      </c>
    </row>
    <row r="55" spans="1:12" ht="14.25" customHeight="1">
      <c r="A55" s="1181"/>
      <c r="B55" s="1182"/>
      <c r="C55" s="1182"/>
      <c r="D55" s="1182"/>
      <c r="E55" s="1182"/>
      <c r="F55" s="1181"/>
      <c r="G55" s="1181"/>
      <c r="H55" s="1181"/>
      <c r="I55" s="1213" t="s">
        <v>353</v>
      </c>
      <c r="J55" s="1214"/>
      <c r="K55" s="1182" t="s">
        <v>353</v>
      </c>
      <c r="L55" s="1212"/>
    </row>
    <row r="56" spans="1:12" ht="92.25" customHeight="1">
      <c r="A56" s="1179">
        <v>7</v>
      </c>
      <c r="B56" s="3758" t="str">
        <f>'Road data'!B433:G433</f>
        <v>Providing and applying tack coat with Bitumen emulsion (RS-1)  using emulsion  distributor at the rate of 0.275 kg per sqm on the prepared granular surfaces treated with primer &amp; cleaned with Hydraulic broom,as directed by the Engineer-in-Charge and as per Technical Specification Clause 503 MoRT&amp;H (5th Revision), including overhead charges &amp; Contractors profit excluding Seignarage charges etc complete.</v>
      </c>
      <c r="C56" s="3758"/>
      <c r="D56" s="3758"/>
      <c r="E56" s="3758"/>
      <c r="F56" s="3758"/>
      <c r="G56" s="3758"/>
      <c r="H56" s="3758"/>
      <c r="I56" s="3758"/>
      <c r="J56" s="3758"/>
      <c r="K56" s="3758"/>
      <c r="L56" s="1210"/>
    </row>
    <row r="57" spans="1:12" ht="31.5" customHeight="1">
      <c r="A57" s="1181"/>
      <c r="B57" s="1182" t="str">
        <f>B52</f>
        <v>0/000 to 1/220 km</v>
      </c>
      <c r="C57" s="1183">
        <f>C52</f>
        <v>1</v>
      </c>
      <c r="D57" s="1183" t="s">
        <v>907</v>
      </c>
      <c r="E57" s="1203">
        <v>1</v>
      </c>
      <c r="F57" s="1192">
        <f>F52</f>
        <v>1220</v>
      </c>
      <c r="G57" s="1192">
        <f>G52</f>
        <v>3.75</v>
      </c>
      <c r="H57" s="1185"/>
      <c r="I57" s="1211">
        <f>F57*G57</f>
        <v>4575</v>
      </c>
      <c r="J57" s="1202"/>
      <c r="K57" s="1202"/>
      <c r="L57" s="1212"/>
    </row>
    <row r="58" spans="1:12" ht="29.25" customHeight="1">
      <c r="A58" s="1181"/>
      <c r="B58" s="1182" t="str">
        <f>B53</f>
        <v>Deduction for CD at Ch 1/000</v>
      </c>
      <c r="C58" s="1183">
        <f>C53</f>
        <v>-1</v>
      </c>
      <c r="D58" s="1183" t="s">
        <v>907</v>
      </c>
      <c r="E58" s="1203">
        <v>1</v>
      </c>
      <c r="F58" s="1192">
        <f>F53</f>
        <v>30</v>
      </c>
      <c r="G58" s="1192">
        <f>G53</f>
        <v>3.75</v>
      </c>
      <c r="H58" s="1185"/>
      <c r="I58" s="1211">
        <f>F58*G58*C58</f>
        <v>-112.5</v>
      </c>
      <c r="J58" s="1202"/>
      <c r="K58" s="1202"/>
      <c r="L58" s="1212"/>
    </row>
    <row r="59" spans="1:12" ht="14.25" customHeight="1">
      <c r="A59" s="1181"/>
      <c r="B59" s="1209" t="s">
        <v>912</v>
      </c>
      <c r="C59" s="1182"/>
      <c r="D59" s="1182"/>
      <c r="E59" s="1182"/>
      <c r="F59" s="1181"/>
      <c r="G59" s="1181"/>
      <c r="H59" s="1181"/>
      <c r="I59" s="1213">
        <f>SUM(I57:I58)</f>
        <v>4462.5</v>
      </c>
      <c r="J59" s="1214">
        <f>'Road data'!G455</f>
        <v>17.87</v>
      </c>
      <c r="K59" s="1182">
        <v>1</v>
      </c>
      <c r="L59" s="1212">
        <f>ROUND(I59*J59,0)</f>
        <v>79745</v>
      </c>
    </row>
    <row r="60" spans="1:12" ht="20.100000000000001" customHeight="1">
      <c r="A60" s="1181"/>
      <c r="B60" s="1182"/>
      <c r="C60" s="1182"/>
      <c r="D60" s="1182"/>
      <c r="E60" s="1182"/>
      <c r="F60" s="1181"/>
      <c r="G60" s="1181"/>
      <c r="H60" s="1181"/>
      <c r="I60" s="1213" t="s">
        <v>353</v>
      </c>
      <c r="J60" s="1214"/>
      <c r="K60" s="1182" t="s">
        <v>913</v>
      </c>
      <c r="L60" s="1212"/>
    </row>
    <row r="61" spans="1:12" ht="195" hidden="1" customHeight="1">
      <c r="A61" s="1179">
        <v>8</v>
      </c>
      <c r="B61" s="3758" t="str">
        <f>'Road data'!B508:G508</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C61" s="3758"/>
      <c r="D61" s="3758"/>
      <c r="E61" s="3758"/>
      <c r="F61" s="3758"/>
      <c r="G61" s="3758"/>
      <c r="H61" s="3758"/>
      <c r="I61" s="3758"/>
      <c r="J61" s="3758"/>
      <c r="K61" s="3758"/>
      <c r="L61" s="1210"/>
    </row>
    <row r="62" spans="1:12" ht="28.2" hidden="1" customHeight="1">
      <c r="A62" s="1201"/>
      <c r="B62" s="1200" t="e">
        <f>#REF!</f>
        <v>#REF!</v>
      </c>
      <c r="C62" s="1190">
        <v>1</v>
      </c>
      <c r="D62" s="1190" t="s">
        <v>907</v>
      </c>
      <c r="E62" s="1191">
        <v>1</v>
      </c>
      <c r="F62" s="1196" t="e">
        <f>#REF!</f>
        <v>#REF!</v>
      </c>
      <c r="G62" s="1208" t="e">
        <f>#REF!</f>
        <v>#REF!</v>
      </c>
      <c r="H62" s="1208"/>
      <c r="I62" s="1232"/>
      <c r="J62" s="1233"/>
      <c r="K62" s="1200"/>
      <c r="L62" s="1218"/>
    </row>
    <row r="63" spans="1:12" ht="20.399999999999999" hidden="1" customHeight="1">
      <c r="A63" s="1201"/>
      <c r="B63" s="1200"/>
      <c r="C63" s="1200"/>
      <c r="D63" s="1200"/>
      <c r="E63" s="1200"/>
      <c r="F63" s="1201"/>
      <c r="G63" s="1201"/>
      <c r="H63" s="1201"/>
      <c r="I63" s="1225">
        <f>SUM(I62:I62)</f>
        <v>0</v>
      </c>
      <c r="J63" s="1217">
        <f>'Road data'!G536</f>
        <v>148.82</v>
      </c>
      <c r="K63" s="1200">
        <v>1</v>
      </c>
      <c r="L63" s="1218">
        <f>ROUND(I63*J63,0)</f>
        <v>0</v>
      </c>
    </row>
    <row r="64" spans="1:12" ht="28.2" hidden="1" customHeight="1">
      <c r="A64" s="1179"/>
      <c r="B64" s="1195"/>
      <c r="C64" s="1195"/>
      <c r="D64" s="1195"/>
      <c r="E64" s="1195"/>
      <c r="F64" s="1181"/>
      <c r="G64" s="1181"/>
      <c r="H64" s="1181"/>
      <c r="I64" s="1213" t="s">
        <v>353</v>
      </c>
      <c r="J64" s="1214"/>
      <c r="K64" s="1182" t="s">
        <v>913</v>
      </c>
      <c r="L64" s="1212"/>
    </row>
    <row r="65" spans="1:12" ht="183.6" hidden="1" customHeight="1">
      <c r="A65" s="1179">
        <v>9</v>
      </c>
      <c r="B65" s="3758" t="str">
        <f>'Road data'!B567:G567</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C65" s="3758"/>
      <c r="D65" s="3758"/>
      <c r="E65" s="3758"/>
      <c r="F65" s="3758"/>
      <c r="G65" s="3758"/>
      <c r="H65" s="3758"/>
      <c r="I65" s="3758"/>
      <c r="J65" s="3758"/>
      <c r="K65" s="3758"/>
      <c r="L65" s="1210"/>
    </row>
    <row r="66" spans="1:12" ht="20.399999999999999" hidden="1" customHeight="1">
      <c r="A66" s="1201"/>
      <c r="B66" s="1200" t="e">
        <f>B62</f>
        <v>#REF!</v>
      </c>
      <c r="C66" s="1190">
        <v>1</v>
      </c>
      <c r="D66" s="1190" t="s">
        <v>907</v>
      </c>
      <c r="E66" s="1191">
        <v>1</v>
      </c>
      <c r="F66" s="1196" t="e">
        <f>F62</f>
        <v>#REF!</v>
      </c>
      <c r="G66" s="1208" t="e">
        <f>G62</f>
        <v>#REF!</v>
      </c>
      <c r="H66" s="1208"/>
      <c r="I66" s="1232"/>
      <c r="J66" s="1233"/>
      <c r="K66" s="1200"/>
      <c r="L66" s="1218"/>
    </row>
    <row r="67" spans="1:12" ht="20.399999999999999" hidden="1" customHeight="1">
      <c r="A67" s="1201"/>
      <c r="B67" s="1200"/>
      <c r="C67" s="1200"/>
      <c r="D67" s="1200"/>
      <c r="E67" s="1200"/>
      <c r="F67" s="1201"/>
      <c r="G67" s="1201"/>
      <c r="H67" s="1201"/>
      <c r="I67" s="1225">
        <f>SUM(I66:I66)</f>
        <v>0</v>
      </c>
      <c r="J67" s="1217">
        <f>'Road data'!G593</f>
        <v>59.72</v>
      </c>
      <c r="K67" s="1200">
        <v>1</v>
      </c>
      <c r="L67" s="1218">
        <f>ROUND(I67*J67,0)</f>
        <v>0</v>
      </c>
    </row>
    <row r="68" spans="1:12" ht="20.399999999999999" hidden="1" customHeight="1">
      <c r="A68" s="1179"/>
      <c r="B68" s="1195"/>
      <c r="C68" s="1195"/>
      <c r="D68" s="1195"/>
      <c r="E68" s="1195"/>
      <c r="F68" s="1181"/>
      <c r="G68" s="1181"/>
      <c r="H68" s="1181"/>
      <c r="I68" s="1213" t="s">
        <v>353</v>
      </c>
      <c r="J68" s="1214"/>
      <c r="K68" s="1182" t="s">
        <v>913</v>
      </c>
      <c r="L68" s="1212"/>
    </row>
    <row r="69" spans="1:12" ht="157.5" hidden="1" customHeight="1">
      <c r="A69" s="1179">
        <v>8</v>
      </c>
      <c r="B69" s="3758" t="str">
        <f>'Road data'!B682:G682</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C69" s="3758"/>
      <c r="D69" s="3758"/>
      <c r="E69" s="3758"/>
      <c r="F69" s="3758"/>
      <c r="G69" s="3758"/>
      <c r="H69" s="3758"/>
      <c r="I69" s="3758"/>
      <c r="J69" s="3758"/>
      <c r="K69" s="3758"/>
      <c r="L69" s="1210"/>
    </row>
    <row r="70" spans="1:12" s="317" customFormat="1" ht="24.6" hidden="1" customHeight="1">
      <c r="A70" s="1201"/>
      <c r="B70" s="1194" t="e">
        <f>#REF!</f>
        <v>#REF!</v>
      </c>
      <c r="C70" s="1190">
        <v>1</v>
      </c>
      <c r="D70" s="1190" t="s">
        <v>907</v>
      </c>
      <c r="E70" s="1190">
        <v>1</v>
      </c>
      <c r="F70" s="1226">
        <v>0</v>
      </c>
      <c r="G70" s="1208">
        <v>0</v>
      </c>
      <c r="H70" s="1208">
        <v>0.05</v>
      </c>
      <c r="I70" s="1215">
        <f t="shared" ref="I70" si="9">ROUND(C70*E70*F70*G70*H70,2)</f>
        <v>0</v>
      </c>
      <c r="J70" s="1233"/>
      <c r="K70" s="1200"/>
      <c r="L70" s="1218"/>
    </row>
    <row r="71" spans="1:12" s="317" customFormat="1" ht="21" hidden="1" customHeight="1">
      <c r="A71" s="1201"/>
      <c r="B71" s="1200"/>
      <c r="C71" s="1200"/>
      <c r="D71" s="1200"/>
      <c r="E71" s="1200"/>
      <c r="F71" s="1201"/>
      <c r="G71" s="1201"/>
      <c r="H71" s="1201"/>
      <c r="I71" s="1225">
        <f>SUM(I70:I70)</f>
        <v>0</v>
      </c>
      <c r="J71" s="1217">
        <f>'Road data'!G721</f>
        <v>9626.73</v>
      </c>
      <c r="K71" s="1200">
        <v>1</v>
      </c>
      <c r="L71" s="1218">
        <f>ROUND(I71*J71,0)</f>
        <v>0</v>
      </c>
    </row>
    <row r="72" spans="1:12" ht="25.95" hidden="1" customHeight="1">
      <c r="A72" s="1179"/>
      <c r="B72" s="1195"/>
      <c r="C72" s="1195"/>
      <c r="D72" s="1195"/>
      <c r="E72" s="1195"/>
      <c r="F72" s="1181"/>
      <c r="G72" s="1181"/>
      <c r="H72" s="1181"/>
      <c r="I72" s="1213" t="s">
        <v>73</v>
      </c>
      <c r="J72" s="1214"/>
      <c r="K72" s="1182" t="s">
        <v>31</v>
      </c>
      <c r="L72" s="1212"/>
    </row>
    <row r="73" spans="1:12" ht="78.75" hidden="1" customHeight="1">
      <c r="A73" s="1179">
        <v>9</v>
      </c>
      <c r="B73" s="3759" t="str">
        <f>'Road data'!B457:G457</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C73" s="3759"/>
      <c r="D73" s="3759"/>
      <c r="E73" s="3759"/>
      <c r="F73" s="3759"/>
      <c r="G73" s="3759"/>
      <c r="H73" s="3759"/>
      <c r="I73" s="3759"/>
      <c r="J73" s="3759"/>
      <c r="K73" s="3759"/>
      <c r="L73" s="1210"/>
    </row>
    <row r="74" spans="1:12" ht="22.95" hidden="1" customHeight="1">
      <c r="A74" s="1201"/>
      <c r="B74" s="1194" t="e">
        <f>B70</f>
        <v>#REF!</v>
      </c>
      <c r="C74" s="1190">
        <v>1</v>
      </c>
      <c r="D74" s="1190" t="s">
        <v>907</v>
      </c>
      <c r="E74" s="1190">
        <v>1</v>
      </c>
      <c r="F74" s="1227">
        <f>$F$70</f>
        <v>0</v>
      </c>
      <c r="G74" s="1208">
        <f>G70</f>
        <v>0</v>
      </c>
      <c r="H74" s="1208"/>
      <c r="I74" s="1215">
        <f>ROUND(C74*E74*F74*G74,2)</f>
        <v>0</v>
      </c>
      <c r="J74" s="1233"/>
      <c r="K74" s="1200"/>
      <c r="L74" s="1218"/>
    </row>
    <row r="75" spans="1:12" ht="19.95" hidden="1" customHeight="1">
      <c r="A75" s="1201"/>
      <c r="B75" s="1228" t="s">
        <v>914</v>
      </c>
      <c r="C75" s="1200"/>
      <c r="D75" s="1200"/>
      <c r="E75" s="1200"/>
      <c r="F75" s="1201"/>
      <c r="G75" s="1201"/>
      <c r="H75" s="1201"/>
      <c r="I75" s="1225">
        <f>SUM(I74:I74)</f>
        <v>0</v>
      </c>
      <c r="J75" s="1217">
        <f>'Road data'!G479</f>
        <v>12.4</v>
      </c>
      <c r="K75" s="1200">
        <v>1</v>
      </c>
      <c r="L75" s="1218">
        <f>ROUND(I75*J75,0)</f>
        <v>0</v>
      </c>
    </row>
    <row r="76" spans="1:12" ht="26.4" hidden="1" customHeight="1">
      <c r="A76" s="1179"/>
      <c r="B76" s="1195"/>
      <c r="C76" s="1195"/>
      <c r="D76" s="1195"/>
      <c r="E76" s="1195"/>
      <c r="F76" s="1181"/>
      <c r="G76" s="1181"/>
      <c r="H76" s="1181"/>
      <c r="I76" s="1213" t="s">
        <v>353</v>
      </c>
      <c r="J76" s="1214"/>
      <c r="K76" s="1182" t="s">
        <v>913</v>
      </c>
      <c r="L76" s="1212"/>
    </row>
    <row r="77" spans="1:12" ht="108" hidden="1" customHeight="1">
      <c r="A77" s="1179">
        <v>16</v>
      </c>
      <c r="B77" s="3758" t="str">
        <f>'Road data'!B808:G808</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C77" s="3758"/>
      <c r="D77" s="3758"/>
      <c r="E77" s="3758"/>
      <c r="F77" s="3758"/>
      <c r="G77" s="3758"/>
      <c r="H77" s="3758"/>
      <c r="I77" s="3758"/>
      <c r="J77" s="3758"/>
      <c r="K77" s="3758"/>
      <c r="L77" s="1210"/>
    </row>
    <row r="78" spans="1:12" s="317" customFormat="1" ht="21" hidden="1" customHeight="1">
      <c r="A78" s="1201"/>
      <c r="B78" s="1194" t="e">
        <f>B70</f>
        <v>#REF!</v>
      </c>
      <c r="C78" s="1190">
        <v>1</v>
      </c>
      <c r="D78" s="1190" t="s">
        <v>907</v>
      </c>
      <c r="E78" s="1190">
        <v>1</v>
      </c>
      <c r="F78" s="1226">
        <v>0</v>
      </c>
      <c r="G78" s="1208">
        <v>3.75</v>
      </c>
      <c r="H78" s="1208">
        <v>2.5000000000000001E-2</v>
      </c>
      <c r="I78" s="1215">
        <f t="shared" ref="I78" si="10">ROUND(C78*E78*F78*G78*H78,2)</f>
        <v>0</v>
      </c>
      <c r="J78" s="1233"/>
      <c r="K78" s="1200"/>
      <c r="L78" s="1218"/>
    </row>
    <row r="79" spans="1:12" s="317" customFormat="1" ht="24" hidden="1" customHeight="1">
      <c r="A79" s="1201"/>
      <c r="B79" s="1200"/>
      <c r="C79" s="1200"/>
      <c r="D79" s="1200"/>
      <c r="E79" s="1200"/>
      <c r="F79" s="1201"/>
      <c r="G79" s="1201"/>
      <c r="H79" s="1201"/>
      <c r="I79" s="1225">
        <f>SUM(I78:I78)</f>
        <v>0</v>
      </c>
      <c r="J79" s="1217">
        <f>'Road data'!G845</f>
        <v>10458.16</v>
      </c>
      <c r="K79" s="1200">
        <v>1</v>
      </c>
      <c r="L79" s="1218">
        <f>ROUND(I79*J79,0)</f>
        <v>0</v>
      </c>
    </row>
    <row r="80" spans="1:12" ht="21.6" hidden="1" customHeight="1">
      <c r="A80" s="1179"/>
      <c r="B80" s="1195"/>
      <c r="C80" s="1195"/>
      <c r="D80" s="1195"/>
      <c r="E80" s="1195"/>
      <c r="F80" s="1181"/>
      <c r="G80" s="1181"/>
      <c r="H80" s="1181"/>
      <c r="I80" s="1213" t="s">
        <v>73</v>
      </c>
      <c r="J80" s="1214"/>
      <c r="K80" s="1182" t="s">
        <v>31</v>
      </c>
      <c r="L80" s="1212"/>
    </row>
    <row r="81" spans="1:12" ht="120" customHeight="1">
      <c r="A81" s="1179">
        <v>8</v>
      </c>
      <c r="B81" s="3758" t="str">
        <f>'Road data'!B766:G766</f>
        <v>Providing and laying bituminous concrete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v>
      </c>
      <c r="C81" s="3758"/>
      <c r="D81" s="3758"/>
      <c r="E81" s="3758"/>
      <c r="F81" s="3758"/>
      <c r="G81" s="3758"/>
      <c r="H81" s="3758"/>
      <c r="I81" s="3758"/>
      <c r="J81" s="3758"/>
      <c r="K81" s="3758"/>
      <c r="L81" s="1210"/>
    </row>
    <row r="82" spans="1:12" ht="28.5" customHeight="1">
      <c r="A82" s="1181"/>
      <c r="B82" s="1182" t="str">
        <f>B57</f>
        <v>0/000 to 1/220 km</v>
      </c>
      <c r="C82" s="1183">
        <f>C57</f>
        <v>1</v>
      </c>
      <c r="D82" s="1183" t="s">
        <v>907</v>
      </c>
      <c r="E82" s="1183">
        <v>1</v>
      </c>
      <c r="F82" s="1184">
        <f>F57</f>
        <v>1220</v>
      </c>
      <c r="G82" s="1185">
        <f>G57</f>
        <v>3.75</v>
      </c>
      <c r="H82" s="1185">
        <v>0.03</v>
      </c>
      <c r="I82" s="1211">
        <f t="shared" ref="I82" si="11">ROUND(C82*E82*F82*G82*H82,2)</f>
        <v>137.25</v>
      </c>
      <c r="J82" s="1202"/>
      <c r="K82" s="1202"/>
      <c r="L82" s="1212"/>
    </row>
    <row r="83" spans="1:12" ht="32.25" customHeight="1">
      <c r="A83" s="1181"/>
      <c r="B83" s="1182" t="str">
        <f>B58</f>
        <v>Deduction for CD at Ch 1/000</v>
      </c>
      <c r="C83" s="1183">
        <f>C58</f>
        <v>-1</v>
      </c>
      <c r="D83" s="1183" t="s">
        <v>907</v>
      </c>
      <c r="E83" s="1183">
        <v>1</v>
      </c>
      <c r="F83" s="1184">
        <f>F58</f>
        <v>30</v>
      </c>
      <c r="G83" s="1185">
        <f>G58</f>
        <v>3.75</v>
      </c>
      <c r="H83" s="1185">
        <v>0.03</v>
      </c>
      <c r="I83" s="1211">
        <f t="shared" ref="I83" si="12">ROUND(C83*E83*F83*G83*H83,2)</f>
        <v>-3.38</v>
      </c>
      <c r="J83" s="1202"/>
      <c r="K83" s="1202"/>
      <c r="L83" s="1212"/>
    </row>
    <row r="84" spans="1:12" ht="20.100000000000001" customHeight="1">
      <c r="A84" s="1181"/>
      <c r="B84" s="1182"/>
      <c r="C84" s="1182"/>
      <c r="D84" s="1182"/>
      <c r="E84" s="1182"/>
      <c r="F84" s="1181"/>
      <c r="G84" s="1181"/>
      <c r="H84" s="1181"/>
      <c r="I84" s="1213">
        <f>SUM(I82:I83)</f>
        <v>133.87</v>
      </c>
      <c r="J84" s="1214">
        <f>'Road data'!G806</f>
        <v>12321.62</v>
      </c>
      <c r="K84" s="1182">
        <v>1</v>
      </c>
      <c r="L84" s="1212">
        <f>ROUND(I84*J84,0)</f>
        <v>1649495</v>
      </c>
    </row>
    <row r="85" spans="1:12" ht="20.100000000000001" customHeight="1">
      <c r="A85" s="1181"/>
      <c r="B85" s="1182"/>
      <c r="C85" s="1182"/>
      <c r="D85" s="1182"/>
      <c r="E85" s="1182"/>
      <c r="F85" s="1181"/>
      <c r="G85" s="1181"/>
      <c r="H85" s="1181"/>
      <c r="I85" s="1213" t="s">
        <v>73</v>
      </c>
      <c r="J85" s="1214"/>
      <c r="K85" s="1182" t="s">
        <v>31</v>
      </c>
      <c r="L85" s="1212"/>
    </row>
    <row r="86" spans="1:12" ht="217.5" hidden="1" customHeight="1">
      <c r="A86" s="1179">
        <v>9</v>
      </c>
      <c r="B86" s="3758" t="str">
        <f>'Road data'!B595:G595</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C86" s="3758"/>
      <c r="D86" s="3758"/>
      <c r="E86" s="3758"/>
      <c r="F86" s="3758"/>
      <c r="G86" s="3758"/>
      <c r="H86" s="3758"/>
      <c r="I86" s="3758"/>
      <c r="J86" s="3758"/>
      <c r="K86" s="3758"/>
      <c r="L86" s="1212"/>
    </row>
    <row r="87" spans="1:12" s="1177" customFormat="1" ht="20.100000000000001" hidden="1" customHeight="1">
      <c r="A87" s="1204"/>
      <c r="B87" s="1182">
        <v>0</v>
      </c>
      <c r="C87" s="1183">
        <v>1</v>
      </c>
      <c r="D87" s="1183" t="s">
        <v>907</v>
      </c>
      <c r="E87" s="1183">
        <v>1</v>
      </c>
      <c r="F87" s="1229">
        <v>0</v>
      </c>
      <c r="G87" s="1230">
        <v>3.75</v>
      </c>
      <c r="H87" s="1185">
        <v>0.2</v>
      </c>
      <c r="I87" s="1211">
        <f t="shared" ref="I87" si="13">ROUND(C87*E87*F87*G87*H87,2)</f>
        <v>0</v>
      </c>
      <c r="J87" s="1234"/>
      <c r="K87" s="1183"/>
      <c r="L87" s="1235"/>
    </row>
    <row r="88" spans="1:12" ht="20.100000000000001" hidden="1" customHeight="1">
      <c r="A88" s="1181"/>
      <c r="B88" s="1182"/>
      <c r="C88" s="1182"/>
      <c r="D88" s="1182"/>
      <c r="E88" s="1182"/>
      <c r="F88" s="1181"/>
      <c r="G88" s="1181"/>
      <c r="H88" s="1181"/>
      <c r="I88" s="1213">
        <f>SUM(I87:I87)</f>
        <v>0</v>
      </c>
      <c r="J88" s="1213">
        <f>'Road data'!G646</f>
        <v>8287.99</v>
      </c>
      <c r="K88" s="1182">
        <v>1</v>
      </c>
      <c r="L88" s="1213">
        <f>ROUND(I88*J88,0)</f>
        <v>0</v>
      </c>
    </row>
    <row r="89" spans="1:12" ht="20.100000000000001" hidden="1" customHeight="1">
      <c r="A89" s="321"/>
      <c r="B89" s="322"/>
      <c r="C89" s="322"/>
      <c r="D89" s="322"/>
      <c r="E89" s="322"/>
      <c r="F89" s="321"/>
      <c r="G89" s="321"/>
      <c r="H89" s="321"/>
      <c r="I89" s="1236" t="s">
        <v>73</v>
      </c>
      <c r="J89" s="1237"/>
      <c r="K89" s="322" t="s">
        <v>73</v>
      </c>
      <c r="L89" s="324"/>
    </row>
    <row r="90" spans="1:12" ht="27" customHeight="1">
      <c r="A90" s="321"/>
      <c r="B90" s="322"/>
      <c r="C90" s="322"/>
      <c r="D90" s="322"/>
      <c r="E90" s="322"/>
      <c r="F90" s="321"/>
      <c r="G90" s="321"/>
      <c r="H90" s="321"/>
      <c r="I90" s="1237"/>
      <c r="J90" s="1237" t="s">
        <v>60</v>
      </c>
      <c r="K90" s="322"/>
      <c r="L90" s="324">
        <f>SUM(L5:L89)</f>
        <v>7996920</v>
      </c>
    </row>
    <row r="94" spans="1:12">
      <c r="E94" s="3760" t="str">
        <f>GA!B33</f>
        <v>Assistant Engineer,</v>
      </c>
      <c r="F94" s="3760"/>
      <c r="G94" s="3760"/>
      <c r="I94" s="3760" t="s">
        <v>742</v>
      </c>
      <c r="J94" s="3760"/>
      <c r="K94" s="3760"/>
    </row>
    <row r="95" spans="1:12">
      <c r="E95" s="3761" t="str">
        <f>+GA!$B$34</f>
        <v>PRSD, Maddur</v>
      </c>
      <c r="F95" s="3761"/>
      <c r="G95" s="3761"/>
      <c r="I95" s="3761" t="str">
        <f>+GA!$C$34</f>
        <v>PRSD, Maddur</v>
      </c>
      <c r="J95" s="3761"/>
      <c r="K95" s="3761"/>
    </row>
    <row r="96" spans="1:12" ht="18" customHeight="1">
      <c r="F96" s="1175"/>
      <c r="I96" s="1175"/>
      <c r="J96" s="1174"/>
    </row>
    <row r="97" spans="5:11" ht="18" customHeight="1">
      <c r="F97" s="1175"/>
      <c r="I97" s="1175"/>
      <c r="J97" s="1174"/>
    </row>
    <row r="98" spans="5:11" ht="13.5" customHeight="1">
      <c r="F98" s="1231" t="s">
        <v>857</v>
      </c>
      <c r="I98" s="3761" t="s">
        <v>684</v>
      </c>
      <c r="J98" s="3761"/>
      <c r="K98" s="3761"/>
    </row>
    <row r="99" spans="5:11">
      <c r="E99" s="3761" t="str">
        <f>+GA!$B$37</f>
        <v>PIU, Narayanpet</v>
      </c>
      <c r="F99" s="3761"/>
      <c r="G99" s="3761"/>
      <c r="I99" s="3762" t="str">
        <f>+GA!$C$37</f>
        <v>PR, Circle, Vikarabad</v>
      </c>
      <c r="J99" s="3762"/>
      <c r="K99" s="3762"/>
    </row>
    <row r="100" spans="5:11">
      <c r="I100" s="3761"/>
      <c r="J100" s="3761"/>
    </row>
    <row r="101" spans="5:11">
      <c r="I101" s="3762"/>
      <c r="J101" s="3762"/>
    </row>
  </sheetData>
  <protectedRanges>
    <protectedRange sqref="E94 F96:F98" name="Range4"/>
    <protectedRange sqref="J101 I100:J100 I94:J94 I96:J98" name="Range4_1"/>
    <protectedRange sqref="E95" name="Range4_2"/>
    <protectedRange sqref="I95:J95" name="Range4_3"/>
    <protectedRange sqref="E99" name="Range4_4"/>
    <protectedRange sqref="J99" name="Range4_5"/>
  </protectedRanges>
  <mergeCells count="33">
    <mergeCell ref="I100:J100"/>
    <mergeCell ref="I101:J101"/>
    <mergeCell ref="E95:G95"/>
    <mergeCell ref="I95:K95"/>
    <mergeCell ref="I98:K98"/>
    <mergeCell ref="E99:G99"/>
    <mergeCell ref="I99:K99"/>
    <mergeCell ref="B73:K73"/>
    <mergeCell ref="B77:K77"/>
    <mergeCell ref="B81:K81"/>
    <mergeCell ref="B86:K86"/>
    <mergeCell ref="E94:G94"/>
    <mergeCell ref="I94:K94"/>
    <mergeCell ref="B51:K51"/>
    <mergeCell ref="B56:K56"/>
    <mergeCell ref="B61:K61"/>
    <mergeCell ref="B65:K65"/>
    <mergeCell ref="B69:K69"/>
    <mergeCell ref="B26:K26"/>
    <mergeCell ref="B31:K31"/>
    <mergeCell ref="B36:K36"/>
    <mergeCell ref="B41:K41"/>
    <mergeCell ref="B46:K46"/>
    <mergeCell ref="B5:K5"/>
    <mergeCell ref="B10:K10"/>
    <mergeCell ref="B14:K14"/>
    <mergeCell ref="B18:K18"/>
    <mergeCell ref="B22:K22"/>
    <mergeCell ref="A1:L1"/>
    <mergeCell ref="A2:B2"/>
    <mergeCell ref="C2:L2"/>
    <mergeCell ref="C3:E3"/>
    <mergeCell ref="C4:E4"/>
  </mergeCells>
  <printOptions horizontalCentered="1"/>
  <pageMargins left="0.59055118110236204" right="0.196850393700787" top="0.59055118110236204" bottom="0.39370078740157499" header="0.31496062992126" footer="0.23622047244094499"/>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J28"/>
  <sheetViews>
    <sheetView topLeftCell="A3" workbookViewId="0">
      <selection activeCell="I7" sqref="I7"/>
    </sheetView>
  </sheetViews>
  <sheetFormatPr defaultColWidth="9.33203125" defaultRowHeight="13.2"/>
  <cols>
    <col min="1" max="1" width="3.6640625" style="1144" customWidth="1"/>
    <col min="2" max="2" width="3.109375" style="1144" hidden="1" customWidth="1"/>
    <col min="3" max="3" width="26.6640625" style="1144" customWidth="1"/>
    <col min="4" max="4" width="25" style="1144" customWidth="1"/>
    <col min="5" max="5" width="18.33203125" style="1144" customWidth="1"/>
    <col min="6" max="6" width="15" style="1144" customWidth="1"/>
    <col min="7" max="7" width="14.6640625" style="1144" customWidth="1"/>
    <col min="8" max="8" width="13.44140625" style="1144" customWidth="1"/>
    <col min="9" max="9" width="21.6640625" style="1144" customWidth="1"/>
    <col min="10" max="10" width="9.6640625" style="1144" customWidth="1"/>
    <col min="11" max="16384" width="9.33203125" style="1144"/>
  </cols>
  <sheetData>
    <row r="1" spans="1:10" ht="21" customHeight="1">
      <c r="A1" s="3763" t="s">
        <v>915</v>
      </c>
      <c r="B1" s="3763"/>
      <c r="C1" s="3763"/>
      <c r="D1" s="3763"/>
      <c r="E1" s="3763"/>
      <c r="F1" s="3763"/>
    </row>
    <row r="2" spans="1:10" ht="57" customHeight="1">
      <c r="A2" s="3764" t="str">
        <f>'Input Data'!E1</f>
        <v>C/o HLB on R/F Amlikunta to Gundumal of Gundumal Mandal of Narayanept District.</v>
      </c>
      <c r="B2" s="3765"/>
      <c r="C2" s="3765"/>
      <c r="D2" s="3765"/>
      <c r="E2" s="3765"/>
      <c r="F2" s="3765"/>
    </row>
    <row r="3" spans="1:10">
      <c r="A3" s="3768"/>
      <c r="B3" s="3769"/>
      <c r="C3" s="3769"/>
      <c r="D3" s="1146" t="s">
        <v>916</v>
      </c>
      <c r="E3" s="1147">
        <f>'MTS Esti'!C6/1000</f>
        <v>2.5</v>
      </c>
      <c r="F3" s="3768"/>
    </row>
    <row r="4" spans="1:10">
      <c r="A4" s="3768"/>
      <c r="B4" s="3769"/>
      <c r="C4" s="3769"/>
      <c r="D4" s="1146" t="s">
        <v>917</v>
      </c>
      <c r="E4" s="1148">
        <f>E3*3</f>
        <v>7.5</v>
      </c>
      <c r="F4" s="3768"/>
    </row>
    <row r="5" spans="1:10">
      <c r="A5" s="3768"/>
      <c r="B5" s="3769"/>
      <c r="C5" s="3769"/>
      <c r="D5" s="1146" t="s">
        <v>918</v>
      </c>
      <c r="E5" s="1149">
        <f>E4/E3</f>
        <v>3</v>
      </c>
      <c r="F5" s="3768"/>
    </row>
    <row r="6" spans="1:10" ht="63" customHeight="1">
      <c r="A6" s="1150"/>
      <c r="B6" s="1150"/>
      <c r="C6" s="3766" t="s">
        <v>919</v>
      </c>
      <c r="D6" s="3766"/>
      <c r="E6" s="3766"/>
      <c r="F6" s="1151"/>
    </row>
    <row r="7" spans="1:10" s="1143" customFormat="1" ht="29.25" customHeight="1">
      <c r="A7" s="1152"/>
      <c r="B7" s="1152"/>
      <c r="C7" s="3767" t="s">
        <v>920</v>
      </c>
      <c r="D7" s="3767"/>
      <c r="E7" s="1153">
        <f>D15</f>
        <v>708980</v>
      </c>
      <c r="F7" s="1154">
        <f>(E7/100000)/E3</f>
        <v>2.8359200000000002</v>
      </c>
    </row>
    <row r="8" spans="1:10">
      <c r="A8" s="1151"/>
      <c r="B8" s="1151"/>
      <c r="C8" s="1151"/>
      <c r="D8" s="1151"/>
      <c r="E8" s="1151"/>
      <c r="F8" s="1151"/>
    </row>
    <row r="9" spans="1:10" ht="33" customHeight="1">
      <c r="A9" s="1151"/>
      <c r="B9" s="1151"/>
      <c r="C9" s="1146" t="s">
        <v>921</v>
      </c>
      <c r="D9" s="1155" t="s">
        <v>922</v>
      </c>
      <c r="E9" s="1156" t="s">
        <v>923</v>
      </c>
      <c r="F9" s="1156" t="s">
        <v>924</v>
      </c>
      <c r="G9" s="1157" t="s">
        <v>925</v>
      </c>
      <c r="I9" s="1143"/>
    </row>
    <row r="10" spans="1:10" ht="33" customHeight="1">
      <c r="A10" s="1151"/>
      <c r="B10" s="1145"/>
      <c r="C10" s="1146">
        <v>1</v>
      </c>
      <c r="D10" s="1158">
        <f>ROUND(G10,0)</f>
        <v>91102</v>
      </c>
      <c r="E10" s="1159">
        <f>ROUND(D10/$E$7,2)</f>
        <v>0.13</v>
      </c>
      <c r="F10" s="1160">
        <f>D10/$E$3</f>
        <v>36440.800000000003</v>
      </c>
      <c r="G10" s="1161">
        <f>'MTS Esti'!N80</f>
        <v>91102.206697526242</v>
      </c>
      <c r="H10" s="1162"/>
      <c r="I10" s="1172"/>
      <c r="J10" s="1173"/>
    </row>
    <row r="11" spans="1:10" ht="33" customHeight="1">
      <c r="A11" s="1151"/>
      <c r="B11" s="1145"/>
      <c r="C11" s="1146">
        <v>2</v>
      </c>
      <c r="D11" s="1158">
        <f>ROUND(G11,0)</f>
        <v>114512</v>
      </c>
      <c r="E11" s="1159">
        <f>ROUND(D11/$E$7,2)</f>
        <v>0.16</v>
      </c>
      <c r="F11" s="1160">
        <f>D11/$E$3</f>
        <v>45804.800000000003</v>
      </c>
      <c r="G11" s="1161">
        <f>'MTS Esti'!O80</f>
        <v>114512.32075665373</v>
      </c>
      <c r="H11" s="1162"/>
      <c r="I11" s="1172"/>
      <c r="J11" s="1173"/>
    </row>
    <row r="12" spans="1:10" ht="33" customHeight="1">
      <c r="A12" s="1151"/>
      <c r="B12" s="1145"/>
      <c r="C12" s="1146">
        <v>3</v>
      </c>
      <c r="D12" s="1158">
        <f>ROUND(G12,0)</f>
        <v>142765</v>
      </c>
      <c r="E12" s="1159">
        <f>ROUND(D12/$E$7,2)</f>
        <v>0.2</v>
      </c>
      <c r="F12" s="1160">
        <f>D12/$E$3</f>
        <v>57106</v>
      </c>
      <c r="G12" s="1161">
        <f>'MTS Esti'!P80</f>
        <v>142764.54949552994</v>
      </c>
      <c r="H12" s="1162"/>
      <c r="I12" s="1172"/>
      <c r="J12" s="1173"/>
    </row>
    <row r="13" spans="1:10" ht="33" customHeight="1">
      <c r="A13" s="1151"/>
      <c r="B13" s="1145"/>
      <c r="C13" s="1146">
        <v>4</v>
      </c>
      <c r="D13" s="1158">
        <f>ROUND(G13,0)</f>
        <v>168455</v>
      </c>
      <c r="E13" s="1159">
        <f>ROUND(D13/$E$7,2)</f>
        <v>0.24</v>
      </c>
      <c r="F13" s="1160">
        <f>D13/$E$3</f>
        <v>67382</v>
      </c>
      <c r="G13" s="1161">
        <f>'MTS Esti'!Q80</f>
        <v>168455.37120803291</v>
      </c>
      <c r="H13" s="1162"/>
      <c r="I13" s="1172"/>
      <c r="J13" s="1173"/>
    </row>
    <row r="14" spans="1:10" ht="33" customHeight="1">
      <c r="A14" s="1151"/>
      <c r="B14" s="1145"/>
      <c r="C14" s="1146">
        <v>5</v>
      </c>
      <c r="D14" s="1158">
        <f>ROUND(G14,0)</f>
        <v>192146</v>
      </c>
      <c r="E14" s="1159">
        <f>ROUND(D14/$E$7,2)</f>
        <v>0.27</v>
      </c>
      <c r="F14" s="1160">
        <f>D14/$E$3</f>
        <v>76858.399999999994</v>
      </c>
      <c r="G14" s="1161">
        <f>'MTS Esti'!R80</f>
        <v>192146.19292053589</v>
      </c>
      <c r="H14" s="1162"/>
      <c r="I14" s="1172"/>
      <c r="J14" s="1173"/>
    </row>
    <row r="15" spans="1:10" ht="30" customHeight="1">
      <c r="A15" s="1151"/>
      <c r="B15" s="1145"/>
      <c r="C15" s="1163" t="s">
        <v>926</v>
      </c>
      <c r="D15" s="1164">
        <f>SUM(D10:D14)</f>
        <v>708980</v>
      </c>
      <c r="E15" s="1165">
        <f>ROUND(SUM(E10:E14),0)</f>
        <v>1</v>
      </c>
      <c r="F15" s="1159"/>
      <c r="G15" s="1161">
        <f>SUM(G10:G14)</f>
        <v>708980.64107827877</v>
      </c>
      <c r="H15" s="1162"/>
      <c r="I15" s="1172"/>
      <c r="J15" s="1173"/>
    </row>
    <row r="16" spans="1:10" ht="30" customHeight="1">
      <c r="A16" s="1151"/>
      <c r="B16" s="1145"/>
      <c r="C16" s="1163" t="s">
        <v>927</v>
      </c>
      <c r="D16" s="1164">
        <f>ROUND(D15*0.12,0)</f>
        <v>85078</v>
      </c>
      <c r="E16" s="1165"/>
      <c r="F16" s="1159"/>
      <c r="G16" s="1161"/>
      <c r="H16" s="1162"/>
      <c r="I16" s="1172"/>
      <c r="J16" s="1173"/>
    </row>
    <row r="17" spans="1:7" ht="40.5" customHeight="1">
      <c r="A17" s="1151"/>
      <c r="B17" s="1145"/>
      <c r="C17" s="1163" t="s">
        <v>928</v>
      </c>
      <c r="D17" s="1166">
        <f>D18-D15-D16</f>
        <v>-44058</v>
      </c>
      <c r="E17" s="1167"/>
      <c r="F17" s="1159"/>
      <c r="G17" s="1168"/>
    </row>
    <row r="18" spans="1:7" s="1143" customFormat="1" ht="27.75" customHeight="1">
      <c r="A18" s="1169"/>
      <c r="B18" s="1146"/>
      <c r="C18" s="1163" t="s">
        <v>929</v>
      </c>
      <c r="D18" s="1164">
        <f>E4*100000</f>
        <v>750000</v>
      </c>
      <c r="E18" s="1164"/>
      <c r="F18" s="1159"/>
      <c r="G18" s="1168"/>
    </row>
    <row r="19" spans="1:7">
      <c r="A19" s="1151"/>
      <c r="B19" s="1151"/>
      <c r="C19" s="1151"/>
      <c r="D19" s="1151"/>
      <c r="E19" s="1151"/>
      <c r="F19" s="1151"/>
    </row>
    <row r="20" spans="1:7">
      <c r="A20" s="1151"/>
      <c r="B20" s="1151"/>
      <c r="C20" s="1151"/>
      <c r="D20" s="1151"/>
      <c r="E20" s="1151"/>
      <c r="F20" s="1151"/>
    </row>
    <row r="21" spans="1:7">
      <c r="A21" s="1151"/>
      <c r="B21" s="1151"/>
      <c r="C21" s="1151"/>
      <c r="D21" s="1151"/>
      <c r="E21" s="1151"/>
      <c r="F21" s="1151"/>
    </row>
    <row r="22" spans="1:7" ht="15.6">
      <c r="A22" s="1151"/>
      <c r="B22" s="1151"/>
      <c r="C22" s="1170" t="str">
        <f>"The maintanance Abstract sub estiamte is approved for Rs. "&amp;D18&amp;" Only"</f>
        <v>The maintanance Abstract sub estiamte is approved for Rs. 750000 Only</v>
      </c>
      <c r="D22" s="1170"/>
      <c r="E22" s="1170"/>
      <c r="F22" s="1170"/>
    </row>
    <row r="23" spans="1:7">
      <c r="A23" s="1151"/>
      <c r="B23" s="1151"/>
      <c r="C23" s="1145"/>
      <c r="D23" s="1145"/>
      <c r="E23" s="1145"/>
      <c r="F23" s="1151"/>
    </row>
    <row r="24" spans="1:7">
      <c r="A24" s="1151"/>
      <c r="B24" s="1151"/>
      <c r="C24" s="1151"/>
      <c r="D24" s="1171"/>
      <c r="E24" s="1171"/>
      <c r="F24" s="1171"/>
    </row>
    <row r="25" spans="1:7">
      <c r="A25" s="1151"/>
      <c r="B25" s="1151"/>
      <c r="C25" s="1151"/>
      <c r="D25" s="1171"/>
      <c r="E25" s="1171"/>
      <c r="F25" s="1171"/>
    </row>
    <row r="26" spans="1:7">
      <c r="A26" s="1151"/>
      <c r="B26" s="1151"/>
      <c r="C26" s="1151"/>
      <c r="D26" s="1171"/>
      <c r="E26" s="1171"/>
      <c r="F26" s="1171"/>
    </row>
    <row r="27" spans="1:7">
      <c r="A27" s="1151"/>
      <c r="B27" s="1151"/>
      <c r="C27" s="1151"/>
      <c r="D27" s="1171"/>
      <c r="E27" s="1171"/>
      <c r="F27" s="1171"/>
    </row>
    <row r="28" spans="1:7">
      <c r="A28" s="1151"/>
      <c r="B28" s="1151"/>
      <c r="C28" s="1151"/>
      <c r="D28" s="1151"/>
      <c r="E28" s="1151"/>
      <c r="F28" s="1151"/>
    </row>
  </sheetData>
  <mergeCells count="8">
    <mergeCell ref="A1:F1"/>
    <mergeCell ref="A2:F2"/>
    <mergeCell ref="C6:E6"/>
    <mergeCell ref="C7:D7"/>
    <mergeCell ref="A3:A5"/>
    <mergeCell ref="B3:B5"/>
    <mergeCell ref="C3:C5"/>
    <mergeCell ref="F3:F5"/>
  </mergeCells>
  <pageMargins left="0.70069444444444495" right="0.70069444444444495" top="0.75138888888888899" bottom="0.75138888888888899" header="0.29861111111111099" footer="0.29861111111111099"/>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V81"/>
  <sheetViews>
    <sheetView workbookViewId="0">
      <selection activeCell="C61" sqref="C61:E61"/>
    </sheetView>
  </sheetViews>
  <sheetFormatPr defaultColWidth="9.33203125" defaultRowHeight="14.4"/>
  <cols>
    <col min="1" max="1" width="5.44140625" style="1046" customWidth="1"/>
    <col min="2" max="2" width="31" style="1047" customWidth="1"/>
    <col min="3" max="3" width="8.6640625" style="1047" customWidth="1"/>
    <col min="4" max="4" width="7.6640625" style="1047" customWidth="1"/>
    <col min="5" max="5" width="8.109375" style="1047" customWidth="1"/>
    <col min="6" max="6" width="6.6640625" style="1047" customWidth="1"/>
    <col min="7" max="7" width="11" style="1048" customWidth="1"/>
    <col min="8" max="8" width="9.44140625" style="1048" customWidth="1"/>
    <col min="9" max="9" width="11.6640625" style="1043" customWidth="1"/>
    <col min="10" max="10" width="8.33203125" style="1043" customWidth="1"/>
    <col min="11" max="11" width="10.6640625" style="1049" customWidth="1"/>
    <col min="12" max="12" width="14.5546875" style="1050" customWidth="1"/>
    <col min="13" max="13" width="4.6640625" style="1047" customWidth="1"/>
    <col min="14" max="16" width="11" style="1046" customWidth="1"/>
    <col min="17" max="19" width="12.109375" style="1046" customWidth="1"/>
    <col min="20" max="20" width="14.44140625" style="1047" customWidth="1"/>
    <col min="21" max="21" width="9.33203125" style="1047"/>
    <col min="22" max="22" width="10.6640625" style="1047" customWidth="1"/>
    <col min="23" max="16384" width="9.33203125" style="1047"/>
  </cols>
  <sheetData>
    <row r="1" spans="1:19" ht="18">
      <c r="A1" s="3770" t="s">
        <v>930</v>
      </c>
      <c r="B1" s="3770"/>
      <c r="C1" s="3770"/>
      <c r="D1" s="3770"/>
      <c r="E1" s="3770"/>
      <c r="F1" s="3770"/>
      <c r="G1" s="3770"/>
      <c r="H1" s="3770"/>
      <c r="I1" s="3770"/>
      <c r="J1" s="3770"/>
      <c r="K1" s="3770"/>
      <c r="L1" s="3770"/>
      <c r="P1" s="1094"/>
      <c r="Q1" s="1094"/>
    </row>
    <row r="2" spans="1:19">
      <c r="A2" s="3771" t="str">
        <f>'Input Data'!E1</f>
        <v>C/o HLB on R/F Amlikunta to Gundumal of Gundumal Mandal of Narayanept District.</v>
      </c>
      <c r="B2" s="3771"/>
      <c r="C2" s="3771"/>
      <c r="D2" s="3771"/>
      <c r="E2" s="3771"/>
      <c r="F2" s="3771"/>
      <c r="G2" s="3771"/>
      <c r="H2" s="3771"/>
      <c r="I2" s="3771"/>
      <c r="J2" s="3771"/>
      <c r="K2" s="3771"/>
      <c r="L2" s="3771"/>
      <c r="O2" s="1075">
        <f>$C$6/1000</f>
        <v>2.5</v>
      </c>
      <c r="P2" s="1094"/>
      <c r="Q2" s="1094"/>
      <c r="R2" s="3804" t="s">
        <v>931</v>
      </c>
    </row>
    <row r="3" spans="1:19" ht="15.6">
      <c r="A3" s="1051"/>
      <c r="B3" s="1051" t="s">
        <v>932</v>
      </c>
      <c r="C3" s="1052">
        <v>3.75</v>
      </c>
      <c r="D3" s="1053" t="s">
        <v>933</v>
      </c>
      <c r="E3" s="1054"/>
      <c r="F3" s="1051"/>
      <c r="G3" s="1051" t="s">
        <v>934</v>
      </c>
      <c r="H3" s="1051" t="s">
        <v>935</v>
      </c>
      <c r="I3" s="1095" t="s">
        <v>936</v>
      </c>
      <c r="J3" s="1096" t="s">
        <v>937</v>
      </c>
      <c r="K3" s="1097">
        <v>2</v>
      </c>
      <c r="L3" s="1098"/>
      <c r="P3" s="1099"/>
      <c r="Q3" s="1099"/>
      <c r="R3" s="3804"/>
    </row>
    <row r="4" spans="1:19">
      <c r="A4" s="1051"/>
      <c r="B4" s="1051" t="s">
        <v>938</v>
      </c>
      <c r="C4" s="1055">
        <v>10</v>
      </c>
      <c r="D4" s="1053" t="s">
        <v>933</v>
      </c>
      <c r="E4" s="1054"/>
      <c r="F4" s="1051"/>
      <c r="G4" s="1056" t="s">
        <v>939</v>
      </c>
      <c r="H4" s="3772" t="s">
        <v>940</v>
      </c>
      <c r="I4" s="3772"/>
      <c r="J4" s="3772"/>
      <c r="K4" s="1100">
        <v>78</v>
      </c>
      <c r="L4" s="1101">
        <f>'Mtc-Abs'!D17</f>
        <v>-44058</v>
      </c>
      <c r="N4" s="1102" t="s">
        <v>941</v>
      </c>
      <c r="O4" s="1061"/>
      <c r="P4" s="1061"/>
      <c r="Q4" s="1110">
        <v>0</v>
      </c>
      <c r="R4" s="1131">
        <v>0.6</v>
      </c>
      <c r="S4" s="1046">
        <f>Q4*R4</f>
        <v>0</v>
      </c>
    </row>
    <row r="5" spans="1:19">
      <c r="A5" s="1057"/>
      <c r="B5" s="1051" t="s">
        <v>942</v>
      </c>
      <c r="C5" s="1055">
        <v>0.95</v>
      </c>
      <c r="D5" s="1054" t="s">
        <v>933</v>
      </c>
      <c r="E5" s="1054"/>
      <c r="F5" s="1054"/>
      <c r="G5" s="3773"/>
      <c r="H5" s="3773"/>
      <c r="I5" s="1103"/>
      <c r="J5" s="1104"/>
      <c r="K5" s="1105" t="s">
        <v>60</v>
      </c>
      <c r="L5" s="1106">
        <f>L80/100000</f>
        <v>7.0898099999999999</v>
      </c>
      <c r="N5" s="1102" t="s">
        <v>941</v>
      </c>
      <c r="O5" s="1061"/>
      <c r="P5" s="1061"/>
      <c r="Q5" s="1110">
        <v>0</v>
      </c>
      <c r="R5" s="1131">
        <v>0.9</v>
      </c>
      <c r="S5" s="1046">
        <f>Q5*R5</f>
        <v>0</v>
      </c>
    </row>
    <row r="6" spans="1:19" ht="13.2">
      <c r="A6" s="1057"/>
      <c r="B6" s="1057" t="s">
        <v>943</v>
      </c>
      <c r="C6" s="1058">
        <v>2500</v>
      </c>
      <c r="D6" s="1059" t="s">
        <v>933</v>
      </c>
      <c r="E6" s="1054"/>
      <c r="F6" s="3774" t="s">
        <v>944</v>
      </c>
      <c r="G6" s="3775"/>
      <c r="H6" s="3776"/>
      <c r="I6" s="1107">
        <v>0</v>
      </c>
      <c r="J6" s="1059" t="s">
        <v>933</v>
      </c>
      <c r="K6" s="1105" t="s">
        <v>945</v>
      </c>
      <c r="L6" s="1106">
        <f>L5*1000/C6</f>
        <v>2.8359239999999999</v>
      </c>
      <c r="N6" s="1102" t="s">
        <v>941</v>
      </c>
      <c r="O6" s="1061"/>
      <c r="P6" s="1061"/>
      <c r="Q6" s="1110">
        <v>0</v>
      </c>
      <c r="R6" s="1131">
        <v>1</v>
      </c>
      <c r="S6" s="1046">
        <f>Q6*R6</f>
        <v>0</v>
      </c>
    </row>
    <row r="7" spans="1:19" ht="13.2">
      <c r="A7" s="1057"/>
      <c r="B7" s="1057" t="s">
        <v>946</v>
      </c>
      <c r="C7" s="1060">
        <v>2200</v>
      </c>
      <c r="D7" s="1059" t="s">
        <v>933</v>
      </c>
      <c r="E7" s="1054"/>
      <c r="F7" s="3777" t="s">
        <v>947</v>
      </c>
      <c r="G7" s="3777"/>
      <c r="H7" s="3777"/>
      <c r="I7" s="1108">
        <f>S7</f>
        <v>0</v>
      </c>
      <c r="J7" s="1059" t="s">
        <v>948</v>
      </c>
      <c r="K7" s="1109"/>
      <c r="L7" s="1109"/>
      <c r="Q7" s="1132" t="s">
        <v>949</v>
      </c>
      <c r="S7" s="1133">
        <f>SUM(S4:S6)</f>
        <v>0</v>
      </c>
    </row>
    <row r="8" spans="1:19" ht="16.8">
      <c r="A8" s="1057"/>
      <c r="B8" s="1057" t="s">
        <v>950</v>
      </c>
      <c r="C8" s="1062">
        <f>C6-C7</f>
        <v>300</v>
      </c>
      <c r="D8" s="1059" t="s">
        <v>933</v>
      </c>
      <c r="E8" s="1054"/>
      <c r="F8" s="3777" t="s">
        <v>951</v>
      </c>
      <c r="G8" s="3777"/>
      <c r="H8" s="3777"/>
      <c r="I8" s="1108">
        <f>S13</f>
        <v>0</v>
      </c>
      <c r="J8" s="1059" t="s">
        <v>952</v>
      </c>
      <c r="K8" s="1109"/>
      <c r="L8" s="1109"/>
      <c r="R8" s="1130" t="s">
        <v>953</v>
      </c>
    </row>
    <row r="9" spans="1:19" ht="13.2">
      <c r="A9" s="1057"/>
      <c r="B9" s="1057" t="s">
        <v>954</v>
      </c>
      <c r="C9" s="1062">
        <v>0</v>
      </c>
      <c r="D9" s="1059" t="s">
        <v>933</v>
      </c>
      <c r="E9" s="1054"/>
      <c r="F9" s="3777" t="s">
        <v>955</v>
      </c>
      <c r="G9" s="3777"/>
      <c r="H9" s="3777"/>
      <c r="I9" s="1110">
        <v>0</v>
      </c>
      <c r="J9" s="1059" t="s">
        <v>708</v>
      </c>
      <c r="K9" s="1109"/>
      <c r="L9" s="1109"/>
      <c r="N9" s="3778" t="s">
        <v>956</v>
      </c>
      <c r="O9" s="3778"/>
      <c r="P9" s="3778"/>
      <c r="Q9" s="1110">
        <v>0</v>
      </c>
      <c r="R9" s="1134">
        <v>2</v>
      </c>
      <c r="S9" s="1046">
        <f>Q9*R9</f>
        <v>0</v>
      </c>
    </row>
    <row r="10" spans="1:19" ht="13.2">
      <c r="A10" s="1063"/>
      <c r="B10" s="3779"/>
      <c r="C10" s="3780"/>
      <c r="D10" s="3780"/>
      <c r="E10" s="3780"/>
      <c r="F10" s="3780"/>
      <c r="G10" s="3780"/>
      <c r="H10" s="3780"/>
      <c r="I10" s="3780"/>
      <c r="J10" s="3780"/>
      <c r="K10" s="3780"/>
      <c r="L10" s="3781"/>
      <c r="N10" s="3778" t="s">
        <v>957</v>
      </c>
      <c r="O10" s="3778"/>
      <c r="P10" s="3778"/>
      <c r="Q10" s="1110">
        <v>0</v>
      </c>
      <c r="R10" s="1134">
        <v>3</v>
      </c>
      <c r="S10" s="1046">
        <f>Q10*R10</f>
        <v>0</v>
      </c>
    </row>
    <row r="11" spans="1:19">
      <c r="A11" s="3788" t="s">
        <v>459</v>
      </c>
      <c r="B11" s="3788" t="s">
        <v>958</v>
      </c>
      <c r="C11" s="3788" t="s">
        <v>959</v>
      </c>
      <c r="D11" s="3788" t="s">
        <v>960</v>
      </c>
      <c r="E11" s="3788" t="s">
        <v>961</v>
      </c>
      <c r="F11" s="3788" t="s">
        <v>708</v>
      </c>
      <c r="G11" s="3787" t="s">
        <v>962</v>
      </c>
      <c r="H11" s="3787" t="s">
        <v>963</v>
      </c>
      <c r="I11" s="3788" t="s">
        <v>964</v>
      </c>
      <c r="J11" s="3788" t="s">
        <v>965</v>
      </c>
      <c r="K11" s="3788" t="s">
        <v>966</v>
      </c>
      <c r="L11" s="3788"/>
      <c r="N11" s="3778" t="s">
        <v>967</v>
      </c>
      <c r="O11" s="3778"/>
      <c r="P11" s="3778"/>
      <c r="Q11" s="1110">
        <v>0</v>
      </c>
      <c r="R11" s="1134">
        <v>5</v>
      </c>
      <c r="S11" s="1046">
        <f>Q11*R11</f>
        <v>0</v>
      </c>
    </row>
    <row r="12" spans="1:19" s="1043" customFormat="1">
      <c r="A12" s="3788"/>
      <c r="B12" s="3788"/>
      <c r="C12" s="3788"/>
      <c r="D12" s="3788"/>
      <c r="E12" s="3788"/>
      <c r="F12" s="3788"/>
      <c r="G12" s="3787"/>
      <c r="H12" s="3787"/>
      <c r="I12" s="3788"/>
      <c r="J12" s="3788"/>
      <c r="K12" s="1111" t="s">
        <v>968</v>
      </c>
      <c r="L12" s="1112" t="s">
        <v>531</v>
      </c>
      <c r="N12" s="1046"/>
      <c r="O12" s="1046"/>
      <c r="P12" s="1046"/>
      <c r="Q12" s="1132" t="s">
        <v>969</v>
      </c>
      <c r="R12" s="1046"/>
      <c r="S12" s="1046">
        <f>SUM(S9:S11)</f>
        <v>0</v>
      </c>
    </row>
    <row r="13" spans="1:19" s="1043" customFormat="1" ht="13.2">
      <c r="A13" s="1064">
        <v>1</v>
      </c>
      <c r="B13" s="1065">
        <v>2</v>
      </c>
      <c r="C13" s="1065">
        <v>3</v>
      </c>
      <c r="D13" s="1065">
        <v>4</v>
      </c>
      <c r="E13" s="1065">
        <v>5</v>
      </c>
      <c r="F13" s="1065">
        <v>6</v>
      </c>
      <c r="G13" s="1066">
        <v>7</v>
      </c>
      <c r="H13" s="1066">
        <v>8</v>
      </c>
      <c r="I13" s="1065">
        <v>9</v>
      </c>
      <c r="J13" s="1065">
        <v>10</v>
      </c>
      <c r="K13" s="1065">
        <v>11</v>
      </c>
      <c r="L13" s="1113">
        <v>12</v>
      </c>
      <c r="N13" s="1046"/>
      <c r="O13" s="1046"/>
      <c r="P13" s="1046"/>
      <c r="Q13" s="1132" t="s">
        <v>970</v>
      </c>
      <c r="R13" s="1046"/>
      <c r="S13" s="1135">
        <f>S12/2</f>
        <v>0</v>
      </c>
    </row>
    <row r="14" spans="1:19" ht="15.6">
      <c r="A14" s="3807">
        <v>1</v>
      </c>
      <c r="B14" s="1068" t="s">
        <v>971</v>
      </c>
      <c r="C14" s="3772"/>
      <c r="D14" s="3782"/>
      <c r="E14" s="3782"/>
      <c r="F14" s="1051"/>
      <c r="G14" s="1069"/>
      <c r="H14" s="1069"/>
      <c r="I14" s="1071"/>
      <c r="J14" s="1071"/>
      <c r="K14" s="1114"/>
      <c r="L14" s="1115"/>
      <c r="N14" s="3783" t="s">
        <v>972</v>
      </c>
      <c r="O14" s="3784"/>
      <c r="P14" s="3784"/>
      <c r="Q14" s="3784"/>
      <c r="R14" s="3784"/>
      <c r="S14" s="3785"/>
    </row>
    <row r="15" spans="1:19">
      <c r="A15" s="3807"/>
      <c r="B15" s="1070" t="s">
        <v>973</v>
      </c>
      <c r="C15" s="1071"/>
      <c r="D15" s="1071"/>
      <c r="E15" s="1071"/>
      <c r="F15" s="1071"/>
      <c r="G15" s="1069"/>
      <c r="H15" s="1069"/>
      <c r="I15" s="1071"/>
      <c r="J15" s="1071"/>
      <c r="K15" s="1114"/>
      <c r="L15" s="1115"/>
      <c r="M15" s="1116" t="s">
        <v>974</v>
      </c>
      <c r="N15" s="1117" t="s">
        <v>975</v>
      </c>
      <c r="O15" s="1117" t="s">
        <v>976</v>
      </c>
      <c r="P15" s="1117" t="s">
        <v>977</v>
      </c>
      <c r="Q15" s="1117" t="s">
        <v>978</v>
      </c>
      <c r="R15" s="1117" t="s">
        <v>979</v>
      </c>
      <c r="S15" s="1067" t="s">
        <v>18</v>
      </c>
    </row>
    <row r="16" spans="1:19">
      <c r="A16" s="3807"/>
      <c r="B16" s="1053" t="s">
        <v>980</v>
      </c>
      <c r="C16" s="1072">
        <f>$C$7</f>
        <v>2200</v>
      </c>
      <c r="D16" s="1069">
        <f>$C$3</f>
        <v>3.75</v>
      </c>
      <c r="E16" s="1071"/>
      <c r="F16" s="1071">
        <v>1</v>
      </c>
      <c r="G16" s="1073">
        <v>0.5</v>
      </c>
      <c r="H16" s="1069">
        <v>1.5</v>
      </c>
      <c r="I16" s="1069">
        <f>C16*D16*F16*(G16/100)*H16</f>
        <v>61.875</v>
      </c>
      <c r="J16" s="1071" t="s">
        <v>913</v>
      </c>
      <c r="K16" s="1118">
        <f>'Mtc-data'!G77</f>
        <v>197.16227652219999</v>
      </c>
      <c r="L16" s="1115">
        <f>ROUND(I16*K16,2)</f>
        <v>12199.42</v>
      </c>
      <c r="N16" s="1119">
        <f>L16</f>
        <v>12199.42</v>
      </c>
      <c r="O16" s="1120"/>
      <c r="P16" s="1120"/>
      <c r="Q16" s="1120"/>
      <c r="R16" s="1120"/>
      <c r="S16" s="1120"/>
    </row>
    <row r="17" spans="1:19">
      <c r="A17" s="3807"/>
      <c r="B17" s="1053" t="s">
        <v>981</v>
      </c>
      <c r="C17" s="1072">
        <f t="shared" ref="C17:C20" si="0">$C$7</f>
        <v>2200</v>
      </c>
      <c r="D17" s="1069">
        <f>$D$16</f>
        <v>3.75</v>
      </c>
      <c r="E17" s="1071"/>
      <c r="F17" s="1071">
        <v>1</v>
      </c>
      <c r="G17" s="1073">
        <v>1</v>
      </c>
      <c r="H17" s="1069">
        <v>1.5</v>
      </c>
      <c r="I17" s="1069">
        <f>C17*D17*F17*(G17/100)*H17</f>
        <v>123.75</v>
      </c>
      <c r="J17" s="1071" t="s">
        <v>913</v>
      </c>
      <c r="K17" s="1121">
        <f>$K$16</f>
        <v>197.16227652219999</v>
      </c>
      <c r="L17" s="1115">
        <f>I17*K17</f>
        <v>24398.831719622249</v>
      </c>
      <c r="N17" s="1120"/>
      <c r="O17" s="1119">
        <f>L17</f>
        <v>24398.831719622249</v>
      </c>
      <c r="P17" s="1120"/>
      <c r="Q17" s="1120"/>
      <c r="R17" s="1120"/>
      <c r="S17" s="1120"/>
    </row>
    <row r="18" spans="1:19">
      <c r="A18" s="3807"/>
      <c r="B18" s="1053" t="s">
        <v>982</v>
      </c>
      <c r="C18" s="1072">
        <f t="shared" si="0"/>
        <v>2200</v>
      </c>
      <c r="D18" s="1069">
        <f>$D$16</f>
        <v>3.75</v>
      </c>
      <c r="E18" s="1071"/>
      <c r="F18" s="1071">
        <v>1</v>
      </c>
      <c r="G18" s="1073">
        <v>1.5</v>
      </c>
      <c r="H18" s="1069">
        <v>1.5</v>
      </c>
      <c r="I18" s="1069">
        <f>C18*D18*F18*(G18/100)*H18</f>
        <v>185.625</v>
      </c>
      <c r="J18" s="1071" t="s">
        <v>913</v>
      </c>
      <c r="K18" s="1121">
        <f>$K$16</f>
        <v>197.16227652219999</v>
      </c>
      <c r="L18" s="1115">
        <f>I18*K18</f>
        <v>36598.247579433373</v>
      </c>
      <c r="N18" s="1120"/>
      <c r="O18" s="1120"/>
      <c r="P18" s="1119">
        <f>L18</f>
        <v>36598.247579433373</v>
      </c>
      <c r="Q18" s="1120"/>
      <c r="R18" s="1120"/>
      <c r="S18" s="1120"/>
    </row>
    <row r="19" spans="1:19">
      <c r="A19" s="3807"/>
      <c r="B19" s="1053" t="s">
        <v>983</v>
      </c>
      <c r="C19" s="1072">
        <f t="shared" si="0"/>
        <v>2200</v>
      </c>
      <c r="D19" s="1069">
        <f>$D$16</f>
        <v>3.75</v>
      </c>
      <c r="E19" s="1071"/>
      <c r="F19" s="1071">
        <v>1</v>
      </c>
      <c r="G19" s="1073">
        <v>2</v>
      </c>
      <c r="H19" s="1069">
        <v>1.5</v>
      </c>
      <c r="I19" s="1069">
        <f>C19*D19*F19*(G19/100)*H19</f>
        <v>247.5</v>
      </c>
      <c r="J19" s="1071" t="s">
        <v>913</v>
      </c>
      <c r="K19" s="1121">
        <f>$K$16</f>
        <v>197.16227652219999</v>
      </c>
      <c r="L19" s="1115">
        <f>I19*K19</f>
        <v>48797.663439244498</v>
      </c>
      <c r="N19" s="1120"/>
      <c r="O19" s="1120"/>
      <c r="P19" s="1120"/>
      <c r="Q19" s="1119">
        <f>L19</f>
        <v>48797.663439244498</v>
      </c>
      <c r="R19" s="1120"/>
      <c r="S19" s="1120"/>
    </row>
    <row r="20" spans="1:19">
      <c r="A20" s="3807"/>
      <c r="B20" s="1053" t="s">
        <v>984</v>
      </c>
      <c r="C20" s="1072">
        <f t="shared" si="0"/>
        <v>2200</v>
      </c>
      <c r="D20" s="1069">
        <f>$D$16</f>
        <v>3.75</v>
      </c>
      <c r="E20" s="1051"/>
      <c r="F20" s="1074">
        <v>1</v>
      </c>
      <c r="G20" s="1073">
        <v>2.5</v>
      </c>
      <c r="H20" s="1069">
        <v>1.5</v>
      </c>
      <c r="I20" s="1069">
        <f>C20*D20*F20*(G20/100)*H20</f>
        <v>309.375</v>
      </c>
      <c r="J20" s="1071" t="s">
        <v>913</v>
      </c>
      <c r="K20" s="1121">
        <f>$K$16</f>
        <v>197.16227652219999</v>
      </c>
      <c r="L20" s="1115">
        <f>I20*K20</f>
        <v>60997.079299055622</v>
      </c>
      <c r="N20" s="1120"/>
      <c r="O20" s="1120"/>
      <c r="P20" s="1120"/>
      <c r="Q20" s="1120"/>
      <c r="R20" s="1119">
        <f>L20</f>
        <v>60997.079299055622</v>
      </c>
      <c r="S20" s="1120"/>
    </row>
    <row r="21" spans="1:19" ht="28.8">
      <c r="A21" s="3807"/>
      <c r="B21" s="1070" t="s">
        <v>985</v>
      </c>
      <c r="C21" s="3786"/>
      <c r="D21" s="3786"/>
      <c r="E21" s="3786"/>
      <c r="F21" s="1071"/>
      <c r="G21" s="1073"/>
      <c r="H21" s="1069"/>
      <c r="I21" s="1071"/>
      <c r="J21" s="1071"/>
      <c r="K21" s="1114"/>
      <c r="L21" s="1115"/>
      <c r="N21" s="1120"/>
      <c r="O21" s="1120"/>
      <c r="P21" s="1120"/>
      <c r="Q21" s="1120"/>
      <c r="R21" s="1120"/>
      <c r="S21" s="1120"/>
    </row>
    <row r="22" spans="1:19">
      <c r="A22" s="3807"/>
      <c r="B22" s="1053" t="s">
        <v>982</v>
      </c>
      <c r="C22" s="1072">
        <f t="shared" ref="C22:C24" si="1">$C$7</f>
        <v>2200</v>
      </c>
      <c r="D22" s="1069">
        <f>$D$16</f>
        <v>3.75</v>
      </c>
      <c r="E22" s="1075">
        <v>7.4999999999999997E-2</v>
      </c>
      <c r="F22" s="1071">
        <v>1</v>
      </c>
      <c r="G22" s="1073">
        <v>1.5</v>
      </c>
      <c r="H22" s="1069">
        <v>1.5</v>
      </c>
      <c r="I22" s="1122">
        <f>C22*D22*E22*F22*(G22/100)*H22</f>
        <v>13.921875</v>
      </c>
      <c r="J22" s="1123" t="s">
        <v>31</v>
      </c>
      <c r="K22" s="1114">
        <f>'Mtc-data'!G112</f>
        <v>491.46473011428566</v>
      </c>
      <c r="L22" s="1124">
        <f>I22*K22</f>
        <v>6842.1105395598206</v>
      </c>
      <c r="N22" s="1120"/>
      <c r="O22" s="1120"/>
      <c r="P22" s="1119">
        <f>L22</f>
        <v>6842.1105395598206</v>
      </c>
      <c r="Q22" s="1120"/>
      <c r="R22" s="1120"/>
      <c r="S22" s="1120"/>
    </row>
    <row r="23" spans="1:19">
      <c r="A23" s="3807"/>
      <c r="B23" s="1053" t="s">
        <v>983</v>
      </c>
      <c r="C23" s="1072">
        <f t="shared" si="1"/>
        <v>2200</v>
      </c>
      <c r="D23" s="1069">
        <f>$D$16</f>
        <v>3.75</v>
      </c>
      <c r="E23" s="1075">
        <v>7.4999999999999997E-2</v>
      </c>
      <c r="F23" s="1071">
        <v>1</v>
      </c>
      <c r="G23" s="1073">
        <v>2</v>
      </c>
      <c r="H23" s="1069">
        <v>1.5</v>
      </c>
      <c r="I23" s="1122">
        <f>C23*D23*E23*F23*(G23/100)*H23</f>
        <v>18.5625</v>
      </c>
      <c r="J23" s="1071" t="s">
        <v>31</v>
      </c>
      <c r="K23" s="1125">
        <f>K22</f>
        <v>491.46473011428566</v>
      </c>
      <c r="L23" s="1124">
        <f>I23*K23</f>
        <v>9122.8140527464275</v>
      </c>
      <c r="N23" s="1120"/>
      <c r="O23" s="1120"/>
      <c r="P23" s="1120"/>
      <c r="Q23" s="1119">
        <f>L23</f>
        <v>9122.8140527464275</v>
      </c>
      <c r="R23" s="1120"/>
      <c r="S23" s="1120"/>
    </row>
    <row r="24" spans="1:19">
      <c r="A24" s="3807"/>
      <c r="B24" s="1053" t="s">
        <v>984</v>
      </c>
      <c r="C24" s="1072">
        <f t="shared" si="1"/>
        <v>2200</v>
      </c>
      <c r="D24" s="1069">
        <f>$D$16</f>
        <v>3.75</v>
      </c>
      <c r="E24" s="1075">
        <v>7.4999999999999997E-2</v>
      </c>
      <c r="F24" s="1071">
        <v>1</v>
      </c>
      <c r="G24" s="1073">
        <v>2.5</v>
      </c>
      <c r="H24" s="1069">
        <v>1.5</v>
      </c>
      <c r="I24" s="1122">
        <f>C24*D24*E24*F24*(G24/100)*H24</f>
        <v>23.203125</v>
      </c>
      <c r="J24" s="1071" t="s">
        <v>31</v>
      </c>
      <c r="K24" s="1125">
        <f>K23</f>
        <v>491.46473011428566</v>
      </c>
      <c r="L24" s="1124">
        <f>I24*K24</f>
        <v>11403.517565933034</v>
      </c>
      <c r="N24" s="1120"/>
      <c r="O24" s="1120"/>
      <c r="P24" s="1120"/>
      <c r="Q24" s="1120"/>
      <c r="R24" s="1119">
        <f>L24</f>
        <v>11403.517565933034</v>
      </c>
      <c r="S24" s="1120"/>
    </row>
    <row r="25" spans="1:19">
      <c r="A25" s="3772" t="s">
        <v>986</v>
      </c>
      <c r="B25" s="3772"/>
      <c r="C25" s="3786"/>
      <c r="D25" s="3786"/>
      <c r="E25" s="3786"/>
      <c r="F25" s="3786"/>
      <c r="G25" s="3786"/>
      <c r="H25" s="3786"/>
      <c r="I25" s="3786"/>
      <c r="J25" s="3786"/>
      <c r="K25" s="3786"/>
      <c r="L25" s="1126">
        <f>SUM(L16:L20,L22,L23,L24)</f>
        <v>210359.68419559501</v>
      </c>
      <c r="N25" s="1120"/>
      <c r="O25" s="1120"/>
      <c r="P25" s="1120"/>
      <c r="Q25" s="1120"/>
      <c r="R25" s="1120"/>
      <c r="S25" s="1119">
        <f>SUM(N16:R24)</f>
        <v>210359.68419559501</v>
      </c>
    </row>
    <row r="26" spans="1:19" ht="30.6">
      <c r="A26" s="3807">
        <v>2</v>
      </c>
      <c r="B26" s="1076" t="s">
        <v>987</v>
      </c>
      <c r="C26" s="3786"/>
      <c r="D26" s="3786"/>
      <c r="E26" s="3786"/>
      <c r="F26" s="3786"/>
      <c r="G26" s="3786"/>
      <c r="H26" s="3786"/>
      <c r="I26" s="3786"/>
      <c r="J26" s="3786"/>
      <c r="K26" s="3786"/>
      <c r="L26" s="3786"/>
      <c r="N26" s="1120"/>
      <c r="O26" s="1120"/>
      <c r="P26" s="1120"/>
      <c r="Q26" s="1120"/>
      <c r="R26" s="1120"/>
      <c r="S26" s="1120"/>
    </row>
    <row r="27" spans="1:19">
      <c r="A27" s="3807"/>
      <c r="B27" s="1053" t="s">
        <v>980</v>
      </c>
      <c r="C27" s="1071">
        <f>$C$6</f>
        <v>2500</v>
      </c>
      <c r="D27" s="1075">
        <f>$C$5</f>
        <v>0.95</v>
      </c>
      <c r="E27" s="1071"/>
      <c r="F27" s="1071">
        <v>2</v>
      </c>
      <c r="G27" s="1073">
        <v>10</v>
      </c>
      <c r="H27" s="1069">
        <v>1.5</v>
      </c>
      <c r="I27" s="1069">
        <f>C27*D27*F27*(G27/100)*H27</f>
        <v>712.5</v>
      </c>
      <c r="J27" s="1071" t="s">
        <v>913</v>
      </c>
      <c r="K27" s="1114">
        <f>'Mtc-data'!G49</f>
        <v>52.846687954499991</v>
      </c>
      <c r="L27" s="1115">
        <f>I27*K27</f>
        <v>37653.265167581245</v>
      </c>
      <c r="N27" s="1119">
        <f>L27</f>
        <v>37653.265167581245</v>
      </c>
      <c r="O27" s="1120"/>
      <c r="P27" s="1120"/>
      <c r="Q27" s="1120"/>
      <c r="R27" s="1120"/>
      <c r="S27" s="1120"/>
    </row>
    <row r="28" spans="1:19">
      <c r="A28" s="3807"/>
      <c r="B28" s="1053" t="s">
        <v>981</v>
      </c>
      <c r="C28" s="1071">
        <f t="shared" ref="C28:C31" si="2">$C$6</f>
        <v>2500</v>
      </c>
      <c r="D28" s="1075">
        <f>$D$27</f>
        <v>0.95</v>
      </c>
      <c r="E28" s="1071"/>
      <c r="F28" s="1071">
        <v>2</v>
      </c>
      <c r="G28" s="1073">
        <v>12</v>
      </c>
      <c r="H28" s="1069">
        <v>1.5</v>
      </c>
      <c r="I28" s="1069">
        <f>C28*D28*F28*(G28/100)*H28</f>
        <v>855</v>
      </c>
      <c r="J28" s="1071" t="s">
        <v>913</v>
      </c>
      <c r="K28" s="1125">
        <f>$K$27</f>
        <v>52.846687954499991</v>
      </c>
      <c r="L28" s="1115">
        <f>I28*K28</f>
        <v>45183.918201097491</v>
      </c>
      <c r="N28" s="1120"/>
      <c r="O28" s="1119">
        <f>L28</f>
        <v>45183.918201097491</v>
      </c>
      <c r="P28" s="1120"/>
      <c r="Q28" s="1120"/>
      <c r="R28" s="1120"/>
      <c r="S28" s="1120"/>
    </row>
    <row r="29" spans="1:19">
      <c r="A29" s="3807"/>
      <c r="B29" s="1053" t="s">
        <v>982</v>
      </c>
      <c r="C29" s="1071">
        <f t="shared" si="2"/>
        <v>2500</v>
      </c>
      <c r="D29" s="1075">
        <f>$D$27</f>
        <v>0.95</v>
      </c>
      <c r="E29" s="1071"/>
      <c r="F29" s="1071">
        <v>2</v>
      </c>
      <c r="G29" s="1073">
        <v>14</v>
      </c>
      <c r="H29" s="1069">
        <v>1.5</v>
      </c>
      <c r="I29" s="1069">
        <f>C29*D29*F29*(G29/100)*H29</f>
        <v>997.50000000000023</v>
      </c>
      <c r="J29" s="1071" t="s">
        <v>913</v>
      </c>
      <c r="K29" s="1125">
        <f>$K$27</f>
        <v>52.846687954499991</v>
      </c>
      <c r="L29" s="1115">
        <f>I29*K29</f>
        <v>52714.571234613752</v>
      </c>
      <c r="N29" s="1120"/>
      <c r="O29" s="1120"/>
      <c r="P29" s="1119">
        <f>L29</f>
        <v>52714.571234613752</v>
      </c>
      <c r="Q29" s="1120"/>
      <c r="R29" s="1120"/>
      <c r="S29" s="1120"/>
    </row>
    <row r="30" spans="1:19">
      <c r="A30" s="3807"/>
      <c r="B30" s="1053" t="s">
        <v>983</v>
      </c>
      <c r="C30" s="1071">
        <f t="shared" si="2"/>
        <v>2500</v>
      </c>
      <c r="D30" s="1075">
        <f>$D$27</f>
        <v>0.95</v>
      </c>
      <c r="E30" s="1071"/>
      <c r="F30" s="1071">
        <v>2</v>
      </c>
      <c r="G30" s="1073">
        <v>16</v>
      </c>
      <c r="H30" s="1069">
        <v>1.5</v>
      </c>
      <c r="I30" s="1069">
        <f>C30*D30*F30*(G30/100)*H30</f>
        <v>1140</v>
      </c>
      <c r="J30" s="1071" t="s">
        <v>913</v>
      </c>
      <c r="K30" s="1125">
        <f>$K$27</f>
        <v>52.846687954499991</v>
      </c>
      <c r="L30" s="1115">
        <f>I30*K30</f>
        <v>60245.22426812999</v>
      </c>
      <c r="N30" s="1120"/>
      <c r="O30" s="1120"/>
      <c r="P30" s="1120"/>
      <c r="Q30" s="1119">
        <f>L30</f>
        <v>60245.22426812999</v>
      </c>
      <c r="R30" s="1120"/>
      <c r="S30" s="1120"/>
    </row>
    <row r="31" spans="1:19">
      <c r="A31" s="3807"/>
      <c r="B31" s="1053" t="s">
        <v>984</v>
      </c>
      <c r="C31" s="1071">
        <f t="shared" si="2"/>
        <v>2500</v>
      </c>
      <c r="D31" s="1075">
        <f>$D$27</f>
        <v>0.95</v>
      </c>
      <c r="E31" s="1071"/>
      <c r="F31" s="1071">
        <v>2</v>
      </c>
      <c r="G31" s="1073">
        <v>18</v>
      </c>
      <c r="H31" s="1069">
        <v>1.5</v>
      </c>
      <c r="I31" s="1069">
        <f>C31*D31*F31*(G31/100)*H31</f>
        <v>1282.5</v>
      </c>
      <c r="J31" s="1071" t="s">
        <v>913</v>
      </c>
      <c r="K31" s="1125">
        <f>$K$27</f>
        <v>52.846687954499991</v>
      </c>
      <c r="L31" s="1115">
        <f>I31*K31</f>
        <v>67775.877301646236</v>
      </c>
      <c r="N31" s="1120"/>
      <c r="O31" s="1120"/>
      <c r="P31" s="1120"/>
      <c r="Q31" s="1120"/>
      <c r="R31" s="1119">
        <f>L31</f>
        <v>67775.877301646236</v>
      </c>
      <c r="S31" s="1120"/>
    </row>
    <row r="32" spans="1:19">
      <c r="A32" s="3772" t="s">
        <v>986</v>
      </c>
      <c r="B32" s="3772"/>
      <c r="C32" s="3772"/>
      <c r="D32" s="3772"/>
      <c r="E32" s="3772"/>
      <c r="F32" s="3772"/>
      <c r="G32" s="3772"/>
      <c r="H32" s="3772"/>
      <c r="I32" s="3772"/>
      <c r="J32" s="3772"/>
      <c r="K32" s="3772"/>
      <c r="L32" s="1126">
        <f>SUM(L27:L31)</f>
        <v>263572.85617306869</v>
      </c>
      <c r="N32" s="1120"/>
      <c r="O32" s="1120"/>
      <c r="P32" s="1120"/>
      <c r="Q32" s="1120"/>
      <c r="R32" s="1120"/>
      <c r="S32" s="1119">
        <f>SUM(N27:R31)</f>
        <v>263572.85617306869</v>
      </c>
    </row>
    <row r="33" spans="1:19" ht="24.75" customHeight="1">
      <c r="A33" s="3807">
        <v>3</v>
      </c>
      <c r="B33" s="1077" t="s">
        <v>988</v>
      </c>
      <c r="C33" s="3786"/>
      <c r="D33" s="3786"/>
      <c r="E33" s="3786"/>
      <c r="F33" s="3786"/>
      <c r="G33" s="3786"/>
      <c r="H33" s="3786"/>
      <c r="I33" s="3786"/>
      <c r="J33" s="3786"/>
      <c r="K33" s="3786"/>
      <c r="L33" s="3786"/>
      <c r="N33" s="1120"/>
      <c r="O33" s="1120"/>
      <c r="P33" s="1120"/>
      <c r="Q33" s="1120"/>
      <c r="R33" s="1120"/>
      <c r="S33" s="1120"/>
    </row>
    <row r="34" spans="1:19" ht="13.5" customHeight="1">
      <c r="A34" s="3807"/>
      <c r="B34" s="1078" t="s">
        <v>989</v>
      </c>
      <c r="C34" s="3786"/>
      <c r="D34" s="3786"/>
      <c r="E34" s="3786"/>
      <c r="F34" s="3786"/>
      <c r="G34" s="3786"/>
      <c r="H34" s="3786"/>
      <c r="I34" s="3786"/>
      <c r="J34" s="3786"/>
      <c r="K34" s="3786"/>
      <c r="L34" s="3786"/>
      <c r="N34" s="1120"/>
      <c r="O34" s="1120"/>
      <c r="P34" s="1120"/>
      <c r="Q34" s="1120"/>
      <c r="R34" s="1120"/>
      <c r="S34" s="1120"/>
    </row>
    <row r="35" spans="1:19" ht="13.5" customHeight="1">
      <c r="A35" s="3807"/>
      <c r="B35" s="1053" t="s">
        <v>980</v>
      </c>
      <c r="C35" s="1071">
        <f t="shared" ref="C35:C39" si="3">$C$6</f>
        <v>2500</v>
      </c>
      <c r="D35" s="1071">
        <f>$C$5/2</f>
        <v>0.47499999999999998</v>
      </c>
      <c r="E35" s="1071">
        <v>0.3</v>
      </c>
      <c r="F35" s="1071">
        <v>1</v>
      </c>
      <c r="G35" s="1073">
        <v>6</v>
      </c>
      <c r="H35" s="1069">
        <v>1.5</v>
      </c>
      <c r="I35" s="1069">
        <f>C35*D35*E35*F35*(G35/100)*H35</f>
        <v>32.0625</v>
      </c>
      <c r="J35" s="1071" t="s">
        <v>31</v>
      </c>
      <c r="K35" s="1114">
        <f>'Mtc-data'!G25</f>
        <v>208.97070611999999</v>
      </c>
      <c r="L35" s="1127">
        <f>I35*K35</f>
        <v>6700.1232649724998</v>
      </c>
      <c r="N35" s="1119">
        <f>L35</f>
        <v>6700.1232649724998</v>
      </c>
      <c r="O35" s="1120"/>
      <c r="P35" s="1120"/>
      <c r="Q35" s="1120"/>
      <c r="R35" s="1120"/>
      <c r="S35" s="1120"/>
    </row>
    <row r="36" spans="1:19" ht="13.5" customHeight="1">
      <c r="A36" s="3807"/>
      <c r="B36" s="1053" t="s">
        <v>981</v>
      </c>
      <c r="C36" s="1071">
        <f t="shared" si="3"/>
        <v>2500</v>
      </c>
      <c r="D36" s="1071">
        <f>D35</f>
        <v>0.47499999999999998</v>
      </c>
      <c r="E36" s="1071">
        <v>0.3</v>
      </c>
      <c r="F36" s="1071">
        <v>1</v>
      </c>
      <c r="G36" s="1073">
        <v>7.2</v>
      </c>
      <c r="H36" s="1069">
        <v>1.5</v>
      </c>
      <c r="I36" s="1069">
        <f>C36*D36*E36*F36*(G36/100)*H36</f>
        <v>38.475000000000001</v>
      </c>
      <c r="J36" s="1071" t="s">
        <v>31</v>
      </c>
      <c r="K36" s="1125">
        <f>$K$35</f>
        <v>208.97070611999999</v>
      </c>
      <c r="L36" s="1127">
        <f>I36*K36</f>
        <v>8040.1479179669996</v>
      </c>
      <c r="N36" s="1120"/>
      <c r="O36" s="1119">
        <f>L36</f>
        <v>8040.1479179669996</v>
      </c>
      <c r="P36" s="1120"/>
      <c r="Q36" s="1120"/>
      <c r="R36" s="1120"/>
      <c r="S36" s="1120"/>
    </row>
    <row r="37" spans="1:19" ht="13.5" customHeight="1">
      <c r="A37" s="3807"/>
      <c r="B37" s="1053" t="s">
        <v>982</v>
      </c>
      <c r="C37" s="1071">
        <f t="shared" si="3"/>
        <v>2500</v>
      </c>
      <c r="D37" s="1071">
        <f>D36</f>
        <v>0.47499999999999998</v>
      </c>
      <c r="E37" s="1071">
        <v>0.3</v>
      </c>
      <c r="F37" s="1071">
        <v>1</v>
      </c>
      <c r="G37" s="1073">
        <v>8.4</v>
      </c>
      <c r="H37" s="1069">
        <v>1.5</v>
      </c>
      <c r="I37" s="1069">
        <f>C37*D37*E37*F37*(G37/100)*H37</f>
        <v>44.887500000000003</v>
      </c>
      <c r="J37" s="1071" t="s">
        <v>31</v>
      </c>
      <c r="K37" s="1125">
        <f>$K$35</f>
        <v>208.97070611999999</v>
      </c>
      <c r="L37" s="1127">
        <f>I37*K37</f>
        <v>9380.1725709615002</v>
      </c>
      <c r="N37" s="1120"/>
      <c r="O37" s="1120"/>
      <c r="P37" s="1119">
        <f>L37</f>
        <v>9380.1725709615002</v>
      </c>
      <c r="Q37" s="1120"/>
      <c r="R37" s="1120"/>
      <c r="S37" s="1120"/>
    </row>
    <row r="38" spans="1:19" ht="13.5" customHeight="1">
      <c r="A38" s="3807"/>
      <c r="B38" s="1053" t="s">
        <v>983</v>
      </c>
      <c r="C38" s="1071">
        <f t="shared" si="3"/>
        <v>2500</v>
      </c>
      <c r="D38" s="1071">
        <f>D37</f>
        <v>0.47499999999999998</v>
      </c>
      <c r="E38" s="1071">
        <v>0.3</v>
      </c>
      <c r="F38" s="1071">
        <v>1</v>
      </c>
      <c r="G38" s="1073">
        <v>9.6</v>
      </c>
      <c r="H38" s="1069">
        <v>1.5</v>
      </c>
      <c r="I38" s="1069">
        <f>C38*D38*E38*F38*(G38/100)*H38</f>
        <v>51.300000000000004</v>
      </c>
      <c r="J38" s="1071" t="s">
        <v>31</v>
      </c>
      <c r="K38" s="1125">
        <f>$K$35</f>
        <v>208.97070611999999</v>
      </c>
      <c r="L38" s="1127">
        <f>I38*K38</f>
        <v>10720.197223956</v>
      </c>
      <c r="N38" s="1120"/>
      <c r="O38" s="1120"/>
      <c r="P38" s="1120"/>
      <c r="Q38" s="1119">
        <f>L38</f>
        <v>10720.197223956</v>
      </c>
      <c r="R38" s="1120"/>
      <c r="S38" s="1120"/>
    </row>
    <row r="39" spans="1:19" ht="13.5" customHeight="1">
      <c r="A39" s="3807"/>
      <c r="B39" s="1053" t="s">
        <v>984</v>
      </c>
      <c r="C39" s="1071">
        <f t="shared" si="3"/>
        <v>2500</v>
      </c>
      <c r="D39" s="1071">
        <f>D38</f>
        <v>0.47499999999999998</v>
      </c>
      <c r="E39" s="1071">
        <v>0.3</v>
      </c>
      <c r="F39" s="1071">
        <v>1</v>
      </c>
      <c r="G39" s="1073">
        <v>10.8</v>
      </c>
      <c r="H39" s="1069">
        <v>1.5</v>
      </c>
      <c r="I39" s="1069">
        <f>C39*D39*E39*F39*(G39/100)*H39</f>
        <v>57.712500000000006</v>
      </c>
      <c r="J39" s="1071" t="s">
        <v>31</v>
      </c>
      <c r="K39" s="1125">
        <f>$K$35</f>
        <v>208.97070611999999</v>
      </c>
      <c r="L39" s="1127">
        <f>I39*K39</f>
        <v>12060.2218769505</v>
      </c>
      <c r="N39" s="1120"/>
      <c r="O39" s="1120"/>
      <c r="P39" s="1120"/>
      <c r="Q39" s="1120"/>
      <c r="R39" s="1119">
        <f>L39</f>
        <v>12060.2218769505</v>
      </c>
      <c r="S39" s="1120"/>
    </row>
    <row r="40" spans="1:19" ht="13.5" customHeight="1">
      <c r="A40" s="3807"/>
      <c r="B40" s="1070" t="s">
        <v>990</v>
      </c>
      <c r="C40" s="3786"/>
      <c r="D40" s="3786"/>
      <c r="E40" s="3786"/>
      <c r="F40" s="3786"/>
      <c r="G40" s="3786"/>
      <c r="H40" s="3786"/>
      <c r="I40" s="3786"/>
      <c r="J40" s="3786"/>
      <c r="K40" s="3786"/>
      <c r="L40" s="1126">
        <f>SUM(L35:L39)</f>
        <v>46900.862854807499</v>
      </c>
      <c r="N40" s="1120"/>
      <c r="O40" s="1120"/>
      <c r="P40" s="1120"/>
      <c r="Q40" s="1120"/>
      <c r="R40" s="1120"/>
      <c r="S40" s="1119">
        <f>SUM(N35:R39)</f>
        <v>46900.862854807499</v>
      </c>
    </row>
    <row r="41" spans="1:19" ht="13.5" customHeight="1">
      <c r="A41" s="3807"/>
      <c r="B41" s="1078" t="s">
        <v>991</v>
      </c>
      <c r="C41" s="3786"/>
      <c r="D41" s="3786"/>
      <c r="E41" s="3786"/>
      <c r="F41" s="3786"/>
      <c r="G41" s="3786"/>
      <c r="H41" s="3786"/>
      <c r="I41" s="3786"/>
      <c r="J41" s="3786"/>
      <c r="K41" s="3786"/>
      <c r="L41" s="3786"/>
      <c r="N41" s="1120"/>
      <c r="O41" s="1120"/>
      <c r="P41" s="1120"/>
      <c r="Q41" s="1120"/>
      <c r="R41" s="1120"/>
      <c r="S41" s="1120"/>
    </row>
    <row r="42" spans="1:19" ht="13.5" customHeight="1">
      <c r="A42" s="3807"/>
      <c r="B42" s="1053" t="s">
        <v>980</v>
      </c>
      <c r="C42" s="1071">
        <f t="shared" ref="C42:C46" si="4">$C$6</f>
        <v>2500</v>
      </c>
      <c r="D42" s="1071">
        <f>D39</f>
        <v>0.47499999999999998</v>
      </c>
      <c r="E42" s="1071">
        <v>0.3</v>
      </c>
      <c r="F42" s="1071">
        <v>1</v>
      </c>
      <c r="G42" s="1073">
        <v>6</v>
      </c>
      <c r="H42" s="1069">
        <v>1.5</v>
      </c>
      <c r="I42" s="1069">
        <f>C42*D42*E42*F42*(G42/100)*H42</f>
        <v>32.0625</v>
      </c>
      <c r="J42" s="1071" t="s">
        <v>31</v>
      </c>
      <c r="K42" s="1114">
        <f>$K$35</f>
        <v>208.97070611999999</v>
      </c>
      <c r="L42" s="1115">
        <f>I42*K42</f>
        <v>6700.1232649724998</v>
      </c>
      <c r="N42" s="1119">
        <f>L42</f>
        <v>6700.1232649724998</v>
      </c>
      <c r="O42" s="1120"/>
      <c r="P42" s="1120"/>
      <c r="Q42" s="1120"/>
      <c r="R42" s="1120"/>
      <c r="S42" s="1120"/>
    </row>
    <row r="43" spans="1:19" ht="13.5" customHeight="1">
      <c r="A43" s="3807"/>
      <c r="B43" s="1053" t="s">
        <v>981</v>
      </c>
      <c r="C43" s="1071">
        <f t="shared" si="4"/>
        <v>2500</v>
      </c>
      <c r="D43" s="1071">
        <f>D42</f>
        <v>0.47499999999999998</v>
      </c>
      <c r="E43" s="1071">
        <v>0.3</v>
      </c>
      <c r="F43" s="1071">
        <v>1</v>
      </c>
      <c r="G43" s="1073">
        <v>7.2</v>
      </c>
      <c r="H43" s="1069">
        <v>1.5</v>
      </c>
      <c r="I43" s="1069">
        <f>C43*D43*E43*F43*(G43/100)*H43</f>
        <v>38.475000000000001</v>
      </c>
      <c r="J43" s="1071" t="s">
        <v>31</v>
      </c>
      <c r="K43" s="1125">
        <f>$K$35</f>
        <v>208.97070611999999</v>
      </c>
      <c r="L43" s="1115">
        <f>I43*K43</f>
        <v>8040.1479179669996</v>
      </c>
      <c r="N43" s="1120"/>
      <c r="O43" s="1119">
        <f>L43</f>
        <v>8040.1479179669996</v>
      </c>
      <c r="P43" s="1120"/>
      <c r="Q43" s="1120"/>
      <c r="R43" s="1120"/>
      <c r="S43" s="1120"/>
    </row>
    <row r="44" spans="1:19" ht="13.5" customHeight="1">
      <c r="A44" s="3807"/>
      <c r="B44" s="1053" t="s">
        <v>982</v>
      </c>
      <c r="C44" s="1071">
        <f t="shared" si="4"/>
        <v>2500</v>
      </c>
      <c r="D44" s="1071">
        <f>D43</f>
        <v>0.47499999999999998</v>
      </c>
      <c r="E44" s="1071">
        <v>0.3</v>
      </c>
      <c r="F44" s="1071">
        <v>1</v>
      </c>
      <c r="G44" s="1073">
        <v>8.4</v>
      </c>
      <c r="H44" s="1069">
        <v>1.5</v>
      </c>
      <c r="I44" s="1069">
        <f>C44*D44*E44*F44*(G44/100)*H44</f>
        <v>44.887500000000003</v>
      </c>
      <c r="J44" s="1071" t="s">
        <v>31</v>
      </c>
      <c r="K44" s="1125">
        <f>$K$35</f>
        <v>208.97070611999999</v>
      </c>
      <c r="L44" s="1115">
        <f>I44*K44</f>
        <v>9380.1725709615002</v>
      </c>
      <c r="N44" s="1120"/>
      <c r="O44" s="1120"/>
      <c r="P44" s="1119">
        <f>L44</f>
        <v>9380.1725709615002</v>
      </c>
      <c r="Q44" s="1120"/>
      <c r="R44" s="1120"/>
      <c r="S44" s="1120"/>
    </row>
    <row r="45" spans="1:19" ht="13.5" customHeight="1">
      <c r="A45" s="3807"/>
      <c r="B45" s="1053" t="s">
        <v>983</v>
      </c>
      <c r="C45" s="1071">
        <f t="shared" si="4"/>
        <v>2500</v>
      </c>
      <c r="D45" s="1071">
        <f>D44</f>
        <v>0.47499999999999998</v>
      </c>
      <c r="E45" s="1071">
        <v>0.3</v>
      </c>
      <c r="F45" s="1071">
        <v>1</v>
      </c>
      <c r="G45" s="1073">
        <v>9.6</v>
      </c>
      <c r="H45" s="1069">
        <v>1.5</v>
      </c>
      <c r="I45" s="1069">
        <f>C45*D45*E45*F45*(G45/100)*H45</f>
        <v>51.300000000000004</v>
      </c>
      <c r="J45" s="1071" t="s">
        <v>31</v>
      </c>
      <c r="K45" s="1125">
        <f>$K$35</f>
        <v>208.97070611999999</v>
      </c>
      <c r="L45" s="1115">
        <f>I45*K45</f>
        <v>10720.197223956</v>
      </c>
      <c r="N45" s="1120"/>
      <c r="O45" s="1120"/>
      <c r="P45" s="1120"/>
      <c r="Q45" s="1119">
        <f>L45</f>
        <v>10720.197223956</v>
      </c>
      <c r="R45" s="1120"/>
      <c r="S45" s="1120"/>
    </row>
    <row r="46" spans="1:19" ht="13.5" customHeight="1">
      <c r="A46" s="3807"/>
      <c r="B46" s="1053" t="s">
        <v>984</v>
      </c>
      <c r="C46" s="1071">
        <f t="shared" si="4"/>
        <v>2500</v>
      </c>
      <c r="D46" s="1071">
        <f>D45</f>
        <v>0.47499999999999998</v>
      </c>
      <c r="E46" s="1071">
        <v>0.3</v>
      </c>
      <c r="F46" s="1071">
        <v>1</v>
      </c>
      <c r="G46" s="1073">
        <v>10.8</v>
      </c>
      <c r="H46" s="1069">
        <v>1.5</v>
      </c>
      <c r="I46" s="1069">
        <f>C46*D46*E46*F46*(G46/100)*H46</f>
        <v>57.712500000000006</v>
      </c>
      <c r="J46" s="1071" t="s">
        <v>31</v>
      </c>
      <c r="K46" s="1125">
        <f>$K$35</f>
        <v>208.97070611999999</v>
      </c>
      <c r="L46" s="1115">
        <f>I46*K46</f>
        <v>12060.2218769505</v>
      </c>
      <c r="N46" s="1120"/>
      <c r="O46" s="1120"/>
      <c r="P46" s="1120"/>
      <c r="Q46" s="1120"/>
      <c r="R46" s="1119">
        <f>L46</f>
        <v>12060.2218769505</v>
      </c>
      <c r="S46" s="1120"/>
    </row>
    <row r="47" spans="1:19" ht="13.5" customHeight="1">
      <c r="A47" s="1067"/>
      <c r="B47" s="1053" t="s">
        <v>990</v>
      </c>
      <c r="C47" s="3772"/>
      <c r="D47" s="3772"/>
      <c r="E47" s="3772"/>
      <c r="F47" s="3772"/>
      <c r="G47" s="3772"/>
      <c r="H47" s="3772"/>
      <c r="I47" s="3772"/>
      <c r="J47" s="3772"/>
      <c r="K47" s="3772"/>
      <c r="L47" s="1126">
        <f>SUM(L42:L46)</f>
        <v>46900.862854807499</v>
      </c>
      <c r="N47" s="1120"/>
      <c r="O47" s="1120"/>
      <c r="P47" s="1120"/>
      <c r="Q47" s="1120"/>
      <c r="R47" s="1120"/>
      <c r="S47" s="1119">
        <f>SUM(N42:R46)</f>
        <v>46900.862854807499</v>
      </c>
    </row>
    <row r="48" spans="1:19" ht="13.5" customHeight="1">
      <c r="A48" s="3772" t="s">
        <v>992</v>
      </c>
      <c r="B48" s="3772"/>
      <c r="C48" s="3786"/>
      <c r="D48" s="3786"/>
      <c r="E48" s="3786"/>
      <c r="F48" s="3786"/>
      <c r="G48" s="3786"/>
      <c r="H48" s="3786"/>
      <c r="I48" s="3786"/>
      <c r="J48" s="3786"/>
      <c r="K48" s="3786"/>
      <c r="L48" s="1126">
        <f>L40+L47</f>
        <v>93801.725709614999</v>
      </c>
      <c r="N48" s="1120"/>
      <c r="O48" s="1120"/>
      <c r="P48" s="1120"/>
      <c r="Q48" s="1120"/>
      <c r="R48" s="1120"/>
      <c r="S48" s="1120"/>
    </row>
    <row r="49" spans="1:22" ht="40.799999999999997">
      <c r="A49" s="1067">
        <v>4</v>
      </c>
      <c r="B49" s="1053" t="s">
        <v>993</v>
      </c>
      <c r="C49" s="1075">
        <f>$C$6/1000</f>
        <v>2.5</v>
      </c>
      <c r="D49" s="1051"/>
      <c r="E49" s="1051"/>
      <c r="F49" s="1051"/>
      <c r="G49" s="1079" t="s">
        <v>994</v>
      </c>
      <c r="H49" s="1075"/>
      <c r="I49" s="1091">
        <v>25</v>
      </c>
      <c r="J49" s="1071" t="s">
        <v>995</v>
      </c>
      <c r="K49" s="1114">
        <f>'SSR-rates'!$H$60</f>
        <v>490</v>
      </c>
      <c r="L49" s="1115">
        <f>C49*I49*K49</f>
        <v>30625</v>
      </c>
      <c r="N49" s="1120">
        <f>$L49/5</f>
        <v>6125</v>
      </c>
      <c r="O49" s="1120">
        <f>$L49/5</f>
        <v>6125</v>
      </c>
      <c r="P49" s="1120">
        <f>$L49/5</f>
        <v>6125</v>
      </c>
      <c r="Q49" s="1120">
        <f>$L49/5</f>
        <v>6125</v>
      </c>
      <c r="R49" s="1120">
        <f>$L49/5</f>
        <v>6125</v>
      </c>
      <c r="S49" s="1120"/>
    </row>
    <row r="50" spans="1:22" ht="13.5" customHeight="1">
      <c r="A50" s="3772" t="s">
        <v>986</v>
      </c>
      <c r="B50" s="3772"/>
      <c r="C50" s="3786"/>
      <c r="D50" s="3786"/>
      <c r="E50" s="3786"/>
      <c r="F50" s="3786"/>
      <c r="G50" s="3786"/>
      <c r="H50" s="3786"/>
      <c r="I50" s="3786"/>
      <c r="J50" s="3786"/>
      <c r="K50" s="3786"/>
      <c r="L50" s="1126">
        <f>L49</f>
        <v>30625</v>
      </c>
      <c r="N50" s="1120"/>
      <c r="O50" s="1120"/>
      <c r="P50" s="1120"/>
      <c r="Q50" s="1120"/>
      <c r="R50" s="1120"/>
      <c r="S50" s="1119">
        <f>SUM(N49:R49)</f>
        <v>30625</v>
      </c>
    </row>
    <row r="51" spans="1:22" ht="40.799999999999997">
      <c r="A51" s="1067">
        <v>5</v>
      </c>
      <c r="B51" s="1053" t="s">
        <v>996</v>
      </c>
      <c r="C51" s="1075">
        <f>$C$6/1000</f>
        <v>2.5</v>
      </c>
      <c r="D51" s="1051"/>
      <c r="E51" s="1051"/>
      <c r="F51" s="1051"/>
      <c r="G51" s="1080" t="s">
        <v>997</v>
      </c>
      <c r="H51" s="1075"/>
      <c r="I51" s="1071">
        <v>30</v>
      </c>
      <c r="J51" s="1071" t="s">
        <v>995</v>
      </c>
      <c r="K51" s="1114">
        <f>'SSR-rates'!$H$60</f>
        <v>490</v>
      </c>
      <c r="L51" s="1115">
        <f>C51*I51*K51</f>
        <v>36750</v>
      </c>
      <c r="N51" s="1120">
        <f>$L51/5</f>
        <v>7350</v>
      </c>
      <c r="O51" s="1120">
        <f>$L51/5</f>
        <v>7350</v>
      </c>
      <c r="P51" s="1120">
        <f>$L51/5</f>
        <v>7350</v>
      </c>
      <c r="Q51" s="1120">
        <f>$L51/5</f>
        <v>7350</v>
      </c>
      <c r="R51" s="1120">
        <f>$L51/5</f>
        <v>7350</v>
      </c>
      <c r="S51" s="1120"/>
    </row>
    <row r="52" spans="1:22" ht="13.5" customHeight="1">
      <c r="A52" s="3772" t="s">
        <v>986</v>
      </c>
      <c r="B52" s="3772"/>
      <c r="C52" s="3786"/>
      <c r="D52" s="3786"/>
      <c r="E52" s="3786"/>
      <c r="F52" s="3786"/>
      <c r="G52" s="3786"/>
      <c r="H52" s="3786"/>
      <c r="I52" s="3786"/>
      <c r="J52" s="3786"/>
      <c r="K52" s="3786"/>
      <c r="L52" s="1126">
        <f>L51</f>
        <v>36750</v>
      </c>
      <c r="N52" s="1120"/>
      <c r="O52" s="1120"/>
      <c r="P52" s="1120"/>
      <c r="Q52" s="1120"/>
      <c r="R52" s="1120"/>
      <c r="S52" s="1119">
        <f>SUM(N51:R51)</f>
        <v>36750</v>
      </c>
    </row>
    <row r="53" spans="1:22" s="1044" customFormat="1" ht="90.6" customHeight="1">
      <c r="A53" s="1081">
        <v>6</v>
      </c>
      <c r="B53" s="1082" t="s">
        <v>998</v>
      </c>
      <c r="C53" s="1075">
        <f>$C$6/1000</f>
        <v>2.5</v>
      </c>
      <c r="D53" s="1083"/>
      <c r="E53" s="1083"/>
      <c r="F53" s="1084"/>
      <c r="G53" s="1085" t="s">
        <v>999</v>
      </c>
      <c r="H53" s="1075"/>
      <c r="I53" s="1128">
        <v>5</v>
      </c>
      <c r="J53" s="1084" t="s">
        <v>1000</v>
      </c>
      <c r="K53" s="1129">
        <v>600</v>
      </c>
      <c r="L53" s="1115">
        <f>C53*I53*K53</f>
        <v>7500</v>
      </c>
      <c r="N53" s="1120">
        <f>$L53/5</f>
        <v>1500</v>
      </c>
      <c r="O53" s="1120">
        <f>$L53/5</f>
        <v>1500</v>
      </c>
      <c r="P53" s="1120">
        <f>$L53/5</f>
        <v>1500</v>
      </c>
      <c r="Q53" s="1120">
        <f>$L53/5</f>
        <v>1500</v>
      </c>
      <c r="R53" s="1120">
        <f>$L53/5</f>
        <v>1500</v>
      </c>
      <c r="S53" s="1088"/>
    </row>
    <row r="54" spans="1:22" ht="13.5" customHeight="1">
      <c r="A54" s="3772" t="s">
        <v>986</v>
      </c>
      <c r="B54" s="3772"/>
      <c r="C54" s="3786"/>
      <c r="D54" s="3786"/>
      <c r="E54" s="3786"/>
      <c r="F54" s="3786"/>
      <c r="G54" s="3786"/>
      <c r="H54" s="3786"/>
      <c r="I54" s="3786"/>
      <c r="J54" s="3786"/>
      <c r="K54" s="3786"/>
      <c r="L54" s="1126">
        <f>L53</f>
        <v>7500</v>
      </c>
      <c r="N54" s="1120"/>
      <c r="O54" s="1120"/>
      <c r="P54" s="1120"/>
      <c r="Q54" s="1120"/>
      <c r="R54" s="1120"/>
      <c r="S54" s="1119">
        <f>SUM(N53:R53)</f>
        <v>7500</v>
      </c>
    </row>
    <row r="55" spans="1:22" ht="60">
      <c r="A55" s="1067">
        <v>7</v>
      </c>
      <c r="B55" s="1086" t="s">
        <v>1001</v>
      </c>
      <c r="C55" s="1087">
        <f>C9/2</f>
        <v>0</v>
      </c>
      <c r="D55" s="1051"/>
      <c r="E55" s="1051"/>
      <c r="F55" s="1074">
        <f>2*0.5</f>
        <v>1</v>
      </c>
      <c r="G55" s="1073" t="s">
        <v>1002</v>
      </c>
      <c r="H55" s="1075"/>
      <c r="I55" s="1071">
        <v>10</v>
      </c>
      <c r="J55" s="1071" t="s">
        <v>1003</v>
      </c>
      <c r="K55" s="1114">
        <v>3</v>
      </c>
      <c r="L55" s="1115">
        <f>C55*I55*K55</f>
        <v>0</v>
      </c>
      <c r="N55" s="1120">
        <f>$L55/5</f>
        <v>0</v>
      </c>
      <c r="O55" s="1120">
        <f>$L55/5</f>
        <v>0</v>
      </c>
      <c r="P55" s="1120">
        <f>$L55/5</f>
        <v>0</v>
      </c>
      <c r="Q55" s="1120">
        <f>$L55/5</f>
        <v>0</v>
      </c>
      <c r="R55" s="1120">
        <f>$L55/5</f>
        <v>0</v>
      </c>
      <c r="S55" s="1120"/>
    </row>
    <row r="56" spans="1:22" ht="13.5" customHeight="1">
      <c r="A56" s="3772" t="s">
        <v>986</v>
      </c>
      <c r="B56" s="3772"/>
      <c r="C56" s="3786"/>
      <c r="D56" s="3786"/>
      <c r="E56" s="3786"/>
      <c r="F56" s="3786"/>
      <c r="G56" s="3786"/>
      <c r="H56" s="3786"/>
      <c r="I56" s="3786"/>
      <c r="J56" s="3786"/>
      <c r="K56" s="3786"/>
      <c r="L56" s="1126">
        <f>SUM(L55)</f>
        <v>0</v>
      </c>
      <c r="N56" s="1120"/>
      <c r="O56" s="1120"/>
      <c r="P56" s="1120"/>
      <c r="Q56" s="1120"/>
      <c r="R56" s="1120"/>
      <c r="S56" s="1119">
        <f>SUM(N55:R55)</f>
        <v>0</v>
      </c>
    </row>
    <row r="57" spans="1:22" ht="45" customHeight="1">
      <c r="A57" s="3807">
        <v>8</v>
      </c>
      <c r="B57" s="1071" t="s">
        <v>1004</v>
      </c>
      <c r="C57" s="1071">
        <v>1000</v>
      </c>
      <c r="D57" s="1075">
        <f>$D$27</f>
        <v>0.95</v>
      </c>
      <c r="E57" s="1071"/>
      <c r="F57" s="1071">
        <f>2*0.5</f>
        <v>1</v>
      </c>
      <c r="G57" s="3793" t="s">
        <v>1005</v>
      </c>
      <c r="H57" s="1075">
        <f>$C$6/1000</f>
        <v>2.5</v>
      </c>
      <c r="I57" s="1071">
        <f>C57*D57*F57*5</f>
        <v>4750</v>
      </c>
      <c r="J57" s="1071" t="s">
        <v>913</v>
      </c>
      <c r="K57" s="1114">
        <f>'Road data'!G22</f>
        <v>4.32</v>
      </c>
      <c r="L57" s="1115">
        <f>I57*K57*H57</f>
        <v>51300</v>
      </c>
      <c r="N57" s="1120">
        <f t="shared" ref="N57:R59" si="5">$L57/5</f>
        <v>10260</v>
      </c>
      <c r="O57" s="1120">
        <f t="shared" si="5"/>
        <v>10260</v>
      </c>
      <c r="P57" s="1120">
        <f t="shared" si="5"/>
        <v>10260</v>
      </c>
      <c r="Q57" s="1120">
        <f t="shared" si="5"/>
        <v>10260</v>
      </c>
      <c r="R57" s="1120">
        <f t="shared" si="5"/>
        <v>10260</v>
      </c>
      <c r="S57" s="1120"/>
    </row>
    <row r="58" spans="1:22" ht="26.4">
      <c r="A58" s="3807"/>
      <c r="B58" s="1071" t="s">
        <v>1006</v>
      </c>
      <c r="C58" s="3786"/>
      <c r="D58" s="3786"/>
      <c r="E58" s="3786"/>
      <c r="F58" s="1071">
        <v>10</v>
      </c>
      <c r="G58" s="3793"/>
      <c r="H58" s="1075">
        <f>$C$6/1000</f>
        <v>2.5</v>
      </c>
      <c r="I58" s="1071">
        <f>F58*5</f>
        <v>50</v>
      </c>
      <c r="J58" s="1071" t="s">
        <v>241</v>
      </c>
      <c r="K58" s="1114">
        <v>104.571</v>
      </c>
      <c r="L58" s="1115">
        <f>I58*K58*H58</f>
        <v>13071.375</v>
      </c>
      <c r="N58" s="1120">
        <f t="shared" si="5"/>
        <v>2614.2750000000001</v>
      </c>
      <c r="O58" s="1120">
        <f t="shared" si="5"/>
        <v>2614.2750000000001</v>
      </c>
      <c r="P58" s="1120">
        <f t="shared" si="5"/>
        <v>2614.2750000000001</v>
      </c>
      <c r="Q58" s="1120">
        <f t="shared" si="5"/>
        <v>2614.2750000000001</v>
      </c>
      <c r="R58" s="1120">
        <f t="shared" si="5"/>
        <v>2614.2750000000001</v>
      </c>
      <c r="S58" s="1120"/>
    </row>
    <row r="59" spans="1:22" s="1044" customFormat="1" ht="26.4">
      <c r="A59" s="3807"/>
      <c r="B59" s="1088" t="s">
        <v>1007</v>
      </c>
      <c r="C59" s="3791">
        <v>0.5</v>
      </c>
      <c r="D59" s="3791"/>
      <c r="E59" s="3791"/>
      <c r="F59" s="1084">
        <v>10</v>
      </c>
      <c r="G59" s="3793"/>
      <c r="H59" s="1089">
        <v>0</v>
      </c>
      <c r="I59" s="1084">
        <f>C59*F59*5</f>
        <v>25</v>
      </c>
      <c r="J59" s="1084" t="s">
        <v>913</v>
      </c>
      <c r="K59" s="1129">
        <v>0</v>
      </c>
      <c r="L59" s="1115">
        <f>I59*K59*H59</f>
        <v>0</v>
      </c>
      <c r="N59" s="1120">
        <f t="shared" si="5"/>
        <v>0</v>
      </c>
      <c r="O59" s="1120">
        <f t="shared" si="5"/>
        <v>0</v>
      </c>
      <c r="P59" s="1120">
        <f t="shared" si="5"/>
        <v>0</v>
      </c>
      <c r="Q59" s="1120">
        <f t="shared" si="5"/>
        <v>0</v>
      </c>
      <c r="R59" s="1120">
        <f t="shared" si="5"/>
        <v>0</v>
      </c>
      <c r="S59" s="1088"/>
    </row>
    <row r="60" spans="1:22" ht="13.5" customHeight="1">
      <c r="A60" s="3792" t="s">
        <v>986</v>
      </c>
      <c r="B60" s="3792"/>
      <c r="C60" s="3786"/>
      <c r="D60" s="3786"/>
      <c r="E60" s="3786"/>
      <c r="F60" s="3786"/>
      <c r="G60" s="3786"/>
      <c r="H60" s="3786"/>
      <c r="I60" s="3786"/>
      <c r="J60" s="3786"/>
      <c r="K60" s="3786"/>
      <c r="L60" s="1126">
        <f>SUM(L57:L59)</f>
        <v>64371.375</v>
      </c>
      <c r="N60" s="1120"/>
      <c r="O60" s="1120"/>
      <c r="P60" s="1120"/>
      <c r="Q60" s="1120"/>
      <c r="R60" s="1120"/>
      <c r="S60" s="1119">
        <f>SUM(N57:R59)</f>
        <v>64371.375000000007</v>
      </c>
    </row>
    <row r="61" spans="1:22" ht="52.5" customHeight="1">
      <c r="A61" s="1067">
        <v>9</v>
      </c>
      <c r="B61" s="1090" t="s">
        <v>1008</v>
      </c>
      <c r="C61" s="3794">
        <v>0</v>
      </c>
      <c r="D61" s="3794"/>
      <c r="E61" s="3794"/>
      <c r="F61" s="1071"/>
      <c r="G61" s="1073" t="s">
        <v>1009</v>
      </c>
      <c r="H61" s="1069"/>
      <c r="I61" s="1071">
        <f>C61*5</f>
        <v>0</v>
      </c>
      <c r="J61" s="1071" t="s">
        <v>913</v>
      </c>
      <c r="K61" s="1114"/>
      <c r="L61" s="1115">
        <f>I61*K61</f>
        <v>0</v>
      </c>
      <c r="N61" s="1120">
        <f>$L61/5</f>
        <v>0</v>
      </c>
      <c r="O61" s="1120">
        <f>$L61/5</f>
        <v>0</v>
      </c>
      <c r="P61" s="1120">
        <f>$L61/5</f>
        <v>0</v>
      </c>
      <c r="Q61" s="1120">
        <f>$L61/5</f>
        <v>0</v>
      </c>
      <c r="R61" s="1120">
        <f>$L61/5</f>
        <v>0</v>
      </c>
      <c r="S61" s="1120"/>
    </row>
    <row r="62" spans="1:22" ht="13.5" customHeight="1">
      <c r="A62" s="3772" t="s">
        <v>986</v>
      </c>
      <c r="B62" s="3772"/>
      <c r="C62" s="3789"/>
      <c r="D62" s="3789"/>
      <c r="E62" s="3789"/>
      <c r="F62" s="1092"/>
      <c r="G62" s="3790"/>
      <c r="H62" s="3790"/>
      <c r="I62" s="3790"/>
      <c r="J62" s="3790"/>
      <c r="K62" s="3790"/>
      <c r="L62" s="1126">
        <f>L61</f>
        <v>0</v>
      </c>
      <c r="N62" s="1120"/>
      <c r="O62" s="1120"/>
      <c r="P62" s="1120"/>
      <c r="Q62" s="1120"/>
      <c r="R62" s="1120"/>
      <c r="S62" s="1119">
        <f>SUM(N61:R61)</f>
        <v>0</v>
      </c>
    </row>
    <row r="63" spans="1:22" ht="28.8">
      <c r="A63" s="3807">
        <v>10</v>
      </c>
      <c r="B63" s="1068" t="s">
        <v>1010</v>
      </c>
      <c r="C63" s="3786"/>
      <c r="D63" s="3786"/>
      <c r="E63" s="3786"/>
      <c r="F63" s="3786"/>
      <c r="G63" s="3786"/>
      <c r="H63" s="3786"/>
      <c r="I63" s="3786"/>
      <c r="J63" s="3786"/>
      <c r="K63" s="3786"/>
      <c r="L63" s="1115"/>
      <c r="N63" s="1120"/>
      <c r="O63" s="1120"/>
      <c r="P63" s="1120"/>
      <c r="Q63" s="1120"/>
      <c r="R63" s="1120"/>
      <c r="S63" s="1120"/>
    </row>
    <row r="64" spans="1:22" ht="39.6">
      <c r="A64" s="3807"/>
      <c r="B64" s="1093" t="s">
        <v>1011</v>
      </c>
      <c r="C64" s="1072">
        <f>I7</f>
        <v>0</v>
      </c>
      <c r="D64" s="1053"/>
      <c r="E64" s="1053"/>
      <c r="F64" s="1071">
        <v>1</v>
      </c>
      <c r="G64" s="1080" t="s">
        <v>1012</v>
      </c>
      <c r="H64" s="1072">
        <f>ROUND(C64/F64,0)</f>
        <v>0</v>
      </c>
      <c r="I64" s="1071">
        <f>F64*10</f>
        <v>10</v>
      </c>
      <c r="J64" s="1071" t="s">
        <v>1013</v>
      </c>
      <c r="K64" s="1114">
        <v>1200</v>
      </c>
      <c r="L64" s="1115">
        <f>I64*K64*H64</f>
        <v>0</v>
      </c>
      <c r="N64" s="1120">
        <f t="shared" ref="N64:R67" si="6">$L64/5</f>
        <v>0</v>
      </c>
      <c r="O64" s="1120">
        <f t="shared" si="6"/>
        <v>0</v>
      </c>
      <c r="P64" s="1120">
        <f t="shared" si="6"/>
        <v>0</v>
      </c>
      <c r="Q64" s="1120">
        <f t="shared" si="6"/>
        <v>0</v>
      </c>
      <c r="R64" s="1120">
        <f t="shared" si="6"/>
        <v>0</v>
      </c>
      <c r="S64" s="1120"/>
      <c r="V64" s="1093"/>
    </row>
    <row r="65" spans="1:22" ht="30.6">
      <c r="A65" s="3807"/>
      <c r="B65" s="1093" t="s">
        <v>1014</v>
      </c>
      <c r="C65" s="1072">
        <f>I8</f>
        <v>0</v>
      </c>
      <c r="D65" s="1053"/>
      <c r="E65" s="1053"/>
      <c r="F65" s="1071">
        <v>1</v>
      </c>
      <c r="G65" s="1080" t="s">
        <v>1012</v>
      </c>
      <c r="H65" s="1072">
        <f>ROUND(C65/F65,0)</f>
        <v>0</v>
      </c>
      <c r="I65" s="1071">
        <f>F65*10</f>
        <v>10</v>
      </c>
      <c r="J65" s="1074" t="s">
        <v>1015</v>
      </c>
      <c r="K65" s="1114">
        <v>2000</v>
      </c>
      <c r="L65" s="1115">
        <f>I65*K65*H65</f>
        <v>0</v>
      </c>
      <c r="N65" s="1120">
        <f t="shared" si="6"/>
        <v>0</v>
      </c>
      <c r="O65" s="1120">
        <f t="shared" si="6"/>
        <v>0</v>
      </c>
      <c r="P65" s="1120">
        <f t="shared" si="6"/>
        <v>0</v>
      </c>
      <c r="Q65" s="1120">
        <f t="shared" si="6"/>
        <v>0</v>
      </c>
      <c r="R65" s="1120">
        <f t="shared" si="6"/>
        <v>0</v>
      </c>
      <c r="S65" s="1120"/>
      <c r="V65" s="1093"/>
    </row>
    <row r="66" spans="1:22" ht="33.75" customHeight="1">
      <c r="A66" s="3807"/>
      <c r="B66" s="1093" t="s">
        <v>1016</v>
      </c>
      <c r="C66" s="1069">
        <f>I6</f>
        <v>0</v>
      </c>
      <c r="D66" s="1071"/>
      <c r="E66" s="1071"/>
      <c r="F66" s="1071">
        <v>1</v>
      </c>
      <c r="G66" s="1080" t="s">
        <v>1012</v>
      </c>
      <c r="H66" s="1069"/>
      <c r="I66" s="1071">
        <f>C66*F66*10</f>
        <v>0</v>
      </c>
      <c r="J66" s="1071" t="s">
        <v>1017</v>
      </c>
      <c r="K66" s="1114">
        <v>60</v>
      </c>
      <c r="L66" s="1115">
        <f>I66*K66</f>
        <v>0</v>
      </c>
      <c r="N66" s="1120">
        <f t="shared" si="6"/>
        <v>0</v>
      </c>
      <c r="O66" s="1120">
        <f t="shared" si="6"/>
        <v>0</v>
      </c>
      <c r="P66" s="1120">
        <f t="shared" si="6"/>
        <v>0</v>
      </c>
      <c r="Q66" s="1120">
        <f t="shared" si="6"/>
        <v>0</v>
      </c>
      <c r="R66" s="1120">
        <f t="shared" si="6"/>
        <v>0</v>
      </c>
      <c r="S66" s="1120"/>
    </row>
    <row r="67" spans="1:22" ht="26.4">
      <c r="A67" s="3807"/>
      <c r="B67" s="1093" t="s">
        <v>1018</v>
      </c>
      <c r="C67" s="1071">
        <f>C64+C65</f>
        <v>0</v>
      </c>
      <c r="D67" s="1074">
        <v>5.5</v>
      </c>
      <c r="E67" s="1074">
        <v>2</v>
      </c>
      <c r="F67" s="1074">
        <v>1</v>
      </c>
      <c r="G67" s="1080" t="s">
        <v>1009</v>
      </c>
      <c r="H67" s="1069"/>
      <c r="I67" s="1071">
        <f>C67*D67*E67*F67*5</f>
        <v>0</v>
      </c>
      <c r="J67" s="1071" t="s">
        <v>913</v>
      </c>
      <c r="K67" s="1114">
        <v>25</v>
      </c>
      <c r="L67" s="1115">
        <f>I67*K67</f>
        <v>0</v>
      </c>
      <c r="N67" s="1120">
        <f t="shared" si="6"/>
        <v>0</v>
      </c>
      <c r="O67" s="1120">
        <f t="shared" si="6"/>
        <v>0</v>
      </c>
      <c r="P67" s="1120">
        <f t="shared" si="6"/>
        <v>0</v>
      </c>
      <c r="Q67" s="1120">
        <f t="shared" si="6"/>
        <v>0</v>
      </c>
      <c r="R67" s="1120">
        <f t="shared" si="6"/>
        <v>0</v>
      </c>
      <c r="S67" s="1120"/>
    </row>
    <row r="68" spans="1:22" ht="13.5" customHeight="1">
      <c r="A68" s="3772" t="s">
        <v>986</v>
      </c>
      <c r="B68" s="3772"/>
      <c r="C68" s="3789"/>
      <c r="D68" s="3789"/>
      <c r="E68" s="3789"/>
      <c r="F68" s="1092"/>
      <c r="G68" s="3790" t="s">
        <v>1019</v>
      </c>
      <c r="H68" s="3790"/>
      <c r="I68" s="3790"/>
      <c r="J68" s="3790"/>
      <c r="K68" s="3790"/>
      <c r="L68" s="1126">
        <f>SUM(L64:L67)</f>
        <v>0</v>
      </c>
      <c r="N68" s="1120"/>
      <c r="O68" s="1120"/>
      <c r="P68" s="1120"/>
      <c r="Q68" s="1120"/>
      <c r="R68" s="1120"/>
      <c r="S68" s="1119">
        <f>SUM(N64:R67)</f>
        <v>0</v>
      </c>
    </row>
    <row r="69" spans="1:22" ht="28.8">
      <c r="A69" s="3807">
        <v>11</v>
      </c>
      <c r="B69" s="1068" t="s">
        <v>1020</v>
      </c>
      <c r="C69" s="3800">
        <v>1</v>
      </c>
      <c r="D69" s="3800"/>
      <c r="E69" s="3800"/>
      <c r="F69" s="3800"/>
      <c r="G69" s="3793"/>
      <c r="H69" s="3797" t="s">
        <v>1021</v>
      </c>
      <c r="I69" s="3798">
        <f>C69*2</f>
        <v>2</v>
      </c>
      <c r="J69" s="3786" t="s">
        <v>606</v>
      </c>
      <c r="K69" s="3799">
        <v>1000</v>
      </c>
      <c r="L69" s="3801">
        <f>I69*K69</f>
        <v>2000</v>
      </c>
      <c r="N69" s="1120"/>
      <c r="O69" s="1120"/>
      <c r="P69" s="1120"/>
      <c r="Q69" s="1120"/>
      <c r="R69" s="1120"/>
      <c r="S69" s="1120"/>
    </row>
    <row r="70" spans="1:22" ht="21.75" customHeight="1">
      <c r="A70" s="3807"/>
      <c r="B70" s="1136" t="s">
        <v>560</v>
      </c>
      <c r="C70" s="3800"/>
      <c r="D70" s="3800"/>
      <c r="E70" s="3800"/>
      <c r="F70" s="3800"/>
      <c r="G70" s="3793"/>
      <c r="H70" s="3797"/>
      <c r="I70" s="3798"/>
      <c r="J70" s="3786"/>
      <c r="K70" s="3799"/>
      <c r="L70" s="3802"/>
      <c r="N70" s="1120"/>
      <c r="O70" s="1120"/>
      <c r="P70" s="1120"/>
      <c r="Q70" s="1120"/>
      <c r="R70" s="1120"/>
      <c r="S70" s="1120"/>
    </row>
    <row r="71" spans="1:22" ht="13.2">
      <c r="A71" s="3807"/>
      <c r="B71" s="1136"/>
      <c r="C71" s="3800"/>
      <c r="D71" s="3800"/>
      <c r="E71" s="3800"/>
      <c r="F71" s="3800"/>
      <c r="G71" s="3793"/>
      <c r="H71" s="3797"/>
      <c r="I71" s="3798"/>
      <c r="J71" s="3786"/>
      <c r="K71" s="3799"/>
      <c r="L71" s="3802"/>
      <c r="N71" s="1120"/>
      <c r="O71" s="1120"/>
      <c r="P71" s="1120"/>
      <c r="Q71" s="1120"/>
      <c r="R71" s="1120"/>
      <c r="S71" s="1120"/>
    </row>
    <row r="72" spans="1:22" ht="13.5" hidden="1" customHeight="1">
      <c r="A72" s="3807"/>
      <c r="B72" s="1070"/>
      <c r="C72" s="3800"/>
      <c r="D72" s="3800"/>
      <c r="E72" s="3800"/>
      <c r="F72" s="3800"/>
      <c r="G72" s="3793"/>
      <c r="H72" s="3797"/>
      <c r="I72" s="3798"/>
      <c r="J72" s="3786"/>
      <c r="K72" s="3799"/>
      <c r="L72" s="3802"/>
      <c r="N72" s="1120"/>
      <c r="O72" s="1120"/>
      <c r="P72" s="1120"/>
      <c r="Q72" s="1120"/>
      <c r="R72" s="1120"/>
      <c r="S72" s="1120"/>
    </row>
    <row r="73" spans="1:22" ht="14.25" hidden="1" customHeight="1">
      <c r="A73" s="3807"/>
      <c r="B73" s="1070"/>
      <c r="C73" s="3800"/>
      <c r="D73" s="3800"/>
      <c r="E73" s="3800"/>
      <c r="F73" s="3800"/>
      <c r="G73" s="3793"/>
      <c r="H73" s="3797"/>
      <c r="I73" s="3798"/>
      <c r="J73" s="3786"/>
      <c r="K73" s="3799"/>
      <c r="L73" s="3802"/>
      <c r="N73" s="1120"/>
      <c r="O73" s="1120"/>
      <c r="P73" s="1120"/>
      <c r="Q73" s="1120"/>
      <c r="R73" s="1120"/>
      <c r="S73" s="1120"/>
    </row>
    <row r="74" spans="1:22">
      <c r="A74" s="3807"/>
      <c r="B74" s="1070"/>
      <c r="C74" s="3800"/>
      <c r="D74" s="3800"/>
      <c r="E74" s="3800"/>
      <c r="F74" s="3800"/>
      <c r="G74" s="3793"/>
      <c r="H74" s="3797"/>
      <c r="I74" s="3798"/>
      <c r="J74" s="3786"/>
      <c r="K74" s="3799">
        <v>1096.0150000000001</v>
      </c>
      <c r="L74" s="3803"/>
      <c r="N74" s="1120"/>
      <c r="O74" s="1120">
        <f>$L$75/2</f>
        <v>1000</v>
      </c>
      <c r="P74" s="1120"/>
      <c r="Q74" s="1120">
        <f>$L$75/2</f>
        <v>1000</v>
      </c>
      <c r="R74" s="1120"/>
      <c r="S74" s="1120"/>
    </row>
    <row r="75" spans="1:22" ht="13.5" customHeight="1">
      <c r="A75" s="3772" t="s">
        <v>986</v>
      </c>
      <c r="B75" s="3772"/>
      <c r="C75" s="3789"/>
      <c r="D75" s="3789"/>
      <c r="E75" s="3789"/>
      <c r="F75" s="3789"/>
      <c r="G75" s="3789"/>
      <c r="H75" s="3789"/>
      <c r="I75" s="3789"/>
      <c r="J75" s="3789"/>
      <c r="K75" s="3789"/>
      <c r="L75" s="1126">
        <f>SUM(L69)</f>
        <v>2000</v>
      </c>
      <c r="N75" s="1120"/>
      <c r="O75" s="1120"/>
      <c r="P75" s="1120"/>
      <c r="Q75" s="1120"/>
      <c r="R75" s="1120"/>
      <c r="S75" s="1119">
        <f>SUM(N70:R74)</f>
        <v>2000</v>
      </c>
    </row>
    <row r="76" spans="1:22" ht="13.5" customHeight="1">
      <c r="A76" s="3807">
        <v>12</v>
      </c>
      <c r="B76" s="1068" t="s">
        <v>1022</v>
      </c>
      <c r="C76" s="3786"/>
      <c r="D76" s="3786"/>
      <c r="E76" s="3786"/>
      <c r="F76" s="3786"/>
      <c r="G76" s="3786"/>
      <c r="H76" s="3786"/>
      <c r="I76" s="3786"/>
      <c r="J76" s="3786"/>
      <c r="K76" s="3786"/>
      <c r="L76" s="3786"/>
      <c r="N76" s="1120"/>
      <c r="O76" s="1120"/>
      <c r="P76" s="1120"/>
      <c r="Q76" s="1120"/>
      <c r="R76" s="1120"/>
      <c r="S76" s="1120"/>
    </row>
    <row r="77" spans="1:22" ht="34.200000000000003">
      <c r="A77" s="3807"/>
      <c r="B77" s="1093" t="s">
        <v>1023</v>
      </c>
      <c r="C77" s="3795">
        <f>$I$9</f>
        <v>0</v>
      </c>
      <c r="D77" s="3794"/>
      <c r="E77" s="3794"/>
      <c r="F77" s="1071">
        <v>0.2</v>
      </c>
      <c r="G77" s="1137" t="s">
        <v>1005</v>
      </c>
      <c r="H77" s="1138"/>
      <c r="I77" s="1074">
        <f>C77*F77*5</f>
        <v>0</v>
      </c>
      <c r="J77" s="1071" t="s">
        <v>241</v>
      </c>
      <c r="K77" s="1139">
        <v>0</v>
      </c>
      <c r="L77" s="1127">
        <f>I77*K77</f>
        <v>0</v>
      </c>
      <c r="N77" s="1120">
        <f t="shared" ref="N77:R78" si="7">$L77/5</f>
        <v>0</v>
      </c>
      <c r="O77" s="1120">
        <f t="shared" si="7"/>
        <v>0</v>
      </c>
      <c r="P77" s="1120">
        <f t="shared" si="7"/>
        <v>0</v>
      </c>
      <c r="Q77" s="1120">
        <f t="shared" si="7"/>
        <v>0</v>
      </c>
      <c r="R77" s="1120">
        <f t="shared" si="7"/>
        <v>0</v>
      </c>
      <c r="S77" s="1120"/>
    </row>
    <row r="78" spans="1:22" ht="48.6" customHeight="1">
      <c r="A78" s="3807"/>
      <c r="B78" s="1093" t="s">
        <v>1024</v>
      </c>
      <c r="C78" s="3795">
        <f>$I$9</f>
        <v>0</v>
      </c>
      <c r="D78" s="3794"/>
      <c r="E78" s="3794"/>
      <c r="F78" s="1071">
        <v>0.2</v>
      </c>
      <c r="G78" s="1137" t="s">
        <v>1012</v>
      </c>
      <c r="H78" s="1138"/>
      <c r="I78" s="1074">
        <f>C78*F78*10</f>
        <v>0</v>
      </c>
      <c r="J78" s="1071" t="s">
        <v>241</v>
      </c>
      <c r="K78" s="1139">
        <v>0</v>
      </c>
      <c r="L78" s="1127">
        <f>I78*K78</f>
        <v>0</v>
      </c>
      <c r="N78" s="1120">
        <f t="shared" si="7"/>
        <v>0</v>
      </c>
      <c r="O78" s="1120">
        <f t="shared" si="7"/>
        <v>0</v>
      </c>
      <c r="P78" s="1120">
        <f t="shared" si="7"/>
        <v>0</v>
      </c>
      <c r="Q78" s="1120">
        <f t="shared" si="7"/>
        <v>0</v>
      </c>
      <c r="R78" s="1120">
        <f t="shared" si="7"/>
        <v>0</v>
      </c>
      <c r="S78" s="1120"/>
    </row>
    <row r="79" spans="1:22" ht="13.5" customHeight="1">
      <c r="A79" s="3772" t="s">
        <v>986</v>
      </c>
      <c r="B79" s="3772"/>
      <c r="C79" s="3796"/>
      <c r="D79" s="3796"/>
      <c r="E79" s="3796"/>
      <c r="F79" s="3796"/>
      <c r="G79" s="3796"/>
      <c r="H79" s="3796"/>
      <c r="I79" s="3796"/>
      <c r="J79" s="3796"/>
      <c r="K79" s="3796"/>
      <c r="L79" s="1126">
        <f>SUM(L77:L78)</f>
        <v>0</v>
      </c>
      <c r="N79" s="1120"/>
      <c r="O79" s="1120"/>
      <c r="P79" s="1120"/>
      <c r="Q79" s="1120"/>
      <c r="R79" s="1120"/>
      <c r="S79" s="1119">
        <f>SUM(N77:R78)</f>
        <v>0</v>
      </c>
    </row>
    <row r="80" spans="1:22" s="1045" customFormat="1" ht="21.75" customHeight="1">
      <c r="A80" s="3805" t="s">
        <v>1025</v>
      </c>
      <c r="B80" s="3805"/>
      <c r="C80" s="3806"/>
      <c r="D80" s="3806"/>
      <c r="E80" s="3806"/>
      <c r="F80" s="3806"/>
      <c r="G80" s="3806"/>
      <c r="H80" s="3806"/>
      <c r="I80" s="3806"/>
      <c r="J80" s="3806"/>
      <c r="K80" s="3806"/>
      <c r="L80" s="1140">
        <f>ROUND(L79+L75+L68+L62+L60+L56+L54+L52+L50+L48+L32+L25,0)</f>
        <v>708981</v>
      </c>
      <c r="N80" s="1141">
        <f t="shared" ref="N80:S80" si="8">SUM(N16:N79)</f>
        <v>91102.206697526242</v>
      </c>
      <c r="O80" s="1141">
        <f t="shared" si="8"/>
        <v>114512.32075665373</v>
      </c>
      <c r="P80" s="1141">
        <f t="shared" si="8"/>
        <v>142764.54949552994</v>
      </c>
      <c r="Q80" s="1141">
        <f t="shared" si="8"/>
        <v>168455.37120803291</v>
      </c>
      <c r="R80" s="1141">
        <f t="shared" si="8"/>
        <v>192146.19292053589</v>
      </c>
      <c r="S80" s="1141">
        <f t="shared" si="8"/>
        <v>708980.64107827877</v>
      </c>
    </row>
    <row r="81" spans="14:19">
      <c r="N81" s="1142"/>
      <c r="O81" s="1142"/>
      <c r="P81" s="1142"/>
      <c r="Q81" s="1142"/>
      <c r="R81" s="1142"/>
      <c r="S81" s="1142"/>
    </row>
  </sheetData>
  <sheetProtection password="CA5F" sheet="1" objects="1" scenarios="1"/>
  <protectedRanges>
    <protectedRange sqref="K3:K4" name="Range6"/>
    <protectedRange sqref="Q9:Q11" name="Range5"/>
    <protectedRange sqref="Q4:Q6" name="Range4"/>
    <protectedRange sqref="I9" name="Range3"/>
    <protectedRange sqref="I6" name="Range2"/>
    <protectedRange sqref="C3:C9" name="Range1"/>
  </protectedRanges>
  <mergeCells count="83">
    <mergeCell ref="L69:L74"/>
    <mergeCell ref="R2:R3"/>
    <mergeCell ref="C33:L34"/>
    <mergeCell ref="D69:F74"/>
    <mergeCell ref="A80:B80"/>
    <mergeCell ref="C80:K80"/>
    <mergeCell ref="A11:A12"/>
    <mergeCell ref="A14:A24"/>
    <mergeCell ref="A26:A31"/>
    <mergeCell ref="A33:A46"/>
    <mergeCell ref="A57:A59"/>
    <mergeCell ref="A63:A67"/>
    <mergeCell ref="A69:A74"/>
    <mergeCell ref="A76:A78"/>
    <mergeCell ref="B11:B12"/>
    <mergeCell ref="C11:C12"/>
    <mergeCell ref="C77:E77"/>
    <mergeCell ref="C78:E78"/>
    <mergeCell ref="A79:B79"/>
    <mergeCell ref="C79:K79"/>
    <mergeCell ref="A68:B68"/>
    <mergeCell ref="C68:E68"/>
    <mergeCell ref="G68:K68"/>
    <mergeCell ref="A75:B75"/>
    <mergeCell ref="C75:K75"/>
    <mergeCell ref="G69:G74"/>
    <mergeCell ref="H69:H74"/>
    <mergeCell ref="I69:I74"/>
    <mergeCell ref="J69:J74"/>
    <mergeCell ref="K69:K74"/>
    <mergeCell ref="C69:C74"/>
    <mergeCell ref="C76:L76"/>
    <mergeCell ref="A62:B62"/>
    <mergeCell ref="C62:E62"/>
    <mergeCell ref="G62:K62"/>
    <mergeCell ref="C63:K63"/>
    <mergeCell ref="A56:B56"/>
    <mergeCell ref="C56:K56"/>
    <mergeCell ref="C58:E58"/>
    <mergeCell ref="C59:E59"/>
    <mergeCell ref="A60:B60"/>
    <mergeCell ref="C60:K60"/>
    <mergeCell ref="G57:G59"/>
    <mergeCell ref="C61:E61"/>
    <mergeCell ref="A50:B50"/>
    <mergeCell ref="C50:K50"/>
    <mergeCell ref="A52:B52"/>
    <mergeCell ref="C52:K52"/>
    <mergeCell ref="A54:B54"/>
    <mergeCell ref="C54:K54"/>
    <mergeCell ref="A48:B48"/>
    <mergeCell ref="C48:K48"/>
    <mergeCell ref="A25:B25"/>
    <mergeCell ref="C25:K25"/>
    <mergeCell ref="C26:L26"/>
    <mergeCell ref="A32:B32"/>
    <mergeCell ref="C32:K32"/>
    <mergeCell ref="C40:K40"/>
    <mergeCell ref="C41:L41"/>
    <mergeCell ref="C47:K47"/>
    <mergeCell ref="N11:P11"/>
    <mergeCell ref="C14:E14"/>
    <mergeCell ref="N14:S14"/>
    <mergeCell ref="C21:E21"/>
    <mergeCell ref="G11:G12"/>
    <mergeCell ref="H11:H12"/>
    <mergeCell ref="I11:I12"/>
    <mergeCell ref="J11:J12"/>
    <mergeCell ref="D11:D12"/>
    <mergeCell ref="E11:E12"/>
    <mergeCell ref="F11:F12"/>
    <mergeCell ref="K11:L11"/>
    <mergeCell ref="F7:H7"/>
    <mergeCell ref="F8:H8"/>
    <mergeCell ref="F9:H9"/>
    <mergeCell ref="N9:P9"/>
    <mergeCell ref="B10:L10"/>
    <mergeCell ref="N10:P10"/>
    <mergeCell ref="A1:L1"/>
    <mergeCell ref="A2:L2"/>
    <mergeCell ref="H4:J4"/>
    <mergeCell ref="G5:H5"/>
    <mergeCell ref="F6:H6"/>
  </mergeCells>
  <pageMargins left="0.70866141732283505" right="0.70866141732283505" top="0.74803149606299202" bottom="0.74803149606299202" header="0.31496062992126" footer="0.31496062992126"/>
  <pageSetup paperSize="9" scale="64" orientation="landscape" r:id="rId1"/>
  <headerFooter>
    <oddHeader>&amp;CPage &amp;P of &amp;N</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4"/>
  <sheetViews>
    <sheetView topLeftCell="A282" workbookViewId="0">
      <selection activeCell="E304" sqref="E304"/>
    </sheetView>
  </sheetViews>
  <sheetFormatPr defaultColWidth="9.109375" defaultRowHeight="13.2"/>
  <cols>
    <col min="1" max="1" width="7.5546875" style="89" customWidth="1"/>
    <col min="2" max="2" width="12.88671875" style="89" customWidth="1"/>
    <col min="3" max="3" width="8.109375" style="89" customWidth="1"/>
    <col min="4" max="4" width="43.6640625" style="89" customWidth="1"/>
    <col min="5" max="5" width="12.88671875" style="89" customWidth="1"/>
    <col min="6" max="6" width="11.5546875" style="89" customWidth="1"/>
    <col min="7" max="7" width="15.6640625" style="89" customWidth="1"/>
    <col min="8" max="8" width="23.33203125" style="89" customWidth="1"/>
    <col min="9" max="9" width="17.109375" style="89" customWidth="1"/>
    <col min="10" max="10" width="16" style="89" customWidth="1"/>
    <col min="11" max="11" width="9" style="89" customWidth="1"/>
    <col min="12" max="12" width="11.88671875" style="89" customWidth="1"/>
    <col min="13" max="13" width="14.44140625" style="89" customWidth="1"/>
    <col min="14" max="14" width="13.88671875" style="89" customWidth="1"/>
    <col min="15" max="15" width="9.109375" style="89"/>
    <col min="16" max="16" width="7.5546875" style="89" customWidth="1"/>
    <col min="17" max="16384" width="9.109375" style="89"/>
  </cols>
  <sheetData>
    <row r="1" spans="1:16" s="832" customFormat="1" ht="22.5" customHeight="1">
      <c r="A1" s="3808" t="s">
        <v>1087</v>
      </c>
      <c r="B1" s="3808"/>
      <c r="C1" s="3808"/>
      <c r="D1" s="3808"/>
      <c r="E1" s="3808"/>
      <c r="F1" s="3808"/>
      <c r="G1" s="3808"/>
      <c r="H1" s="842"/>
    </row>
    <row r="2" spans="1:16" s="833" customFormat="1" ht="17.25" customHeight="1">
      <c r="A2" s="843"/>
      <c r="B2" s="843"/>
      <c r="C2" s="843"/>
      <c r="D2" s="844" t="s">
        <v>1088</v>
      </c>
      <c r="E2" s="845"/>
      <c r="F2" s="843"/>
      <c r="G2" s="846"/>
      <c r="H2" s="847"/>
    </row>
    <row r="3" spans="1:16" s="834" customFormat="1" ht="18" customHeight="1">
      <c r="A3" s="848">
        <v>17</v>
      </c>
      <c r="B3" s="3809" t="s">
        <v>1089</v>
      </c>
      <c r="C3" s="3809"/>
      <c r="D3" s="849" t="s">
        <v>1090</v>
      </c>
      <c r="E3" s="850"/>
      <c r="F3" s="851"/>
      <c r="G3" s="852"/>
      <c r="H3" s="853"/>
      <c r="I3" s="898"/>
    </row>
    <row r="4" spans="1:16" s="834" customFormat="1" ht="34.200000000000003" customHeight="1">
      <c r="A4" s="848"/>
      <c r="B4" s="854" t="s">
        <v>1091</v>
      </c>
      <c r="C4" s="3810" t="s">
        <v>1092</v>
      </c>
      <c r="D4" s="3810"/>
      <c r="E4" s="3810"/>
      <c r="F4" s="3810"/>
      <c r="G4" s="3810"/>
      <c r="H4" s="855"/>
      <c r="I4" s="898"/>
    </row>
    <row r="5" spans="1:16" s="835" customFormat="1" ht="12.6">
      <c r="A5" s="856"/>
      <c r="B5" s="857"/>
      <c r="C5" s="858"/>
      <c r="D5" s="859" t="s">
        <v>1093</v>
      </c>
      <c r="E5" s="850"/>
      <c r="F5" s="860"/>
      <c r="G5" s="861"/>
      <c r="H5" s="862"/>
      <c r="I5" s="899"/>
    </row>
    <row r="6" spans="1:16" s="835" customFormat="1" ht="20.100000000000001" customHeight="1">
      <c r="A6" s="856"/>
      <c r="B6" s="857"/>
      <c r="C6" s="3811" t="s">
        <v>1094</v>
      </c>
      <c r="D6" s="3811"/>
      <c r="E6" s="3811"/>
      <c r="F6" s="3811"/>
      <c r="G6" s="3811"/>
      <c r="H6" s="863"/>
      <c r="I6" s="899"/>
    </row>
    <row r="7" spans="1:16" s="835" customFormat="1" ht="20.100000000000001" customHeight="1">
      <c r="A7" s="856"/>
      <c r="B7" s="857"/>
      <c r="C7" s="858"/>
      <c r="D7" s="859" t="s">
        <v>1095</v>
      </c>
      <c r="E7" s="850"/>
      <c r="F7" s="860"/>
      <c r="G7" s="861"/>
      <c r="H7" s="3812" t="s">
        <v>1096</v>
      </c>
      <c r="I7" s="3812"/>
      <c r="J7" s="3812"/>
      <c r="K7" s="3812"/>
      <c r="L7" s="3813" t="s">
        <v>1097</v>
      </c>
      <c r="M7" s="3813"/>
      <c r="N7" s="3813"/>
      <c r="O7" s="3813"/>
    </row>
    <row r="8" spans="1:16" s="834" customFormat="1" ht="12.6">
      <c r="A8" s="848"/>
      <c r="B8" s="854" t="s">
        <v>1098</v>
      </c>
      <c r="C8" s="3814" t="s">
        <v>1099</v>
      </c>
      <c r="D8" s="3814"/>
      <c r="E8" s="3814"/>
      <c r="F8" s="3814"/>
      <c r="G8" s="3814"/>
      <c r="H8" s="864"/>
      <c r="I8" s="898"/>
    </row>
    <row r="9" spans="1:16" s="835" customFormat="1" ht="20.100000000000001" customHeight="1">
      <c r="A9" s="856"/>
      <c r="B9" s="860">
        <v>18.75</v>
      </c>
      <c r="C9" s="850" t="s">
        <v>31</v>
      </c>
      <c r="D9" s="859" t="s">
        <v>1100</v>
      </c>
      <c r="E9" s="850"/>
      <c r="F9" s="856" t="s">
        <v>31</v>
      </c>
      <c r="G9" s="865">
        <f t="shared" ref="G9" si="0">ROUND(B9*E9,2)</f>
        <v>0</v>
      </c>
      <c r="H9" s="866"/>
      <c r="I9" s="900">
        <f>ROUND(B9*G9,2)</f>
        <v>0</v>
      </c>
    </row>
    <row r="10" spans="1:16" s="835" customFormat="1" ht="46.5" customHeight="1">
      <c r="A10" s="856"/>
      <c r="B10" s="857"/>
      <c r="C10" s="858"/>
      <c r="D10" s="859" t="s">
        <v>1101</v>
      </c>
      <c r="E10" s="867">
        <v>0.5</v>
      </c>
      <c r="F10" s="856"/>
      <c r="G10" s="868">
        <f>ROUND(G9*E10,0)</f>
        <v>0</v>
      </c>
      <c r="H10" s="869"/>
      <c r="I10" s="900">
        <f>ROUND(I9*50%,2)</f>
        <v>0</v>
      </c>
      <c r="P10" s="835">
        <f>187.5*0.1</f>
        <v>18.75</v>
      </c>
    </row>
    <row r="11" spans="1:16" s="835" customFormat="1" ht="20.100000000000001" customHeight="1">
      <c r="A11" s="856"/>
      <c r="B11" s="857"/>
      <c r="C11" s="858"/>
      <c r="D11" s="859" t="s">
        <v>1102</v>
      </c>
      <c r="E11" s="850"/>
      <c r="F11" s="860"/>
      <c r="G11" s="861">
        <f>SUM(G9:G10)</f>
        <v>0</v>
      </c>
      <c r="H11" s="870"/>
      <c r="I11" s="900">
        <f>SUM(I9:I10)</f>
        <v>0</v>
      </c>
    </row>
    <row r="12" spans="1:16" s="835" customFormat="1" ht="20.100000000000001" customHeight="1">
      <c r="A12" s="856"/>
      <c r="B12" s="857"/>
      <c r="C12" s="858"/>
      <c r="D12" s="3815" t="s">
        <v>1103</v>
      </c>
      <c r="E12" s="3815"/>
      <c r="F12" s="860"/>
      <c r="G12" s="868">
        <f>G11/187.5</f>
        <v>0</v>
      </c>
      <c r="H12" s="869"/>
      <c r="I12" s="900">
        <f>ROUND(I11/187.5,2)</f>
        <v>0</v>
      </c>
      <c r="J12" s="835" t="s">
        <v>1104</v>
      </c>
    </row>
    <row r="13" spans="1:16" s="834" customFormat="1" ht="23.25" customHeight="1">
      <c r="A13" s="848"/>
      <c r="B13" s="854" t="s">
        <v>558</v>
      </c>
      <c r="C13" s="3814" t="s">
        <v>1105</v>
      </c>
      <c r="D13" s="3814"/>
      <c r="E13" s="3814"/>
      <c r="F13" s="3814"/>
      <c r="G13" s="3814"/>
      <c r="H13" s="864"/>
      <c r="I13" s="898"/>
    </row>
    <row r="14" spans="1:16" s="835" customFormat="1" ht="20.100000000000001" customHeight="1">
      <c r="A14" s="856"/>
      <c r="B14" s="860">
        <v>18.75</v>
      </c>
      <c r="C14" s="850" t="s">
        <v>31</v>
      </c>
      <c r="D14" s="859" t="s">
        <v>1100</v>
      </c>
      <c r="E14" s="850">
        <f>'Road data'!G362</f>
        <v>2702.52</v>
      </c>
      <c r="F14" s="856" t="s">
        <v>31</v>
      </c>
      <c r="G14" s="865">
        <f t="shared" ref="G14" si="1">B14*E14</f>
        <v>50672.25</v>
      </c>
      <c r="H14" s="866"/>
      <c r="I14" s="900">
        <f>ROUND(B14*G14,2)</f>
        <v>950104.69</v>
      </c>
    </row>
    <row r="15" spans="1:16" s="835" customFormat="1" ht="47.25" customHeight="1">
      <c r="A15" s="856"/>
      <c r="B15" s="857"/>
      <c r="C15" s="858"/>
      <c r="D15" s="859" t="s">
        <v>1101</v>
      </c>
      <c r="E15" s="867">
        <v>0.5</v>
      </c>
      <c r="F15" s="856"/>
      <c r="G15" s="868">
        <f>G14*E15</f>
        <v>25336.125</v>
      </c>
      <c r="H15" s="869"/>
      <c r="I15" s="900">
        <f>ROUND(I14*50%,2)</f>
        <v>475052.35</v>
      </c>
      <c r="P15" s="835">
        <f>187.5*0.1</f>
        <v>18.75</v>
      </c>
    </row>
    <row r="16" spans="1:16" s="835" customFormat="1" ht="20.100000000000001" customHeight="1">
      <c r="A16" s="856"/>
      <c r="B16" s="857"/>
      <c r="C16" s="858"/>
      <c r="D16" s="859" t="s">
        <v>1102</v>
      </c>
      <c r="E16" s="850"/>
      <c r="F16" s="860"/>
      <c r="G16" s="861">
        <f>SUM(G14:G15)</f>
        <v>76008.375</v>
      </c>
      <c r="H16" s="870"/>
      <c r="I16" s="900">
        <f>SUM(I14:I15)</f>
        <v>1425157.04</v>
      </c>
    </row>
    <row r="17" spans="1:16" s="835" customFormat="1" ht="20.100000000000001" customHeight="1">
      <c r="A17" s="856"/>
      <c r="B17" s="857"/>
      <c r="C17" s="858"/>
      <c r="D17" s="3815" t="s">
        <v>1103</v>
      </c>
      <c r="E17" s="3815"/>
      <c r="F17" s="860"/>
      <c r="G17" s="868">
        <f>G16/187.5</f>
        <v>405.37799999999999</v>
      </c>
      <c r="H17" s="869"/>
      <c r="I17" s="900">
        <f>ROUND(I16/187.5,2)</f>
        <v>7600.84</v>
      </c>
      <c r="J17" s="835" t="s">
        <v>1104</v>
      </c>
    </row>
    <row r="18" spans="1:16" s="834" customFormat="1" ht="21" customHeight="1">
      <c r="A18" s="848"/>
      <c r="B18" s="854" t="s">
        <v>1106</v>
      </c>
      <c r="C18" s="3814" t="s">
        <v>1107</v>
      </c>
      <c r="D18" s="3814"/>
      <c r="E18" s="3814"/>
      <c r="F18" s="3814"/>
      <c r="G18" s="3814"/>
      <c r="H18" s="864"/>
      <c r="I18" s="898"/>
    </row>
    <row r="19" spans="1:16" s="835" customFormat="1" ht="20.100000000000001" customHeight="1">
      <c r="A19" s="856"/>
      <c r="B19" s="860">
        <v>18.75</v>
      </c>
      <c r="C19" s="850" t="s">
        <v>31</v>
      </c>
      <c r="D19" s="859" t="s">
        <v>1100</v>
      </c>
      <c r="E19" s="850">
        <f>'Road data'!G398</f>
        <v>2888.47</v>
      </c>
      <c r="F19" s="856" t="s">
        <v>31</v>
      </c>
      <c r="G19" s="865">
        <f t="shared" ref="G19" si="2">B19*E19</f>
        <v>54158.812499999993</v>
      </c>
      <c r="H19" s="866"/>
      <c r="I19" s="900">
        <f>ROUND(B19*G19,2)</f>
        <v>1015477.73</v>
      </c>
    </row>
    <row r="20" spans="1:16" s="835" customFormat="1" ht="45" customHeight="1">
      <c r="A20" s="856"/>
      <c r="B20" s="857"/>
      <c r="C20" s="858"/>
      <c r="D20" s="859" t="s">
        <v>1101</v>
      </c>
      <c r="E20" s="867">
        <v>0.5</v>
      </c>
      <c r="F20" s="856"/>
      <c r="G20" s="868">
        <f>G19*E20</f>
        <v>27079.406249999996</v>
      </c>
      <c r="H20" s="869"/>
      <c r="I20" s="900">
        <f>ROUND(I19*50%,2)</f>
        <v>507738.87</v>
      </c>
      <c r="P20" s="835">
        <f>187.5*0.1</f>
        <v>18.75</v>
      </c>
    </row>
    <row r="21" spans="1:16" s="835" customFormat="1" ht="20.100000000000001" customHeight="1">
      <c r="A21" s="856"/>
      <c r="B21" s="857"/>
      <c r="C21" s="858"/>
      <c r="D21" s="859" t="s">
        <v>1102</v>
      </c>
      <c r="E21" s="850"/>
      <c r="F21" s="860"/>
      <c r="G21" s="861">
        <f>SUM(G19:G20)</f>
        <v>81238.218749999985</v>
      </c>
      <c r="H21" s="870"/>
      <c r="I21" s="900">
        <f>SUM(I19:I20)</f>
        <v>1523216.6</v>
      </c>
    </row>
    <row r="22" spans="1:16" s="835" customFormat="1" ht="20.100000000000001" customHeight="1">
      <c r="A22" s="856"/>
      <c r="B22" s="857"/>
      <c r="C22" s="858"/>
      <c r="D22" s="3815" t="s">
        <v>1103</v>
      </c>
      <c r="E22" s="3815"/>
      <c r="F22" s="860"/>
      <c r="G22" s="868">
        <f>G21/187.5</f>
        <v>433.27049999999991</v>
      </c>
      <c r="H22" s="869"/>
      <c r="I22" s="900">
        <f>ROUND(I21/187.5,2)</f>
        <v>8123.82</v>
      </c>
      <c r="J22" s="835" t="s">
        <v>1104</v>
      </c>
    </row>
    <row r="23" spans="1:16" s="833" customFormat="1" ht="12.6">
      <c r="A23" s="843"/>
      <c r="B23" s="843"/>
      <c r="C23" s="843"/>
      <c r="D23" s="871"/>
      <c r="E23" s="845"/>
      <c r="F23" s="843"/>
      <c r="G23" s="872"/>
      <c r="H23" s="873"/>
    </row>
    <row r="24" spans="1:16" s="836" customFormat="1" ht="44.25" customHeight="1">
      <c r="A24" s="3816" t="s">
        <v>1108</v>
      </c>
      <c r="B24" s="3816"/>
      <c r="C24" s="3816"/>
      <c r="D24" s="3817" t="s">
        <v>1109</v>
      </c>
      <c r="E24" s="3817"/>
      <c r="F24" s="3817"/>
      <c r="G24" s="3817"/>
      <c r="H24" s="875"/>
    </row>
    <row r="25" spans="1:16" s="836" customFormat="1" ht="60.75" customHeight="1">
      <c r="A25" s="874">
        <v>18</v>
      </c>
      <c r="B25" s="3818" t="s">
        <v>1110</v>
      </c>
      <c r="C25" s="3818"/>
      <c r="D25" s="3819" t="s">
        <v>1111</v>
      </c>
      <c r="E25" s="3820"/>
      <c r="F25" s="3820"/>
      <c r="G25" s="3821"/>
      <c r="H25" s="877"/>
    </row>
    <row r="26" spans="1:16" s="837" customFormat="1" ht="20.100000000000001" customHeight="1">
      <c r="A26" s="878"/>
      <c r="B26" s="878"/>
      <c r="C26" s="878"/>
      <c r="D26" s="879" t="s">
        <v>1112</v>
      </c>
      <c r="E26" s="880"/>
      <c r="F26" s="878"/>
      <c r="G26" s="881"/>
      <c r="H26" s="882"/>
    </row>
    <row r="27" spans="1:16" s="837" customFormat="1" ht="20.100000000000001" customHeight="1">
      <c r="A27" s="878"/>
      <c r="B27" s="878"/>
      <c r="C27" s="878"/>
      <c r="D27" s="879" t="s">
        <v>1113</v>
      </c>
      <c r="E27" s="880"/>
      <c r="F27" s="878"/>
      <c r="G27" s="881"/>
      <c r="H27" s="882"/>
    </row>
    <row r="28" spans="1:16" s="837" customFormat="1" ht="20.100000000000001" customHeight="1">
      <c r="A28" s="878"/>
      <c r="B28" s="878"/>
      <c r="C28" s="878"/>
      <c r="D28" s="883" t="s">
        <v>1114</v>
      </c>
      <c r="E28" s="880"/>
      <c r="F28" s="878"/>
      <c r="G28" s="881"/>
      <c r="H28" s="882"/>
    </row>
    <row r="29" spans="1:16" s="837" customFormat="1" ht="20.100000000000001" customHeight="1">
      <c r="A29" s="878"/>
      <c r="B29" s="884">
        <v>0</v>
      </c>
      <c r="C29" s="880" t="s">
        <v>38</v>
      </c>
      <c r="D29" s="879" t="s">
        <v>14</v>
      </c>
      <c r="E29" s="880"/>
      <c r="F29" s="880" t="s">
        <v>38</v>
      </c>
      <c r="G29" s="881">
        <f>ROUND(B29*E29,2)</f>
        <v>0</v>
      </c>
      <c r="H29" s="885"/>
    </row>
    <row r="30" spans="1:16" s="837" customFormat="1" ht="20.100000000000001" customHeight="1">
      <c r="A30" s="878"/>
      <c r="B30" s="884">
        <v>20.8</v>
      </c>
      <c r="C30" s="880" t="s">
        <v>38</v>
      </c>
      <c r="D30" s="879" t="s">
        <v>1115</v>
      </c>
      <c r="E30" s="880">
        <f>'SSR-rates'!I60</f>
        <v>520</v>
      </c>
      <c r="F30" s="880" t="s">
        <v>38</v>
      </c>
      <c r="G30" s="881">
        <f>ROUND(B30*E30,2)</f>
        <v>10816</v>
      </c>
      <c r="H30" s="885"/>
    </row>
    <row r="31" spans="1:16" s="837" customFormat="1" ht="20.100000000000001" customHeight="1">
      <c r="A31" s="878"/>
      <c r="B31" s="886">
        <f>'Input Data'!D23</f>
        <v>0</v>
      </c>
      <c r="C31" s="878"/>
      <c r="D31" s="887" t="s">
        <v>1116</v>
      </c>
      <c r="E31" s="880"/>
      <c r="F31" s="878"/>
      <c r="G31" s="881">
        <f>+ROUND((G30)*B31,2)</f>
        <v>0</v>
      </c>
      <c r="H31" s="888"/>
    </row>
    <row r="32" spans="1:16" s="837" customFormat="1" ht="12.6">
      <c r="A32" s="878"/>
      <c r="B32" s="880"/>
      <c r="C32" s="878"/>
      <c r="D32" s="887"/>
      <c r="E32" s="880"/>
      <c r="F32" s="878"/>
      <c r="G32" s="889">
        <f>SUM(G30:G31)</f>
        <v>10816</v>
      </c>
      <c r="H32" s="890"/>
    </row>
    <row r="33" spans="1:8" s="837" customFormat="1" ht="20.100000000000001" customHeight="1">
      <c r="A33" s="878"/>
      <c r="B33" s="884"/>
      <c r="C33" s="880"/>
      <c r="D33" s="883" t="s">
        <v>1117</v>
      </c>
      <c r="E33" s="880"/>
      <c r="F33" s="880"/>
      <c r="G33" s="881"/>
      <c r="H33" s="885"/>
    </row>
    <row r="34" spans="1:8" s="837" customFormat="1" ht="20.100000000000001" customHeight="1">
      <c r="A34" s="878"/>
      <c r="B34" s="884">
        <v>2</v>
      </c>
      <c r="C34" s="880" t="s">
        <v>23</v>
      </c>
      <c r="D34" s="879" t="s">
        <v>1118</v>
      </c>
      <c r="E34" s="880">
        <f>'SSR-rates'!I73</f>
        <v>668.6</v>
      </c>
      <c r="F34" s="880" t="s">
        <v>23</v>
      </c>
      <c r="G34" s="881">
        <f>ROUND(B34*E34,2)</f>
        <v>1337.2</v>
      </c>
      <c r="H34" s="885"/>
    </row>
    <row r="35" spans="1:8" s="837" customFormat="1" ht="20.100000000000001" customHeight="1">
      <c r="A35" s="878"/>
      <c r="B35" s="884">
        <v>2</v>
      </c>
      <c r="C35" s="880" t="s">
        <v>23</v>
      </c>
      <c r="D35" s="879" t="s">
        <v>1119</v>
      </c>
      <c r="E35" s="880">
        <f>'SSR-rates'!I76</f>
        <v>1846</v>
      </c>
      <c r="F35" s="880" t="s">
        <v>23</v>
      </c>
      <c r="G35" s="881">
        <f>ROUND(B35*E35,2)</f>
        <v>3692</v>
      </c>
      <c r="H35" s="885"/>
    </row>
    <row r="36" spans="1:8" s="837" customFormat="1" ht="20.100000000000001" customHeight="1">
      <c r="A36" s="878"/>
      <c r="B36" s="884">
        <v>2</v>
      </c>
      <c r="C36" s="880" t="s">
        <v>23</v>
      </c>
      <c r="D36" s="879" t="s">
        <v>1120</v>
      </c>
      <c r="E36" s="880">
        <v>946.4</v>
      </c>
      <c r="F36" s="880" t="s">
        <v>23</v>
      </c>
      <c r="G36" s="881">
        <f>ROUND(B36*E36,2)</f>
        <v>1892.8</v>
      </c>
      <c r="H36" s="885"/>
    </row>
    <row r="37" spans="1:8" s="837" customFormat="1" ht="20.100000000000001" customHeight="1">
      <c r="A37" s="878"/>
      <c r="B37" s="884">
        <v>4</v>
      </c>
      <c r="C37" s="880" t="s">
        <v>23</v>
      </c>
      <c r="D37" s="879" t="s">
        <v>1121</v>
      </c>
      <c r="E37" s="880">
        <f>'SSR-rates'!I68</f>
        <v>1734.8</v>
      </c>
      <c r="F37" s="880" t="s">
        <v>23</v>
      </c>
      <c r="G37" s="881">
        <f>ROUND(B37*E37,2)</f>
        <v>6939.2</v>
      </c>
      <c r="H37" s="885"/>
    </row>
    <row r="38" spans="1:8" s="837" customFormat="1" ht="20.100000000000001" customHeight="1">
      <c r="A38" s="878"/>
      <c r="B38" s="884"/>
      <c r="C38" s="880"/>
      <c r="D38" s="879"/>
      <c r="E38" s="880"/>
      <c r="F38" s="880"/>
      <c r="G38" s="889">
        <f>SUM(G34:G37)</f>
        <v>13861.2</v>
      </c>
      <c r="H38" s="891"/>
    </row>
    <row r="39" spans="1:8" s="837" customFormat="1" ht="20.100000000000001" customHeight="1">
      <c r="A39" s="878"/>
      <c r="B39" s="884"/>
      <c r="C39" s="880"/>
      <c r="D39" s="883" t="s">
        <v>1122</v>
      </c>
      <c r="E39" s="880"/>
      <c r="F39" s="880"/>
      <c r="G39" s="881"/>
      <c r="H39" s="885"/>
    </row>
    <row r="40" spans="1:8" s="837" customFormat="1" ht="35.1" customHeight="1">
      <c r="A40" s="878"/>
      <c r="B40" s="884">
        <v>6.4000000000000001E-2</v>
      </c>
      <c r="C40" s="880" t="s">
        <v>1123</v>
      </c>
      <c r="D40" s="879" t="s">
        <v>1124</v>
      </c>
      <c r="E40" s="880">
        <f>Emution_RS</f>
        <v>45168.645337323418</v>
      </c>
      <c r="F40" s="880" t="s">
        <v>1123</v>
      </c>
      <c r="G40" s="881">
        <f>ROUND(B40*E40,2)</f>
        <v>2890.79</v>
      </c>
      <c r="H40" s="885"/>
    </row>
    <row r="41" spans="1:8" s="837" customFormat="1" ht="50.25" customHeight="1">
      <c r="A41" s="878"/>
      <c r="B41" s="884">
        <v>0.29199999999999998</v>
      </c>
      <c r="C41" s="880" t="s">
        <v>1123</v>
      </c>
      <c r="D41" s="879" t="s">
        <v>1125</v>
      </c>
      <c r="E41" s="880">
        <f>BT_Rate_60_70</f>
        <v>47014.645337323418</v>
      </c>
      <c r="F41" s="880" t="s">
        <v>1123</v>
      </c>
      <c r="G41" s="881">
        <f t="shared" ref="G41:G44" si="3">ROUND(B41*E41,2)</f>
        <v>13728.28</v>
      </c>
      <c r="H41" s="885"/>
    </row>
    <row r="42" spans="1:8" s="837" customFormat="1" ht="52.5" customHeight="1">
      <c r="A42" s="878"/>
      <c r="B42" s="884">
        <v>0.13600000000000001</v>
      </c>
      <c r="C42" s="880" t="s">
        <v>1123</v>
      </c>
      <c r="D42" s="879" t="s">
        <v>1126</v>
      </c>
      <c r="E42" s="880">
        <f>E41</f>
        <v>47014.645337323418</v>
      </c>
      <c r="F42" s="880" t="s">
        <v>1123</v>
      </c>
      <c r="G42" s="881">
        <f t="shared" si="3"/>
        <v>6393.99</v>
      </c>
      <c r="H42" s="885"/>
    </row>
    <row r="43" spans="1:8" s="837" customFormat="1" ht="48" customHeight="1">
      <c r="A43" s="878"/>
      <c r="B43" s="884">
        <v>5.4</v>
      </c>
      <c r="C43" s="880" t="s">
        <v>31</v>
      </c>
      <c r="D43" s="879" t="s">
        <v>1127</v>
      </c>
      <c r="E43" s="880">
        <f>AVERAGE(lead!J8:J10)</f>
        <v>1653.1975238011412</v>
      </c>
      <c r="F43" s="880" t="s">
        <v>31</v>
      </c>
      <c r="G43" s="881">
        <f t="shared" si="3"/>
        <v>8927.27</v>
      </c>
      <c r="H43" s="885"/>
    </row>
    <row r="44" spans="1:8" s="837" customFormat="1" ht="69.75" customHeight="1">
      <c r="A44" s="878"/>
      <c r="B44" s="884">
        <v>1.2</v>
      </c>
      <c r="C44" s="880" t="s">
        <v>31</v>
      </c>
      <c r="D44" s="879" t="s">
        <v>1128</v>
      </c>
      <c r="E44" s="880">
        <f>lead!J12</f>
        <v>1568.1141904678079</v>
      </c>
      <c r="F44" s="880" t="s">
        <v>31</v>
      </c>
      <c r="G44" s="881">
        <f t="shared" si="3"/>
        <v>1881.74</v>
      </c>
      <c r="H44" s="885"/>
    </row>
    <row r="45" spans="1:8" s="837" customFormat="1" ht="12.6">
      <c r="A45" s="878"/>
      <c r="B45" s="884"/>
      <c r="C45" s="880"/>
      <c r="D45" s="879"/>
      <c r="E45" s="880"/>
      <c r="F45" s="880"/>
      <c r="G45" s="889">
        <f>SUM(G40:G44)</f>
        <v>33822.07</v>
      </c>
      <c r="H45" s="891"/>
    </row>
    <row r="46" spans="1:8" s="837" customFormat="1" ht="12.6">
      <c r="A46" s="878"/>
      <c r="B46" s="884"/>
      <c r="C46" s="880"/>
      <c r="D46" s="879"/>
      <c r="E46" s="3822" t="s">
        <v>1129</v>
      </c>
      <c r="F46" s="3822"/>
      <c r="G46" s="889">
        <f>G32+G38+G45</f>
        <v>58499.270000000004</v>
      </c>
      <c r="H46" s="891"/>
    </row>
    <row r="47" spans="1:8" s="837" customFormat="1" ht="20.100000000000001" customHeight="1">
      <c r="A47" s="878"/>
      <c r="B47" s="3823">
        <v>0.13614999999999999</v>
      </c>
      <c r="C47" s="3823"/>
      <c r="D47" s="894" t="s">
        <v>1130</v>
      </c>
      <c r="E47" s="880"/>
      <c r="F47" s="895"/>
      <c r="G47" s="881">
        <f>ROUND(G46*B47,2)</f>
        <v>7964.68</v>
      </c>
      <c r="H47" s="885"/>
    </row>
    <row r="48" spans="1:8" s="837" customFormat="1" ht="20.100000000000001" customHeight="1">
      <c r="A48" s="878"/>
      <c r="B48" s="896"/>
      <c r="C48" s="897">
        <v>0</v>
      </c>
      <c r="D48" s="894" t="s">
        <v>1131</v>
      </c>
      <c r="E48" s="880">
        <f>G46+G47</f>
        <v>66463.950000000012</v>
      </c>
      <c r="F48" s="895"/>
      <c r="G48" s="881">
        <f>E48*C48</f>
        <v>0</v>
      </c>
      <c r="H48" s="885"/>
    </row>
    <row r="49" spans="1:8" s="837" customFormat="1" ht="20.100000000000001" customHeight="1">
      <c r="A49" s="878"/>
      <c r="B49" s="884"/>
      <c r="C49" s="880"/>
      <c r="D49" s="879" t="s">
        <v>1132</v>
      </c>
      <c r="E49" s="880"/>
      <c r="F49" s="880"/>
      <c r="G49" s="881">
        <f>SUM(G46:G47)</f>
        <v>66463.950000000012</v>
      </c>
      <c r="H49" s="885"/>
    </row>
    <row r="50" spans="1:8" s="837" customFormat="1" ht="20.100000000000001" customHeight="1">
      <c r="A50" s="878"/>
      <c r="B50" s="884"/>
      <c r="C50" s="880"/>
      <c r="D50" s="883" t="s">
        <v>1133</v>
      </c>
      <c r="E50" s="880"/>
      <c r="F50" s="880"/>
      <c r="G50" s="881">
        <f>ROUND(G49/200,2)</f>
        <v>332.32</v>
      </c>
      <c r="H50" s="885"/>
    </row>
    <row r="51" spans="1:8" s="837" customFormat="1" ht="20.100000000000001" customHeight="1">
      <c r="A51" s="878"/>
      <c r="B51" s="884"/>
      <c r="C51" s="880"/>
      <c r="D51" s="883" t="s">
        <v>1134</v>
      </c>
      <c r="E51" s="880"/>
      <c r="F51" s="880"/>
      <c r="G51" s="889">
        <f>G50</f>
        <v>332.32</v>
      </c>
      <c r="H51" s="891"/>
    </row>
    <row r="52" spans="1:8" s="837" customFormat="1" ht="20.100000000000001" customHeight="1">
      <c r="A52" s="878"/>
      <c r="B52" s="878"/>
      <c r="C52" s="878"/>
      <c r="D52" s="887"/>
      <c r="E52" s="880"/>
      <c r="F52" s="878"/>
      <c r="G52" s="881"/>
      <c r="H52" s="882"/>
    </row>
    <row r="53" spans="1:8" s="836" customFormat="1" ht="42.75" customHeight="1">
      <c r="A53" s="874">
        <v>19</v>
      </c>
      <c r="B53" s="876" t="s">
        <v>1135</v>
      </c>
      <c r="C53" s="3824" t="s">
        <v>1136</v>
      </c>
      <c r="D53" s="3825"/>
      <c r="E53" s="3825"/>
      <c r="F53" s="3825"/>
      <c r="G53" s="3826"/>
      <c r="H53" s="877"/>
    </row>
    <row r="54" spans="1:8" s="837" customFormat="1" ht="20.100000000000001" customHeight="1">
      <c r="A54" s="878"/>
      <c r="B54" s="878"/>
      <c r="C54" s="878"/>
      <c r="D54" s="887" t="s">
        <v>1112</v>
      </c>
      <c r="E54" s="880"/>
      <c r="F54" s="878"/>
      <c r="G54" s="881"/>
      <c r="H54" s="882"/>
    </row>
    <row r="55" spans="1:8" s="837" customFormat="1" ht="20.100000000000001" customHeight="1">
      <c r="A55" s="878"/>
      <c r="B55" s="878"/>
      <c r="C55" s="878"/>
      <c r="D55" s="887" t="s">
        <v>1113</v>
      </c>
      <c r="E55" s="880"/>
      <c r="F55" s="878"/>
      <c r="G55" s="881"/>
      <c r="H55" s="882"/>
    </row>
    <row r="56" spans="1:8" s="837" customFormat="1" ht="20.100000000000001" customHeight="1">
      <c r="A56" s="878"/>
      <c r="B56" s="878"/>
      <c r="C56" s="878"/>
      <c r="D56" s="894" t="s">
        <v>1114</v>
      </c>
      <c r="E56" s="880"/>
      <c r="F56" s="878"/>
      <c r="G56" s="881"/>
      <c r="H56" s="882"/>
    </row>
    <row r="57" spans="1:8" s="837" customFormat="1" ht="20.100000000000001" customHeight="1">
      <c r="A57" s="878"/>
      <c r="B57" s="878"/>
      <c r="C57" s="878" t="s">
        <v>38</v>
      </c>
      <c r="D57" s="887" t="s">
        <v>14</v>
      </c>
      <c r="E57" s="880"/>
      <c r="F57" s="878"/>
      <c r="G57" s="881"/>
      <c r="H57" s="882"/>
    </row>
    <row r="58" spans="1:8" s="837" customFormat="1" ht="20.100000000000001" customHeight="1">
      <c r="A58" s="878"/>
      <c r="B58" s="880">
        <v>16.64</v>
      </c>
      <c r="C58" s="878" t="s">
        <v>38</v>
      </c>
      <c r="D58" s="887" t="s">
        <v>1115</v>
      </c>
      <c r="E58" s="880">
        <f>E30</f>
        <v>520</v>
      </c>
      <c r="F58" s="878" t="s">
        <v>38</v>
      </c>
      <c r="G58" s="881">
        <f>ROUND(B58*E58,2)</f>
        <v>8652.7999999999993</v>
      </c>
      <c r="H58" s="885"/>
    </row>
    <row r="59" spans="1:8" s="837" customFormat="1" ht="20.100000000000001" customHeight="1">
      <c r="A59" s="878"/>
      <c r="B59" s="886">
        <f>'Input Data'!D23</f>
        <v>0</v>
      </c>
      <c r="C59" s="878"/>
      <c r="D59" s="887" t="s">
        <v>1116</v>
      </c>
      <c r="E59" s="880"/>
      <c r="F59" s="878"/>
      <c r="G59" s="881">
        <f>+ROUND((G58)*B59,2)</f>
        <v>0</v>
      </c>
      <c r="H59" s="888"/>
    </row>
    <row r="60" spans="1:8" s="837" customFormat="1" ht="20.100000000000001" customHeight="1">
      <c r="A60" s="878"/>
      <c r="B60" s="886"/>
      <c r="C60" s="878"/>
      <c r="D60" s="887"/>
      <c r="E60" s="880"/>
      <c r="F60" s="878"/>
      <c r="G60" s="881"/>
      <c r="H60" s="888"/>
    </row>
    <row r="61" spans="1:8" s="837" customFormat="1" ht="20.100000000000001" customHeight="1">
      <c r="A61" s="878"/>
      <c r="B61" s="880"/>
      <c r="C61" s="878"/>
      <c r="D61" s="894" t="s">
        <v>1117</v>
      </c>
      <c r="E61" s="880"/>
      <c r="F61" s="878"/>
      <c r="G61" s="881"/>
      <c r="H61" s="882"/>
    </row>
    <row r="62" spans="1:8" s="837" customFormat="1" ht="20.100000000000001" customHeight="1">
      <c r="A62" s="878"/>
      <c r="B62" s="880">
        <v>2</v>
      </c>
      <c r="C62" s="878" t="s">
        <v>23</v>
      </c>
      <c r="D62" s="887" t="s">
        <v>1137</v>
      </c>
      <c r="E62" s="880">
        <f>E36</f>
        <v>946.4</v>
      </c>
      <c r="F62" s="878" t="s">
        <v>23</v>
      </c>
      <c r="G62" s="881">
        <f t="shared" ref="G62:G70" si="4">ROUND(B62*E62,2)</f>
        <v>1892.8</v>
      </c>
      <c r="H62" s="885"/>
    </row>
    <row r="63" spans="1:8" s="837" customFormat="1" ht="20.100000000000001" customHeight="1">
      <c r="A63" s="878"/>
      <c r="B63" s="880">
        <v>2</v>
      </c>
      <c r="C63" s="878" t="s">
        <v>23</v>
      </c>
      <c r="D63" s="887" t="s">
        <v>1119</v>
      </c>
      <c r="E63" s="880">
        <f>E35</f>
        <v>1846</v>
      </c>
      <c r="F63" s="878" t="s">
        <v>23</v>
      </c>
      <c r="G63" s="881">
        <f t="shared" si="4"/>
        <v>3692</v>
      </c>
      <c r="H63" s="885"/>
    </row>
    <row r="64" spans="1:8" s="837" customFormat="1" ht="20.100000000000001" customHeight="1">
      <c r="A64" s="878"/>
      <c r="B64" s="880">
        <v>4</v>
      </c>
      <c r="C64" s="878" t="s">
        <v>23</v>
      </c>
      <c r="D64" s="887" t="s">
        <v>1121</v>
      </c>
      <c r="E64" s="880">
        <f>E37</f>
        <v>1734.8</v>
      </c>
      <c r="F64" s="878" t="s">
        <v>23</v>
      </c>
      <c r="G64" s="881">
        <f t="shared" si="4"/>
        <v>6939.2</v>
      </c>
      <c r="H64" s="885"/>
    </row>
    <row r="65" spans="1:8" s="837" customFormat="1" ht="20.100000000000001" customHeight="1">
      <c r="A65" s="878"/>
      <c r="B65" s="880"/>
      <c r="C65" s="878"/>
      <c r="D65" s="894" t="s">
        <v>1122</v>
      </c>
      <c r="E65" s="880"/>
      <c r="F65" s="878"/>
      <c r="G65" s="881">
        <f t="shared" si="4"/>
        <v>0</v>
      </c>
      <c r="H65" s="885"/>
    </row>
    <row r="66" spans="1:8" s="837" customFormat="1" ht="34.5" customHeight="1">
      <c r="A66" s="878"/>
      <c r="B66" s="880">
        <v>0.29199999999999998</v>
      </c>
      <c r="C66" s="878" t="s">
        <v>1138</v>
      </c>
      <c r="D66" s="887" t="s">
        <v>1139</v>
      </c>
      <c r="E66" s="880">
        <f>E41</f>
        <v>47014.645337323418</v>
      </c>
      <c r="F66" s="878" t="s">
        <v>1138</v>
      </c>
      <c r="G66" s="881">
        <f t="shared" si="4"/>
        <v>13728.28</v>
      </c>
      <c r="H66" s="885"/>
    </row>
    <row r="67" spans="1:8" s="837" customFormat="1" ht="35.1" customHeight="1">
      <c r="A67" s="878"/>
      <c r="B67" s="880">
        <v>0.04</v>
      </c>
      <c r="C67" s="878" t="s">
        <v>1138</v>
      </c>
      <c r="D67" s="887" t="s">
        <v>1140</v>
      </c>
      <c r="E67" s="880">
        <f>E40</f>
        <v>45168.645337323418</v>
      </c>
      <c r="F67" s="878" t="s">
        <v>1138</v>
      </c>
      <c r="G67" s="881">
        <f t="shared" si="4"/>
        <v>1806.75</v>
      </c>
      <c r="H67" s="885"/>
    </row>
    <row r="68" spans="1:8" s="837" customFormat="1" ht="46.5" customHeight="1">
      <c r="A68" s="878"/>
      <c r="B68" s="880">
        <v>0.13600000000000001</v>
      </c>
      <c r="C68" s="878" t="s">
        <v>1138</v>
      </c>
      <c r="D68" s="887" t="s">
        <v>1141</v>
      </c>
      <c r="E68" s="880">
        <f>E66</f>
        <v>47014.645337323418</v>
      </c>
      <c r="F68" s="878" t="s">
        <v>1138</v>
      </c>
      <c r="G68" s="881">
        <f t="shared" si="4"/>
        <v>6393.99</v>
      </c>
      <c r="H68" s="885"/>
    </row>
    <row r="69" spans="1:8" s="837" customFormat="1" ht="48.75" customHeight="1">
      <c r="A69" s="878"/>
      <c r="B69" s="880">
        <v>5.4</v>
      </c>
      <c r="C69" s="878" t="s">
        <v>31</v>
      </c>
      <c r="D69" s="887" t="s">
        <v>1127</v>
      </c>
      <c r="E69" s="880">
        <f>E43</f>
        <v>1653.1975238011412</v>
      </c>
      <c r="F69" s="878" t="s">
        <v>31</v>
      </c>
      <c r="G69" s="881">
        <f t="shared" si="4"/>
        <v>8927.27</v>
      </c>
      <c r="H69" s="885"/>
    </row>
    <row r="70" spans="1:8" s="837" customFormat="1" ht="48.75" customHeight="1">
      <c r="A70" s="878"/>
      <c r="B70" s="880">
        <v>1.2</v>
      </c>
      <c r="C70" s="878" t="s">
        <v>31</v>
      </c>
      <c r="D70" s="887" t="s">
        <v>1142</v>
      </c>
      <c r="E70" s="880">
        <f>E44</f>
        <v>1568.1141904678079</v>
      </c>
      <c r="F70" s="878" t="s">
        <v>31</v>
      </c>
      <c r="G70" s="881">
        <f t="shared" si="4"/>
        <v>1881.74</v>
      </c>
      <c r="H70" s="885"/>
    </row>
    <row r="71" spans="1:8" s="837" customFormat="1" ht="20.100000000000001" customHeight="1">
      <c r="A71" s="878"/>
      <c r="B71" s="880"/>
      <c r="C71" s="878"/>
      <c r="D71" s="887" t="s">
        <v>1143</v>
      </c>
      <c r="E71" s="880"/>
      <c r="F71" s="878"/>
      <c r="G71" s="881"/>
      <c r="H71" s="882"/>
    </row>
    <row r="72" spans="1:8" s="837" customFormat="1" ht="20.100000000000001" customHeight="1">
      <c r="A72" s="878"/>
      <c r="B72" s="893">
        <v>0.13614999999999999</v>
      </c>
      <c r="C72" s="878"/>
      <c r="D72" s="894" t="s">
        <v>1130</v>
      </c>
      <c r="E72" s="880">
        <f>SUM(G58:G71)</f>
        <v>53914.829999999994</v>
      </c>
      <c r="F72" s="878"/>
      <c r="G72" s="881">
        <f>ROUND(B72*E72,2)</f>
        <v>7340.5</v>
      </c>
      <c r="H72" s="882"/>
    </row>
    <row r="73" spans="1:8" s="837" customFormat="1" ht="20.100000000000001" customHeight="1">
      <c r="A73" s="878"/>
      <c r="B73" s="897">
        <v>0</v>
      </c>
      <c r="C73" s="878"/>
      <c r="D73" s="894" t="s">
        <v>1131</v>
      </c>
      <c r="E73" s="880">
        <f>E72+G72</f>
        <v>61255.329999999994</v>
      </c>
      <c r="F73" s="878"/>
      <c r="G73" s="881">
        <f>ROUND(B73*E73,2)</f>
        <v>0</v>
      </c>
      <c r="H73" s="882"/>
    </row>
    <row r="74" spans="1:8" s="837" customFormat="1" ht="20.100000000000001" customHeight="1">
      <c r="A74" s="878"/>
      <c r="B74" s="878"/>
      <c r="C74" s="878"/>
      <c r="D74" s="887" t="s">
        <v>1144</v>
      </c>
      <c r="E74" s="880"/>
      <c r="F74" s="878"/>
      <c r="G74" s="881">
        <f>E73+G73</f>
        <v>61255.329999999994</v>
      </c>
      <c r="H74" s="882"/>
    </row>
    <row r="75" spans="1:8" s="838" customFormat="1" ht="20.100000000000001" customHeight="1">
      <c r="A75" s="895"/>
      <c r="B75" s="895"/>
      <c r="C75" s="895"/>
      <c r="D75" s="894" t="s">
        <v>1145</v>
      </c>
      <c r="E75" s="901"/>
      <c r="F75" s="895"/>
      <c r="G75" s="889">
        <f>G74/200</f>
        <v>306.27664999999996</v>
      </c>
      <c r="H75" s="902"/>
    </row>
    <row r="76" spans="1:8" s="839" customFormat="1" ht="20.100000000000001" customHeight="1">
      <c r="A76" s="903"/>
      <c r="B76" s="903"/>
      <c r="C76" s="903"/>
      <c r="D76" s="904"/>
      <c r="E76" s="905"/>
      <c r="F76" s="903"/>
      <c r="G76" s="906"/>
      <c r="H76" s="907"/>
    </row>
    <row r="77" spans="1:8" s="837" customFormat="1" ht="20.100000000000001" customHeight="1">
      <c r="A77" s="878">
        <v>20</v>
      </c>
      <c r="B77" s="3827" t="s">
        <v>1146</v>
      </c>
      <c r="C77" s="3827"/>
      <c r="D77" s="3827"/>
      <c r="E77" s="3827"/>
      <c r="F77" s="3827"/>
      <c r="G77" s="3827"/>
      <c r="H77" s="890"/>
    </row>
    <row r="78" spans="1:8" s="836" customFormat="1" ht="95.25" customHeight="1">
      <c r="A78" s="874"/>
      <c r="B78" s="876" t="s">
        <v>1147</v>
      </c>
      <c r="C78" s="3824" t="s">
        <v>1148</v>
      </c>
      <c r="D78" s="3825"/>
      <c r="E78" s="3825"/>
      <c r="F78" s="3825"/>
      <c r="G78" s="3826"/>
      <c r="H78" s="877"/>
    </row>
    <row r="79" spans="1:8" s="837" customFormat="1" ht="20.100000000000001" customHeight="1">
      <c r="A79" s="878"/>
      <c r="B79" s="878"/>
      <c r="C79" s="878"/>
      <c r="D79" s="879" t="s">
        <v>1149</v>
      </c>
      <c r="E79" s="880"/>
      <c r="F79" s="878"/>
      <c r="G79" s="881"/>
      <c r="H79" s="882"/>
    </row>
    <row r="80" spans="1:8" s="837" customFormat="1" ht="20.100000000000001" customHeight="1">
      <c r="A80" s="878"/>
      <c r="B80" s="878"/>
      <c r="C80" s="3828" t="s">
        <v>1150</v>
      </c>
      <c r="D80" s="3828"/>
      <c r="E80" s="3828"/>
      <c r="F80" s="878"/>
      <c r="G80" s="881"/>
      <c r="H80" s="882"/>
    </row>
    <row r="81" spans="1:8" s="837" customFormat="1" ht="20.100000000000001" customHeight="1">
      <c r="A81" s="878"/>
      <c r="B81" s="878"/>
      <c r="C81" s="878"/>
      <c r="D81" s="883" t="s">
        <v>1114</v>
      </c>
      <c r="E81" s="880"/>
      <c r="F81" s="878"/>
      <c r="G81" s="881"/>
      <c r="H81" s="882"/>
    </row>
    <row r="82" spans="1:8" s="837" customFormat="1" ht="20.100000000000001" customHeight="1">
      <c r="A82" s="878"/>
      <c r="B82" s="884">
        <v>3.76</v>
      </c>
      <c r="C82" s="880" t="s">
        <v>38</v>
      </c>
      <c r="D82" s="879" t="s">
        <v>14</v>
      </c>
      <c r="E82" s="880">
        <f>E83</f>
        <v>520</v>
      </c>
      <c r="F82" s="880" t="s">
        <v>38</v>
      </c>
      <c r="G82" s="881">
        <f t="shared" ref="G82:G97" si="5">ROUND(B82*E82,2)</f>
        <v>1955.2</v>
      </c>
      <c r="H82" s="885"/>
    </row>
    <row r="83" spans="1:8" s="837" customFormat="1" ht="20.100000000000001" customHeight="1">
      <c r="A83" s="878"/>
      <c r="B83" s="884">
        <v>90</v>
      </c>
      <c r="C83" s="880" t="s">
        <v>38</v>
      </c>
      <c r="D83" s="879" t="s">
        <v>1115</v>
      </c>
      <c r="E83" s="880">
        <f>E58</f>
        <v>520</v>
      </c>
      <c r="F83" s="880" t="s">
        <v>38</v>
      </c>
      <c r="G83" s="881">
        <f t="shared" si="5"/>
        <v>46800</v>
      </c>
      <c r="H83" s="885"/>
    </row>
    <row r="84" spans="1:8" s="837" customFormat="1" ht="20.100000000000001" customHeight="1">
      <c r="A84" s="878"/>
      <c r="B84" s="884">
        <v>4</v>
      </c>
      <c r="C84" s="880" t="s">
        <v>38</v>
      </c>
      <c r="D84" s="879" t="s">
        <v>1151</v>
      </c>
      <c r="E84" s="880">
        <f>'SSR-rates'!I59</f>
        <v>550</v>
      </c>
      <c r="F84" s="880" t="s">
        <v>38</v>
      </c>
      <c r="G84" s="881">
        <f t="shared" si="5"/>
        <v>2200</v>
      </c>
      <c r="H84" s="885"/>
    </row>
    <row r="85" spans="1:8" s="837" customFormat="1" ht="20.100000000000001" customHeight="1">
      <c r="A85" s="878"/>
      <c r="B85" s="886">
        <f>'Input Data'!D23</f>
        <v>0</v>
      </c>
      <c r="C85" s="878"/>
      <c r="D85" s="887" t="s">
        <v>1116</v>
      </c>
      <c r="E85" s="880">
        <f>G82+G83+G84</f>
        <v>50955.199999999997</v>
      </c>
      <c r="F85" s="878"/>
      <c r="G85" s="881">
        <f>+ROUND((E85)*B85,2)</f>
        <v>0</v>
      </c>
      <c r="H85" s="888"/>
    </row>
    <row r="86" spans="1:8" s="837" customFormat="1" ht="20.100000000000001" customHeight="1">
      <c r="A86" s="878"/>
      <c r="B86" s="884"/>
      <c r="C86" s="880"/>
      <c r="D86" s="879"/>
      <c r="E86" s="880"/>
      <c r="F86" s="880"/>
      <c r="G86" s="889">
        <f>SUM(G82:G85)</f>
        <v>50955.199999999997</v>
      </c>
      <c r="H86" s="885"/>
    </row>
    <row r="87" spans="1:8" s="837" customFormat="1" ht="20.100000000000001" customHeight="1">
      <c r="A87" s="878"/>
      <c r="B87" s="884"/>
      <c r="C87" s="880"/>
      <c r="D87" s="883" t="s">
        <v>1117</v>
      </c>
      <c r="E87" s="880"/>
      <c r="F87" s="880"/>
      <c r="G87" s="881"/>
      <c r="H87" s="885"/>
    </row>
    <row r="88" spans="1:8" s="837" customFormat="1" ht="20.100000000000001" customHeight="1">
      <c r="A88" s="878"/>
      <c r="B88" s="884">
        <v>6</v>
      </c>
      <c r="C88" s="880" t="s">
        <v>23</v>
      </c>
      <c r="D88" s="879" t="s">
        <v>1152</v>
      </c>
      <c r="E88" s="880">
        <f>E34</f>
        <v>668.6</v>
      </c>
      <c r="F88" s="880" t="s">
        <v>23</v>
      </c>
      <c r="G88" s="881">
        <f t="shared" si="5"/>
        <v>4011.6</v>
      </c>
      <c r="H88" s="885"/>
    </row>
    <row r="89" spans="1:8" s="837" customFormat="1" ht="20.100000000000001" customHeight="1">
      <c r="A89" s="878"/>
      <c r="B89" s="884">
        <v>6</v>
      </c>
      <c r="C89" s="880" t="s">
        <v>23</v>
      </c>
      <c r="D89" s="887" t="s">
        <v>1153</v>
      </c>
      <c r="E89" s="880">
        <f>'SSR-rates'!P78</f>
        <v>33344</v>
      </c>
      <c r="F89" s="880" t="s">
        <v>23</v>
      </c>
      <c r="G89" s="881">
        <f t="shared" si="5"/>
        <v>200064</v>
      </c>
      <c r="H89" s="885"/>
    </row>
    <row r="90" spans="1:8" s="837" customFormat="1" ht="20.100000000000001" customHeight="1">
      <c r="A90" s="878"/>
      <c r="B90" s="884">
        <v>45</v>
      </c>
      <c r="C90" s="880" t="s">
        <v>23</v>
      </c>
      <c r="D90" s="887" t="s">
        <v>1154</v>
      </c>
      <c r="E90" s="880">
        <f>'SSR-rates'!I89</f>
        <v>1205.7</v>
      </c>
      <c r="F90" s="880" t="s">
        <v>23</v>
      </c>
      <c r="G90" s="881">
        <f t="shared" si="5"/>
        <v>54256.5</v>
      </c>
      <c r="H90" s="885"/>
    </row>
    <row r="91" spans="1:8" s="837" customFormat="1" ht="20.100000000000001" customHeight="1">
      <c r="A91" s="878"/>
      <c r="B91" s="884">
        <v>12</v>
      </c>
      <c r="C91" s="880" t="s">
        <v>23</v>
      </c>
      <c r="D91" s="887" t="s">
        <v>1155</v>
      </c>
      <c r="E91" s="880">
        <f>'SSR-rates'!I68</f>
        <v>1734.8</v>
      </c>
      <c r="F91" s="880" t="s">
        <v>23</v>
      </c>
      <c r="G91" s="881">
        <f t="shared" si="5"/>
        <v>20817.599999999999</v>
      </c>
      <c r="H91" s="885"/>
    </row>
    <row r="92" spans="1:8" s="837" customFormat="1" ht="20.100000000000001" customHeight="1">
      <c r="A92" s="878"/>
      <c r="B92" s="884"/>
      <c r="C92" s="880"/>
      <c r="D92" s="887"/>
      <c r="E92" s="880"/>
      <c r="F92" s="880"/>
      <c r="G92" s="889">
        <f>SUM(G88:G91)</f>
        <v>279149.7</v>
      </c>
      <c r="H92" s="885"/>
    </row>
    <row r="93" spans="1:8" s="837" customFormat="1" ht="20.100000000000001" customHeight="1">
      <c r="A93" s="878"/>
      <c r="B93" s="884"/>
      <c r="C93" s="880"/>
      <c r="D93" s="883" t="s">
        <v>1122</v>
      </c>
      <c r="E93" s="880"/>
      <c r="F93" s="880"/>
      <c r="G93" s="889"/>
      <c r="H93" s="885"/>
    </row>
    <row r="94" spans="1:8" s="837" customFormat="1" ht="35.1" customHeight="1">
      <c r="A94" s="878"/>
      <c r="B94" s="884">
        <v>184.5</v>
      </c>
      <c r="C94" s="880" t="s">
        <v>1156</v>
      </c>
      <c r="D94" s="879" t="s">
        <v>1157</v>
      </c>
      <c r="E94" s="880">
        <f>lead!J8</f>
        <v>1738.8641904678079</v>
      </c>
      <c r="F94" s="880" t="s">
        <v>1156</v>
      </c>
      <c r="G94" s="881">
        <f t="shared" si="5"/>
        <v>320820.44</v>
      </c>
      <c r="H94" s="885"/>
    </row>
    <row r="95" spans="1:8" s="837" customFormat="1" ht="35.1" customHeight="1">
      <c r="A95" s="878"/>
      <c r="B95" s="884">
        <v>92.25</v>
      </c>
      <c r="C95" s="880" t="s">
        <v>1156</v>
      </c>
      <c r="D95" s="879" t="s">
        <v>1158</v>
      </c>
      <c r="E95" s="880">
        <f>lead!J9</f>
        <v>1638.8641904678079</v>
      </c>
      <c r="F95" s="880" t="s">
        <v>1156</v>
      </c>
      <c r="G95" s="881">
        <f t="shared" si="5"/>
        <v>151185.22</v>
      </c>
      <c r="H95" s="885"/>
    </row>
    <row r="96" spans="1:8" s="837" customFormat="1" ht="35.1" customHeight="1">
      <c r="A96" s="878"/>
      <c r="B96" s="884">
        <v>2.46</v>
      </c>
      <c r="C96" s="880" t="s">
        <v>1156</v>
      </c>
      <c r="D96" s="887" t="s">
        <v>1159</v>
      </c>
      <c r="E96" s="880">
        <f>E67</f>
        <v>45168.645337323418</v>
      </c>
      <c r="F96" s="880" t="s">
        <v>1156</v>
      </c>
      <c r="G96" s="881">
        <f t="shared" si="5"/>
        <v>111114.87</v>
      </c>
      <c r="H96" s="885"/>
    </row>
    <row r="97" spans="1:8" s="837" customFormat="1" ht="20.100000000000001" customHeight="1">
      <c r="A97" s="878"/>
      <c r="B97" s="884">
        <v>14.97</v>
      </c>
      <c r="C97" s="880" t="s">
        <v>1156</v>
      </c>
      <c r="D97" s="879" t="s">
        <v>1160</v>
      </c>
      <c r="E97" s="880">
        <f>E66</f>
        <v>47014.645337323418</v>
      </c>
      <c r="F97" s="880" t="s">
        <v>1156</v>
      </c>
      <c r="G97" s="881">
        <f t="shared" si="5"/>
        <v>703809.24</v>
      </c>
      <c r="H97" s="885"/>
    </row>
    <row r="98" spans="1:8" s="837" customFormat="1" ht="20.100000000000001" customHeight="1">
      <c r="A98" s="878"/>
      <c r="B98" s="884"/>
      <c r="C98" s="880"/>
      <c r="D98" s="879"/>
      <c r="E98" s="880"/>
      <c r="F98" s="880"/>
      <c r="G98" s="889">
        <f>SUM(G94:G97)</f>
        <v>1286929.77</v>
      </c>
      <c r="H98" s="885"/>
    </row>
    <row r="99" spans="1:8" s="837" customFormat="1" ht="20.100000000000001" customHeight="1">
      <c r="A99" s="878"/>
      <c r="B99" s="884"/>
      <c r="C99" s="880"/>
      <c r="D99" s="879"/>
      <c r="E99" s="3822" t="s">
        <v>1161</v>
      </c>
      <c r="F99" s="3822"/>
      <c r="G99" s="889">
        <f>G86+G92+G98</f>
        <v>1617034.67</v>
      </c>
      <c r="H99" s="885"/>
    </row>
    <row r="100" spans="1:8" s="837" customFormat="1" ht="20.100000000000001" customHeight="1">
      <c r="A100" s="878"/>
      <c r="B100" s="893">
        <v>0.13614999999999999</v>
      </c>
      <c r="C100" s="880" t="s">
        <v>85</v>
      </c>
      <c r="D100" s="894" t="s">
        <v>1130</v>
      </c>
      <c r="E100" s="880">
        <f>G86+G92+G98</f>
        <v>1617034.67</v>
      </c>
      <c r="F100" s="880" t="s">
        <v>85</v>
      </c>
      <c r="G100" s="881">
        <f>ROUND(B100*E100,2)</f>
        <v>220159.27</v>
      </c>
      <c r="H100" s="885"/>
    </row>
    <row r="101" spans="1:8" s="837" customFormat="1" ht="20.100000000000001" customHeight="1">
      <c r="A101" s="878"/>
      <c r="B101" s="897">
        <v>0</v>
      </c>
      <c r="C101" s="884"/>
      <c r="D101" s="894" t="s">
        <v>1131</v>
      </c>
      <c r="E101" s="880">
        <f>E100+G100</f>
        <v>1837193.94</v>
      </c>
      <c r="F101" s="880" t="s">
        <v>85</v>
      </c>
      <c r="G101" s="881">
        <f>ROUND(B101*E101,2)</f>
        <v>0</v>
      </c>
      <c r="H101" s="885"/>
    </row>
    <row r="102" spans="1:8" s="837" customFormat="1" ht="20.100000000000001" customHeight="1">
      <c r="A102" s="878"/>
      <c r="B102" s="878"/>
      <c r="C102" s="884"/>
      <c r="D102" s="879" t="s">
        <v>1162</v>
      </c>
      <c r="E102" s="880"/>
      <c r="F102" s="878"/>
      <c r="G102" s="881">
        <f>G99+G100</f>
        <v>1837193.94</v>
      </c>
      <c r="H102" s="885"/>
    </row>
    <row r="103" spans="1:8" s="837" customFormat="1" ht="20.100000000000001" customHeight="1">
      <c r="A103" s="878"/>
      <c r="B103" s="895"/>
      <c r="C103" s="896"/>
      <c r="D103" s="879"/>
      <c r="E103" s="880"/>
      <c r="F103" s="878"/>
      <c r="G103" s="881"/>
      <c r="H103" s="882"/>
    </row>
    <row r="104" spans="1:8" s="838" customFormat="1" ht="35.1" customHeight="1">
      <c r="A104" s="895"/>
      <c r="B104" s="895"/>
      <c r="C104" s="896"/>
      <c r="D104" s="883" t="s">
        <v>1163</v>
      </c>
      <c r="E104" s="901"/>
      <c r="F104" s="895"/>
      <c r="G104" s="889">
        <f>G102/10250</f>
        <v>179.2384331707317</v>
      </c>
      <c r="H104" s="890"/>
    </row>
    <row r="105" spans="1:8" s="837" customFormat="1" ht="12.6">
      <c r="A105" s="878"/>
      <c r="B105" s="878"/>
      <c r="C105" s="878"/>
      <c r="D105" s="887"/>
      <c r="E105" s="880"/>
      <c r="F105" s="878"/>
      <c r="G105" s="881"/>
      <c r="H105" s="882"/>
    </row>
    <row r="106" spans="1:8" s="840" customFormat="1" ht="20.100000000000001" customHeight="1">
      <c r="A106" s="874">
        <v>21</v>
      </c>
      <c r="B106" s="3829" t="s">
        <v>1164</v>
      </c>
      <c r="C106" s="3829"/>
      <c r="D106" s="3829"/>
      <c r="E106" s="3829"/>
      <c r="F106" s="3829"/>
      <c r="G106" s="3829"/>
      <c r="H106" s="908"/>
    </row>
    <row r="107" spans="1:8" s="836" customFormat="1" ht="83.25" customHeight="1">
      <c r="A107" s="874"/>
      <c r="B107" s="3824" t="s">
        <v>1165</v>
      </c>
      <c r="C107" s="3825"/>
      <c r="D107" s="3825"/>
      <c r="E107" s="3825"/>
      <c r="F107" s="3825"/>
      <c r="G107" s="3826"/>
      <c r="H107" s="877"/>
    </row>
    <row r="108" spans="1:8" s="837" customFormat="1" ht="20.100000000000001" customHeight="1">
      <c r="A108" s="878"/>
      <c r="B108" s="878" t="s">
        <v>1166</v>
      </c>
      <c r="C108" s="878"/>
      <c r="D108" s="894" t="s">
        <v>1167</v>
      </c>
      <c r="E108" s="880"/>
      <c r="F108" s="878"/>
      <c r="G108" s="881"/>
      <c r="H108" s="909"/>
    </row>
    <row r="109" spans="1:8" s="837" customFormat="1" ht="20.100000000000001" customHeight="1">
      <c r="A109" s="878"/>
      <c r="B109" s="3830" t="s">
        <v>1168</v>
      </c>
      <c r="C109" s="3830"/>
      <c r="D109" s="3830"/>
      <c r="E109" s="3830"/>
      <c r="F109" s="3830"/>
      <c r="G109" s="3830"/>
      <c r="H109" s="909"/>
    </row>
    <row r="110" spans="1:8" s="837" customFormat="1" ht="20.100000000000001" customHeight="1">
      <c r="A110" s="878"/>
      <c r="B110" s="878"/>
      <c r="C110" s="895" t="s">
        <v>36</v>
      </c>
      <c r="D110" s="894" t="s">
        <v>37</v>
      </c>
      <c r="E110" s="880"/>
      <c r="F110" s="878"/>
      <c r="G110" s="881"/>
      <c r="H110" s="909"/>
    </row>
    <row r="111" spans="1:8" s="837" customFormat="1" ht="20.100000000000001" customHeight="1">
      <c r="A111" s="878"/>
      <c r="B111" s="880">
        <v>2.92</v>
      </c>
      <c r="C111" s="880" t="s">
        <v>1169</v>
      </c>
      <c r="D111" s="887" t="s">
        <v>14</v>
      </c>
      <c r="E111" s="880">
        <f>E82</f>
        <v>520</v>
      </c>
      <c r="F111" s="880" t="s">
        <v>1169</v>
      </c>
      <c r="G111" s="881">
        <f>ROUND(B111*E111,2)</f>
        <v>1518.4</v>
      </c>
      <c r="H111" s="888"/>
    </row>
    <row r="112" spans="1:8" s="837" customFormat="1" ht="20.100000000000001" customHeight="1">
      <c r="A112" s="878"/>
      <c r="B112" s="880">
        <v>70</v>
      </c>
      <c r="C112" s="880" t="s">
        <v>1169</v>
      </c>
      <c r="D112" s="887" t="s">
        <v>312</v>
      </c>
      <c r="E112" s="880">
        <f>E111</f>
        <v>520</v>
      </c>
      <c r="F112" s="880" t="s">
        <v>1169</v>
      </c>
      <c r="G112" s="881">
        <f>ROUND(B112*E112,2)</f>
        <v>36400</v>
      </c>
      <c r="H112" s="888"/>
    </row>
    <row r="113" spans="1:8" s="837" customFormat="1" ht="20.100000000000001" customHeight="1">
      <c r="A113" s="878"/>
      <c r="B113" s="880">
        <v>3</v>
      </c>
      <c r="C113" s="880" t="s">
        <v>1169</v>
      </c>
      <c r="D113" s="887" t="s">
        <v>15</v>
      </c>
      <c r="E113" s="880">
        <f>E84</f>
        <v>550</v>
      </c>
      <c r="F113" s="880" t="s">
        <v>1169</v>
      </c>
      <c r="G113" s="881">
        <f>ROUND(B113*E113,2)</f>
        <v>1650</v>
      </c>
      <c r="H113" s="888"/>
    </row>
    <row r="114" spans="1:8" s="837" customFormat="1" ht="20.100000000000001" customHeight="1">
      <c r="A114" s="878"/>
      <c r="B114" s="910">
        <f>'Input Data'!D23</f>
        <v>0</v>
      </c>
      <c r="C114" s="880"/>
      <c r="D114" s="887" t="s">
        <v>17</v>
      </c>
      <c r="E114" s="880">
        <f>SUM(G111:G113)</f>
        <v>39568.400000000001</v>
      </c>
      <c r="F114" s="878"/>
      <c r="G114" s="881">
        <f>B114*E114</f>
        <v>0</v>
      </c>
      <c r="H114" s="888"/>
    </row>
    <row r="115" spans="1:8" s="837" customFormat="1" ht="20.100000000000001" customHeight="1">
      <c r="A115" s="878"/>
      <c r="B115" s="880"/>
      <c r="C115" s="880"/>
      <c r="D115" s="887"/>
      <c r="E115" s="880"/>
      <c r="F115" s="878"/>
      <c r="G115" s="889">
        <f>SUM(G111:G114)</f>
        <v>39568.400000000001</v>
      </c>
      <c r="H115" s="890"/>
    </row>
    <row r="116" spans="1:8" s="837" customFormat="1" ht="20.100000000000001" customHeight="1">
      <c r="A116" s="878"/>
      <c r="B116" s="878"/>
      <c r="C116" s="895" t="s">
        <v>39</v>
      </c>
      <c r="D116" s="894" t="s">
        <v>40</v>
      </c>
      <c r="E116" s="880"/>
      <c r="F116" s="878"/>
      <c r="G116" s="881"/>
      <c r="H116" s="909"/>
    </row>
    <row r="117" spans="1:8" s="837" customFormat="1" ht="20.100000000000001" customHeight="1">
      <c r="A117" s="878"/>
      <c r="B117" s="880">
        <v>6</v>
      </c>
      <c r="C117" s="880" t="s">
        <v>41</v>
      </c>
      <c r="D117" s="887" t="s">
        <v>1170</v>
      </c>
      <c r="E117" s="880">
        <f>E34</f>
        <v>668.6</v>
      </c>
      <c r="F117" s="880" t="s">
        <v>41</v>
      </c>
      <c r="G117" s="881">
        <f t="shared" ref="G117:G120" si="6">ROUND(B117*E117,2)</f>
        <v>4011.6</v>
      </c>
      <c r="H117" s="888"/>
    </row>
    <row r="118" spans="1:8" s="837" customFormat="1" ht="20.100000000000001" customHeight="1">
      <c r="A118" s="878"/>
      <c r="B118" s="880">
        <v>6</v>
      </c>
      <c r="C118" s="880" t="s">
        <v>41</v>
      </c>
      <c r="D118" s="887" t="s">
        <v>1171</v>
      </c>
      <c r="E118" s="880">
        <f>E89</f>
        <v>33344</v>
      </c>
      <c r="F118" s="880" t="s">
        <v>41</v>
      </c>
      <c r="G118" s="881">
        <f t="shared" si="6"/>
        <v>200064</v>
      </c>
      <c r="H118" s="888"/>
    </row>
    <row r="119" spans="1:8" s="837" customFormat="1" ht="20.100000000000001" customHeight="1">
      <c r="A119" s="878"/>
      <c r="B119" s="880">
        <v>45</v>
      </c>
      <c r="C119" s="880" t="s">
        <v>41</v>
      </c>
      <c r="D119" s="911" t="s">
        <v>1154</v>
      </c>
      <c r="E119" s="901">
        <f>E90</f>
        <v>1205.7</v>
      </c>
      <c r="F119" s="880" t="s">
        <v>41</v>
      </c>
      <c r="G119" s="881">
        <f t="shared" si="6"/>
        <v>54256.5</v>
      </c>
      <c r="H119" s="888"/>
    </row>
    <row r="120" spans="1:8" s="837" customFormat="1" ht="35.1" customHeight="1">
      <c r="A120" s="878"/>
      <c r="B120" s="880">
        <v>12</v>
      </c>
      <c r="C120" s="880" t="s">
        <v>41</v>
      </c>
      <c r="D120" s="887" t="s">
        <v>1172</v>
      </c>
      <c r="E120" s="880">
        <f>E91</f>
        <v>1734.8</v>
      </c>
      <c r="F120" s="880" t="s">
        <v>41</v>
      </c>
      <c r="G120" s="881">
        <f t="shared" si="6"/>
        <v>20817.599999999999</v>
      </c>
      <c r="H120" s="888"/>
    </row>
    <row r="121" spans="1:8" s="837" customFormat="1" ht="12.6">
      <c r="A121" s="878"/>
      <c r="B121" s="880"/>
      <c r="C121" s="880"/>
      <c r="D121" s="887"/>
      <c r="E121" s="880"/>
      <c r="F121" s="878"/>
      <c r="G121" s="889">
        <f>SUM(G117:G120)</f>
        <v>279149.7</v>
      </c>
      <c r="H121" s="890"/>
    </row>
    <row r="122" spans="1:8" s="837" customFormat="1" ht="20.100000000000001" customHeight="1">
      <c r="A122" s="878"/>
      <c r="B122" s="878"/>
      <c r="C122" s="895" t="s">
        <v>27</v>
      </c>
      <c r="D122" s="894" t="s">
        <v>61</v>
      </c>
      <c r="E122" s="880"/>
      <c r="F122" s="878"/>
      <c r="G122" s="881"/>
      <c r="H122" s="909"/>
    </row>
    <row r="123" spans="1:8" s="837" customFormat="1" ht="20.100000000000001" customHeight="1">
      <c r="A123" s="878"/>
      <c r="B123" s="880">
        <v>22.5</v>
      </c>
      <c r="C123" s="880" t="s">
        <v>66</v>
      </c>
      <c r="D123" s="887" t="s">
        <v>1173</v>
      </c>
      <c r="E123" s="901">
        <f>E66</f>
        <v>47014.645337323418</v>
      </c>
      <c r="F123" s="878" t="s">
        <v>66</v>
      </c>
      <c r="G123" s="881">
        <f>ROUND(B123*E123,2)</f>
        <v>1057829.52</v>
      </c>
      <c r="H123" s="888"/>
    </row>
    <row r="124" spans="1:8" s="837" customFormat="1" ht="20.100000000000001" customHeight="1">
      <c r="A124" s="878"/>
      <c r="B124" s="880">
        <v>1.18</v>
      </c>
      <c r="C124" s="880" t="s">
        <v>66</v>
      </c>
      <c r="D124" s="887" t="s">
        <v>1174</v>
      </c>
      <c r="E124" s="901">
        <f>E40</f>
        <v>45168.645337323418</v>
      </c>
      <c r="F124" s="878" t="s">
        <v>66</v>
      </c>
      <c r="G124" s="881">
        <f>ROUND(B124*E124,2)</f>
        <v>53299</v>
      </c>
      <c r="H124" s="888"/>
    </row>
    <row r="125" spans="1:8" s="837" customFormat="1" ht="20.100000000000001" customHeight="1">
      <c r="A125" s="878"/>
      <c r="B125" s="880"/>
      <c r="C125" s="880"/>
      <c r="D125" s="887" t="s">
        <v>1175</v>
      </c>
      <c r="E125" s="901"/>
      <c r="F125" s="878"/>
      <c r="G125" s="881"/>
      <c r="H125" s="888"/>
    </row>
    <row r="126" spans="1:8" s="837" customFormat="1" ht="20.100000000000001" customHeight="1">
      <c r="A126" s="878"/>
      <c r="B126" s="880"/>
      <c r="C126" s="880"/>
      <c r="D126" s="887" t="s">
        <v>1176</v>
      </c>
      <c r="E126" s="880"/>
      <c r="F126" s="878"/>
      <c r="G126" s="881"/>
      <c r="H126" s="909"/>
    </row>
    <row r="127" spans="1:8" s="841" customFormat="1" ht="20.100000000000001" customHeight="1">
      <c r="A127" s="878"/>
      <c r="B127" s="880"/>
      <c r="C127" s="880"/>
      <c r="D127" s="887" t="s">
        <v>1177</v>
      </c>
      <c r="E127" s="880"/>
      <c r="F127" s="878"/>
      <c r="G127" s="881"/>
      <c r="H127" s="909"/>
    </row>
    <row r="128" spans="1:8" s="841" customFormat="1" ht="35.1" customHeight="1">
      <c r="A128" s="878"/>
      <c r="B128" s="880"/>
      <c r="C128" s="880"/>
      <c r="D128" s="887" t="s">
        <v>1178</v>
      </c>
      <c r="E128" s="880"/>
      <c r="F128" s="878"/>
      <c r="G128" s="881"/>
      <c r="H128" s="909"/>
    </row>
    <row r="129" spans="1:11" s="841" customFormat="1" ht="35.1" customHeight="1">
      <c r="A129" s="878"/>
      <c r="B129" s="880"/>
      <c r="C129" s="880"/>
      <c r="D129" s="887" t="s">
        <v>1179</v>
      </c>
      <c r="E129" s="880"/>
      <c r="F129" s="878"/>
      <c r="G129" s="881"/>
      <c r="H129" s="909"/>
      <c r="I129" s="931"/>
    </row>
    <row r="130" spans="1:11" s="841" customFormat="1" ht="20.100000000000001" customHeight="1">
      <c r="A130" s="878"/>
      <c r="B130" s="880"/>
      <c r="C130" s="880"/>
      <c r="D130" s="887" t="s">
        <v>1180</v>
      </c>
      <c r="E130" s="880"/>
      <c r="F130" s="878"/>
      <c r="G130" s="881"/>
      <c r="H130" s="909"/>
    </row>
    <row r="131" spans="1:11" s="841" customFormat="1" ht="20.100000000000001" customHeight="1">
      <c r="A131" s="878"/>
      <c r="B131" s="880"/>
      <c r="C131" s="880"/>
      <c r="D131" s="894" t="s">
        <v>1181</v>
      </c>
      <c r="E131" s="880"/>
      <c r="F131" s="878"/>
      <c r="G131" s="881"/>
      <c r="H131" s="909"/>
    </row>
    <row r="132" spans="1:11" s="841" customFormat="1" ht="35.1" customHeight="1">
      <c r="A132" s="878"/>
      <c r="B132" s="880"/>
      <c r="C132" s="880"/>
      <c r="D132" s="887" t="s">
        <v>1182</v>
      </c>
      <c r="E132" s="880"/>
      <c r="F132" s="878"/>
      <c r="G132" s="881"/>
      <c r="H132" s="909"/>
    </row>
    <row r="133" spans="1:11" s="841" customFormat="1" ht="35.1" customHeight="1">
      <c r="A133" s="878"/>
      <c r="B133" s="880">
        <v>85.5</v>
      </c>
      <c r="C133" s="880" t="s">
        <v>31</v>
      </c>
      <c r="D133" s="887" t="s">
        <v>1183</v>
      </c>
      <c r="E133" s="880">
        <f>AVERAGE(lead!J8:J9)</f>
        <v>1688.8641904678079</v>
      </c>
      <c r="F133" s="878" t="s">
        <v>31</v>
      </c>
      <c r="G133" s="881">
        <f>ROUND(B133*E133,2)</f>
        <v>144397.89000000001</v>
      </c>
      <c r="H133" s="888"/>
      <c r="J133" s="841">
        <v>285</v>
      </c>
    </row>
    <row r="134" spans="1:11" s="837" customFormat="1" ht="35.1" customHeight="1">
      <c r="A134" s="878"/>
      <c r="B134" s="880"/>
      <c r="C134" s="880"/>
      <c r="D134" s="887" t="s">
        <v>1184</v>
      </c>
      <c r="E134" s="880"/>
      <c r="F134" s="878"/>
      <c r="G134" s="881"/>
      <c r="H134" s="909"/>
    </row>
    <row r="135" spans="1:11" s="841" customFormat="1" ht="35.1" customHeight="1">
      <c r="A135" s="878"/>
      <c r="B135" s="912">
        <v>71.25</v>
      </c>
      <c r="C135" s="880" t="s">
        <v>31</v>
      </c>
      <c r="D135" s="887" t="s">
        <v>1185</v>
      </c>
      <c r="E135" s="880">
        <f>AVERAGE(lead!J9:J10)</f>
        <v>1610.3641904678079</v>
      </c>
      <c r="F135" s="878" t="s">
        <v>31</v>
      </c>
      <c r="G135" s="881">
        <f>ROUND(B135*E135,2)</f>
        <v>114738.45</v>
      </c>
      <c r="H135" s="888"/>
      <c r="J135" s="931">
        <f>+B133+B135+B137</f>
        <v>279.3</v>
      </c>
      <c r="K135" s="932">
        <f>J133-J135</f>
        <v>5.6999999999999886</v>
      </c>
    </row>
    <row r="136" spans="1:11" s="841" customFormat="1" ht="35.1" customHeight="1">
      <c r="A136" s="878"/>
      <c r="B136" s="880"/>
      <c r="C136" s="880"/>
      <c r="D136" s="887" t="s">
        <v>1186</v>
      </c>
      <c r="E136" s="880"/>
      <c r="F136" s="878"/>
      <c r="G136" s="881"/>
      <c r="H136" s="888"/>
    </row>
    <row r="137" spans="1:11" s="841" customFormat="1" ht="35.1" customHeight="1">
      <c r="A137" s="878"/>
      <c r="B137" s="880">
        <v>122.55</v>
      </c>
      <c r="C137" s="880" t="s">
        <v>31</v>
      </c>
      <c r="D137" s="887" t="s">
        <v>1187</v>
      </c>
      <c r="E137" s="880">
        <f>AVERAGE(lead!J11:J12)</f>
        <v>1566.4891904678079</v>
      </c>
      <c r="F137" s="878" t="s">
        <v>31</v>
      </c>
      <c r="G137" s="881">
        <f>ROUND(B137*E137,2)</f>
        <v>191973.25</v>
      </c>
      <c r="H137" s="888"/>
    </row>
    <row r="138" spans="1:11" s="841" customFormat="1" ht="21" customHeight="1">
      <c r="A138" s="878"/>
      <c r="B138" s="880">
        <v>8.6199999999999992</v>
      </c>
      <c r="C138" s="880" t="s">
        <v>31</v>
      </c>
      <c r="D138" s="887" t="s">
        <v>1188</v>
      </c>
      <c r="E138" s="880">
        <f>lead!J12</f>
        <v>1568.1141904678079</v>
      </c>
      <c r="F138" s="878" t="s">
        <v>31</v>
      </c>
      <c r="G138" s="881">
        <f>ROUND(B138*E138,2)</f>
        <v>13517.14</v>
      </c>
      <c r="H138" s="888"/>
      <c r="J138" s="841">
        <f>SUM(B133:B138)/195</f>
        <v>1.4765128205128206</v>
      </c>
    </row>
    <row r="139" spans="1:11" s="841" customFormat="1" ht="20.100000000000001" customHeight="1">
      <c r="A139" s="878"/>
      <c r="B139" s="880"/>
      <c r="C139" s="880"/>
      <c r="D139" s="887"/>
      <c r="E139" s="880"/>
      <c r="F139" s="878"/>
      <c r="G139" s="889">
        <f>SUM(G123:G138)</f>
        <v>1575755.25</v>
      </c>
      <c r="H139" s="890"/>
    </row>
    <row r="140" spans="1:11" s="841" customFormat="1" ht="20.100000000000001" customHeight="1">
      <c r="A140" s="878"/>
      <c r="B140" s="880"/>
      <c r="C140" s="880"/>
      <c r="D140" s="887"/>
      <c r="E140" s="3831" t="s">
        <v>1161</v>
      </c>
      <c r="F140" s="3831"/>
      <c r="G140" s="889">
        <f>G139+G121+G115</f>
        <v>1894473.3499999999</v>
      </c>
      <c r="H140" s="890"/>
    </row>
    <row r="141" spans="1:11" s="841" customFormat="1" ht="20.100000000000001" customHeight="1">
      <c r="A141" s="878"/>
      <c r="B141" s="895" t="s">
        <v>45</v>
      </c>
      <c r="C141" s="3832" t="s">
        <v>1189</v>
      </c>
      <c r="D141" s="3832"/>
      <c r="E141" s="3832"/>
      <c r="F141" s="878"/>
      <c r="G141" s="881"/>
      <c r="H141" s="888"/>
    </row>
    <row r="142" spans="1:11" s="841" customFormat="1" ht="35.1" customHeight="1">
      <c r="A142" s="878"/>
      <c r="B142" s="913">
        <v>0.13614999999999999</v>
      </c>
      <c r="C142" s="914"/>
      <c r="D142" s="915" t="s">
        <v>1190</v>
      </c>
      <c r="E142" s="880">
        <f>G140</f>
        <v>1894473.3499999999</v>
      </c>
      <c r="F142" s="878"/>
      <c r="G142" s="881">
        <f>E142*B142</f>
        <v>257932.54660249996</v>
      </c>
      <c r="H142" s="888"/>
    </row>
    <row r="143" spans="1:11" s="837" customFormat="1" ht="20.100000000000001" customHeight="1">
      <c r="A143" s="895"/>
      <c r="B143" s="897">
        <v>0</v>
      </c>
      <c r="C143" s="878"/>
      <c r="D143" s="887"/>
      <c r="E143" s="880">
        <v>0</v>
      </c>
      <c r="F143" s="878"/>
      <c r="G143" s="881">
        <f>E143*B143</f>
        <v>0</v>
      </c>
      <c r="H143" s="888"/>
    </row>
    <row r="144" spans="1:11" s="841" customFormat="1" ht="20.100000000000001" customHeight="1">
      <c r="A144" s="878"/>
      <c r="B144" s="895" t="s">
        <v>47</v>
      </c>
      <c r="C144" s="3832" t="s">
        <v>89</v>
      </c>
      <c r="D144" s="3832"/>
      <c r="E144" s="880"/>
      <c r="F144" s="878"/>
      <c r="G144" s="889">
        <f>G140+G142</f>
        <v>2152405.8966024998</v>
      </c>
      <c r="H144" s="890"/>
    </row>
    <row r="145" spans="1:8" s="841" customFormat="1" ht="20.100000000000001" customHeight="1">
      <c r="A145" s="878"/>
      <c r="B145" s="880"/>
      <c r="C145" s="880"/>
      <c r="D145" s="887" t="s">
        <v>1191</v>
      </c>
      <c r="E145" s="880"/>
      <c r="F145" s="880"/>
      <c r="G145" s="916">
        <f>SUM(G144:G144)</f>
        <v>2152405.8966024998</v>
      </c>
      <c r="H145" s="917"/>
    </row>
    <row r="146" spans="1:8" s="841" customFormat="1" ht="20.100000000000001" customHeight="1">
      <c r="A146" s="878"/>
      <c r="B146" s="880"/>
      <c r="C146" s="880"/>
      <c r="D146" s="887" t="s">
        <v>1192</v>
      </c>
      <c r="E146" s="880"/>
      <c r="F146" s="880"/>
      <c r="G146" s="881">
        <f>ROUND(G145/196,2)</f>
        <v>10981.66</v>
      </c>
      <c r="H146" s="888"/>
    </row>
    <row r="147" spans="1:8" s="841" customFormat="1" ht="20.100000000000001" customHeight="1">
      <c r="A147" s="878"/>
      <c r="B147" s="880"/>
      <c r="C147" s="880"/>
      <c r="D147" s="887" t="s">
        <v>52</v>
      </c>
      <c r="E147" s="880"/>
      <c r="F147" s="880"/>
      <c r="G147" s="889">
        <f>ROUND(G146,2)</f>
        <v>10981.66</v>
      </c>
      <c r="H147" s="890"/>
    </row>
    <row r="148" spans="1:8" s="841" customFormat="1" ht="12.6">
      <c r="A148" s="878"/>
      <c r="B148" s="880"/>
      <c r="C148" s="880"/>
      <c r="D148" s="887"/>
      <c r="E148" s="880"/>
      <c r="F148" s="880"/>
      <c r="G148" s="889"/>
      <c r="H148" s="890"/>
    </row>
    <row r="149" spans="1:8" s="840" customFormat="1" ht="69.75" customHeight="1">
      <c r="A149" s="874">
        <v>22</v>
      </c>
      <c r="B149" s="918" t="s">
        <v>1193</v>
      </c>
      <c r="C149" s="3833" t="s">
        <v>1194</v>
      </c>
      <c r="D149" s="3834"/>
      <c r="E149" s="3834"/>
      <c r="F149" s="3834"/>
      <c r="G149" s="3835"/>
      <c r="H149" s="919"/>
    </row>
    <row r="150" spans="1:8" s="841" customFormat="1" ht="20.100000000000001" customHeight="1">
      <c r="A150" s="3836" t="s">
        <v>1195</v>
      </c>
      <c r="B150" s="3836"/>
      <c r="C150" s="3836"/>
      <c r="D150" s="879" t="s">
        <v>10</v>
      </c>
      <c r="E150" s="880"/>
      <c r="F150" s="880"/>
      <c r="G150" s="889"/>
      <c r="H150" s="890"/>
    </row>
    <row r="151" spans="1:8" s="841" customFormat="1" ht="35.1" customHeight="1">
      <c r="A151" s="878"/>
      <c r="B151" s="880"/>
      <c r="C151" s="880"/>
      <c r="D151" s="879" t="s">
        <v>1196</v>
      </c>
      <c r="E151" s="880"/>
      <c r="F151" s="880"/>
      <c r="G151" s="889"/>
      <c r="H151" s="890"/>
    </row>
    <row r="152" spans="1:8" s="841" customFormat="1" ht="20.100000000000001" customHeight="1">
      <c r="A152" s="878"/>
      <c r="B152" s="880"/>
      <c r="C152" s="880"/>
      <c r="D152" s="879" t="s">
        <v>1197</v>
      </c>
      <c r="E152" s="880"/>
      <c r="F152" s="880"/>
      <c r="G152" s="889"/>
      <c r="H152" s="890"/>
    </row>
    <row r="153" spans="1:8" s="841" customFormat="1" ht="20.100000000000001" customHeight="1">
      <c r="A153" s="878"/>
      <c r="B153" s="880"/>
      <c r="C153" s="880"/>
      <c r="D153" s="883" t="s">
        <v>1114</v>
      </c>
      <c r="E153" s="880"/>
      <c r="F153" s="880"/>
      <c r="G153" s="889"/>
      <c r="H153" s="890"/>
    </row>
    <row r="154" spans="1:8" s="841" customFormat="1" ht="20.100000000000001" customHeight="1">
      <c r="A154" s="878"/>
      <c r="B154" s="880"/>
      <c r="C154" s="880" t="s">
        <v>38</v>
      </c>
      <c r="D154" s="879" t="s">
        <v>14</v>
      </c>
      <c r="E154" s="880">
        <v>0</v>
      </c>
      <c r="F154" s="892">
        <v>0</v>
      </c>
      <c r="G154" s="881">
        <f>ROUND(E154*F154,2)</f>
        <v>0</v>
      </c>
      <c r="H154" s="885"/>
    </row>
    <row r="155" spans="1:8" s="841" customFormat="1" ht="20.100000000000001" customHeight="1">
      <c r="A155" s="878"/>
      <c r="B155" s="880"/>
      <c r="C155" s="880" t="s">
        <v>38</v>
      </c>
      <c r="D155" s="879" t="s">
        <v>1115</v>
      </c>
      <c r="E155" s="880">
        <v>20.8</v>
      </c>
      <c r="F155" s="892">
        <f>E112</f>
        <v>520</v>
      </c>
      <c r="G155" s="881">
        <f>ROUND(E155*F155,2)</f>
        <v>10816</v>
      </c>
      <c r="H155" s="885"/>
    </row>
    <row r="156" spans="1:8" s="841" customFormat="1" ht="20.100000000000001" customHeight="1">
      <c r="A156" s="878"/>
      <c r="B156" s="880"/>
      <c r="C156" s="878"/>
      <c r="D156" s="887" t="s">
        <v>1198</v>
      </c>
      <c r="E156" s="880">
        <f>'Input Data'!D23</f>
        <v>0</v>
      </c>
      <c r="F156" s="880"/>
      <c r="G156" s="881">
        <f>ROUND(E156*G155,2)</f>
        <v>0</v>
      </c>
      <c r="H156" s="888"/>
    </row>
    <row r="157" spans="1:8" s="841" customFormat="1" ht="20.100000000000001" customHeight="1">
      <c r="A157" s="878"/>
      <c r="B157" s="880"/>
      <c r="C157" s="878"/>
      <c r="D157" s="887"/>
      <c r="E157" s="880"/>
      <c r="F157" s="880"/>
      <c r="G157" s="889">
        <f>SUM(G154:G156)</f>
        <v>10816</v>
      </c>
      <c r="H157" s="890"/>
    </row>
    <row r="158" spans="1:8" s="841" customFormat="1" ht="20.100000000000001" customHeight="1">
      <c r="A158" s="878"/>
      <c r="B158" s="880"/>
      <c r="C158" s="880"/>
      <c r="D158" s="883" t="s">
        <v>1117</v>
      </c>
      <c r="E158" s="880"/>
      <c r="F158" s="892"/>
      <c r="G158" s="881"/>
      <c r="H158" s="885"/>
    </row>
    <row r="159" spans="1:8" s="841" customFormat="1" ht="20.100000000000001" customHeight="1">
      <c r="A159" s="878"/>
      <c r="B159" s="880"/>
      <c r="C159" s="880" t="s">
        <v>23</v>
      </c>
      <c r="D159" s="879" t="s">
        <v>1199</v>
      </c>
      <c r="E159" s="880">
        <v>4</v>
      </c>
      <c r="F159" s="892">
        <v>444</v>
      </c>
      <c r="G159" s="881">
        <f>ROUND(E159*F159,2)</f>
        <v>1776</v>
      </c>
      <c r="H159" s="885"/>
    </row>
    <row r="160" spans="1:8" s="841" customFormat="1" ht="20.100000000000001" customHeight="1">
      <c r="A160" s="878"/>
      <c r="B160" s="880"/>
      <c r="C160" s="880" t="s">
        <v>23</v>
      </c>
      <c r="D160" s="879" t="s">
        <v>1200</v>
      </c>
      <c r="E160" s="880">
        <v>2</v>
      </c>
      <c r="F160" s="892">
        <f>E34</f>
        <v>668.6</v>
      </c>
      <c r="G160" s="881">
        <f>ROUND(E160*F160,2)</f>
        <v>1337.2</v>
      </c>
      <c r="H160" s="885"/>
    </row>
    <row r="161" spans="1:8" s="841" customFormat="1" ht="20.100000000000001" customHeight="1">
      <c r="A161" s="878"/>
      <c r="B161" s="880"/>
      <c r="C161" s="880" t="s">
        <v>23</v>
      </c>
      <c r="D161" s="879" t="s">
        <v>1201</v>
      </c>
      <c r="E161" s="880">
        <v>4</v>
      </c>
      <c r="F161" s="892">
        <f>E35</f>
        <v>1846</v>
      </c>
      <c r="G161" s="881">
        <f>ROUND(E161*F161,2)</f>
        <v>7384</v>
      </c>
      <c r="H161" s="885"/>
    </row>
    <row r="162" spans="1:8" s="841" customFormat="1" ht="20.100000000000001" customHeight="1">
      <c r="A162" s="878"/>
      <c r="B162" s="880"/>
      <c r="C162" s="880" t="s">
        <v>23</v>
      </c>
      <c r="D162" s="879" t="s">
        <v>1202</v>
      </c>
      <c r="E162" s="880">
        <v>4</v>
      </c>
      <c r="F162" s="892">
        <f>E62</f>
        <v>946.4</v>
      </c>
      <c r="G162" s="881">
        <f>ROUND(E162*F162,2)</f>
        <v>3785.6</v>
      </c>
      <c r="H162" s="885"/>
    </row>
    <row r="163" spans="1:8" s="841" customFormat="1" ht="20.100000000000001" customHeight="1">
      <c r="A163" s="878"/>
      <c r="B163" s="880"/>
      <c r="C163" s="880" t="s">
        <v>23</v>
      </c>
      <c r="D163" s="879" t="s">
        <v>1121</v>
      </c>
      <c r="E163" s="880">
        <v>4</v>
      </c>
      <c r="F163" s="892">
        <f>E91</f>
        <v>1734.8</v>
      </c>
      <c r="G163" s="881">
        <f>ROUND(E163*F163,2)</f>
        <v>6939.2</v>
      </c>
      <c r="H163" s="885"/>
    </row>
    <row r="164" spans="1:8" s="841" customFormat="1" ht="20.100000000000001" customHeight="1">
      <c r="A164" s="878"/>
      <c r="B164" s="880"/>
      <c r="C164" s="880"/>
      <c r="D164" s="883" t="s">
        <v>1122</v>
      </c>
      <c r="E164" s="880"/>
      <c r="F164" s="892"/>
      <c r="G164" s="889">
        <f>SUM(G159:G163)</f>
        <v>21222</v>
      </c>
      <c r="H164" s="891"/>
    </row>
    <row r="165" spans="1:8" s="841" customFormat="1" ht="35.1" customHeight="1">
      <c r="A165" s="878"/>
      <c r="B165" s="880"/>
      <c r="C165" s="880"/>
      <c r="D165" s="879" t="s">
        <v>1203</v>
      </c>
      <c r="E165" s="880">
        <v>0.16800000000000001</v>
      </c>
      <c r="F165" s="892">
        <f>Emultion_SS</f>
        <v>78428.645337323411</v>
      </c>
      <c r="G165" s="881">
        <f>ROUND(E165*F165,2)</f>
        <v>13176.01</v>
      </c>
      <c r="H165" s="885"/>
    </row>
    <row r="166" spans="1:8" s="841" customFormat="1" ht="35.1" customHeight="1">
      <c r="A166" s="878"/>
      <c r="B166" s="880"/>
      <c r="C166" s="880" t="s">
        <v>1204</v>
      </c>
      <c r="D166" s="879" t="s">
        <v>1205</v>
      </c>
      <c r="E166" s="880"/>
      <c r="F166" s="892"/>
      <c r="G166" s="881"/>
      <c r="H166" s="885"/>
    </row>
    <row r="167" spans="1:8" s="841" customFormat="1" ht="20.100000000000001" customHeight="1">
      <c r="A167" s="878"/>
      <c r="B167" s="880"/>
      <c r="C167" s="880"/>
      <c r="D167" s="879" t="s">
        <v>1206</v>
      </c>
      <c r="E167" s="880"/>
      <c r="F167" s="892"/>
      <c r="G167" s="881"/>
      <c r="H167" s="885"/>
    </row>
    <row r="168" spans="1:8" s="841" customFormat="1" ht="20.100000000000001" customHeight="1">
      <c r="A168" s="878"/>
      <c r="B168" s="880"/>
      <c r="C168" s="880"/>
      <c r="D168" s="879" t="s">
        <v>1207</v>
      </c>
      <c r="E168" s="880">
        <v>6.4000000000000001E-2</v>
      </c>
      <c r="F168" s="892">
        <f>Emution_RS</f>
        <v>45168.645337323418</v>
      </c>
      <c r="G168" s="881">
        <f>ROUND(E168*F168,2)</f>
        <v>2890.79</v>
      </c>
      <c r="H168" s="885"/>
    </row>
    <row r="169" spans="1:8" s="841" customFormat="1" ht="20.100000000000001" customHeight="1">
      <c r="A169" s="878"/>
      <c r="B169" s="880"/>
      <c r="C169" s="880" t="s">
        <v>1204</v>
      </c>
      <c r="D169" s="879" t="s">
        <v>1208</v>
      </c>
      <c r="E169" s="880"/>
      <c r="F169" s="892"/>
      <c r="G169" s="881"/>
      <c r="H169" s="885"/>
    </row>
    <row r="170" spans="1:8" s="841" customFormat="1" ht="35.1" customHeight="1">
      <c r="A170" s="878"/>
      <c r="B170" s="880"/>
      <c r="C170" s="880"/>
      <c r="D170" s="879" t="s">
        <v>1209</v>
      </c>
      <c r="E170" s="880">
        <v>1.0820000000000001</v>
      </c>
      <c r="F170" s="920">
        <f>E123</f>
        <v>47014.645337323418</v>
      </c>
      <c r="G170" s="881">
        <f>ROUND(E170*F170,2)</f>
        <v>50869.85</v>
      </c>
      <c r="H170" s="885"/>
    </row>
    <row r="171" spans="1:8" s="841" customFormat="1" ht="35.1" customHeight="1">
      <c r="A171" s="878"/>
      <c r="B171" s="880"/>
      <c r="C171" s="880" t="s">
        <v>1204</v>
      </c>
      <c r="D171" s="879" t="s">
        <v>1210</v>
      </c>
      <c r="E171" s="880"/>
      <c r="F171" s="892"/>
      <c r="G171" s="881"/>
      <c r="H171" s="885"/>
    </row>
    <row r="172" spans="1:8" s="841" customFormat="1" ht="35.1" customHeight="1">
      <c r="A172" s="878"/>
      <c r="B172" s="880"/>
      <c r="C172" s="880"/>
      <c r="D172" s="879" t="s">
        <v>1211</v>
      </c>
      <c r="E172" s="880"/>
      <c r="F172" s="892"/>
      <c r="G172" s="881"/>
      <c r="H172" s="885"/>
    </row>
    <row r="173" spans="1:8" s="841" customFormat="1" ht="35.1" customHeight="1">
      <c r="A173" s="878"/>
      <c r="B173" s="880"/>
      <c r="C173" s="880"/>
      <c r="D173" s="879" t="s">
        <v>1212</v>
      </c>
      <c r="E173" s="880"/>
      <c r="F173" s="892"/>
      <c r="G173" s="881"/>
      <c r="H173" s="885"/>
    </row>
    <row r="174" spans="1:8" s="841" customFormat="1" ht="35.1" customHeight="1">
      <c r="A174" s="878"/>
      <c r="B174" s="880"/>
      <c r="C174" s="880"/>
      <c r="D174" s="879" t="s">
        <v>1213</v>
      </c>
      <c r="E174" s="880"/>
      <c r="F174" s="892"/>
      <c r="G174" s="881"/>
      <c r="H174" s="885"/>
    </row>
    <row r="175" spans="1:8" s="841" customFormat="1" ht="35.1" customHeight="1">
      <c r="A175" s="878"/>
      <c r="B175" s="880"/>
      <c r="C175" s="880"/>
      <c r="D175" s="879" t="s">
        <v>1214</v>
      </c>
      <c r="E175" s="880"/>
      <c r="F175" s="892"/>
      <c r="G175" s="881"/>
      <c r="H175" s="885"/>
    </row>
    <row r="176" spans="1:8" s="841" customFormat="1" ht="20.100000000000001" customHeight="1">
      <c r="A176" s="878"/>
      <c r="B176" s="880"/>
      <c r="C176" s="880"/>
      <c r="D176" s="883" t="s">
        <v>1215</v>
      </c>
      <c r="E176" s="880"/>
      <c r="F176" s="892"/>
      <c r="G176" s="881"/>
      <c r="H176" s="885"/>
    </row>
    <row r="177" spans="1:8" s="841" customFormat="1" ht="20.100000000000001" customHeight="1">
      <c r="A177" s="878"/>
      <c r="B177" s="880"/>
      <c r="C177" s="880" t="s">
        <v>31</v>
      </c>
      <c r="D177" s="879" t="s">
        <v>1216</v>
      </c>
      <c r="E177" s="880">
        <v>2.9849999999999999</v>
      </c>
      <c r="F177" s="892">
        <f>AVERAGE(lead!J5:J6)</f>
        <v>1685.3641904678079</v>
      </c>
      <c r="G177" s="881">
        <f>ROUND(E177*F177,2)</f>
        <v>5030.8100000000004</v>
      </c>
      <c r="H177" s="885"/>
    </row>
    <row r="178" spans="1:8" s="841" customFormat="1" ht="20.100000000000001" customHeight="1">
      <c r="A178" s="878"/>
      <c r="B178" s="880"/>
      <c r="C178" s="880" t="s">
        <v>31</v>
      </c>
      <c r="D178" s="879" t="s">
        <v>1217</v>
      </c>
      <c r="E178" s="880">
        <v>8.9550000000000001</v>
      </c>
      <c r="F178" s="892">
        <f>AVERAGE(lead!J6:J9)</f>
        <v>1761.8641904678079</v>
      </c>
      <c r="G178" s="881">
        <f>ROUND(E178*F178,2)</f>
        <v>15777.49</v>
      </c>
      <c r="H178" s="885"/>
    </row>
    <row r="179" spans="1:8" s="841" customFormat="1" ht="20.100000000000001" customHeight="1">
      <c r="A179" s="878"/>
      <c r="B179" s="880"/>
      <c r="C179" s="880" t="s">
        <v>31</v>
      </c>
      <c r="D179" s="879" t="s">
        <v>1218</v>
      </c>
      <c r="E179" s="880">
        <v>4.9749999999999996</v>
      </c>
      <c r="F179" s="892">
        <f>AVERAGE(lead!J9:J11)</f>
        <v>1595.1975238011412</v>
      </c>
      <c r="G179" s="881">
        <f>ROUND(E179*F179,2)</f>
        <v>7936.11</v>
      </c>
      <c r="H179" s="885"/>
    </row>
    <row r="180" spans="1:8" s="841" customFormat="1" ht="20.100000000000001" customHeight="1">
      <c r="A180" s="878"/>
      <c r="B180" s="880"/>
      <c r="C180" s="880" t="s">
        <v>31</v>
      </c>
      <c r="D180" s="879" t="s">
        <v>1219</v>
      </c>
      <c r="E180" s="880">
        <v>2.9849999999999999</v>
      </c>
      <c r="F180" s="892">
        <f>AVERAGE(lead!J11:J12)</f>
        <v>1566.4891904678079</v>
      </c>
      <c r="G180" s="881">
        <f>ROUND(E180*F180,2)</f>
        <v>4675.97</v>
      </c>
      <c r="H180" s="885"/>
    </row>
    <row r="181" spans="1:8" s="841" customFormat="1" ht="20.100000000000001" customHeight="1">
      <c r="A181" s="878"/>
      <c r="B181" s="880"/>
      <c r="C181" s="880"/>
      <c r="D181" s="879"/>
      <c r="E181" s="880"/>
      <c r="F181" s="892"/>
      <c r="G181" s="889">
        <f>SUM(G165:G180)</f>
        <v>100357.03</v>
      </c>
      <c r="H181" s="891"/>
    </row>
    <row r="182" spans="1:8" s="841" customFormat="1" ht="20.100000000000001" customHeight="1">
      <c r="A182" s="878"/>
      <c r="B182" s="895" t="s">
        <v>45</v>
      </c>
      <c r="C182" s="3832" t="s">
        <v>1189</v>
      </c>
      <c r="D182" s="3832"/>
      <c r="E182" s="880"/>
      <c r="F182" s="878"/>
      <c r="G182" s="881"/>
      <c r="H182" s="888"/>
    </row>
    <row r="183" spans="1:8" s="841" customFormat="1" ht="35.1" customHeight="1">
      <c r="A183" s="878"/>
      <c r="B183" s="913">
        <v>0.13614999999999999</v>
      </c>
      <c r="C183" s="3837" t="s">
        <v>1190</v>
      </c>
      <c r="D183" s="3837"/>
      <c r="E183" s="880">
        <f>+G181+G164+G157</f>
        <v>132395.03</v>
      </c>
      <c r="F183" s="878"/>
      <c r="G183" s="881">
        <f>E183*B183</f>
        <v>18025.583334499999</v>
      </c>
      <c r="H183" s="888"/>
    </row>
    <row r="184" spans="1:8" s="837" customFormat="1" ht="20.100000000000001" customHeight="1">
      <c r="A184" s="895"/>
      <c r="B184" s="897">
        <v>0</v>
      </c>
      <c r="C184" s="3830" t="s">
        <v>1220</v>
      </c>
      <c r="D184" s="3830"/>
      <c r="E184" s="880">
        <f>E183+G183</f>
        <v>150420.6133345</v>
      </c>
      <c r="F184" s="878"/>
      <c r="G184" s="881">
        <f>E184*B184</f>
        <v>0</v>
      </c>
      <c r="H184" s="888"/>
    </row>
    <row r="185" spans="1:8" s="841" customFormat="1" ht="20.100000000000001" customHeight="1">
      <c r="A185" s="878"/>
      <c r="B185" s="895" t="s">
        <v>47</v>
      </c>
      <c r="C185" s="3830" t="s">
        <v>89</v>
      </c>
      <c r="D185" s="3830"/>
      <c r="E185" s="880"/>
      <c r="F185" s="878"/>
      <c r="G185" s="889">
        <f>G157+G164+G181+G183+G184</f>
        <v>150420.6133345</v>
      </c>
      <c r="H185" s="890"/>
    </row>
    <row r="186" spans="1:8" s="841" customFormat="1" ht="20.100000000000001" customHeight="1">
      <c r="A186" s="878"/>
      <c r="B186" s="880"/>
      <c r="C186" s="880"/>
      <c r="D186" s="887" t="s">
        <v>1221</v>
      </c>
      <c r="E186" s="880"/>
      <c r="F186" s="880"/>
      <c r="G186" s="916">
        <f>SUM(G185:G185)</f>
        <v>150420.6133345</v>
      </c>
      <c r="H186" s="917"/>
    </row>
    <row r="187" spans="1:8" s="841" customFormat="1" ht="20.100000000000001" customHeight="1">
      <c r="A187" s="878"/>
      <c r="B187" s="880"/>
      <c r="C187" s="880"/>
      <c r="D187" s="887" t="s">
        <v>1192</v>
      </c>
      <c r="E187" s="880"/>
      <c r="F187" s="880"/>
      <c r="G187" s="881">
        <f>ROUND(G186/14.06,2)</f>
        <v>10698.48</v>
      </c>
      <c r="H187" s="888"/>
    </row>
    <row r="188" spans="1:8" s="841" customFormat="1" ht="20.100000000000001" customHeight="1">
      <c r="A188" s="878"/>
      <c r="B188" s="880"/>
      <c r="C188" s="880"/>
      <c r="D188" s="887" t="s">
        <v>52</v>
      </c>
      <c r="E188" s="880"/>
      <c r="F188" s="880"/>
      <c r="G188" s="889">
        <f>ROUND(G187,2)</f>
        <v>10698.48</v>
      </c>
      <c r="H188" s="890"/>
    </row>
    <row r="189" spans="1:8" s="837" customFormat="1" ht="20.100000000000001" customHeight="1">
      <c r="A189" s="878"/>
      <c r="B189" s="878"/>
      <c r="C189" s="878"/>
      <c r="D189" s="887"/>
      <c r="E189" s="880"/>
      <c r="F189" s="878"/>
      <c r="G189" s="881"/>
      <c r="H189" s="882"/>
    </row>
    <row r="190" spans="1:8" s="836" customFormat="1" ht="83.25" customHeight="1">
      <c r="A190" s="921">
        <f>A149+1</f>
        <v>23</v>
      </c>
      <c r="B190" s="922">
        <v>10.5</v>
      </c>
      <c r="C190" s="923">
        <v>3004.2</v>
      </c>
      <c r="D190" s="3838" t="s">
        <v>1222</v>
      </c>
      <c r="E190" s="3839"/>
      <c r="F190" s="3839"/>
      <c r="G190" s="3840"/>
      <c r="H190" s="875"/>
    </row>
    <row r="191" spans="1:8" s="837" customFormat="1" ht="20.100000000000001" customHeight="1">
      <c r="A191" s="924"/>
      <c r="B191" s="925"/>
      <c r="C191" s="924"/>
      <c r="D191" s="926" t="s">
        <v>1223</v>
      </c>
      <c r="E191" s="927"/>
      <c r="F191" s="928"/>
      <c r="G191" s="929"/>
      <c r="H191" s="882"/>
    </row>
    <row r="192" spans="1:8" s="837" customFormat="1" ht="20.100000000000001" customHeight="1">
      <c r="A192" s="924"/>
      <c r="B192" s="925"/>
      <c r="C192" s="924"/>
      <c r="D192" s="930" t="s">
        <v>130</v>
      </c>
      <c r="E192" s="927"/>
      <c r="F192" s="928"/>
      <c r="G192" s="929"/>
      <c r="H192" s="882"/>
    </row>
    <row r="193" spans="1:8" s="839" customFormat="1" ht="35.1" customHeight="1">
      <c r="A193" s="924"/>
      <c r="B193" s="925"/>
      <c r="C193" s="924"/>
      <c r="D193" s="930" t="s">
        <v>1224</v>
      </c>
      <c r="E193" s="927"/>
      <c r="F193" s="928"/>
      <c r="G193" s="929"/>
      <c r="H193" s="907"/>
    </row>
    <row r="194" spans="1:8" s="837" customFormat="1" ht="20.100000000000001" customHeight="1">
      <c r="A194" s="924"/>
      <c r="B194" s="925"/>
      <c r="C194" s="924"/>
      <c r="D194" s="933" t="s">
        <v>1225</v>
      </c>
      <c r="E194" s="927"/>
      <c r="F194" s="928"/>
      <c r="G194" s="929"/>
      <c r="H194" s="934"/>
    </row>
    <row r="195" spans="1:8" s="837" customFormat="1" ht="20.100000000000001" customHeight="1">
      <c r="A195" s="924"/>
      <c r="B195" s="928">
        <v>2.92</v>
      </c>
      <c r="C195" s="929" t="s">
        <v>57</v>
      </c>
      <c r="D195" s="926" t="s">
        <v>14</v>
      </c>
      <c r="E195" s="929">
        <f>'SSR-rates'!$I$58</f>
        <v>520</v>
      </c>
      <c r="F195" s="935" t="s">
        <v>57</v>
      </c>
      <c r="G195" s="936">
        <f>ROUND(B195*E195,2)</f>
        <v>1518.4</v>
      </c>
      <c r="H195" s="934"/>
    </row>
    <row r="196" spans="1:8" s="837" customFormat="1" ht="20.100000000000001" customHeight="1">
      <c r="A196" s="924"/>
      <c r="B196" s="928">
        <v>70</v>
      </c>
      <c r="C196" s="929" t="s">
        <v>57</v>
      </c>
      <c r="D196" s="926" t="s">
        <v>59</v>
      </c>
      <c r="E196" s="929">
        <f>'SSR-rates'!$I$60</f>
        <v>520</v>
      </c>
      <c r="F196" s="935" t="s">
        <v>57</v>
      </c>
      <c r="G196" s="936">
        <f>ROUND(B196*E196,2)</f>
        <v>36400</v>
      </c>
      <c r="H196" s="934"/>
    </row>
    <row r="197" spans="1:8" s="837" customFormat="1" ht="20.100000000000001" customHeight="1">
      <c r="A197" s="924"/>
      <c r="B197" s="928">
        <v>3</v>
      </c>
      <c r="C197" s="929" t="s">
        <v>57</v>
      </c>
      <c r="D197" s="926" t="s">
        <v>15</v>
      </c>
      <c r="E197" s="929">
        <f>'SSR-rates'!$I$59</f>
        <v>550</v>
      </c>
      <c r="F197" s="935" t="s">
        <v>57</v>
      </c>
      <c r="G197" s="936">
        <f>ROUND(B197*E197,2)</f>
        <v>1650</v>
      </c>
      <c r="H197" s="934"/>
    </row>
    <row r="198" spans="1:8" s="837" customFormat="1" ht="20.100000000000001" customHeight="1">
      <c r="A198" s="878"/>
      <c r="B198" s="886">
        <f>'Input Data'!D23</f>
        <v>0</v>
      </c>
      <c r="C198" s="878"/>
      <c r="D198" s="887" t="s">
        <v>1116</v>
      </c>
      <c r="E198" s="880">
        <f>G195+G196+G197</f>
        <v>39568.400000000001</v>
      </c>
      <c r="F198" s="878"/>
      <c r="G198" s="880">
        <f>+ROUND((E198)*B198,2)</f>
        <v>0</v>
      </c>
      <c r="H198" s="934"/>
    </row>
    <row r="199" spans="1:8" s="837" customFormat="1" ht="20.100000000000001" customHeight="1">
      <c r="A199" s="924"/>
      <c r="B199" s="925"/>
      <c r="C199" s="924"/>
      <c r="D199" s="926"/>
      <c r="E199" s="929"/>
      <c r="F199" s="935"/>
      <c r="G199" s="927">
        <f>SUM(G195:G198)</f>
        <v>39568.400000000001</v>
      </c>
      <c r="H199" s="934"/>
    </row>
    <row r="200" spans="1:8" s="837" customFormat="1" ht="20.100000000000001" customHeight="1">
      <c r="A200" s="924"/>
      <c r="B200" s="925"/>
      <c r="C200" s="924"/>
      <c r="D200" s="933" t="s">
        <v>1226</v>
      </c>
      <c r="E200" s="929"/>
      <c r="F200" s="935"/>
      <c r="G200" s="929"/>
      <c r="H200" s="934"/>
    </row>
    <row r="201" spans="1:8" s="837" customFormat="1" ht="20.100000000000001" customHeight="1">
      <c r="A201" s="924"/>
      <c r="B201" s="928">
        <v>6</v>
      </c>
      <c r="C201" s="929" t="s">
        <v>23</v>
      </c>
      <c r="D201" s="926" t="s">
        <v>1227</v>
      </c>
      <c r="E201" s="929">
        <f>'SSR-rates'!$I$73</f>
        <v>668.6</v>
      </c>
      <c r="F201" s="935" t="s">
        <v>23</v>
      </c>
      <c r="G201" s="936">
        <f>ROUND(B201*E201,2)</f>
        <v>4011.6</v>
      </c>
      <c r="H201" s="934"/>
    </row>
    <row r="202" spans="1:8" s="837" customFormat="1" ht="20.100000000000001" customHeight="1">
      <c r="A202" s="924"/>
      <c r="B202" s="928">
        <v>6</v>
      </c>
      <c r="C202" s="929" t="s">
        <v>23</v>
      </c>
      <c r="D202" s="926" t="s">
        <v>1153</v>
      </c>
      <c r="E202" s="929">
        <f>'SSR-rates'!$P$78</f>
        <v>33344</v>
      </c>
      <c r="F202" s="935" t="s">
        <v>23</v>
      </c>
      <c r="G202" s="936">
        <f>ROUND(B202*E202,2)</f>
        <v>200064</v>
      </c>
      <c r="H202" s="934"/>
    </row>
    <row r="203" spans="1:8" s="837" customFormat="1" ht="20.100000000000001" customHeight="1">
      <c r="A203" s="924"/>
      <c r="B203" s="928">
        <v>45</v>
      </c>
      <c r="C203" s="929" t="s">
        <v>23</v>
      </c>
      <c r="D203" s="926" t="s">
        <v>1154</v>
      </c>
      <c r="E203" s="929">
        <f>'SSR-rates'!$I$89</f>
        <v>1205.7</v>
      </c>
      <c r="F203" s="935" t="s">
        <v>23</v>
      </c>
      <c r="G203" s="936">
        <f>ROUND(B203*E203,2)</f>
        <v>54256.5</v>
      </c>
      <c r="H203" s="934"/>
    </row>
    <row r="204" spans="1:8" s="837" customFormat="1" ht="20.100000000000001" customHeight="1">
      <c r="A204" s="924"/>
      <c r="B204" s="928">
        <v>12</v>
      </c>
      <c r="C204" s="929" t="s">
        <v>23</v>
      </c>
      <c r="D204" s="926" t="s">
        <v>1155</v>
      </c>
      <c r="E204" s="929">
        <f>'SSR-rates'!$I$68</f>
        <v>1734.8</v>
      </c>
      <c r="F204" s="935" t="s">
        <v>23</v>
      </c>
      <c r="G204" s="936">
        <f>ROUND(B204*E204,2)</f>
        <v>20817.599999999999</v>
      </c>
      <c r="H204" s="934"/>
    </row>
    <row r="205" spans="1:8" s="837" customFormat="1" ht="20.100000000000001" customHeight="1">
      <c r="A205" s="924"/>
      <c r="B205" s="925"/>
      <c r="C205" s="924"/>
      <c r="D205" s="926"/>
      <c r="E205" s="929"/>
      <c r="F205" s="935"/>
      <c r="G205" s="927">
        <f>SUM(G201:G204)</f>
        <v>279149.7</v>
      </c>
      <c r="H205" s="934"/>
    </row>
    <row r="206" spans="1:8" s="837" customFormat="1" ht="20.100000000000001" customHeight="1">
      <c r="A206" s="924"/>
      <c r="B206" s="925"/>
      <c r="C206" s="924"/>
      <c r="D206" s="933" t="s">
        <v>1228</v>
      </c>
      <c r="E206" s="929"/>
      <c r="F206" s="935"/>
      <c r="G206" s="929"/>
      <c r="H206" s="934"/>
    </row>
    <row r="207" spans="1:8" s="837" customFormat="1" ht="20.100000000000001" customHeight="1">
      <c r="A207" s="924"/>
      <c r="B207" s="928">
        <v>22.5</v>
      </c>
      <c r="C207" s="929" t="s">
        <v>1138</v>
      </c>
      <c r="D207" s="926" t="s">
        <v>1229</v>
      </c>
      <c r="E207" s="929">
        <f>BT_Rate_60_70</f>
        <v>47014.645337323418</v>
      </c>
      <c r="F207" s="935" t="s">
        <v>1138</v>
      </c>
      <c r="G207" s="936">
        <f>ROUND(B207*E207,2)</f>
        <v>1057829.52</v>
      </c>
      <c r="H207" s="934"/>
    </row>
    <row r="208" spans="1:8" s="837" customFormat="1" ht="20.100000000000001" customHeight="1">
      <c r="A208" s="924"/>
      <c r="B208" s="928">
        <v>1.18</v>
      </c>
      <c r="C208" s="929" t="s">
        <v>1138</v>
      </c>
      <c r="D208" s="926" t="s">
        <v>1230</v>
      </c>
      <c r="E208" s="929">
        <f>Emution_RS</f>
        <v>45168.645337323418</v>
      </c>
      <c r="F208" s="935" t="s">
        <v>1138</v>
      </c>
      <c r="G208" s="936">
        <f>ROUND(B208*E208,2)</f>
        <v>53299</v>
      </c>
      <c r="H208" s="934"/>
    </row>
    <row r="209" spans="1:8" s="837" customFormat="1" ht="20.100000000000001" customHeight="1">
      <c r="A209" s="924"/>
      <c r="B209" s="925"/>
      <c r="C209" s="924"/>
      <c r="D209" s="926"/>
      <c r="E209" s="937"/>
      <c r="F209" s="938"/>
      <c r="G209" s="927">
        <f>SUM(G207:G208)</f>
        <v>1111128.52</v>
      </c>
      <c r="H209" s="934"/>
    </row>
    <row r="210" spans="1:8" s="837" customFormat="1" ht="20.100000000000001" customHeight="1">
      <c r="A210" s="924"/>
      <c r="B210" s="925"/>
      <c r="C210" s="924"/>
      <c r="D210" s="933" t="s">
        <v>1231</v>
      </c>
      <c r="E210" s="937"/>
      <c r="F210" s="938"/>
      <c r="G210" s="929"/>
      <c r="H210" s="934"/>
    </row>
    <row r="211" spans="1:8" s="837" customFormat="1" ht="20.100000000000001" customHeight="1">
      <c r="A211" s="924"/>
      <c r="B211" s="925"/>
      <c r="C211" s="924"/>
      <c r="D211" s="933" t="s">
        <v>1232</v>
      </c>
      <c r="E211" s="937"/>
      <c r="F211" s="938"/>
      <c r="G211" s="929"/>
      <c r="H211" s="934"/>
    </row>
    <row r="212" spans="1:8" s="837" customFormat="1" ht="20.100000000000001" customHeight="1">
      <c r="A212" s="924"/>
      <c r="B212" s="928">
        <v>99.75</v>
      </c>
      <c r="C212" s="929" t="s">
        <v>31</v>
      </c>
      <c r="D212" s="926" t="s">
        <v>1233</v>
      </c>
      <c r="E212" s="937">
        <f>AVERAGE(lead!J7:J9)</f>
        <v>1755.8641904678079</v>
      </c>
      <c r="F212" s="929" t="s">
        <v>31</v>
      </c>
      <c r="G212" s="936">
        <f>ROUND(B212*E212,2)</f>
        <v>175147.45</v>
      </c>
      <c r="H212" s="934"/>
    </row>
    <row r="213" spans="1:8" s="837" customFormat="1" ht="20.100000000000001" customHeight="1">
      <c r="A213" s="924"/>
      <c r="B213" s="928">
        <v>65.55</v>
      </c>
      <c r="C213" s="929" t="s">
        <v>31</v>
      </c>
      <c r="D213" s="926" t="s">
        <v>1234</v>
      </c>
      <c r="E213" s="937">
        <f>AVERAGE(lead!J9:J10)</f>
        <v>1610.3641904678079</v>
      </c>
      <c r="F213" s="929" t="s">
        <v>31</v>
      </c>
      <c r="G213" s="936">
        <f>ROUND(B213*E213,2)</f>
        <v>105559.37</v>
      </c>
      <c r="H213" s="934"/>
    </row>
    <row r="214" spans="1:8" s="837" customFormat="1" ht="20.100000000000001" customHeight="1">
      <c r="A214" s="924"/>
      <c r="B214" s="928">
        <v>114</v>
      </c>
      <c r="C214" s="929" t="s">
        <v>31</v>
      </c>
      <c r="D214" s="926" t="s">
        <v>1235</v>
      </c>
      <c r="E214" s="937">
        <f>AVERAGE(lead!J10:J12)</f>
        <v>1571.6141904678079</v>
      </c>
      <c r="F214" s="929" t="s">
        <v>31</v>
      </c>
      <c r="G214" s="936">
        <f>ROUND(B214*E214,2)</f>
        <v>179164.02</v>
      </c>
      <c r="H214" s="934"/>
    </row>
    <row r="215" spans="1:8" s="837" customFormat="1" ht="20.100000000000001" customHeight="1">
      <c r="A215" s="924"/>
      <c r="B215" s="928">
        <v>8.6199999999999992</v>
      </c>
      <c r="C215" s="929" t="s">
        <v>1138</v>
      </c>
      <c r="D215" s="926" t="s">
        <v>1236</v>
      </c>
      <c r="E215" s="937">
        <f>lead!J12</f>
        <v>1568.1141904678079</v>
      </c>
      <c r="F215" s="929" t="s">
        <v>1138</v>
      </c>
      <c r="G215" s="936">
        <f>ROUND(B215*E215,2)</f>
        <v>13517.14</v>
      </c>
      <c r="H215" s="934"/>
    </row>
    <row r="216" spans="1:8" s="837" customFormat="1" ht="20.100000000000001" customHeight="1">
      <c r="A216" s="924"/>
      <c r="B216" s="925"/>
      <c r="C216" s="924"/>
      <c r="D216" s="926"/>
      <c r="E216" s="937"/>
      <c r="F216" s="938"/>
      <c r="G216" s="929"/>
      <c r="H216" s="934"/>
    </row>
    <row r="217" spans="1:8" s="837" customFormat="1" ht="20.100000000000001" customHeight="1">
      <c r="A217" s="924"/>
      <c r="B217" s="939">
        <v>0.05</v>
      </c>
      <c r="C217" s="924"/>
      <c r="D217" s="926" t="s">
        <v>1237</v>
      </c>
      <c r="E217" s="937">
        <f>SUM(G212:G215)</f>
        <v>473387.98</v>
      </c>
      <c r="F217" s="939"/>
      <c r="G217" s="936">
        <f>ROUND(B217*E217,2)</f>
        <v>23669.4</v>
      </c>
      <c r="H217" s="934"/>
    </row>
    <row r="218" spans="1:8" s="837" customFormat="1" ht="20.100000000000001" customHeight="1">
      <c r="A218" s="924"/>
      <c r="B218" s="925"/>
      <c r="C218" s="924"/>
      <c r="D218" s="926"/>
      <c r="E218" s="937"/>
      <c r="F218" s="935"/>
      <c r="G218" s="940">
        <f>SUM(G212:G217)</f>
        <v>497057.38</v>
      </c>
      <c r="H218" s="934"/>
    </row>
    <row r="219" spans="1:8" s="837" customFormat="1" ht="20.100000000000001" customHeight="1">
      <c r="A219" s="924"/>
      <c r="B219" s="925"/>
      <c r="C219" s="924"/>
      <c r="D219" s="933"/>
      <c r="E219" s="927"/>
      <c r="F219" s="928"/>
      <c r="G219" s="940">
        <f>G218+G209+G205+G199</f>
        <v>1926903.9999999998</v>
      </c>
      <c r="H219" s="934"/>
    </row>
    <row r="220" spans="1:8" s="837" customFormat="1" ht="20.100000000000001" customHeight="1">
      <c r="A220" s="924"/>
      <c r="B220" s="895" t="s">
        <v>45</v>
      </c>
      <c r="C220" s="924"/>
      <c r="D220" s="894" t="s">
        <v>1238</v>
      </c>
      <c r="E220" s="880"/>
      <c r="F220" s="878"/>
      <c r="G220" s="901"/>
      <c r="H220" s="934"/>
    </row>
    <row r="221" spans="1:8" s="837" customFormat="1" ht="35.1" customHeight="1">
      <c r="A221" s="924"/>
      <c r="B221" s="941">
        <f>'[263]Input Data'!$D$23</f>
        <v>0.13614999999999999</v>
      </c>
      <c r="C221" s="880"/>
      <c r="D221" s="879" t="str">
        <f>"Over head charges &amp; CP "&amp;'[263]Input Data'!$D$23*100&amp;"%  on (A) + (B)+(C)"</f>
        <v>Over head charges &amp; CP 13.615%  on (A) + (B)+(C)</v>
      </c>
      <c r="E221" s="880">
        <f>G219</f>
        <v>1926903.9999999998</v>
      </c>
      <c r="F221" s="878"/>
      <c r="G221" s="880">
        <f>E221*B221</f>
        <v>262347.97959999996</v>
      </c>
      <c r="H221" s="934"/>
    </row>
    <row r="222" spans="1:8" s="837" customFormat="1" ht="20.100000000000001" customHeight="1">
      <c r="A222" s="924"/>
      <c r="B222" s="941">
        <f>'[263]Input Data'!$E$23</f>
        <v>0</v>
      </c>
      <c r="C222" s="880"/>
      <c r="D222" s="887" t="s">
        <v>1220</v>
      </c>
      <c r="E222" s="880">
        <f>E221+G221</f>
        <v>2189251.9795999997</v>
      </c>
      <c r="F222" s="878"/>
      <c r="G222" s="880">
        <f>E222*B222</f>
        <v>0</v>
      </c>
      <c r="H222" s="934"/>
    </row>
    <row r="223" spans="1:8" s="837" customFormat="1" ht="20.100000000000001" customHeight="1">
      <c r="A223" s="924"/>
      <c r="B223" s="895" t="s">
        <v>47</v>
      </c>
      <c r="C223" s="924"/>
      <c r="D223" s="894" t="s">
        <v>89</v>
      </c>
      <c r="E223" s="880"/>
      <c r="F223" s="878"/>
      <c r="G223" s="901">
        <f>G219+G221+G222</f>
        <v>2189251.9795999997</v>
      </c>
      <c r="H223" s="934"/>
    </row>
    <row r="224" spans="1:8" s="837" customFormat="1" ht="20.100000000000001" customHeight="1">
      <c r="A224" s="924"/>
      <c r="B224" s="880"/>
      <c r="C224" s="880"/>
      <c r="D224" s="894" t="s">
        <v>1239</v>
      </c>
      <c r="E224" s="880"/>
      <c r="F224" s="880" t="s">
        <v>1240</v>
      </c>
      <c r="G224" s="901">
        <f>G223/4900</f>
        <v>446.78611828571422</v>
      </c>
      <c r="H224" s="934"/>
    </row>
    <row r="225" spans="1:8" s="837" customFormat="1" ht="20.100000000000001" customHeight="1">
      <c r="A225" s="942"/>
      <c r="B225" s="943">
        <v>10.1</v>
      </c>
      <c r="C225" s="942">
        <v>3002</v>
      </c>
      <c r="D225" s="944" t="s">
        <v>1241</v>
      </c>
      <c r="E225" s="929"/>
      <c r="F225" s="928"/>
      <c r="G225" s="929"/>
      <c r="H225" s="934"/>
    </row>
    <row r="226" spans="1:8" s="836" customFormat="1" ht="57" customHeight="1">
      <c r="A226" s="923"/>
      <c r="B226" s="945"/>
      <c r="C226" s="923"/>
      <c r="D226" s="3841" t="s">
        <v>1242</v>
      </c>
      <c r="E226" s="3842"/>
      <c r="F226" s="3842"/>
      <c r="G226" s="3843"/>
      <c r="H226" s="946"/>
    </row>
    <row r="227" spans="1:8" s="837" customFormat="1" ht="20.100000000000001" customHeight="1">
      <c r="A227" s="924"/>
      <c r="B227" s="925"/>
      <c r="C227" s="924"/>
      <c r="D227" s="947" t="s">
        <v>1243</v>
      </c>
      <c r="E227" s="3844"/>
      <c r="F227" s="3844"/>
      <c r="G227" s="3844"/>
      <c r="H227" s="934"/>
    </row>
    <row r="228" spans="1:8" s="837" customFormat="1" ht="20.100000000000001" customHeight="1">
      <c r="A228" s="924"/>
      <c r="B228" s="925"/>
      <c r="C228" s="924"/>
      <c r="D228" s="948" t="s">
        <v>10</v>
      </c>
      <c r="E228" s="929"/>
      <c r="F228" s="928"/>
      <c r="G228" s="929"/>
      <c r="H228" s="934"/>
    </row>
    <row r="229" spans="1:8" s="837" customFormat="1" ht="20.100000000000001" customHeight="1">
      <c r="A229" s="924"/>
      <c r="B229" s="925"/>
      <c r="C229" s="924"/>
      <c r="D229" s="948" t="s">
        <v>84</v>
      </c>
      <c r="E229" s="929"/>
      <c r="F229" s="928"/>
      <c r="G229" s="929"/>
      <c r="H229" s="934"/>
    </row>
    <row r="230" spans="1:8" s="837" customFormat="1" ht="20.100000000000001" customHeight="1">
      <c r="A230" s="924"/>
      <c r="B230" s="925"/>
      <c r="C230" s="924"/>
      <c r="D230" s="947" t="s">
        <v>1114</v>
      </c>
      <c r="E230" s="929"/>
      <c r="F230" s="928"/>
      <c r="G230" s="929"/>
      <c r="H230" s="934"/>
    </row>
    <row r="231" spans="1:8" s="837" customFormat="1" ht="20.100000000000001" customHeight="1">
      <c r="A231" s="924"/>
      <c r="B231" s="928">
        <v>0.08</v>
      </c>
      <c r="C231" s="929" t="s">
        <v>38</v>
      </c>
      <c r="D231" s="948" t="s">
        <v>14</v>
      </c>
      <c r="E231" s="929">
        <f>'SSR-rates'!$I$58</f>
        <v>520</v>
      </c>
      <c r="F231" s="929" t="s">
        <v>38</v>
      </c>
      <c r="G231" s="936">
        <f>ROUND(B231*E231,2)</f>
        <v>41.6</v>
      </c>
      <c r="H231" s="934"/>
    </row>
    <row r="232" spans="1:8" s="837" customFormat="1" ht="20.100000000000001" customHeight="1">
      <c r="A232" s="924"/>
      <c r="B232" s="928">
        <v>2</v>
      </c>
      <c r="C232" s="929" t="s">
        <v>38</v>
      </c>
      <c r="D232" s="948" t="s">
        <v>312</v>
      </c>
      <c r="E232" s="929">
        <f>'SSR-rates'!$I$60</f>
        <v>520</v>
      </c>
      <c r="F232" s="929" t="s">
        <v>38</v>
      </c>
      <c r="G232" s="936">
        <f>ROUND(B232*E232,2)</f>
        <v>1040</v>
      </c>
      <c r="H232" s="934"/>
    </row>
    <row r="233" spans="1:8" s="837" customFormat="1" ht="20.100000000000001" customHeight="1">
      <c r="A233" s="878"/>
      <c r="B233" s="910">
        <f>'Input Data'!D23</f>
        <v>0</v>
      </c>
      <c r="C233" s="880"/>
      <c r="D233" s="887" t="s">
        <v>17</v>
      </c>
      <c r="E233" s="880">
        <f>SUM(G230:G232)</f>
        <v>1081.5999999999999</v>
      </c>
      <c r="F233" s="878"/>
      <c r="G233" s="880">
        <f>B233*E233</f>
        <v>0</v>
      </c>
      <c r="H233" s="934"/>
    </row>
    <row r="234" spans="1:8" s="837" customFormat="1" ht="20.100000000000001" customHeight="1">
      <c r="A234" s="924"/>
      <c r="B234" s="925"/>
      <c r="C234" s="924"/>
      <c r="D234" s="948"/>
      <c r="E234" s="929"/>
      <c r="F234" s="924"/>
      <c r="G234" s="927">
        <f>SUM(G231:G233)</f>
        <v>1081.5999999999999</v>
      </c>
      <c r="H234" s="934"/>
    </row>
    <row r="235" spans="1:8" s="837" customFormat="1" ht="20.100000000000001" customHeight="1">
      <c r="A235" s="924"/>
      <c r="B235" s="925"/>
      <c r="C235" s="924"/>
      <c r="D235" s="947" t="s">
        <v>1117</v>
      </c>
      <c r="E235" s="929"/>
      <c r="F235" s="924"/>
      <c r="G235" s="929"/>
      <c r="H235" s="934"/>
    </row>
    <row r="236" spans="1:8" s="837" customFormat="1" ht="35.1" customHeight="1">
      <c r="A236" s="924"/>
      <c r="B236" s="928">
        <v>0.13</v>
      </c>
      <c r="C236" s="929" t="s">
        <v>23</v>
      </c>
      <c r="D236" s="926" t="s">
        <v>1244</v>
      </c>
      <c r="E236" s="937">
        <f>'SSR-rates'!$I$64</f>
        <v>3502.9</v>
      </c>
      <c r="F236" s="929" t="s">
        <v>23</v>
      </c>
      <c r="G236" s="936">
        <f>ROUND(B236*E236,2)</f>
        <v>455.38</v>
      </c>
      <c r="H236" s="934"/>
    </row>
    <row r="237" spans="1:8" s="837" customFormat="1" ht="35.1" customHeight="1">
      <c r="A237" s="924"/>
      <c r="B237" s="928">
        <v>12</v>
      </c>
      <c r="C237" s="929" t="s">
        <v>1245</v>
      </c>
      <c r="D237" s="926" t="s">
        <v>1246</v>
      </c>
      <c r="E237" s="937">
        <f>'Road data'!$G$205</f>
        <v>8</v>
      </c>
      <c r="F237" s="929" t="s">
        <v>1245</v>
      </c>
      <c r="G237" s="936">
        <f>ROUND(B237*E237,2)</f>
        <v>96</v>
      </c>
      <c r="H237" s="934"/>
    </row>
    <row r="238" spans="1:8" s="837" customFormat="1" ht="35.1" customHeight="1">
      <c r="A238" s="924"/>
      <c r="B238" s="949">
        <v>0.1</v>
      </c>
      <c r="C238" s="929"/>
      <c r="D238" s="926" t="s">
        <v>1247</v>
      </c>
      <c r="E238" s="937">
        <f>G237</f>
        <v>96</v>
      </c>
      <c r="F238" s="929"/>
      <c r="G238" s="936">
        <f>ROUND(B238*E238,2)</f>
        <v>9.6</v>
      </c>
      <c r="H238" s="934"/>
    </row>
    <row r="239" spans="1:8" s="837" customFormat="1" ht="20.100000000000001" customHeight="1">
      <c r="A239" s="924"/>
      <c r="B239" s="928">
        <v>0.5</v>
      </c>
      <c r="C239" s="929" t="s">
        <v>23</v>
      </c>
      <c r="D239" s="926" t="s">
        <v>1248</v>
      </c>
      <c r="E239" s="937">
        <f>'SSR-rates'!$I$91</f>
        <v>59</v>
      </c>
      <c r="F239" s="929" t="s">
        <v>23</v>
      </c>
      <c r="G239" s="936">
        <f>ROUND(B239*E239,2)</f>
        <v>29.5</v>
      </c>
      <c r="H239" s="934"/>
    </row>
    <row r="240" spans="1:8" s="837" customFormat="1" ht="20.100000000000001" customHeight="1">
      <c r="A240" s="924"/>
      <c r="B240" s="925"/>
      <c r="C240" s="924"/>
      <c r="D240" s="926"/>
      <c r="E240" s="937"/>
      <c r="F240" s="924"/>
      <c r="G240" s="950">
        <f>SUM(G236:G239)</f>
        <v>590.48</v>
      </c>
      <c r="H240" s="934"/>
    </row>
    <row r="241" spans="1:8" s="837" customFormat="1" ht="12.6">
      <c r="A241" s="924"/>
      <c r="B241" s="925"/>
      <c r="C241" s="924"/>
      <c r="D241" s="951"/>
      <c r="E241" s="952"/>
      <c r="F241" s="951"/>
      <c r="G241" s="950">
        <f>G234+G240</f>
        <v>1672.08</v>
      </c>
      <c r="H241" s="934"/>
    </row>
    <row r="242" spans="1:8" s="837" customFormat="1" ht="20.100000000000001" customHeight="1">
      <c r="A242" s="924"/>
      <c r="B242" s="895" t="s">
        <v>27</v>
      </c>
      <c r="C242" s="3832" t="s">
        <v>1238</v>
      </c>
      <c r="D242" s="3832"/>
      <c r="E242" s="3832"/>
      <c r="F242" s="878"/>
      <c r="G242" s="901"/>
      <c r="H242" s="934"/>
    </row>
    <row r="243" spans="1:8" s="837" customFormat="1" ht="35.1" customHeight="1">
      <c r="A243" s="924"/>
      <c r="B243" s="941">
        <f>'[263]Input Data'!$D$23</f>
        <v>0.13614999999999999</v>
      </c>
      <c r="C243" s="880"/>
      <c r="D243" s="879" t="str">
        <f>"Over head charges &amp; CP "&amp;'[263]Input Data'!$D$23*100&amp;"%  on (A) + (B)+(C)"</f>
        <v>Over head charges &amp; CP 13.615%  on (A) + (B)+(C)</v>
      </c>
      <c r="E243" s="880">
        <f>G241</f>
        <v>1672.08</v>
      </c>
      <c r="F243" s="878"/>
      <c r="G243" s="880">
        <f>E243*B243</f>
        <v>227.65369199999998</v>
      </c>
      <c r="H243" s="934"/>
    </row>
    <row r="244" spans="1:8" s="837" customFormat="1" ht="20.100000000000001" customHeight="1">
      <c r="A244" s="924"/>
      <c r="B244" s="941">
        <f>'[263]Input Data'!$E$23</f>
        <v>0</v>
      </c>
      <c r="C244" s="880"/>
      <c r="D244" s="887" t="s">
        <v>1220</v>
      </c>
      <c r="E244" s="880">
        <f>E243+G243</f>
        <v>1899.7336919999998</v>
      </c>
      <c r="F244" s="878"/>
      <c r="G244" s="880">
        <f>E244*B244</f>
        <v>0</v>
      </c>
      <c r="H244" s="934"/>
    </row>
    <row r="245" spans="1:8" s="837" customFormat="1" ht="20.100000000000001" customHeight="1">
      <c r="A245" s="924"/>
      <c r="B245" s="895" t="s">
        <v>45</v>
      </c>
      <c r="C245" s="3832" t="s">
        <v>46</v>
      </c>
      <c r="D245" s="3832"/>
      <c r="E245" s="3832"/>
      <c r="F245" s="878"/>
      <c r="G245" s="901">
        <f>G241+G243+G244</f>
        <v>1899.7336919999998</v>
      </c>
      <c r="H245" s="934"/>
    </row>
    <row r="246" spans="1:8" s="837" customFormat="1" ht="20.100000000000001" customHeight="1">
      <c r="A246" s="924"/>
      <c r="B246" s="880"/>
      <c r="C246" s="880"/>
      <c r="D246" s="894" t="s">
        <v>1249</v>
      </c>
      <c r="E246" s="880"/>
      <c r="F246" s="880" t="s">
        <v>1240</v>
      </c>
      <c r="G246" s="901">
        <f>G245/10</f>
        <v>189.97336919999998</v>
      </c>
      <c r="H246" s="934"/>
    </row>
    <row r="247" spans="1:8" s="837" customFormat="1" ht="44.25" customHeight="1">
      <c r="A247" s="924"/>
      <c r="B247" s="925"/>
      <c r="C247" s="924"/>
      <c r="D247" s="3845" t="s">
        <v>1250</v>
      </c>
      <c r="E247" s="3846"/>
      <c r="F247" s="3847"/>
      <c r="G247" s="929"/>
      <c r="H247" s="934"/>
    </row>
    <row r="248" spans="1:8" s="837" customFormat="1" ht="45.75" customHeight="1">
      <c r="A248" s="942">
        <f>A225+1</f>
        <v>1</v>
      </c>
      <c r="B248" s="943">
        <v>10.199999999999999</v>
      </c>
      <c r="C248" s="942">
        <v>3003</v>
      </c>
      <c r="D248" s="3848" t="s">
        <v>1251</v>
      </c>
      <c r="E248" s="3849"/>
      <c r="F248" s="3849"/>
      <c r="G248" s="3850"/>
      <c r="H248" s="934"/>
    </row>
    <row r="249" spans="1:8" s="837" customFormat="1" ht="12.6">
      <c r="A249" s="924"/>
      <c r="B249" s="925"/>
      <c r="C249" s="924"/>
      <c r="D249" s="953"/>
      <c r="E249" s="929"/>
      <c r="F249" s="928"/>
      <c r="G249" s="929"/>
      <c r="H249" s="934"/>
    </row>
    <row r="250" spans="1:8" s="837" customFormat="1" ht="20.100000000000001" customHeight="1">
      <c r="A250" s="924"/>
      <c r="B250" s="925"/>
      <c r="C250" s="924"/>
      <c r="D250" s="953" t="s">
        <v>1252</v>
      </c>
      <c r="E250" s="929"/>
      <c r="F250" s="928"/>
      <c r="G250" s="929"/>
      <c r="H250" s="934"/>
    </row>
    <row r="251" spans="1:8" s="837" customFormat="1" ht="20.100000000000001" customHeight="1">
      <c r="A251" s="924"/>
      <c r="B251" s="925"/>
      <c r="C251" s="924"/>
      <c r="D251" s="948" t="s">
        <v>1112</v>
      </c>
      <c r="E251" s="929"/>
      <c r="F251" s="928"/>
      <c r="G251" s="929"/>
      <c r="H251" s="934"/>
    </row>
    <row r="252" spans="1:8" s="837" customFormat="1" ht="20.100000000000001" customHeight="1">
      <c r="A252" s="924"/>
      <c r="B252" s="925"/>
      <c r="C252" s="924"/>
      <c r="D252" s="948" t="s">
        <v>1253</v>
      </c>
      <c r="E252" s="929"/>
      <c r="F252" s="928"/>
      <c r="G252" s="929"/>
      <c r="H252" s="934"/>
    </row>
    <row r="253" spans="1:8" s="837" customFormat="1" ht="35.1" customHeight="1">
      <c r="A253" s="924"/>
      <c r="B253" s="925"/>
      <c r="C253" s="924"/>
      <c r="D253" s="948" t="s">
        <v>1254</v>
      </c>
      <c r="E253" s="929"/>
      <c r="F253" s="928"/>
      <c r="G253" s="929"/>
      <c r="H253" s="934"/>
    </row>
    <row r="254" spans="1:8" s="837" customFormat="1" ht="20.100000000000001" customHeight="1">
      <c r="A254" s="924"/>
      <c r="B254" s="925"/>
      <c r="C254" s="924"/>
      <c r="D254" s="948" t="s">
        <v>1255</v>
      </c>
      <c r="E254" s="929"/>
      <c r="F254" s="928"/>
      <c r="G254" s="929"/>
      <c r="H254" s="934"/>
    </row>
    <row r="255" spans="1:8" s="837" customFormat="1" ht="20.100000000000001" customHeight="1">
      <c r="A255" s="924"/>
      <c r="B255" s="925"/>
      <c r="C255" s="924"/>
      <c r="D255" s="947" t="s">
        <v>1114</v>
      </c>
      <c r="E255" s="929"/>
      <c r="F255" s="928"/>
      <c r="G255" s="929"/>
      <c r="H255" s="934"/>
    </row>
    <row r="256" spans="1:8" s="837" customFormat="1" ht="20.100000000000001" customHeight="1">
      <c r="A256" s="924"/>
      <c r="B256" s="928">
        <v>0.18</v>
      </c>
      <c r="C256" s="929" t="s">
        <v>38</v>
      </c>
      <c r="D256" s="948" t="s">
        <v>14</v>
      </c>
      <c r="E256" s="929">
        <f>'SSR-rates'!$I$58</f>
        <v>520</v>
      </c>
      <c r="F256" s="929" t="s">
        <v>38</v>
      </c>
      <c r="G256" s="936">
        <f>ROUND(B256*E256,2)</f>
        <v>93.6</v>
      </c>
      <c r="H256" s="934"/>
    </row>
    <row r="257" spans="1:8" s="837" customFormat="1" ht="20.100000000000001" customHeight="1">
      <c r="A257" s="924"/>
      <c r="B257" s="928">
        <v>4.5</v>
      </c>
      <c r="C257" s="929" t="s">
        <v>38</v>
      </c>
      <c r="D257" s="948" t="s">
        <v>59</v>
      </c>
      <c r="E257" s="929">
        <f>'SSR-rates'!$I$60</f>
        <v>520</v>
      </c>
      <c r="F257" s="929" t="s">
        <v>38</v>
      </c>
      <c r="G257" s="936">
        <f>ROUND(B257*E257,2)</f>
        <v>2340</v>
      </c>
      <c r="H257" s="934"/>
    </row>
    <row r="258" spans="1:8" s="837" customFormat="1" ht="20.100000000000001" customHeight="1">
      <c r="A258" s="878"/>
      <c r="B258" s="910">
        <f>'Input Data'!D23</f>
        <v>0</v>
      </c>
      <c r="C258" s="880"/>
      <c r="D258" s="887" t="s">
        <v>17</v>
      </c>
      <c r="E258" s="880">
        <f>SUM(G255:G257)</f>
        <v>2433.6</v>
      </c>
      <c r="F258" s="878"/>
      <c r="G258" s="880">
        <f>B258*E258</f>
        <v>0</v>
      </c>
      <c r="H258" s="934"/>
    </row>
    <row r="259" spans="1:8" s="837" customFormat="1" ht="20.100000000000001" customHeight="1">
      <c r="A259" s="924"/>
      <c r="B259" s="925"/>
      <c r="C259" s="924"/>
      <c r="D259" s="948"/>
      <c r="E259" s="929"/>
      <c r="F259" s="924"/>
      <c r="G259" s="927">
        <f>SUM(G256:G258)</f>
        <v>2433.6</v>
      </c>
      <c r="H259" s="934"/>
    </row>
    <row r="260" spans="1:8" s="837" customFormat="1" ht="20.100000000000001" customHeight="1">
      <c r="A260" s="924"/>
      <c r="B260" s="925"/>
      <c r="C260" s="924"/>
      <c r="D260" s="947" t="s">
        <v>1117</v>
      </c>
      <c r="E260" s="929"/>
      <c r="F260" s="924"/>
      <c r="G260" s="929"/>
      <c r="H260" s="934"/>
    </row>
    <row r="261" spans="1:8" s="837" customFormat="1" ht="35.1" customHeight="1">
      <c r="A261" s="924"/>
      <c r="B261" s="928">
        <v>0.25</v>
      </c>
      <c r="C261" s="929" t="s">
        <v>23</v>
      </c>
      <c r="D261" s="926" t="s">
        <v>1244</v>
      </c>
      <c r="E261" s="937">
        <f>'SSR-rates'!$I$64</f>
        <v>3502.9</v>
      </c>
      <c r="F261" s="929" t="s">
        <v>23</v>
      </c>
      <c r="G261" s="936">
        <f>ROUND(B261*E261,2)</f>
        <v>875.73</v>
      </c>
      <c r="H261" s="934"/>
    </row>
    <row r="262" spans="1:8" s="837" customFormat="1" ht="35.1" customHeight="1">
      <c r="A262" s="924"/>
      <c r="B262" s="928">
        <f>24*1</f>
        <v>24</v>
      </c>
      <c r="C262" s="929" t="s">
        <v>1245</v>
      </c>
      <c r="D262" s="926" t="s">
        <v>1256</v>
      </c>
      <c r="E262" s="937">
        <f>E237</f>
        <v>8</v>
      </c>
      <c r="F262" s="929" t="s">
        <v>1245</v>
      </c>
      <c r="G262" s="936">
        <f>ROUND(B262*E262,2)</f>
        <v>192</v>
      </c>
      <c r="H262" s="934"/>
    </row>
    <row r="263" spans="1:8" s="837" customFormat="1" ht="35.1" customHeight="1">
      <c r="A263" s="924"/>
      <c r="B263" s="949">
        <v>0.1</v>
      </c>
      <c r="C263" s="929"/>
      <c r="D263" s="926" t="s">
        <v>1247</v>
      </c>
      <c r="E263" s="937">
        <f>G262</f>
        <v>192</v>
      </c>
      <c r="F263" s="929"/>
      <c r="G263" s="936">
        <f>ROUND(B263*E263,2)</f>
        <v>19.2</v>
      </c>
      <c r="H263" s="934"/>
    </row>
    <row r="264" spans="1:8" s="837" customFormat="1" ht="20.100000000000001" customHeight="1">
      <c r="A264" s="924"/>
      <c r="B264" s="928">
        <v>12</v>
      </c>
      <c r="C264" s="929" t="s">
        <v>23</v>
      </c>
      <c r="D264" s="926" t="s">
        <v>1257</v>
      </c>
      <c r="E264" s="937">
        <f>'SSR-rates'!$I$91</f>
        <v>59</v>
      </c>
      <c r="F264" s="929" t="s">
        <v>23</v>
      </c>
      <c r="G264" s="936">
        <f>ROUND(B264*E264,2)</f>
        <v>708</v>
      </c>
      <c r="H264" s="934"/>
    </row>
    <row r="265" spans="1:8" s="837" customFormat="1" ht="20.100000000000001" customHeight="1">
      <c r="A265" s="924"/>
      <c r="B265" s="925"/>
      <c r="C265" s="924"/>
      <c r="D265" s="926"/>
      <c r="E265" s="937"/>
      <c r="F265" s="938"/>
      <c r="G265" s="950">
        <f>SUM(G261:G264)</f>
        <v>1794.93</v>
      </c>
      <c r="H265" s="934"/>
    </row>
    <row r="266" spans="1:8" s="837" customFormat="1" ht="20.100000000000001" customHeight="1">
      <c r="A266" s="924"/>
      <c r="B266" s="925"/>
      <c r="C266" s="924"/>
      <c r="D266" s="933"/>
      <c r="E266" s="929"/>
      <c r="F266" s="928"/>
      <c r="G266" s="950">
        <f>G265+G259</f>
        <v>4228.53</v>
      </c>
      <c r="H266" s="934"/>
    </row>
    <row r="267" spans="1:8" s="837" customFormat="1" ht="20.100000000000001" customHeight="1">
      <c r="A267" s="924"/>
      <c r="B267" s="895" t="s">
        <v>27</v>
      </c>
      <c r="C267" s="924"/>
      <c r="D267" s="894" t="s">
        <v>1238</v>
      </c>
      <c r="E267" s="880"/>
      <c r="F267" s="878"/>
      <c r="G267" s="901"/>
      <c r="H267" s="934"/>
    </row>
    <row r="268" spans="1:8" s="837" customFormat="1" ht="25.2">
      <c r="A268" s="924"/>
      <c r="B268" s="941">
        <f>'[263]Input Data'!$D$23</f>
        <v>0.13614999999999999</v>
      </c>
      <c r="C268" s="880"/>
      <c r="D268" s="879" t="str">
        <f>"Over head charges &amp; CP "&amp;'[263]Input Data'!$D$23*100&amp;"%  on (A) + (B)+(C)"</f>
        <v>Over head charges &amp; CP 13.615%  on (A) + (B)+(C)</v>
      </c>
      <c r="E268" s="880">
        <f>G266</f>
        <v>4228.53</v>
      </c>
      <c r="F268" s="878"/>
      <c r="G268" s="880">
        <f>E268*B268</f>
        <v>575.71435949999989</v>
      </c>
      <c r="H268" s="934"/>
    </row>
    <row r="269" spans="1:8" s="837" customFormat="1" ht="20.100000000000001" customHeight="1">
      <c r="A269" s="924"/>
      <c r="B269" s="941">
        <f>'[263]Input Data'!$E$23</f>
        <v>0</v>
      </c>
      <c r="C269" s="880"/>
      <c r="D269" s="887" t="s">
        <v>1220</v>
      </c>
      <c r="E269" s="880">
        <f>E268+G268</f>
        <v>4804.2443594999995</v>
      </c>
      <c r="F269" s="878"/>
      <c r="G269" s="880">
        <f>E269*B269</f>
        <v>0</v>
      </c>
      <c r="H269" s="934"/>
    </row>
    <row r="270" spans="1:8" s="837" customFormat="1" ht="20.100000000000001" customHeight="1">
      <c r="A270" s="924"/>
      <c r="B270" s="895" t="s">
        <v>45</v>
      </c>
      <c r="C270" s="924"/>
      <c r="D270" s="894" t="s">
        <v>46</v>
      </c>
      <c r="E270" s="880"/>
      <c r="F270" s="878"/>
      <c r="G270" s="901">
        <f>G266+G268+G269</f>
        <v>4804.2443594999995</v>
      </c>
      <c r="H270" s="934"/>
    </row>
    <row r="271" spans="1:8" s="837" customFormat="1" ht="20.100000000000001" customHeight="1">
      <c r="A271" s="924"/>
      <c r="B271" s="880"/>
      <c r="C271" s="880"/>
      <c r="D271" s="894" t="s">
        <v>1239</v>
      </c>
      <c r="E271" s="880"/>
      <c r="F271" s="880" t="s">
        <v>1240</v>
      </c>
      <c r="G271" s="901">
        <f>G270/100</f>
        <v>48.042443594999995</v>
      </c>
      <c r="H271" s="934"/>
    </row>
    <row r="272" spans="1:8" s="836" customFormat="1" ht="40.5" customHeight="1">
      <c r="A272" s="921">
        <f>'[263]Road &amp; MTC data '!A203+1</f>
        <v>1</v>
      </c>
      <c r="B272" s="922">
        <v>10.199999999999999</v>
      </c>
      <c r="C272" s="921">
        <v>3003</v>
      </c>
      <c r="D272" s="3851" t="s">
        <v>1258</v>
      </c>
      <c r="E272" s="3852"/>
      <c r="F272" s="3852"/>
      <c r="G272" s="3853"/>
      <c r="H272" s="946"/>
    </row>
    <row r="273" spans="1:8" s="837" customFormat="1" ht="12.6">
      <c r="A273" s="924"/>
      <c r="B273" s="925"/>
      <c r="C273" s="924"/>
      <c r="D273" s="953"/>
      <c r="E273" s="929"/>
      <c r="F273" s="928"/>
      <c r="G273" s="929"/>
      <c r="H273" s="934"/>
    </row>
    <row r="274" spans="1:8" s="837" customFormat="1" ht="20.100000000000001" customHeight="1">
      <c r="A274" s="924"/>
      <c r="B274" s="925"/>
      <c r="C274" s="924"/>
      <c r="D274" s="953" t="s">
        <v>1259</v>
      </c>
      <c r="E274" s="929"/>
      <c r="F274" s="928"/>
      <c r="G274" s="929"/>
      <c r="H274" s="934"/>
    </row>
    <row r="275" spans="1:8" s="837" customFormat="1" ht="20.100000000000001" customHeight="1">
      <c r="A275" s="924"/>
      <c r="B275" s="925"/>
      <c r="C275" s="924"/>
      <c r="D275" s="948" t="s">
        <v>1112</v>
      </c>
      <c r="E275" s="929"/>
      <c r="F275" s="928"/>
      <c r="G275" s="929"/>
      <c r="H275" s="934"/>
    </row>
    <row r="276" spans="1:8" s="837" customFormat="1" ht="20.100000000000001" customHeight="1">
      <c r="A276" s="924"/>
      <c r="B276" s="925"/>
      <c r="C276" s="924"/>
      <c r="D276" s="948" t="s">
        <v>1253</v>
      </c>
      <c r="E276" s="929"/>
      <c r="F276" s="928"/>
      <c r="G276" s="929"/>
      <c r="H276" s="934"/>
    </row>
    <row r="277" spans="1:8" s="837" customFormat="1" ht="27" customHeight="1">
      <c r="A277" s="924"/>
      <c r="B277" s="925"/>
      <c r="C277" s="924"/>
      <c r="D277" s="948" t="s">
        <v>1260</v>
      </c>
      <c r="E277" s="929"/>
      <c r="F277" s="928"/>
      <c r="G277" s="929"/>
      <c r="H277" s="934"/>
    </row>
    <row r="278" spans="1:8" s="837" customFormat="1" ht="20.100000000000001" customHeight="1">
      <c r="A278" s="924"/>
      <c r="B278" s="925"/>
      <c r="C278" s="924"/>
      <c r="D278" s="948" t="s">
        <v>1261</v>
      </c>
      <c r="E278" s="929"/>
      <c r="F278" s="928"/>
      <c r="G278" s="929"/>
      <c r="H278" s="934"/>
    </row>
    <row r="279" spans="1:8" s="837" customFormat="1" ht="20.100000000000001" customHeight="1">
      <c r="A279" s="924"/>
      <c r="B279" s="925"/>
      <c r="C279" s="924"/>
      <c r="D279" s="947" t="s">
        <v>1114</v>
      </c>
      <c r="E279" s="929"/>
      <c r="F279" s="928"/>
      <c r="G279" s="929"/>
      <c r="H279" s="934"/>
    </row>
    <row r="280" spans="1:8" s="837" customFormat="1" ht="20.100000000000001" customHeight="1">
      <c r="A280" s="924"/>
      <c r="B280" s="928">
        <v>0.1</v>
      </c>
      <c r="C280" s="929" t="s">
        <v>38</v>
      </c>
      <c r="D280" s="948" t="s">
        <v>14</v>
      </c>
      <c r="E280" s="929">
        <f>'SSR-rates'!I58</f>
        <v>520</v>
      </c>
      <c r="F280" s="929" t="s">
        <v>38</v>
      </c>
      <c r="G280" s="954">
        <f>ROUND(B280*E280,2)</f>
        <v>52</v>
      </c>
      <c r="H280" s="934"/>
    </row>
    <row r="281" spans="1:8" s="837" customFormat="1" ht="20.100000000000001" customHeight="1">
      <c r="A281" s="924"/>
      <c r="B281" s="928">
        <v>2.5</v>
      </c>
      <c r="C281" s="929" t="s">
        <v>38</v>
      </c>
      <c r="D281" s="948" t="s">
        <v>59</v>
      </c>
      <c r="E281" s="929">
        <f>E280</f>
        <v>520</v>
      </c>
      <c r="F281" s="929" t="s">
        <v>38</v>
      </c>
      <c r="G281" s="954">
        <f>ROUND(B281*E281,2)</f>
        <v>1300</v>
      </c>
      <c r="H281" s="934"/>
    </row>
    <row r="282" spans="1:8" s="837" customFormat="1" ht="20.100000000000001" customHeight="1">
      <c r="A282" s="878"/>
      <c r="B282" s="910">
        <f>'Input Data'!D23</f>
        <v>0</v>
      </c>
      <c r="C282" s="880"/>
      <c r="D282" s="887" t="s">
        <v>17</v>
      </c>
      <c r="E282" s="880">
        <f>SUM(G279:G281)</f>
        <v>1352</v>
      </c>
      <c r="F282" s="878"/>
      <c r="G282" s="880">
        <f>B282*E282</f>
        <v>0</v>
      </c>
      <c r="H282" s="934"/>
    </row>
    <row r="283" spans="1:8" s="837" customFormat="1" ht="20.100000000000001" customHeight="1">
      <c r="A283" s="924"/>
      <c r="B283" s="925"/>
      <c r="C283" s="924"/>
      <c r="D283" s="948"/>
      <c r="E283" s="3854" t="s">
        <v>1262</v>
      </c>
      <c r="F283" s="3854"/>
      <c r="G283" s="927">
        <f>SUM(G280:G282)</f>
        <v>1352</v>
      </c>
      <c r="H283" s="934"/>
    </row>
    <row r="284" spans="1:8" s="837" customFormat="1" ht="20.100000000000001" customHeight="1">
      <c r="A284" s="924"/>
      <c r="B284" s="925"/>
      <c r="C284" s="924"/>
      <c r="D284" s="947" t="s">
        <v>1117</v>
      </c>
      <c r="E284" s="929"/>
      <c r="F284" s="924"/>
      <c r="G284" s="929"/>
      <c r="H284" s="934"/>
    </row>
    <row r="285" spans="1:8" s="837" customFormat="1" ht="20.100000000000001" customHeight="1">
      <c r="A285" s="924"/>
      <c r="B285" s="928">
        <v>4</v>
      </c>
      <c r="C285" s="929" t="s">
        <v>23</v>
      </c>
      <c r="D285" s="926" t="s">
        <v>1257</v>
      </c>
      <c r="E285" s="937">
        <f>E264</f>
        <v>59</v>
      </c>
      <c r="F285" s="929" t="s">
        <v>23</v>
      </c>
      <c r="G285" s="954">
        <f>ROUND(B285*E285,2)</f>
        <v>236</v>
      </c>
      <c r="H285" s="934"/>
    </row>
    <row r="286" spans="1:8" s="837" customFormat="1" ht="20.100000000000001" customHeight="1">
      <c r="A286" s="924"/>
      <c r="B286" s="925"/>
      <c r="C286" s="924"/>
      <c r="D286" s="926"/>
      <c r="E286" s="3854" t="s">
        <v>1263</v>
      </c>
      <c r="F286" s="3854"/>
      <c r="G286" s="950">
        <f>SUM(G285:G285)</f>
        <v>236</v>
      </c>
      <c r="H286" s="934"/>
    </row>
    <row r="287" spans="1:8" s="837" customFormat="1" ht="20.100000000000001" customHeight="1">
      <c r="A287" s="924"/>
      <c r="B287" s="925"/>
      <c r="C287" s="924"/>
      <c r="D287" s="933"/>
      <c r="E287" s="3854" t="s">
        <v>1264</v>
      </c>
      <c r="F287" s="3854"/>
      <c r="G287" s="950">
        <f>G286+G283</f>
        <v>1588</v>
      </c>
      <c r="H287" s="934"/>
    </row>
    <row r="288" spans="1:8" s="837" customFormat="1" ht="20.100000000000001" customHeight="1">
      <c r="A288" s="924"/>
      <c r="B288" s="895" t="s">
        <v>27</v>
      </c>
      <c r="C288" s="924"/>
      <c r="D288" s="894" t="s">
        <v>1238</v>
      </c>
      <c r="E288" s="880"/>
      <c r="F288" s="878"/>
      <c r="G288" s="901"/>
      <c r="H288" s="934"/>
    </row>
    <row r="289" spans="1:8" s="837" customFormat="1" ht="25.2">
      <c r="A289" s="924"/>
      <c r="B289" s="955">
        <f>'[264]Input Data'!$D$24</f>
        <v>0.13614999999999999</v>
      </c>
      <c r="C289" s="880"/>
      <c r="D289" s="879" t="str">
        <f>"Over head charges &amp; CP "&amp;'[264]Input Data'!$D$24*100&amp;"%  on (A) + (B)+(C)"</f>
        <v>Over head charges &amp; CP 13.615%  on (A) + (B)+(C)</v>
      </c>
      <c r="E289" s="880">
        <f>G287</f>
        <v>1588</v>
      </c>
      <c r="F289" s="878"/>
      <c r="G289" s="880">
        <f>E289*B289</f>
        <v>216.2062</v>
      </c>
      <c r="H289" s="934"/>
    </row>
    <row r="290" spans="1:8" s="837" customFormat="1" ht="20.100000000000001" customHeight="1">
      <c r="A290" s="924"/>
      <c r="B290" s="955">
        <v>0</v>
      </c>
      <c r="C290" s="880"/>
      <c r="D290" s="887" t="s">
        <v>1220</v>
      </c>
      <c r="E290" s="880">
        <f>E289+G289</f>
        <v>1804.2062000000001</v>
      </c>
      <c r="F290" s="878"/>
      <c r="G290" s="880">
        <f>E290*B290</f>
        <v>0</v>
      </c>
      <c r="H290" s="934"/>
    </row>
    <row r="291" spans="1:8" s="837" customFormat="1" ht="20.100000000000001" customHeight="1">
      <c r="A291" s="924"/>
      <c r="B291" s="895" t="s">
        <v>45</v>
      </c>
      <c r="C291" s="924"/>
      <c r="D291" s="894" t="s">
        <v>46</v>
      </c>
      <c r="E291" s="880"/>
      <c r="F291" s="878"/>
      <c r="G291" s="901">
        <f>G287+G289+G290</f>
        <v>1804.2062000000001</v>
      </c>
      <c r="H291" s="934"/>
    </row>
    <row r="292" spans="1:8" s="837" customFormat="1" ht="20.100000000000001" customHeight="1">
      <c r="A292" s="924"/>
      <c r="B292" s="880"/>
      <c r="C292" s="880"/>
      <c r="D292" s="894" t="s">
        <v>1239</v>
      </c>
      <c r="E292" s="880"/>
      <c r="F292" s="880" t="s">
        <v>1240</v>
      </c>
      <c r="G292" s="901">
        <f>G291/100</f>
        <v>18.042062000000001</v>
      </c>
      <c r="H292" s="934"/>
    </row>
    <row r="293" spans="1:8" s="836" customFormat="1" ht="12.6">
      <c r="A293" s="956"/>
      <c r="B293" s="957"/>
      <c r="C293" s="956"/>
      <c r="D293" s="958"/>
      <c r="E293" s="959"/>
      <c r="F293" s="960"/>
      <c r="G293" s="959"/>
      <c r="H293" s="946"/>
    </row>
    <row r="294" spans="1:8" s="836" customFormat="1" ht="12.6">
      <c r="A294" s="956"/>
      <c r="B294" s="957"/>
      <c r="C294" s="956"/>
      <c r="D294" s="958"/>
      <c r="E294" s="959"/>
      <c r="F294" s="960"/>
      <c r="G294" s="959"/>
      <c r="H294" s="946"/>
    </row>
    <row r="297" spans="1:8">
      <c r="D297" s="89" t="str">
        <f>'1V 1m dia Pipe Culverts'!B39</f>
        <v>Assistant  Engineer,</v>
      </c>
      <c r="E297" s="89" t="str">
        <f>'1V 1m dia Pipe Culverts'!H39</f>
        <v>Dy. Exe. Engineer</v>
      </c>
    </row>
    <row r="298" spans="1:8">
      <c r="D298" s="89" t="str">
        <f>'1V 1m dia Pipe Culverts'!B40</f>
        <v>PRSD, Maddur</v>
      </c>
      <c r="E298" s="89" t="str">
        <f>'1V 1m dia Pipe Culverts'!H40</f>
        <v>PRSD, Maddur</v>
      </c>
    </row>
    <row r="303" spans="1:8">
      <c r="D303" s="89" t="str">
        <f>'1V 1m dia Pipe Culverts'!B44</f>
        <v>District Panchayat Raj Engineer,</v>
      </c>
      <c r="E303" s="89" t="str">
        <f>'1V 1m dia Pipe Culverts'!H44</f>
        <v>Superintending Engineer</v>
      </c>
    </row>
    <row r="304" spans="1:8">
      <c r="D304" s="89" t="str">
        <f>'1V 1m dia Pipe Culverts'!B45</f>
        <v>PIU, Narayanpet</v>
      </c>
      <c r="E304" s="89" t="str">
        <f>'1V 1m dia Pipe Culverts'!H45</f>
        <v>PR, Circle, Vikarabad</v>
      </c>
    </row>
  </sheetData>
  <mergeCells count="46">
    <mergeCell ref="D248:G248"/>
    <mergeCell ref="D272:G272"/>
    <mergeCell ref="E283:F283"/>
    <mergeCell ref="E286:F286"/>
    <mergeCell ref="E287:F287"/>
    <mergeCell ref="D226:G226"/>
    <mergeCell ref="E227:G227"/>
    <mergeCell ref="C242:E242"/>
    <mergeCell ref="C245:E245"/>
    <mergeCell ref="D247:F247"/>
    <mergeCell ref="C182:D182"/>
    <mergeCell ref="C183:D183"/>
    <mergeCell ref="C184:D184"/>
    <mergeCell ref="C185:D185"/>
    <mergeCell ref="D190:G190"/>
    <mergeCell ref="E140:F140"/>
    <mergeCell ref="C141:E141"/>
    <mergeCell ref="C144:D144"/>
    <mergeCell ref="C149:G149"/>
    <mergeCell ref="A150:C150"/>
    <mergeCell ref="C80:E80"/>
    <mergeCell ref="E99:F99"/>
    <mergeCell ref="B106:G106"/>
    <mergeCell ref="B107:G107"/>
    <mergeCell ref="B109:G109"/>
    <mergeCell ref="E46:F46"/>
    <mergeCell ref="B47:C47"/>
    <mergeCell ref="C53:G53"/>
    <mergeCell ref="B77:G77"/>
    <mergeCell ref="C78:G78"/>
    <mergeCell ref="C18:G18"/>
    <mergeCell ref="D22:E22"/>
    <mergeCell ref="A24:C24"/>
    <mergeCell ref="D24:G24"/>
    <mergeCell ref="B25:C25"/>
    <mergeCell ref="D25:G25"/>
    <mergeCell ref="L7:O7"/>
    <mergeCell ref="C8:G8"/>
    <mergeCell ref="D12:E12"/>
    <mergeCell ref="C13:G13"/>
    <mergeCell ref="D17:E17"/>
    <mergeCell ref="A1:G1"/>
    <mergeCell ref="B3:C3"/>
    <mergeCell ref="C4:G4"/>
    <mergeCell ref="C6:G6"/>
    <mergeCell ref="H7:K7"/>
  </mergeCells>
  <printOptions horizontalCentered="1"/>
  <pageMargins left="0.59055118110236204" right="0.196850393700787" top="0.59055118110236204" bottom="0.39370078740157499" header="0.31496062992126" footer="0.31496062992126"/>
  <pageSetup paperSize="9" scale="85"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rgb="FF000099"/>
  </sheetPr>
  <dimension ref="A1:I126"/>
  <sheetViews>
    <sheetView workbookViewId="0">
      <selection activeCell="E16" sqref="E16"/>
    </sheetView>
  </sheetViews>
  <sheetFormatPr defaultColWidth="9.33203125" defaultRowHeight="13.2"/>
  <cols>
    <col min="1" max="1" width="5" style="748" customWidth="1"/>
    <col min="2" max="2" width="8.109375" style="750" customWidth="1"/>
    <col min="3" max="3" width="6.88671875" style="748" customWidth="1"/>
    <col min="4" max="4" width="45.33203125" style="751" customWidth="1"/>
    <col min="5" max="5" width="10.44140625" style="748" customWidth="1"/>
    <col min="6" max="6" width="8.33203125" style="752" customWidth="1"/>
    <col min="7" max="7" width="15.109375" style="744" customWidth="1"/>
    <col min="8" max="9" width="9.33203125" style="746" hidden="1" customWidth="1"/>
    <col min="10" max="16384" width="9.33203125" style="746"/>
  </cols>
  <sheetData>
    <row r="1" spans="1:7" s="743" customFormat="1" ht="23.1" customHeight="1">
      <c r="A1" s="3856" t="s">
        <v>1265</v>
      </c>
      <c r="B1" s="3856"/>
      <c r="C1" s="3856"/>
      <c r="D1" s="3856"/>
      <c r="E1" s="3856"/>
      <c r="F1" s="3856"/>
      <c r="G1" s="3856"/>
    </row>
    <row r="2" spans="1:7" s="743" customFormat="1" ht="26.1" customHeight="1">
      <c r="A2" s="3856" t="str">
        <f>'Input Data'!E1</f>
        <v>C/o HLB on R/F Amlikunta to Gundumal of Gundumal Mandal of Narayanept District.</v>
      </c>
      <c r="B2" s="3856"/>
      <c r="C2" s="3856"/>
      <c r="D2" s="3856"/>
      <c r="E2" s="3856"/>
      <c r="F2" s="3856"/>
      <c r="G2" s="3856"/>
    </row>
    <row r="3" spans="1:7" s="744" customFormat="1" ht="31.2">
      <c r="A3" s="753" t="s">
        <v>1266</v>
      </c>
      <c r="B3" s="753" t="s">
        <v>1267</v>
      </c>
      <c r="C3" s="754" t="s">
        <v>1268</v>
      </c>
      <c r="D3" s="755" t="s">
        <v>529</v>
      </c>
      <c r="E3" s="755" t="s">
        <v>965</v>
      </c>
      <c r="F3" s="755" t="s">
        <v>3</v>
      </c>
      <c r="G3" s="755" t="s">
        <v>1269</v>
      </c>
    </row>
    <row r="4" spans="1:7" s="745" customFormat="1">
      <c r="A4" s="753">
        <v>1</v>
      </c>
      <c r="B4" s="753">
        <v>2</v>
      </c>
      <c r="C4" s="753">
        <v>3</v>
      </c>
      <c r="D4" s="753">
        <v>4</v>
      </c>
      <c r="E4" s="753">
        <v>5</v>
      </c>
      <c r="F4" s="753">
        <v>6</v>
      </c>
      <c r="G4" s="753">
        <v>7</v>
      </c>
    </row>
    <row r="5" spans="1:7" ht="15.75" customHeight="1">
      <c r="A5" s="756">
        <f>'Road data'!A930+1</f>
        <v>22</v>
      </c>
      <c r="B5" s="757">
        <v>10.1</v>
      </c>
      <c r="C5" s="758">
        <v>3002</v>
      </c>
      <c r="D5" s="759" t="s">
        <v>1241</v>
      </c>
      <c r="E5" s="760"/>
      <c r="F5" s="761"/>
      <c r="G5" s="762"/>
    </row>
    <row r="6" spans="1:7" ht="63.75" customHeight="1">
      <c r="A6" s="760"/>
      <c r="B6" s="763"/>
      <c r="C6" s="760"/>
      <c r="D6" s="764" t="s">
        <v>1242</v>
      </c>
      <c r="E6" s="760"/>
      <c r="F6" s="761"/>
      <c r="G6" s="762"/>
    </row>
    <row r="7" spans="1:7">
      <c r="A7" s="760"/>
      <c r="B7" s="763"/>
      <c r="C7" s="760"/>
      <c r="D7" s="765" t="s">
        <v>1243</v>
      </c>
      <c r="E7" s="760"/>
      <c r="F7" s="761"/>
      <c r="G7" s="762"/>
    </row>
    <row r="8" spans="1:7">
      <c r="A8" s="760"/>
      <c r="B8" s="763"/>
      <c r="C8" s="760"/>
      <c r="D8" s="766" t="s">
        <v>10</v>
      </c>
      <c r="E8" s="760"/>
      <c r="F8" s="761"/>
      <c r="G8" s="762"/>
    </row>
    <row r="9" spans="1:7">
      <c r="A9" s="760"/>
      <c r="B9" s="763"/>
      <c r="C9" s="760"/>
      <c r="D9" s="766" t="s">
        <v>84</v>
      </c>
      <c r="E9" s="760"/>
      <c r="F9" s="761"/>
      <c r="G9" s="762"/>
    </row>
    <row r="10" spans="1:7">
      <c r="A10" s="760"/>
      <c r="B10" s="763"/>
      <c r="C10" s="760"/>
      <c r="D10" s="765" t="s">
        <v>1114</v>
      </c>
      <c r="E10" s="767"/>
      <c r="F10" s="761"/>
      <c r="G10" s="762"/>
    </row>
    <row r="11" spans="1:7">
      <c r="A11" s="760"/>
      <c r="B11" s="761">
        <v>0.08</v>
      </c>
      <c r="C11" s="767" t="s">
        <v>38</v>
      </c>
      <c r="D11" s="766" t="s">
        <v>14</v>
      </c>
      <c r="E11" s="761">
        <f>'SSR-rates'!$I$58</f>
        <v>520</v>
      </c>
      <c r="F11" s="767" t="s">
        <v>38</v>
      </c>
      <c r="G11" s="768">
        <f t="shared" ref="G11:G12" si="0">ROUND(B11*E11,2)</f>
        <v>41.6</v>
      </c>
    </row>
    <row r="12" spans="1:7">
      <c r="A12" s="760"/>
      <c r="B12" s="761">
        <v>2</v>
      </c>
      <c r="C12" s="767" t="s">
        <v>38</v>
      </c>
      <c r="D12" s="766" t="s">
        <v>312</v>
      </c>
      <c r="E12" s="761">
        <f>'SSR-rates'!$I$60</f>
        <v>520</v>
      </c>
      <c r="F12" s="767" t="s">
        <v>38</v>
      </c>
      <c r="G12" s="768">
        <f t="shared" si="0"/>
        <v>1040</v>
      </c>
    </row>
    <row r="13" spans="1:7">
      <c r="A13" s="760"/>
      <c r="B13" s="763"/>
      <c r="C13" s="760"/>
      <c r="D13" s="766"/>
      <c r="E13" s="761"/>
      <c r="F13" s="760"/>
      <c r="G13" s="769">
        <f>SUM(G11:G12)</f>
        <v>1081.5999999999999</v>
      </c>
    </row>
    <row r="14" spans="1:7">
      <c r="A14" s="760"/>
      <c r="B14" s="763"/>
      <c r="C14" s="760"/>
      <c r="D14" s="765" t="s">
        <v>1117</v>
      </c>
      <c r="E14" s="761"/>
      <c r="F14" s="760"/>
      <c r="G14" s="770"/>
    </row>
    <row r="15" spans="1:7">
      <c r="A15" s="760"/>
      <c r="B15" s="761">
        <v>0.13</v>
      </c>
      <c r="C15" s="767" t="s">
        <v>23</v>
      </c>
      <c r="D15" s="771" t="s">
        <v>1244</v>
      </c>
      <c r="E15" s="772">
        <f>'SSR-rates'!$I$64</f>
        <v>3502.9</v>
      </c>
      <c r="F15" s="767" t="s">
        <v>23</v>
      </c>
      <c r="G15" s="768">
        <f t="shared" ref="G15:G18" si="1">ROUND(B15*E15,2)</f>
        <v>455.38</v>
      </c>
    </row>
    <row r="16" spans="1:7" ht="26.4">
      <c r="A16" s="760"/>
      <c r="B16" s="761">
        <f>12*1</f>
        <v>12</v>
      </c>
      <c r="C16" s="773" t="s">
        <v>1245</v>
      </c>
      <c r="D16" s="771" t="s">
        <v>1246</v>
      </c>
      <c r="E16" s="772">
        <f>'Road data'!$G$205</f>
        <v>8</v>
      </c>
      <c r="F16" s="767" t="s">
        <v>1245</v>
      </c>
      <c r="G16" s="768">
        <f t="shared" si="1"/>
        <v>96</v>
      </c>
    </row>
    <row r="17" spans="1:7" ht="26.4">
      <c r="A17" s="760"/>
      <c r="B17" s="774">
        <v>0.1</v>
      </c>
      <c r="C17" s="767"/>
      <c r="D17" s="771" t="s">
        <v>1247</v>
      </c>
      <c r="E17" s="772">
        <f>G16</f>
        <v>96</v>
      </c>
      <c r="F17" s="767"/>
      <c r="G17" s="768">
        <f t="shared" si="1"/>
        <v>9.6</v>
      </c>
    </row>
    <row r="18" spans="1:7">
      <c r="A18" s="760"/>
      <c r="B18" s="761">
        <v>0.5</v>
      </c>
      <c r="C18" s="767" t="s">
        <v>23</v>
      </c>
      <c r="D18" s="771" t="s">
        <v>1248</v>
      </c>
      <c r="E18" s="772">
        <f>'SSR-rates'!$I$91</f>
        <v>59</v>
      </c>
      <c r="F18" s="767" t="s">
        <v>23</v>
      </c>
      <c r="G18" s="768">
        <f t="shared" si="1"/>
        <v>29.5</v>
      </c>
    </row>
    <row r="19" spans="1:7">
      <c r="A19" s="760"/>
      <c r="B19" s="763"/>
      <c r="C19" s="760"/>
      <c r="D19" s="771"/>
      <c r="E19" s="775"/>
      <c r="F19" s="760"/>
      <c r="G19" s="776">
        <f>SUM(G15:G18)</f>
        <v>590.48</v>
      </c>
    </row>
    <row r="20" spans="1:7">
      <c r="A20" s="760"/>
      <c r="B20" s="763"/>
      <c r="C20" s="760"/>
      <c r="D20" s="777"/>
      <c r="E20" s="767"/>
      <c r="F20" s="761"/>
      <c r="G20" s="776">
        <f>G13+G19</f>
        <v>1672.08</v>
      </c>
    </row>
    <row r="21" spans="1:7">
      <c r="A21" s="760"/>
      <c r="B21" s="778" t="s">
        <v>27</v>
      </c>
      <c r="C21" s="779" t="s">
        <v>1238</v>
      </c>
      <c r="D21" s="780"/>
      <c r="E21" s="780"/>
      <c r="F21" s="780"/>
      <c r="G21" s="781"/>
    </row>
    <row r="22" spans="1:7">
      <c r="A22" s="760"/>
      <c r="B22" s="782">
        <f>'Input Data'!$D$24</f>
        <v>0.13614999999999999</v>
      </c>
      <c r="C22" s="783"/>
      <c r="D22" s="784" t="str">
        <f>"Over head charges &amp; CP "&amp;'Input Data'!$D$24*100&amp;"%  on (A) + (B)+(C)"</f>
        <v>Over head charges &amp; CP 13.615%  on (A) + (B)+(C)</v>
      </c>
      <c r="E22" s="783">
        <f>G20</f>
        <v>1672.08</v>
      </c>
      <c r="F22" s="780"/>
      <c r="G22" s="785">
        <f>E22*B22</f>
        <v>227.65369199999998</v>
      </c>
    </row>
    <row r="23" spans="1:7">
      <c r="A23" s="760"/>
      <c r="B23" s="782">
        <f>'Input Data'!$E$24</f>
        <v>0.1</v>
      </c>
      <c r="C23" s="783"/>
      <c r="D23" s="780" t="s">
        <v>1220</v>
      </c>
      <c r="E23" s="785">
        <f>E22+G22</f>
        <v>1899.7336919999998</v>
      </c>
      <c r="F23" s="786"/>
      <c r="G23" s="787">
        <f>E23*B23</f>
        <v>189.97336919999998</v>
      </c>
    </row>
    <row r="24" spans="1:7">
      <c r="A24" s="760"/>
      <c r="B24" s="778" t="s">
        <v>45</v>
      </c>
      <c r="C24" s="779" t="s">
        <v>46</v>
      </c>
      <c r="D24" s="788"/>
      <c r="E24" s="780"/>
      <c r="F24" s="780"/>
      <c r="G24" s="781">
        <f>G20+G22+G23</f>
        <v>2089.7070611999998</v>
      </c>
    </row>
    <row r="25" spans="1:7" s="747" customFormat="1">
      <c r="A25" s="789"/>
      <c r="B25" s="790"/>
      <c r="C25" s="791"/>
      <c r="D25" s="792" t="s">
        <v>1249</v>
      </c>
      <c r="E25" s="790"/>
      <c r="F25" s="790" t="s">
        <v>1240</v>
      </c>
      <c r="G25" s="793">
        <f>G24/10</f>
        <v>208.97070611999999</v>
      </c>
    </row>
    <row r="26" spans="1:7" ht="53.4" customHeight="1">
      <c r="A26" s="760"/>
      <c r="B26" s="763"/>
      <c r="C26" s="760"/>
      <c r="D26" s="765" t="s">
        <v>1270</v>
      </c>
      <c r="E26" s="766"/>
      <c r="F26" s="761"/>
      <c r="G26" s="770"/>
    </row>
    <row r="27" spans="1:7" ht="27.6" customHeight="1">
      <c r="A27" s="756">
        <f>A5+1</f>
        <v>23</v>
      </c>
      <c r="B27" s="757">
        <v>10.199999999999999</v>
      </c>
      <c r="C27" s="758">
        <v>3003</v>
      </c>
      <c r="D27" s="794" t="s">
        <v>1271</v>
      </c>
      <c r="E27" s="758"/>
      <c r="F27" s="761"/>
      <c r="G27" s="770"/>
    </row>
    <row r="28" spans="1:7" ht="46.95" customHeight="1">
      <c r="A28" s="760"/>
      <c r="B28" s="763"/>
      <c r="C28" s="760"/>
      <c r="D28" s="795" t="s">
        <v>1272</v>
      </c>
      <c r="E28" s="762"/>
      <c r="F28" s="761"/>
      <c r="G28" s="770"/>
    </row>
    <row r="29" spans="1:7">
      <c r="A29" s="760"/>
      <c r="B29" s="763"/>
      <c r="C29" s="760"/>
      <c r="D29" s="795" t="s">
        <v>1252</v>
      </c>
      <c r="E29" s="762"/>
      <c r="F29" s="761"/>
      <c r="G29" s="770"/>
    </row>
    <row r="30" spans="1:7">
      <c r="A30" s="760"/>
      <c r="B30" s="763"/>
      <c r="C30" s="760"/>
      <c r="D30" s="766" t="s">
        <v>1112</v>
      </c>
      <c r="E30" s="767"/>
      <c r="F30" s="761"/>
      <c r="G30" s="770"/>
    </row>
    <row r="31" spans="1:7">
      <c r="A31" s="760"/>
      <c r="B31" s="763"/>
      <c r="C31" s="760"/>
      <c r="D31" s="766" t="s">
        <v>1253</v>
      </c>
      <c r="E31" s="767"/>
      <c r="F31" s="761"/>
      <c r="G31" s="770"/>
    </row>
    <row r="32" spans="1:7">
      <c r="A32" s="760"/>
      <c r="B32" s="763"/>
      <c r="C32" s="760"/>
      <c r="D32" s="766" t="s">
        <v>1254</v>
      </c>
      <c r="E32" s="767"/>
      <c r="F32" s="761"/>
      <c r="G32" s="770"/>
    </row>
    <row r="33" spans="1:8">
      <c r="A33" s="760"/>
      <c r="B33" s="763"/>
      <c r="C33" s="760"/>
      <c r="D33" s="766" t="s">
        <v>1255</v>
      </c>
      <c r="E33" s="767"/>
      <c r="F33" s="761"/>
      <c r="G33" s="770"/>
    </row>
    <row r="34" spans="1:8">
      <c r="A34" s="760"/>
      <c r="B34" s="763"/>
      <c r="C34" s="760"/>
      <c r="D34" s="765" t="s">
        <v>1114</v>
      </c>
      <c r="E34" s="767"/>
      <c r="F34" s="761"/>
      <c r="G34" s="770"/>
    </row>
    <row r="35" spans="1:8">
      <c r="A35" s="760"/>
      <c r="B35" s="761">
        <v>0.18</v>
      </c>
      <c r="C35" s="767" t="s">
        <v>38</v>
      </c>
      <c r="D35" s="766" t="s">
        <v>14</v>
      </c>
      <c r="E35" s="761">
        <f>'SSR-rates'!$I$58</f>
        <v>520</v>
      </c>
      <c r="F35" s="767" t="s">
        <v>38</v>
      </c>
      <c r="G35" s="768">
        <f t="shared" ref="G35:G36" si="2">ROUND(B35*E35,2)</f>
        <v>93.6</v>
      </c>
    </row>
    <row r="36" spans="1:8">
      <c r="A36" s="760"/>
      <c r="B36" s="761">
        <v>4.5</v>
      </c>
      <c r="C36" s="767" t="s">
        <v>38</v>
      </c>
      <c r="D36" s="766" t="s">
        <v>59</v>
      </c>
      <c r="E36" s="761">
        <f>'SSR-rates'!$I$60</f>
        <v>520</v>
      </c>
      <c r="F36" s="767" t="s">
        <v>38</v>
      </c>
      <c r="G36" s="768">
        <f t="shared" si="2"/>
        <v>2340</v>
      </c>
    </row>
    <row r="37" spans="1:8">
      <c r="A37" s="760"/>
      <c r="B37" s="763"/>
      <c r="C37" s="760"/>
      <c r="D37" s="766"/>
      <c r="E37" s="761"/>
      <c r="F37" s="760"/>
      <c r="G37" s="769">
        <f>SUM(G35:G36)</f>
        <v>2433.6</v>
      </c>
    </row>
    <row r="38" spans="1:8">
      <c r="A38" s="760"/>
      <c r="B38" s="763"/>
      <c r="C38" s="760"/>
      <c r="D38" s="765" t="s">
        <v>1117</v>
      </c>
      <c r="E38" s="761"/>
      <c r="F38" s="760"/>
      <c r="G38" s="770"/>
    </row>
    <row r="39" spans="1:8">
      <c r="A39" s="760"/>
      <c r="B39" s="761">
        <v>0.25</v>
      </c>
      <c r="C39" s="767" t="s">
        <v>23</v>
      </c>
      <c r="D39" s="771" t="s">
        <v>1244</v>
      </c>
      <c r="E39" s="772">
        <f>'SSR-rates'!$I$64</f>
        <v>3502.9</v>
      </c>
      <c r="F39" s="767" t="s">
        <v>23</v>
      </c>
      <c r="G39" s="768">
        <f t="shared" ref="G39:G42" si="3">ROUND(B39*E39,2)</f>
        <v>875.73</v>
      </c>
    </row>
    <row r="40" spans="1:8" ht="26.4">
      <c r="A40" s="760"/>
      <c r="B40" s="761">
        <f>24*1</f>
        <v>24</v>
      </c>
      <c r="C40" s="767" t="s">
        <v>1245</v>
      </c>
      <c r="D40" s="771" t="s">
        <v>1256</v>
      </c>
      <c r="E40" s="772">
        <f>'Road data'!$G$205</f>
        <v>8</v>
      </c>
      <c r="F40" s="767" t="s">
        <v>1245</v>
      </c>
      <c r="G40" s="768">
        <f t="shared" si="3"/>
        <v>192</v>
      </c>
    </row>
    <row r="41" spans="1:8" ht="26.4">
      <c r="A41" s="760"/>
      <c r="B41" s="774">
        <v>0.1</v>
      </c>
      <c r="C41" s="767"/>
      <c r="D41" s="771" t="s">
        <v>1247</v>
      </c>
      <c r="E41" s="772">
        <f>G40</f>
        <v>192</v>
      </c>
      <c r="F41" s="767"/>
      <c r="G41" s="768">
        <f t="shared" si="3"/>
        <v>19.2</v>
      </c>
    </row>
    <row r="42" spans="1:8">
      <c r="A42" s="760"/>
      <c r="B42" s="761">
        <v>12</v>
      </c>
      <c r="C42" s="767" t="s">
        <v>23</v>
      </c>
      <c r="D42" s="771" t="s">
        <v>1257</v>
      </c>
      <c r="E42" s="772">
        <f>'SSR-rates'!$I$91</f>
        <v>59</v>
      </c>
      <c r="F42" s="767" t="s">
        <v>23</v>
      </c>
      <c r="G42" s="768">
        <f t="shared" si="3"/>
        <v>708</v>
      </c>
    </row>
    <row r="43" spans="1:8">
      <c r="A43" s="760"/>
      <c r="B43" s="763"/>
      <c r="C43" s="760"/>
      <c r="D43" s="771"/>
      <c r="E43" s="775"/>
      <c r="F43" s="772"/>
      <c r="G43" s="776">
        <f>SUM(G39:G42)</f>
        <v>1794.93</v>
      </c>
    </row>
    <row r="44" spans="1:8">
      <c r="A44" s="760"/>
      <c r="B44" s="763"/>
      <c r="C44" s="760"/>
      <c r="D44" s="777"/>
      <c r="E44" s="767"/>
      <c r="F44" s="761"/>
      <c r="G44" s="776">
        <f>G43+G37</f>
        <v>4228.53</v>
      </c>
    </row>
    <row r="45" spans="1:8" s="748" customFormat="1">
      <c r="A45" s="796"/>
      <c r="B45" s="797" t="s">
        <v>27</v>
      </c>
      <c r="C45" s="798" t="s">
        <v>1238</v>
      </c>
      <c r="D45" s="799"/>
      <c r="E45" s="799"/>
      <c r="F45" s="799"/>
      <c r="G45" s="800"/>
      <c r="H45" s="746"/>
    </row>
    <row r="46" spans="1:8">
      <c r="A46" s="760"/>
      <c r="B46" s="782">
        <f>'Input Data'!$D$24</f>
        <v>0.13614999999999999</v>
      </c>
      <c r="C46" s="783"/>
      <c r="D46" s="784" t="str">
        <f>"Over head charges &amp; CP "&amp;'Input Data'!$D$24*100&amp;"%  on (A) + (B)+(C)"</f>
        <v>Over head charges &amp; CP 13.615%  on (A) + (B)+(C)</v>
      </c>
      <c r="E46" s="783">
        <f>G44</f>
        <v>4228.53</v>
      </c>
      <c r="F46" s="780"/>
      <c r="G46" s="785">
        <f>E46*B46</f>
        <v>575.71435949999989</v>
      </c>
    </row>
    <row r="47" spans="1:8">
      <c r="A47" s="760"/>
      <c r="B47" s="782">
        <f>'Input Data'!$E$24</f>
        <v>0.1</v>
      </c>
      <c r="C47" s="783"/>
      <c r="D47" s="780" t="s">
        <v>1220</v>
      </c>
      <c r="E47" s="785">
        <f>E46+G46</f>
        <v>4804.2443594999995</v>
      </c>
      <c r="F47" s="786"/>
      <c r="G47" s="787">
        <f>E47*B47</f>
        <v>480.42443594999997</v>
      </c>
    </row>
    <row r="48" spans="1:8">
      <c r="A48" s="760"/>
      <c r="B48" s="778" t="s">
        <v>45</v>
      </c>
      <c r="C48" s="779" t="s">
        <v>46</v>
      </c>
      <c r="D48" s="788"/>
      <c r="E48" s="780"/>
      <c r="F48" s="780"/>
      <c r="G48" s="781">
        <f>G44+G46+G47</f>
        <v>5284.6687954499994</v>
      </c>
    </row>
    <row r="49" spans="1:8">
      <c r="A49" s="789"/>
      <c r="B49" s="790"/>
      <c r="C49" s="791"/>
      <c r="D49" s="792" t="s">
        <v>1239</v>
      </c>
      <c r="E49" s="790"/>
      <c r="F49" s="790" t="s">
        <v>1240</v>
      </c>
      <c r="G49" s="793">
        <f>G48/100</f>
        <v>52.846687954499991</v>
      </c>
      <c r="H49" s="747"/>
    </row>
    <row r="50" spans="1:8" ht="33" customHeight="1">
      <c r="A50" s="756">
        <f>A27+1</f>
        <v>24</v>
      </c>
      <c r="B50" s="801">
        <v>10.4</v>
      </c>
      <c r="C50" s="760">
        <v>3004.2</v>
      </c>
      <c r="D50" s="802" t="s">
        <v>1146</v>
      </c>
      <c r="E50" s="803"/>
      <c r="F50" s="772"/>
      <c r="G50" s="770"/>
    </row>
    <row r="51" spans="1:8" ht="92.4">
      <c r="A51" s="760"/>
      <c r="B51" s="763"/>
      <c r="C51" s="760"/>
      <c r="D51" s="804" t="s">
        <v>1273</v>
      </c>
      <c r="E51" s="803"/>
      <c r="F51" s="772"/>
      <c r="G51" s="770"/>
    </row>
    <row r="52" spans="1:8">
      <c r="A52" s="760"/>
      <c r="B52" s="763"/>
      <c r="C52" s="760"/>
      <c r="D52" s="804" t="s">
        <v>1274</v>
      </c>
      <c r="E52" s="803"/>
      <c r="F52" s="772"/>
      <c r="G52" s="770"/>
    </row>
    <row r="53" spans="1:8" ht="13.8">
      <c r="A53" s="760"/>
      <c r="B53" s="763"/>
      <c r="C53" s="760"/>
      <c r="D53" s="805" t="s">
        <v>1275</v>
      </c>
      <c r="E53" s="803"/>
      <c r="F53" s="772"/>
      <c r="G53" s="770"/>
    </row>
    <row r="54" spans="1:8" ht="13.8">
      <c r="A54" s="760"/>
      <c r="B54" s="763"/>
      <c r="C54" s="760"/>
      <c r="D54" s="805" t="s">
        <v>1276</v>
      </c>
      <c r="E54" s="803"/>
      <c r="F54" s="772"/>
      <c r="G54" s="770"/>
    </row>
    <row r="55" spans="1:8">
      <c r="A55" s="760"/>
      <c r="B55" s="763"/>
      <c r="C55" s="760"/>
      <c r="D55" s="802" t="s">
        <v>1225</v>
      </c>
      <c r="E55" s="803"/>
      <c r="F55" s="772"/>
      <c r="G55" s="770"/>
    </row>
    <row r="56" spans="1:8">
      <c r="A56" s="760"/>
      <c r="B56" s="761">
        <v>3.76</v>
      </c>
      <c r="C56" s="767" t="s">
        <v>57</v>
      </c>
      <c r="D56" s="806" t="s">
        <v>14</v>
      </c>
      <c r="E56" s="761">
        <f>'SSR-rates'!$I$58</f>
        <v>520</v>
      </c>
      <c r="F56" s="767" t="s">
        <v>57</v>
      </c>
      <c r="G56" s="768">
        <f t="shared" ref="G56:G58" si="4">ROUND(B56*E56,2)</f>
        <v>1955.2</v>
      </c>
    </row>
    <row r="57" spans="1:8">
      <c r="A57" s="760"/>
      <c r="B57" s="761">
        <v>90</v>
      </c>
      <c r="C57" s="767" t="s">
        <v>57</v>
      </c>
      <c r="D57" s="806" t="s">
        <v>59</v>
      </c>
      <c r="E57" s="761">
        <f>'SSR-rates'!$I$60</f>
        <v>520</v>
      </c>
      <c r="F57" s="767" t="s">
        <v>57</v>
      </c>
      <c r="G57" s="768">
        <f t="shared" si="4"/>
        <v>46800</v>
      </c>
    </row>
    <row r="58" spans="1:8">
      <c r="A58" s="760"/>
      <c r="B58" s="761">
        <v>4</v>
      </c>
      <c r="C58" s="767" t="s">
        <v>57</v>
      </c>
      <c r="D58" s="806" t="s">
        <v>15</v>
      </c>
      <c r="E58" s="761">
        <f>'SSR-rates'!$I$59</f>
        <v>550</v>
      </c>
      <c r="F58" s="767" t="s">
        <v>57</v>
      </c>
      <c r="G58" s="768">
        <f t="shared" si="4"/>
        <v>2200</v>
      </c>
    </row>
    <row r="59" spans="1:8">
      <c r="A59" s="760"/>
      <c r="B59" s="763"/>
      <c r="C59" s="760"/>
      <c r="D59" s="806"/>
      <c r="E59" s="762"/>
      <c r="F59" s="760"/>
      <c r="G59" s="807">
        <f>SUM(G56:G58)</f>
        <v>50955.199999999997</v>
      </c>
    </row>
    <row r="60" spans="1:8">
      <c r="A60" s="760"/>
      <c r="B60" s="763"/>
      <c r="C60" s="760"/>
      <c r="D60" s="802" t="s">
        <v>1226</v>
      </c>
      <c r="E60" s="762"/>
      <c r="F60" s="760"/>
      <c r="G60" s="770"/>
    </row>
    <row r="61" spans="1:8">
      <c r="A61" s="760"/>
      <c r="B61" s="761">
        <v>6</v>
      </c>
      <c r="C61" s="767" t="s">
        <v>23</v>
      </c>
      <c r="D61" s="806" t="s">
        <v>1227</v>
      </c>
      <c r="E61" s="773">
        <f>'SSR-rates'!$I$73</f>
        <v>668.6</v>
      </c>
      <c r="F61" s="767" t="s">
        <v>23</v>
      </c>
      <c r="G61" s="768">
        <f t="shared" ref="G61:G64" si="5">ROUND(B61*E61,2)</f>
        <v>4011.6</v>
      </c>
    </row>
    <row r="62" spans="1:8">
      <c r="A62" s="760"/>
      <c r="B62" s="761">
        <v>6</v>
      </c>
      <c r="C62" s="767" t="s">
        <v>23</v>
      </c>
      <c r="D62" s="806" t="s">
        <v>1153</v>
      </c>
      <c r="E62" s="773">
        <f>'SSR-rates'!$P$78</f>
        <v>33344</v>
      </c>
      <c r="F62" s="767" t="s">
        <v>23</v>
      </c>
      <c r="G62" s="768">
        <f t="shared" si="5"/>
        <v>200064</v>
      </c>
    </row>
    <row r="63" spans="1:8">
      <c r="A63" s="760"/>
      <c r="B63" s="761">
        <v>45</v>
      </c>
      <c r="C63" s="767" t="s">
        <v>23</v>
      </c>
      <c r="D63" s="806" t="s">
        <v>1154</v>
      </c>
      <c r="E63" s="773">
        <f>'SSR-rates'!$I$89</f>
        <v>1205.7</v>
      </c>
      <c r="F63" s="767" t="s">
        <v>23</v>
      </c>
      <c r="G63" s="768">
        <f t="shared" si="5"/>
        <v>54256.5</v>
      </c>
    </row>
    <row r="64" spans="1:8">
      <c r="A64" s="760"/>
      <c r="B64" s="761">
        <v>12</v>
      </c>
      <c r="C64" s="767" t="s">
        <v>23</v>
      </c>
      <c r="D64" s="806" t="s">
        <v>1155</v>
      </c>
      <c r="E64" s="773">
        <f>'SSR-rates'!$I$68</f>
        <v>1734.8</v>
      </c>
      <c r="F64" s="767" t="s">
        <v>23</v>
      </c>
      <c r="G64" s="768">
        <f t="shared" si="5"/>
        <v>20817.599999999999</v>
      </c>
    </row>
    <row r="65" spans="1:7">
      <c r="A65" s="760"/>
      <c r="B65" s="763"/>
      <c r="C65" s="760"/>
      <c r="D65" s="806"/>
      <c r="E65" s="803"/>
      <c r="F65" s="772"/>
      <c r="G65" s="807">
        <f>SUM(G61:G64)</f>
        <v>279149.7</v>
      </c>
    </row>
    <row r="66" spans="1:7">
      <c r="A66" s="760"/>
      <c r="B66" s="763"/>
      <c r="C66" s="760"/>
      <c r="D66" s="802" t="s">
        <v>1228</v>
      </c>
      <c r="E66" s="803"/>
      <c r="F66" s="772"/>
      <c r="G66" s="770"/>
    </row>
    <row r="67" spans="1:7" ht="26.4">
      <c r="A67" s="760"/>
      <c r="B67" s="761">
        <v>184.5</v>
      </c>
      <c r="C67" s="767" t="s">
        <v>31</v>
      </c>
      <c r="D67" s="806" t="s">
        <v>1277</v>
      </c>
      <c r="E67" s="773">
        <f>lead!$J$8</f>
        <v>1738.8641904678079</v>
      </c>
      <c r="F67" s="767" t="s">
        <v>31</v>
      </c>
      <c r="G67" s="768">
        <f t="shared" ref="G67:G70" si="6">ROUND(B67*E67,2)</f>
        <v>320820.44</v>
      </c>
    </row>
    <row r="68" spans="1:7" ht="26.4">
      <c r="A68" s="760"/>
      <c r="B68" s="761">
        <v>92.25</v>
      </c>
      <c r="C68" s="767" t="s">
        <v>31</v>
      </c>
      <c r="D68" s="806" t="s">
        <v>1278</v>
      </c>
      <c r="E68" s="773">
        <f>lead!$J$9</f>
        <v>1638.8641904678079</v>
      </c>
      <c r="F68" s="767" t="s">
        <v>31</v>
      </c>
      <c r="G68" s="768">
        <f t="shared" si="6"/>
        <v>151185.22</v>
      </c>
    </row>
    <row r="69" spans="1:7">
      <c r="A69" s="760"/>
      <c r="B69" s="761">
        <v>14.97</v>
      </c>
      <c r="C69" s="767" t="s">
        <v>1138</v>
      </c>
      <c r="D69" s="808" t="s">
        <v>1279</v>
      </c>
      <c r="E69" s="773">
        <f>BT_Rate_60_70</f>
        <v>47014.645337323418</v>
      </c>
      <c r="F69" s="767" t="s">
        <v>1138</v>
      </c>
      <c r="G69" s="768">
        <f t="shared" si="6"/>
        <v>703809.24</v>
      </c>
    </row>
    <row r="70" spans="1:7" ht="26.4">
      <c r="A70" s="760"/>
      <c r="B70" s="761">
        <v>2.46</v>
      </c>
      <c r="C70" s="767" t="s">
        <v>1138</v>
      </c>
      <c r="D70" s="806" t="s">
        <v>1280</v>
      </c>
      <c r="E70" s="773">
        <f>Emution_RS</f>
        <v>45168.645337323418</v>
      </c>
      <c r="F70" s="767" t="s">
        <v>1138</v>
      </c>
      <c r="G70" s="768">
        <f t="shared" si="6"/>
        <v>111114.87</v>
      </c>
    </row>
    <row r="71" spans="1:7">
      <c r="A71" s="760"/>
      <c r="B71" s="763"/>
      <c r="C71" s="760"/>
      <c r="D71" s="806"/>
      <c r="E71" s="803"/>
      <c r="F71" s="772"/>
      <c r="G71" s="807">
        <f>SUM(G67:G70)</f>
        <v>1286929.77</v>
      </c>
    </row>
    <row r="72" spans="1:7">
      <c r="A72" s="760"/>
      <c r="B72" s="763"/>
      <c r="C72" s="760"/>
      <c r="D72" s="777"/>
      <c r="E72" s="803"/>
      <c r="F72" s="772"/>
      <c r="G72" s="807">
        <f>G59+G65+G71</f>
        <v>1617034.67</v>
      </c>
    </row>
    <row r="73" spans="1:7">
      <c r="A73" s="760"/>
      <c r="B73" s="778" t="s">
        <v>45</v>
      </c>
      <c r="C73" s="779" t="s">
        <v>1238</v>
      </c>
      <c r="D73" s="780"/>
      <c r="E73" s="780"/>
      <c r="F73" s="780"/>
      <c r="G73" s="781"/>
    </row>
    <row r="74" spans="1:7">
      <c r="A74" s="760"/>
      <c r="B74" s="782">
        <f>'Input Data'!$D$24</f>
        <v>0.13614999999999999</v>
      </c>
      <c r="C74" s="783"/>
      <c r="D74" s="784" t="str">
        <f>"Over head charges &amp; CP "&amp;'Input Data'!$D$24*100&amp;"%  on (A) + (B)+(C)"</f>
        <v>Over head charges &amp; CP 13.615%  on (A) + (B)+(C)</v>
      </c>
      <c r="E74" s="783">
        <f>G72</f>
        <v>1617034.67</v>
      </c>
      <c r="F74" s="780"/>
      <c r="G74" s="785">
        <f>E74*B74</f>
        <v>220159.27032049999</v>
      </c>
    </row>
    <row r="75" spans="1:7">
      <c r="A75" s="760"/>
      <c r="B75" s="782">
        <f>'Input Data'!$E$24</f>
        <v>0.1</v>
      </c>
      <c r="C75" s="783"/>
      <c r="D75" s="780" t="s">
        <v>1220</v>
      </c>
      <c r="E75" s="783">
        <f>E74+G74</f>
        <v>1837193.9403204999</v>
      </c>
      <c r="F75" s="786"/>
      <c r="G75" s="787">
        <f>E75*B75</f>
        <v>183719.39403205001</v>
      </c>
    </row>
    <row r="76" spans="1:7">
      <c r="A76" s="760"/>
      <c r="B76" s="778" t="s">
        <v>47</v>
      </c>
      <c r="C76" s="779" t="s">
        <v>89</v>
      </c>
      <c r="D76" s="788"/>
      <c r="E76" s="780"/>
      <c r="F76" s="780"/>
      <c r="G76" s="781">
        <f>G72+G74+G75</f>
        <v>2020913.3343525499</v>
      </c>
    </row>
    <row r="77" spans="1:7">
      <c r="A77" s="760"/>
      <c r="B77" s="790"/>
      <c r="C77" s="791"/>
      <c r="D77" s="792" t="s">
        <v>1239</v>
      </c>
      <c r="E77" s="790"/>
      <c r="F77" s="790" t="s">
        <v>1240</v>
      </c>
      <c r="G77" s="793">
        <f>G76/10250</f>
        <v>197.16227652219999</v>
      </c>
    </row>
    <row r="78" spans="1:7" ht="26.4">
      <c r="A78" s="756">
        <f>A50+1</f>
        <v>25</v>
      </c>
      <c r="B78" s="801">
        <v>10.5</v>
      </c>
      <c r="C78" s="760">
        <v>3004.2</v>
      </c>
      <c r="D78" s="802" t="s">
        <v>1281</v>
      </c>
      <c r="E78" s="765"/>
      <c r="F78" s="761"/>
      <c r="G78" s="770"/>
    </row>
    <row r="79" spans="1:7" ht="92.4">
      <c r="A79" s="760"/>
      <c r="B79" s="763"/>
      <c r="C79" s="760"/>
      <c r="D79" s="804" t="s">
        <v>1282</v>
      </c>
      <c r="E79" s="765"/>
      <c r="F79" s="761"/>
      <c r="G79" s="770"/>
    </row>
    <row r="80" spans="1:7">
      <c r="A80" s="760"/>
      <c r="B80" s="763"/>
      <c r="C80" s="760"/>
      <c r="D80" s="804" t="s">
        <v>1223</v>
      </c>
      <c r="E80" s="765"/>
      <c r="F80" s="761"/>
      <c r="G80" s="770"/>
    </row>
    <row r="81" spans="1:7" ht="13.8">
      <c r="A81" s="760"/>
      <c r="B81" s="763"/>
      <c r="C81" s="760"/>
      <c r="D81" s="805" t="s">
        <v>130</v>
      </c>
      <c r="E81" s="765"/>
      <c r="F81" s="761"/>
      <c r="G81" s="770"/>
    </row>
    <row r="82" spans="1:7" ht="13.8">
      <c r="A82" s="760"/>
      <c r="B82" s="763"/>
      <c r="C82" s="760"/>
      <c r="D82" s="805" t="s">
        <v>1224</v>
      </c>
      <c r="E82" s="765"/>
      <c r="F82" s="761"/>
      <c r="G82" s="770"/>
    </row>
    <row r="83" spans="1:7">
      <c r="A83" s="760"/>
      <c r="B83" s="763"/>
      <c r="C83" s="760"/>
      <c r="D83" s="802" t="s">
        <v>1225</v>
      </c>
      <c r="E83" s="765"/>
      <c r="F83" s="761"/>
      <c r="G83" s="770"/>
    </row>
    <row r="84" spans="1:7">
      <c r="A84" s="760"/>
      <c r="B84" s="761">
        <v>2.92</v>
      </c>
      <c r="C84" s="767" t="s">
        <v>57</v>
      </c>
      <c r="D84" s="806" t="s">
        <v>14</v>
      </c>
      <c r="E84" s="761">
        <f>'SSR-rates'!$I$58</f>
        <v>520</v>
      </c>
      <c r="F84" s="775" t="s">
        <v>57</v>
      </c>
      <c r="G84" s="768">
        <f>ROUND(B84*E84,2)</f>
        <v>1518.4</v>
      </c>
    </row>
    <row r="85" spans="1:7">
      <c r="A85" s="760"/>
      <c r="B85" s="761">
        <v>70</v>
      </c>
      <c r="C85" s="767" t="s">
        <v>57</v>
      </c>
      <c r="D85" s="806" t="s">
        <v>59</v>
      </c>
      <c r="E85" s="761">
        <f>'SSR-rates'!$I$60</f>
        <v>520</v>
      </c>
      <c r="F85" s="775" t="s">
        <v>57</v>
      </c>
      <c r="G85" s="768">
        <f t="shared" ref="G85:G86" si="7">ROUND(B85*E85,2)</f>
        <v>36400</v>
      </c>
    </row>
    <row r="86" spans="1:7">
      <c r="A86" s="760"/>
      <c r="B86" s="761">
        <v>3</v>
      </c>
      <c r="C86" s="767" t="s">
        <v>57</v>
      </c>
      <c r="D86" s="806" t="s">
        <v>15</v>
      </c>
      <c r="E86" s="761">
        <f>'SSR-rates'!$I$59</f>
        <v>550</v>
      </c>
      <c r="F86" s="775" t="s">
        <v>57</v>
      </c>
      <c r="G86" s="768">
        <f t="shared" si="7"/>
        <v>1650</v>
      </c>
    </row>
    <row r="87" spans="1:7">
      <c r="A87" s="796"/>
      <c r="B87" s="809"/>
      <c r="C87" s="796"/>
      <c r="D87" s="810"/>
      <c r="E87" s="811"/>
      <c r="F87" s="812"/>
      <c r="G87" s="813">
        <f>SUM(G84:G86)</f>
        <v>39568.400000000001</v>
      </c>
    </row>
    <row r="88" spans="1:7">
      <c r="A88" s="760"/>
      <c r="B88" s="763"/>
      <c r="C88" s="760"/>
      <c r="D88" s="802" t="s">
        <v>1226</v>
      </c>
      <c r="E88" s="762"/>
      <c r="F88" s="775"/>
      <c r="G88" s="770"/>
    </row>
    <row r="89" spans="1:7">
      <c r="A89" s="760"/>
      <c r="B89" s="761">
        <v>6</v>
      </c>
      <c r="C89" s="767" t="s">
        <v>23</v>
      </c>
      <c r="D89" s="806" t="s">
        <v>1227</v>
      </c>
      <c r="E89" s="773">
        <f>'SSR-rates'!$I$73</f>
        <v>668.6</v>
      </c>
      <c r="F89" s="775" t="s">
        <v>23</v>
      </c>
      <c r="G89" s="768">
        <f t="shared" ref="G89:G92" si="8">ROUND(B89*E89,2)</f>
        <v>4011.6</v>
      </c>
    </row>
    <row r="90" spans="1:7">
      <c r="A90" s="760"/>
      <c r="B90" s="761">
        <v>6</v>
      </c>
      <c r="C90" s="767" t="s">
        <v>23</v>
      </c>
      <c r="D90" s="806" t="s">
        <v>1153</v>
      </c>
      <c r="E90" s="773">
        <f>'SSR-rates'!$P$78</f>
        <v>33344</v>
      </c>
      <c r="F90" s="775" t="s">
        <v>23</v>
      </c>
      <c r="G90" s="768">
        <f t="shared" si="8"/>
        <v>200064</v>
      </c>
    </row>
    <row r="91" spans="1:7">
      <c r="A91" s="760"/>
      <c r="B91" s="761">
        <v>45</v>
      </c>
      <c r="C91" s="767" t="s">
        <v>23</v>
      </c>
      <c r="D91" s="806" t="s">
        <v>1154</v>
      </c>
      <c r="E91" s="773">
        <f>'SSR-rates'!$I$89</f>
        <v>1205.7</v>
      </c>
      <c r="F91" s="775" t="s">
        <v>23</v>
      </c>
      <c r="G91" s="768">
        <f t="shared" si="8"/>
        <v>54256.5</v>
      </c>
    </row>
    <row r="92" spans="1:7">
      <c r="A92" s="760"/>
      <c r="B92" s="761">
        <v>12</v>
      </c>
      <c r="C92" s="767" t="s">
        <v>23</v>
      </c>
      <c r="D92" s="806" t="s">
        <v>1155</v>
      </c>
      <c r="E92" s="773">
        <f>'SSR-rates'!$I$68</f>
        <v>1734.8</v>
      </c>
      <c r="F92" s="775" t="s">
        <v>23</v>
      </c>
      <c r="G92" s="768">
        <f t="shared" si="8"/>
        <v>20817.599999999999</v>
      </c>
    </row>
    <row r="93" spans="1:7">
      <c r="A93" s="760"/>
      <c r="B93" s="763"/>
      <c r="C93" s="760"/>
      <c r="D93" s="806"/>
      <c r="E93" s="762"/>
      <c r="F93" s="775"/>
      <c r="G93" s="807">
        <f>SUM(G89:G92)</f>
        <v>279149.7</v>
      </c>
    </row>
    <row r="94" spans="1:7">
      <c r="A94" s="760"/>
      <c r="B94" s="763"/>
      <c r="C94" s="760"/>
      <c r="D94" s="802" t="s">
        <v>1228</v>
      </c>
      <c r="E94" s="762"/>
      <c r="F94" s="775"/>
      <c r="G94" s="770"/>
    </row>
    <row r="95" spans="1:7">
      <c r="A95" s="760"/>
      <c r="B95" s="761">
        <v>22.5</v>
      </c>
      <c r="C95" s="767" t="s">
        <v>1138</v>
      </c>
      <c r="D95" s="806" t="s">
        <v>1229</v>
      </c>
      <c r="E95" s="773">
        <f>BT_Rate_60_70</f>
        <v>47014.645337323418</v>
      </c>
      <c r="F95" s="775" t="s">
        <v>1138</v>
      </c>
      <c r="G95" s="768">
        <f t="shared" ref="G95:G96" si="9">ROUND(B95*E95,2)</f>
        <v>1057829.52</v>
      </c>
    </row>
    <row r="96" spans="1:7">
      <c r="A96" s="760"/>
      <c r="B96" s="761">
        <v>1.18</v>
      </c>
      <c r="C96" s="767" t="s">
        <v>1138</v>
      </c>
      <c r="D96" s="806" t="s">
        <v>1230</v>
      </c>
      <c r="E96" s="773">
        <f>Emution_RS</f>
        <v>45168.645337323418</v>
      </c>
      <c r="F96" s="775" t="s">
        <v>1138</v>
      </c>
      <c r="G96" s="768">
        <f t="shared" si="9"/>
        <v>53299</v>
      </c>
    </row>
    <row r="97" spans="1:7">
      <c r="A97" s="760"/>
      <c r="B97" s="763"/>
      <c r="C97" s="760"/>
      <c r="D97" s="806"/>
      <c r="E97" s="803"/>
      <c r="F97" s="772"/>
      <c r="G97" s="807">
        <f>SUM(G95:G96)</f>
        <v>1111128.52</v>
      </c>
    </row>
    <row r="98" spans="1:7">
      <c r="A98" s="760"/>
      <c r="B98" s="763"/>
      <c r="C98" s="760"/>
      <c r="D98" s="802" t="s">
        <v>1231</v>
      </c>
      <c r="E98" s="803"/>
      <c r="F98" s="772"/>
      <c r="G98" s="770"/>
    </row>
    <row r="99" spans="1:7">
      <c r="A99" s="760"/>
      <c r="B99" s="763"/>
      <c r="C99" s="760"/>
      <c r="D99" s="802" t="s">
        <v>1232</v>
      </c>
      <c r="E99" s="803"/>
      <c r="F99" s="772"/>
      <c r="G99" s="770"/>
    </row>
    <row r="100" spans="1:7">
      <c r="A100" s="760"/>
      <c r="B100" s="761">
        <v>99.75</v>
      </c>
      <c r="C100" s="767" t="s">
        <v>31</v>
      </c>
      <c r="D100" s="806" t="s">
        <v>1233</v>
      </c>
      <c r="E100" s="814">
        <f>AVERAGE(lead!J7:J9)</f>
        <v>1755.8641904678079</v>
      </c>
      <c r="F100" s="767" t="s">
        <v>31</v>
      </c>
      <c r="G100" s="768">
        <f t="shared" ref="G100:G105" si="10">ROUND(B100*E100,2)</f>
        <v>175147.45</v>
      </c>
    </row>
    <row r="101" spans="1:7">
      <c r="A101" s="760"/>
      <c r="B101" s="761">
        <v>65.55</v>
      </c>
      <c r="C101" s="767" t="s">
        <v>31</v>
      </c>
      <c r="D101" s="806" t="s">
        <v>1234</v>
      </c>
      <c r="E101" s="814">
        <f>(lead!J9+lead!J10)/2</f>
        <v>1610.3641904678079</v>
      </c>
      <c r="F101" s="767" t="s">
        <v>31</v>
      </c>
      <c r="G101" s="768">
        <f t="shared" si="10"/>
        <v>105559.37</v>
      </c>
    </row>
    <row r="102" spans="1:7">
      <c r="A102" s="760"/>
      <c r="B102" s="761">
        <v>114</v>
      </c>
      <c r="C102" s="767" t="s">
        <v>31</v>
      </c>
      <c r="D102" s="806" t="s">
        <v>1235</v>
      </c>
      <c r="E102" s="814">
        <f>AVERAGE(lead!J10:J12)</f>
        <v>1571.6141904678079</v>
      </c>
      <c r="F102" s="767" t="s">
        <v>31</v>
      </c>
      <c r="G102" s="768">
        <f t="shared" si="10"/>
        <v>179164.02</v>
      </c>
    </row>
    <row r="103" spans="1:7">
      <c r="A103" s="760"/>
      <c r="B103" s="761">
        <v>8.6199999999999992</v>
      </c>
      <c r="C103" s="767" t="s">
        <v>1138</v>
      </c>
      <c r="D103" s="806" t="s">
        <v>1236</v>
      </c>
      <c r="E103" s="814">
        <f>lead!$J$12</f>
        <v>1568.1141904678079</v>
      </c>
      <c r="F103" s="767" t="s">
        <v>1138</v>
      </c>
      <c r="G103" s="768">
        <f t="shared" si="10"/>
        <v>13517.14</v>
      </c>
    </row>
    <row r="104" spans="1:7">
      <c r="A104" s="760"/>
      <c r="B104" s="763"/>
      <c r="C104" s="760"/>
      <c r="D104" s="806"/>
      <c r="E104" s="803"/>
      <c r="F104" s="772"/>
      <c r="G104" s="815"/>
    </row>
    <row r="105" spans="1:7">
      <c r="A105" s="760"/>
      <c r="B105" s="816">
        <v>0.05</v>
      </c>
      <c r="C105" s="760"/>
      <c r="D105" s="804" t="s">
        <v>1237</v>
      </c>
      <c r="E105" s="803">
        <f>SUM(G100:G103)</f>
        <v>473387.98</v>
      </c>
      <c r="F105" s="816"/>
      <c r="G105" s="768">
        <f t="shared" si="10"/>
        <v>23669.4</v>
      </c>
    </row>
    <row r="106" spans="1:7">
      <c r="A106" s="760"/>
      <c r="B106" s="763"/>
      <c r="C106" s="760"/>
      <c r="D106" s="804"/>
      <c r="E106" s="803"/>
      <c r="F106" s="817"/>
      <c r="G106" s="818">
        <f>SUM(G100:G105)</f>
        <v>497057.38</v>
      </c>
    </row>
    <row r="107" spans="1:7">
      <c r="A107" s="760"/>
      <c r="B107" s="763"/>
      <c r="C107" s="760"/>
      <c r="D107" s="819"/>
      <c r="E107" s="765"/>
      <c r="F107" s="761"/>
      <c r="G107" s="818">
        <f>G106+G97+G93+G87</f>
        <v>1926903.9999999998</v>
      </c>
    </row>
    <row r="108" spans="1:7">
      <c r="A108" s="760"/>
      <c r="B108" s="778" t="s">
        <v>45</v>
      </c>
      <c r="C108" s="779" t="s">
        <v>1238</v>
      </c>
      <c r="D108" s="780"/>
      <c r="E108" s="780"/>
      <c r="F108" s="780"/>
      <c r="G108" s="781"/>
    </row>
    <row r="109" spans="1:7">
      <c r="A109" s="760"/>
      <c r="B109" s="782">
        <f>'Input Data'!$D$24</f>
        <v>0.13614999999999999</v>
      </c>
      <c r="C109" s="783"/>
      <c r="D109" s="784" t="str">
        <f>"Over head charges &amp; CP "&amp;'Input Data'!$D$24*100&amp;"%  on (A) + (B)+(C)"</f>
        <v>Over head charges &amp; CP 13.615%  on (A) + (B)+(C)</v>
      </c>
      <c r="E109" s="783">
        <f>G107</f>
        <v>1926903.9999999998</v>
      </c>
      <c r="F109" s="780"/>
      <c r="G109" s="785">
        <f>E109*B109</f>
        <v>262347.97959999996</v>
      </c>
    </row>
    <row r="110" spans="1:7" ht="23.4" customHeight="1">
      <c r="A110" s="760"/>
      <c r="B110" s="782">
        <f>'Input Data'!$E$24</f>
        <v>0.1</v>
      </c>
      <c r="C110" s="783"/>
      <c r="D110" s="780" t="s">
        <v>1220</v>
      </c>
      <c r="E110" s="783">
        <f>E109+G109</f>
        <v>2189251.9795999997</v>
      </c>
      <c r="F110" s="786"/>
      <c r="G110" s="787">
        <f>E110*B110</f>
        <v>218925.19795999999</v>
      </c>
    </row>
    <row r="111" spans="1:7">
      <c r="A111" s="760"/>
      <c r="B111" s="778" t="s">
        <v>47</v>
      </c>
      <c r="C111" s="779" t="s">
        <v>89</v>
      </c>
      <c r="D111" s="788"/>
      <c r="E111" s="780"/>
      <c r="F111" s="780"/>
      <c r="G111" s="781">
        <f>G107+G109+G110</f>
        <v>2408177.1775599997</v>
      </c>
    </row>
    <row r="112" spans="1:7">
      <c r="A112" s="796"/>
      <c r="B112" s="820"/>
      <c r="C112" s="821"/>
      <c r="D112" s="822" t="s">
        <v>1239</v>
      </c>
      <c r="E112" s="820"/>
      <c r="F112" s="820" t="s">
        <v>1240</v>
      </c>
      <c r="G112" s="823">
        <f>G111/4900</f>
        <v>491.46473011428566</v>
      </c>
    </row>
    <row r="113" spans="2:7">
      <c r="D113" s="824"/>
      <c r="E113" s="825"/>
    </row>
    <row r="114" spans="2:7">
      <c r="D114" s="826" t="s">
        <v>1283</v>
      </c>
    </row>
    <row r="115" spans="2:7">
      <c r="D115" s="826" t="s">
        <v>1284</v>
      </c>
    </row>
    <row r="116" spans="2:7">
      <c r="D116" s="827"/>
    </row>
    <row r="117" spans="2:7">
      <c r="B117" s="745"/>
      <c r="D117" s="828" t="s">
        <v>901</v>
      </c>
    </row>
    <row r="118" spans="2:7" ht="12.75" customHeight="1">
      <c r="B118" s="745"/>
      <c r="D118" s="829" t="str">
        <f>'Road data'!D985</f>
        <v>Assistant Engineer,</v>
      </c>
      <c r="E118" s="3857" t="str">
        <f>'Road data'!E985</f>
        <v>Dy. Exe. Engineer</v>
      </c>
      <c r="F118" s="3857"/>
      <c r="G118" s="3857"/>
    </row>
    <row r="119" spans="2:7">
      <c r="B119" s="745"/>
      <c r="D119" s="829" t="str">
        <f>'Road data'!D986</f>
        <v>PRSD, Maddur</v>
      </c>
      <c r="E119" s="3857" t="str">
        <f>'Road data'!E986</f>
        <v>PRSD, Maddur</v>
      </c>
      <c r="F119" s="3857"/>
      <c r="G119" s="3857"/>
    </row>
    <row r="120" spans="2:7">
      <c r="B120" s="745"/>
    </row>
    <row r="121" spans="2:7">
      <c r="B121" s="745"/>
    </row>
    <row r="122" spans="2:7">
      <c r="B122" s="745"/>
    </row>
    <row r="123" spans="2:7" s="749" customFormat="1" ht="12.75" customHeight="1">
      <c r="B123" s="830"/>
      <c r="D123" s="831" t="str">
        <f>'Road data'!D989</f>
        <v>District Panchayat Raj Engineer,</v>
      </c>
      <c r="E123" s="3855" t="str">
        <f>'Road data'!E989</f>
        <v>Superintending Engineer</v>
      </c>
      <c r="F123" s="3855"/>
      <c r="G123" s="3855"/>
    </row>
    <row r="124" spans="2:7" s="749" customFormat="1" ht="12.75" customHeight="1">
      <c r="B124" s="830"/>
      <c r="D124" s="831" t="str">
        <f>'Road data'!D990</f>
        <v>PIU, Narayanpet</v>
      </c>
      <c r="E124" s="3855" t="str">
        <f>'Road data'!E990</f>
        <v>PR, Circle, Vikarabad</v>
      </c>
      <c r="F124" s="3855"/>
      <c r="G124" s="3855"/>
    </row>
    <row r="125" spans="2:7">
      <c r="B125" s="745"/>
    </row>
    <row r="126" spans="2:7">
      <c r="B126" s="745"/>
    </row>
  </sheetData>
  <mergeCells count="6">
    <mergeCell ref="E124:G124"/>
    <mergeCell ref="A1:G1"/>
    <mergeCell ref="A2:G2"/>
    <mergeCell ref="E118:G118"/>
    <mergeCell ref="E119:G119"/>
    <mergeCell ref="E123:G123"/>
  </mergeCells>
  <printOptions horizontalCentered="1"/>
  <pageMargins left="0.31458333333333299" right="0.118055555555556" top="0.39305555555555599" bottom="0.43263888888888902" header="0.118055555555556" footer="0.118055555555556"/>
  <pageSetup paperSize="9" orientation="portrait" r:id="rId1"/>
  <headerFooter alignWithMargins="0">
    <oddFooter>&amp;CPage &amp;P of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T45"/>
  <sheetViews>
    <sheetView view="pageBreakPreview" topLeftCell="A30" zoomScale="112" workbookViewId="0">
      <selection activeCell="B12" sqref="B12:H12"/>
    </sheetView>
  </sheetViews>
  <sheetFormatPr defaultColWidth="9.109375" defaultRowHeight="14.4"/>
  <cols>
    <col min="1" max="1" width="5" style="705" customWidth="1"/>
    <col min="2" max="2" width="20.109375" style="328" customWidth="1"/>
    <col min="3" max="3" width="3.5546875" style="706" customWidth="1"/>
    <col min="4" max="4" width="3.5546875" style="330" customWidth="1"/>
    <col min="5" max="5" width="3.5546875" style="707" customWidth="1"/>
    <col min="6" max="6" width="7.109375" style="330" customWidth="1"/>
    <col min="7" max="7" width="8.33203125" style="330" customWidth="1"/>
    <col min="8" max="9" width="7.44140625" style="330" customWidth="1"/>
    <col min="10" max="10" width="9.44140625" style="330" customWidth="1"/>
    <col min="11" max="11" width="5.44140625" style="330" customWidth="1"/>
    <col min="12" max="12" width="11.88671875" style="329" customWidth="1"/>
    <col min="13" max="13" width="9.109375" style="328"/>
    <col min="14" max="14" width="9.6640625" style="328" customWidth="1"/>
    <col min="15" max="15" width="9.109375" style="328"/>
    <col min="16" max="16" width="6.33203125" style="328" customWidth="1"/>
    <col min="17" max="20" width="9.109375" style="328" hidden="1" customWidth="1"/>
    <col min="21" max="16384" width="9.109375" style="328"/>
  </cols>
  <sheetData>
    <row r="1" spans="1:14" ht="18" customHeight="1">
      <c r="A1" s="3858" t="s">
        <v>2672</v>
      </c>
      <c r="B1" s="3859"/>
      <c r="C1" s="3859"/>
      <c r="D1" s="3859"/>
      <c r="E1" s="3859"/>
      <c r="F1" s="3859"/>
      <c r="G1" s="3859"/>
      <c r="H1" s="3859"/>
      <c r="I1" s="3859"/>
      <c r="J1" s="3859"/>
      <c r="K1" s="3859"/>
      <c r="L1" s="3859"/>
    </row>
    <row r="2" spans="1:14" ht="36.75" customHeight="1">
      <c r="A2" s="3860" t="s">
        <v>676</v>
      </c>
      <c r="B2" s="3860"/>
      <c r="C2" s="709"/>
      <c r="D2" s="708"/>
      <c r="E2" s="710"/>
      <c r="F2" s="3861" t="str">
        <f>'Input Data'!E1</f>
        <v>C/o HLB on R/F Amlikunta to Gundumal of Gundumal Mandal of Narayanept District.</v>
      </c>
      <c r="G2" s="3861"/>
      <c r="H2" s="3861"/>
      <c r="I2" s="3861"/>
      <c r="J2" s="3861"/>
      <c r="K2" s="3861"/>
      <c r="L2" s="3861"/>
    </row>
    <row r="3" spans="1:14" s="329" customFormat="1" ht="35.25" customHeight="1">
      <c r="A3" s="3858" t="s">
        <v>2684</v>
      </c>
      <c r="B3" s="3858"/>
      <c r="C3" s="3858"/>
      <c r="D3" s="3858"/>
      <c r="E3" s="3858"/>
      <c r="F3" s="3858"/>
      <c r="G3" s="3858"/>
      <c r="H3" s="3858"/>
      <c r="I3" s="3858"/>
      <c r="J3" s="3858"/>
      <c r="K3" s="3858"/>
      <c r="L3" s="3858"/>
    </row>
    <row r="4" spans="1:14" s="330" customFormat="1" ht="36.75" customHeight="1">
      <c r="A4" s="349" t="s">
        <v>1285</v>
      </c>
      <c r="B4" s="349" t="s">
        <v>904</v>
      </c>
      <c r="C4" s="3862" t="s">
        <v>905</v>
      </c>
      <c r="D4" s="3862"/>
      <c r="E4" s="3862"/>
      <c r="F4" s="349" t="s">
        <v>180</v>
      </c>
      <c r="G4" s="349" t="s">
        <v>732</v>
      </c>
      <c r="H4" s="349" t="s">
        <v>906</v>
      </c>
      <c r="I4" s="337" t="s">
        <v>3</v>
      </c>
      <c r="J4" s="338" t="s">
        <v>5</v>
      </c>
      <c r="K4" s="338" t="s">
        <v>579</v>
      </c>
      <c r="L4" s="349" t="s">
        <v>7</v>
      </c>
    </row>
    <row r="5" spans="1:14" s="330" customFormat="1">
      <c r="A5" s="711">
        <v>1</v>
      </c>
      <c r="B5" s="338">
        <v>2</v>
      </c>
      <c r="C5" s="3863">
        <v>3</v>
      </c>
      <c r="D5" s="3863"/>
      <c r="E5" s="3863"/>
      <c r="F5" s="338">
        <v>4</v>
      </c>
      <c r="G5" s="338">
        <v>5</v>
      </c>
      <c r="H5" s="338">
        <v>6</v>
      </c>
      <c r="I5" s="338">
        <v>7</v>
      </c>
      <c r="J5" s="338">
        <v>8</v>
      </c>
      <c r="K5" s="338">
        <v>9</v>
      </c>
      <c r="L5" s="338">
        <v>10</v>
      </c>
    </row>
    <row r="6" spans="1:14" ht="96.9" customHeight="1">
      <c r="A6" s="711">
        <v>1</v>
      </c>
      <c r="B6" s="3864"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64"/>
      <c r="D6" s="3864"/>
      <c r="E6" s="3864"/>
      <c r="F6" s="3864"/>
      <c r="G6" s="3864"/>
      <c r="H6" s="3864"/>
      <c r="I6" s="3864"/>
      <c r="J6" s="3864"/>
      <c r="K6" s="3864"/>
      <c r="L6" s="730"/>
    </row>
    <row r="7" spans="1:14" s="327" customFormat="1">
      <c r="A7" s="348"/>
      <c r="B7" s="712" t="s">
        <v>1286</v>
      </c>
      <c r="C7" s="713">
        <v>1</v>
      </c>
      <c r="D7" s="713" t="s">
        <v>907</v>
      </c>
      <c r="E7" s="348">
        <v>2</v>
      </c>
      <c r="F7" s="347">
        <v>5.55</v>
      </c>
      <c r="G7" s="347">
        <v>1.4</v>
      </c>
      <c r="H7" s="714">
        <v>1.2</v>
      </c>
      <c r="I7" s="731">
        <f t="shared" ref="I7:I13" si="0">ROUND(C7*E7*F7*G7*H7,2)</f>
        <v>18.649999999999999</v>
      </c>
      <c r="J7" s="713"/>
      <c r="K7" s="732"/>
      <c r="L7" s="733"/>
    </row>
    <row r="8" spans="1:14" s="327" customFormat="1">
      <c r="A8" s="348"/>
      <c r="B8" s="712" t="s">
        <v>1287</v>
      </c>
      <c r="C8" s="713">
        <v>1</v>
      </c>
      <c r="D8" s="713" t="s">
        <v>907</v>
      </c>
      <c r="E8" s="348">
        <v>1</v>
      </c>
      <c r="F8" s="347">
        <v>5</v>
      </c>
      <c r="G8" s="347">
        <v>1.5</v>
      </c>
      <c r="H8" s="714">
        <v>0.3</v>
      </c>
      <c r="I8" s="731">
        <f t="shared" si="0"/>
        <v>2.25</v>
      </c>
      <c r="J8" s="713"/>
      <c r="K8" s="732"/>
      <c r="L8" s="733"/>
    </row>
    <row r="9" spans="1:14" s="327" customFormat="1">
      <c r="A9" s="348"/>
      <c r="B9" s="713"/>
      <c r="C9" s="715"/>
      <c r="D9" s="713"/>
      <c r="E9" s="712"/>
      <c r="F9" s="348"/>
      <c r="G9" s="348"/>
      <c r="H9" s="348"/>
      <c r="I9" s="734">
        <f>SUM(I7:I8)</f>
        <v>20.9</v>
      </c>
      <c r="J9" s="714">
        <f>'Pipe data'!G20</f>
        <v>136.06920584583335</v>
      </c>
      <c r="K9" s="713">
        <v>1</v>
      </c>
      <c r="L9" s="735">
        <f>ROUND(I9*J9,0)</f>
        <v>2844</v>
      </c>
    </row>
    <row r="10" spans="1:14">
      <c r="A10" s="711"/>
      <c r="B10" s="339"/>
      <c r="C10" s="340"/>
      <c r="D10" s="338"/>
      <c r="E10" s="336"/>
      <c r="F10" s="338"/>
      <c r="G10" s="338"/>
      <c r="H10" s="338"/>
      <c r="I10" s="350" t="s">
        <v>73</v>
      </c>
      <c r="J10" s="341"/>
      <c r="K10" s="349" t="s">
        <v>73</v>
      </c>
      <c r="L10" s="343"/>
    </row>
    <row r="11" spans="1:14" ht="36.75" customHeight="1">
      <c r="A11" s="711">
        <v>2</v>
      </c>
      <c r="B11" s="3865" t="str">
        <f>'Pipe data'!B55:G55</f>
        <v>Sand  Filling (Natural Sand 50% + Manufactured sand 50%) in foundation trenches as per drawing and technical specification Clause 304 of MORTH including overhead charges &amp; Contractors profit etc complete.</v>
      </c>
      <c r="C11" s="3864"/>
      <c r="D11" s="3864"/>
      <c r="E11" s="3864"/>
      <c r="F11" s="3864"/>
      <c r="G11" s="3864"/>
      <c r="H11" s="3864"/>
      <c r="I11" s="3864"/>
      <c r="J11" s="3864"/>
      <c r="K11" s="3864"/>
      <c r="L11" s="736"/>
      <c r="N11" s="331"/>
    </row>
    <row r="12" spans="1:14" s="327" customFormat="1">
      <c r="A12" s="348"/>
      <c r="B12" s="712" t="s">
        <v>1286</v>
      </c>
      <c r="C12" s="713">
        <v>1</v>
      </c>
      <c r="D12" s="713" t="s">
        <v>907</v>
      </c>
      <c r="E12" s="348">
        <v>2</v>
      </c>
      <c r="F12" s="347">
        <f>F7</f>
        <v>5.55</v>
      </c>
      <c r="G12" s="347">
        <v>1.4</v>
      </c>
      <c r="H12" s="714">
        <v>0.1</v>
      </c>
      <c r="I12" s="731">
        <f t="shared" si="0"/>
        <v>1.55</v>
      </c>
      <c r="J12" s="713"/>
      <c r="K12" s="732"/>
      <c r="L12" s="733"/>
    </row>
    <row r="13" spans="1:14" s="327" customFormat="1">
      <c r="A13" s="348"/>
      <c r="B13" s="712" t="s">
        <v>1287</v>
      </c>
      <c r="C13" s="713">
        <v>1</v>
      </c>
      <c r="D13" s="713" t="s">
        <v>907</v>
      </c>
      <c r="E13" s="348">
        <v>1</v>
      </c>
      <c r="F13" s="347">
        <v>5</v>
      </c>
      <c r="G13" s="347">
        <v>1.5</v>
      </c>
      <c r="H13" s="714">
        <v>0.3</v>
      </c>
      <c r="I13" s="731">
        <f t="shared" si="0"/>
        <v>2.25</v>
      </c>
      <c r="J13" s="713"/>
      <c r="K13" s="732"/>
      <c r="L13" s="733"/>
    </row>
    <row r="14" spans="1:14" s="327" customFormat="1">
      <c r="A14" s="348"/>
      <c r="B14" s="344"/>
      <c r="C14" s="716"/>
      <c r="D14" s="348"/>
      <c r="E14" s="334"/>
      <c r="F14" s="717"/>
      <c r="G14" s="348"/>
      <c r="H14" s="348"/>
      <c r="I14" s="734">
        <f>SUM(I12:I13)</f>
        <v>3.8</v>
      </c>
      <c r="J14" s="737">
        <f>'Pipe data'!G73</f>
        <v>1920.41</v>
      </c>
      <c r="K14" s="713">
        <v>1</v>
      </c>
      <c r="L14" s="735">
        <f>ROUND(I14*J14,0)</f>
        <v>7298</v>
      </c>
    </row>
    <row r="15" spans="1:14">
      <c r="A15" s="711"/>
      <c r="B15" s="339"/>
      <c r="C15" s="340"/>
      <c r="D15" s="338"/>
      <c r="E15" s="336"/>
      <c r="F15" s="338"/>
      <c r="G15" s="338"/>
      <c r="H15" s="338"/>
      <c r="I15" s="350" t="s">
        <v>73</v>
      </c>
      <c r="J15" s="341"/>
      <c r="K15" s="349" t="s">
        <v>73</v>
      </c>
      <c r="L15" s="343"/>
    </row>
    <row r="16" spans="1:14" ht="117.75" hidden="1" customHeight="1">
      <c r="A16" s="711">
        <v>3</v>
      </c>
      <c r="B16" s="3864"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864"/>
      <c r="D16" s="3864"/>
      <c r="E16" s="3864"/>
      <c r="F16" s="3864"/>
      <c r="G16" s="3864"/>
      <c r="H16" s="3864"/>
      <c r="I16" s="3864"/>
      <c r="J16" s="3864"/>
      <c r="K16" s="349"/>
      <c r="L16" s="343"/>
    </row>
    <row r="17" spans="1:12" ht="19.2" hidden="1" customHeight="1">
      <c r="A17" s="711"/>
      <c r="B17" s="339" t="s">
        <v>1288</v>
      </c>
      <c r="C17" s="340">
        <v>1</v>
      </c>
      <c r="D17" s="338" t="s">
        <v>907</v>
      </c>
      <c r="E17" s="336">
        <v>2</v>
      </c>
      <c r="F17" s="337">
        <f>F12</f>
        <v>5.55</v>
      </c>
      <c r="G17" s="338">
        <v>1.4</v>
      </c>
      <c r="H17" s="338">
        <v>0.15</v>
      </c>
      <c r="I17" s="731">
        <f>ROUND(C17*E17*F17*G17*H17,2)</f>
        <v>2.33</v>
      </c>
      <c r="J17" s="341"/>
      <c r="K17" s="349"/>
      <c r="L17" s="343"/>
    </row>
    <row r="18" spans="1:12" ht="19.2" hidden="1" customHeight="1">
      <c r="A18" s="711"/>
      <c r="B18" s="712" t="s">
        <v>1287</v>
      </c>
      <c r="C18" s="715">
        <v>1</v>
      </c>
      <c r="D18" s="713" t="s">
        <v>907</v>
      </c>
      <c r="E18" s="334">
        <v>2</v>
      </c>
      <c r="F18" s="347">
        <v>5.4</v>
      </c>
      <c r="G18" s="347">
        <f>+(1.25+1)/2</f>
        <v>1.125</v>
      </c>
      <c r="H18" s="714">
        <v>0.95</v>
      </c>
      <c r="I18" s="731">
        <f>ROUND(C18*E18*F18*G18*H18,2)</f>
        <v>11.54</v>
      </c>
      <c r="J18" s="341"/>
      <c r="K18" s="349"/>
      <c r="L18" s="343"/>
    </row>
    <row r="19" spans="1:12" ht="19.2" hidden="1" customHeight="1">
      <c r="A19" s="711"/>
      <c r="B19" s="339"/>
      <c r="C19" s="340"/>
      <c r="D19" s="338"/>
      <c r="E19" s="336"/>
      <c r="F19" s="338"/>
      <c r="G19" s="338"/>
      <c r="H19" s="338"/>
      <c r="I19" s="350">
        <v>0</v>
      </c>
      <c r="J19" s="341">
        <f>'Bridge Data'!J31</f>
        <v>6547.95</v>
      </c>
      <c r="K19" s="713">
        <v>1</v>
      </c>
      <c r="L19" s="735">
        <f>ROUND(I19*J19,0)</f>
        <v>0</v>
      </c>
    </row>
    <row r="20" spans="1:12" ht="19.2" hidden="1" customHeight="1">
      <c r="A20" s="711"/>
      <c r="B20" s="339"/>
      <c r="C20" s="340"/>
      <c r="D20" s="338"/>
      <c r="E20" s="336"/>
      <c r="F20" s="338"/>
      <c r="G20" s="338"/>
      <c r="H20" s="338"/>
      <c r="I20" s="350" t="s">
        <v>73</v>
      </c>
      <c r="J20" s="341"/>
      <c r="K20" s="349" t="s">
        <v>73</v>
      </c>
      <c r="L20" s="343"/>
    </row>
    <row r="21" spans="1:12" ht="127.5" customHeight="1">
      <c r="A21" s="711">
        <v>3</v>
      </c>
      <c r="B21" s="3864" t="str">
        <f>'Pipe data'!$B$75:$G$75</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864"/>
      <c r="D21" s="3864"/>
      <c r="E21" s="3864"/>
      <c r="F21" s="3864"/>
      <c r="G21" s="3864"/>
      <c r="H21" s="3864"/>
      <c r="I21" s="3864"/>
      <c r="J21" s="3864"/>
      <c r="K21" s="3864"/>
      <c r="L21" s="343"/>
    </row>
    <row r="22" spans="1:12" s="327" customFormat="1" ht="27.6" customHeight="1">
      <c r="A22" s="348"/>
      <c r="B22" s="335" t="s">
        <v>2681</v>
      </c>
      <c r="C22" s="718" t="s">
        <v>1290</v>
      </c>
      <c r="D22" s="718"/>
      <c r="E22" s="711">
        <v>2</v>
      </c>
      <c r="F22" s="346">
        <f>F12</f>
        <v>5.55</v>
      </c>
      <c r="G22" s="719">
        <v>1.4</v>
      </c>
      <c r="H22" s="719">
        <v>0.15</v>
      </c>
      <c r="I22" s="738">
        <f>ROUND(PRODUCT(C22:H22),2)</f>
        <v>2.33</v>
      </c>
      <c r="J22" s="732"/>
      <c r="K22" s="732"/>
      <c r="L22" s="733"/>
    </row>
    <row r="23" spans="1:12" s="327" customFormat="1" ht="27.6" customHeight="1">
      <c r="A23" s="348"/>
      <c r="B23" s="335" t="s">
        <v>1289</v>
      </c>
      <c r="C23" s="718" t="s">
        <v>1290</v>
      </c>
      <c r="D23" s="718"/>
      <c r="E23" s="720">
        <v>2</v>
      </c>
      <c r="F23" s="346">
        <v>5.4</v>
      </c>
      <c r="G23" s="721" t="s">
        <v>1291</v>
      </c>
      <c r="H23" s="719">
        <v>0.95</v>
      </c>
      <c r="I23" s="738">
        <f>ROUND(PRODUCT(C23:H23)*(1.25+1)/2,2)</f>
        <v>11.54</v>
      </c>
      <c r="J23" s="732"/>
      <c r="K23" s="732"/>
      <c r="L23" s="733"/>
    </row>
    <row r="24" spans="1:12">
      <c r="A24" s="711"/>
      <c r="B24" s="333"/>
      <c r="C24" s="722"/>
      <c r="D24" s="333"/>
      <c r="E24" s="333"/>
      <c r="F24" s="333"/>
      <c r="G24" s="333"/>
      <c r="H24" s="333"/>
      <c r="I24" s="739">
        <f>SUM(I22:I23)</f>
        <v>13.87</v>
      </c>
      <c r="J24" s="342">
        <f>'Pipe data'!$G$104</f>
        <v>6961</v>
      </c>
      <c r="K24" s="713">
        <v>1</v>
      </c>
      <c r="L24" s="735">
        <f>ROUND(I24*J24,0)</f>
        <v>96549</v>
      </c>
    </row>
    <row r="25" spans="1:12">
      <c r="A25" s="711"/>
      <c r="B25" s="333"/>
      <c r="C25" s="722"/>
      <c r="D25" s="333"/>
      <c r="E25" s="333"/>
      <c r="F25" s="333"/>
      <c r="G25" s="333"/>
      <c r="H25" s="333"/>
      <c r="I25" s="332" t="s">
        <v>73</v>
      </c>
      <c r="J25" s="333"/>
      <c r="K25" s="349" t="s">
        <v>73</v>
      </c>
      <c r="L25" s="343"/>
    </row>
    <row r="26" spans="1:12" ht="111" customHeight="1">
      <c r="A26" s="711">
        <v>4</v>
      </c>
      <c r="B26" s="3864" t="str">
        <f>'Bridge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864"/>
      <c r="D26" s="3864"/>
      <c r="E26" s="3864"/>
      <c r="F26" s="3864"/>
      <c r="G26" s="3864"/>
      <c r="H26" s="3864"/>
      <c r="I26" s="3864"/>
      <c r="J26" s="3864"/>
      <c r="K26" s="3864"/>
      <c r="L26" s="343"/>
    </row>
    <row r="27" spans="1:12" ht="32.4" customHeight="1">
      <c r="A27" s="711"/>
      <c r="B27" s="335" t="s">
        <v>1292</v>
      </c>
      <c r="C27" s="718" t="s">
        <v>1290</v>
      </c>
      <c r="D27" s="718"/>
      <c r="E27" s="711">
        <v>2</v>
      </c>
      <c r="F27" s="346">
        <v>5.4</v>
      </c>
      <c r="G27" s="2195" t="s">
        <v>2682</v>
      </c>
      <c r="H27" s="719">
        <v>1.8</v>
      </c>
      <c r="I27" s="738">
        <f>ROUND(PRODUCT(C27:H27)*(0.4+1.05)/2,2)</f>
        <v>14.09</v>
      </c>
      <c r="J27" s="737"/>
      <c r="K27" s="713"/>
      <c r="L27" s="735"/>
    </row>
    <row r="28" spans="1:12" s="327" customFormat="1">
      <c r="A28" s="348"/>
      <c r="B28" s="335" t="s">
        <v>1293</v>
      </c>
      <c r="C28" s="718" t="s">
        <v>1290</v>
      </c>
      <c r="D28" s="718"/>
      <c r="E28" s="711">
        <v>2</v>
      </c>
      <c r="F28" s="346">
        <f>F23</f>
        <v>5.4</v>
      </c>
      <c r="G28" s="711">
        <v>0.45</v>
      </c>
      <c r="H28" s="719">
        <v>0.4</v>
      </c>
      <c r="I28" s="738">
        <f>ROUND(PRODUCT(C28:H28),2)</f>
        <v>1.94</v>
      </c>
      <c r="J28" s="732"/>
      <c r="K28" s="732"/>
      <c r="L28" s="733"/>
    </row>
    <row r="29" spans="1:12" s="327" customFormat="1" ht="28.8">
      <c r="A29" s="348"/>
      <c r="B29" s="345" t="s">
        <v>1294</v>
      </c>
      <c r="C29" s="718" t="s">
        <v>1295</v>
      </c>
      <c r="D29" s="718"/>
      <c r="E29" s="711">
        <v>-2</v>
      </c>
      <c r="F29" s="346">
        <v>1.2</v>
      </c>
      <c r="G29" s="346">
        <v>1.2</v>
      </c>
      <c r="H29" s="721" t="s">
        <v>1296</v>
      </c>
      <c r="I29" s="738">
        <f>ROUND(PRODUCT(C29:H29)*(3.14/4)*(1+0.6)/2,2)</f>
        <v>-1.81</v>
      </c>
      <c r="J29" s="732"/>
      <c r="K29" s="732"/>
      <c r="L29" s="733"/>
    </row>
    <row r="30" spans="1:12" ht="15" customHeight="1">
      <c r="A30" s="711"/>
      <c r="B30" s="3866"/>
      <c r="C30" s="3867"/>
      <c r="D30" s="3867"/>
      <c r="E30" s="3867"/>
      <c r="F30" s="3867"/>
      <c r="G30" s="338"/>
      <c r="H30" s="338"/>
      <c r="I30" s="734">
        <f>SUM(I27:I29)</f>
        <v>14.22</v>
      </c>
      <c r="J30" s="342">
        <f>'Pipe data'!G231</f>
        <v>7362.6</v>
      </c>
      <c r="K30" s="349">
        <v>1</v>
      </c>
      <c r="L30" s="343">
        <f>ROUND(I30*J30,0)</f>
        <v>104696</v>
      </c>
    </row>
    <row r="31" spans="1:12" ht="15" customHeight="1">
      <c r="A31" s="711"/>
      <c r="B31" s="339"/>
      <c r="C31" s="340"/>
      <c r="D31" s="338"/>
      <c r="E31" s="336"/>
      <c r="F31" s="338"/>
      <c r="G31" s="338"/>
      <c r="H31" s="338"/>
      <c r="I31" s="350" t="s">
        <v>73</v>
      </c>
      <c r="J31" s="341"/>
      <c r="K31" s="349" t="s">
        <v>31</v>
      </c>
      <c r="L31" s="343"/>
    </row>
    <row r="32" spans="1:12" ht="98.1" customHeight="1">
      <c r="A32" s="711">
        <v>5</v>
      </c>
      <c r="B32" s="3864" t="str">
        <f>'Pipe data'!B106:G106</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864"/>
      <c r="D32" s="3864"/>
      <c r="E32" s="3864"/>
      <c r="F32" s="3864"/>
      <c r="G32" s="3864"/>
      <c r="H32" s="3864"/>
      <c r="I32" s="3864"/>
      <c r="J32" s="3864"/>
      <c r="K32" s="3864"/>
      <c r="L32" s="343"/>
    </row>
    <row r="33" spans="1:12" ht="15" customHeight="1">
      <c r="A33" s="711"/>
      <c r="B33" s="349" t="s">
        <v>1297</v>
      </c>
      <c r="C33" s="349" t="s">
        <v>1290</v>
      </c>
      <c r="D33" s="349"/>
      <c r="E33" s="338">
        <v>3</v>
      </c>
      <c r="F33" s="337">
        <v>2.5</v>
      </c>
      <c r="G33" s="338"/>
      <c r="H33" s="341"/>
      <c r="I33" s="350">
        <f>ROUND(PRODUCT(C33:H33),2)</f>
        <v>7.5</v>
      </c>
      <c r="J33" s="341">
        <f>'Pipe data'!G129</f>
        <v>14969.28</v>
      </c>
      <c r="K33" s="349">
        <v>1</v>
      </c>
      <c r="L33" s="343">
        <f>ROUND(I33*J33,0)</f>
        <v>112270</v>
      </c>
    </row>
    <row r="34" spans="1:12" ht="15" customHeight="1">
      <c r="A34" s="711"/>
      <c r="B34" s="339"/>
      <c r="C34" s="340"/>
      <c r="D34" s="338"/>
      <c r="E34" s="336"/>
      <c r="F34" s="338"/>
      <c r="G34" s="338"/>
      <c r="H34" s="338"/>
      <c r="I34" s="350" t="s">
        <v>107</v>
      </c>
      <c r="J34" s="341"/>
      <c r="K34" s="349" t="s">
        <v>107</v>
      </c>
      <c r="L34" s="343"/>
    </row>
    <row r="35" spans="1:12" ht="26.1" customHeight="1">
      <c r="A35" s="723"/>
      <c r="B35" s="724"/>
      <c r="C35" s="725"/>
      <c r="D35" s="726"/>
      <c r="E35" s="727"/>
      <c r="F35" s="726"/>
      <c r="G35" s="726"/>
      <c r="H35" s="726"/>
      <c r="I35" s="726"/>
      <c r="J35" s="740" t="s">
        <v>1298</v>
      </c>
      <c r="K35" s="726"/>
      <c r="L35" s="741">
        <f>SUM(L6:L34)</f>
        <v>323657</v>
      </c>
    </row>
    <row r="36" spans="1:12">
      <c r="J36" s="329"/>
      <c r="L36" s="742"/>
    </row>
    <row r="37" spans="1:12">
      <c r="J37" s="329"/>
      <c r="L37" s="742"/>
    </row>
    <row r="38" spans="1:12">
      <c r="J38" s="329"/>
      <c r="L38" s="742"/>
    </row>
    <row r="39" spans="1:12" ht="15" customHeight="1">
      <c r="B39" s="3868" t="s">
        <v>1299</v>
      </c>
      <c r="C39" s="3868"/>
      <c r="D39" s="3868"/>
      <c r="E39" s="3868"/>
      <c r="F39" s="3868"/>
      <c r="H39" s="3868" t="s">
        <v>742</v>
      </c>
      <c r="I39" s="3868"/>
      <c r="J39" s="3868"/>
    </row>
    <row r="40" spans="1:12">
      <c r="B40" s="3868" t="str">
        <f>'Road data'!D986</f>
        <v>PRSD, Maddur</v>
      </c>
      <c r="C40" s="3868"/>
      <c r="D40" s="3868"/>
      <c r="E40" s="3868"/>
      <c r="F40" s="3868"/>
      <c r="H40" s="3869" t="str">
        <f>GA!C34</f>
        <v>PRSD, Maddur</v>
      </c>
      <c r="I40" s="3868"/>
      <c r="J40" s="3868"/>
    </row>
    <row r="41" spans="1:12">
      <c r="B41" s="528"/>
      <c r="C41" s="729"/>
      <c r="D41" s="528"/>
      <c r="E41" s="728"/>
      <c r="F41" s="528"/>
      <c r="H41" s="528"/>
      <c r="I41" s="528"/>
    </row>
    <row r="42" spans="1:12">
      <c r="B42" s="528"/>
      <c r="C42" s="729"/>
      <c r="D42" s="528"/>
      <c r="E42" s="728"/>
      <c r="F42" s="528"/>
      <c r="H42" s="528"/>
      <c r="I42" s="528"/>
    </row>
    <row r="43" spans="1:12">
      <c r="B43" s="493"/>
      <c r="C43" s="729"/>
      <c r="D43" s="493"/>
      <c r="E43" s="728"/>
      <c r="F43" s="493"/>
      <c r="H43" s="493"/>
      <c r="I43" s="528"/>
    </row>
    <row r="44" spans="1:12" ht="18" customHeight="1">
      <c r="B44" s="3868" t="s">
        <v>857</v>
      </c>
      <c r="C44" s="3868"/>
      <c r="D44" s="3868"/>
      <c r="E44" s="3868"/>
      <c r="F44" s="3868"/>
      <c r="H44" s="3868" t="s">
        <v>684</v>
      </c>
      <c r="I44" s="3868"/>
      <c r="J44" s="3868"/>
    </row>
    <row r="45" spans="1:12" ht="15" customHeight="1">
      <c r="B45" s="3868" t="str">
        <f>'Road data'!D990</f>
        <v>PIU, Narayanpet</v>
      </c>
      <c r="C45" s="3868"/>
      <c r="D45" s="3868"/>
      <c r="E45" s="3868"/>
      <c r="F45" s="3868"/>
      <c r="H45" s="3868" t="str">
        <f>GA!C37</f>
        <v>PR, Circle, Vikarabad</v>
      </c>
      <c r="I45" s="3868"/>
      <c r="J45" s="3868"/>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5" tint="-0.249977111117893"/>
  </sheetPr>
  <dimension ref="A1:T48"/>
  <sheetViews>
    <sheetView view="pageBreakPreview" topLeftCell="A27" zoomScale="112" workbookViewId="0">
      <selection activeCell="B12" sqref="B12:H12"/>
    </sheetView>
  </sheetViews>
  <sheetFormatPr defaultColWidth="9.109375" defaultRowHeight="14.4"/>
  <cols>
    <col min="1" max="1" width="5" style="705" customWidth="1"/>
    <col min="2" max="2" width="20.109375" style="328" customWidth="1"/>
    <col min="3" max="3" width="3.5546875" style="706" customWidth="1"/>
    <col min="4" max="4" width="3.5546875" style="330" customWidth="1"/>
    <col min="5" max="5" width="3.5546875" style="707" customWidth="1"/>
    <col min="6" max="6" width="7.109375" style="330" customWidth="1"/>
    <col min="7" max="7" width="8.33203125" style="330" customWidth="1"/>
    <col min="8" max="9" width="7.44140625" style="330" customWidth="1"/>
    <col min="10" max="10" width="9.44140625" style="330" customWidth="1"/>
    <col min="11" max="11" width="5.44140625" style="330" customWidth="1"/>
    <col min="12" max="12" width="11.88671875" style="329" customWidth="1"/>
    <col min="13" max="13" width="9.109375" style="328"/>
    <col min="14" max="14" width="9.6640625" style="328" customWidth="1"/>
    <col min="15" max="15" width="9.109375" style="328"/>
    <col min="16" max="16" width="6.33203125" style="328" customWidth="1"/>
    <col min="17" max="20" width="9.109375" style="328" hidden="1" customWidth="1"/>
    <col min="21" max="16384" width="9.109375" style="328"/>
  </cols>
  <sheetData>
    <row r="1" spans="1:14" ht="18" customHeight="1">
      <c r="A1" s="3870" t="s">
        <v>2604</v>
      </c>
      <c r="B1" s="3859"/>
      <c r="C1" s="3859"/>
      <c r="D1" s="3859"/>
      <c r="E1" s="3859"/>
      <c r="F1" s="3859"/>
      <c r="G1" s="3859"/>
      <c r="H1" s="3859"/>
      <c r="I1" s="3859"/>
      <c r="J1" s="3859"/>
      <c r="K1" s="3859"/>
      <c r="L1" s="3859"/>
    </row>
    <row r="2" spans="1:14" ht="36.75" customHeight="1">
      <c r="A2" s="3860" t="s">
        <v>676</v>
      </c>
      <c r="B2" s="3860"/>
      <c r="C2" s="709"/>
      <c r="D2" s="708"/>
      <c r="E2" s="710"/>
      <c r="F2" s="3861" t="str">
        <f>'Input Data'!E1</f>
        <v>C/o HLB on R/F Amlikunta to Gundumal of Gundumal Mandal of Narayanept District.</v>
      </c>
      <c r="G2" s="3861"/>
      <c r="H2" s="3861"/>
      <c r="I2" s="3861"/>
      <c r="J2" s="3861"/>
      <c r="K2" s="3861"/>
      <c r="L2" s="3861"/>
    </row>
    <row r="3" spans="1:14" s="329" customFormat="1" ht="22.5" customHeight="1">
      <c r="A3" s="3858" t="s">
        <v>2685</v>
      </c>
      <c r="B3" s="3871"/>
      <c r="C3" s="3871"/>
      <c r="D3" s="3871"/>
      <c r="E3" s="3871"/>
      <c r="F3" s="3871"/>
      <c r="G3" s="3871"/>
      <c r="H3" s="3871"/>
      <c r="I3" s="3871"/>
      <c r="J3" s="3871"/>
      <c r="K3" s="3871"/>
      <c r="L3" s="3871"/>
    </row>
    <row r="4" spans="1:14" s="330" customFormat="1" ht="36.75" customHeight="1">
      <c r="A4" s="349" t="s">
        <v>1285</v>
      </c>
      <c r="B4" s="349" t="s">
        <v>904</v>
      </c>
      <c r="C4" s="3872" t="s">
        <v>905</v>
      </c>
      <c r="D4" s="3873"/>
      <c r="E4" s="3874"/>
      <c r="F4" s="349" t="s">
        <v>180</v>
      </c>
      <c r="G4" s="349" t="s">
        <v>732</v>
      </c>
      <c r="H4" s="349" t="s">
        <v>906</v>
      </c>
      <c r="I4" s="337" t="s">
        <v>3</v>
      </c>
      <c r="J4" s="338" t="s">
        <v>5</v>
      </c>
      <c r="K4" s="338" t="s">
        <v>579</v>
      </c>
      <c r="L4" s="349" t="s">
        <v>7</v>
      </c>
    </row>
    <row r="5" spans="1:14" s="330" customFormat="1">
      <c r="A5" s="711">
        <v>1</v>
      </c>
      <c r="B5" s="338">
        <v>2</v>
      </c>
      <c r="C5" s="3863">
        <v>3</v>
      </c>
      <c r="D5" s="3863"/>
      <c r="E5" s="3863"/>
      <c r="F5" s="338">
        <v>4</v>
      </c>
      <c r="G5" s="338">
        <v>5</v>
      </c>
      <c r="H5" s="338">
        <v>6</v>
      </c>
      <c r="I5" s="338">
        <v>7</v>
      </c>
      <c r="J5" s="338">
        <v>8</v>
      </c>
      <c r="K5" s="338">
        <v>9</v>
      </c>
      <c r="L5" s="338">
        <v>10</v>
      </c>
    </row>
    <row r="6" spans="1:14" ht="90.9" customHeight="1">
      <c r="A6" s="711">
        <v>1</v>
      </c>
      <c r="B6" s="3864"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64"/>
      <c r="D6" s="3864"/>
      <c r="E6" s="3864"/>
      <c r="F6" s="3864"/>
      <c r="G6" s="3864"/>
      <c r="H6" s="3864"/>
      <c r="I6" s="3864"/>
      <c r="J6" s="3864"/>
      <c r="K6" s="3864"/>
      <c r="L6" s="730"/>
    </row>
    <row r="7" spans="1:14" s="327" customFormat="1">
      <c r="A7" s="348"/>
      <c r="B7" s="712" t="s">
        <v>1286</v>
      </c>
      <c r="C7" s="713">
        <v>1</v>
      </c>
      <c r="D7" s="713" t="s">
        <v>907</v>
      </c>
      <c r="E7" s="348">
        <v>2</v>
      </c>
      <c r="F7" s="347">
        <v>7.35</v>
      </c>
      <c r="G7" s="347">
        <v>1.4</v>
      </c>
      <c r="H7" s="714">
        <v>1.2</v>
      </c>
      <c r="I7" s="731">
        <f>ROUND(C7*E7*F7*G7*H7,2)</f>
        <v>24.7</v>
      </c>
      <c r="J7" s="713"/>
      <c r="K7" s="732"/>
      <c r="L7" s="733"/>
    </row>
    <row r="8" spans="1:14" s="327" customFormat="1">
      <c r="A8" s="348"/>
      <c r="B8" s="712" t="s">
        <v>1287</v>
      </c>
      <c r="C8" s="713">
        <v>1</v>
      </c>
      <c r="D8" s="713" t="s">
        <v>907</v>
      </c>
      <c r="E8" s="348">
        <v>1</v>
      </c>
      <c r="F8" s="347">
        <v>5</v>
      </c>
      <c r="G8" s="347">
        <v>3.3</v>
      </c>
      <c r="H8" s="714">
        <v>0.3</v>
      </c>
      <c r="I8" s="731">
        <f>ROUND(C8*E8*F8*G8*H8,2)</f>
        <v>4.95</v>
      </c>
      <c r="J8" s="713"/>
      <c r="K8" s="732"/>
      <c r="L8" s="733"/>
    </row>
    <row r="9" spans="1:14" s="327" customFormat="1">
      <c r="A9" s="348"/>
      <c r="B9" s="713"/>
      <c r="C9" s="715"/>
      <c r="D9" s="713"/>
      <c r="E9" s="712"/>
      <c r="F9" s="348"/>
      <c r="G9" s="348"/>
      <c r="H9" s="348"/>
      <c r="I9" s="734">
        <f>SUM(I7:I8)</f>
        <v>29.65</v>
      </c>
      <c r="J9" s="714">
        <f>'Pipe data'!G20</f>
        <v>136.06920584583335</v>
      </c>
      <c r="K9" s="713">
        <v>1</v>
      </c>
      <c r="L9" s="735">
        <f>ROUND(I9*J9,0)</f>
        <v>4034</v>
      </c>
    </row>
    <row r="10" spans="1:14">
      <c r="A10" s="711"/>
      <c r="B10" s="339"/>
      <c r="C10" s="340"/>
      <c r="D10" s="338"/>
      <c r="E10" s="336"/>
      <c r="F10" s="338"/>
      <c r="G10" s="338"/>
      <c r="H10" s="338"/>
      <c r="I10" s="350" t="s">
        <v>73</v>
      </c>
      <c r="J10" s="341"/>
      <c r="K10" s="349" t="s">
        <v>73</v>
      </c>
      <c r="L10" s="343"/>
    </row>
    <row r="11" spans="1:14" ht="42" customHeight="1">
      <c r="A11" s="711">
        <v>2</v>
      </c>
      <c r="B11" s="3865" t="str">
        <f>'Pipe data'!B55:G55</f>
        <v>Sand  Filling (Natural Sand 50% + Manufactured sand 50%) in foundation trenches as per drawing and technical specification Clause 304 of MORTH including overhead charges &amp; Contractors profit etc complete.</v>
      </c>
      <c r="C11" s="3864"/>
      <c r="D11" s="3864"/>
      <c r="E11" s="3864"/>
      <c r="F11" s="3864"/>
      <c r="G11" s="3864"/>
      <c r="H11" s="3864"/>
      <c r="I11" s="3864"/>
      <c r="J11" s="3864"/>
      <c r="K11" s="3864"/>
      <c r="L11" s="736"/>
      <c r="N11" s="331"/>
    </row>
    <row r="12" spans="1:14" s="327" customFormat="1">
      <c r="A12" s="348"/>
      <c r="B12" s="712" t="s">
        <v>1286</v>
      </c>
      <c r="C12" s="713">
        <v>1</v>
      </c>
      <c r="D12" s="713" t="s">
        <v>907</v>
      </c>
      <c r="E12" s="348">
        <v>2</v>
      </c>
      <c r="F12" s="347">
        <f>F7</f>
        <v>7.35</v>
      </c>
      <c r="G12" s="347">
        <v>1.4</v>
      </c>
      <c r="H12" s="714">
        <v>0.1</v>
      </c>
      <c r="I12" s="731">
        <f t="shared" ref="I12:I13" si="0">ROUND(C12*E12*F12*G12*H12,2)</f>
        <v>2.06</v>
      </c>
      <c r="J12" s="713"/>
      <c r="K12" s="732"/>
      <c r="L12" s="733"/>
    </row>
    <row r="13" spans="1:14" s="327" customFormat="1">
      <c r="A13" s="348"/>
      <c r="B13" s="712" t="s">
        <v>1287</v>
      </c>
      <c r="C13" s="713">
        <v>1</v>
      </c>
      <c r="D13" s="713" t="s">
        <v>907</v>
      </c>
      <c r="E13" s="348">
        <v>1</v>
      </c>
      <c r="F13" s="347">
        <v>5.5</v>
      </c>
      <c r="G13" s="347">
        <v>3</v>
      </c>
      <c r="H13" s="714">
        <v>0.3</v>
      </c>
      <c r="I13" s="731">
        <f t="shared" si="0"/>
        <v>4.95</v>
      </c>
      <c r="J13" s="713"/>
      <c r="K13" s="732"/>
      <c r="L13" s="733"/>
    </row>
    <row r="14" spans="1:14" s="327" customFormat="1">
      <c r="A14" s="348"/>
      <c r="B14" s="344"/>
      <c r="C14" s="716"/>
      <c r="D14" s="348"/>
      <c r="E14" s="334"/>
      <c r="F14" s="717"/>
      <c r="G14" s="348"/>
      <c r="H14" s="348"/>
      <c r="I14" s="734">
        <f>SUM(I12:I13)</f>
        <v>7.01</v>
      </c>
      <c r="J14" s="737">
        <f>'Pipe data'!G73</f>
        <v>1920.41</v>
      </c>
      <c r="K14" s="713">
        <v>1</v>
      </c>
      <c r="L14" s="735">
        <f>ROUND(I14*J14,0)</f>
        <v>13462</v>
      </c>
    </row>
    <row r="15" spans="1:14">
      <c r="A15" s="711"/>
      <c r="B15" s="339"/>
      <c r="C15" s="340"/>
      <c r="D15" s="338"/>
      <c r="E15" s="336"/>
      <c r="F15" s="338"/>
      <c r="G15" s="338"/>
      <c r="H15" s="338"/>
      <c r="I15" s="350" t="s">
        <v>73</v>
      </c>
      <c r="J15" s="341"/>
      <c r="K15" s="349" t="s">
        <v>73</v>
      </c>
      <c r="L15" s="343"/>
    </row>
    <row r="16" spans="1:14" ht="117" hidden="1" customHeight="1">
      <c r="A16" s="711">
        <v>3</v>
      </c>
      <c r="B16" s="3864"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864"/>
      <c r="D16" s="3864"/>
      <c r="E16" s="3864"/>
      <c r="F16" s="3864"/>
      <c r="G16" s="3864"/>
      <c r="H16" s="3864"/>
      <c r="I16" s="3864"/>
      <c r="J16" s="3864"/>
      <c r="K16" s="349"/>
      <c r="L16" s="343"/>
    </row>
    <row r="17" spans="1:12" ht="19.2" hidden="1" customHeight="1">
      <c r="A17" s="711"/>
      <c r="B17" s="339" t="s">
        <v>1288</v>
      </c>
      <c r="C17" s="340">
        <v>1</v>
      </c>
      <c r="D17" s="338" t="s">
        <v>907</v>
      </c>
      <c r="E17" s="336">
        <v>2</v>
      </c>
      <c r="F17" s="337">
        <f>F12</f>
        <v>7.35</v>
      </c>
      <c r="G17" s="338">
        <v>1.4</v>
      </c>
      <c r="H17" s="338">
        <v>0.15</v>
      </c>
      <c r="I17" s="731">
        <f t="shared" ref="I17:I18" si="1">ROUND(C17*E17*F17*G17*H17,2)</f>
        <v>3.09</v>
      </c>
      <c r="J17" s="341"/>
      <c r="K17" s="349"/>
      <c r="L17" s="343"/>
    </row>
    <row r="18" spans="1:12" ht="19.2" hidden="1" customHeight="1">
      <c r="A18" s="711"/>
      <c r="B18" s="712" t="s">
        <v>1287</v>
      </c>
      <c r="C18" s="715">
        <v>1</v>
      </c>
      <c r="D18" s="713" t="s">
        <v>907</v>
      </c>
      <c r="E18" s="334">
        <v>1</v>
      </c>
      <c r="F18" s="347">
        <v>5.4</v>
      </c>
      <c r="G18" s="347">
        <v>1.5</v>
      </c>
      <c r="H18" s="714">
        <v>0.2</v>
      </c>
      <c r="I18" s="731">
        <f t="shared" si="1"/>
        <v>1.62</v>
      </c>
      <c r="J18" s="341"/>
      <c r="K18" s="349"/>
      <c r="L18" s="343"/>
    </row>
    <row r="19" spans="1:12" ht="19.2" hidden="1" customHeight="1">
      <c r="A19" s="711"/>
      <c r="B19" s="339"/>
      <c r="C19" s="340"/>
      <c r="D19" s="338"/>
      <c r="E19" s="336"/>
      <c r="F19" s="338"/>
      <c r="G19" s="338"/>
      <c r="H19" s="338"/>
      <c r="I19" s="350">
        <v>0</v>
      </c>
      <c r="J19" s="341">
        <f>'Bridge Data'!J31</f>
        <v>6547.95</v>
      </c>
      <c r="K19" s="713">
        <v>1</v>
      </c>
      <c r="L19" s="735">
        <f>ROUND(I19*J19,0)</f>
        <v>0</v>
      </c>
    </row>
    <row r="20" spans="1:12" ht="19.2" hidden="1" customHeight="1">
      <c r="A20" s="711"/>
      <c r="B20" s="339"/>
      <c r="C20" s="340"/>
      <c r="D20" s="338"/>
      <c r="E20" s="336"/>
      <c r="F20" s="338"/>
      <c r="G20" s="338"/>
      <c r="H20" s="338"/>
      <c r="I20" s="350" t="s">
        <v>73</v>
      </c>
      <c r="J20" s="341"/>
      <c r="K20" s="349" t="s">
        <v>73</v>
      </c>
      <c r="L20" s="343"/>
    </row>
    <row r="21" spans="1:12" ht="101.25" customHeight="1">
      <c r="A21" s="711">
        <v>3</v>
      </c>
      <c r="B21" s="3864" t="str">
        <f>'Pipe data'!$B$75:$G$75</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864"/>
      <c r="D21" s="3864"/>
      <c r="E21" s="3864"/>
      <c r="F21" s="3864"/>
      <c r="G21" s="3864"/>
      <c r="H21" s="3864"/>
      <c r="I21" s="3864"/>
      <c r="J21" s="3864"/>
      <c r="K21" s="3864"/>
      <c r="L21" s="343"/>
    </row>
    <row r="22" spans="1:12" s="327" customFormat="1" ht="27.6" customHeight="1">
      <c r="A22" s="348"/>
      <c r="B22" s="335" t="s">
        <v>2681</v>
      </c>
      <c r="C22" s="718" t="s">
        <v>1290</v>
      </c>
      <c r="D22" s="718"/>
      <c r="E22" s="711">
        <v>2</v>
      </c>
      <c r="F22" s="346">
        <f>F12</f>
        <v>7.35</v>
      </c>
      <c r="G22" s="719">
        <v>1.4</v>
      </c>
      <c r="H22" s="719">
        <v>0.15</v>
      </c>
      <c r="I22" s="738">
        <f>ROUND(PRODUCT(C22:H22),2)</f>
        <v>3.09</v>
      </c>
      <c r="J22" s="732"/>
      <c r="K22" s="732"/>
      <c r="L22" s="733"/>
    </row>
    <row r="23" spans="1:12" s="327" customFormat="1" ht="27.6" customHeight="1">
      <c r="A23" s="348"/>
      <c r="B23" s="335" t="s">
        <v>1289</v>
      </c>
      <c r="C23" s="718" t="s">
        <v>1290</v>
      </c>
      <c r="D23" s="718"/>
      <c r="E23" s="720">
        <v>2</v>
      </c>
      <c r="F23" s="346">
        <v>7.2</v>
      </c>
      <c r="G23" s="721" t="s">
        <v>1291</v>
      </c>
      <c r="H23" s="719">
        <v>0.95</v>
      </c>
      <c r="I23" s="738">
        <f>ROUND(PRODUCT(C23:H23)*(1.25+1)/2,2)</f>
        <v>15.39</v>
      </c>
      <c r="J23" s="732"/>
      <c r="K23" s="732"/>
      <c r="L23" s="733"/>
    </row>
    <row r="24" spans="1:12">
      <c r="A24" s="711"/>
      <c r="B24" s="333"/>
      <c r="C24" s="722"/>
      <c r="D24" s="333"/>
      <c r="E24" s="333"/>
      <c r="F24" s="333"/>
      <c r="G24" s="333"/>
      <c r="H24" s="333"/>
      <c r="I24" s="739">
        <f>SUM(I22:I23)</f>
        <v>18.48</v>
      </c>
      <c r="J24" s="342">
        <f>'Pipe data'!$G$104</f>
        <v>6961</v>
      </c>
      <c r="K24" s="713">
        <v>1</v>
      </c>
      <c r="L24" s="735">
        <f>ROUND(I24*J24,0)</f>
        <v>128639</v>
      </c>
    </row>
    <row r="25" spans="1:12">
      <c r="A25" s="711"/>
      <c r="B25" s="333"/>
      <c r="C25" s="722"/>
      <c r="D25" s="333"/>
      <c r="E25" s="333"/>
      <c r="F25" s="333"/>
      <c r="G25" s="333"/>
      <c r="H25" s="333"/>
      <c r="I25" s="332" t="s">
        <v>73</v>
      </c>
      <c r="J25" s="333"/>
      <c r="K25" s="349" t="s">
        <v>73</v>
      </c>
      <c r="L25" s="343"/>
    </row>
    <row r="26" spans="1:12" ht="99.75" customHeight="1">
      <c r="A26" s="711">
        <v>4</v>
      </c>
      <c r="B26" s="3864" t="str">
        <f>'Bridge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864"/>
      <c r="D26" s="3864"/>
      <c r="E26" s="3864"/>
      <c r="F26" s="3864"/>
      <c r="G26" s="3864"/>
      <c r="H26" s="3864"/>
      <c r="I26" s="3864"/>
      <c r="J26" s="3864"/>
      <c r="K26" s="3864"/>
      <c r="L26" s="343"/>
    </row>
    <row r="27" spans="1:12" ht="32.4" customHeight="1">
      <c r="A27" s="711"/>
      <c r="B27" s="335" t="s">
        <v>1292</v>
      </c>
      <c r="C27" s="718" t="s">
        <v>1290</v>
      </c>
      <c r="D27" s="718"/>
      <c r="E27" s="711">
        <v>2</v>
      </c>
      <c r="F27" s="346">
        <v>7.2</v>
      </c>
      <c r="G27" s="2195" t="s">
        <v>2682</v>
      </c>
      <c r="H27" s="719">
        <v>1.8</v>
      </c>
      <c r="I27" s="738">
        <f>ROUND(PRODUCT(C27:H27)*(0.4+1.05)/2,2)</f>
        <v>18.79</v>
      </c>
      <c r="J27" s="737"/>
      <c r="K27" s="713"/>
      <c r="L27" s="735"/>
    </row>
    <row r="28" spans="1:12" s="327" customFormat="1">
      <c r="A28" s="348"/>
      <c r="B28" s="335" t="s">
        <v>1293</v>
      </c>
      <c r="C28" s="718" t="s">
        <v>1290</v>
      </c>
      <c r="D28" s="718"/>
      <c r="E28" s="711">
        <v>2</v>
      </c>
      <c r="F28" s="346">
        <f>F23</f>
        <v>7.2</v>
      </c>
      <c r="G28" s="711">
        <v>0.45</v>
      </c>
      <c r="H28" s="719">
        <v>0.4</v>
      </c>
      <c r="I28" s="738">
        <f>ROUND(PRODUCT(C28:H28),2)</f>
        <v>2.59</v>
      </c>
      <c r="J28" s="732"/>
      <c r="K28" s="732"/>
      <c r="L28" s="733"/>
    </row>
    <row r="29" spans="1:12" s="327" customFormat="1" ht="28.8">
      <c r="A29" s="348"/>
      <c r="B29" s="345" t="s">
        <v>1294</v>
      </c>
      <c r="C29" s="718" t="s">
        <v>1295</v>
      </c>
      <c r="D29" s="718"/>
      <c r="E29" s="711">
        <v>-4</v>
      </c>
      <c r="F29" s="346">
        <v>1.2</v>
      </c>
      <c r="G29" s="346">
        <v>1.2</v>
      </c>
      <c r="H29" s="721" t="s">
        <v>1296</v>
      </c>
      <c r="I29" s="738">
        <f>ROUND(PRODUCT(C29:H29)*(3.14/4)*(1+0.6)/2,2)</f>
        <v>-3.62</v>
      </c>
      <c r="J29" s="732"/>
      <c r="K29" s="732"/>
      <c r="L29" s="733"/>
    </row>
    <row r="30" spans="1:12" ht="15" customHeight="1">
      <c r="A30" s="711"/>
      <c r="B30" s="3866"/>
      <c r="C30" s="3867"/>
      <c r="D30" s="3867"/>
      <c r="E30" s="3867"/>
      <c r="F30" s="3867"/>
      <c r="G30" s="338"/>
      <c r="H30" s="338"/>
      <c r="I30" s="734">
        <f>SUM(I27:I29)</f>
        <v>17.759999999999998</v>
      </c>
      <c r="J30" s="342">
        <f>'Pipe data'!G231</f>
        <v>7362.6</v>
      </c>
      <c r="K30" s="349">
        <v>1</v>
      </c>
      <c r="L30" s="343">
        <f>ROUND(I30*J30,0)</f>
        <v>130760</v>
      </c>
    </row>
    <row r="31" spans="1:12" ht="15" customHeight="1">
      <c r="A31" s="711"/>
      <c r="B31" s="339"/>
      <c r="C31" s="340"/>
      <c r="D31" s="338"/>
      <c r="E31" s="336"/>
      <c r="F31" s="338"/>
      <c r="G31" s="338"/>
      <c r="H31" s="338"/>
      <c r="I31" s="350" t="s">
        <v>73</v>
      </c>
      <c r="J31" s="341"/>
      <c r="K31" s="349" t="s">
        <v>31</v>
      </c>
      <c r="L31" s="343"/>
    </row>
    <row r="32" spans="1:12" ht="102" customHeight="1">
      <c r="A32" s="711">
        <v>5</v>
      </c>
      <c r="B32" s="3864" t="str">
        <f>'Pipe data'!B106:G106</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864"/>
      <c r="D32" s="3864"/>
      <c r="E32" s="3864"/>
      <c r="F32" s="3864"/>
      <c r="G32" s="3864"/>
      <c r="H32" s="3864"/>
      <c r="I32" s="3864"/>
      <c r="J32" s="3864"/>
      <c r="K32" s="3864"/>
      <c r="L32" s="343"/>
    </row>
    <row r="33" spans="1:12" ht="15" customHeight="1">
      <c r="A33" s="711"/>
      <c r="B33" s="349" t="s">
        <v>1297</v>
      </c>
      <c r="C33" s="349" t="s">
        <v>1290</v>
      </c>
      <c r="D33" s="349"/>
      <c r="E33" s="338">
        <v>6</v>
      </c>
      <c r="F33" s="337">
        <v>2.5</v>
      </c>
      <c r="G33" s="338"/>
      <c r="H33" s="341"/>
      <c r="I33" s="350">
        <f>ROUND(PRODUCT(C33:H33),2)</f>
        <v>15</v>
      </c>
      <c r="J33" s="341">
        <f>'Pipe data'!G129</f>
        <v>14969.28</v>
      </c>
      <c r="K33" s="349">
        <v>1</v>
      </c>
      <c r="L33" s="343">
        <f>ROUND(I33*J33,0)</f>
        <v>224539</v>
      </c>
    </row>
    <row r="34" spans="1:12" ht="15" customHeight="1">
      <c r="A34" s="711"/>
      <c r="B34" s="339"/>
      <c r="C34" s="340"/>
      <c r="D34" s="338"/>
      <c r="E34" s="336"/>
      <c r="F34" s="338"/>
      <c r="G34" s="338"/>
      <c r="H34" s="338"/>
      <c r="I34" s="350" t="s">
        <v>107</v>
      </c>
      <c r="J34" s="341"/>
      <c r="K34" s="349" t="s">
        <v>107</v>
      </c>
      <c r="L34" s="343"/>
    </row>
    <row r="35" spans="1:12" ht="26.1" customHeight="1">
      <c r="A35" s="723"/>
      <c r="B35" s="724"/>
      <c r="C35" s="725"/>
      <c r="D35" s="726"/>
      <c r="E35" s="727"/>
      <c r="F35" s="726"/>
      <c r="G35" s="726"/>
      <c r="H35" s="726"/>
      <c r="I35" s="726"/>
      <c r="J35" s="740" t="s">
        <v>1298</v>
      </c>
      <c r="K35" s="726"/>
      <c r="L35" s="741">
        <f>SUM(L6:L34)</f>
        <v>501434</v>
      </c>
    </row>
    <row r="36" spans="1:12">
      <c r="J36" s="329"/>
      <c r="L36" s="742"/>
    </row>
    <row r="37" spans="1:12">
      <c r="J37" s="329"/>
      <c r="L37" s="742"/>
    </row>
    <row r="38" spans="1:12">
      <c r="J38" s="329"/>
      <c r="L38" s="742"/>
    </row>
    <row r="39" spans="1:12" ht="15" customHeight="1">
      <c r="B39" s="3875" t="s">
        <v>1299</v>
      </c>
      <c r="C39" s="3875"/>
      <c r="D39" s="3875"/>
      <c r="E39" s="3875"/>
      <c r="F39" s="3875"/>
      <c r="H39" s="3868" t="s">
        <v>742</v>
      </c>
      <c r="I39" s="3868"/>
      <c r="J39" s="3868"/>
    </row>
    <row r="40" spans="1:12">
      <c r="B40" s="3875" t="str">
        <f>'Road data'!D986</f>
        <v>PRSD, Maddur</v>
      </c>
      <c r="C40" s="3875"/>
      <c r="D40" s="3875"/>
      <c r="E40" s="3875"/>
      <c r="F40" s="3875"/>
      <c r="H40" s="3869" t="str">
        <f>GA!C34</f>
        <v>PRSD, Maddur</v>
      </c>
      <c r="I40" s="3868"/>
      <c r="J40" s="3868"/>
    </row>
    <row r="41" spans="1:12">
      <c r="B41" s="528"/>
      <c r="C41" s="729"/>
      <c r="D41" s="528"/>
      <c r="E41" s="728"/>
      <c r="F41" s="528"/>
      <c r="H41" s="528"/>
      <c r="I41" s="528"/>
    </row>
    <row r="42" spans="1:12">
      <c r="B42" s="528"/>
      <c r="C42" s="729"/>
      <c r="D42" s="528"/>
      <c r="E42" s="728"/>
      <c r="F42" s="528"/>
      <c r="H42" s="528"/>
      <c r="I42" s="528"/>
    </row>
    <row r="43" spans="1:12">
      <c r="B43" s="493"/>
      <c r="C43" s="729"/>
      <c r="D43" s="493"/>
      <c r="E43" s="728"/>
      <c r="F43" s="493"/>
      <c r="H43" s="493"/>
      <c r="I43" s="528"/>
    </row>
    <row r="44" spans="1:12" ht="18" hidden="1" customHeight="1">
      <c r="B44" s="3868" t="s">
        <v>857</v>
      </c>
      <c r="C44" s="3868"/>
      <c r="D44" s="3868"/>
      <c r="E44" s="3868"/>
      <c r="F44" s="3868"/>
      <c r="H44" s="3868" t="s">
        <v>684</v>
      </c>
      <c r="I44" s="3868"/>
      <c r="J44" s="3868"/>
    </row>
    <row r="45" spans="1:12" ht="15" hidden="1" customHeight="1">
      <c r="B45" s="3868" t="str">
        <f>'Road data'!D990</f>
        <v>PIU, Narayanpet</v>
      </c>
      <c r="C45" s="3868"/>
      <c r="D45" s="3868"/>
      <c r="E45" s="3868"/>
      <c r="F45" s="3868"/>
      <c r="H45" s="3868" t="str">
        <f>GA!C37</f>
        <v>PR, Circle, Vikarabad</v>
      </c>
      <c r="I45" s="3868"/>
      <c r="J45" s="3868"/>
    </row>
    <row r="46" spans="1:12">
      <c r="B46" s="328" t="str">
        <f>'1V 1m dia Pipe Culverts'!B44</f>
        <v>District Panchayat Raj Engineer,</v>
      </c>
    </row>
    <row r="47" spans="1:12">
      <c r="B47" s="328" t="str">
        <f>'1V 1m dia Pipe Culverts'!B45</f>
        <v>PIU, Narayanpet</v>
      </c>
      <c r="I47" s="330" t="str">
        <f>'1V 1m dia Pipe Culverts'!H44</f>
        <v>Superintending Engineer</v>
      </c>
    </row>
    <row r="48" spans="1:12">
      <c r="I48" s="330" t="str">
        <f>'1V 1m dia Pipe Culverts'!H45</f>
        <v>PR, Circle, Vikarabad</v>
      </c>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5" tint="-0.249977111117893"/>
  </sheetPr>
  <dimension ref="A1:L84"/>
  <sheetViews>
    <sheetView view="pageBreakPreview" topLeftCell="A61" workbookViewId="0">
      <selection activeCell="B70" sqref="B70:K70"/>
    </sheetView>
  </sheetViews>
  <sheetFormatPr defaultColWidth="9.109375" defaultRowHeight="13.8"/>
  <cols>
    <col min="1" max="1" width="5" style="365" customWidth="1"/>
    <col min="2" max="2" width="21.33203125" style="366" customWidth="1"/>
    <col min="3" max="5" width="4.109375" style="363" customWidth="1"/>
    <col min="6" max="6" width="7.6640625" style="363" customWidth="1"/>
    <col min="7" max="7" width="10" style="363" customWidth="1"/>
    <col min="8" max="8" width="8.88671875" style="363" customWidth="1"/>
    <col min="9" max="9" width="9.5546875" style="363" customWidth="1"/>
    <col min="10" max="10" width="10.5546875" style="363" customWidth="1"/>
    <col min="11" max="11" width="6.109375" style="363" customWidth="1"/>
    <col min="12" max="12" width="16.33203125" style="362" customWidth="1"/>
    <col min="13" max="16384" width="9.109375" style="366"/>
  </cols>
  <sheetData>
    <row r="1" spans="1:12" ht="18" customHeight="1">
      <c r="A1" s="3876" t="s">
        <v>2676</v>
      </c>
      <c r="B1" s="3877"/>
      <c r="C1" s="3877"/>
      <c r="D1" s="3877"/>
      <c r="E1" s="3877"/>
      <c r="F1" s="3877"/>
      <c r="G1" s="3877"/>
      <c r="H1" s="3877"/>
      <c r="I1" s="3877"/>
      <c r="J1" s="3877"/>
      <c r="K1" s="3877"/>
      <c r="L1" s="3877"/>
    </row>
    <row r="2" spans="1:12" ht="42" customHeight="1">
      <c r="A2" s="3878" t="s">
        <v>676</v>
      </c>
      <c r="B2" s="3878"/>
      <c r="C2" s="3879" t="str">
        <f>'Input Data'!E1</f>
        <v>C/o HLB on R/F Amlikunta to Gundumal of Gundumal Mandal of Narayanept District.</v>
      </c>
      <c r="D2" s="3879"/>
      <c r="E2" s="3879"/>
      <c r="F2" s="3879"/>
      <c r="G2" s="3879"/>
      <c r="H2" s="3879"/>
      <c r="I2" s="3879"/>
      <c r="J2" s="3879"/>
      <c r="K2" s="3879"/>
      <c r="L2" s="3879"/>
    </row>
    <row r="3" spans="1:12" s="362" customFormat="1" ht="30" customHeight="1">
      <c r="A3" s="3880" t="s">
        <v>2686</v>
      </c>
      <c r="B3" s="3880"/>
      <c r="C3" s="3880"/>
      <c r="D3" s="3880"/>
      <c r="E3" s="3880"/>
      <c r="F3" s="3880"/>
      <c r="G3" s="3880"/>
      <c r="H3" s="3880"/>
      <c r="I3" s="3880"/>
      <c r="J3" s="3880"/>
      <c r="K3" s="3880"/>
      <c r="L3" s="3880"/>
    </row>
    <row r="4" spans="1:12" s="363" customFormat="1" ht="33" customHeight="1">
      <c r="A4" s="367" t="s">
        <v>1285</v>
      </c>
      <c r="B4" s="368" t="s">
        <v>904</v>
      </c>
      <c r="C4" s="3881" t="s">
        <v>905</v>
      </c>
      <c r="D4" s="3881"/>
      <c r="E4" s="3881"/>
      <c r="F4" s="368" t="s">
        <v>180</v>
      </c>
      <c r="G4" s="368" t="s">
        <v>732</v>
      </c>
      <c r="H4" s="368" t="s">
        <v>906</v>
      </c>
      <c r="I4" s="402" t="s">
        <v>3</v>
      </c>
      <c r="J4" s="370" t="s">
        <v>5</v>
      </c>
      <c r="K4" s="370" t="s">
        <v>579</v>
      </c>
      <c r="L4" s="368" t="s">
        <v>7</v>
      </c>
    </row>
    <row r="5" spans="1:12" s="362" customFormat="1">
      <c r="A5" s="369">
        <v>1</v>
      </c>
      <c r="B5" s="370">
        <v>2</v>
      </c>
      <c r="C5" s="3882">
        <v>3</v>
      </c>
      <c r="D5" s="3882"/>
      <c r="E5" s="3882"/>
      <c r="F5" s="370">
        <v>4</v>
      </c>
      <c r="G5" s="370">
        <v>5</v>
      </c>
      <c r="H5" s="370">
        <v>6</v>
      </c>
      <c r="I5" s="403">
        <v>7</v>
      </c>
      <c r="J5" s="370">
        <v>8</v>
      </c>
      <c r="K5" s="370">
        <v>9</v>
      </c>
      <c r="L5" s="370">
        <v>10</v>
      </c>
    </row>
    <row r="6" spans="1:12" ht="90.75" customHeight="1">
      <c r="A6" s="371">
        <v>1</v>
      </c>
      <c r="B6" s="3883"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83"/>
      <c r="D6" s="3883"/>
      <c r="E6" s="3883"/>
      <c r="F6" s="3883"/>
      <c r="G6" s="3883"/>
      <c r="H6" s="3883"/>
      <c r="I6" s="3883"/>
      <c r="J6" s="3883"/>
      <c r="K6" s="3883"/>
      <c r="L6" s="404"/>
    </row>
    <row r="7" spans="1:12" ht="20.100000000000001" customHeight="1">
      <c r="A7" s="375"/>
      <c r="B7" s="378" t="s">
        <v>1385</v>
      </c>
      <c r="C7" s="379">
        <v>1</v>
      </c>
      <c r="D7" s="379" t="s">
        <v>907</v>
      </c>
      <c r="E7" s="379">
        <v>2</v>
      </c>
      <c r="F7" s="380">
        <v>30.6</v>
      </c>
      <c r="G7" s="380">
        <v>1.2</v>
      </c>
      <c r="H7" s="380">
        <v>1.2</v>
      </c>
      <c r="I7" s="380">
        <f>ROUND(C7*E7*F7*G7*H7,2)</f>
        <v>88.13</v>
      </c>
      <c r="J7" s="379"/>
      <c r="K7" s="377"/>
      <c r="L7" s="407"/>
    </row>
    <row r="8" spans="1:12" ht="20.100000000000001" customHeight="1">
      <c r="A8" s="375"/>
      <c r="B8" s="378" t="s">
        <v>1386</v>
      </c>
      <c r="C8" s="379">
        <v>1</v>
      </c>
      <c r="D8" s="379" t="s">
        <v>907</v>
      </c>
      <c r="E8" s="379">
        <v>4</v>
      </c>
      <c r="F8" s="380">
        <v>5.7</v>
      </c>
      <c r="G8" s="380">
        <v>1.2</v>
      </c>
      <c r="H8" s="380">
        <v>1.2</v>
      </c>
      <c r="I8" s="380">
        <f t="shared" ref="I8:I9" si="0">ROUND(C8*E8*F8*G8*H8,2)</f>
        <v>32.83</v>
      </c>
      <c r="J8" s="379"/>
      <c r="K8" s="377"/>
      <c r="L8" s="407"/>
    </row>
    <row r="9" spans="1:12" ht="20.100000000000001" customHeight="1">
      <c r="A9" s="375"/>
      <c r="B9" s="378" t="s">
        <v>1387</v>
      </c>
      <c r="C9" s="379">
        <v>1</v>
      </c>
      <c r="D9" s="379" t="s">
        <v>907</v>
      </c>
      <c r="E9" s="379">
        <v>1</v>
      </c>
      <c r="F9" s="380">
        <v>10.5</v>
      </c>
      <c r="G9" s="380">
        <v>5.7</v>
      </c>
      <c r="H9" s="380">
        <v>0.45</v>
      </c>
      <c r="I9" s="380">
        <f t="shared" si="0"/>
        <v>26.93</v>
      </c>
      <c r="J9" s="379"/>
      <c r="K9" s="377"/>
      <c r="L9" s="407"/>
    </row>
    <row r="10" spans="1:12" ht="20.100000000000001" customHeight="1">
      <c r="A10" s="375"/>
      <c r="B10" s="378"/>
      <c r="C10" s="378"/>
      <c r="D10" s="378"/>
      <c r="E10" s="378"/>
      <c r="F10" s="377"/>
      <c r="G10" s="375"/>
      <c r="H10" s="375"/>
      <c r="I10" s="408">
        <f>SUM(I7:I9)</f>
        <v>147.88999999999999</v>
      </c>
      <c r="J10" s="380">
        <f>'Pipe data'!G20</f>
        <v>136.06920584583335</v>
      </c>
      <c r="K10" s="379">
        <v>1</v>
      </c>
      <c r="L10" s="409">
        <f>ROUND(I10*J10,0)</f>
        <v>20123</v>
      </c>
    </row>
    <row r="11" spans="1:12" ht="20.100000000000001" customHeight="1">
      <c r="A11" s="375"/>
      <c r="B11" s="378"/>
      <c r="C11" s="378"/>
      <c r="D11" s="378"/>
      <c r="E11" s="378"/>
      <c r="F11" s="377"/>
      <c r="G11" s="375"/>
      <c r="H11" s="375"/>
      <c r="I11" s="410" t="s">
        <v>31</v>
      </c>
      <c r="J11" s="380"/>
      <c r="K11" s="379" t="s">
        <v>31</v>
      </c>
      <c r="L11" s="409"/>
    </row>
    <row r="12" spans="1:12" ht="12.75" customHeight="1">
      <c r="A12" s="375"/>
      <c r="B12" s="378"/>
      <c r="C12" s="378"/>
      <c r="D12" s="378"/>
      <c r="E12" s="378"/>
      <c r="F12" s="377"/>
      <c r="G12" s="375"/>
      <c r="H12" s="375"/>
      <c r="I12" s="410"/>
      <c r="J12" s="380"/>
      <c r="K12" s="379"/>
      <c r="L12" s="409"/>
    </row>
    <row r="13" spans="1:12" ht="47.25" hidden="1" customHeight="1">
      <c r="A13" s="381">
        <v>2</v>
      </c>
      <c r="B13" s="3884" t="str">
        <f>'Pipe data'!B55:G55</f>
        <v>Sand  Filling (Natural Sand 50% + Manufactured sand 50%) in foundation trenches as per drawing and technical specification Clause 304 of MORTH including overhead charges &amp; Contractors profit etc complete.</v>
      </c>
      <c r="C13" s="3885"/>
      <c r="D13" s="3885"/>
      <c r="E13" s="3885"/>
      <c r="F13" s="3885"/>
      <c r="G13" s="3885"/>
      <c r="H13" s="3885"/>
      <c r="I13" s="3885"/>
      <c r="J13" s="3885"/>
      <c r="K13" s="3885"/>
      <c r="L13" s="411"/>
    </row>
    <row r="14" spans="1:12" ht="20.100000000000001" hidden="1" customHeight="1">
      <c r="A14" s="375"/>
      <c r="B14" s="378" t="s">
        <v>1385</v>
      </c>
      <c r="C14" s="379">
        <v>1</v>
      </c>
      <c r="D14" s="379" t="s">
        <v>907</v>
      </c>
      <c r="E14" s="379">
        <v>2</v>
      </c>
      <c r="F14" s="380">
        <f>F7</f>
        <v>30.6</v>
      </c>
      <c r="G14" s="380">
        <v>1.2</v>
      </c>
      <c r="H14" s="380">
        <v>0.1</v>
      </c>
      <c r="I14" s="380">
        <f t="shared" ref="I14:I16" si="1">ROUND(C14*E14*F14*G14*H14,2)</f>
        <v>7.34</v>
      </c>
      <c r="J14" s="379"/>
      <c r="K14" s="377"/>
      <c r="L14" s="407"/>
    </row>
    <row r="15" spans="1:12" ht="20.100000000000001" hidden="1" customHeight="1">
      <c r="A15" s="375"/>
      <c r="B15" s="378" t="s">
        <v>1386</v>
      </c>
      <c r="C15" s="379">
        <v>1</v>
      </c>
      <c r="D15" s="379" t="s">
        <v>907</v>
      </c>
      <c r="E15" s="379">
        <v>4</v>
      </c>
      <c r="F15" s="380">
        <f>F8</f>
        <v>5.7</v>
      </c>
      <c r="G15" s="380">
        <v>1.2</v>
      </c>
      <c r="H15" s="380">
        <v>0.1</v>
      </c>
      <c r="I15" s="380">
        <f t="shared" si="1"/>
        <v>2.74</v>
      </c>
      <c r="J15" s="379"/>
      <c r="K15" s="377"/>
      <c r="L15" s="407"/>
    </row>
    <row r="16" spans="1:12" ht="20.100000000000001" hidden="1" customHeight="1">
      <c r="A16" s="375"/>
      <c r="B16" s="378" t="s">
        <v>1387</v>
      </c>
      <c r="C16" s="379">
        <v>1</v>
      </c>
      <c r="D16" s="379" t="s">
        <v>907</v>
      </c>
      <c r="E16" s="379">
        <v>1</v>
      </c>
      <c r="F16" s="380">
        <f>F9</f>
        <v>10.5</v>
      </c>
      <c r="G16" s="380">
        <v>5.7</v>
      </c>
      <c r="H16" s="380">
        <v>0.1</v>
      </c>
      <c r="I16" s="380">
        <f t="shared" si="1"/>
        <v>5.99</v>
      </c>
      <c r="J16" s="379"/>
      <c r="K16" s="377"/>
      <c r="L16" s="407"/>
    </row>
    <row r="17" spans="1:12" ht="20.100000000000001" hidden="1" customHeight="1">
      <c r="A17" s="375"/>
      <c r="B17" s="378"/>
      <c r="C17" s="378"/>
      <c r="D17" s="378"/>
      <c r="E17" s="378"/>
      <c r="F17" s="377"/>
      <c r="G17" s="375"/>
      <c r="H17" s="375"/>
      <c r="I17" s="408">
        <v>0</v>
      </c>
      <c r="J17" s="380">
        <f>'Pipe data'!G73</f>
        <v>1920.41</v>
      </c>
      <c r="K17" s="379">
        <v>1</v>
      </c>
      <c r="L17" s="409">
        <f>ROUND(I17*J17,0)</f>
        <v>0</v>
      </c>
    </row>
    <row r="18" spans="1:12" ht="20.100000000000001" hidden="1" customHeight="1">
      <c r="A18" s="375"/>
      <c r="B18" s="378"/>
      <c r="C18" s="378"/>
      <c r="D18" s="378"/>
      <c r="E18" s="378"/>
      <c r="F18" s="377"/>
      <c r="G18" s="375"/>
      <c r="H18" s="375"/>
      <c r="I18" s="410" t="s">
        <v>31</v>
      </c>
      <c r="J18" s="380"/>
      <c r="K18" s="379" t="s">
        <v>31</v>
      </c>
      <c r="L18" s="409"/>
    </row>
    <row r="19" spans="1:12" ht="20.100000000000001" customHeight="1">
      <c r="A19" s="375"/>
      <c r="B19" s="378"/>
      <c r="C19" s="378"/>
      <c r="D19" s="378"/>
      <c r="E19" s="378"/>
      <c r="F19" s="377"/>
      <c r="G19" s="375"/>
      <c r="H19" s="375"/>
      <c r="I19" s="410"/>
      <c r="J19" s="380"/>
      <c r="K19" s="379"/>
      <c r="L19" s="409"/>
    </row>
    <row r="20" spans="1:12" ht="108" customHeight="1">
      <c r="A20" s="381">
        <v>2</v>
      </c>
      <c r="B20" s="3885"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885"/>
      <c r="D20" s="3885"/>
      <c r="E20" s="3885"/>
      <c r="F20" s="3885"/>
      <c r="G20" s="3885"/>
      <c r="H20" s="3885"/>
      <c r="I20" s="3885"/>
      <c r="J20" s="3885"/>
      <c r="K20" s="3885"/>
      <c r="L20" s="411"/>
    </row>
    <row r="21" spans="1:12" ht="20.100000000000001" customHeight="1">
      <c r="A21" s="375"/>
      <c r="B21" s="378" t="s">
        <v>1385</v>
      </c>
      <c r="C21" s="379">
        <v>1</v>
      </c>
      <c r="D21" s="379" t="s">
        <v>907</v>
      </c>
      <c r="E21" s="379">
        <v>2</v>
      </c>
      <c r="F21" s="380">
        <f>F14</f>
        <v>30.6</v>
      </c>
      <c r="G21" s="380">
        <v>1.2</v>
      </c>
      <c r="H21" s="380">
        <v>0.3</v>
      </c>
      <c r="I21" s="380">
        <f t="shared" ref="I21:I28" si="2">ROUND(C21*E21*F21*G21*H21,2)</f>
        <v>22.03</v>
      </c>
      <c r="J21" s="379"/>
      <c r="K21" s="377"/>
      <c r="L21" s="407"/>
    </row>
    <row r="22" spans="1:12" ht="20.100000000000001" customHeight="1">
      <c r="A22" s="375"/>
      <c r="B22" s="378" t="s">
        <v>1386</v>
      </c>
      <c r="C22" s="379">
        <v>1</v>
      </c>
      <c r="D22" s="379" t="s">
        <v>907</v>
      </c>
      <c r="E22" s="379">
        <v>4</v>
      </c>
      <c r="F22" s="380">
        <f>F15</f>
        <v>5.7</v>
      </c>
      <c r="G22" s="380">
        <v>1.2</v>
      </c>
      <c r="H22" s="380">
        <v>0.3</v>
      </c>
      <c r="I22" s="380">
        <f t="shared" si="2"/>
        <v>8.2100000000000009</v>
      </c>
      <c r="J22" s="379"/>
      <c r="K22" s="377"/>
      <c r="L22" s="407"/>
    </row>
    <row r="23" spans="1:12" ht="20.100000000000001" customHeight="1">
      <c r="A23" s="375"/>
      <c r="B23" s="378" t="s">
        <v>1387</v>
      </c>
      <c r="C23" s="379">
        <v>1</v>
      </c>
      <c r="D23" s="379" t="s">
        <v>907</v>
      </c>
      <c r="E23" s="379">
        <v>1</v>
      </c>
      <c r="F23" s="380">
        <f>F16</f>
        <v>10.5</v>
      </c>
      <c r="G23" s="380">
        <v>5.7</v>
      </c>
      <c r="H23" s="380">
        <v>0.3</v>
      </c>
      <c r="I23" s="380">
        <f t="shared" si="2"/>
        <v>17.96</v>
      </c>
      <c r="J23" s="379"/>
      <c r="K23" s="377"/>
      <c r="L23" s="407"/>
    </row>
    <row r="24" spans="1:12" ht="20.100000000000001" customHeight="1">
      <c r="A24" s="375"/>
      <c r="B24" s="378" t="s">
        <v>1388</v>
      </c>
      <c r="C24" s="379"/>
      <c r="D24" s="379"/>
      <c r="E24" s="379"/>
      <c r="F24" s="380"/>
      <c r="G24" s="380"/>
      <c r="H24" s="380"/>
      <c r="I24" s="380"/>
      <c r="J24" s="379"/>
      <c r="K24" s="377"/>
      <c r="L24" s="407"/>
    </row>
    <row r="25" spans="1:12" ht="20.100000000000001" customHeight="1">
      <c r="A25" s="375"/>
      <c r="B25" s="378" t="s">
        <v>1389</v>
      </c>
      <c r="C25" s="379">
        <v>1</v>
      </c>
      <c r="D25" s="379" t="s">
        <v>907</v>
      </c>
      <c r="E25" s="379">
        <v>0</v>
      </c>
      <c r="F25" s="380">
        <v>15</v>
      </c>
      <c r="G25" s="380">
        <v>6.3</v>
      </c>
      <c r="H25" s="440">
        <v>0.1</v>
      </c>
      <c r="I25" s="380">
        <f t="shared" si="2"/>
        <v>0</v>
      </c>
      <c r="J25" s="379"/>
      <c r="K25" s="377"/>
      <c r="L25" s="407"/>
    </row>
    <row r="26" spans="1:12" ht="20.100000000000001" customHeight="1">
      <c r="A26" s="375"/>
      <c r="B26" s="378" t="s">
        <v>1390</v>
      </c>
      <c r="C26" s="379">
        <v>1</v>
      </c>
      <c r="D26" s="379" t="s">
        <v>907</v>
      </c>
      <c r="E26" s="379">
        <v>0</v>
      </c>
      <c r="F26" s="380">
        <v>10.5</v>
      </c>
      <c r="G26" s="380">
        <v>6.3</v>
      </c>
      <c r="H26" s="380">
        <v>1.3</v>
      </c>
      <c r="I26" s="380">
        <f t="shared" si="2"/>
        <v>0</v>
      </c>
      <c r="J26" s="379"/>
      <c r="K26" s="377"/>
      <c r="L26" s="407"/>
    </row>
    <row r="27" spans="1:12" ht="20.100000000000001" customHeight="1">
      <c r="A27" s="375"/>
      <c r="B27" s="378" t="s">
        <v>1391</v>
      </c>
      <c r="C27" s="441" t="s">
        <v>1392</v>
      </c>
      <c r="D27" s="379" t="s">
        <v>907</v>
      </c>
      <c r="E27" s="379">
        <v>0</v>
      </c>
      <c r="F27" s="380">
        <v>6.3</v>
      </c>
      <c r="G27" s="380">
        <v>1.2</v>
      </c>
      <c r="H27" s="380">
        <v>1.2</v>
      </c>
      <c r="I27" s="380">
        <f>ROUND(+PI()/4*E27*F27*G27*H27,2)</f>
        <v>0</v>
      </c>
      <c r="J27" s="379"/>
      <c r="K27" s="377"/>
      <c r="L27" s="407"/>
    </row>
    <row r="28" spans="1:12" ht="20.100000000000001" customHeight="1">
      <c r="A28" s="375"/>
      <c r="B28" s="378" t="s">
        <v>1393</v>
      </c>
      <c r="C28" s="379">
        <v>1</v>
      </c>
      <c r="D28" s="379" t="s">
        <v>907</v>
      </c>
      <c r="E28" s="379">
        <v>0</v>
      </c>
      <c r="F28" s="380">
        <v>6.15</v>
      </c>
      <c r="G28" s="380">
        <v>6.3</v>
      </c>
      <c r="H28" s="380">
        <v>0.1</v>
      </c>
      <c r="I28" s="380">
        <f t="shared" si="2"/>
        <v>0</v>
      </c>
      <c r="J28" s="379"/>
      <c r="K28" s="377"/>
      <c r="L28" s="407"/>
    </row>
    <row r="29" spans="1:12" ht="20.100000000000001" customHeight="1">
      <c r="A29" s="375"/>
      <c r="B29" s="378"/>
      <c r="C29" s="378"/>
      <c r="D29" s="378"/>
      <c r="E29" s="378"/>
      <c r="F29" s="375"/>
      <c r="G29" s="375"/>
      <c r="H29" s="375"/>
      <c r="I29" s="408">
        <f>SUM(I21:I28)</f>
        <v>48.2</v>
      </c>
      <c r="J29" s="380">
        <f>'Bridge Data'!J31</f>
        <v>6547.95</v>
      </c>
      <c r="K29" s="379">
        <v>1</v>
      </c>
      <c r="L29" s="409">
        <f>ROUND(I29*J29,0)</f>
        <v>315611</v>
      </c>
    </row>
    <row r="30" spans="1:12" ht="20.100000000000001" customHeight="1">
      <c r="A30" s="375"/>
      <c r="B30" s="378"/>
      <c r="C30" s="378"/>
      <c r="D30" s="378"/>
      <c r="E30" s="378"/>
      <c r="F30" s="375"/>
      <c r="G30" s="375"/>
      <c r="H30" s="375"/>
      <c r="I30" s="410" t="s">
        <v>31</v>
      </c>
      <c r="J30" s="380"/>
      <c r="K30" s="379" t="s">
        <v>31</v>
      </c>
      <c r="L30" s="409"/>
    </row>
    <row r="31" spans="1:12" ht="15" customHeight="1">
      <c r="A31" s="375"/>
      <c r="B31" s="378"/>
      <c r="C31" s="378"/>
      <c r="D31" s="378"/>
      <c r="E31" s="378"/>
      <c r="F31" s="375"/>
      <c r="G31" s="375"/>
      <c r="H31" s="375"/>
      <c r="I31" s="410"/>
      <c r="J31" s="380"/>
      <c r="K31" s="379"/>
      <c r="L31" s="409"/>
    </row>
    <row r="32" spans="1:12" ht="105" customHeight="1">
      <c r="A32" s="381">
        <v>3</v>
      </c>
      <c r="B32" s="3884" t="str">
        <f>'Bridge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32" s="3885"/>
      <c r="D32" s="3885"/>
      <c r="E32" s="3885"/>
      <c r="F32" s="3885"/>
      <c r="G32" s="3885"/>
      <c r="H32" s="3885"/>
      <c r="I32" s="3885"/>
      <c r="J32" s="3885"/>
      <c r="K32" s="3885"/>
      <c r="L32" s="411"/>
    </row>
    <row r="33" spans="1:12" ht="20.100000000000001" customHeight="1">
      <c r="A33" s="375"/>
      <c r="B33" s="442" t="s">
        <v>1394</v>
      </c>
      <c r="C33" s="379"/>
      <c r="D33" s="379"/>
      <c r="E33" s="379"/>
      <c r="F33" s="380"/>
      <c r="G33" s="380"/>
      <c r="H33" s="380"/>
      <c r="I33" s="380"/>
      <c r="J33" s="379"/>
      <c r="K33" s="377"/>
      <c r="L33" s="407"/>
    </row>
    <row r="34" spans="1:12" ht="20.100000000000001" customHeight="1">
      <c r="A34" s="375"/>
      <c r="B34" s="378" t="s">
        <v>1385</v>
      </c>
      <c r="C34" s="379">
        <v>1</v>
      </c>
      <c r="D34" s="379" t="s">
        <v>907</v>
      </c>
      <c r="E34" s="379">
        <v>2</v>
      </c>
      <c r="F34" s="380">
        <v>30</v>
      </c>
      <c r="G34" s="380">
        <v>0.9</v>
      </c>
      <c r="H34" s="380">
        <v>0.9</v>
      </c>
      <c r="I34" s="380">
        <f t="shared" ref="I34:I35" si="3">ROUND(C34*E34*F34*G34*H34,2)</f>
        <v>48.6</v>
      </c>
      <c r="J34" s="379"/>
      <c r="K34" s="377"/>
      <c r="L34" s="407"/>
    </row>
    <row r="35" spans="1:12" ht="20.100000000000001" customHeight="1">
      <c r="A35" s="375"/>
      <c r="B35" s="378" t="s">
        <v>1386</v>
      </c>
      <c r="C35" s="379">
        <v>1</v>
      </c>
      <c r="D35" s="379" t="s">
        <v>907</v>
      </c>
      <c r="E35" s="379">
        <v>4</v>
      </c>
      <c r="F35" s="380">
        <v>6.6</v>
      </c>
      <c r="G35" s="380">
        <v>0.9</v>
      </c>
      <c r="H35" s="380">
        <v>0.9</v>
      </c>
      <c r="I35" s="380">
        <f t="shared" si="3"/>
        <v>21.38</v>
      </c>
      <c r="J35" s="379"/>
      <c r="K35" s="377"/>
      <c r="L35" s="407"/>
    </row>
    <row r="36" spans="1:12" ht="20.100000000000001" customHeight="1">
      <c r="A36" s="375"/>
      <c r="B36" s="442" t="s">
        <v>1395</v>
      </c>
      <c r="C36" s="379"/>
      <c r="D36" s="379"/>
      <c r="E36" s="379"/>
      <c r="F36" s="380"/>
      <c r="G36" s="380"/>
      <c r="H36" s="380"/>
      <c r="I36" s="380"/>
      <c r="J36" s="379"/>
      <c r="K36" s="377"/>
      <c r="L36" s="407"/>
    </row>
    <row r="37" spans="1:12" ht="35.1" customHeight="1">
      <c r="A37" s="375"/>
      <c r="B37" s="378" t="s">
        <v>1385</v>
      </c>
      <c r="C37" s="379">
        <v>1</v>
      </c>
      <c r="D37" s="379" t="s">
        <v>907</v>
      </c>
      <c r="E37" s="379">
        <v>2</v>
      </c>
      <c r="F37" s="380">
        <v>15</v>
      </c>
      <c r="G37" s="380" t="s">
        <v>1396</v>
      </c>
      <c r="H37" s="380">
        <v>1.5</v>
      </c>
      <c r="I37" s="380">
        <f>ROUND(C37*E37*F37*((0.9+0.6)/2)*H37,2)</f>
        <v>33.75</v>
      </c>
      <c r="J37" s="379"/>
      <c r="K37" s="377"/>
      <c r="L37" s="407"/>
    </row>
    <row r="38" spans="1:12" ht="35.1" customHeight="1">
      <c r="A38" s="375"/>
      <c r="B38" s="378" t="s">
        <v>1397</v>
      </c>
      <c r="C38" s="379">
        <v>2</v>
      </c>
      <c r="D38" s="379" t="s">
        <v>907</v>
      </c>
      <c r="E38" s="379">
        <v>2</v>
      </c>
      <c r="F38" s="380">
        <v>7.5</v>
      </c>
      <c r="G38" s="380" t="s">
        <v>1396</v>
      </c>
      <c r="H38" s="380" t="s">
        <v>1398</v>
      </c>
      <c r="I38" s="380">
        <f>ROUND(C38*E38*F38*((0.9+0.6)/2)*((1.5+0)/2),2)</f>
        <v>16.88</v>
      </c>
      <c r="J38" s="379"/>
      <c r="K38" s="377"/>
      <c r="L38" s="407"/>
    </row>
    <row r="39" spans="1:12" ht="35.1" customHeight="1">
      <c r="A39" s="375"/>
      <c r="B39" s="378" t="s">
        <v>1386</v>
      </c>
      <c r="C39" s="379">
        <v>1</v>
      </c>
      <c r="D39" s="379" t="s">
        <v>907</v>
      </c>
      <c r="E39" s="379">
        <v>2</v>
      </c>
      <c r="F39" s="380">
        <v>6.6</v>
      </c>
      <c r="G39" s="380" t="s">
        <v>1396</v>
      </c>
      <c r="H39" s="380">
        <v>1.5</v>
      </c>
      <c r="I39" s="380">
        <f>ROUND(C39*E39*F39*((0.9+0.6)/2)*H39,2)</f>
        <v>14.85</v>
      </c>
      <c r="J39" s="379"/>
      <c r="K39" s="377"/>
      <c r="L39" s="407"/>
    </row>
    <row r="40" spans="1:12" ht="35.1" customHeight="1">
      <c r="A40" s="375"/>
      <c r="B40" s="378" t="s">
        <v>1391</v>
      </c>
      <c r="C40" s="379">
        <v>12</v>
      </c>
      <c r="D40" s="379" t="s">
        <v>907</v>
      </c>
      <c r="E40" s="441" t="s">
        <v>1392</v>
      </c>
      <c r="F40" s="380">
        <v>1.2</v>
      </c>
      <c r="G40" s="380">
        <v>1.2</v>
      </c>
      <c r="H40" s="380" t="s">
        <v>1396</v>
      </c>
      <c r="I40" s="380">
        <f>-ROUND(C40*(22/28)*F40*G40*((0.9+0.6)/2),2)</f>
        <v>-10.18</v>
      </c>
      <c r="J40" s="379"/>
      <c r="K40" s="377"/>
      <c r="L40" s="407"/>
    </row>
    <row r="41" spans="1:12" s="439" customFormat="1" ht="20.100000000000001" customHeight="1">
      <c r="A41" s="375"/>
      <c r="B41" s="378"/>
      <c r="C41" s="378"/>
      <c r="D41" s="378"/>
      <c r="E41" s="378"/>
      <c r="F41" s="375"/>
      <c r="G41" s="380"/>
      <c r="H41" s="443"/>
      <c r="I41" s="408">
        <f>SUM(I34:I40)</f>
        <v>125.28</v>
      </c>
      <c r="J41" s="380">
        <f>'Bridge Data'!J62</f>
        <v>7328.61</v>
      </c>
      <c r="K41" s="379">
        <v>1</v>
      </c>
      <c r="L41" s="409">
        <f>ROUND(I41*J41,0)</f>
        <v>918128</v>
      </c>
    </row>
    <row r="42" spans="1:12" s="439" customFormat="1" ht="20.100000000000001" customHeight="1">
      <c r="A42" s="375"/>
      <c r="B42" s="378"/>
      <c r="C42" s="378"/>
      <c r="D42" s="378"/>
      <c r="E42" s="378"/>
      <c r="F42" s="375"/>
      <c r="G42" s="375"/>
      <c r="H42" s="375"/>
      <c r="I42" s="410" t="s">
        <v>31</v>
      </c>
      <c r="J42" s="380"/>
      <c r="K42" s="379" t="s">
        <v>31</v>
      </c>
      <c r="L42" s="409"/>
    </row>
    <row r="43" spans="1:12" ht="105" customHeight="1">
      <c r="A43" s="381">
        <v>3</v>
      </c>
      <c r="B43" s="3884" t="str">
        <f>+'Bridge Data'!B506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43" s="3885"/>
      <c r="D43" s="3885"/>
      <c r="E43" s="3885"/>
      <c r="F43" s="3885"/>
      <c r="G43" s="3885"/>
      <c r="H43" s="3885"/>
      <c r="I43" s="3885"/>
      <c r="J43" s="3885"/>
      <c r="K43" s="3885"/>
      <c r="L43" s="411"/>
    </row>
    <row r="44" spans="1:12" ht="20.100000000000001" customHeight="1">
      <c r="A44" s="375"/>
      <c r="B44" s="442" t="s">
        <v>1394</v>
      </c>
      <c r="C44" s="379"/>
      <c r="D44" s="379"/>
      <c r="E44" s="379"/>
      <c r="F44" s="380"/>
      <c r="G44" s="380"/>
      <c r="H44" s="380"/>
      <c r="I44" s="380"/>
      <c r="J44" s="379"/>
      <c r="K44" s="377"/>
      <c r="L44" s="407"/>
    </row>
    <row r="45" spans="1:12" ht="20.100000000000001" customHeight="1">
      <c r="A45" s="375"/>
      <c r="B45" s="378" t="s">
        <v>1389</v>
      </c>
      <c r="C45" s="379">
        <v>1</v>
      </c>
      <c r="D45" s="379" t="s">
        <v>907</v>
      </c>
      <c r="E45" s="379">
        <v>1</v>
      </c>
      <c r="F45" s="380">
        <v>15</v>
      </c>
      <c r="G45" s="380">
        <v>6.3</v>
      </c>
      <c r="H45" s="440">
        <v>0.1</v>
      </c>
      <c r="I45" s="380">
        <f t="shared" ref="I45:I46" si="4">ROUND(C45*E45*F45*G45*H45,2)</f>
        <v>9.4499999999999993</v>
      </c>
      <c r="J45" s="379"/>
      <c r="K45" s="377"/>
      <c r="L45" s="407"/>
    </row>
    <row r="46" spans="1:12" ht="20.100000000000001" customHeight="1">
      <c r="A46" s="375"/>
      <c r="B46" s="378" t="s">
        <v>1390</v>
      </c>
      <c r="C46" s="379">
        <v>1</v>
      </c>
      <c r="D46" s="379" t="s">
        <v>907</v>
      </c>
      <c r="E46" s="379">
        <v>1</v>
      </c>
      <c r="F46" s="380">
        <v>10.5</v>
      </c>
      <c r="G46" s="380">
        <v>6.3</v>
      </c>
      <c r="H46" s="380">
        <v>1.3</v>
      </c>
      <c r="I46" s="380">
        <f t="shared" si="4"/>
        <v>86</v>
      </c>
      <c r="J46" s="379"/>
      <c r="K46" s="377"/>
      <c r="L46" s="407"/>
    </row>
    <row r="47" spans="1:12" ht="20.100000000000001" customHeight="1">
      <c r="A47" s="375"/>
      <c r="B47" s="378" t="s">
        <v>1391</v>
      </c>
      <c r="C47" s="441" t="s">
        <v>1392</v>
      </c>
      <c r="D47" s="379" t="s">
        <v>907</v>
      </c>
      <c r="E47" s="379">
        <v>-6</v>
      </c>
      <c r="F47" s="380">
        <v>6.3</v>
      </c>
      <c r="G47" s="380">
        <v>1.2</v>
      </c>
      <c r="H47" s="380">
        <v>1.2</v>
      </c>
      <c r="I47" s="380">
        <f>ROUND(+PI()/4*E47*F47*G47*H47,2)</f>
        <v>-42.75</v>
      </c>
      <c r="J47" s="379"/>
      <c r="K47" s="377"/>
      <c r="L47" s="407"/>
    </row>
    <row r="48" spans="1:12" ht="35.1" customHeight="1">
      <c r="A48" s="375"/>
      <c r="B48" s="378" t="s">
        <v>1393</v>
      </c>
      <c r="C48" s="379">
        <v>1</v>
      </c>
      <c r="D48" s="379" t="s">
        <v>907</v>
      </c>
      <c r="E48" s="379">
        <v>2</v>
      </c>
      <c r="F48" s="380">
        <v>6.15</v>
      </c>
      <c r="G48" s="380">
        <v>6.3</v>
      </c>
      <c r="H48" s="380">
        <v>0.1</v>
      </c>
      <c r="I48" s="380">
        <f t="shared" ref="I48" si="5">ROUND(C48*E48*F48*G48*H48,2)</f>
        <v>7.75</v>
      </c>
      <c r="J48" s="379"/>
      <c r="K48" s="377"/>
      <c r="L48" s="407"/>
    </row>
    <row r="49" spans="1:12" ht="35.1" customHeight="1">
      <c r="A49" s="375"/>
      <c r="B49" s="378" t="s">
        <v>1397</v>
      </c>
      <c r="C49" s="379">
        <v>2</v>
      </c>
      <c r="D49" s="379" t="s">
        <v>907</v>
      </c>
      <c r="E49" s="379">
        <v>0</v>
      </c>
      <c r="F49" s="380">
        <v>7.5</v>
      </c>
      <c r="G49" s="380" t="s">
        <v>1396</v>
      </c>
      <c r="H49" s="380" t="s">
        <v>1398</v>
      </c>
      <c r="I49" s="380">
        <f>ROUND(C49*E49*F49*((0.9+0.6)/2)*((1.5+0)/2),2)</f>
        <v>0</v>
      </c>
      <c r="J49" s="379"/>
      <c r="K49" s="377"/>
      <c r="L49" s="407"/>
    </row>
    <row r="50" spans="1:12" ht="35.1" customHeight="1">
      <c r="A50" s="375"/>
      <c r="B50" s="378" t="s">
        <v>1386</v>
      </c>
      <c r="C50" s="379">
        <v>1</v>
      </c>
      <c r="D50" s="379" t="s">
        <v>907</v>
      </c>
      <c r="E50" s="379">
        <v>0</v>
      </c>
      <c r="F50" s="380">
        <v>6.6</v>
      </c>
      <c r="G50" s="380" t="s">
        <v>1396</v>
      </c>
      <c r="H50" s="380">
        <v>1.5</v>
      </c>
      <c r="I50" s="380">
        <f>ROUND(C50*E50*F50*((0.9+0.6)/2)*H50,2)</f>
        <v>0</v>
      </c>
      <c r="J50" s="379"/>
      <c r="K50" s="377"/>
      <c r="L50" s="407"/>
    </row>
    <row r="51" spans="1:12" ht="35.1" customHeight="1">
      <c r="A51" s="375"/>
      <c r="B51" s="378" t="s">
        <v>1391</v>
      </c>
      <c r="C51" s="379">
        <v>0</v>
      </c>
      <c r="D51" s="379" t="s">
        <v>907</v>
      </c>
      <c r="E51" s="441">
        <v>0</v>
      </c>
      <c r="F51" s="380">
        <v>1.2</v>
      </c>
      <c r="G51" s="380">
        <v>1.2</v>
      </c>
      <c r="H51" s="380" t="s">
        <v>1396</v>
      </c>
      <c r="I51" s="380">
        <f>-ROUND(C51*(22/28)*F51*G51*((0.9+0.6)/2),2)</f>
        <v>0</v>
      </c>
      <c r="J51" s="379"/>
      <c r="K51" s="377"/>
      <c r="L51" s="407"/>
    </row>
    <row r="52" spans="1:12" s="439" customFormat="1" ht="20.100000000000001" customHeight="1">
      <c r="A52" s="375"/>
      <c r="B52" s="378"/>
      <c r="C52" s="378"/>
      <c r="D52" s="378"/>
      <c r="E52" s="378"/>
      <c r="F52" s="375"/>
      <c r="G52" s="380"/>
      <c r="H52" s="443"/>
      <c r="I52" s="408">
        <f>SUM(I45:I51)</f>
        <v>60.45</v>
      </c>
      <c r="J52" s="380">
        <f>+'Bridge Data'!J535</f>
        <v>7050.69</v>
      </c>
      <c r="K52" s="379">
        <v>1</v>
      </c>
      <c r="L52" s="409">
        <f>ROUND(I52*J52,0)</f>
        <v>426214</v>
      </c>
    </row>
    <row r="53" spans="1:12" s="439" customFormat="1" ht="20.100000000000001" customHeight="1">
      <c r="A53" s="375"/>
      <c r="B53" s="378"/>
      <c r="C53" s="378"/>
      <c r="D53" s="378"/>
      <c r="E53" s="378"/>
      <c r="F53" s="375"/>
      <c r="G53" s="375"/>
      <c r="H53" s="375"/>
      <c r="I53" s="410" t="s">
        <v>31</v>
      </c>
      <c r="J53" s="380"/>
      <c r="K53" s="379" t="s">
        <v>31</v>
      </c>
      <c r="L53" s="409"/>
    </row>
    <row r="54" spans="1:12" ht="93" customHeight="1">
      <c r="A54" s="381">
        <v>4</v>
      </c>
      <c r="B54" s="3885" t="str">
        <f>'Pipe data'!B106:G106</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54" s="3885"/>
      <c r="D54" s="3885"/>
      <c r="E54" s="3885"/>
      <c r="F54" s="3885"/>
      <c r="G54" s="3885"/>
      <c r="H54" s="3885"/>
      <c r="I54" s="3885"/>
      <c r="J54" s="3885"/>
      <c r="K54" s="3885"/>
      <c r="L54" s="409"/>
    </row>
    <row r="55" spans="1:12" ht="20.100000000000001" customHeight="1">
      <c r="A55" s="375"/>
      <c r="B55" s="378" t="s">
        <v>1399</v>
      </c>
      <c r="C55" s="379">
        <v>1</v>
      </c>
      <c r="D55" s="379" t="s">
        <v>907</v>
      </c>
      <c r="E55" s="379">
        <v>6</v>
      </c>
      <c r="F55" s="380">
        <v>7.5</v>
      </c>
      <c r="G55" s="380"/>
      <c r="H55" s="380"/>
      <c r="I55" s="380">
        <f>+E55*F55</f>
        <v>45</v>
      </c>
      <c r="J55" s="379"/>
      <c r="K55" s="377"/>
      <c r="L55" s="407"/>
    </row>
    <row r="56" spans="1:12" ht="20.100000000000001" customHeight="1">
      <c r="A56" s="375"/>
      <c r="B56" s="378"/>
      <c r="C56" s="378"/>
      <c r="D56" s="378"/>
      <c r="E56" s="378"/>
      <c r="F56" s="375"/>
      <c r="G56" s="380"/>
      <c r="H56" s="443"/>
      <c r="I56" s="408">
        <f>SUM(I55)</f>
        <v>45</v>
      </c>
      <c r="J56" s="380">
        <f>'Pipe data'!G129</f>
        <v>14969.28</v>
      </c>
      <c r="K56" s="379">
        <v>1</v>
      </c>
      <c r="L56" s="409">
        <f>ROUND(I56*J56,0)</f>
        <v>673618</v>
      </c>
    </row>
    <row r="57" spans="1:12" ht="20.100000000000001" customHeight="1">
      <c r="A57" s="375"/>
      <c r="B57" s="378"/>
      <c r="C57" s="378"/>
      <c r="D57" s="378"/>
      <c r="E57" s="378"/>
      <c r="F57" s="375"/>
      <c r="G57" s="375"/>
      <c r="H57" s="375"/>
      <c r="I57" s="410" t="s">
        <v>107</v>
      </c>
      <c r="J57" s="380"/>
      <c r="K57" s="379" t="s">
        <v>107</v>
      </c>
      <c r="L57" s="409"/>
    </row>
    <row r="58" spans="1:12" ht="63.75" customHeight="1">
      <c r="A58" s="381">
        <v>5</v>
      </c>
      <c r="B58" s="3885" t="str">
        <f>'Pipe data'!B157:G157</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C58" s="3885"/>
      <c r="D58" s="3885"/>
      <c r="E58" s="3885"/>
      <c r="F58" s="3885"/>
      <c r="G58" s="3885"/>
      <c r="H58" s="3885"/>
      <c r="I58" s="3885"/>
      <c r="J58" s="3885"/>
      <c r="K58" s="3885"/>
      <c r="L58" s="411"/>
    </row>
    <row r="59" spans="1:12" ht="20.100000000000001" customHeight="1">
      <c r="A59" s="375"/>
      <c r="B59" s="378" t="s">
        <v>1389</v>
      </c>
      <c r="C59" s="379">
        <v>1</v>
      </c>
      <c r="D59" s="379" t="s">
        <v>907</v>
      </c>
      <c r="E59" s="379">
        <v>1</v>
      </c>
      <c r="F59" s="380"/>
      <c r="G59" s="380">
        <v>6.3</v>
      </c>
      <c r="H59" s="380">
        <v>1.2749999999999999</v>
      </c>
      <c r="I59" s="380">
        <f t="shared" ref="I59" si="6">ROUND(C59*E59*F59*G59*H59,2)</f>
        <v>0</v>
      </c>
      <c r="J59" s="379"/>
      <c r="K59" s="377"/>
      <c r="L59" s="407"/>
    </row>
    <row r="60" spans="1:12" ht="35.1" customHeight="1">
      <c r="A60" s="375"/>
      <c r="B60" s="378" t="s">
        <v>1393</v>
      </c>
      <c r="C60" s="379">
        <v>1</v>
      </c>
      <c r="D60" s="379" t="s">
        <v>907</v>
      </c>
      <c r="E60" s="379">
        <v>2</v>
      </c>
      <c r="F60" s="380">
        <v>6.15</v>
      </c>
      <c r="G60" s="380">
        <v>6.3</v>
      </c>
      <c r="H60" s="380" t="s">
        <v>1400</v>
      </c>
      <c r="I60" s="380">
        <f>ROUND(C60*E60*F60*G60*((1.275+0)/2),2)</f>
        <v>49.4</v>
      </c>
      <c r="J60" s="379"/>
      <c r="K60" s="377"/>
      <c r="L60" s="407"/>
    </row>
    <row r="61" spans="1:12" ht="20.100000000000001" customHeight="1">
      <c r="A61" s="375"/>
      <c r="B61" s="378" t="s">
        <v>1391</v>
      </c>
      <c r="C61" s="441" t="s">
        <v>1392</v>
      </c>
      <c r="D61" s="379" t="s">
        <v>907</v>
      </c>
      <c r="E61" s="379">
        <v>-1</v>
      </c>
      <c r="F61" s="380"/>
      <c r="G61" s="380">
        <v>6.3</v>
      </c>
      <c r="H61" s="440">
        <v>1.2749999999999999</v>
      </c>
      <c r="I61" s="380">
        <f>+PI()/4*E61*F61*G61*H61</f>
        <v>0</v>
      </c>
      <c r="J61" s="379"/>
      <c r="K61" s="377"/>
      <c r="L61" s="407"/>
    </row>
    <row r="62" spans="1:12" ht="20.100000000000001" customHeight="1">
      <c r="A62" s="375"/>
      <c r="B62" s="378"/>
      <c r="C62" s="378"/>
      <c r="D62" s="378"/>
      <c r="E62" s="378"/>
      <c r="F62" s="375"/>
      <c r="G62" s="375"/>
      <c r="H62" s="375"/>
      <c r="I62" s="408">
        <f>SUM(I59:I61)</f>
        <v>49.4</v>
      </c>
      <c r="J62" s="380">
        <f>'Pipe data'!G178</f>
        <v>691.79</v>
      </c>
      <c r="K62" s="379">
        <v>1</v>
      </c>
      <c r="L62" s="409">
        <f>ROUND(I62*J62,0)</f>
        <v>34174</v>
      </c>
    </row>
    <row r="63" spans="1:12" ht="20.100000000000001" customHeight="1">
      <c r="A63" s="375"/>
      <c r="B63" s="378"/>
      <c r="C63" s="378"/>
      <c r="D63" s="378"/>
      <c r="E63" s="378"/>
      <c r="F63" s="375"/>
      <c r="G63" s="375"/>
      <c r="H63" s="375"/>
      <c r="I63" s="410" t="s">
        <v>31</v>
      </c>
      <c r="J63" s="380"/>
      <c r="K63" s="379" t="s">
        <v>31</v>
      </c>
      <c r="L63" s="409"/>
    </row>
    <row r="64" spans="1:12" ht="65.25" customHeight="1">
      <c r="A64" s="381">
        <v>6</v>
      </c>
      <c r="B64" s="3885" t="str">
        <f>'Bridge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64" s="3885"/>
      <c r="D64" s="3885"/>
      <c r="E64" s="3885"/>
      <c r="F64" s="3885"/>
      <c r="G64" s="3885"/>
      <c r="H64" s="3885"/>
      <c r="I64" s="3885"/>
      <c r="J64" s="3885"/>
      <c r="K64" s="3885"/>
      <c r="L64" s="411"/>
    </row>
    <row r="65" spans="1:12" s="364" customFormat="1" ht="20.100000000000001" customHeight="1">
      <c r="A65" s="430"/>
      <c r="B65" s="431" t="s">
        <v>1389</v>
      </c>
      <c r="C65" s="432">
        <v>1</v>
      </c>
      <c r="D65" s="432" t="s">
        <v>907</v>
      </c>
      <c r="E65" s="432">
        <v>1</v>
      </c>
      <c r="F65" s="433">
        <v>15</v>
      </c>
      <c r="G65" s="433">
        <v>6.3</v>
      </c>
      <c r="H65" s="2194">
        <v>0.22500000000000001</v>
      </c>
      <c r="I65" s="433">
        <f>ROUND(C65*E65*F65*G65*H65,2)</f>
        <v>21.26</v>
      </c>
      <c r="J65" s="432"/>
      <c r="K65" s="434"/>
      <c r="L65" s="435"/>
    </row>
    <row r="66" spans="1:12" s="364" customFormat="1" ht="20.100000000000001" customHeight="1">
      <c r="A66" s="430"/>
      <c r="B66" s="431" t="s">
        <v>1393</v>
      </c>
      <c r="C66" s="432">
        <v>1</v>
      </c>
      <c r="D66" s="432" t="s">
        <v>907</v>
      </c>
      <c r="E66" s="432">
        <v>2</v>
      </c>
      <c r="F66" s="433">
        <v>6.15</v>
      </c>
      <c r="G66" s="433">
        <v>6.3</v>
      </c>
      <c r="H66" s="2194">
        <v>0.22500000000000001</v>
      </c>
      <c r="I66" s="433">
        <f>ROUND(C66*E66*F66*G66*H66,2)</f>
        <v>17.440000000000001</v>
      </c>
      <c r="J66" s="432"/>
      <c r="K66" s="434"/>
      <c r="L66" s="435"/>
    </row>
    <row r="67" spans="1:12" s="364" customFormat="1" ht="20.100000000000001" customHeight="1">
      <c r="A67" s="430"/>
      <c r="B67" s="431" t="s">
        <v>1391</v>
      </c>
      <c r="C67" s="444" t="s">
        <v>1392</v>
      </c>
      <c r="D67" s="432" t="s">
        <v>907</v>
      </c>
      <c r="E67" s="432">
        <v>-1</v>
      </c>
      <c r="F67" s="433">
        <v>10.5</v>
      </c>
      <c r="G67" s="433">
        <v>6.3</v>
      </c>
      <c r="H67" s="2194">
        <v>0.22500000000000001</v>
      </c>
      <c r="I67" s="433">
        <f>ROUND(+PI()/4*E67*F67*G67*H67,2)</f>
        <v>-11.69</v>
      </c>
      <c r="J67" s="432"/>
      <c r="K67" s="434"/>
      <c r="L67" s="435"/>
    </row>
    <row r="68" spans="1:12" ht="20.100000000000001" customHeight="1">
      <c r="A68" s="381"/>
      <c r="B68" s="382"/>
      <c r="C68" s="382"/>
      <c r="D68" s="382"/>
      <c r="E68" s="382"/>
      <c r="F68" s="375"/>
      <c r="G68" s="375"/>
      <c r="H68" s="375"/>
      <c r="I68" s="408">
        <v>0</v>
      </c>
      <c r="J68" s="380">
        <f>'Bridge Data'!J559</f>
        <v>2216.91</v>
      </c>
      <c r="K68" s="379">
        <v>1</v>
      </c>
      <c r="L68" s="409">
        <f>ROUND(I68*J68,0)</f>
        <v>0</v>
      </c>
    </row>
    <row r="69" spans="1:12" ht="20.100000000000001" customHeight="1">
      <c r="A69" s="381"/>
      <c r="B69" s="382"/>
      <c r="C69" s="382"/>
      <c r="D69" s="382"/>
      <c r="E69" s="382"/>
      <c r="F69" s="375"/>
      <c r="G69" s="375"/>
      <c r="H69" s="375"/>
      <c r="I69" s="410" t="s">
        <v>73</v>
      </c>
      <c r="J69" s="380"/>
      <c r="K69" s="410" t="s">
        <v>73</v>
      </c>
      <c r="L69" s="409"/>
    </row>
    <row r="70" spans="1:12" ht="130.5" customHeight="1">
      <c r="A70" s="381">
        <v>7</v>
      </c>
      <c r="B70" s="3885" t="str">
        <f>'Bridge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70" s="3885"/>
      <c r="D70" s="3885"/>
      <c r="E70" s="3885"/>
      <c r="F70" s="3885"/>
      <c r="G70" s="3885"/>
      <c r="H70" s="3885"/>
      <c r="I70" s="3885"/>
      <c r="J70" s="3885"/>
      <c r="K70" s="3885"/>
      <c r="L70" s="409"/>
    </row>
    <row r="71" spans="1:12" ht="20.100000000000001" customHeight="1">
      <c r="A71" s="381"/>
      <c r="B71" s="382" t="s">
        <v>1389</v>
      </c>
      <c r="C71" s="445">
        <v>1</v>
      </c>
      <c r="D71" s="445" t="s">
        <v>907</v>
      </c>
      <c r="E71" s="445">
        <v>1</v>
      </c>
      <c r="F71" s="446">
        <v>15</v>
      </c>
      <c r="G71" s="446">
        <v>7.5</v>
      </c>
      <c r="H71" s="446">
        <v>0.2</v>
      </c>
      <c r="I71" s="452">
        <f>+E71*F71*G71*H71</f>
        <v>22.5</v>
      </c>
      <c r="J71" s="445"/>
      <c r="K71" s="383"/>
      <c r="L71" s="436"/>
    </row>
    <row r="72" spans="1:12" ht="20.100000000000001" customHeight="1">
      <c r="A72" s="381"/>
      <c r="B72" s="382" t="s">
        <v>1393</v>
      </c>
      <c r="C72" s="445">
        <v>1</v>
      </c>
      <c r="D72" s="445" t="s">
        <v>907</v>
      </c>
      <c r="E72" s="445">
        <v>2</v>
      </c>
      <c r="F72" s="446">
        <v>7.5</v>
      </c>
      <c r="G72" s="446">
        <v>7.5</v>
      </c>
      <c r="H72" s="446">
        <v>0.2</v>
      </c>
      <c r="I72" s="452">
        <f>+E72*F72*G72*H72</f>
        <v>22.5</v>
      </c>
      <c r="J72" s="445"/>
      <c r="K72" s="383"/>
      <c r="L72" s="436"/>
    </row>
    <row r="73" spans="1:12" ht="20.100000000000001" customHeight="1">
      <c r="A73" s="381"/>
      <c r="B73" s="382"/>
      <c r="C73" s="382"/>
      <c r="D73" s="382"/>
      <c r="E73" s="382"/>
      <c r="F73" s="375"/>
      <c r="G73" s="380"/>
      <c r="H73" s="443"/>
      <c r="I73" s="453">
        <f>SUM(I71:I72)</f>
        <v>45</v>
      </c>
      <c r="J73" s="380">
        <f>'Bridge Data'!J428</f>
        <v>8090.44</v>
      </c>
      <c r="K73" s="379">
        <v>1</v>
      </c>
      <c r="L73" s="409">
        <f>ROUND(I73*J73,0)</f>
        <v>364070</v>
      </c>
    </row>
    <row r="74" spans="1:12" ht="20.100000000000001" customHeight="1">
      <c r="A74" s="447"/>
      <c r="B74" s="448"/>
      <c r="C74" s="448"/>
      <c r="D74" s="448"/>
      <c r="E74" s="448"/>
      <c r="F74" s="388"/>
      <c r="G74" s="388"/>
      <c r="H74" s="388"/>
      <c r="I74" s="412" t="s">
        <v>31</v>
      </c>
      <c r="J74" s="413"/>
      <c r="K74" s="414" t="s">
        <v>31</v>
      </c>
      <c r="L74" s="415"/>
    </row>
    <row r="75" spans="1:12" ht="23.25" customHeight="1">
      <c r="A75" s="449"/>
      <c r="B75" s="450"/>
      <c r="C75" s="450"/>
      <c r="D75" s="450"/>
      <c r="E75" s="450"/>
      <c r="F75" s="451"/>
      <c r="G75" s="451"/>
      <c r="H75" s="451"/>
      <c r="I75" s="454"/>
      <c r="J75" s="455" t="s">
        <v>1298</v>
      </c>
      <c r="K75" s="456"/>
      <c r="L75" s="457">
        <f>SUM(L6:L74)</f>
        <v>2751938</v>
      </c>
    </row>
    <row r="76" spans="1:12" ht="12.75" customHeight="1">
      <c r="L76" s="428"/>
    </row>
    <row r="78" spans="1:12" ht="14.25" customHeight="1">
      <c r="B78" s="400"/>
      <c r="F78" s="400" t="str">
        <f>GA!B33</f>
        <v>Assistant Engineer,</v>
      </c>
      <c r="I78" s="3886" t="str">
        <f>GA!C33</f>
        <v>Dy. Exe. Engineer</v>
      </c>
      <c r="J78" s="3886"/>
      <c r="K78" s="3886"/>
    </row>
    <row r="79" spans="1:12" ht="14.25" customHeight="1">
      <c r="B79" s="400"/>
      <c r="F79" s="400" t="str">
        <f>GA!B34</f>
        <v>PRSD, Maddur</v>
      </c>
      <c r="I79" s="3886" t="str">
        <f>GA!C34</f>
        <v>PRSD, Maddur</v>
      </c>
      <c r="J79" s="3886"/>
      <c r="K79" s="3886"/>
    </row>
    <row r="80" spans="1:12" ht="14.25" customHeight="1">
      <c r="B80" s="400"/>
      <c r="F80" s="400"/>
      <c r="I80" s="429"/>
      <c r="J80" s="429"/>
      <c r="K80" s="429"/>
    </row>
    <row r="81" spans="2:11" ht="14.25" customHeight="1">
      <c r="B81" s="400"/>
      <c r="F81" s="400"/>
      <c r="I81" s="429"/>
      <c r="J81" s="429"/>
      <c r="K81" s="429"/>
    </row>
    <row r="82" spans="2:11">
      <c r="B82" s="401"/>
      <c r="F82" s="401"/>
      <c r="J82" s="401"/>
      <c r="K82" s="429"/>
    </row>
    <row r="83" spans="2:11" ht="14.25" customHeight="1">
      <c r="B83" s="400"/>
      <c r="F83" s="400" t="s">
        <v>857</v>
      </c>
      <c r="I83" s="3886" t="s">
        <v>684</v>
      </c>
      <c r="J83" s="3886"/>
      <c r="K83" s="3886"/>
    </row>
    <row r="84" spans="2:11">
      <c r="B84" s="400"/>
      <c r="F84" s="400" t="str">
        <f>GA!B37</f>
        <v>PIU, Narayanpet</v>
      </c>
      <c r="I84" s="3887" t="str">
        <f>GA!C37</f>
        <v>PR, Circle, Vikarabad</v>
      </c>
      <c r="J84" s="3887"/>
      <c r="K84" s="3887"/>
    </row>
  </sheetData>
  <protectedRanges>
    <protectedRange sqref="B78:B84 F78:F84" name="Range4"/>
    <protectedRange sqref="I83 J82 K78:K84 I78:I81" name="Range4_1"/>
  </protectedRanges>
  <mergeCells count="19">
    <mergeCell ref="B43:K43"/>
    <mergeCell ref="I79:K79"/>
    <mergeCell ref="I83:K83"/>
    <mergeCell ref="I84:K84"/>
    <mergeCell ref="B54:K54"/>
    <mergeCell ref="B58:K58"/>
    <mergeCell ref="B64:K64"/>
    <mergeCell ref="B70:K70"/>
    <mergeCell ref="I78:K78"/>
    <mergeCell ref="C5:E5"/>
    <mergeCell ref="B6:K6"/>
    <mergeCell ref="B13:K13"/>
    <mergeCell ref="B20:K20"/>
    <mergeCell ref="B32:K32"/>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5"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N37"/>
  <sheetViews>
    <sheetView view="pageBreakPreview" topLeftCell="A15" zoomScaleNormal="85" zoomScaleSheetLayoutView="100" workbookViewId="0">
      <selection activeCell="B12" sqref="B12:H12"/>
    </sheetView>
  </sheetViews>
  <sheetFormatPr defaultColWidth="9.109375" defaultRowHeight="14.4"/>
  <cols>
    <col min="1" max="1" width="5.88671875" style="458" customWidth="1"/>
    <col min="2" max="2" width="34.6640625" style="458" customWidth="1"/>
    <col min="3" max="3" width="4.6640625" style="458" customWidth="1"/>
    <col min="4" max="4" width="2.88671875" style="458" customWidth="1"/>
    <col min="5" max="5" width="5.33203125" style="458" customWidth="1"/>
    <col min="6" max="6" width="7.44140625" style="458" customWidth="1"/>
    <col min="7" max="7" width="6.44140625" style="458" customWidth="1"/>
    <col min="8" max="8" width="6" style="458" customWidth="1"/>
    <col min="9" max="9" width="10.44140625" style="459" customWidth="1"/>
    <col min="10" max="10" width="9.109375" style="458"/>
    <col min="11" max="11" width="6.5546875" style="458" customWidth="1"/>
    <col min="12" max="12" width="12.44140625" style="458" customWidth="1"/>
    <col min="13" max="13" width="9.109375" style="458"/>
    <col min="14" max="14" width="12.88671875" style="458"/>
    <col min="15" max="16384" width="9.109375" style="458"/>
  </cols>
  <sheetData>
    <row r="1" spans="1:12">
      <c r="A1" s="3888" t="s">
        <v>1361</v>
      </c>
      <c r="B1" s="3888"/>
      <c r="C1" s="3888"/>
      <c r="D1" s="3888"/>
      <c r="E1" s="3888"/>
      <c r="F1" s="3888"/>
      <c r="G1" s="3888"/>
      <c r="H1" s="3888"/>
      <c r="I1" s="3888"/>
      <c r="J1" s="3888"/>
      <c r="K1" s="3888"/>
      <c r="L1" s="3888"/>
    </row>
    <row r="2" spans="1:12">
      <c r="A2" s="3889" t="str">
        <f>'Road-furniture '!A2</f>
        <v>C/o HLB on R/F Amlikunta to Gundumal of Gundumal Mandal of Narayanept District.</v>
      </c>
      <c r="B2" s="3889"/>
      <c r="C2" s="3889"/>
      <c r="D2" s="3889"/>
      <c r="E2" s="3889"/>
      <c r="F2" s="3889"/>
      <c r="G2" s="3889"/>
      <c r="H2" s="3889"/>
      <c r="I2" s="3889"/>
      <c r="J2" s="3889"/>
      <c r="K2" s="3889"/>
      <c r="L2" s="3889"/>
    </row>
    <row r="3" spans="1:12">
      <c r="A3" s="3891" t="s">
        <v>391</v>
      </c>
      <c r="B3" s="3890" t="s">
        <v>529</v>
      </c>
      <c r="C3" s="3890" t="s">
        <v>554</v>
      </c>
      <c r="D3" s="3890"/>
      <c r="E3" s="3890"/>
      <c r="F3" s="3890" t="s">
        <v>1362</v>
      </c>
      <c r="G3" s="3890"/>
      <c r="H3" s="3890"/>
      <c r="I3" s="3889" t="s">
        <v>3</v>
      </c>
      <c r="J3" s="3890" t="s">
        <v>5</v>
      </c>
      <c r="K3" s="3890"/>
      <c r="L3" s="3890" t="s">
        <v>531</v>
      </c>
    </row>
    <row r="4" spans="1:12">
      <c r="A4" s="3891"/>
      <c r="B4" s="3890"/>
      <c r="C4" s="3890"/>
      <c r="D4" s="3890"/>
      <c r="E4" s="3890"/>
      <c r="F4" s="461" t="s">
        <v>180</v>
      </c>
      <c r="G4" s="461" t="s">
        <v>732</v>
      </c>
      <c r="H4" s="461" t="s">
        <v>906</v>
      </c>
      <c r="I4" s="3889"/>
      <c r="J4" s="3890"/>
      <c r="K4" s="3890"/>
      <c r="L4" s="3890"/>
    </row>
    <row r="5" spans="1:12">
      <c r="A5" s="460">
        <v>1</v>
      </c>
      <c r="B5" s="460">
        <v>2</v>
      </c>
      <c r="C5" s="3891">
        <v>3</v>
      </c>
      <c r="D5" s="3891"/>
      <c r="E5" s="3891"/>
      <c r="F5" s="460">
        <v>4</v>
      </c>
      <c r="G5" s="460">
        <v>5</v>
      </c>
      <c r="H5" s="460">
        <v>6</v>
      </c>
      <c r="I5" s="460">
        <v>7</v>
      </c>
      <c r="J5" s="3891">
        <v>8</v>
      </c>
      <c r="K5" s="3891"/>
      <c r="L5" s="460">
        <v>9</v>
      </c>
    </row>
    <row r="6" spans="1:12" ht="47.1" customHeight="1">
      <c r="A6" s="462">
        <v>1</v>
      </c>
      <c r="B6" s="3892" t="s">
        <v>1363</v>
      </c>
      <c r="C6" s="3892"/>
      <c r="D6" s="3892"/>
      <c r="E6" s="3892"/>
      <c r="F6" s="3892"/>
      <c r="G6" s="3892"/>
      <c r="H6" s="3892"/>
      <c r="I6" s="476"/>
      <c r="J6" s="475"/>
      <c r="K6" s="475"/>
      <c r="L6" s="462"/>
    </row>
    <row r="7" spans="1:12" ht="39" customHeight="1">
      <c r="A7" s="464" t="s">
        <v>712</v>
      </c>
      <c r="B7" s="465" t="s">
        <v>1364</v>
      </c>
      <c r="C7" s="463"/>
      <c r="D7" s="463"/>
      <c r="E7" s="463"/>
      <c r="F7" s="463"/>
      <c r="G7" s="463"/>
      <c r="H7" s="463"/>
      <c r="I7" s="476"/>
      <c r="J7" s="475"/>
      <c r="K7" s="475"/>
      <c r="L7" s="462"/>
    </row>
    <row r="8" spans="1:12" ht="16.5" customHeight="1">
      <c r="A8" s="466"/>
      <c r="B8" s="467" t="s">
        <v>1365</v>
      </c>
      <c r="C8" s="468">
        <v>1</v>
      </c>
      <c r="D8" s="469" t="s">
        <v>907</v>
      </c>
      <c r="E8" s="469">
        <v>2</v>
      </c>
      <c r="F8" s="470">
        <v>6</v>
      </c>
      <c r="G8" s="471"/>
      <c r="H8" s="472"/>
      <c r="I8" s="481">
        <v>0</v>
      </c>
      <c r="J8" s="482"/>
      <c r="K8" s="482"/>
      <c r="L8" s="462"/>
    </row>
    <row r="9" spans="1:12" ht="28.5" customHeight="1">
      <c r="A9" s="464" t="s">
        <v>714</v>
      </c>
      <c r="B9" s="465" t="s">
        <v>1366</v>
      </c>
      <c r="C9" s="463"/>
      <c r="D9" s="465"/>
      <c r="E9" s="465"/>
      <c r="F9" s="465"/>
      <c r="G9" s="465"/>
      <c r="H9" s="463"/>
      <c r="I9" s="476"/>
      <c r="J9" s="482"/>
      <c r="K9" s="482"/>
      <c r="L9" s="462"/>
    </row>
    <row r="10" spans="1:12" ht="14.25" customHeight="1">
      <c r="A10" s="466"/>
      <c r="B10" s="473" t="s">
        <v>1367</v>
      </c>
      <c r="C10" s="468">
        <v>0</v>
      </c>
      <c r="D10" s="469" t="s">
        <v>907</v>
      </c>
      <c r="E10" s="469">
        <v>2</v>
      </c>
      <c r="F10" s="474">
        <v>20</v>
      </c>
      <c r="G10" s="471"/>
      <c r="H10" s="472"/>
      <c r="I10" s="481">
        <f>C10*E10*F10</f>
        <v>0</v>
      </c>
      <c r="J10" s="482"/>
      <c r="K10" s="482"/>
      <c r="L10" s="462"/>
    </row>
    <row r="11" spans="1:12" hidden="1">
      <c r="A11" s="466"/>
      <c r="B11" s="473"/>
      <c r="C11" s="468"/>
      <c r="D11" s="469"/>
      <c r="E11" s="469"/>
      <c r="F11" s="474"/>
      <c r="G11" s="471"/>
      <c r="H11" s="472"/>
      <c r="I11" s="481"/>
      <c r="J11" s="482"/>
      <c r="K11" s="482"/>
      <c r="L11" s="462"/>
    </row>
    <row r="12" spans="1:12" ht="14.25" customHeight="1">
      <c r="A12" s="466"/>
      <c r="B12" s="475"/>
      <c r="C12" s="463"/>
      <c r="D12" s="463"/>
      <c r="E12" s="476"/>
      <c r="F12" s="463"/>
      <c r="G12" s="463"/>
      <c r="H12" s="463"/>
      <c r="I12" s="462">
        <f>SUM(I8:I11)</f>
        <v>0</v>
      </c>
      <c r="J12" s="483">
        <v>399</v>
      </c>
      <c r="K12" s="483" t="s">
        <v>1368</v>
      </c>
      <c r="L12" s="484">
        <f>ROUND(I12*J12,0)</f>
        <v>0</v>
      </c>
    </row>
    <row r="13" spans="1:12" ht="14.25" customHeight="1">
      <c r="A13" s="466"/>
      <c r="B13" s="477"/>
      <c r="C13" s="463"/>
      <c r="D13" s="463"/>
      <c r="E13" s="476"/>
      <c r="F13" s="463"/>
      <c r="G13" s="463"/>
      <c r="H13" s="463"/>
      <c r="I13" s="485" t="s">
        <v>708</v>
      </c>
      <c r="J13" s="483"/>
      <c r="K13" s="483"/>
      <c r="L13" s="486"/>
    </row>
    <row r="14" spans="1:12" ht="47.1" customHeight="1">
      <c r="A14" s="466">
        <v>2</v>
      </c>
      <c r="B14" s="3892" t="s">
        <v>1369</v>
      </c>
      <c r="C14" s="3892"/>
      <c r="D14" s="3892"/>
      <c r="E14" s="3892"/>
      <c r="F14" s="3892"/>
      <c r="G14" s="3892"/>
      <c r="H14" s="3892"/>
      <c r="I14" s="487"/>
      <c r="J14" s="476"/>
      <c r="K14" s="475"/>
      <c r="L14" s="486"/>
    </row>
    <row r="15" spans="1:12">
      <c r="A15" s="464" t="s">
        <v>714</v>
      </c>
      <c r="B15" s="465" t="s">
        <v>1370</v>
      </c>
      <c r="C15" s="463"/>
      <c r="D15" s="465"/>
      <c r="E15" s="465"/>
      <c r="F15" s="465"/>
      <c r="G15" s="465"/>
      <c r="H15" s="463"/>
      <c r="I15" s="487"/>
      <c r="J15" s="482"/>
      <c r="K15" s="482"/>
      <c r="L15" s="462"/>
    </row>
    <row r="16" spans="1:12">
      <c r="A16" s="466"/>
      <c r="B16" s="473" t="s">
        <v>1371</v>
      </c>
      <c r="C16" s="468">
        <v>1</v>
      </c>
      <c r="D16" s="469" t="s">
        <v>907</v>
      </c>
      <c r="E16" s="469">
        <v>2</v>
      </c>
      <c r="F16" s="474">
        <v>1</v>
      </c>
      <c r="G16" s="471">
        <v>0.1</v>
      </c>
      <c r="H16" s="472"/>
      <c r="I16" s="472">
        <f>C16*E16*F16*G16</f>
        <v>0.2</v>
      </c>
      <c r="J16" s="482"/>
      <c r="K16" s="482"/>
      <c r="L16" s="462"/>
    </row>
    <row r="17" spans="1:14">
      <c r="A17" s="466"/>
      <c r="B17" s="473" t="s">
        <v>1372</v>
      </c>
      <c r="C17" s="468">
        <v>0</v>
      </c>
      <c r="D17" s="469" t="s">
        <v>907</v>
      </c>
      <c r="E17" s="469">
        <v>1</v>
      </c>
      <c r="F17" s="474">
        <f>F16-N17</f>
        <v>0.77777777777777779</v>
      </c>
      <c r="G17" s="471">
        <v>0.1</v>
      </c>
      <c r="H17" s="472"/>
      <c r="I17" s="472">
        <f>C17*E17*F17*G17</f>
        <v>0</v>
      </c>
      <c r="J17" s="482"/>
      <c r="K17" s="482"/>
      <c r="L17" s="462"/>
      <c r="N17" s="488">
        <f>F16/4.5</f>
        <v>0.22222222222222221</v>
      </c>
    </row>
    <row r="18" spans="1:14">
      <c r="A18" s="466"/>
      <c r="B18" s="463"/>
      <c r="C18" s="463"/>
      <c r="D18" s="463"/>
      <c r="E18" s="476"/>
      <c r="F18" s="478"/>
      <c r="G18" s="479"/>
      <c r="H18" s="463"/>
      <c r="I18" s="485">
        <v>0</v>
      </c>
      <c r="J18" s="483">
        <v>728</v>
      </c>
      <c r="K18" s="2071" t="s">
        <v>1373</v>
      </c>
      <c r="L18" s="484">
        <f>ROUND(I18*J18,0)</f>
        <v>0</v>
      </c>
    </row>
    <row r="19" spans="1:14" ht="61.95" customHeight="1">
      <c r="A19" s="466">
        <v>3</v>
      </c>
      <c r="B19" s="3892" t="s">
        <v>1374</v>
      </c>
      <c r="C19" s="3892"/>
      <c r="D19" s="3892"/>
      <c r="E19" s="3892"/>
      <c r="F19" s="3892"/>
      <c r="G19" s="3892"/>
      <c r="H19" s="3892"/>
      <c r="I19" s="487" t="s">
        <v>353</v>
      </c>
      <c r="J19" s="476"/>
      <c r="K19" s="475"/>
      <c r="L19" s="486"/>
    </row>
    <row r="20" spans="1:14">
      <c r="A20" s="466"/>
      <c r="B20" s="467" t="s">
        <v>1375</v>
      </c>
      <c r="C20" s="468">
        <v>0</v>
      </c>
      <c r="D20" s="469" t="s">
        <v>907</v>
      </c>
      <c r="E20" s="469">
        <v>2</v>
      </c>
      <c r="F20" s="474">
        <v>15</v>
      </c>
      <c r="G20" s="471"/>
      <c r="H20" s="472"/>
      <c r="I20" s="481">
        <f>C20*E20*F20</f>
        <v>0</v>
      </c>
      <c r="J20" s="482"/>
      <c r="K20" s="482"/>
      <c r="L20" s="462"/>
    </row>
    <row r="21" spans="1:14">
      <c r="A21" s="464"/>
      <c r="B21" s="465" t="s">
        <v>1376</v>
      </c>
      <c r="C21" s="463"/>
      <c r="D21" s="465"/>
      <c r="E21" s="465"/>
      <c r="F21" s="465"/>
      <c r="G21" s="465"/>
      <c r="H21" s="463"/>
      <c r="I21" s="487"/>
      <c r="J21" s="482"/>
      <c r="K21" s="482"/>
      <c r="L21" s="462"/>
    </row>
    <row r="22" spans="1:14">
      <c r="A22" s="466"/>
      <c r="B22" s="477"/>
      <c r="C22" s="463"/>
      <c r="D22" s="463"/>
      <c r="E22" s="476"/>
      <c r="F22" s="463"/>
      <c r="G22" s="463"/>
      <c r="H22" s="463"/>
      <c r="I22" s="462">
        <f>SUM(I20:I21)</f>
        <v>0</v>
      </c>
      <c r="J22" s="483">
        <v>3183</v>
      </c>
      <c r="K22" s="2071" t="s">
        <v>1377</v>
      </c>
      <c r="L22" s="484">
        <f>ROUND(I22*J22,0)</f>
        <v>0</v>
      </c>
    </row>
    <row r="23" spans="1:14">
      <c r="A23" s="466"/>
      <c r="B23" s="477"/>
      <c r="C23" s="463"/>
      <c r="D23" s="463"/>
      <c r="E23" s="476"/>
      <c r="F23" s="463"/>
      <c r="G23" s="463"/>
      <c r="H23" s="463"/>
      <c r="I23" s="483" t="s">
        <v>600</v>
      </c>
      <c r="J23" s="483"/>
      <c r="K23" s="483"/>
      <c r="L23" s="486"/>
    </row>
    <row r="24" spans="1:14" ht="59.25" customHeight="1">
      <c r="A24" s="466">
        <v>4</v>
      </c>
      <c r="B24" s="3893" t="s">
        <v>2598</v>
      </c>
      <c r="C24" s="3893"/>
      <c r="D24" s="3893"/>
      <c r="E24" s="3893"/>
      <c r="F24" s="3893"/>
      <c r="G24" s="3893"/>
      <c r="H24" s="3893"/>
      <c r="I24" s="487"/>
      <c r="J24" s="476"/>
      <c r="K24" s="475"/>
      <c r="L24" s="486"/>
    </row>
    <row r="25" spans="1:14">
      <c r="A25" s="466"/>
      <c r="B25" s="467" t="s">
        <v>1378</v>
      </c>
      <c r="C25" s="468">
        <v>1</v>
      </c>
      <c r="D25" s="469" t="s">
        <v>907</v>
      </c>
      <c r="E25" s="469">
        <v>6</v>
      </c>
      <c r="F25" s="470">
        <v>3.75</v>
      </c>
      <c r="G25" s="471">
        <v>0.2</v>
      </c>
      <c r="H25" s="472"/>
      <c r="I25" s="489">
        <f>C25*E25*F25*G25</f>
        <v>4.5</v>
      </c>
      <c r="J25" s="482"/>
      <c r="K25" s="482"/>
      <c r="L25" s="462"/>
    </row>
    <row r="26" spans="1:14">
      <c r="A26" s="466"/>
      <c r="B26" s="477"/>
      <c r="C26" s="463"/>
      <c r="D26" s="463"/>
      <c r="E26" s="476"/>
      <c r="F26" s="463"/>
      <c r="G26" s="463"/>
      <c r="H26" s="463"/>
      <c r="I26" s="485">
        <v>0</v>
      </c>
      <c r="J26" s="483">
        <v>2107</v>
      </c>
      <c r="K26" s="483" t="s">
        <v>1379</v>
      </c>
      <c r="L26" s="484">
        <f>ROUND(I26*J26,0)</f>
        <v>0</v>
      </c>
    </row>
    <row r="27" spans="1:14">
      <c r="A27" s="466"/>
      <c r="B27" s="477"/>
      <c r="C27" s="463"/>
      <c r="D27" s="463"/>
      <c r="E27" s="476"/>
      <c r="F27" s="463"/>
      <c r="G27" s="463"/>
      <c r="H27" s="463"/>
      <c r="I27" s="483" t="s">
        <v>353</v>
      </c>
      <c r="J27" s="483"/>
      <c r="K27" s="483"/>
      <c r="L27" s="486"/>
    </row>
    <row r="28" spans="1:14">
      <c r="A28" s="466"/>
      <c r="B28" s="477"/>
      <c r="C28" s="463"/>
      <c r="D28" s="463"/>
      <c r="E28" s="476"/>
      <c r="F28" s="463"/>
      <c r="G28" s="463"/>
      <c r="H28" s="463"/>
      <c r="I28" s="485"/>
      <c r="J28" s="483" t="s">
        <v>1240</v>
      </c>
      <c r="K28" s="483"/>
      <c r="L28" s="490">
        <f>SUM(L10:L26)</f>
        <v>0</v>
      </c>
    </row>
    <row r="31" spans="1:14">
      <c r="B31" s="458" t="str">
        <f>'Road-furniture '!B21</f>
        <v>Assistant Engineer,</v>
      </c>
      <c r="C31" s="458" t="str">
        <f>'Road-furniture '!D21</f>
        <v>Dy. Exe. Engineer</v>
      </c>
      <c r="H31" s="480" t="str">
        <f>'Road-furniture '!B29</f>
        <v>District Panchayat Raj Engineer,</v>
      </c>
    </row>
    <row r="32" spans="1:14">
      <c r="B32" s="458" t="str">
        <f>'Road-furniture '!B22</f>
        <v>PRSD, Maddur</v>
      </c>
      <c r="C32" s="458" t="str">
        <f>'Road-furniture '!D22</f>
        <v>PRSD, Maddur</v>
      </c>
      <c r="H32" s="480" t="str">
        <f>'Road-furniture '!B30</f>
        <v>PIU, Narayanpet</v>
      </c>
    </row>
    <row r="36" spans="8:8">
      <c r="H36" s="480" t="str">
        <f>'Road-furniture '!E29</f>
        <v>Superintending Engineer</v>
      </c>
    </row>
    <row r="37" spans="8:8">
      <c r="H37" s="480" t="str">
        <f>'Road-furniture '!E30</f>
        <v>PR, Circle, Vikarabad</v>
      </c>
    </row>
  </sheetData>
  <protectedRanges>
    <protectedRange sqref="A20:I21 A25:I25" name="Range3"/>
    <protectedRange sqref="A15:I16" name="Range2"/>
    <protectedRange sqref="A7:I11" name="Range1"/>
  </protectedRanges>
  <mergeCells count="15">
    <mergeCell ref="B6:H6"/>
    <mergeCell ref="B14:H14"/>
    <mergeCell ref="B19:H19"/>
    <mergeCell ref="B24:H24"/>
    <mergeCell ref="A3:A4"/>
    <mergeCell ref="B3:B4"/>
    <mergeCell ref="C3:E4"/>
    <mergeCell ref="A1:L1"/>
    <mergeCell ref="A2:L2"/>
    <mergeCell ref="F3:H3"/>
    <mergeCell ref="C5:E5"/>
    <mergeCell ref="J5:K5"/>
    <mergeCell ref="I3:I4"/>
    <mergeCell ref="L3:L4"/>
    <mergeCell ref="J3:K4"/>
  </mergeCells>
  <pageMargins left="0.23622047244094499" right="0.23622047244094499" top="0.55118110236220497" bottom="0.55118110236220497" header="0.31496062992126" footer="0.31496062992126"/>
  <pageSetup paperSize="9" scale="87"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5" tint="-0.249977111117893"/>
  </sheetPr>
  <dimension ref="A1:T41"/>
  <sheetViews>
    <sheetView view="pageBreakPreview" topLeftCell="A19" workbookViewId="0">
      <selection activeCell="L33" sqref="L33"/>
    </sheetView>
  </sheetViews>
  <sheetFormatPr defaultColWidth="9.109375" defaultRowHeight="13.8"/>
  <cols>
    <col min="1" max="1" width="5" style="365" customWidth="1"/>
    <col min="2" max="2" width="21.33203125" style="366" customWidth="1"/>
    <col min="3" max="5" width="4.109375" style="363" customWidth="1"/>
    <col min="6" max="6" width="9" style="363" customWidth="1"/>
    <col min="7" max="7" width="10.5546875" style="363" customWidth="1"/>
    <col min="8" max="8" width="5" style="363" customWidth="1"/>
    <col min="9" max="9" width="9.5546875" style="363" customWidth="1"/>
    <col min="10" max="10" width="10.5546875" style="363" customWidth="1"/>
    <col min="11" max="11" width="6.109375" style="363" customWidth="1"/>
    <col min="12" max="12" width="16.33203125" style="362" customWidth="1"/>
    <col min="13" max="13" width="9.109375" style="366"/>
    <col min="14" max="14" width="13.88671875" style="366" customWidth="1"/>
    <col min="15" max="15" width="11" style="366" customWidth="1"/>
    <col min="16" max="16" width="6.33203125" style="366" customWidth="1"/>
    <col min="17" max="20" width="9.109375" style="366" hidden="1" customWidth="1"/>
    <col min="21" max="16384" width="9.109375" style="366"/>
  </cols>
  <sheetData>
    <row r="1" spans="1:15" ht="18" customHeight="1">
      <c r="A1" s="3876" t="s">
        <v>1407</v>
      </c>
      <c r="B1" s="3877"/>
      <c r="C1" s="3877"/>
      <c r="D1" s="3877"/>
      <c r="E1" s="3877"/>
      <c r="F1" s="3877"/>
      <c r="G1" s="3877"/>
      <c r="H1" s="3877"/>
      <c r="I1" s="3877"/>
      <c r="J1" s="3877"/>
      <c r="K1" s="3877"/>
      <c r="L1" s="3877"/>
    </row>
    <row r="2" spans="1:15" ht="30" customHeight="1">
      <c r="A2" s="3878" t="s">
        <v>676</v>
      </c>
      <c r="B2" s="3878"/>
      <c r="C2" s="3894" t="str">
        <f>'Input Data'!E1</f>
        <v>C/o HLB on R/F Amlikunta to Gundumal of Gundumal Mandal of Narayanept District.</v>
      </c>
      <c r="D2" s="3894"/>
      <c r="E2" s="3894"/>
      <c r="F2" s="3894"/>
      <c r="G2" s="3894"/>
      <c r="H2" s="3894"/>
      <c r="I2" s="3894"/>
      <c r="J2" s="3894"/>
      <c r="K2" s="3894"/>
      <c r="L2" s="3894"/>
    </row>
    <row r="3" spans="1:15" s="362" customFormat="1" ht="21.75" customHeight="1">
      <c r="A3" s="3880" t="s">
        <v>1408</v>
      </c>
      <c r="B3" s="3880"/>
      <c r="C3" s="3880"/>
      <c r="D3" s="3880"/>
      <c r="E3" s="3880"/>
      <c r="F3" s="3880"/>
      <c r="G3" s="3880"/>
      <c r="H3" s="3880"/>
      <c r="I3" s="3880"/>
      <c r="J3" s="3880"/>
      <c r="K3" s="3880"/>
      <c r="L3" s="3880"/>
    </row>
    <row r="4" spans="1:15" s="363" customFormat="1" ht="33" customHeight="1">
      <c r="A4" s="367" t="s">
        <v>1285</v>
      </c>
      <c r="B4" s="368" t="s">
        <v>904</v>
      </c>
      <c r="C4" s="3895" t="s">
        <v>905</v>
      </c>
      <c r="D4" s="3896"/>
      <c r="E4" s="3897"/>
      <c r="F4" s="368" t="s">
        <v>180</v>
      </c>
      <c r="G4" s="368" t="s">
        <v>732</v>
      </c>
      <c r="H4" s="368" t="s">
        <v>906</v>
      </c>
      <c r="I4" s="402" t="s">
        <v>3</v>
      </c>
      <c r="J4" s="370" t="s">
        <v>5</v>
      </c>
      <c r="K4" s="370" t="s">
        <v>579</v>
      </c>
      <c r="L4" s="368" t="s">
        <v>7</v>
      </c>
    </row>
    <row r="5" spans="1:15" s="362" customFormat="1">
      <c r="A5" s="369">
        <v>1</v>
      </c>
      <c r="B5" s="370">
        <v>2</v>
      </c>
      <c r="C5" s="3898">
        <v>3</v>
      </c>
      <c r="D5" s="3899"/>
      <c r="E5" s="3900"/>
      <c r="F5" s="370">
        <v>4</v>
      </c>
      <c r="G5" s="370">
        <v>5</v>
      </c>
      <c r="H5" s="370">
        <v>6</v>
      </c>
      <c r="I5" s="403">
        <v>7</v>
      </c>
      <c r="J5" s="370">
        <v>8</v>
      </c>
      <c r="K5" s="370">
        <v>9</v>
      </c>
      <c r="L5" s="370">
        <v>10</v>
      </c>
    </row>
    <row r="6" spans="1:15" ht="94.5" customHeight="1">
      <c r="A6" s="371">
        <v>1</v>
      </c>
      <c r="B6" s="3883"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83"/>
      <c r="D6" s="3883"/>
      <c r="E6" s="3883"/>
      <c r="F6" s="3883"/>
      <c r="G6" s="3883"/>
      <c r="H6" s="3883"/>
      <c r="I6" s="3883"/>
      <c r="J6" s="3883"/>
      <c r="K6" s="3883"/>
      <c r="L6" s="404"/>
      <c r="O6" s="405"/>
    </row>
    <row r="7" spans="1:15" ht="22.2" customHeight="1">
      <c r="A7" s="372"/>
      <c r="B7" s="373" t="s">
        <v>1409</v>
      </c>
      <c r="C7" s="374"/>
      <c r="D7" s="374"/>
      <c r="E7" s="374"/>
      <c r="F7" s="374"/>
      <c r="G7" s="374"/>
      <c r="H7" s="374"/>
      <c r="I7" s="374"/>
      <c r="J7" s="374"/>
      <c r="K7" s="374"/>
      <c r="L7" s="406"/>
      <c r="O7" s="405"/>
    </row>
    <row r="8" spans="1:15" ht="22.2" customHeight="1">
      <c r="A8" s="375"/>
      <c r="B8" s="376" t="s">
        <v>1410</v>
      </c>
      <c r="C8" s="377"/>
      <c r="D8" s="377"/>
      <c r="E8" s="377"/>
      <c r="F8" s="377"/>
      <c r="G8" s="377"/>
      <c r="H8" s="377"/>
      <c r="I8" s="377"/>
      <c r="J8" s="377"/>
      <c r="K8" s="377"/>
      <c r="L8" s="407"/>
      <c r="O8" s="405"/>
    </row>
    <row r="9" spans="1:15" ht="20.100000000000001" customHeight="1">
      <c r="A9" s="375"/>
      <c r="B9" s="378"/>
      <c r="C9" s="379">
        <v>2</v>
      </c>
      <c r="D9" s="379" t="s">
        <v>907</v>
      </c>
      <c r="E9" s="379">
        <v>1</v>
      </c>
      <c r="F9" s="380">
        <v>370</v>
      </c>
      <c r="G9" s="380">
        <v>1</v>
      </c>
      <c r="H9" s="380">
        <v>0.45</v>
      </c>
      <c r="I9" s="380">
        <f>ROUND(C9*E9*F9*G9*H9,2)</f>
        <v>333</v>
      </c>
      <c r="J9" s="379"/>
      <c r="K9" s="377"/>
      <c r="L9" s="407"/>
      <c r="O9" s="405"/>
    </row>
    <row r="10" spans="1:15" ht="20.100000000000001" customHeight="1">
      <c r="A10" s="375"/>
      <c r="B10" s="378"/>
      <c r="C10" s="378"/>
      <c r="D10" s="378"/>
      <c r="E10" s="378"/>
      <c r="F10" s="377"/>
      <c r="G10" s="375"/>
      <c r="H10" s="375"/>
      <c r="I10" s="408">
        <f>SUM(I9:I9)</f>
        <v>333</v>
      </c>
      <c r="J10" s="380">
        <f>'Pipe data'!G20</f>
        <v>136.06920584583335</v>
      </c>
      <c r="K10" s="379">
        <v>1</v>
      </c>
      <c r="L10" s="409">
        <f>ROUND(I10*J10,0)</f>
        <v>45311</v>
      </c>
      <c r="O10" s="405"/>
    </row>
    <row r="11" spans="1:15" ht="20.100000000000001" customHeight="1">
      <c r="A11" s="375"/>
      <c r="B11" s="378"/>
      <c r="C11" s="378"/>
      <c r="D11" s="378"/>
      <c r="E11" s="378"/>
      <c r="F11" s="377"/>
      <c r="G11" s="375"/>
      <c r="H11" s="375"/>
      <c r="I11" s="410" t="s">
        <v>31</v>
      </c>
      <c r="J11" s="380"/>
      <c r="K11" s="379" t="s">
        <v>31</v>
      </c>
      <c r="L11" s="409"/>
    </row>
    <row r="12" spans="1:15" ht="12.75" customHeight="1">
      <c r="A12" s="381"/>
      <c r="B12" s="382"/>
      <c r="C12" s="382"/>
      <c r="D12" s="382"/>
      <c r="E12" s="382"/>
      <c r="F12" s="383"/>
      <c r="G12" s="375"/>
      <c r="H12" s="375"/>
      <c r="I12" s="410"/>
      <c r="J12" s="380"/>
      <c r="K12" s="379"/>
      <c r="L12" s="409"/>
    </row>
    <row r="13" spans="1:15" ht="45.75" customHeight="1">
      <c r="A13" s="381">
        <v>2</v>
      </c>
      <c r="B13" s="3884" t="str">
        <f>'Pipe data'!B55:G55</f>
        <v>Sand  Filling (Natural Sand 50% + Manufactured sand 50%) in foundation trenches as per drawing and technical specification Clause 304 of MORTH including overhead charges &amp; Contractors profit etc complete.</v>
      </c>
      <c r="C13" s="3885"/>
      <c r="D13" s="3885"/>
      <c r="E13" s="3885"/>
      <c r="F13" s="3885"/>
      <c r="G13" s="3885"/>
      <c r="H13" s="3885"/>
      <c r="I13" s="3885"/>
      <c r="J13" s="3885"/>
      <c r="K13" s="3885"/>
      <c r="L13" s="411"/>
      <c r="N13" s="405"/>
    </row>
    <row r="14" spans="1:15" ht="22.2" customHeight="1">
      <c r="A14" s="375"/>
      <c r="B14" s="376" t="s">
        <v>1410</v>
      </c>
      <c r="C14" s="377"/>
      <c r="D14" s="377"/>
      <c r="E14" s="377"/>
      <c r="F14" s="377"/>
      <c r="G14" s="377"/>
      <c r="H14" s="377"/>
      <c r="I14" s="377"/>
      <c r="J14" s="377"/>
      <c r="K14" s="377"/>
      <c r="L14" s="407"/>
      <c r="O14" s="405"/>
    </row>
    <row r="15" spans="1:15" ht="32.4" customHeight="1">
      <c r="A15" s="375"/>
      <c r="B15" s="378" t="s">
        <v>1411</v>
      </c>
      <c r="C15" s="379">
        <v>2</v>
      </c>
      <c r="D15" s="379" t="s">
        <v>907</v>
      </c>
      <c r="E15" s="379">
        <v>1</v>
      </c>
      <c r="F15" s="380">
        <f>F9</f>
        <v>370</v>
      </c>
      <c r="G15" s="380">
        <v>1</v>
      </c>
      <c r="H15" s="380">
        <v>0.1</v>
      </c>
      <c r="I15" s="380">
        <f>ROUND(C15*E15*F15*G15*H15,2)</f>
        <v>74</v>
      </c>
      <c r="J15" s="379"/>
      <c r="K15" s="377"/>
      <c r="L15" s="407"/>
      <c r="O15" s="405"/>
    </row>
    <row r="16" spans="1:15" ht="20.100000000000001" customHeight="1">
      <c r="A16" s="375"/>
      <c r="B16" s="378"/>
      <c r="C16" s="378"/>
      <c r="D16" s="378"/>
      <c r="E16" s="378"/>
      <c r="F16" s="377"/>
      <c r="G16" s="375"/>
      <c r="H16" s="375"/>
      <c r="I16" s="408">
        <f>SUM(I15:I15)</f>
        <v>74</v>
      </c>
      <c r="J16" s="380">
        <f>'Pipe data'!G73</f>
        <v>1920.41</v>
      </c>
      <c r="K16" s="379">
        <v>1</v>
      </c>
      <c r="L16" s="409">
        <f>ROUND(I16*J16,0)</f>
        <v>142110</v>
      </c>
    </row>
    <row r="17" spans="1:15" ht="20.100000000000001" customHeight="1">
      <c r="A17" s="375"/>
      <c r="B17" s="378"/>
      <c r="C17" s="378"/>
      <c r="D17" s="378"/>
      <c r="E17" s="378"/>
      <c r="F17" s="377"/>
      <c r="G17" s="375"/>
      <c r="H17" s="375"/>
      <c r="I17" s="410" t="s">
        <v>31</v>
      </c>
      <c r="J17" s="380"/>
      <c r="K17" s="379" t="s">
        <v>31</v>
      </c>
      <c r="L17" s="409"/>
    </row>
    <row r="18" spans="1:15">
      <c r="A18" s="381"/>
      <c r="B18" s="382"/>
      <c r="C18" s="382"/>
      <c r="D18" s="382"/>
      <c r="E18" s="382"/>
      <c r="F18" s="383"/>
      <c r="G18" s="375"/>
      <c r="H18" s="375"/>
      <c r="I18" s="410"/>
      <c r="J18" s="380"/>
      <c r="K18" s="379"/>
      <c r="L18" s="409"/>
    </row>
    <row r="19" spans="1:15" ht="105" customHeight="1">
      <c r="A19" s="381">
        <v>3</v>
      </c>
      <c r="B19" s="3884" t="str">
        <f>'Bridge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9" s="3885"/>
      <c r="D19" s="3885"/>
      <c r="E19" s="3885"/>
      <c r="F19" s="3885"/>
      <c r="G19" s="3885"/>
      <c r="H19" s="3885"/>
      <c r="I19" s="3885"/>
      <c r="J19" s="3885"/>
      <c r="K19" s="3885"/>
      <c r="L19" s="411"/>
    </row>
    <row r="20" spans="1:15" ht="22.2" customHeight="1">
      <c r="A20" s="375"/>
      <c r="B20" s="376" t="s">
        <v>1412</v>
      </c>
      <c r="C20" s="377"/>
      <c r="D20" s="377"/>
      <c r="E20" s="377"/>
      <c r="F20" s="377"/>
      <c r="G20" s="377"/>
      <c r="H20" s="377"/>
      <c r="I20" s="377"/>
      <c r="J20" s="377"/>
      <c r="K20" s="377"/>
      <c r="L20" s="407"/>
      <c r="O20" s="405"/>
    </row>
    <row r="21" spans="1:15" ht="20.100000000000001" customHeight="1">
      <c r="A21" s="375"/>
      <c r="B21" s="384" t="s">
        <v>1403</v>
      </c>
      <c r="C21" s="379">
        <v>2</v>
      </c>
      <c r="D21" s="379" t="s">
        <v>907</v>
      </c>
      <c r="E21" s="385">
        <f>E15</f>
        <v>1</v>
      </c>
      <c r="F21" s="386">
        <f>F15</f>
        <v>370</v>
      </c>
      <c r="G21" s="386">
        <v>1</v>
      </c>
      <c r="H21" s="386">
        <v>0.15</v>
      </c>
      <c r="I21" s="386">
        <f>+E21*F21*G21*H21*C21</f>
        <v>111</v>
      </c>
      <c r="J21" s="379"/>
      <c r="K21" s="377"/>
      <c r="L21" s="407"/>
      <c r="O21" s="405"/>
    </row>
    <row r="22" spans="1:15" ht="32.4" customHeight="1">
      <c r="A22" s="375"/>
      <c r="B22" s="384" t="s">
        <v>1413</v>
      </c>
      <c r="C22" s="379">
        <v>2</v>
      </c>
      <c r="D22" s="379" t="s">
        <v>907</v>
      </c>
      <c r="E22" s="385">
        <f>E21</f>
        <v>1</v>
      </c>
      <c r="F22" s="386">
        <f>+F21</f>
        <v>370</v>
      </c>
      <c r="G22" s="387" t="s">
        <v>1414</v>
      </c>
      <c r="H22" s="386">
        <v>0.6</v>
      </c>
      <c r="I22" s="386">
        <f>+E22*F22*(0.23+0.3)/2*H22*C22</f>
        <v>117.66000000000001</v>
      </c>
      <c r="J22" s="379"/>
      <c r="K22" s="377"/>
      <c r="L22" s="407"/>
      <c r="O22" s="405"/>
    </row>
    <row r="23" spans="1:15" ht="32.4" customHeight="1">
      <c r="A23" s="375"/>
      <c r="B23" s="384" t="s">
        <v>1415</v>
      </c>
      <c r="C23" s="379">
        <v>2</v>
      </c>
      <c r="D23" s="379" t="s">
        <v>907</v>
      </c>
      <c r="E23" s="385">
        <f>E22</f>
        <v>1</v>
      </c>
      <c r="F23" s="386">
        <f>+F22</f>
        <v>370</v>
      </c>
      <c r="G23" s="387" t="s">
        <v>1414</v>
      </c>
      <c r="H23" s="386">
        <v>0.6</v>
      </c>
      <c r="I23" s="386">
        <f>+E23*F23*(0.23+0.3)/2*H23*C23</f>
        <v>117.66000000000001</v>
      </c>
      <c r="J23" s="379"/>
      <c r="K23" s="377"/>
      <c r="L23" s="407"/>
      <c r="O23" s="405"/>
    </row>
    <row r="24" spans="1:15" ht="15" customHeight="1">
      <c r="A24" s="375"/>
      <c r="B24" s="378"/>
      <c r="C24" s="378"/>
      <c r="D24" s="378"/>
      <c r="E24" s="378"/>
      <c r="F24" s="375"/>
      <c r="G24" s="375"/>
      <c r="H24" s="375"/>
      <c r="I24" s="408">
        <f>SUM(I21:I23)</f>
        <v>346.32000000000005</v>
      </c>
      <c r="J24" s="380">
        <f>'Bridge Data'!J62</f>
        <v>7328.61</v>
      </c>
      <c r="K24" s="379">
        <v>1</v>
      </c>
      <c r="L24" s="409">
        <f>ROUND(I24*J24,0)</f>
        <v>2538044</v>
      </c>
    </row>
    <row r="25" spans="1:15" ht="15" customHeight="1">
      <c r="A25" s="388"/>
      <c r="B25" s="389"/>
      <c r="C25" s="389"/>
      <c r="D25" s="389"/>
      <c r="E25" s="389"/>
      <c r="F25" s="388"/>
      <c r="G25" s="388"/>
      <c r="H25" s="388"/>
      <c r="I25" s="412" t="s">
        <v>31</v>
      </c>
      <c r="J25" s="413"/>
      <c r="K25" s="414" t="s">
        <v>31</v>
      </c>
      <c r="L25" s="415"/>
    </row>
    <row r="26" spans="1:15" ht="104.4" hidden="1" customHeight="1">
      <c r="A26" s="390">
        <v>4</v>
      </c>
      <c r="B26" s="3901" t="str">
        <f>'Bridge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26" s="3902"/>
      <c r="D26" s="3902"/>
      <c r="E26" s="3902"/>
      <c r="F26" s="3902"/>
      <c r="G26" s="3902"/>
      <c r="H26" s="3902"/>
      <c r="I26" s="3902"/>
      <c r="J26" s="3902"/>
      <c r="K26" s="3902"/>
      <c r="L26" s="416"/>
    </row>
    <row r="27" spans="1:15" ht="15" hidden="1" customHeight="1">
      <c r="A27" s="390"/>
      <c r="B27" s="392" t="s">
        <v>1416</v>
      </c>
      <c r="C27" s="392">
        <v>1</v>
      </c>
      <c r="D27" s="392" t="s">
        <v>907</v>
      </c>
      <c r="E27" s="392">
        <v>35</v>
      </c>
      <c r="F27" s="393">
        <v>0</v>
      </c>
      <c r="G27" s="393">
        <v>0.9</v>
      </c>
      <c r="H27" s="393">
        <v>0.2</v>
      </c>
      <c r="I27" s="399">
        <f>ROUND(C27*E27*F27*G27*H27,2)</f>
        <v>0</v>
      </c>
      <c r="J27" s="417"/>
      <c r="K27" s="418"/>
      <c r="L27" s="416"/>
    </row>
    <row r="28" spans="1:15" ht="15" hidden="1" customHeight="1">
      <c r="A28" s="390"/>
      <c r="B28" s="392"/>
      <c r="C28" s="392"/>
      <c r="D28" s="392"/>
      <c r="E28" s="392"/>
      <c r="F28" s="394"/>
      <c r="G28" s="394"/>
      <c r="H28" s="394"/>
      <c r="I28" s="408">
        <f>SUM(I27)</f>
        <v>0</v>
      </c>
      <c r="J28" s="417">
        <f>'Bridge Data'!J397</f>
        <v>9708.5300000000007</v>
      </c>
      <c r="K28" s="418">
        <v>1</v>
      </c>
      <c r="L28" s="416">
        <f>ROUND(I28*J28,0)</f>
        <v>0</v>
      </c>
    </row>
    <row r="29" spans="1:15" ht="15" hidden="1" customHeight="1">
      <c r="A29" s="390"/>
      <c r="B29" s="392"/>
      <c r="C29" s="392"/>
      <c r="D29" s="392"/>
      <c r="E29" s="392"/>
      <c r="F29" s="394"/>
      <c r="G29" s="394"/>
      <c r="H29" s="394"/>
      <c r="I29" s="408" t="s">
        <v>73</v>
      </c>
      <c r="J29" s="417"/>
      <c r="K29" s="418" t="s">
        <v>31</v>
      </c>
      <c r="L29" s="416"/>
    </row>
    <row r="30" spans="1:15" ht="103.2" hidden="1" customHeight="1">
      <c r="A30" s="390">
        <v>5</v>
      </c>
      <c r="B30" s="3901" t="str">
        <f>'Bridge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30" s="3902"/>
      <c r="D30" s="3902"/>
      <c r="E30" s="3902"/>
      <c r="F30" s="3902"/>
      <c r="G30" s="3902"/>
      <c r="H30" s="3902"/>
      <c r="I30" s="3902"/>
      <c r="J30" s="3902"/>
      <c r="K30" s="3902"/>
      <c r="L30" s="416"/>
    </row>
    <row r="31" spans="1:15" s="364" customFormat="1" ht="22.2" hidden="1" customHeight="1">
      <c r="A31" s="395"/>
      <c r="B31" s="396"/>
      <c r="C31" s="397"/>
      <c r="D31" s="397"/>
      <c r="E31" s="397"/>
      <c r="F31" s="397"/>
      <c r="G31" s="397"/>
      <c r="H31" s="397"/>
      <c r="I31" s="419">
        <v>0</v>
      </c>
      <c r="J31" s="420">
        <f>'Bridge Data'!J451</f>
        <v>77481.45</v>
      </c>
      <c r="K31" s="397">
        <v>1</v>
      </c>
      <c r="L31" s="421">
        <f>ROUND((I31*J31),0)</f>
        <v>0</v>
      </c>
      <c r="O31" s="422"/>
    </row>
    <row r="32" spans="1:15" ht="32.4" hidden="1" customHeight="1">
      <c r="A32" s="390"/>
      <c r="B32" s="392"/>
      <c r="C32" s="398"/>
      <c r="D32" s="398"/>
      <c r="E32" s="398"/>
      <c r="F32" s="399"/>
      <c r="G32" s="399"/>
      <c r="H32" s="399"/>
      <c r="I32" s="423" t="s">
        <v>66</v>
      </c>
      <c r="J32" s="398"/>
      <c r="K32" s="391" t="s">
        <v>66</v>
      </c>
      <c r="L32" s="424"/>
      <c r="O32" s="405"/>
    </row>
    <row r="33" spans="1:12" ht="23.25" customHeight="1">
      <c r="A33" s="390"/>
      <c r="B33" s="392"/>
      <c r="C33" s="392"/>
      <c r="D33" s="392"/>
      <c r="E33" s="392"/>
      <c r="F33" s="394"/>
      <c r="G33" s="394"/>
      <c r="H33" s="394"/>
      <c r="I33" s="408"/>
      <c r="J33" s="425" t="s">
        <v>1298</v>
      </c>
      <c r="K33" s="426"/>
      <c r="L33" s="427">
        <f>SUM(L6:L32)</f>
        <v>2725465</v>
      </c>
    </row>
    <row r="34" spans="1:12" ht="12.75" customHeight="1">
      <c r="L34" s="428"/>
    </row>
    <row r="36" spans="1:12" ht="14.25" customHeight="1">
      <c r="B36" s="400"/>
      <c r="F36" s="400" t="str">
        <f>GA!B33</f>
        <v>Assistant Engineer,</v>
      </c>
      <c r="I36" s="3886" t="s">
        <v>742</v>
      </c>
      <c r="J36" s="3886"/>
      <c r="K36" s="3886"/>
    </row>
    <row r="37" spans="1:12" ht="14.25" customHeight="1">
      <c r="B37" s="400"/>
      <c r="F37" s="400" t="str">
        <f>'Ret wall'!F33</f>
        <v>PRSD, Maddur</v>
      </c>
      <c r="I37" s="3886" t="str">
        <f>'Ret wall'!I33:K33</f>
        <v>PRSD, Maddur</v>
      </c>
      <c r="J37" s="3886"/>
      <c r="K37" s="3886"/>
    </row>
    <row r="38" spans="1:12" ht="14.25" customHeight="1">
      <c r="B38" s="400"/>
      <c r="F38" s="400"/>
      <c r="I38" s="429"/>
      <c r="J38" s="429"/>
      <c r="K38" s="429"/>
    </row>
    <row r="39" spans="1:12">
      <c r="B39" s="401"/>
      <c r="F39" s="401"/>
      <c r="J39" s="401"/>
      <c r="K39" s="429"/>
    </row>
    <row r="40" spans="1:12" ht="14.25" customHeight="1">
      <c r="B40" s="400"/>
      <c r="F40" s="400" t="s">
        <v>857</v>
      </c>
      <c r="I40" s="3886" t="s">
        <v>684</v>
      </c>
      <c r="J40" s="3886"/>
      <c r="K40" s="3886"/>
    </row>
    <row r="41" spans="1:12">
      <c r="B41" s="400"/>
      <c r="F41" s="400" t="str">
        <f>'Ret wall'!F37</f>
        <v>PIU, Narayanpet</v>
      </c>
      <c r="I41" s="3887" t="str">
        <f>'Ret wall'!I37:K37</f>
        <v>PR, Circle, Vikarabad</v>
      </c>
      <c r="J41" s="3887"/>
      <c r="K41" s="3887"/>
    </row>
  </sheetData>
  <protectedRanges>
    <protectedRange sqref="B36:B41 F36:F41" name="Range4"/>
    <protectedRange sqref="I40 K36:K41 I36:I38 J39" name="Range4_1"/>
  </protectedRanges>
  <mergeCells count="15">
    <mergeCell ref="B30:K30"/>
    <mergeCell ref="I36:K36"/>
    <mergeCell ref="I37:K37"/>
    <mergeCell ref="I40:K40"/>
    <mergeCell ref="I41:K41"/>
    <mergeCell ref="C5:E5"/>
    <mergeCell ref="B6:K6"/>
    <mergeCell ref="B13:K13"/>
    <mergeCell ref="B19:K19"/>
    <mergeCell ref="B26:K26"/>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4" orientation="portrait" r:id="rId1"/>
  <colBreaks count="1" manualBreakCount="1">
    <brk id="12"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Q55"/>
  <sheetViews>
    <sheetView view="pageBreakPreview" zoomScale="130" zoomScaleSheetLayoutView="130" workbookViewId="0">
      <selection activeCell="B12" sqref="B12:H12"/>
    </sheetView>
  </sheetViews>
  <sheetFormatPr defaultColWidth="7.5546875" defaultRowHeight="16.5" customHeight="1"/>
  <cols>
    <col min="1" max="1" width="4.33203125" style="2114" customWidth="1"/>
    <col min="2" max="2" width="21.5546875" style="2115" customWidth="1"/>
    <col min="3" max="3" width="4" style="2142" customWidth="1"/>
    <col min="4" max="4" width="1.5546875" style="2143" customWidth="1"/>
    <col min="5" max="5" width="3" style="2131" customWidth="1"/>
    <col min="6" max="6" width="10.5546875" style="2133" customWidth="1"/>
    <col min="7" max="7" width="9.44140625" style="2133" customWidth="1"/>
    <col min="8" max="8" width="8.109375" style="2133" customWidth="1"/>
    <col min="9" max="9" width="9" style="2145" customWidth="1"/>
    <col min="10" max="10" width="9.5546875" style="2135" customWidth="1"/>
    <col min="11" max="11" width="14.5546875" style="2136" customWidth="1"/>
    <col min="12" max="12" width="3.5546875" style="2115" customWidth="1"/>
    <col min="13" max="13" width="7.5546875" style="2115" customWidth="1"/>
    <col min="14" max="14" width="7.5546875" style="2116" customWidth="1"/>
    <col min="15" max="15" width="18.44140625" style="2117" customWidth="1"/>
    <col min="16" max="16" width="11.109375" style="2115" customWidth="1"/>
    <col min="17" max="17" width="7.5546875" style="2115" customWidth="1"/>
    <col min="18" max="18" width="7.33203125" style="2115" customWidth="1"/>
    <col min="19" max="16384" width="7.5546875" style="2115"/>
  </cols>
  <sheetData>
    <row r="1" spans="1:17" ht="16.5" customHeight="1">
      <c r="B1" s="3911" t="s">
        <v>2634</v>
      </c>
      <c r="C1" s="3911"/>
      <c r="D1" s="3911"/>
      <c r="E1" s="3911"/>
      <c r="F1" s="3911"/>
      <c r="G1" s="3911"/>
      <c r="H1" s="3911"/>
      <c r="I1" s="3911"/>
      <c r="J1" s="3911"/>
      <c r="K1" s="3911"/>
    </row>
    <row r="2" spans="1:17" ht="50.25" customHeight="1">
      <c r="B2" s="3912" t="str">
        <f>"Name of the Work: "&amp;'[265]2V 1m dia Pipe Culverts'!F2</f>
        <v>Name of the Work: Road from R&amp;B Road(3 Statues) to Jagtial R&amp;B Road via Turkashi Colony at Raikal Village &amp; Mandal in Jagtial District</v>
      </c>
      <c r="C2" s="3913"/>
      <c r="D2" s="3913"/>
      <c r="E2" s="3913"/>
      <c r="F2" s="3913"/>
      <c r="G2" s="3913"/>
      <c r="H2" s="3913"/>
      <c r="I2" s="3913"/>
      <c r="J2" s="3913"/>
      <c r="K2" s="3913"/>
      <c r="M2" s="2118">
        <v>3</v>
      </c>
      <c r="N2" s="2119" t="s">
        <v>2635</v>
      </c>
    </row>
    <row r="3" spans="1:17" ht="25.5" hidden="1" customHeight="1">
      <c r="B3" s="3914" t="str">
        <f>CONCATENATE("Construction of HP Culvert ",M2,"V of 1000mm Dia.NP4 Pipes at Km ",M3," ",N3,"  No's")</f>
        <v>Construction of HP Culvert 3V of 1000mm Dia.NP4 Pipes at Km    1  No's</v>
      </c>
      <c r="C3" s="3914"/>
      <c r="D3" s="3914"/>
      <c r="E3" s="3914"/>
      <c r="F3" s="3914"/>
      <c r="G3" s="3914"/>
      <c r="H3" s="3914"/>
      <c r="I3" s="3914"/>
      <c r="J3" s="3914"/>
      <c r="K3" s="3914"/>
      <c r="M3" s="2118" t="s">
        <v>2636</v>
      </c>
      <c r="N3" s="2119">
        <v>1</v>
      </c>
    </row>
    <row r="4" spans="1:17" ht="35.25" customHeight="1">
      <c r="B4" s="3914" t="s">
        <v>2637</v>
      </c>
      <c r="C4" s="3914"/>
      <c r="D4" s="3914"/>
      <c r="E4" s="3914"/>
      <c r="F4" s="3914"/>
      <c r="G4" s="3914"/>
      <c r="H4" s="3914"/>
      <c r="I4" s="3914"/>
      <c r="J4" s="3914"/>
      <c r="K4" s="3914"/>
      <c r="M4" s="2118" t="s">
        <v>2636</v>
      </c>
      <c r="N4" s="2119">
        <v>1</v>
      </c>
    </row>
    <row r="5" spans="1:17" ht="16.5" customHeight="1">
      <c r="A5" s="3915" t="s">
        <v>2638</v>
      </c>
      <c r="B5" s="3907" t="s">
        <v>2639</v>
      </c>
      <c r="C5" s="3907" t="s">
        <v>2640</v>
      </c>
      <c r="D5" s="3907"/>
      <c r="E5" s="3907"/>
      <c r="F5" s="2120" t="s">
        <v>2641</v>
      </c>
      <c r="G5" s="2121"/>
      <c r="H5" s="2121"/>
      <c r="I5" s="3907" t="s">
        <v>3</v>
      </c>
      <c r="J5" s="3907" t="s">
        <v>2642</v>
      </c>
      <c r="K5" s="3907" t="s">
        <v>531</v>
      </c>
      <c r="M5" s="2122" t="s">
        <v>2643</v>
      </c>
      <c r="N5" s="2119" t="s">
        <v>708</v>
      </c>
    </row>
    <row r="6" spans="1:17" ht="16.5" customHeight="1">
      <c r="A6" s="3916"/>
      <c r="B6" s="3908"/>
      <c r="C6" s="3908"/>
      <c r="D6" s="3908"/>
      <c r="E6" s="3908"/>
      <c r="F6" s="2123" t="s">
        <v>180</v>
      </c>
      <c r="G6" s="2123" t="s">
        <v>732</v>
      </c>
      <c r="H6" s="2123" t="s">
        <v>906</v>
      </c>
      <c r="I6" s="3908"/>
      <c r="J6" s="3908"/>
      <c r="K6" s="3908"/>
    </row>
    <row r="7" spans="1:17" s="2125" customFormat="1" ht="18" customHeight="1">
      <c r="A7" s="2122">
        <v>1</v>
      </c>
      <c r="B7" s="2122">
        <v>2</v>
      </c>
      <c r="C7" s="2122">
        <v>3</v>
      </c>
      <c r="D7" s="2122"/>
      <c r="E7" s="2122"/>
      <c r="F7" s="2124">
        <v>4</v>
      </c>
      <c r="G7" s="2124">
        <v>5</v>
      </c>
      <c r="H7" s="2124">
        <v>6</v>
      </c>
      <c r="I7" s="2124">
        <v>7</v>
      </c>
      <c r="J7" s="2124">
        <v>8</v>
      </c>
      <c r="K7" s="2124" t="s">
        <v>2644</v>
      </c>
      <c r="N7" s="2126"/>
      <c r="O7" s="2127"/>
    </row>
    <row r="8" spans="1:17" s="2114" customFormat="1" ht="13.2">
      <c r="B8" s="2128" t="s">
        <v>2645</v>
      </c>
      <c r="C8" s="2129">
        <v>5</v>
      </c>
      <c r="D8" s="2130" t="s">
        <v>2646</v>
      </c>
      <c r="E8" s="2131"/>
      <c r="F8" s="2132">
        <v>1000</v>
      </c>
      <c r="G8" s="2133" t="s">
        <v>2647</v>
      </c>
      <c r="H8" s="2134" t="s">
        <v>2648</v>
      </c>
      <c r="J8" s="2135"/>
      <c r="K8" s="2136"/>
      <c r="M8" s="2137">
        <f>F8</f>
        <v>1000</v>
      </c>
      <c r="N8" s="2138">
        <v>600</v>
      </c>
      <c r="O8" s="2139" t="s">
        <v>2649</v>
      </c>
      <c r="P8" s="2140">
        <f>'[266]DATA-CD-Filter-3'!$G$253</f>
        <v>3562.33</v>
      </c>
      <c r="Q8" s="2137">
        <f>J8</f>
        <v>0</v>
      </c>
    </row>
    <row r="9" spans="1:17" s="2114" customFormat="1" ht="13.2">
      <c r="B9" s="2141" t="s">
        <v>2650</v>
      </c>
      <c r="C9" s="2142"/>
      <c r="D9" s="2143"/>
      <c r="E9" s="2131"/>
      <c r="F9" s="2133"/>
      <c r="G9" s="2133"/>
      <c r="H9" s="2144">
        <f>(2*(F8+200+600)+(C8*(F8+200)+(C8-1)*(F8+200)/2)+600)</f>
        <v>12600</v>
      </c>
      <c r="I9" s="2145" t="s">
        <v>851</v>
      </c>
      <c r="J9" s="2146" t="s">
        <v>2651</v>
      </c>
      <c r="K9" s="2136"/>
      <c r="M9" s="2147"/>
      <c r="N9" s="2138">
        <v>900</v>
      </c>
      <c r="O9" s="2139" t="s">
        <v>2652</v>
      </c>
      <c r="P9" s="2140">
        <f>'[266]DATA-CD-Filter-3'!$G$233</f>
        <v>7239.58</v>
      </c>
    </row>
    <row r="10" spans="1:17" s="2114" customFormat="1" ht="13.5" customHeight="1">
      <c r="B10" s="2141" t="s">
        <v>2653</v>
      </c>
      <c r="C10" s="2142"/>
      <c r="D10" s="2143"/>
      <c r="E10" s="2131"/>
      <c r="F10" s="2133"/>
      <c r="G10" s="2133"/>
      <c r="H10" s="2144">
        <f>((C8*(F8+200)+(C8-1)*(F8+200)/2)+300)</f>
        <v>8700</v>
      </c>
      <c r="I10" s="2145" t="s">
        <v>851</v>
      </c>
      <c r="J10" s="2148" t="s">
        <v>2654</v>
      </c>
      <c r="K10" s="2136"/>
      <c r="M10" s="2147"/>
      <c r="N10" s="2138">
        <v>1000</v>
      </c>
      <c r="O10" s="2139" t="s">
        <v>2655</v>
      </c>
      <c r="P10" s="2140">
        <f>'[266]DATA-CD-Filter-3'!$G$212</f>
        <v>8836.89</v>
      </c>
    </row>
    <row r="11" spans="1:17" s="2114" customFormat="1" ht="16.5" hidden="1" customHeight="1">
      <c r="B11" s="2141"/>
      <c r="C11" s="2142"/>
      <c r="D11" s="2143"/>
      <c r="E11" s="2131"/>
      <c r="F11" s="2133"/>
      <c r="G11" s="2133"/>
      <c r="H11" s="2144"/>
      <c r="I11" s="2145"/>
      <c r="J11" s="2149"/>
      <c r="K11" s="2136"/>
      <c r="N11" s="2150"/>
      <c r="O11" s="2151"/>
    </row>
    <row r="12" spans="1:17" ht="118.5" customHeight="1">
      <c r="A12" s="2152">
        <v>1</v>
      </c>
      <c r="B12" s="3909" t="str">
        <f>'[266]DATA-CD-Filter-3'!$C$8</f>
        <v>Earthwork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excaed suitable material as per Technical Specification 305 MORD / 304 MORTH ,including contractors profit &amp; Over head charges,Seig Charges, Labour Cess, but excluding GST etc,. Complete.. - For Foundations</v>
      </c>
      <c r="C12" s="3909"/>
      <c r="D12" s="3909"/>
      <c r="E12" s="3909"/>
      <c r="F12" s="3909"/>
      <c r="G12" s="3909"/>
      <c r="H12" s="3909"/>
      <c r="K12" s="2115"/>
    </row>
    <row r="13" spans="1:17" ht="18" customHeight="1">
      <c r="B13" s="2115" t="s">
        <v>2656</v>
      </c>
      <c r="C13" s="2142">
        <v>1</v>
      </c>
      <c r="D13" s="2143" t="s">
        <v>907</v>
      </c>
      <c r="E13" s="2131">
        <v>1</v>
      </c>
      <c r="F13" s="2133">
        <f>$F$24</f>
        <v>12.75</v>
      </c>
      <c r="G13" s="2133">
        <v>1.4</v>
      </c>
      <c r="H13" s="2153">
        <v>1.2</v>
      </c>
      <c r="I13" s="2145">
        <f>ROUND(C13*E13*F13*G13*H13,2)</f>
        <v>21.42</v>
      </c>
    </row>
    <row r="14" spans="1:17" ht="19.5" customHeight="1">
      <c r="B14" s="2115" t="s">
        <v>1287</v>
      </c>
      <c r="C14" s="2142">
        <v>1</v>
      </c>
      <c r="D14" s="2143" t="s">
        <v>907</v>
      </c>
      <c r="E14" s="2131">
        <v>1</v>
      </c>
      <c r="F14" s="2133">
        <v>1.5</v>
      </c>
      <c r="G14" s="2153">
        <f>H10/1000</f>
        <v>8.6999999999999993</v>
      </c>
      <c r="H14" s="2133">
        <v>0.3</v>
      </c>
      <c r="I14" s="2145">
        <f>ROUND(C14*E14*F14*G14*H14,2)</f>
        <v>3.92</v>
      </c>
    </row>
    <row r="15" spans="1:17" ht="24" customHeight="1">
      <c r="I15" s="2154">
        <f>SUM(I13:I14)</f>
        <v>25.340000000000003</v>
      </c>
      <c r="J15" s="2155">
        <f>'Pipe data'!G20</f>
        <v>136.06920584583335</v>
      </c>
      <c r="K15" s="2156">
        <f>ROUND(I15*J15,0)</f>
        <v>3448</v>
      </c>
    </row>
    <row r="16" spans="1:17" ht="13.2">
      <c r="I16" s="2157" t="s">
        <v>31</v>
      </c>
      <c r="J16" s="2158" t="s">
        <v>2657</v>
      </c>
      <c r="K16" s="2156"/>
    </row>
    <row r="17" spans="1:15" ht="62.25" customHeight="1">
      <c r="A17" s="2152">
        <v>2</v>
      </c>
      <c r="B17" s="3910" t="str">
        <f>'2V 1m dia Pipe Culverts'!B11:K11</f>
        <v>Sand  Filling (Natural Sand 50% + Manufactured sand 50%) in foundation trenches as per drawing and technical specification Clause 304 of MORTH including overhead charges &amp; Contractors profit etc complete.</v>
      </c>
      <c r="C17" s="3904"/>
      <c r="D17" s="3904"/>
      <c r="E17" s="3904"/>
      <c r="F17" s="3904"/>
      <c r="G17" s="3904"/>
      <c r="H17" s="3905"/>
      <c r="I17" s="2115"/>
      <c r="J17" s="2114"/>
    </row>
    <row r="18" spans="1:15" ht="23.25" customHeight="1">
      <c r="A18" s="2152"/>
      <c r="B18" s="2115" t="s">
        <v>2658</v>
      </c>
      <c r="C18" s="2142">
        <v>1</v>
      </c>
      <c r="D18" s="2143" t="s">
        <v>907</v>
      </c>
      <c r="E18" s="2131">
        <v>1</v>
      </c>
      <c r="F18" s="2133">
        <f>$F$29+0.15</f>
        <v>12.75</v>
      </c>
      <c r="G18" s="2133">
        <f>$G$13</f>
        <v>1.4</v>
      </c>
      <c r="H18" s="2133">
        <v>0.1</v>
      </c>
      <c r="I18" s="2145">
        <f>ROUND(C18*E18*F18*G18*H18,2)</f>
        <v>1.79</v>
      </c>
      <c r="J18" s="2114"/>
    </row>
    <row r="19" spans="1:15" ht="23.25" customHeight="1">
      <c r="B19" s="2115" t="s">
        <v>1287</v>
      </c>
      <c r="C19" s="2142">
        <v>1</v>
      </c>
      <c r="D19" s="2143" t="s">
        <v>907</v>
      </c>
      <c r="E19" s="2131">
        <v>1</v>
      </c>
      <c r="F19" s="2133">
        <f>F14</f>
        <v>1.5</v>
      </c>
      <c r="G19" s="2133">
        <f>$G$14</f>
        <v>8.6999999999999993</v>
      </c>
      <c r="H19" s="2133">
        <f>H14</f>
        <v>0.3</v>
      </c>
      <c r="I19" s="2145">
        <f>ROUND(C19*E19*F19*G19*H19,2)</f>
        <v>3.92</v>
      </c>
    </row>
    <row r="20" spans="1:15" ht="13.2">
      <c r="C20" s="2159"/>
      <c r="E20" s="2160"/>
      <c r="G20" s="2161"/>
    </row>
    <row r="21" spans="1:15" ht="13.2">
      <c r="I21" s="2154">
        <f>SUM(I18:I20)</f>
        <v>5.71</v>
      </c>
      <c r="J21" s="2155">
        <f>'Pipe data'!G73</f>
        <v>1920.41</v>
      </c>
      <c r="K21" s="2156">
        <f>ROUND(I21*J21,0)</f>
        <v>10966</v>
      </c>
    </row>
    <row r="22" spans="1:15" ht="13.2">
      <c r="I22" s="2157" t="s">
        <v>31</v>
      </c>
      <c r="J22" s="2135" t="s">
        <v>2659</v>
      </c>
      <c r="K22" s="2156"/>
    </row>
    <row r="23" spans="1:15" ht="152.25" customHeight="1">
      <c r="A23" s="2152">
        <v>3</v>
      </c>
      <c r="B23" s="3903" t="str">
        <f>'2V 1m dia Pipe Culverts'!B21:K21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3" s="3904"/>
      <c r="D23" s="3904"/>
      <c r="E23" s="3904"/>
      <c r="F23" s="3904"/>
      <c r="G23" s="3904"/>
      <c r="H23" s="3905"/>
      <c r="I23" s="2115"/>
      <c r="J23" s="2114"/>
      <c r="O23" s="2162"/>
    </row>
    <row r="24" spans="1:15" ht="27" customHeight="1">
      <c r="A24" s="2152"/>
      <c r="B24" s="2115" t="s">
        <v>2658</v>
      </c>
      <c r="C24" s="2142">
        <v>1</v>
      </c>
      <c r="D24" s="2143" t="s">
        <v>907</v>
      </c>
      <c r="E24" s="2131">
        <v>1</v>
      </c>
      <c r="F24" s="2133">
        <f>$F$29+0.15</f>
        <v>12.75</v>
      </c>
      <c r="G24" s="2133">
        <f>$G$13</f>
        <v>1.4</v>
      </c>
      <c r="H24" s="2133">
        <v>0.15</v>
      </c>
      <c r="I24" s="2145">
        <f>ROUND(C24*E24*F24*G24*H24,2)</f>
        <v>2.68</v>
      </c>
      <c r="J24" s="2114"/>
      <c r="O24" s="2162"/>
    </row>
    <row r="25" spans="1:15" ht="30" customHeight="1">
      <c r="A25" s="2152"/>
      <c r="B25" s="2163" t="s">
        <v>2660</v>
      </c>
      <c r="C25" s="2142">
        <v>1</v>
      </c>
      <c r="D25" s="2143" t="s">
        <v>907</v>
      </c>
      <c r="E25" s="2131">
        <v>1</v>
      </c>
      <c r="F25" s="2153">
        <f>$H$9/1000</f>
        <v>12.6</v>
      </c>
      <c r="G25" s="2164" t="s">
        <v>2661</v>
      </c>
      <c r="H25" s="2153">
        <f>H13-H18-H24</f>
        <v>0.94999999999999984</v>
      </c>
      <c r="I25" s="2145">
        <f>ROUND(C25*E25*F25*2.25/2*H25,2)</f>
        <v>13.47</v>
      </c>
      <c r="J25" s="2114"/>
      <c r="O25" s="2162"/>
    </row>
    <row r="26" spans="1:15" ht="18.75" customHeight="1">
      <c r="A26" s="2152"/>
      <c r="C26" s="2115"/>
      <c r="D26" s="2115"/>
      <c r="E26" s="2115"/>
      <c r="F26" s="2115"/>
      <c r="G26" s="2115"/>
      <c r="H26" s="2115"/>
      <c r="I26" s="2154">
        <f>SUM(I24:I25)</f>
        <v>16.150000000000002</v>
      </c>
      <c r="J26" s="2165">
        <f>'Pipe data'!$G$104</f>
        <v>6961</v>
      </c>
      <c r="K26" s="2156">
        <f>ROUND(I26*J26,0)</f>
        <v>112420</v>
      </c>
    </row>
    <row r="27" spans="1:15" ht="13.2">
      <c r="A27" s="2152"/>
      <c r="I27" s="2157" t="s">
        <v>31</v>
      </c>
      <c r="J27" s="2158" t="s">
        <v>2659</v>
      </c>
      <c r="K27" s="2156"/>
    </row>
    <row r="28" spans="1:15" ht="120.75" customHeight="1">
      <c r="A28" s="2152">
        <v>4</v>
      </c>
      <c r="B28" s="3903" t="str">
        <f>'2V 1m dia Pipe Culverts'!B26:K26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8" s="3904"/>
      <c r="D28" s="3904"/>
      <c r="E28" s="3904"/>
      <c r="F28" s="3904"/>
      <c r="G28" s="3904"/>
      <c r="H28" s="3905"/>
      <c r="J28" s="2150"/>
      <c r="K28" s="2156"/>
    </row>
    <row r="29" spans="1:15" ht="16.5" customHeight="1">
      <c r="B29" s="2163" t="s">
        <v>2662</v>
      </c>
      <c r="C29" s="2142">
        <v>1</v>
      </c>
      <c r="D29" s="2143" t="s">
        <v>907</v>
      </c>
      <c r="E29" s="2131">
        <v>1</v>
      </c>
      <c r="F29" s="2153">
        <f>$H$9/1000</f>
        <v>12.6</v>
      </c>
      <c r="G29" s="2164" t="s">
        <v>2663</v>
      </c>
      <c r="H29" s="2153">
        <f>(F8+(H13-H18-H24-H25)*1000+800)/1000</f>
        <v>1.8</v>
      </c>
      <c r="I29" s="2145">
        <f>ROUND(C29*E29*F29*1.45/2*H29,2)</f>
        <v>16.440000000000001</v>
      </c>
      <c r="J29" s="2166"/>
      <c r="K29" s="2156"/>
    </row>
    <row r="30" spans="1:15" ht="21" customHeight="1">
      <c r="B30" s="2115" t="s">
        <v>2664</v>
      </c>
      <c r="C30" s="2142">
        <v>1</v>
      </c>
      <c r="D30" s="2143" t="s">
        <v>907</v>
      </c>
      <c r="E30" s="2131">
        <v>1</v>
      </c>
      <c r="F30" s="2133">
        <f>F29</f>
        <v>12.6</v>
      </c>
      <c r="G30" s="2133">
        <v>0.4</v>
      </c>
      <c r="H30" s="2133">
        <v>0.45</v>
      </c>
      <c r="I30" s="2145">
        <f>ROUND(C30*E30*F30*G30*H30,2)</f>
        <v>2.27</v>
      </c>
    </row>
    <row r="31" spans="1:15" ht="21.75" customHeight="1">
      <c r="B31" s="2115" t="s">
        <v>2665</v>
      </c>
      <c r="C31" s="2167">
        <v>22</v>
      </c>
      <c r="D31" s="2143" t="s">
        <v>907</v>
      </c>
      <c r="E31" s="2160">
        <f>-1*C8</f>
        <v>-5</v>
      </c>
      <c r="F31" s="2153">
        <f>(F8+200)/1000</f>
        <v>1.2</v>
      </c>
      <c r="G31" s="2133">
        <f>F31</f>
        <v>1.2</v>
      </c>
      <c r="H31" s="2164" t="s">
        <v>2666</v>
      </c>
      <c r="I31" s="2145">
        <f>ROUND(C31*E31*F31*1.6/2*G31/28,2)</f>
        <v>-4.53</v>
      </c>
    </row>
    <row r="32" spans="1:15" ht="24" customHeight="1">
      <c r="C32" s="2168">
        <v>7</v>
      </c>
      <c r="D32" s="2169"/>
      <c r="E32" s="2170">
        <v>4</v>
      </c>
      <c r="I32" s="2154">
        <f>SUM(I29:I31)</f>
        <v>14.18</v>
      </c>
      <c r="J32" s="2165">
        <f>'Pipe data'!G231</f>
        <v>7362.6</v>
      </c>
      <c r="K32" s="2156">
        <f>ROUND(I32*J32,0)</f>
        <v>104402</v>
      </c>
    </row>
    <row r="33" spans="1:15" ht="22.5" customHeight="1">
      <c r="I33" s="2171" t="s">
        <v>31</v>
      </c>
      <c r="J33" s="2158" t="s">
        <v>2659</v>
      </c>
      <c r="K33" s="2156"/>
    </row>
    <row r="34" spans="1:15" ht="99.75" hidden="1" customHeight="1">
      <c r="A34" s="2152">
        <v>5</v>
      </c>
      <c r="B34" s="3903" t="str">
        <f>'[266]DATA-CD-Filter-3'!$C$613</f>
        <v>Providing and laying boulder apron for bed protection with stone boulders of minimum size and weight as per Table 1300.1, no fragment  weighing less than 25 / 40 kg laid dry complete as per drawing and technical specifications Clause 1301 MORD / 2503 MORTH including contractors profit &amp; Over head charges,Seig Charges, Labour Cess, but excluding GST etc,. Complete. - For Protection Work</v>
      </c>
      <c r="C34" s="3904"/>
      <c r="D34" s="3904"/>
      <c r="E34" s="3904"/>
      <c r="F34" s="3904"/>
      <c r="G34" s="3904"/>
      <c r="H34" s="3905"/>
      <c r="I34" s="2115"/>
      <c r="J34" s="2114"/>
      <c r="O34" s="2162"/>
    </row>
    <row r="35" spans="1:15" ht="18" hidden="1" customHeight="1">
      <c r="B35" s="2163" t="s">
        <v>2667</v>
      </c>
      <c r="C35" s="2142">
        <v>1</v>
      </c>
      <c r="D35" s="2143" t="s">
        <v>907</v>
      </c>
      <c r="E35" s="2131">
        <v>1</v>
      </c>
      <c r="F35" s="2133">
        <f>F29</f>
        <v>12.6</v>
      </c>
      <c r="G35" s="2172">
        <v>1.5</v>
      </c>
      <c r="H35" s="2133">
        <v>0.3</v>
      </c>
      <c r="I35" s="2145">
        <f>C35*E35*F35*G35*H35</f>
        <v>5.669999999999999</v>
      </c>
    </row>
    <row r="36" spans="1:15" ht="23.25" hidden="1" customHeight="1">
      <c r="B36" s="2163" t="s">
        <v>2668</v>
      </c>
      <c r="C36" s="2142">
        <v>1</v>
      </c>
      <c r="D36" s="2143" t="s">
        <v>907</v>
      </c>
      <c r="E36" s="2131">
        <v>1</v>
      </c>
      <c r="F36" s="2133">
        <f>F35</f>
        <v>12.6</v>
      </c>
      <c r="G36" s="2172">
        <v>3</v>
      </c>
      <c r="H36" s="2133">
        <v>0.3</v>
      </c>
      <c r="I36" s="2145">
        <f>C36*E36*F36*G36*H36</f>
        <v>11.339999999999998</v>
      </c>
    </row>
    <row r="37" spans="1:15" ht="18.75" hidden="1" customHeight="1">
      <c r="B37" s="2173" t="s">
        <v>2669</v>
      </c>
      <c r="I37" s="2154">
        <v>0</v>
      </c>
      <c r="J37" s="2174">
        <f>'[265]Pipe data'!G199</f>
        <v>2068.38</v>
      </c>
      <c r="K37" s="2156">
        <f>ROUND(I37*J37,0)</f>
        <v>0</v>
      </c>
    </row>
    <row r="38" spans="1:15" ht="13.2" hidden="1">
      <c r="F38" s="2175"/>
      <c r="I38" s="2157" t="s">
        <v>31</v>
      </c>
      <c r="J38" s="2158" t="s">
        <v>2659</v>
      </c>
      <c r="K38" s="2156"/>
    </row>
    <row r="39" spans="1:15" ht="108.75" customHeight="1">
      <c r="A39" s="2152">
        <v>6</v>
      </c>
      <c r="B39" s="3903" t="str">
        <f>'[267]Pipe data'!B106:G106</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9" s="3904"/>
      <c r="D39" s="3904"/>
      <c r="E39" s="3904"/>
      <c r="F39" s="3904"/>
      <c r="G39" s="3904"/>
      <c r="H39" s="3905"/>
      <c r="I39" s="2115"/>
      <c r="J39" s="2114"/>
      <c r="O39" s="2162"/>
    </row>
    <row r="40" spans="1:15" ht="20.25" customHeight="1">
      <c r="B40" s="2176" t="str">
        <f>LOOKUP(M8,N8:N10,O8:O10)</f>
        <v>- 1000 mm dia Pipes</v>
      </c>
      <c r="C40" s="2142">
        <v>1</v>
      </c>
      <c r="D40" s="2143" t="s">
        <v>907</v>
      </c>
      <c r="E40" s="2131">
        <f>$C$8</f>
        <v>5</v>
      </c>
      <c r="F40" s="2177">
        <v>2.5</v>
      </c>
      <c r="G40" s="2178" t="s">
        <v>591</v>
      </c>
      <c r="H40" s="2179" t="s">
        <v>591</v>
      </c>
      <c r="I40" s="2145">
        <f>ROUND(C40*E40*F40,2)</f>
        <v>12.5</v>
      </c>
      <c r="J40" s="2180"/>
    </row>
    <row r="41" spans="1:15" ht="16.5" customHeight="1">
      <c r="E41" s="2131" t="s">
        <v>85</v>
      </c>
      <c r="F41" s="2175"/>
      <c r="I41" s="2154">
        <f>SUM(I40:I40)</f>
        <v>12.5</v>
      </c>
      <c r="J41" s="2181">
        <f>'Pipe data'!G129</f>
        <v>14969.28</v>
      </c>
      <c r="K41" s="2156">
        <f>ROUND(I41*J41,0)</f>
        <v>187116</v>
      </c>
    </row>
    <row r="42" spans="1:15" ht="13.8" thickBot="1">
      <c r="F42" s="2175"/>
      <c r="I42" s="2157" t="s">
        <v>202</v>
      </c>
      <c r="J42" s="2158" t="s">
        <v>202</v>
      </c>
      <c r="K42" s="2182"/>
    </row>
    <row r="43" spans="1:15" ht="18.75" customHeight="1">
      <c r="K43" s="2156">
        <f>SUM(K12:K42)</f>
        <v>418352</v>
      </c>
    </row>
    <row r="44" spans="1:15" ht="13.2">
      <c r="A44" s="2152"/>
      <c r="B44" s="3906"/>
      <c r="C44" s="3906"/>
      <c r="D44" s="3906"/>
      <c r="E44" s="3906"/>
      <c r="F44" s="3906"/>
      <c r="G44" s="3906"/>
      <c r="H44" s="3906"/>
      <c r="J44" s="2183"/>
      <c r="K44" s="2156"/>
    </row>
    <row r="45" spans="1:15" ht="17.25" customHeight="1">
      <c r="J45" s="2145" t="s">
        <v>2670</v>
      </c>
      <c r="K45" s="2184">
        <f>SUM(K43:K44)</f>
        <v>418352</v>
      </c>
    </row>
    <row r="46" spans="1:15" ht="17.25" customHeight="1">
      <c r="K46" s="2156"/>
    </row>
    <row r="47" spans="1:15" ht="24.75" customHeight="1">
      <c r="B47" s="2114"/>
      <c r="C47" s="2114"/>
      <c r="D47" s="2114"/>
      <c r="E47" s="2114"/>
      <c r="F47" s="2114"/>
      <c r="G47" s="2135"/>
      <c r="H47" s="2135"/>
      <c r="I47" s="2135"/>
      <c r="K47" s="2135"/>
    </row>
    <row r="48" spans="1:15" s="2141" customFormat="1" ht="11.4">
      <c r="A48" s="2185"/>
      <c r="B48" s="2186" t="str">
        <f>'2V 1m dia Pipe Culverts'!B39:F39</f>
        <v>Assistant  Engineer,</v>
      </c>
      <c r="C48" s="2187"/>
      <c r="D48" s="2187"/>
      <c r="E48" s="2185"/>
      <c r="F48" s="2187"/>
      <c r="G48" s="2187"/>
      <c r="H48" s="2187"/>
      <c r="I48" s="2188" t="str">
        <f>'2V 1m dia Pipe Culverts'!H39</f>
        <v>Dy. Exe. Engineer</v>
      </c>
      <c r="J48" s="2189"/>
      <c r="K48" s="2190"/>
      <c r="N48" s="2186"/>
      <c r="O48" s="2191"/>
    </row>
    <row r="49" spans="1:15" s="2141" customFormat="1" ht="13.2">
      <c r="A49" s="2185"/>
      <c r="B49" s="2186" t="str">
        <f>'2V 1m dia Pipe Culverts'!B40:F40</f>
        <v>PRSD, Maddur</v>
      </c>
      <c r="C49" s="2187"/>
      <c r="D49" s="2192"/>
      <c r="E49" s="2192"/>
      <c r="F49" s="2185"/>
      <c r="G49" s="2193"/>
      <c r="H49" s="2187"/>
      <c r="I49" s="2188" t="str">
        <f>'2V 1m dia Pipe Culverts'!H40</f>
        <v>PRSD, Maddur</v>
      </c>
      <c r="J49" s="2189"/>
      <c r="K49" s="2190"/>
      <c r="N49" s="2186"/>
      <c r="O49" s="2191"/>
    </row>
    <row r="54" spans="1:15" ht="16.5" customHeight="1">
      <c r="B54" s="2115" t="str">
        <f>'2V 1m dia Pipe Culverts'!B46</f>
        <v>District Panchayat Raj Engineer,</v>
      </c>
      <c r="I54" s="2145" t="str">
        <f>'2V 1m dia Pipe Culverts'!I47</f>
        <v>Superintending Engineer</v>
      </c>
    </row>
    <row r="55" spans="1:15" ht="16.5" customHeight="1">
      <c r="B55" s="2115" t="str">
        <f>'2V 1m dia Pipe Culverts'!B47</f>
        <v>PIU, Narayanpet</v>
      </c>
      <c r="I55" s="2145" t="str">
        <f>'2V 1m dia Pipe Culverts'!I48</f>
        <v>PR, Circle, Vikarabad</v>
      </c>
    </row>
  </sheetData>
  <protectedRanges>
    <protectedRange sqref="F40" name="Range2"/>
    <protectedRange sqref="C8 F8 H13" name="Range1"/>
  </protectedRanges>
  <mergeCells count="19">
    <mergeCell ref="B1:K1"/>
    <mergeCell ref="B2:K2"/>
    <mergeCell ref="B3:K3"/>
    <mergeCell ref="B4:K4"/>
    <mergeCell ref="A5:A6"/>
    <mergeCell ref="B5:B6"/>
    <mergeCell ref="C5:C6"/>
    <mergeCell ref="D5:D6"/>
    <mergeCell ref="E5:E6"/>
    <mergeCell ref="I5:I6"/>
    <mergeCell ref="B34:H34"/>
    <mergeCell ref="B39:H39"/>
    <mergeCell ref="B44:H44"/>
    <mergeCell ref="J5:J6"/>
    <mergeCell ref="K5:K6"/>
    <mergeCell ref="B12:H12"/>
    <mergeCell ref="B17:H17"/>
    <mergeCell ref="B23:H23"/>
    <mergeCell ref="B28:H28"/>
  </mergeCells>
  <pageMargins left="0.7" right="0.7" top="0.75" bottom="0.75" header="0.3" footer="0.3"/>
  <pageSetup paperSize="9" scale="93"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theme="5" tint="-0.249977111117893"/>
  </sheetPr>
  <dimension ref="A1:Z118"/>
  <sheetViews>
    <sheetView showGridLines="0" view="pageBreakPreview" topLeftCell="A106" workbookViewId="0">
      <selection activeCell="L69" sqref="L69"/>
    </sheetView>
  </sheetViews>
  <sheetFormatPr defaultColWidth="9.109375" defaultRowHeight="14.4"/>
  <cols>
    <col min="1" max="1" width="4" style="546" customWidth="1"/>
    <col min="2" max="2" width="22" style="547" customWidth="1"/>
    <col min="3" max="3" width="5.5546875" style="539" customWidth="1"/>
    <col min="4" max="4" width="2.5546875" style="539" customWidth="1"/>
    <col min="5" max="5" width="4.6640625" style="539" customWidth="1"/>
    <col min="6" max="6" width="7.6640625" style="539" customWidth="1"/>
    <col min="7" max="7" width="10.33203125" style="539" customWidth="1"/>
    <col min="8" max="8" width="10.109375" style="539" customWidth="1"/>
    <col min="9" max="10" width="9.88671875" style="539" customWidth="1"/>
    <col min="11" max="11" width="6.5546875" style="539" customWidth="1"/>
    <col min="12" max="12" width="12.33203125" style="548" customWidth="1"/>
    <col min="13" max="13" width="9.109375" style="547" hidden="1" customWidth="1"/>
    <col min="14" max="14" width="13.88671875" style="547" hidden="1" customWidth="1"/>
    <col min="15" max="15" width="11" style="547" hidden="1" customWidth="1"/>
    <col min="16" max="16" width="6.33203125" style="547" hidden="1" customWidth="1"/>
    <col min="17" max="26" width="9.109375" style="547" hidden="1" customWidth="1"/>
    <col min="27" max="16384" width="9.109375" style="547"/>
  </cols>
  <sheetData>
    <row r="1" spans="1:15" ht="18" customHeight="1">
      <c r="A1" s="3917" t="s">
        <v>2606</v>
      </c>
      <c r="B1" s="3918"/>
      <c r="C1" s="3918"/>
      <c r="D1" s="3918"/>
      <c r="E1" s="3918"/>
      <c r="F1" s="3918"/>
      <c r="G1" s="3918"/>
      <c r="H1" s="3918"/>
      <c r="I1" s="3918"/>
      <c r="J1" s="3918"/>
      <c r="K1" s="3918"/>
      <c r="L1" s="3919"/>
    </row>
    <row r="2" spans="1:15" ht="30" customHeight="1">
      <c r="A2" s="3920" t="s">
        <v>676</v>
      </c>
      <c r="B2" s="3921"/>
      <c r="C2" s="549"/>
      <c r="D2" s="549"/>
      <c r="E2" s="549"/>
      <c r="F2" s="3922" t="str">
        <f>'Input Data'!E1</f>
        <v>C/o HLB on R/F Amlikunta to Gundumal of Gundumal Mandal of Narayanept District.</v>
      </c>
      <c r="G2" s="3922"/>
      <c r="H2" s="3922"/>
      <c r="I2" s="3922"/>
      <c r="J2" s="3922"/>
      <c r="K2" s="3922"/>
      <c r="L2" s="3923"/>
    </row>
    <row r="3" spans="1:15" s="539" customFormat="1" ht="21.75" customHeight="1">
      <c r="A3" s="3924" t="s">
        <v>1337</v>
      </c>
      <c r="B3" s="3925"/>
      <c r="C3" s="3925"/>
      <c r="D3" s="3925"/>
      <c r="E3" s="3925"/>
      <c r="F3" s="3925"/>
      <c r="G3" s="3925"/>
      <c r="H3" s="3925"/>
      <c r="I3" s="3925"/>
      <c r="J3" s="3925"/>
      <c r="K3" s="3925"/>
      <c r="L3" s="3926"/>
    </row>
    <row r="4" spans="1:15" s="539" customFormat="1" ht="33" customHeight="1">
      <c r="A4" s="550" t="s">
        <v>1285</v>
      </c>
      <c r="B4" s="551" t="s">
        <v>904</v>
      </c>
      <c r="C4" s="3927" t="s">
        <v>905</v>
      </c>
      <c r="D4" s="3927"/>
      <c r="E4" s="3927"/>
      <c r="F4" s="551" t="s">
        <v>180</v>
      </c>
      <c r="G4" s="551" t="s">
        <v>732</v>
      </c>
      <c r="H4" s="551" t="s">
        <v>906</v>
      </c>
      <c r="I4" s="588" t="s">
        <v>3</v>
      </c>
      <c r="J4" s="589" t="s">
        <v>5</v>
      </c>
      <c r="K4" s="589" t="s">
        <v>579</v>
      </c>
      <c r="L4" s="590" t="s">
        <v>7</v>
      </c>
    </row>
    <row r="5" spans="1:15" s="539" customFormat="1">
      <c r="A5" s="552">
        <v>1</v>
      </c>
      <c r="B5" s="553">
        <v>2</v>
      </c>
      <c r="C5" s="3928">
        <v>3</v>
      </c>
      <c r="D5" s="3928"/>
      <c r="E5" s="3928"/>
      <c r="F5" s="553">
        <v>4</v>
      </c>
      <c r="G5" s="553">
        <v>5</v>
      </c>
      <c r="H5" s="553">
        <v>6</v>
      </c>
      <c r="I5" s="553">
        <v>7</v>
      </c>
      <c r="J5" s="553">
        <v>8</v>
      </c>
      <c r="K5" s="553">
        <v>9</v>
      </c>
      <c r="L5" s="591">
        <v>10</v>
      </c>
    </row>
    <row r="6" spans="1:15" ht="88.5" customHeight="1">
      <c r="A6" s="554">
        <v>1</v>
      </c>
      <c r="B6" s="3929"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929"/>
      <c r="D6" s="3929"/>
      <c r="E6" s="3929"/>
      <c r="F6" s="3929"/>
      <c r="G6" s="3929"/>
      <c r="H6" s="3929"/>
      <c r="I6" s="3929"/>
      <c r="J6" s="3929"/>
      <c r="K6" s="3929"/>
      <c r="L6" s="592"/>
      <c r="O6" s="593"/>
    </row>
    <row r="7" spans="1:15" ht="20.100000000000001" customHeight="1">
      <c r="A7" s="555"/>
      <c r="B7" s="556" t="s">
        <v>1300</v>
      </c>
      <c r="C7" s="557">
        <v>1</v>
      </c>
      <c r="D7" s="557" t="s">
        <v>907</v>
      </c>
      <c r="E7" s="557">
        <v>2</v>
      </c>
      <c r="F7" s="557">
        <v>8.4499999999999993</v>
      </c>
      <c r="G7" s="557">
        <v>3.5</v>
      </c>
      <c r="H7" s="557">
        <v>2.15</v>
      </c>
      <c r="I7" s="557">
        <f>ROUND(PRODUCT(C7:H7),2)</f>
        <v>127.17</v>
      </c>
      <c r="J7" s="560"/>
      <c r="K7" s="594"/>
      <c r="L7" s="595"/>
      <c r="O7" s="593"/>
    </row>
    <row r="8" spans="1:15" ht="30" customHeight="1">
      <c r="A8" s="555"/>
      <c r="B8" s="556" t="s">
        <v>1301</v>
      </c>
      <c r="C8" s="557">
        <v>2</v>
      </c>
      <c r="D8" s="557" t="s">
        <v>907</v>
      </c>
      <c r="E8" s="557">
        <v>2</v>
      </c>
      <c r="F8" s="557">
        <v>3.5</v>
      </c>
      <c r="G8" s="558" t="s">
        <v>1302</v>
      </c>
      <c r="H8" s="557">
        <v>2.15</v>
      </c>
      <c r="I8" s="557">
        <f>ROUND(PRODUCT(C8:H8)*(2.37+1.85)/2,2)</f>
        <v>63.51</v>
      </c>
      <c r="J8" s="560"/>
      <c r="K8" s="594"/>
      <c r="L8" s="595"/>
      <c r="O8" s="593"/>
    </row>
    <row r="9" spans="1:15" ht="15" customHeight="1">
      <c r="A9" s="555"/>
      <c r="B9" s="559"/>
      <c r="C9" s="560"/>
      <c r="D9" s="560"/>
      <c r="E9" s="560"/>
      <c r="F9" s="560"/>
      <c r="G9" s="561"/>
      <c r="H9" s="561"/>
      <c r="I9" s="596">
        <f>SUM(I7:I8)</f>
        <v>190.68</v>
      </c>
      <c r="J9" s="560">
        <f>'Pipe data'!G20</f>
        <v>136.06920584583335</v>
      </c>
      <c r="K9" s="560">
        <v>1</v>
      </c>
      <c r="L9" s="597">
        <f>ROUND(I9*J9,0)</f>
        <v>25946</v>
      </c>
      <c r="O9" s="593"/>
    </row>
    <row r="10" spans="1:15" ht="12.75" customHeight="1">
      <c r="A10" s="555"/>
      <c r="B10" s="559"/>
      <c r="C10" s="560"/>
      <c r="D10" s="560"/>
      <c r="E10" s="560"/>
      <c r="F10" s="560"/>
      <c r="G10" s="561"/>
      <c r="H10" s="561"/>
      <c r="I10" s="560" t="s">
        <v>31</v>
      </c>
      <c r="J10" s="560"/>
      <c r="K10" s="560" t="s">
        <v>31</v>
      </c>
      <c r="L10" s="597"/>
    </row>
    <row r="11" spans="1:15" ht="45.6" hidden="1" customHeight="1">
      <c r="A11" s="562">
        <v>2</v>
      </c>
      <c r="B11" s="3930" t="str">
        <f>'Pipe data'!B55:G55</f>
        <v>Sand  Filling (Natural Sand 50% + Manufactured sand 50%) in foundation trenches as per drawing and technical specification Clause 304 of MORTH including overhead charges &amp; Contractors profit etc complete.</v>
      </c>
      <c r="C11" s="3930"/>
      <c r="D11" s="3930"/>
      <c r="E11" s="3930"/>
      <c r="F11" s="3930"/>
      <c r="G11" s="3930"/>
      <c r="H11" s="3930"/>
      <c r="I11" s="3930"/>
      <c r="J11" s="3930"/>
      <c r="K11" s="3930"/>
      <c r="L11" s="598"/>
      <c r="N11" s="593"/>
    </row>
    <row r="12" spans="1:15" s="540" customFormat="1" ht="20.399999999999999" hidden="1" customHeight="1">
      <c r="A12" s="564"/>
      <c r="B12" s="565" t="s">
        <v>1303</v>
      </c>
      <c r="C12" s="566">
        <v>1</v>
      </c>
      <c r="D12" s="566" t="s">
        <v>907</v>
      </c>
      <c r="E12" s="566">
        <v>1</v>
      </c>
      <c r="F12" s="566">
        <v>0</v>
      </c>
      <c r="G12" s="566">
        <v>3</v>
      </c>
      <c r="H12" s="566">
        <v>0.15</v>
      </c>
      <c r="I12" s="566">
        <f>ROUND(C12*E12*F12*G12*H12,2)</f>
        <v>0</v>
      </c>
      <c r="J12" s="599"/>
      <c r="K12" s="600"/>
      <c r="L12" s="601"/>
      <c r="O12" s="602"/>
    </row>
    <row r="13" spans="1:15" ht="15" hidden="1" customHeight="1">
      <c r="A13" s="562"/>
      <c r="B13" s="567"/>
      <c r="C13" s="568"/>
      <c r="D13" s="568"/>
      <c r="E13" s="568"/>
      <c r="F13" s="568"/>
      <c r="G13" s="561"/>
      <c r="H13" s="561"/>
      <c r="I13" s="560">
        <f>SUM(I12:I12)</f>
        <v>0</v>
      </c>
      <c r="J13" s="560">
        <f>'Pipe data'!G73</f>
        <v>1920.41</v>
      </c>
      <c r="K13" s="560">
        <v>1</v>
      </c>
      <c r="L13" s="597"/>
    </row>
    <row r="14" spans="1:15" ht="15" hidden="1" customHeight="1">
      <c r="A14" s="562"/>
      <c r="B14" s="567"/>
      <c r="C14" s="568"/>
      <c r="D14" s="568"/>
      <c r="E14" s="568"/>
      <c r="F14" s="568"/>
      <c r="G14" s="561"/>
      <c r="H14" s="561"/>
      <c r="I14" s="560" t="s">
        <v>31</v>
      </c>
      <c r="J14" s="560"/>
      <c r="K14" s="560" t="s">
        <v>31</v>
      </c>
      <c r="L14" s="597"/>
    </row>
    <row r="15" spans="1:15" ht="102" customHeight="1">
      <c r="A15" s="562">
        <v>2</v>
      </c>
      <c r="B15" s="3930"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930"/>
      <c r="D15" s="3930"/>
      <c r="E15" s="3930"/>
      <c r="F15" s="3930"/>
      <c r="G15" s="3930"/>
      <c r="H15" s="3930"/>
      <c r="I15" s="3930"/>
      <c r="J15" s="3930"/>
      <c r="K15" s="3930"/>
      <c r="L15" s="598"/>
    </row>
    <row r="16" spans="1:15" ht="20.100000000000001" customHeight="1">
      <c r="A16" s="555"/>
      <c r="B16" s="556" t="s">
        <v>1300</v>
      </c>
      <c r="C16" s="557">
        <v>1</v>
      </c>
      <c r="D16" s="557" t="s">
        <v>907</v>
      </c>
      <c r="E16" s="557">
        <v>2</v>
      </c>
      <c r="F16" s="557">
        <v>8.4499999999999993</v>
      </c>
      <c r="G16" s="557">
        <v>3.5</v>
      </c>
      <c r="H16" s="557">
        <v>0.15</v>
      </c>
      <c r="I16" s="557">
        <f>ROUND(PRODUCT(C16:H16),2)</f>
        <v>8.8699999999999992</v>
      </c>
      <c r="J16" s="560"/>
      <c r="K16" s="594"/>
      <c r="L16" s="595"/>
    </row>
    <row r="17" spans="1:12" ht="30" customHeight="1">
      <c r="A17" s="555"/>
      <c r="B17" s="556" t="s">
        <v>1301</v>
      </c>
      <c r="C17" s="557">
        <v>2</v>
      </c>
      <c r="D17" s="557" t="s">
        <v>907</v>
      </c>
      <c r="E17" s="557">
        <v>2</v>
      </c>
      <c r="F17" s="557">
        <v>3.5</v>
      </c>
      <c r="G17" s="558" t="s">
        <v>1338</v>
      </c>
      <c r="H17" s="557">
        <v>0.15</v>
      </c>
      <c r="I17" s="557">
        <f>ROUND(PRODUCT(C17:H17)*(2.38+1.85)/2,2)</f>
        <v>4.4400000000000004</v>
      </c>
      <c r="J17" s="560"/>
      <c r="K17" s="594"/>
      <c r="L17" s="595"/>
    </row>
    <row r="18" spans="1:12" ht="15" customHeight="1">
      <c r="A18" s="555"/>
      <c r="B18" s="569"/>
      <c r="C18" s="570"/>
      <c r="D18" s="570"/>
      <c r="E18" s="570"/>
      <c r="F18" s="570"/>
      <c r="G18" s="570"/>
      <c r="H18" s="570"/>
      <c r="I18" s="596">
        <f>SUM(I16:I17)</f>
        <v>13.309999999999999</v>
      </c>
      <c r="J18" s="560">
        <f>'Bridge Data'!J31</f>
        <v>6547.95</v>
      </c>
      <c r="K18" s="560">
        <v>1</v>
      </c>
      <c r="L18" s="597">
        <f>ROUND(I18*J18,0)</f>
        <v>87153</v>
      </c>
    </row>
    <row r="19" spans="1:12" ht="15" customHeight="1">
      <c r="A19" s="555"/>
      <c r="B19" s="559"/>
      <c r="C19" s="560"/>
      <c r="D19" s="560"/>
      <c r="E19" s="560"/>
      <c r="F19" s="561"/>
      <c r="G19" s="561"/>
      <c r="H19" s="561"/>
      <c r="I19" s="560" t="s">
        <v>31</v>
      </c>
      <c r="J19" s="560"/>
      <c r="K19" s="560" t="s">
        <v>31</v>
      </c>
      <c r="L19" s="597"/>
    </row>
    <row r="20" spans="1:12" ht="102.75" customHeight="1">
      <c r="A20" s="562">
        <v>3</v>
      </c>
      <c r="B20" s="3930" t="str">
        <f>'Bridge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930"/>
      <c r="D20" s="3930"/>
      <c r="E20" s="3930"/>
      <c r="F20" s="3930"/>
      <c r="G20" s="3930"/>
      <c r="H20" s="3930"/>
      <c r="I20" s="3930"/>
      <c r="J20" s="3930"/>
      <c r="K20" s="3930"/>
      <c r="L20" s="598"/>
    </row>
    <row r="21" spans="1:12" ht="20.100000000000001" customHeight="1">
      <c r="A21" s="555"/>
      <c r="B21" s="571" t="s">
        <v>1304</v>
      </c>
      <c r="C21" s="561"/>
      <c r="D21" s="561"/>
      <c r="E21" s="561"/>
      <c r="F21" s="560"/>
      <c r="G21" s="560"/>
      <c r="H21" s="560"/>
      <c r="I21" s="560"/>
      <c r="J21" s="560"/>
      <c r="K21" s="594"/>
      <c r="L21" s="595"/>
    </row>
    <row r="22" spans="1:12" s="541" customFormat="1" ht="20.100000000000001" customHeight="1">
      <c r="A22" s="572"/>
      <c r="B22" s="573" t="s">
        <v>1305</v>
      </c>
      <c r="C22" s="574">
        <v>1</v>
      </c>
      <c r="D22" s="574" t="s">
        <v>907</v>
      </c>
      <c r="E22" s="574">
        <v>2</v>
      </c>
      <c r="F22" s="574">
        <v>8.25</v>
      </c>
      <c r="G22" s="574">
        <v>3.3</v>
      </c>
      <c r="H22" s="574">
        <v>0.2</v>
      </c>
      <c r="I22" s="574">
        <f>ROUNDDOWN(PRODUCT(C22:H22),2)</f>
        <v>10.89</v>
      </c>
      <c r="J22" s="574"/>
      <c r="K22" s="574"/>
      <c r="L22" s="603"/>
    </row>
    <row r="23" spans="1:12" s="541" customFormat="1" ht="20.100000000000001" customHeight="1">
      <c r="A23" s="572"/>
      <c r="B23" s="573" t="s">
        <v>1306</v>
      </c>
      <c r="C23" s="574">
        <v>1</v>
      </c>
      <c r="D23" s="574" t="s">
        <v>907</v>
      </c>
      <c r="E23" s="574">
        <v>2</v>
      </c>
      <c r="F23" s="574">
        <f>F22</f>
        <v>8.25</v>
      </c>
      <c r="G23" s="574">
        <v>2.9</v>
      </c>
      <c r="H23" s="574">
        <v>0.2</v>
      </c>
      <c r="I23" s="574">
        <f>ROUNDDOWN(PRODUCT(C23:H23),2)</f>
        <v>9.57</v>
      </c>
      <c r="J23" s="574"/>
      <c r="K23" s="574"/>
      <c r="L23" s="603"/>
    </row>
    <row r="24" spans="1:12" s="541" customFormat="1" ht="20.100000000000001" customHeight="1">
      <c r="A24" s="572"/>
      <c r="B24" s="573" t="s">
        <v>1307</v>
      </c>
      <c r="C24" s="574">
        <v>1</v>
      </c>
      <c r="D24" s="574" t="s">
        <v>907</v>
      </c>
      <c r="E24" s="574">
        <v>2</v>
      </c>
      <c r="F24" s="574">
        <f>F23</f>
        <v>8.25</v>
      </c>
      <c r="G24" s="574">
        <v>2.5</v>
      </c>
      <c r="H24" s="574">
        <v>0.4</v>
      </c>
      <c r="I24" s="574">
        <f>ROUNDDOWN(PRODUCT(C24:H24),2)</f>
        <v>16.5</v>
      </c>
      <c r="J24" s="574"/>
      <c r="K24" s="574"/>
      <c r="L24" s="603"/>
    </row>
    <row r="25" spans="1:12" s="541" customFormat="1" ht="28.5" customHeight="1">
      <c r="A25" s="572"/>
      <c r="B25" s="573" t="s">
        <v>1308</v>
      </c>
      <c r="C25" s="574">
        <v>1</v>
      </c>
      <c r="D25" s="574" t="s">
        <v>907</v>
      </c>
      <c r="E25" s="574">
        <v>2</v>
      </c>
      <c r="F25" s="574">
        <f>F24</f>
        <v>8.25</v>
      </c>
      <c r="G25" s="575" t="s">
        <v>1339</v>
      </c>
      <c r="H25" s="574">
        <v>0.4</v>
      </c>
      <c r="I25" s="574">
        <f>ROUNDDOWN(PRODUCT(C25:H25)*(2.5+2.1)/2,2)</f>
        <v>15.18</v>
      </c>
      <c r="J25" s="574"/>
      <c r="K25" s="574"/>
      <c r="L25" s="603"/>
    </row>
    <row r="26" spans="1:12" ht="29.25" customHeight="1">
      <c r="A26" s="555"/>
      <c r="B26" s="576" t="s">
        <v>1340</v>
      </c>
      <c r="C26" s="574">
        <v>1</v>
      </c>
      <c r="D26" s="574" t="s">
        <v>907</v>
      </c>
      <c r="E26" s="574">
        <v>2</v>
      </c>
      <c r="F26" s="574">
        <v>8.25</v>
      </c>
      <c r="G26" s="575" t="s">
        <v>1341</v>
      </c>
      <c r="H26" s="574">
        <v>0.8</v>
      </c>
      <c r="I26" s="574">
        <f>ROUNDDOWN(PRODUCT(C26:H26)*(2.1+1.82)/2,2)</f>
        <v>25.87</v>
      </c>
      <c r="J26" s="560"/>
      <c r="K26" s="560"/>
      <c r="L26" s="597"/>
    </row>
    <row r="27" spans="1:12" s="541" customFormat="1" ht="20.100000000000001" customHeight="1">
      <c r="A27" s="572"/>
      <c r="B27" s="573" t="s">
        <v>1301</v>
      </c>
      <c r="C27" s="574">
        <v>2</v>
      </c>
      <c r="D27" s="574" t="s">
        <v>907</v>
      </c>
      <c r="E27" s="574">
        <v>2</v>
      </c>
      <c r="F27" s="574">
        <v>3.5</v>
      </c>
      <c r="G27" s="575">
        <v>2.5299999999999998</v>
      </c>
      <c r="H27" s="574">
        <v>0.4</v>
      </c>
      <c r="I27" s="574">
        <f>ROUNDDOWN(PRODUCT(C27:H27),2)</f>
        <v>14.16</v>
      </c>
      <c r="J27" s="574"/>
      <c r="K27" s="574"/>
      <c r="L27" s="603"/>
    </row>
    <row r="28" spans="1:12" s="541" customFormat="1" ht="20.100000000000001" customHeight="1">
      <c r="A28" s="572"/>
      <c r="B28" s="573" t="s">
        <v>1311</v>
      </c>
      <c r="C28" s="574">
        <v>2</v>
      </c>
      <c r="D28" s="574" t="s">
        <v>907</v>
      </c>
      <c r="E28" s="574">
        <v>2</v>
      </c>
      <c r="F28" s="574">
        <v>3.5</v>
      </c>
      <c r="G28" s="575">
        <v>2.13</v>
      </c>
      <c r="H28" s="574">
        <v>0.4</v>
      </c>
      <c r="I28" s="574">
        <f>ROUNDDOWN(PRODUCT(C28:H28),2)</f>
        <v>11.92</v>
      </c>
      <c r="J28" s="574"/>
      <c r="K28" s="574"/>
      <c r="L28" s="603"/>
    </row>
    <row r="29" spans="1:12" s="541" customFormat="1" ht="26.25" customHeight="1">
      <c r="A29" s="572"/>
      <c r="B29" s="573" t="s">
        <v>1313</v>
      </c>
      <c r="C29" s="574">
        <v>2</v>
      </c>
      <c r="D29" s="574" t="s">
        <v>907</v>
      </c>
      <c r="E29" s="574">
        <v>2</v>
      </c>
      <c r="F29" s="574">
        <v>3.5</v>
      </c>
      <c r="G29" s="575" t="s">
        <v>1342</v>
      </c>
      <c r="H29" s="574">
        <v>0.4</v>
      </c>
      <c r="I29" s="574">
        <f>ROUNDDOWN(PRODUCT(C29:H29)*(2.13+1.73)/2,2)</f>
        <v>10.8</v>
      </c>
      <c r="J29" s="574"/>
      <c r="K29" s="574"/>
      <c r="L29" s="603"/>
    </row>
    <row r="30" spans="1:12" ht="25.5" customHeight="1">
      <c r="A30" s="555"/>
      <c r="B30" s="577" t="s">
        <v>1343</v>
      </c>
      <c r="C30" s="578">
        <v>2</v>
      </c>
      <c r="D30" s="578" t="s">
        <v>907</v>
      </c>
      <c r="E30" s="578">
        <v>2</v>
      </c>
      <c r="F30" s="574">
        <v>3.5</v>
      </c>
      <c r="G30" s="575" t="s">
        <v>1344</v>
      </c>
      <c r="H30" s="574">
        <v>0.8</v>
      </c>
      <c r="I30" s="574">
        <f>ROUNDDOWN(PRODUCT(C30:H30)*(1.73+1.38)/2,2)</f>
        <v>17.41</v>
      </c>
      <c r="J30" s="560"/>
      <c r="K30" s="560"/>
      <c r="L30" s="597"/>
    </row>
    <row r="31" spans="1:12" ht="20.100000000000001" customHeight="1">
      <c r="A31" s="555"/>
      <c r="B31" s="559"/>
      <c r="C31" s="560"/>
      <c r="D31" s="560"/>
      <c r="E31" s="560"/>
      <c r="F31" s="561"/>
      <c r="G31" s="561"/>
      <c r="H31" s="561"/>
      <c r="I31" s="596">
        <f>SUM(I22:I30)</f>
        <v>132.30000000000001</v>
      </c>
      <c r="J31" s="560">
        <f>'Bridge Data'!J62</f>
        <v>7328.61</v>
      </c>
      <c r="K31" s="560">
        <v>1</v>
      </c>
      <c r="L31" s="597">
        <f>ROUND(I31*J31,0)</f>
        <v>969575</v>
      </c>
    </row>
    <row r="32" spans="1:12" ht="20.100000000000001" customHeight="1">
      <c r="A32" s="555"/>
      <c r="B32" s="559"/>
      <c r="C32" s="560"/>
      <c r="D32" s="560"/>
      <c r="E32" s="560"/>
      <c r="F32" s="561"/>
      <c r="G32" s="561"/>
      <c r="H32" s="561"/>
      <c r="I32" s="560" t="s">
        <v>31</v>
      </c>
      <c r="J32" s="560"/>
      <c r="K32" s="560" t="s">
        <v>31</v>
      </c>
      <c r="L32" s="597"/>
    </row>
    <row r="33" spans="1:12" ht="102.75" customHeight="1">
      <c r="A33" s="562">
        <v>4</v>
      </c>
      <c r="B33" s="3930" t="str">
        <f>'Bridge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3" s="3930"/>
      <c r="D33" s="3930"/>
      <c r="E33" s="3930"/>
      <c r="F33" s="3930"/>
      <c r="G33" s="3930"/>
      <c r="H33" s="3930"/>
      <c r="I33" s="3930"/>
      <c r="J33" s="3930"/>
      <c r="K33" s="3930"/>
      <c r="L33" s="597"/>
    </row>
    <row r="34" spans="1:12" ht="27" customHeight="1">
      <c r="A34" s="555"/>
      <c r="B34" s="573" t="s">
        <v>1315</v>
      </c>
      <c r="C34" s="574">
        <v>1</v>
      </c>
      <c r="D34" s="574" t="s">
        <v>907</v>
      </c>
      <c r="E34" s="574">
        <f>E26</f>
        <v>2</v>
      </c>
      <c r="F34" s="574">
        <v>8.25</v>
      </c>
      <c r="G34" s="575" t="s">
        <v>1345</v>
      </c>
      <c r="H34" s="574">
        <v>1.5</v>
      </c>
      <c r="I34" s="574">
        <f>ROUNDDOWN(PRODUCT(C34:H34)*(1.82+1.3)/2,2)</f>
        <v>38.61</v>
      </c>
      <c r="J34" s="560"/>
      <c r="K34" s="560"/>
      <c r="L34" s="597"/>
    </row>
    <row r="35" spans="1:12" ht="20.100000000000001" customHeight="1">
      <c r="A35" s="555"/>
      <c r="B35" s="573" t="s">
        <v>1317</v>
      </c>
      <c r="C35" s="574">
        <v>1</v>
      </c>
      <c r="D35" s="574" t="s">
        <v>907</v>
      </c>
      <c r="E35" s="574">
        <v>2</v>
      </c>
      <c r="F35" s="574">
        <v>8.25</v>
      </c>
      <c r="G35" s="574">
        <v>0.3</v>
      </c>
      <c r="H35" s="574">
        <v>0.2</v>
      </c>
      <c r="I35" s="574">
        <f>ROUNDDOWN(PRODUCT(C35:H35),2)</f>
        <v>0.99</v>
      </c>
      <c r="J35" s="560"/>
      <c r="K35" s="560"/>
      <c r="L35" s="597"/>
    </row>
    <row r="36" spans="1:12" ht="27.75" customHeight="1">
      <c r="A36" s="555"/>
      <c r="B36" s="579" t="s">
        <v>1346</v>
      </c>
      <c r="C36" s="578">
        <v>2</v>
      </c>
      <c r="D36" s="578" t="s">
        <v>907</v>
      </c>
      <c r="E36" s="578">
        <v>2</v>
      </c>
      <c r="F36" s="574">
        <v>3.5</v>
      </c>
      <c r="G36" s="575" t="s">
        <v>1347</v>
      </c>
      <c r="H36" s="574">
        <v>2</v>
      </c>
      <c r="I36" s="574">
        <f>ROUNDDOWN(PRODUCT(C36:H36)*(1.38+0.5)/2,2)</f>
        <v>26.32</v>
      </c>
      <c r="J36" s="560"/>
      <c r="K36" s="560"/>
      <c r="L36" s="597"/>
    </row>
    <row r="37" spans="1:12" ht="20.100000000000001" customHeight="1">
      <c r="A37" s="555"/>
      <c r="B37" s="580"/>
      <c r="C37" s="570"/>
      <c r="D37" s="570"/>
      <c r="E37" s="570"/>
      <c r="F37" s="570"/>
      <c r="G37" s="570"/>
      <c r="H37" s="570"/>
      <c r="I37" s="596">
        <f>SUM(I34:I36)</f>
        <v>65.92</v>
      </c>
      <c r="J37" s="560">
        <f>'Bridge Data'!J206</f>
        <v>7751.42</v>
      </c>
      <c r="K37" s="560">
        <v>1</v>
      </c>
      <c r="L37" s="597">
        <f>ROUND(I37*J37,0)</f>
        <v>510974</v>
      </c>
    </row>
    <row r="38" spans="1:12" ht="18" customHeight="1">
      <c r="A38" s="555"/>
      <c r="B38" s="559"/>
      <c r="C38" s="560"/>
      <c r="D38" s="560"/>
      <c r="E38" s="560"/>
      <c r="F38" s="561"/>
      <c r="G38" s="561"/>
      <c r="H38" s="561"/>
      <c r="I38" s="560" t="s">
        <v>31</v>
      </c>
      <c r="J38" s="560"/>
      <c r="K38" s="560" t="s">
        <v>31</v>
      </c>
      <c r="L38" s="597"/>
    </row>
    <row r="39" spans="1:12" ht="7.5" customHeight="1">
      <c r="A39" s="562"/>
      <c r="B39" s="567"/>
      <c r="C39" s="568"/>
      <c r="D39" s="568"/>
      <c r="E39" s="568"/>
      <c r="F39" s="561"/>
      <c r="G39" s="561"/>
      <c r="H39" s="561"/>
      <c r="I39" s="560"/>
      <c r="J39" s="560"/>
      <c r="K39" s="560"/>
      <c r="L39" s="597"/>
    </row>
    <row r="40" spans="1:12" ht="109.5" customHeight="1">
      <c r="A40" s="562">
        <v>5</v>
      </c>
      <c r="B40" s="3930" t="str">
        <f>'Bridge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0" s="3930"/>
      <c r="D40" s="3930"/>
      <c r="E40" s="3930"/>
      <c r="F40" s="3930"/>
      <c r="G40" s="3930"/>
      <c r="H40" s="3930"/>
      <c r="I40" s="3930"/>
      <c r="J40" s="3930"/>
      <c r="K40" s="3930"/>
      <c r="L40" s="597"/>
    </row>
    <row r="41" spans="1:12" ht="31.5" customHeight="1">
      <c r="A41" s="555"/>
      <c r="B41" s="579" t="s">
        <v>1320</v>
      </c>
      <c r="C41" s="574">
        <v>1</v>
      </c>
      <c r="D41" s="574" t="s">
        <v>907</v>
      </c>
      <c r="E41" s="574">
        <v>2</v>
      </c>
      <c r="F41" s="574">
        <v>8.25</v>
      </c>
      <c r="G41" s="574">
        <v>1.375</v>
      </c>
      <c r="H41" s="574">
        <v>0.3</v>
      </c>
      <c r="I41" s="574">
        <f>ROUND(PRODUCT(C41:H41),2)</f>
        <v>6.81</v>
      </c>
      <c r="J41" s="560"/>
      <c r="K41" s="560"/>
      <c r="L41" s="597"/>
    </row>
    <row r="42" spans="1:12" s="542" customFormat="1" ht="20.100000000000001" hidden="1" customHeight="1">
      <c r="A42" s="581"/>
      <c r="B42" s="579"/>
      <c r="C42" s="578"/>
      <c r="D42" s="578"/>
      <c r="E42" s="578"/>
      <c r="F42" s="578"/>
      <c r="G42" s="578"/>
      <c r="H42" s="578"/>
      <c r="I42" s="578"/>
      <c r="J42" s="578"/>
      <c r="K42" s="578"/>
      <c r="L42" s="604"/>
    </row>
    <row r="43" spans="1:12" s="542" customFormat="1" ht="20.100000000000001" customHeight="1">
      <c r="A43" s="581"/>
      <c r="B43" s="577" t="s">
        <v>1348</v>
      </c>
      <c r="C43" s="578">
        <v>1</v>
      </c>
      <c r="D43" s="578" t="s">
        <v>907</v>
      </c>
      <c r="E43" s="578">
        <v>2</v>
      </c>
      <c r="F43" s="578">
        <v>8.25</v>
      </c>
      <c r="G43" s="578">
        <v>0.92</v>
      </c>
      <c r="H43" s="578">
        <v>0.2</v>
      </c>
      <c r="I43" s="578">
        <f>ROUNDDOWN(PRODUCT(C43:H43),2)</f>
        <v>3.03</v>
      </c>
      <c r="J43" s="578"/>
      <c r="K43" s="578"/>
      <c r="L43" s="604"/>
    </row>
    <row r="44" spans="1:12" s="542" customFormat="1" ht="20.100000000000001" customHeight="1">
      <c r="A44" s="581"/>
      <c r="B44" s="579" t="s">
        <v>1322</v>
      </c>
      <c r="C44" s="578">
        <v>1</v>
      </c>
      <c r="D44" s="578" t="s">
        <v>907</v>
      </c>
      <c r="E44" s="578">
        <v>2</v>
      </c>
      <c r="F44" s="578">
        <v>15.6</v>
      </c>
      <c r="G44" s="578">
        <v>0.47499999999999998</v>
      </c>
      <c r="H44" s="578">
        <v>0.27500000000000002</v>
      </c>
      <c r="I44" s="578">
        <f>ROUNDDOWN(PRODUCT(C44:H44),2)</f>
        <v>4.07</v>
      </c>
      <c r="J44" s="578"/>
      <c r="K44" s="578"/>
      <c r="L44" s="604"/>
    </row>
    <row r="45" spans="1:12" ht="20.100000000000001" customHeight="1">
      <c r="A45" s="555"/>
      <c r="B45" s="559"/>
      <c r="C45" s="560"/>
      <c r="D45" s="560"/>
      <c r="E45" s="560"/>
      <c r="F45" s="561"/>
      <c r="G45" s="561"/>
      <c r="H45" s="561"/>
      <c r="I45" s="605">
        <f>SUM(I41:I44)</f>
        <v>13.91</v>
      </c>
      <c r="J45" s="560">
        <f>'Bridge Data'!J267</f>
        <v>8813.32</v>
      </c>
      <c r="K45" s="560">
        <v>1</v>
      </c>
      <c r="L45" s="597">
        <f>ROUND(I45*J45,0)</f>
        <v>122593</v>
      </c>
    </row>
    <row r="46" spans="1:12" ht="18" customHeight="1">
      <c r="A46" s="555"/>
      <c r="B46" s="559"/>
      <c r="C46" s="560"/>
      <c r="D46" s="560"/>
      <c r="E46" s="560"/>
      <c r="F46" s="561"/>
      <c r="G46" s="561"/>
      <c r="H46" s="561"/>
      <c r="I46" s="560" t="s">
        <v>31</v>
      </c>
      <c r="J46" s="560"/>
      <c r="K46" s="560" t="s">
        <v>31</v>
      </c>
      <c r="L46" s="597"/>
    </row>
    <row r="47" spans="1:12" ht="130.5" customHeight="1">
      <c r="A47" s="582">
        <v>7</v>
      </c>
      <c r="B47" s="3931" t="str">
        <f>'Bridge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7" s="3932"/>
      <c r="D47" s="3932"/>
      <c r="E47" s="3932"/>
      <c r="F47" s="3932"/>
      <c r="G47" s="3932"/>
      <c r="H47" s="3932"/>
      <c r="I47" s="3932"/>
      <c r="J47" s="3932"/>
      <c r="K47" s="3933"/>
      <c r="L47" s="606"/>
    </row>
    <row r="48" spans="1:12" ht="15.6" customHeight="1">
      <c r="A48" s="562"/>
      <c r="B48" s="567" t="s">
        <v>1323</v>
      </c>
      <c r="C48" s="568"/>
      <c r="D48" s="568"/>
      <c r="E48" s="568"/>
      <c r="F48" s="568"/>
      <c r="G48" s="568"/>
      <c r="H48" s="568"/>
      <c r="I48" s="568"/>
      <c r="J48" s="568"/>
      <c r="K48" s="568"/>
      <c r="L48" s="598"/>
    </row>
    <row r="49" spans="1:14" s="543" customFormat="1" ht="18" customHeight="1">
      <c r="A49" s="583"/>
      <c r="B49" s="584" t="s">
        <v>1324</v>
      </c>
      <c r="C49" s="578">
        <v>1</v>
      </c>
      <c r="D49" s="578" t="s">
        <v>907</v>
      </c>
      <c r="E49" s="578">
        <v>1</v>
      </c>
      <c r="F49" s="578">
        <v>8.25</v>
      </c>
      <c r="G49" s="578">
        <v>6.76</v>
      </c>
      <c r="H49" s="578">
        <v>0.5</v>
      </c>
      <c r="I49" s="578">
        <f>ROUNDDOWN(PRODUCT(C49:H49),2)</f>
        <v>27.88</v>
      </c>
      <c r="J49" s="566"/>
      <c r="K49" s="607"/>
      <c r="L49" s="608"/>
      <c r="M49" s="609"/>
      <c r="N49" s="610"/>
    </row>
    <row r="50" spans="1:14" ht="15" customHeight="1">
      <c r="A50" s="562"/>
      <c r="B50" s="567"/>
      <c r="C50" s="568"/>
      <c r="D50" s="568"/>
      <c r="E50" s="568"/>
      <c r="F50" s="561"/>
      <c r="G50" s="560"/>
      <c r="H50" s="561"/>
      <c r="I50" s="605">
        <f>I49</f>
        <v>27.88</v>
      </c>
      <c r="J50" s="560">
        <f>'Bridge Data'!J366</f>
        <v>9582.9500000000007</v>
      </c>
      <c r="K50" s="560">
        <v>1</v>
      </c>
      <c r="L50" s="597">
        <f>ROUND(I50*J50,0)</f>
        <v>267173</v>
      </c>
    </row>
    <row r="51" spans="1:14" ht="15" customHeight="1">
      <c r="A51" s="562"/>
      <c r="B51" s="567"/>
      <c r="C51" s="568"/>
      <c r="D51" s="568"/>
      <c r="E51" s="568"/>
      <c r="F51" s="561"/>
      <c r="G51" s="561"/>
      <c r="H51" s="561"/>
      <c r="I51" s="560" t="s">
        <v>31</v>
      </c>
      <c r="J51" s="560"/>
      <c r="K51" s="560" t="s">
        <v>31</v>
      </c>
      <c r="L51" s="597"/>
    </row>
    <row r="52" spans="1:14" ht="7.5" customHeight="1">
      <c r="A52" s="562"/>
      <c r="B52" s="567"/>
      <c r="C52" s="568"/>
      <c r="D52" s="568"/>
      <c r="E52" s="568"/>
      <c r="F52" s="561"/>
      <c r="G52" s="561"/>
      <c r="H52" s="561"/>
      <c r="I52" s="560"/>
      <c r="J52" s="560"/>
      <c r="K52" s="560"/>
      <c r="L52" s="597"/>
    </row>
    <row r="53" spans="1:14" ht="102.6" hidden="1" customHeight="1">
      <c r="A53" s="562">
        <v>7</v>
      </c>
      <c r="B53" s="3930" t="str">
        <f>'Bridge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53" s="3930"/>
      <c r="D53" s="3930"/>
      <c r="E53" s="3930"/>
      <c r="F53" s="3930"/>
      <c r="G53" s="3930"/>
      <c r="H53" s="3930"/>
      <c r="I53" s="3930"/>
      <c r="J53" s="3930"/>
      <c r="K53" s="3930"/>
      <c r="L53" s="597"/>
    </row>
    <row r="54" spans="1:14" ht="15.6" hidden="1" customHeight="1">
      <c r="A54" s="562"/>
      <c r="B54" s="567" t="s">
        <v>1323</v>
      </c>
      <c r="C54" s="568"/>
      <c r="D54" s="568"/>
      <c r="E54" s="568"/>
      <c r="F54" s="568"/>
      <c r="G54" s="568"/>
      <c r="H54" s="568"/>
      <c r="I54" s="568"/>
      <c r="J54" s="568"/>
      <c r="K54" s="563"/>
      <c r="L54" s="598"/>
    </row>
    <row r="55" spans="1:14" s="543" customFormat="1" ht="18" hidden="1" customHeight="1">
      <c r="A55" s="583"/>
      <c r="B55" s="584" t="s">
        <v>1324</v>
      </c>
      <c r="C55" s="566">
        <v>1</v>
      </c>
      <c r="D55" s="566" t="s">
        <v>907</v>
      </c>
      <c r="E55" s="566">
        <v>1</v>
      </c>
      <c r="F55" s="566">
        <v>7.5</v>
      </c>
      <c r="G55" s="566">
        <v>7</v>
      </c>
      <c r="H55" s="566">
        <v>0.3</v>
      </c>
      <c r="I55" s="566">
        <f>ROUND(C55*E55*F55*G55*H55,2)</f>
        <v>15.75</v>
      </c>
      <c r="J55" s="566"/>
      <c r="K55" s="611"/>
      <c r="L55" s="608"/>
      <c r="M55" s="609"/>
      <c r="N55" s="610"/>
    </row>
    <row r="56" spans="1:14" ht="15" hidden="1" customHeight="1">
      <c r="A56" s="562"/>
      <c r="B56" s="567"/>
      <c r="C56" s="568"/>
      <c r="D56" s="568"/>
      <c r="E56" s="568"/>
      <c r="F56" s="561"/>
      <c r="G56" s="560"/>
      <c r="H56" s="561"/>
      <c r="I56" s="560"/>
      <c r="J56" s="560">
        <f>'Bridge Data'!J397</f>
        <v>9708.5300000000007</v>
      </c>
      <c r="K56" s="560">
        <v>1</v>
      </c>
      <c r="L56" s="597">
        <f>ROUND(I56*J56,0)</f>
        <v>0</v>
      </c>
    </row>
    <row r="57" spans="1:14" ht="15" hidden="1" customHeight="1">
      <c r="A57" s="562"/>
      <c r="B57" s="567"/>
      <c r="C57" s="568"/>
      <c r="D57" s="568"/>
      <c r="E57" s="568"/>
      <c r="F57" s="561"/>
      <c r="G57" s="561"/>
      <c r="H57" s="561"/>
      <c r="I57" s="560" t="s">
        <v>31</v>
      </c>
      <c r="J57" s="560"/>
      <c r="K57" s="560" t="s">
        <v>31</v>
      </c>
      <c r="L57" s="597"/>
    </row>
    <row r="58" spans="1:14" ht="60.75" customHeight="1">
      <c r="A58" s="562">
        <v>6</v>
      </c>
      <c r="B58" s="3930" t="str">
        <f>'Bridge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8" s="3930"/>
      <c r="D58" s="3930"/>
      <c r="E58" s="3930"/>
      <c r="F58" s="3930"/>
      <c r="G58" s="3930"/>
      <c r="H58" s="3930"/>
      <c r="I58" s="3930"/>
      <c r="J58" s="3930"/>
      <c r="K58" s="3930"/>
      <c r="L58" s="597"/>
    </row>
    <row r="59" spans="1:14" ht="30" customHeight="1">
      <c r="A59" s="555"/>
      <c r="B59" s="556" t="s">
        <v>1325</v>
      </c>
      <c r="C59" s="557">
        <v>1</v>
      </c>
      <c r="D59" s="557" t="s">
        <v>907</v>
      </c>
      <c r="E59" s="557">
        <v>2</v>
      </c>
      <c r="F59" s="557">
        <v>3.5</v>
      </c>
      <c r="G59" s="557">
        <v>6.6</v>
      </c>
      <c r="H59" s="558" t="s">
        <v>1326</v>
      </c>
      <c r="I59" s="557">
        <f>ROUNDDOWN(PRODUCT(C59:H59)*(2+0.5)/2,2)</f>
        <v>57.75</v>
      </c>
      <c r="J59" s="587"/>
      <c r="K59" s="612"/>
      <c r="L59" s="613"/>
    </row>
    <row r="60" spans="1:14" ht="20.100000000000001" customHeight="1">
      <c r="A60" s="555"/>
      <c r="B60" s="559"/>
      <c r="C60" s="560"/>
      <c r="D60" s="560"/>
      <c r="E60" s="560"/>
      <c r="F60" s="561"/>
      <c r="G60" s="560"/>
      <c r="H60" s="561"/>
      <c r="I60" s="605">
        <f>I59</f>
        <v>57.75</v>
      </c>
      <c r="J60" s="560">
        <f>'Bridge Data'!J625</f>
        <v>801.15</v>
      </c>
      <c r="K60" s="560">
        <v>1</v>
      </c>
      <c r="L60" s="597">
        <f>ROUND(I60*J60,0)</f>
        <v>46266</v>
      </c>
    </row>
    <row r="61" spans="1:14" ht="18" customHeight="1">
      <c r="A61" s="555"/>
      <c r="B61" s="559"/>
      <c r="C61" s="560"/>
      <c r="D61" s="560"/>
      <c r="E61" s="560"/>
      <c r="F61" s="561"/>
      <c r="G61" s="561"/>
      <c r="H61" s="561"/>
      <c r="I61" s="560" t="s">
        <v>31</v>
      </c>
      <c r="J61" s="560"/>
      <c r="K61" s="560" t="s">
        <v>31</v>
      </c>
      <c r="L61" s="597"/>
    </row>
    <row r="62" spans="1:14" ht="122.25" customHeight="1">
      <c r="A62" s="562">
        <v>7</v>
      </c>
      <c r="B62" s="3930" t="str">
        <f>'Bridge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62" s="3930"/>
      <c r="D62" s="3930"/>
      <c r="E62" s="3930"/>
      <c r="F62" s="3930"/>
      <c r="G62" s="3930"/>
      <c r="H62" s="3930"/>
      <c r="I62" s="3930"/>
      <c r="J62" s="3930"/>
      <c r="K62" s="3930"/>
      <c r="L62" s="597"/>
    </row>
    <row r="63" spans="1:14" s="544" customFormat="1" ht="20.100000000000001" customHeight="1">
      <c r="A63" s="585"/>
      <c r="B63" s="586" t="s">
        <v>1327</v>
      </c>
      <c r="C63" s="587">
        <v>1</v>
      </c>
      <c r="D63" s="587" t="s">
        <v>907</v>
      </c>
      <c r="E63" s="587">
        <v>1</v>
      </c>
      <c r="F63" s="587">
        <v>7.5</v>
      </c>
      <c r="G63" s="587">
        <v>6.76</v>
      </c>
      <c r="H63" s="587">
        <v>0.1</v>
      </c>
      <c r="I63" s="614">
        <f>ROUNDDOWN(PRODUCT(C63:H63),2)</f>
        <v>5.07</v>
      </c>
      <c r="J63" s="587"/>
      <c r="K63" s="612"/>
      <c r="L63" s="613"/>
      <c r="M63" s="615"/>
      <c r="N63" s="616"/>
    </row>
    <row r="64" spans="1:14" s="544" customFormat="1" ht="20.100000000000001" customHeight="1">
      <c r="A64" s="585"/>
      <c r="B64" s="586" t="s">
        <v>1349</v>
      </c>
      <c r="C64" s="587">
        <v>1</v>
      </c>
      <c r="D64" s="587" t="s">
        <v>907</v>
      </c>
      <c r="E64" s="587">
        <v>2</v>
      </c>
      <c r="F64" s="587">
        <v>3.5</v>
      </c>
      <c r="G64" s="587">
        <v>7.5</v>
      </c>
      <c r="H64" s="587">
        <v>0.1</v>
      </c>
      <c r="I64" s="614">
        <f>ROUNDDOWN(PRODUCT(C64:H64),2)</f>
        <v>5.25</v>
      </c>
      <c r="J64" s="587"/>
      <c r="K64" s="612"/>
      <c r="L64" s="613"/>
      <c r="M64" s="615"/>
      <c r="N64" s="616"/>
    </row>
    <row r="65" spans="1:12" ht="20.100000000000001" customHeight="1">
      <c r="A65" s="555"/>
      <c r="B65" s="559"/>
      <c r="C65" s="560"/>
      <c r="D65" s="560"/>
      <c r="E65" s="560"/>
      <c r="F65" s="561"/>
      <c r="G65" s="560"/>
      <c r="H65" s="561"/>
      <c r="I65" s="605">
        <f>SUM(I63:I64)</f>
        <v>10.32</v>
      </c>
      <c r="J65" s="560">
        <f>'Bridge Data'!J428</f>
        <v>8090.44</v>
      </c>
      <c r="K65" s="560">
        <v>1</v>
      </c>
      <c r="L65" s="597">
        <f>ROUND(I65*J65,0)</f>
        <v>83493</v>
      </c>
    </row>
    <row r="66" spans="1:12" ht="18" customHeight="1">
      <c r="A66" s="555"/>
      <c r="B66" s="559"/>
      <c r="C66" s="560"/>
      <c r="D66" s="560"/>
      <c r="E66" s="560"/>
      <c r="F66" s="561"/>
      <c r="G66" s="561"/>
      <c r="H66" s="561"/>
      <c r="I66" s="560" t="s">
        <v>31</v>
      </c>
      <c r="J66" s="560"/>
      <c r="K66" s="560" t="s">
        <v>31</v>
      </c>
      <c r="L66" s="597"/>
    </row>
    <row r="67" spans="1:12" s="545" customFormat="1" ht="120.75" customHeight="1">
      <c r="A67" s="617">
        <v>8</v>
      </c>
      <c r="B67" s="3930"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7" s="3930"/>
      <c r="D67" s="3930"/>
      <c r="E67" s="3930"/>
      <c r="F67" s="3930"/>
      <c r="G67" s="3930"/>
      <c r="H67" s="3930"/>
      <c r="I67" s="3930"/>
      <c r="J67" s="3930"/>
      <c r="K67" s="3930"/>
      <c r="L67" s="633"/>
    </row>
    <row r="68" spans="1:12" ht="30" customHeight="1">
      <c r="A68" s="555"/>
      <c r="B68" s="556" t="s">
        <v>1328</v>
      </c>
      <c r="C68" s="557">
        <v>1</v>
      </c>
      <c r="D68" s="557" t="s">
        <v>907</v>
      </c>
      <c r="E68" s="557">
        <v>2</v>
      </c>
      <c r="F68" s="557">
        <v>5</v>
      </c>
      <c r="G68" s="558" t="s">
        <v>1350</v>
      </c>
      <c r="H68" s="558" t="s">
        <v>1351</v>
      </c>
      <c r="I68" s="557">
        <f>ROUND(PRODUCT(C68:H68)*(13.5+7.5)/2*(2+0.3)/2,2)</f>
        <v>120.75</v>
      </c>
      <c r="J68" s="556"/>
      <c r="K68" s="634"/>
      <c r="L68" s="635"/>
    </row>
    <row r="69" spans="1:12" ht="20.100000000000001" customHeight="1">
      <c r="A69" s="555"/>
      <c r="B69" s="618"/>
      <c r="C69" s="570"/>
      <c r="D69" s="570"/>
      <c r="E69" s="570"/>
      <c r="F69" s="619"/>
      <c r="G69" s="619"/>
      <c r="H69" s="619"/>
      <c r="I69" s="596">
        <f>SUM(I68:I68)</f>
        <v>120.75</v>
      </c>
      <c r="J69" s="619">
        <f>'Road data'!G188</f>
        <v>297.89</v>
      </c>
      <c r="K69" s="636" t="s">
        <v>1331</v>
      </c>
      <c r="L69" s="597">
        <f>ROUND(I69*J69,0)</f>
        <v>35970</v>
      </c>
    </row>
    <row r="70" spans="1:12" ht="15" customHeight="1">
      <c r="A70" s="555"/>
      <c r="B70" s="559"/>
      <c r="C70" s="560"/>
      <c r="D70" s="560"/>
      <c r="E70" s="560"/>
      <c r="F70" s="561"/>
      <c r="G70" s="561"/>
      <c r="H70" s="561"/>
      <c r="I70" s="560" t="s">
        <v>73</v>
      </c>
      <c r="J70" s="560"/>
      <c r="K70" s="560"/>
      <c r="L70" s="597"/>
    </row>
    <row r="71" spans="1:12" ht="104.25" customHeight="1">
      <c r="A71" s="562">
        <v>9</v>
      </c>
      <c r="B71" s="3930" t="str">
        <f>'Bridge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71" s="3930"/>
      <c r="D71" s="3930"/>
      <c r="E71" s="3930"/>
      <c r="F71" s="3930"/>
      <c r="G71" s="3930"/>
      <c r="H71" s="3930"/>
      <c r="I71" s="3930"/>
      <c r="J71" s="3930"/>
      <c r="K71" s="3930"/>
      <c r="L71" s="637"/>
    </row>
    <row r="72" spans="1:12" ht="20.100000000000001" customHeight="1">
      <c r="A72" s="555"/>
      <c r="B72" s="556" t="s">
        <v>1328</v>
      </c>
      <c r="C72" s="557">
        <v>1</v>
      </c>
      <c r="D72" s="557" t="s">
        <v>907</v>
      </c>
      <c r="E72" s="557">
        <v>2</v>
      </c>
      <c r="F72" s="557">
        <f>F59</f>
        <v>3.5</v>
      </c>
      <c r="G72" s="557">
        <v>6.5</v>
      </c>
      <c r="H72" s="557">
        <v>0.15</v>
      </c>
      <c r="I72" s="557">
        <f>ROUND(PRODUCT(C72:H72),2)</f>
        <v>6.83</v>
      </c>
      <c r="J72" s="556"/>
      <c r="K72" s="634"/>
      <c r="L72" s="635"/>
    </row>
    <row r="73" spans="1:12" ht="20.100000000000001" customHeight="1">
      <c r="A73" s="555"/>
      <c r="B73" s="618"/>
      <c r="C73" s="570"/>
      <c r="D73" s="570"/>
      <c r="E73" s="570"/>
      <c r="F73" s="619"/>
      <c r="G73" s="619"/>
      <c r="H73" s="619"/>
      <c r="I73" s="596">
        <f>SUM(I72:I72)</f>
        <v>6.83</v>
      </c>
      <c r="J73" s="619">
        <f>'Bridge Data'!J535</f>
        <v>7050.69</v>
      </c>
      <c r="K73" s="636" t="s">
        <v>1331</v>
      </c>
      <c r="L73" s="597">
        <f>ROUND(I73*J73,0)</f>
        <v>48156</v>
      </c>
    </row>
    <row r="74" spans="1:12" ht="15" customHeight="1">
      <c r="A74" s="555"/>
      <c r="B74" s="559"/>
      <c r="C74" s="560"/>
      <c r="D74" s="560"/>
      <c r="E74" s="560"/>
      <c r="F74" s="561"/>
      <c r="G74" s="561"/>
      <c r="H74" s="561"/>
      <c r="I74" s="560" t="s">
        <v>73</v>
      </c>
      <c r="J74" s="560"/>
      <c r="K74" s="560"/>
      <c r="L74" s="597"/>
    </row>
    <row r="75" spans="1:12" ht="135.75" customHeight="1">
      <c r="A75" s="562">
        <v>10</v>
      </c>
      <c r="B75" s="3930" t="str">
        <f>'Bridge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5" s="3930"/>
      <c r="D75" s="3930"/>
      <c r="E75" s="3930"/>
      <c r="F75" s="3930"/>
      <c r="G75" s="3930"/>
      <c r="H75" s="3930"/>
      <c r="I75" s="3930"/>
      <c r="J75" s="3930"/>
      <c r="K75" s="3930"/>
      <c r="L75" s="637"/>
    </row>
    <row r="76" spans="1:12" ht="20.100000000000001" customHeight="1">
      <c r="A76" s="555"/>
      <c r="B76" s="556" t="s">
        <v>1332</v>
      </c>
      <c r="C76" s="557">
        <v>1</v>
      </c>
      <c r="D76" s="557" t="s">
        <v>907</v>
      </c>
      <c r="E76" s="557">
        <v>2</v>
      </c>
      <c r="F76" s="557">
        <v>3.5</v>
      </c>
      <c r="G76" s="557">
        <v>7.5</v>
      </c>
      <c r="H76" s="557">
        <v>0.3</v>
      </c>
      <c r="I76" s="557">
        <f>ROUND(PRODUCT(C76:H76),2)</f>
        <v>15.75</v>
      </c>
      <c r="J76" s="556"/>
      <c r="K76" s="634"/>
      <c r="L76" s="635"/>
    </row>
    <row r="77" spans="1:12" ht="20.100000000000001" customHeight="1">
      <c r="A77" s="555"/>
      <c r="B77" s="618"/>
      <c r="C77" s="570"/>
      <c r="D77" s="570"/>
      <c r="E77" s="570"/>
      <c r="F77" s="619"/>
      <c r="G77" s="619"/>
      <c r="H77" s="619"/>
      <c r="I77" s="596">
        <f>SUM(I76:I76)</f>
        <v>15.75</v>
      </c>
      <c r="J77" s="619">
        <f>'Bridge Data'!J504</f>
        <v>8198.74</v>
      </c>
      <c r="K77" s="636" t="s">
        <v>1331</v>
      </c>
      <c r="L77" s="638">
        <f>ROUND(I77*J77,0)</f>
        <v>129130</v>
      </c>
    </row>
    <row r="78" spans="1:12" ht="15" customHeight="1">
      <c r="A78" s="555"/>
      <c r="B78" s="618"/>
      <c r="C78" s="570"/>
      <c r="D78" s="570"/>
      <c r="E78" s="570"/>
      <c r="F78" s="619"/>
      <c r="G78" s="619"/>
      <c r="H78" s="619"/>
      <c r="I78" s="560" t="s">
        <v>73</v>
      </c>
      <c r="J78" s="619"/>
      <c r="K78" s="636"/>
      <c r="L78" s="638"/>
    </row>
    <row r="79" spans="1:12" ht="95.25" customHeight="1">
      <c r="A79" s="562">
        <v>11</v>
      </c>
      <c r="B79" s="3930" t="str">
        <f>'Bridge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9" s="3930"/>
      <c r="D79" s="3930"/>
      <c r="E79" s="3930"/>
      <c r="F79" s="3930"/>
      <c r="G79" s="3930"/>
      <c r="H79" s="3930"/>
      <c r="I79" s="3930"/>
      <c r="J79" s="3930"/>
      <c r="K79" s="3930"/>
      <c r="L79" s="637"/>
    </row>
    <row r="80" spans="1:12" ht="20.100000000000001" customHeight="1">
      <c r="A80" s="562"/>
      <c r="B80" s="620"/>
      <c r="C80" s="621">
        <v>1</v>
      </c>
      <c r="D80" s="621" t="s">
        <v>907</v>
      </c>
      <c r="E80" s="621">
        <v>2</v>
      </c>
      <c r="F80" s="621">
        <v>15.6</v>
      </c>
      <c r="G80" s="621"/>
      <c r="H80" s="621"/>
      <c r="I80" s="621">
        <f>ROUND(PRODUCT(C80:H80),2)</f>
        <v>31.2</v>
      </c>
      <c r="J80" s="620"/>
      <c r="K80" s="639"/>
      <c r="L80" s="640"/>
    </row>
    <row r="81" spans="1:12" ht="20.100000000000001" customHeight="1">
      <c r="A81" s="562"/>
      <c r="B81" s="622"/>
      <c r="C81" s="623"/>
      <c r="D81" s="623"/>
      <c r="E81" s="623"/>
      <c r="F81" s="624"/>
      <c r="G81" s="624"/>
      <c r="H81" s="624"/>
      <c r="I81" s="641">
        <f>SUM(I80:I80)</f>
        <v>31.2</v>
      </c>
      <c r="J81" s="624">
        <f>'Bridge Data'!J673</f>
        <v>642.07593751082038</v>
      </c>
      <c r="K81" s="642" t="s">
        <v>1003</v>
      </c>
      <c r="L81" s="637">
        <f>ROUND(I81*J81,0)</f>
        <v>20033</v>
      </c>
    </row>
    <row r="82" spans="1:12" ht="15" customHeight="1">
      <c r="A82" s="562"/>
      <c r="B82" s="622"/>
      <c r="C82" s="623"/>
      <c r="D82" s="623"/>
      <c r="E82" s="623"/>
      <c r="F82" s="624"/>
      <c r="G82" s="624"/>
      <c r="H82" s="624"/>
      <c r="I82" s="560" t="s">
        <v>1003</v>
      </c>
      <c r="J82" s="624"/>
      <c r="K82" s="642"/>
      <c r="L82" s="637"/>
    </row>
    <row r="83" spans="1:12" ht="107.25" customHeight="1">
      <c r="A83" s="562">
        <v>12</v>
      </c>
      <c r="B83" s="3930" t="str">
        <f>'Bridge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83" s="3930"/>
      <c r="D83" s="3930"/>
      <c r="E83" s="3930"/>
      <c r="F83" s="3930"/>
      <c r="G83" s="3930"/>
      <c r="H83" s="3930"/>
      <c r="I83" s="3930"/>
      <c r="J83" s="3930"/>
      <c r="K83" s="3930"/>
      <c r="L83" s="637"/>
    </row>
    <row r="84" spans="1:12" ht="20.100000000000001" customHeight="1">
      <c r="A84" s="555"/>
      <c r="B84" s="556"/>
      <c r="C84" s="557">
        <v>2</v>
      </c>
      <c r="D84" s="557" t="s">
        <v>907</v>
      </c>
      <c r="E84" s="557">
        <v>2</v>
      </c>
      <c r="F84" s="557">
        <v>15</v>
      </c>
      <c r="G84" s="557"/>
      <c r="H84" s="557"/>
      <c r="I84" s="557">
        <f>ROUND(PRODUCT(C84:H84),2)</f>
        <v>60</v>
      </c>
      <c r="J84" s="556"/>
      <c r="K84" s="634"/>
      <c r="L84" s="635"/>
    </row>
    <row r="85" spans="1:12" ht="20.100000000000001" customHeight="1">
      <c r="A85" s="555"/>
      <c r="B85" s="618"/>
      <c r="C85" s="570"/>
      <c r="D85" s="570"/>
      <c r="E85" s="570"/>
      <c r="F85" s="619"/>
      <c r="G85" s="619"/>
      <c r="H85" s="619"/>
      <c r="I85" s="596">
        <f>SUM(I84:I84)</f>
        <v>60</v>
      </c>
      <c r="J85" s="619">
        <f>'Bridge Data'!J312</f>
        <v>711.68633333333332</v>
      </c>
      <c r="K85" s="636" t="s">
        <v>1003</v>
      </c>
      <c r="L85" s="638">
        <f>ROUND(I85*J85,0)</f>
        <v>42701</v>
      </c>
    </row>
    <row r="86" spans="1:12" ht="15" customHeight="1">
      <c r="A86" s="555"/>
      <c r="B86" s="618"/>
      <c r="C86" s="570"/>
      <c r="D86" s="570"/>
      <c r="E86" s="570"/>
      <c r="F86" s="619"/>
      <c r="G86" s="619"/>
      <c r="H86" s="619"/>
      <c r="I86" s="560" t="s">
        <v>73</v>
      </c>
      <c r="J86" s="619"/>
      <c r="K86" s="636"/>
      <c r="L86" s="638"/>
    </row>
    <row r="87" spans="1:12" ht="123.75" customHeight="1">
      <c r="A87" s="562">
        <v>13</v>
      </c>
      <c r="B87" s="3930" t="str">
        <f>'Bridge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7" s="3930"/>
      <c r="D87" s="3930"/>
      <c r="E87" s="3930"/>
      <c r="F87" s="3930"/>
      <c r="G87" s="3930"/>
      <c r="H87" s="3930"/>
      <c r="I87" s="3930"/>
      <c r="J87" s="3930"/>
      <c r="K87" s="3930"/>
      <c r="L87" s="637"/>
    </row>
    <row r="88" spans="1:12" ht="20.100000000000001" customHeight="1">
      <c r="A88" s="555"/>
      <c r="B88" s="556"/>
      <c r="C88" s="557">
        <v>1</v>
      </c>
      <c r="D88" s="557" t="s">
        <v>907</v>
      </c>
      <c r="E88" s="557">
        <v>2</v>
      </c>
      <c r="F88" s="557">
        <v>13.5</v>
      </c>
      <c r="G88" s="557">
        <v>0.23</v>
      </c>
      <c r="H88" s="557">
        <v>1.5</v>
      </c>
      <c r="I88" s="557">
        <f>ROUND(PRODUCT(C88:H88),2)</f>
        <v>9.32</v>
      </c>
      <c r="J88" s="556"/>
      <c r="K88" s="634"/>
      <c r="L88" s="635"/>
    </row>
    <row r="89" spans="1:12" ht="20.100000000000001" customHeight="1">
      <c r="A89" s="555"/>
      <c r="B89" s="618"/>
      <c r="C89" s="570"/>
      <c r="D89" s="570"/>
      <c r="E89" s="570"/>
      <c r="F89" s="619"/>
      <c r="G89" s="619"/>
      <c r="H89" s="619"/>
      <c r="I89" s="596">
        <f>SUM(I88:I88)</f>
        <v>9.32</v>
      </c>
      <c r="J89" s="619">
        <f>'Bridge Data'!J335</f>
        <v>2587.65</v>
      </c>
      <c r="K89" s="636" t="s">
        <v>73</v>
      </c>
      <c r="L89" s="638">
        <f>ROUND(I89*J89,0)</f>
        <v>24117</v>
      </c>
    </row>
    <row r="90" spans="1:12" ht="15" customHeight="1">
      <c r="A90" s="555"/>
      <c r="B90" s="618"/>
      <c r="C90" s="570"/>
      <c r="D90" s="570"/>
      <c r="E90" s="570"/>
      <c r="F90" s="619"/>
      <c r="G90" s="619"/>
      <c r="H90" s="619"/>
      <c r="I90" s="560" t="s">
        <v>73</v>
      </c>
      <c r="J90" s="619"/>
      <c r="K90" s="636"/>
      <c r="L90" s="638"/>
    </row>
    <row r="91" spans="1:12" ht="60" customHeight="1">
      <c r="A91" s="562">
        <v>14</v>
      </c>
      <c r="B91" s="3930" t="str">
        <f>'Bridge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91" s="3930"/>
      <c r="D91" s="3930"/>
      <c r="E91" s="3930"/>
      <c r="F91" s="3930"/>
      <c r="G91" s="3930"/>
      <c r="H91" s="3930"/>
      <c r="I91" s="3930"/>
      <c r="J91" s="3930"/>
      <c r="K91" s="3930"/>
      <c r="L91" s="637"/>
    </row>
    <row r="92" spans="1:12" ht="20.100000000000001" customHeight="1">
      <c r="A92" s="555"/>
      <c r="B92" s="556" t="s">
        <v>1333</v>
      </c>
      <c r="C92" s="557">
        <v>1</v>
      </c>
      <c r="D92" s="557" t="s">
        <v>907</v>
      </c>
      <c r="E92" s="557">
        <v>1</v>
      </c>
      <c r="F92" s="557">
        <v>8.25</v>
      </c>
      <c r="G92" s="557">
        <v>6</v>
      </c>
      <c r="H92" s="557">
        <v>0.3</v>
      </c>
      <c r="I92" s="557">
        <f>ROUND(PRODUCT(C92:H92),2)</f>
        <v>14.85</v>
      </c>
      <c r="J92" s="556"/>
      <c r="K92" s="634"/>
      <c r="L92" s="635"/>
    </row>
    <row r="93" spans="1:12" ht="20.100000000000001" customHeight="1">
      <c r="A93" s="555"/>
      <c r="B93" s="556" t="s">
        <v>1334</v>
      </c>
      <c r="C93" s="557">
        <v>1</v>
      </c>
      <c r="D93" s="557" t="s">
        <v>907</v>
      </c>
      <c r="E93" s="557">
        <v>1</v>
      </c>
      <c r="F93" s="557">
        <v>14</v>
      </c>
      <c r="G93" s="557">
        <v>1.5</v>
      </c>
      <c r="H93" s="557">
        <v>0.3</v>
      </c>
      <c r="I93" s="557">
        <f>ROUND(PRODUCT(C93:H93),2)</f>
        <v>6.3</v>
      </c>
      <c r="J93" s="556"/>
      <c r="K93" s="634"/>
      <c r="L93" s="635"/>
    </row>
    <row r="94" spans="1:12" ht="20.100000000000001" customHeight="1">
      <c r="A94" s="555"/>
      <c r="B94" s="556" t="s">
        <v>1335</v>
      </c>
      <c r="C94" s="557">
        <v>1</v>
      </c>
      <c r="D94" s="557" t="s">
        <v>907</v>
      </c>
      <c r="E94" s="557">
        <v>1</v>
      </c>
      <c r="F94" s="557">
        <v>14</v>
      </c>
      <c r="G94" s="557">
        <v>3</v>
      </c>
      <c r="H94" s="557">
        <v>0.3</v>
      </c>
      <c r="I94" s="557">
        <f>ROUND(PRODUCT(C94:H94),2)</f>
        <v>12.6</v>
      </c>
      <c r="J94" s="556"/>
      <c r="K94" s="634"/>
      <c r="L94" s="635"/>
    </row>
    <row r="95" spans="1:12" ht="20.100000000000001" customHeight="1">
      <c r="A95" s="555"/>
      <c r="B95" s="618"/>
      <c r="C95" s="570"/>
      <c r="D95" s="570"/>
      <c r="E95" s="570"/>
      <c r="F95" s="619"/>
      <c r="G95" s="619"/>
      <c r="H95" s="619"/>
      <c r="I95" s="596">
        <f>SUM(I92:I94)</f>
        <v>33.75</v>
      </c>
      <c r="J95" s="619">
        <f>'Bridge Data'!J559</f>
        <v>2216.91</v>
      </c>
      <c r="K95" s="636" t="s">
        <v>73</v>
      </c>
      <c r="L95" s="638">
        <f>ROUND(I95*J95,0)</f>
        <v>74821</v>
      </c>
    </row>
    <row r="96" spans="1:12" ht="20.100000000000001" customHeight="1">
      <c r="A96" s="555"/>
      <c r="B96" s="559"/>
      <c r="C96" s="560"/>
      <c r="D96" s="560"/>
      <c r="E96" s="560"/>
      <c r="F96" s="561"/>
      <c r="G96" s="561"/>
      <c r="H96" s="561"/>
      <c r="I96" s="560" t="s">
        <v>73</v>
      </c>
      <c r="J96" s="560"/>
      <c r="K96" s="560"/>
      <c r="L96" s="597"/>
    </row>
    <row r="97" spans="1:12" ht="20.100000000000001" customHeight="1">
      <c r="A97" s="562"/>
      <c r="B97" s="567"/>
      <c r="C97" s="568"/>
      <c r="D97" s="568"/>
      <c r="E97" s="568"/>
      <c r="F97" s="561"/>
      <c r="G97" s="561"/>
      <c r="H97" s="561"/>
      <c r="I97" s="560"/>
      <c r="J97" s="560"/>
      <c r="K97" s="560"/>
      <c r="L97" s="597"/>
    </row>
    <row r="98" spans="1:12" ht="130.5" customHeight="1">
      <c r="A98" s="562">
        <v>15</v>
      </c>
      <c r="B98" s="3930" t="str">
        <f>'Bridge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8" s="3930"/>
      <c r="D98" s="3930"/>
      <c r="E98" s="3930"/>
      <c r="F98" s="3930"/>
      <c r="G98" s="3930"/>
      <c r="H98" s="3930"/>
      <c r="I98" s="3930"/>
      <c r="J98" s="3930"/>
      <c r="K98" s="3930"/>
      <c r="L98" s="597"/>
    </row>
    <row r="99" spans="1:12" ht="20.100000000000001" customHeight="1">
      <c r="A99" s="555"/>
      <c r="B99" s="559"/>
      <c r="C99" s="560"/>
      <c r="D99" s="560"/>
      <c r="E99" s="560"/>
      <c r="F99" s="561"/>
      <c r="G99" s="561"/>
      <c r="H99" s="561"/>
      <c r="I99" s="560">
        <v>0.61199999999999999</v>
      </c>
      <c r="J99" s="560">
        <f>'Bridge Data'!J175</f>
        <v>74877.55</v>
      </c>
      <c r="K99" s="560">
        <v>1</v>
      </c>
      <c r="L99" s="597">
        <f>ROUND(I99*J99,0)</f>
        <v>45825</v>
      </c>
    </row>
    <row r="100" spans="1:12" ht="20.100000000000001" customHeight="1">
      <c r="A100" s="555"/>
      <c r="B100" s="559"/>
      <c r="C100" s="560"/>
      <c r="D100" s="560"/>
      <c r="E100" s="560"/>
      <c r="F100" s="561"/>
      <c r="G100" s="561"/>
      <c r="H100" s="561"/>
      <c r="I100" s="560" t="s">
        <v>66</v>
      </c>
      <c r="J100" s="560"/>
      <c r="K100" s="560" t="s">
        <v>66</v>
      </c>
      <c r="L100" s="597"/>
    </row>
    <row r="101" spans="1:12" ht="15" customHeight="1">
      <c r="A101" s="562"/>
      <c r="B101" s="567"/>
      <c r="C101" s="568"/>
      <c r="D101" s="568"/>
      <c r="E101" s="568"/>
      <c r="F101" s="561"/>
      <c r="G101" s="561"/>
      <c r="H101" s="561"/>
      <c r="I101" s="560"/>
      <c r="J101" s="560"/>
      <c r="K101" s="560"/>
      <c r="L101" s="597"/>
    </row>
    <row r="102" spans="1:12" ht="132" customHeight="1">
      <c r="A102" s="562">
        <v>16</v>
      </c>
      <c r="B102" s="3930" t="str">
        <f>'Bridge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102" s="3930"/>
      <c r="D102" s="3930"/>
      <c r="E102" s="3930"/>
      <c r="F102" s="3930"/>
      <c r="G102" s="3930"/>
      <c r="H102" s="3930"/>
      <c r="I102" s="3930"/>
      <c r="J102" s="3930"/>
      <c r="K102" s="3930"/>
      <c r="L102" s="597"/>
    </row>
    <row r="103" spans="1:12" ht="20.100000000000001" customHeight="1">
      <c r="A103" s="555"/>
      <c r="B103" s="559"/>
      <c r="C103" s="560"/>
      <c r="D103" s="560"/>
      <c r="E103" s="560"/>
      <c r="F103" s="561"/>
      <c r="G103" s="561"/>
      <c r="H103" s="561"/>
      <c r="I103" s="560">
        <v>0.61199999999999999</v>
      </c>
      <c r="J103" s="560">
        <f>'Bridge Data'!J290</f>
        <v>75210.44</v>
      </c>
      <c r="K103" s="560">
        <v>1</v>
      </c>
      <c r="L103" s="597">
        <f>ROUND(I103*J103,0)</f>
        <v>46029</v>
      </c>
    </row>
    <row r="104" spans="1:12" ht="20.100000000000001" customHeight="1">
      <c r="A104" s="555"/>
      <c r="B104" s="559"/>
      <c r="C104" s="560"/>
      <c r="D104" s="560"/>
      <c r="E104" s="560"/>
      <c r="F104" s="561"/>
      <c r="G104" s="561"/>
      <c r="H104" s="561"/>
      <c r="I104" s="560" t="s">
        <v>66</v>
      </c>
      <c r="J104" s="560"/>
      <c r="K104" s="560" t="s">
        <v>66</v>
      </c>
      <c r="L104" s="597"/>
    </row>
    <row r="105" spans="1:12" ht="134.25" customHeight="1">
      <c r="A105" s="562">
        <v>17</v>
      </c>
      <c r="B105" s="3930" t="str">
        <f>'Bridge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5" s="3930"/>
      <c r="D105" s="3930"/>
      <c r="E105" s="3930"/>
      <c r="F105" s="3930"/>
      <c r="G105" s="3930"/>
      <c r="H105" s="3930"/>
      <c r="I105" s="3930"/>
      <c r="J105" s="3930"/>
      <c r="K105" s="3930"/>
      <c r="L105" s="598"/>
    </row>
    <row r="106" spans="1:12" ht="20.100000000000001" customHeight="1">
      <c r="A106" s="555"/>
      <c r="B106" s="559"/>
      <c r="C106" s="560"/>
      <c r="D106" s="560"/>
      <c r="E106" s="560"/>
      <c r="F106" s="561"/>
      <c r="G106" s="561"/>
      <c r="H106" s="561"/>
      <c r="I106" s="560">
        <v>4</v>
      </c>
      <c r="J106" s="560">
        <f>'Bridge Data'!J451</f>
        <v>77481.45</v>
      </c>
      <c r="K106" s="560">
        <v>1</v>
      </c>
      <c r="L106" s="597">
        <f>ROUND(I106*J106,0)</f>
        <v>309926</v>
      </c>
    </row>
    <row r="107" spans="1:12" ht="20.100000000000001" customHeight="1">
      <c r="A107" s="625"/>
      <c r="B107" s="626"/>
      <c r="C107" s="627"/>
      <c r="D107" s="627"/>
      <c r="E107" s="627"/>
      <c r="F107" s="628"/>
      <c r="G107" s="628"/>
      <c r="H107" s="628"/>
      <c r="I107" s="627" t="s">
        <v>66</v>
      </c>
      <c r="J107" s="627"/>
      <c r="K107" s="627" t="s">
        <v>66</v>
      </c>
      <c r="L107" s="643"/>
    </row>
    <row r="108" spans="1:12" ht="23.25" customHeight="1">
      <c r="A108" s="629"/>
      <c r="B108" s="626"/>
      <c r="C108" s="627"/>
      <c r="D108" s="627"/>
      <c r="E108" s="627"/>
      <c r="F108" s="628"/>
      <c r="G108" s="628"/>
      <c r="H108" s="628"/>
      <c r="I108" s="627"/>
      <c r="J108" s="628" t="s">
        <v>1298</v>
      </c>
      <c r="K108" s="628"/>
      <c r="L108" s="644">
        <f>SUM(L6:L107)</f>
        <v>2889881</v>
      </c>
    </row>
    <row r="109" spans="1:12" ht="12.75" customHeight="1">
      <c r="L109" s="645"/>
    </row>
    <row r="112" spans="1:12" ht="15" customHeight="1">
      <c r="B112" s="630" t="s">
        <v>900</v>
      </c>
      <c r="F112" s="3934" t="s">
        <v>742</v>
      </c>
      <c r="G112" s="3934"/>
      <c r="H112" s="3934"/>
      <c r="J112" s="630" t="s">
        <v>1352</v>
      </c>
    </row>
    <row r="113" spans="1:20" ht="15" customHeight="1">
      <c r="B113" s="630" t="str">
        <f>'Slab Culvert 1V 5m x 2m span'!F105</f>
        <v>PRSD, Maddur</v>
      </c>
      <c r="F113" s="3934" t="str">
        <f>'Slab Culvert 1V 5m x 2m span'!J105</f>
        <v>PRSD, Maddur</v>
      </c>
      <c r="G113" s="3934"/>
      <c r="H113" s="3934"/>
      <c r="J113" s="630" t="str">
        <f>'Slab Culvert 1V 5m x 2m span'!F110</f>
        <v>PIU, Narayanpet</v>
      </c>
    </row>
    <row r="114" spans="1:20">
      <c r="B114" s="630"/>
      <c r="F114" s="630"/>
      <c r="J114" s="631"/>
      <c r="K114" s="631"/>
    </row>
    <row r="115" spans="1:20">
      <c r="B115" s="630"/>
      <c r="F115" s="630"/>
      <c r="J115" s="631"/>
      <c r="K115" s="631"/>
    </row>
    <row r="116" spans="1:20">
      <c r="B116" s="632"/>
      <c r="F116" s="631"/>
      <c r="J116" s="632"/>
      <c r="K116" s="631"/>
    </row>
    <row r="117" spans="1:20" ht="15" customHeight="1">
      <c r="B117" s="630"/>
      <c r="I117" s="3934"/>
      <c r="J117" s="3934"/>
      <c r="K117" s="3934"/>
    </row>
    <row r="118" spans="1:20" s="539" customFormat="1">
      <c r="A118" s="546"/>
      <c r="B118" s="630"/>
      <c r="I118" s="3935"/>
      <c r="J118" s="3935"/>
      <c r="K118" s="3935"/>
      <c r="L118" s="548"/>
      <c r="M118" s="547"/>
      <c r="N118" s="547"/>
      <c r="O118" s="547"/>
      <c r="P118" s="547"/>
      <c r="Q118" s="547"/>
      <c r="R118" s="547"/>
      <c r="S118" s="547"/>
      <c r="T118" s="547"/>
    </row>
  </sheetData>
  <protectedRanges>
    <protectedRange sqref="J112:J113 B112:B118 F114:F116" name="Range4"/>
    <protectedRange sqref="I117 H112:H113 F112:F113 J114:J116 K114:K118" name="Range4_1"/>
  </protectedRanges>
  <mergeCells count="30">
    <mergeCell ref="B105:K105"/>
    <mergeCell ref="F112:H112"/>
    <mergeCell ref="F113:H113"/>
    <mergeCell ref="I117:K117"/>
    <mergeCell ref="I118:K118"/>
    <mergeCell ref="B83:K83"/>
    <mergeCell ref="B87:K87"/>
    <mergeCell ref="B91:K91"/>
    <mergeCell ref="B98:K98"/>
    <mergeCell ref="B102:K102"/>
    <mergeCell ref="B62:K62"/>
    <mergeCell ref="B67:K67"/>
    <mergeCell ref="B71:K71"/>
    <mergeCell ref="B75:K75"/>
    <mergeCell ref="B79:K79"/>
    <mergeCell ref="B33:K33"/>
    <mergeCell ref="B40:K40"/>
    <mergeCell ref="B47:K47"/>
    <mergeCell ref="B53:K53"/>
    <mergeCell ref="B58:K58"/>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1"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5" tint="-0.249977111117893"/>
  </sheetPr>
  <dimension ref="A1:AC110"/>
  <sheetViews>
    <sheetView showGridLines="0" view="pageBreakPreview" workbookViewId="0">
      <selection activeCell="B15" sqref="B15:K15"/>
    </sheetView>
  </sheetViews>
  <sheetFormatPr defaultColWidth="9.109375" defaultRowHeight="14.4"/>
  <cols>
    <col min="1" max="1" width="4.44140625" style="648" customWidth="1"/>
    <col min="2" max="2" width="18.33203125" style="547" customWidth="1"/>
    <col min="3" max="5" width="3.33203125" style="539" customWidth="1"/>
    <col min="6" max="6" width="7.6640625" style="539" customWidth="1"/>
    <col min="7" max="7" width="11.5546875" style="539" customWidth="1"/>
    <col min="8" max="8" width="11.33203125" style="539" customWidth="1"/>
    <col min="9" max="9" width="11.109375" style="539" customWidth="1"/>
    <col min="10" max="10" width="12.109375" style="539" customWidth="1"/>
    <col min="11" max="11" width="7.5546875" style="539" customWidth="1"/>
    <col min="12" max="12" width="13.33203125" style="548" customWidth="1"/>
    <col min="13" max="13" width="9.109375" style="547" hidden="1" customWidth="1"/>
    <col min="14" max="14" width="13.88671875" style="547" hidden="1" customWidth="1"/>
    <col min="15" max="15" width="11" style="547" hidden="1" customWidth="1"/>
    <col min="16" max="16" width="6.33203125" style="547" hidden="1" customWidth="1"/>
    <col min="17" max="29" width="9.109375" style="547" hidden="1" customWidth="1"/>
    <col min="30" max="16384" width="9.109375" style="547"/>
  </cols>
  <sheetData>
    <row r="1" spans="1:15" ht="18" customHeight="1">
      <c r="A1" s="3870" t="s">
        <v>2605</v>
      </c>
      <c r="B1" s="3918"/>
      <c r="C1" s="3918"/>
      <c r="D1" s="3918"/>
      <c r="E1" s="3918"/>
      <c r="F1" s="3918"/>
      <c r="G1" s="3918"/>
      <c r="H1" s="3918"/>
      <c r="I1" s="3918"/>
      <c r="J1" s="3918"/>
      <c r="K1" s="3918"/>
      <c r="L1" s="3918"/>
    </row>
    <row r="2" spans="1:15" ht="30" customHeight="1">
      <c r="A2" s="3936" t="s">
        <v>676</v>
      </c>
      <c r="B2" s="3936"/>
      <c r="C2" s="649"/>
      <c r="D2" s="649"/>
      <c r="E2" s="649"/>
      <c r="F2" s="3923" t="str">
        <f>'Input Data'!E1</f>
        <v>C/o HLB on R/F Amlikunta to Gundumal of Gundumal Mandal of Narayanept District.</v>
      </c>
      <c r="G2" s="3923"/>
      <c r="H2" s="3923"/>
      <c r="I2" s="3923"/>
      <c r="J2" s="3923"/>
      <c r="K2" s="3923"/>
      <c r="L2" s="3923"/>
    </row>
    <row r="3" spans="1:15" s="548" customFormat="1" ht="21.75" customHeight="1">
      <c r="A3" s="3937" t="s">
        <v>2627</v>
      </c>
      <c r="B3" s="3926"/>
      <c r="C3" s="3926"/>
      <c r="D3" s="3926"/>
      <c r="E3" s="3926"/>
      <c r="F3" s="3926"/>
      <c r="G3" s="3926"/>
      <c r="H3" s="3926"/>
      <c r="I3" s="3926"/>
      <c r="J3" s="3926"/>
      <c r="K3" s="3926"/>
      <c r="L3" s="3926"/>
    </row>
    <row r="4" spans="1:15" s="539" customFormat="1" ht="33" customHeight="1">
      <c r="A4" s="650" t="s">
        <v>1285</v>
      </c>
      <c r="B4" s="590" t="s">
        <v>904</v>
      </c>
      <c r="C4" s="3938" t="s">
        <v>905</v>
      </c>
      <c r="D4" s="3938"/>
      <c r="E4" s="3938"/>
      <c r="F4" s="590" t="s">
        <v>180</v>
      </c>
      <c r="G4" s="590" t="s">
        <v>732</v>
      </c>
      <c r="H4" s="590" t="s">
        <v>906</v>
      </c>
      <c r="I4" s="685" t="s">
        <v>3</v>
      </c>
      <c r="J4" s="652" t="s">
        <v>5</v>
      </c>
      <c r="K4" s="652" t="s">
        <v>579</v>
      </c>
      <c r="L4" s="590" t="s">
        <v>7</v>
      </c>
    </row>
    <row r="5" spans="1:15" s="548" customFormat="1">
      <c r="A5" s="651">
        <v>1</v>
      </c>
      <c r="B5" s="652">
        <v>2</v>
      </c>
      <c r="C5" s="3939">
        <v>3</v>
      </c>
      <c r="D5" s="3939"/>
      <c r="E5" s="3939"/>
      <c r="F5" s="652">
        <v>4</v>
      </c>
      <c r="G5" s="652">
        <v>5</v>
      </c>
      <c r="H5" s="652">
        <v>6</v>
      </c>
      <c r="I5" s="686">
        <v>7</v>
      </c>
      <c r="J5" s="652">
        <v>8</v>
      </c>
      <c r="K5" s="652">
        <v>9</v>
      </c>
      <c r="L5" s="652">
        <v>10</v>
      </c>
    </row>
    <row r="6" spans="1:15" ht="89.25" customHeight="1">
      <c r="A6" s="653">
        <v>1</v>
      </c>
      <c r="B6" s="3731"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31"/>
      <c r="D6" s="3731"/>
      <c r="E6" s="3731"/>
      <c r="F6" s="3731"/>
      <c r="G6" s="3731"/>
      <c r="H6" s="3731"/>
      <c r="I6" s="3731"/>
      <c r="J6" s="3731"/>
      <c r="K6" s="3731"/>
      <c r="L6" s="687"/>
      <c r="O6" s="593"/>
    </row>
    <row r="7" spans="1:15" ht="20.100000000000001" customHeight="1">
      <c r="A7" s="589"/>
      <c r="B7" s="654" t="s">
        <v>1300</v>
      </c>
      <c r="C7" s="655">
        <v>1</v>
      </c>
      <c r="D7" s="655" t="s">
        <v>907</v>
      </c>
      <c r="E7" s="655">
        <v>2</v>
      </c>
      <c r="F7" s="656">
        <v>8.4499999999999993</v>
      </c>
      <c r="G7" s="656">
        <v>3.5</v>
      </c>
      <c r="H7" s="656">
        <v>2.15</v>
      </c>
      <c r="I7" s="656">
        <f>ROUND(PRODUCT(C7:H7),2)</f>
        <v>127.17</v>
      </c>
      <c r="J7" s="551"/>
      <c r="K7" s="551"/>
      <c r="L7" s="688"/>
      <c r="O7" s="593"/>
    </row>
    <row r="8" spans="1:15" ht="35.1" customHeight="1">
      <c r="A8" s="589"/>
      <c r="B8" s="654" t="s">
        <v>1301</v>
      </c>
      <c r="C8" s="655">
        <v>2</v>
      </c>
      <c r="D8" s="655" t="s">
        <v>907</v>
      </c>
      <c r="E8" s="655">
        <v>2</v>
      </c>
      <c r="F8" s="656">
        <v>3.5</v>
      </c>
      <c r="G8" s="657" t="s">
        <v>1302</v>
      </c>
      <c r="H8" s="656">
        <v>2.15</v>
      </c>
      <c r="I8" s="656">
        <f>ROUND(PRODUCT(C8:H8)*(2.37+1.85)/2,2)</f>
        <v>63.51</v>
      </c>
      <c r="J8" s="551"/>
      <c r="K8" s="551"/>
      <c r="L8" s="688"/>
      <c r="O8" s="593"/>
    </row>
    <row r="9" spans="1:15" ht="15" customHeight="1">
      <c r="A9" s="589"/>
      <c r="B9" s="658"/>
      <c r="C9" s="551"/>
      <c r="D9" s="551"/>
      <c r="E9" s="551"/>
      <c r="F9" s="551"/>
      <c r="G9" s="589"/>
      <c r="H9" s="589"/>
      <c r="I9" s="689">
        <f>SUM(I7:I8)</f>
        <v>190.68</v>
      </c>
      <c r="J9" s="677">
        <f>'Pipe data'!G20</f>
        <v>136.06920584583335</v>
      </c>
      <c r="K9" s="551">
        <v>1</v>
      </c>
      <c r="L9" s="690">
        <f>ROUND(I9*J9,0)</f>
        <v>25946</v>
      </c>
      <c r="O9" s="593"/>
    </row>
    <row r="10" spans="1:15" ht="12.75" customHeight="1">
      <c r="A10" s="589"/>
      <c r="B10" s="658"/>
      <c r="C10" s="551"/>
      <c r="D10" s="551"/>
      <c r="E10" s="551"/>
      <c r="F10" s="551"/>
      <c r="G10" s="589"/>
      <c r="H10" s="589"/>
      <c r="I10" s="691" t="s">
        <v>31</v>
      </c>
      <c r="J10" s="677"/>
      <c r="K10" s="551" t="s">
        <v>31</v>
      </c>
      <c r="L10" s="690"/>
    </row>
    <row r="11" spans="1:15" ht="45.6" hidden="1" customHeight="1">
      <c r="A11" s="653">
        <v>2</v>
      </c>
      <c r="B11" s="3940" t="str">
        <f>'Pipe data'!B55:G55</f>
        <v>Sand  Filling (Natural Sand 50% + Manufactured sand 50%) in foundation trenches as per drawing and technical specification Clause 304 of MORTH including overhead charges &amp; Contractors profit etc complete.</v>
      </c>
      <c r="C11" s="3731"/>
      <c r="D11" s="3731"/>
      <c r="E11" s="3731"/>
      <c r="F11" s="3731"/>
      <c r="G11" s="3731"/>
      <c r="H11" s="3731"/>
      <c r="I11" s="3731"/>
      <c r="J11" s="3731"/>
      <c r="K11" s="3731"/>
      <c r="L11" s="687"/>
      <c r="N11" s="593"/>
    </row>
    <row r="12" spans="1:15" s="540" customFormat="1" ht="20.399999999999999" hidden="1" customHeight="1">
      <c r="A12" s="659"/>
      <c r="B12" s="660" t="s">
        <v>1303</v>
      </c>
      <c r="C12" s="661">
        <v>1</v>
      </c>
      <c r="D12" s="661" t="s">
        <v>907</v>
      </c>
      <c r="E12" s="661">
        <v>1</v>
      </c>
      <c r="F12" s="662">
        <v>0</v>
      </c>
      <c r="G12" s="662">
        <v>3</v>
      </c>
      <c r="H12" s="662">
        <v>0.15</v>
      </c>
      <c r="I12" s="662">
        <f>ROUND(C12*E12*F12*G12*H12,2)</f>
        <v>0</v>
      </c>
      <c r="J12" s="692"/>
      <c r="K12" s="692"/>
      <c r="L12" s="693"/>
      <c r="O12" s="602"/>
    </row>
    <row r="13" spans="1:15" ht="15" hidden="1" customHeight="1">
      <c r="A13" s="653"/>
      <c r="B13" s="663"/>
      <c r="C13" s="664"/>
      <c r="D13" s="664"/>
      <c r="E13" s="664"/>
      <c r="F13" s="664"/>
      <c r="G13" s="589"/>
      <c r="H13" s="589"/>
      <c r="I13" s="691">
        <f>SUM(I12:I12)</f>
        <v>0</v>
      </c>
      <c r="J13" s="677">
        <f>'Pipe data'!G73</f>
        <v>1920.41</v>
      </c>
      <c r="K13" s="551">
        <v>1</v>
      </c>
      <c r="L13" s="690">
        <f>ROUND(I13*J13,0)</f>
        <v>0</v>
      </c>
    </row>
    <row r="14" spans="1:15" ht="15" hidden="1" customHeight="1">
      <c r="A14" s="653"/>
      <c r="B14" s="663"/>
      <c r="C14" s="664"/>
      <c r="D14" s="664"/>
      <c r="E14" s="664"/>
      <c r="F14" s="664"/>
      <c r="G14" s="589"/>
      <c r="H14" s="589"/>
      <c r="I14" s="691" t="s">
        <v>31</v>
      </c>
      <c r="J14" s="677"/>
      <c r="K14" s="551" t="s">
        <v>31</v>
      </c>
      <c r="L14" s="690"/>
    </row>
    <row r="15" spans="1:15" ht="106.5" customHeight="1">
      <c r="A15" s="653">
        <v>2</v>
      </c>
      <c r="B15" s="3731"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731"/>
      <c r="D15" s="3731"/>
      <c r="E15" s="3731"/>
      <c r="F15" s="3731"/>
      <c r="G15" s="3731"/>
      <c r="H15" s="3731"/>
      <c r="I15" s="3731"/>
      <c r="J15" s="3731"/>
      <c r="K15" s="3731"/>
      <c r="L15" s="687"/>
    </row>
    <row r="16" spans="1:15" ht="20.100000000000001" customHeight="1">
      <c r="A16" s="589"/>
      <c r="B16" s="654" t="s">
        <v>1300</v>
      </c>
      <c r="C16" s="655">
        <v>1</v>
      </c>
      <c r="D16" s="655" t="s">
        <v>907</v>
      </c>
      <c r="E16" s="655">
        <v>2</v>
      </c>
      <c r="F16" s="656">
        <v>8.4499999999999993</v>
      </c>
      <c r="G16" s="656">
        <v>3.5</v>
      </c>
      <c r="H16" s="656">
        <v>0.15</v>
      </c>
      <c r="I16" s="656">
        <f>ROUND(PRODUCT(C16:H16),2)</f>
        <v>8.8699999999999992</v>
      </c>
      <c r="J16" s="551"/>
      <c r="K16" s="551"/>
      <c r="L16" s="688"/>
    </row>
    <row r="17" spans="1:12" ht="35.1" customHeight="1">
      <c r="A17" s="589"/>
      <c r="B17" s="654" t="s">
        <v>1301</v>
      </c>
      <c r="C17" s="655">
        <v>2</v>
      </c>
      <c r="D17" s="655" t="s">
        <v>907</v>
      </c>
      <c r="E17" s="655">
        <v>2</v>
      </c>
      <c r="F17" s="656">
        <v>3.5</v>
      </c>
      <c r="G17" s="657" t="s">
        <v>1302</v>
      </c>
      <c r="H17" s="656">
        <v>0.15</v>
      </c>
      <c r="I17" s="656">
        <f>ROUND(PRODUCT(C17:H17)*(2.37+1.85)/2,2)</f>
        <v>4.43</v>
      </c>
      <c r="J17" s="551"/>
      <c r="K17" s="551"/>
      <c r="L17" s="688"/>
    </row>
    <row r="18" spans="1:12" ht="20.100000000000001" customHeight="1">
      <c r="A18" s="589"/>
      <c r="B18" s="665"/>
      <c r="C18" s="666"/>
      <c r="D18" s="666"/>
      <c r="E18" s="666"/>
      <c r="F18" s="667"/>
      <c r="G18" s="667"/>
      <c r="H18" s="667"/>
      <c r="I18" s="689">
        <f>SUM(I16:I17)</f>
        <v>13.299999999999999</v>
      </c>
      <c r="J18" s="677">
        <f>'Bridge Data'!J31</f>
        <v>6547.95</v>
      </c>
      <c r="K18" s="551">
        <v>1</v>
      </c>
      <c r="L18" s="690">
        <f>ROUND(I18*J18,0)</f>
        <v>87088</v>
      </c>
    </row>
    <row r="19" spans="1:12" ht="20.100000000000001" customHeight="1">
      <c r="A19" s="589"/>
      <c r="B19" s="658"/>
      <c r="C19" s="551"/>
      <c r="D19" s="551"/>
      <c r="E19" s="551"/>
      <c r="F19" s="589"/>
      <c r="G19" s="589"/>
      <c r="H19" s="589"/>
      <c r="I19" s="691" t="s">
        <v>31</v>
      </c>
      <c r="J19" s="677"/>
      <c r="K19" s="551" t="s">
        <v>31</v>
      </c>
      <c r="L19" s="690"/>
    </row>
    <row r="20" spans="1:12" ht="102.75" customHeight="1">
      <c r="A20" s="653">
        <v>3</v>
      </c>
      <c r="B20" s="3940" t="str">
        <f>'Bridge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731"/>
      <c r="D20" s="3731"/>
      <c r="E20" s="3731"/>
      <c r="F20" s="3731"/>
      <c r="G20" s="3731"/>
      <c r="H20" s="3731"/>
      <c r="I20" s="3731"/>
      <c r="J20" s="3731"/>
      <c r="K20" s="3731"/>
      <c r="L20" s="687"/>
    </row>
    <row r="21" spans="1:12" ht="20.100000000000001" customHeight="1">
      <c r="A21" s="589"/>
      <c r="B21" s="668" t="s">
        <v>1304</v>
      </c>
      <c r="C21" s="589"/>
      <c r="D21" s="589"/>
      <c r="E21" s="589"/>
      <c r="F21" s="551"/>
      <c r="G21" s="551"/>
      <c r="H21" s="551"/>
      <c r="I21" s="551"/>
      <c r="J21" s="551"/>
      <c r="K21" s="551"/>
      <c r="L21" s="688"/>
    </row>
    <row r="22" spans="1:12" s="646" customFormat="1" ht="20.100000000000001" customHeight="1">
      <c r="A22" s="654"/>
      <c r="B22" s="654" t="s">
        <v>1305</v>
      </c>
      <c r="C22" s="655">
        <v>1</v>
      </c>
      <c r="D22" s="655" t="s">
        <v>907</v>
      </c>
      <c r="E22" s="655">
        <v>2</v>
      </c>
      <c r="F22" s="656">
        <v>8.25</v>
      </c>
      <c r="G22" s="656">
        <v>3.3</v>
      </c>
      <c r="H22" s="656">
        <v>0.2</v>
      </c>
      <c r="I22" s="656">
        <f>ROUNDDOWN(PRODUCT(C22:H22),2)</f>
        <v>10.89</v>
      </c>
      <c r="J22" s="655"/>
      <c r="K22" s="655"/>
      <c r="L22" s="694"/>
    </row>
    <row r="23" spans="1:12" s="646" customFormat="1" ht="20.100000000000001" customHeight="1">
      <c r="A23" s="654"/>
      <c r="B23" s="654" t="s">
        <v>1306</v>
      </c>
      <c r="C23" s="655">
        <v>1</v>
      </c>
      <c r="D23" s="655" t="s">
        <v>907</v>
      </c>
      <c r="E23" s="655">
        <v>2</v>
      </c>
      <c r="F23" s="656">
        <f>F22</f>
        <v>8.25</v>
      </c>
      <c r="G23" s="656">
        <v>2.9</v>
      </c>
      <c r="H23" s="656">
        <v>0.2</v>
      </c>
      <c r="I23" s="656">
        <f>ROUNDDOWN(PRODUCT(C23:H23),2)</f>
        <v>9.57</v>
      </c>
      <c r="J23" s="655"/>
      <c r="K23" s="655"/>
      <c r="L23" s="694"/>
    </row>
    <row r="24" spans="1:12" s="646" customFormat="1" ht="20.100000000000001" customHeight="1">
      <c r="A24" s="654"/>
      <c r="B24" s="654" t="s">
        <v>1307</v>
      </c>
      <c r="C24" s="655">
        <v>1</v>
      </c>
      <c r="D24" s="655" t="s">
        <v>907</v>
      </c>
      <c r="E24" s="655">
        <v>2</v>
      </c>
      <c r="F24" s="656">
        <f>F23</f>
        <v>8.25</v>
      </c>
      <c r="G24" s="656">
        <v>2.5</v>
      </c>
      <c r="H24" s="656">
        <v>0.4</v>
      </c>
      <c r="I24" s="656">
        <f>ROUNDDOWN(PRODUCT(C24:H24),2)</f>
        <v>16.5</v>
      </c>
      <c r="J24" s="655"/>
      <c r="K24" s="655"/>
      <c r="L24" s="694"/>
    </row>
    <row r="25" spans="1:12" s="646" customFormat="1" ht="35.1" customHeight="1">
      <c r="A25" s="654"/>
      <c r="B25" s="654" t="s">
        <v>1308</v>
      </c>
      <c r="C25" s="655">
        <v>1</v>
      </c>
      <c r="D25" s="655" t="s">
        <v>907</v>
      </c>
      <c r="E25" s="655">
        <v>2</v>
      </c>
      <c r="F25" s="656">
        <f>F24</f>
        <v>8.25</v>
      </c>
      <c r="G25" s="657" t="s">
        <v>1309</v>
      </c>
      <c r="H25" s="656">
        <v>0.4</v>
      </c>
      <c r="I25" s="656">
        <f>ROUNDDOWN(PRODUCT(C25:H25)*(2.5+2.1)/2,2)</f>
        <v>15.18</v>
      </c>
      <c r="J25" s="655"/>
      <c r="K25" s="655"/>
      <c r="L25" s="694"/>
    </row>
    <row r="26" spans="1:12" s="646" customFormat="1" ht="35.1" customHeight="1">
      <c r="A26" s="654"/>
      <c r="B26" s="654" t="s">
        <v>1301</v>
      </c>
      <c r="C26" s="655">
        <v>2</v>
      </c>
      <c r="D26" s="655" t="s">
        <v>907</v>
      </c>
      <c r="E26" s="655">
        <v>2</v>
      </c>
      <c r="F26" s="656">
        <v>3.5</v>
      </c>
      <c r="G26" s="657" t="s">
        <v>1310</v>
      </c>
      <c r="H26" s="656">
        <v>0.4</v>
      </c>
      <c r="I26" s="656">
        <f>ROUNDDOWN(PRODUCT(C26:H26)*(2.17+1.65)/2,2)</f>
        <v>10.69</v>
      </c>
      <c r="J26" s="655"/>
      <c r="K26" s="655"/>
      <c r="L26" s="694"/>
    </row>
    <row r="27" spans="1:12" s="646" customFormat="1" ht="35.1" customHeight="1">
      <c r="A27" s="654"/>
      <c r="B27" s="654" t="s">
        <v>1311</v>
      </c>
      <c r="C27" s="655">
        <v>2</v>
      </c>
      <c r="D27" s="655" t="s">
        <v>907</v>
      </c>
      <c r="E27" s="655">
        <v>2</v>
      </c>
      <c r="F27" s="656">
        <v>3.5</v>
      </c>
      <c r="G27" s="657" t="s">
        <v>1312</v>
      </c>
      <c r="H27" s="656">
        <v>0.4</v>
      </c>
      <c r="I27" s="656">
        <f>ROUNDDOWN(PRODUCT(C27:H27)*(1.77+1.25)/2,2)</f>
        <v>8.4499999999999993</v>
      </c>
      <c r="J27" s="655"/>
      <c r="K27" s="655"/>
      <c r="L27" s="694"/>
    </row>
    <row r="28" spans="1:12" s="646" customFormat="1" ht="35.1" customHeight="1">
      <c r="A28" s="654"/>
      <c r="B28" s="654" t="s">
        <v>1313</v>
      </c>
      <c r="C28" s="655">
        <v>2</v>
      </c>
      <c r="D28" s="655" t="s">
        <v>907</v>
      </c>
      <c r="E28" s="655">
        <v>2</v>
      </c>
      <c r="F28" s="656">
        <v>3.5</v>
      </c>
      <c r="G28" s="657" t="s">
        <v>1314</v>
      </c>
      <c r="H28" s="656">
        <v>0.4</v>
      </c>
      <c r="I28" s="656">
        <f>ROUNDDOWN(PRODUCT(C28:H28)*(1.57+1.05)/2,2)</f>
        <v>7.33</v>
      </c>
      <c r="J28" s="655"/>
      <c r="K28" s="655"/>
      <c r="L28" s="694"/>
    </row>
    <row r="29" spans="1:12" ht="20.100000000000001" customHeight="1">
      <c r="A29" s="589"/>
      <c r="B29" s="658"/>
      <c r="C29" s="551"/>
      <c r="D29" s="551"/>
      <c r="E29" s="551"/>
      <c r="F29" s="589"/>
      <c r="G29" s="589"/>
      <c r="H29" s="589"/>
      <c r="I29" s="689">
        <f>SUM(I22:I28)</f>
        <v>78.61</v>
      </c>
      <c r="J29" s="677">
        <f>'Bridge Data'!J62</f>
        <v>7328.61</v>
      </c>
      <c r="K29" s="551">
        <v>1</v>
      </c>
      <c r="L29" s="690">
        <f>ROUND(I29*J29,0)</f>
        <v>576102</v>
      </c>
    </row>
    <row r="30" spans="1:12" ht="20.100000000000001" customHeight="1">
      <c r="A30" s="589"/>
      <c r="B30" s="658"/>
      <c r="C30" s="551"/>
      <c r="D30" s="551"/>
      <c r="E30" s="551"/>
      <c r="F30" s="589"/>
      <c r="G30" s="589"/>
      <c r="H30" s="589"/>
      <c r="I30" s="691" t="s">
        <v>31</v>
      </c>
      <c r="J30" s="677"/>
      <c r="K30" s="551" t="s">
        <v>31</v>
      </c>
      <c r="L30" s="690"/>
    </row>
    <row r="31" spans="1:12" ht="101.25" customHeight="1">
      <c r="A31" s="653">
        <v>4</v>
      </c>
      <c r="B31" s="3940" t="str">
        <f>'Bridge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1" s="3731"/>
      <c r="D31" s="3731"/>
      <c r="E31" s="3731"/>
      <c r="F31" s="3731"/>
      <c r="G31" s="3731"/>
      <c r="H31" s="3731"/>
      <c r="I31" s="3731"/>
      <c r="J31" s="3731"/>
      <c r="K31" s="3731"/>
      <c r="L31" s="690"/>
    </row>
    <row r="32" spans="1:12" ht="35.1" customHeight="1">
      <c r="A32" s="589"/>
      <c r="B32" s="654" t="s">
        <v>1315</v>
      </c>
      <c r="C32" s="655">
        <v>1</v>
      </c>
      <c r="D32" s="655" t="s">
        <v>907</v>
      </c>
      <c r="E32" s="655">
        <f>E24</f>
        <v>2</v>
      </c>
      <c r="F32" s="656">
        <v>8.25</v>
      </c>
      <c r="G32" s="657" t="s">
        <v>1316</v>
      </c>
      <c r="H32" s="656">
        <v>1.5</v>
      </c>
      <c r="I32" s="656">
        <f>ROUNDDOWN(PRODUCT(C32:H32)*(2.1+1.3)/2,2)</f>
        <v>42.07</v>
      </c>
      <c r="J32" s="677"/>
      <c r="K32" s="551"/>
      <c r="L32" s="690"/>
    </row>
    <row r="33" spans="1:14" ht="20.100000000000001" customHeight="1">
      <c r="A33" s="589"/>
      <c r="B33" s="654" t="s">
        <v>1317</v>
      </c>
      <c r="C33" s="655">
        <v>1</v>
      </c>
      <c r="D33" s="655" t="s">
        <v>907</v>
      </c>
      <c r="E33" s="655">
        <v>2</v>
      </c>
      <c r="F33" s="656">
        <v>8.25</v>
      </c>
      <c r="G33" s="656">
        <v>0.3</v>
      </c>
      <c r="H33" s="656">
        <v>0.95</v>
      </c>
      <c r="I33" s="656">
        <f>ROUNDDOWN(PRODUCT(C33:H33),2)</f>
        <v>4.7</v>
      </c>
      <c r="J33" s="677"/>
      <c r="K33" s="551"/>
      <c r="L33" s="690"/>
    </row>
    <row r="34" spans="1:14" ht="35.1" customHeight="1">
      <c r="A34" s="589"/>
      <c r="B34" s="669" t="s">
        <v>1318</v>
      </c>
      <c r="C34" s="670">
        <v>2</v>
      </c>
      <c r="D34" s="670" t="s">
        <v>907</v>
      </c>
      <c r="E34" s="670">
        <v>2</v>
      </c>
      <c r="F34" s="671">
        <v>3.5</v>
      </c>
      <c r="G34" s="657" t="s">
        <v>1319</v>
      </c>
      <c r="H34" s="656">
        <v>1.76</v>
      </c>
      <c r="I34" s="656">
        <f>ROUNDDOWN(PRODUCT(C34:H34)*(0.935+0.5)/2,2)</f>
        <v>17.670000000000002</v>
      </c>
      <c r="J34" s="677"/>
      <c r="K34" s="551"/>
      <c r="L34" s="690"/>
    </row>
    <row r="35" spans="1:14" ht="20.100000000000001" customHeight="1">
      <c r="A35" s="589"/>
      <c r="B35" s="672"/>
      <c r="C35" s="666"/>
      <c r="D35" s="666"/>
      <c r="E35" s="666"/>
      <c r="F35" s="667"/>
      <c r="G35" s="667"/>
      <c r="H35" s="667"/>
      <c r="I35" s="689">
        <f>SUM(I32:I34)</f>
        <v>64.44</v>
      </c>
      <c r="J35" s="677">
        <f>'Bridge Data'!J206</f>
        <v>7751.42</v>
      </c>
      <c r="K35" s="551">
        <v>1</v>
      </c>
      <c r="L35" s="690">
        <f>ROUND(I35*J35,0)</f>
        <v>499502</v>
      </c>
    </row>
    <row r="36" spans="1:14" ht="20.100000000000001" customHeight="1">
      <c r="A36" s="589"/>
      <c r="B36" s="658"/>
      <c r="C36" s="551"/>
      <c r="D36" s="551"/>
      <c r="E36" s="551"/>
      <c r="F36" s="589"/>
      <c r="G36" s="589"/>
      <c r="H36" s="589"/>
      <c r="I36" s="691" t="s">
        <v>31</v>
      </c>
      <c r="J36" s="677"/>
      <c r="K36" s="551" t="s">
        <v>31</v>
      </c>
      <c r="L36" s="690"/>
    </row>
    <row r="37" spans="1:14" ht="15" customHeight="1">
      <c r="A37" s="653"/>
      <c r="B37" s="663"/>
      <c r="C37" s="664"/>
      <c r="D37" s="664"/>
      <c r="E37" s="664"/>
      <c r="F37" s="589"/>
      <c r="G37" s="589"/>
      <c r="H37" s="589"/>
      <c r="I37" s="691"/>
      <c r="J37" s="677"/>
      <c r="K37" s="551"/>
      <c r="L37" s="690"/>
    </row>
    <row r="38" spans="1:14" ht="107.25" customHeight="1">
      <c r="A38" s="653">
        <v>5</v>
      </c>
      <c r="B38" s="3731" t="str">
        <f>'Bridge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38" s="3731"/>
      <c r="D38" s="3731"/>
      <c r="E38" s="3731"/>
      <c r="F38" s="3731"/>
      <c r="G38" s="3731"/>
      <c r="H38" s="3731"/>
      <c r="I38" s="3731"/>
      <c r="J38" s="3731"/>
      <c r="K38" s="3731"/>
      <c r="L38" s="690"/>
    </row>
    <row r="39" spans="1:14" ht="32.25" customHeight="1">
      <c r="A39" s="589"/>
      <c r="B39" s="669" t="s">
        <v>1320</v>
      </c>
      <c r="C39" s="655">
        <v>1</v>
      </c>
      <c r="D39" s="655" t="s">
        <v>907</v>
      </c>
      <c r="E39" s="655">
        <f>E32</f>
        <v>2</v>
      </c>
      <c r="F39" s="656">
        <f>F32</f>
        <v>8.25</v>
      </c>
      <c r="G39" s="671">
        <v>1.1000000000000001</v>
      </c>
      <c r="H39" s="656">
        <v>0.5</v>
      </c>
      <c r="I39" s="656">
        <f>ROUND(PRODUCT(C39:H39),2)</f>
        <v>9.08</v>
      </c>
      <c r="J39" s="551"/>
      <c r="K39" s="551"/>
      <c r="L39" s="690"/>
    </row>
    <row r="40" spans="1:14" s="647" customFormat="1" ht="20.100000000000001" customHeight="1">
      <c r="A40" s="669"/>
      <c r="B40" s="669"/>
      <c r="C40" s="670">
        <v>0</v>
      </c>
      <c r="D40" s="670" t="s">
        <v>907</v>
      </c>
      <c r="E40" s="670">
        <v>1</v>
      </c>
      <c r="F40" s="673">
        <v>8.25</v>
      </c>
      <c r="G40" s="673">
        <v>5.76</v>
      </c>
      <c r="H40" s="674">
        <v>0.45300000000000001</v>
      </c>
      <c r="I40" s="673">
        <f>ROUNDDOWN(PRODUCT(C40:H40),2)</f>
        <v>0</v>
      </c>
      <c r="J40" s="670"/>
      <c r="K40" s="670"/>
      <c r="L40" s="695"/>
    </row>
    <row r="41" spans="1:14" s="647" customFormat="1" ht="20.100000000000001" customHeight="1">
      <c r="A41" s="669"/>
      <c r="B41" s="669" t="s">
        <v>1321</v>
      </c>
      <c r="C41" s="670">
        <v>1</v>
      </c>
      <c r="D41" s="670" t="s">
        <v>907</v>
      </c>
      <c r="E41" s="670">
        <v>2</v>
      </c>
      <c r="F41" s="673">
        <v>8.25</v>
      </c>
      <c r="G41" s="673">
        <v>0.62</v>
      </c>
      <c r="H41" s="674">
        <v>0.45300000000000001</v>
      </c>
      <c r="I41" s="673">
        <f>ROUNDDOWN(PRODUCT(C41:H41),2)</f>
        <v>4.63</v>
      </c>
      <c r="J41" s="670"/>
      <c r="K41" s="670"/>
      <c r="L41" s="695"/>
    </row>
    <row r="42" spans="1:14" s="647" customFormat="1" ht="20.100000000000001" customHeight="1">
      <c r="A42" s="669"/>
      <c r="B42" s="669" t="s">
        <v>1322</v>
      </c>
      <c r="C42" s="670">
        <v>1</v>
      </c>
      <c r="D42" s="670" t="s">
        <v>907</v>
      </c>
      <c r="E42" s="670">
        <v>2</v>
      </c>
      <c r="F42" s="673">
        <v>12.76</v>
      </c>
      <c r="G42" s="674">
        <v>0.52500000000000002</v>
      </c>
      <c r="H42" s="674">
        <v>0.3</v>
      </c>
      <c r="I42" s="673">
        <f>ROUNDDOWN(PRODUCT(C42:H42),2)</f>
        <v>4.01</v>
      </c>
      <c r="J42" s="670"/>
      <c r="K42" s="670"/>
      <c r="L42" s="695"/>
    </row>
    <row r="43" spans="1:14" ht="20.100000000000001" customHeight="1">
      <c r="A43" s="589"/>
      <c r="B43" s="658"/>
      <c r="C43" s="551"/>
      <c r="D43" s="551"/>
      <c r="E43" s="551"/>
      <c r="F43" s="589"/>
      <c r="G43" s="589"/>
      <c r="H43" s="589"/>
      <c r="I43" s="691">
        <f>SUM(I39:I42)</f>
        <v>17.72</v>
      </c>
      <c r="J43" s="677">
        <f>'Bridge Data'!J267</f>
        <v>8813.32</v>
      </c>
      <c r="K43" s="551">
        <v>1</v>
      </c>
      <c r="L43" s="690">
        <f>ROUND(I43*J43,0)</f>
        <v>156172</v>
      </c>
    </row>
    <row r="44" spans="1:14" ht="20.100000000000001" customHeight="1">
      <c r="A44" s="589"/>
      <c r="B44" s="658"/>
      <c r="C44" s="551"/>
      <c r="D44" s="551"/>
      <c r="E44" s="551"/>
      <c r="F44" s="589"/>
      <c r="G44" s="589"/>
      <c r="H44" s="589"/>
      <c r="I44" s="691" t="s">
        <v>31</v>
      </c>
      <c r="J44" s="677"/>
      <c r="K44" s="551" t="s">
        <v>31</v>
      </c>
      <c r="L44" s="690"/>
    </row>
    <row r="45" spans="1:14" ht="15" customHeight="1">
      <c r="A45" s="589"/>
      <c r="B45" s="658"/>
      <c r="C45" s="551"/>
      <c r="D45" s="551"/>
      <c r="E45" s="551"/>
      <c r="F45" s="589"/>
      <c r="G45" s="589"/>
      <c r="H45" s="589"/>
      <c r="I45" s="691"/>
      <c r="J45" s="677"/>
      <c r="K45" s="551"/>
      <c r="L45" s="690"/>
    </row>
    <row r="46" spans="1:14" ht="114" customHeight="1">
      <c r="A46" s="653">
        <v>7</v>
      </c>
      <c r="B46" s="3731" t="str">
        <f>'Bridge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6" s="3731"/>
      <c r="D46" s="3731"/>
      <c r="E46" s="3731"/>
      <c r="F46" s="3731"/>
      <c r="G46" s="3731"/>
      <c r="H46" s="3731"/>
      <c r="I46" s="3731"/>
      <c r="J46" s="3731"/>
      <c r="K46" s="3731"/>
      <c r="L46" s="690"/>
    </row>
    <row r="47" spans="1:14" ht="15.6" customHeight="1">
      <c r="A47" s="653"/>
      <c r="B47" s="663" t="s">
        <v>1323</v>
      </c>
      <c r="C47" s="664"/>
      <c r="D47" s="664"/>
      <c r="E47" s="664"/>
      <c r="F47" s="664"/>
      <c r="G47" s="664"/>
      <c r="H47" s="664"/>
      <c r="I47" s="664"/>
      <c r="J47" s="664"/>
      <c r="K47" s="664"/>
      <c r="L47" s="687"/>
    </row>
    <row r="48" spans="1:14" s="543" customFormat="1" ht="18" customHeight="1">
      <c r="A48" s="661"/>
      <c r="B48" s="675" t="s">
        <v>1324</v>
      </c>
      <c r="C48" s="661">
        <v>1</v>
      </c>
      <c r="D48" s="661" t="s">
        <v>907</v>
      </c>
      <c r="E48" s="661">
        <v>1</v>
      </c>
      <c r="F48" s="662">
        <v>7.5</v>
      </c>
      <c r="G48" s="662">
        <v>7</v>
      </c>
      <c r="H48" s="676">
        <v>0.3</v>
      </c>
      <c r="I48" s="662">
        <f>ROUND(C48*E48*F48*G48*H48,2)</f>
        <v>15.75</v>
      </c>
      <c r="J48" s="662"/>
      <c r="K48" s="696"/>
      <c r="L48" s="697"/>
      <c r="M48" s="609"/>
      <c r="N48" s="610"/>
    </row>
    <row r="49" spans="1:14" ht="15" customHeight="1">
      <c r="A49" s="653"/>
      <c r="B49" s="663"/>
      <c r="C49" s="664"/>
      <c r="D49" s="664"/>
      <c r="E49" s="664"/>
      <c r="F49" s="589"/>
      <c r="G49" s="677"/>
      <c r="H49" s="589"/>
      <c r="I49" s="691">
        <f>I48</f>
        <v>15.75</v>
      </c>
      <c r="J49" s="677">
        <f>'Bridge Data'!J366</f>
        <v>9582.9500000000007</v>
      </c>
      <c r="K49" s="551">
        <v>1</v>
      </c>
      <c r="L49" s="690">
        <f>ROUND(I49*J49,0)</f>
        <v>150931</v>
      </c>
    </row>
    <row r="50" spans="1:14" ht="15" customHeight="1">
      <c r="A50" s="653"/>
      <c r="B50" s="663"/>
      <c r="C50" s="664"/>
      <c r="D50" s="664"/>
      <c r="E50" s="664"/>
      <c r="F50" s="589"/>
      <c r="G50" s="589"/>
      <c r="H50" s="589"/>
      <c r="I50" s="691" t="s">
        <v>31</v>
      </c>
      <c r="J50" s="677"/>
      <c r="K50" s="551" t="s">
        <v>31</v>
      </c>
      <c r="L50" s="690"/>
    </row>
    <row r="51" spans="1:14" ht="51" customHeight="1">
      <c r="A51" s="653">
        <v>6</v>
      </c>
      <c r="B51" s="3731" t="str">
        <f>'Bridge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1" s="3731"/>
      <c r="D51" s="3731"/>
      <c r="E51" s="3731"/>
      <c r="F51" s="3731"/>
      <c r="G51" s="3731"/>
      <c r="H51" s="3731"/>
      <c r="I51" s="3731"/>
      <c r="J51" s="3731"/>
      <c r="K51" s="3731"/>
      <c r="L51" s="690"/>
    </row>
    <row r="52" spans="1:14" ht="35.1" customHeight="1">
      <c r="A52" s="589"/>
      <c r="B52" s="654" t="s">
        <v>1325</v>
      </c>
      <c r="C52" s="655">
        <v>1</v>
      </c>
      <c r="D52" s="655" t="s">
        <v>907</v>
      </c>
      <c r="E52" s="655">
        <v>2</v>
      </c>
      <c r="F52" s="656">
        <v>3.5</v>
      </c>
      <c r="G52" s="656">
        <v>6.6</v>
      </c>
      <c r="H52" s="657" t="s">
        <v>1326</v>
      </c>
      <c r="I52" s="656">
        <f>ROUNDDOWN(PRODUCT(C52:H52)*(2+0.5)/2,2)</f>
        <v>57.75</v>
      </c>
      <c r="J52" s="680"/>
      <c r="K52" s="698"/>
      <c r="L52" s="699"/>
    </row>
    <row r="53" spans="1:14" ht="20.100000000000001" customHeight="1">
      <c r="A53" s="589"/>
      <c r="B53" s="658"/>
      <c r="C53" s="551"/>
      <c r="D53" s="551"/>
      <c r="E53" s="551"/>
      <c r="F53" s="589"/>
      <c r="G53" s="677"/>
      <c r="H53" s="589"/>
      <c r="I53" s="691">
        <f>I52</f>
        <v>57.75</v>
      </c>
      <c r="J53" s="677">
        <f>'Bridge Data'!J625</f>
        <v>801.15</v>
      </c>
      <c r="K53" s="551">
        <v>1</v>
      </c>
      <c r="L53" s="690">
        <f>ROUND(I53*J53,0)</f>
        <v>46266</v>
      </c>
    </row>
    <row r="54" spans="1:14" ht="20.100000000000001" customHeight="1">
      <c r="A54" s="589"/>
      <c r="B54" s="658"/>
      <c r="C54" s="551"/>
      <c r="D54" s="551"/>
      <c r="E54" s="551"/>
      <c r="F54" s="589"/>
      <c r="G54" s="589"/>
      <c r="H54" s="589"/>
      <c r="I54" s="691" t="s">
        <v>31</v>
      </c>
      <c r="J54" s="677"/>
      <c r="K54" s="551" t="s">
        <v>31</v>
      </c>
      <c r="L54" s="690"/>
    </row>
    <row r="55" spans="1:14" ht="116.25" customHeight="1">
      <c r="A55" s="653">
        <v>7</v>
      </c>
      <c r="B55" s="3731" t="str">
        <f>'Bridge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5" s="3731"/>
      <c r="D55" s="3731"/>
      <c r="E55" s="3731"/>
      <c r="F55" s="3731"/>
      <c r="G55" s="3731"/>
      <c r="H55" s="3731"/>
      <c r="I55" s="3731"/>
      <c r="J55" s="3731"/>
      <c r="K55" s="3731"/>
      <c r="L55" s="690"/>
    </row>
    <row r="56" spans="1:14" s="544" customFormat="1" ht="20.100000000000001" customHeight="1">
      <c r="A56" s="678"/>
      <c r="B56" s="679" t="s">
        <v>1327</v>
      </c>
      <c r="C56" s="678">
        <v>1</v>
      </c>
      <c r="D56" s="678" t="s">
        <v>907</v>
      </c>
      <c r="E56" s="678">
        <v>1</v>
      </c>
      <c r="F56" s="680">
        <v>7.5</v>
      </c>
      <c r="G56" s="680">
        <v>5.76</v>
      </c>
      <c r="H56" s="681">
        <v>7.4999999999999997E-2</v>
      </c>
      <c r="I56" s="673">
        <f>ROUNDDOWN(PRODUCT(C56:H56),2)</f>
        <v>3.24</v>
      </c>
      <c r="J56" s="680"/>
      <c r="K56" s="698"/>
      <c r="L56" s="699"/>
      <c r="M56" s="615"/>
      <c r="N56" s="616"/>
    </row>
    <row r="57" spans="1:14" ht="20.100000000000001" customHeight="1">
      <c r="A57" s="589"/>
      <c r="B57" s="658"/>
      <c r="C57" s="551"/>
      <c r="D57" s="551"/>
      <c r="E57" s="551"/>
      <c r="F57" s="589"/>
      <c r="G57" s="677"/>
      <c r="H57" s="589"/>
      <c r="I57" s="691">
        <f>SUM(I56)</f>
        <v>3.24</v>
      </c>
      <c r="J57" s="677">
        <f>'Bridge Data'!J428</f>
        <v>8090.44</v>
      </c>
      <c r="K57" s="551">
        <v>1</v>
      </c>
      <c r="L57" s="690">
        <f>ROUND(I57*J57,0)</f>
        <v>26213</v>
      </c>
    </row>
    <row r="58" spans="1:14" ht="20.100000000000001" customHeight="1">
      <c r="A58" s="589"/>
      <c r="B58" s="658"/>
      <c r="C58" s="551"/>
      <c r="D58" s="551"/>
      <c r="E58" s="551"/>
      <c r="F58" s="589"/>
      <c r="G58" s="589"/>
      <c r="H58" s="589"/>
      <c r="I58" s="691" t="s">
        <v>31</v>
      </c>
      <c r="J58" s="677"/>
      <c r="K58" s="551" t="s">
        <v>31</v>
      </c>
      <c r="L58" s="690"/>
    </row>
    <row r="59" spans="1:14" s="545" customFormat="1" ht="115.5" customHeight="1">
      <c r="A59" s="682">
        <v>8</v>
      </c>
      <c r="B59" s="3731"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59" s="3731"/>
      <c r="D59" s="3731"/>
      <c r="E59" s="3731"/>
      <c r="F59" s="3731"/>
      <c r="G59" s="3731"/>
      <c r="H59" s="3731"/>
      <c r="I59" s="3731"/>
      <c r="J59" s="3731"/>
      <c r="K59" s="3731"/>
      <c r="L59" s="700"/>
    </row>
    <row r="60" spans="1:14" ht="28.95" customHeight="1">
      <c r="A60" s="589"/>
      <c r="B60" s="654" t="s">
        <v>1328</v>
      </c>
      <c r="C60" s="655">
        <v>1</v>
      </c>
      <c r="D60" s="655" t="s">
        <v>907</v>
      </c>
      <c r="E60" s="655">
        <v>2</v>
      </c>
      <c r="F60" s="656">
        <v>5</v>
      </c>
      <c r="G60" s="657" t="s">
        <v>1329</v>
      </c>
      <c r="H60" s="657" t="s">
        <v>1330</v>
      </c>
      <c r="I60" s="656">
        <f>ROUND(PRODUCT(C60:H60)*(13.5+7.5)/2*(2+0.3)/2,2)</f>
        <v>120.75</v>
      </c>
      <c r="J60" s="655"/>
      <c r="K60" s="655"/>
      <c r="L60" s="694"/>
    </row>
    <row r="61" spans="1:14" ht="20.100000000000001" customHeight="1">
      <c r="A61" s="589"/>
      <c r="B61" s="683"/>
      <c r="C61" s="666"/>
      <c r="D61" s="666"/>
      <c r="E61" s="666"/>
      <c r="F61" s="684"/>
      <c r="G61" s="684"/>
      <c r="H61" s="684"/>
      <c r="I61" s="689">
        <f>SUM(I60:I60)</f>
        <v>120.75</v>
      </c>
      <c r="J61" s="684">
        <f>'Road data'!G188</f>
        <v>297.89</v>
      </c>
      <c r="K61" s="701" t="s">
        <v>1331</v>
      </c>
      <c r="L61" s="690">
        <f>ROUND(I61*J61,0)</f>
        <v>35970</v>
      </c>
    </row>
    <row r="62" spans="1:14" ht="13.5" customHeight="1">
      <c r="A62" s="589"/>
      <c r="B62" s="658"/>
      <c r="C62" s="551"/>
      <c r="D62" s="551"/>
      <c r="E62" s="551"/>
      <c r="F62" s="589"/>
      <c r="G62" s="589"/>
      <c r="H62" s="589"/>
      <c r="I62" s="691" t="s">
        <v>73</v>
      </c>
      <c r="J62" s="677"/>
      <c r="K62" s="551"/>
      <c r="L62" s="690"/>
    </row>
    <row r="63" spans="1:14" ht="106.5" customHeight="1">
      <c r="A63" s="653">
        <v>9</v>
      </c>
      <c r="B63" s="3731" t="str">
        <f>'Bridge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63" s="3731"/>
      <c r="D63" s="3731"/>
      <c r="E63" s="3731"/>
      <c r="F63" s="3731"/>
      <c r="G63" s="3731"/>
      <c r="H63" s="3731"/>
      <c r="I63" s="3731"/>
      <c r="J63" s="3731"/>
      <c r="K63" s="3731"/>
      <c r="L63" s="702"/>
    </row>
    <row r="64" spans="1:14" ht="20.100000000000001" customHeight="1">
      <c r="A64" s="589"/>
      <c r="B64" s="654" t="s">
        <v>1328</v>
      </c>
      <c r="C64" s="655">
        <v>1</v>
      </c>
      <c r="D64" s="655" t="s">
        <v>907</v>
      </c>
      <c r="E64" s="655">
        <v>2</v>
      </c>
      <c r="F64" s="656">
        <f>F52</f>
        <v>3.5</v>
      </c>
      <c r="G64" s="656">
        <v>7.5</v>
      </c>
      <c r="H64" s="656">
        <v>0.15</v>
      </c>
      <c r="I64" s="656">
        <f>ROUND(PRODUCT(C64:H64),2)</f>
        <v>7.88</v>
      </c>
      <c r="J64" s="655"/>
      <c r="K64" s="655"/>
      <c r="L64" s="694"/>
    </row>
    <row r="65" spans="1:12" ht="20.100000000000001" customHeight="1">
      <c r="A65" s="589"/>
      <c r="B65" s="683"/>
      <c r="C65" s="666"/>
      <c r="D65" s="666"/>
      <c r="E65" s="666"/>
      <c r="F65" s="684"/>
      <c r="G65" s="684"/>
      <c r="H65" s="684"/>
      <c r="I65" s="689">
        <f>SUM(I64:I64)</f>
        <v>7.88</v>
      </c>
      <c r="J65" s="684">
        <f>'Bridge Data'!J535</f>
        <v>7050.69</v>
      </c>
      <c r="K65" s="701" t="s">
        <v>1331</v>
      </c>
      <c r="L65" s="690">
        <f>ROUND(I65*J65,0)</f>
        <v>55559</v>
      </c>
    </row>
    <row r="66" spans="1:12" ht="18" customHeight="1">
      <c r="A66" s="589"/>
      <c r="B66" s="658"/>
      <c r="C66" s="551"/>
      <c r="D66" s="551"/>
      <c r="E66" s="551"/>
      <c r="F66" s="589"/>
      <c r="G66" s="589"/>
      <c r="H66" s="589"/>
      <c r="I66" s="691" t="s">
        <v>73</v>
      </c>
      <c r="J66" s="677"/>
      <c r="K66" s="551"/>
      <c r="L66" s="690"/>
    </row>
    <row r="67" spans="1:12" ht="132" customHeight="1">
      <c r="A67" s="653">
        <v>10</v>
      </c>
      <c r="B67" s="3731" t="str">
        <f>'Bridge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67" s="3731"/>
      <c r="D67" s="3731"/>
      <c r="E67" s="3731"/>
      <c r="F67" s="3731"/>
      <c r="G67" s="3731"/>
      <c r="H67" s="3731"/>
      <c r="I67" s="3731"/>
      <c r="J67" s="3731"/>
      <c r="K67" s="3731"/>
      <c r="L67" s="702"/>
    </row>
    <row r="68" spans="1:12" ht="20.100000000000001" customHeight="1">
      <c r="A68" s="589"/>
      <c r="B68" s="654" t="s">
        <v>1332</v>
      </c>
      <c r="C68" s="655">
        <v>1</v>
      </c>
      <c r="D68" s="655" t="s">
        <v>907</v>
      </c>
      <c r="E68" s="655">
        <v>2</v>
      </c>
      <c r="F68" s="656">
        <v>3.5</v>
      </c>
      <c r="G68" s="656">
        <v>7.5</v>
      </c>
      <c r="H68" s="656">
        <v>0.15</v>
      </c>
      <c r="I68" s="656">
        <f>ROUND(PRODUCT(C68:H68),2)</f>
        <v>7.88</v>
      </c>
      <c r="J68" s="655"/>
      <c r="K68" s="655"/>
      <c r="L68" s="694"/>
    </row>
    <row r="69" spans="1:12" ht="20.100000000000001" customHeight="1">
      <c r="A69" s="589"/>
      <c r="B69" s="683"/>
      <c r="C69" s="666"/>
      <c r="D69" s="666"/>
      <c r="E69" s="666"/>
      <c r="F69" s="684"/>
      <c r="G69" s="684"/>
      <c r="H69" s="684"/>
      <c r="I69" s="689">
        <f>SUM(I68:I68)</f>
        <v>7.88</v>
      </c>
      <c r="J69" s="684">
        <f>'Bridge Data'!J504</f>
        <v>8198.74</v>
      </c>
      <c r="K69" s="701" t="s">
        <v>1331</v>
      </c>
      <c r="L69" s="703">
        <f>ROUND(I69*J69,0)</f>
        <v>64606</v>
      </c>
    </row>
    <row r="70" spans="1:12" ht="18" customHeight="1">
      <c r="A70" s="589"/>
      <c r="B70" s="683"/>
      <c r="C70" s="666"/>
      <c r="D70" s="666"/>
      <c r="E70" s="666"/>
      <c r="F70" s="684"/>
      <c r="G70" s="684"/>
      <c r="H70" s="684"/>
      <c r="I70" s="691" t="s">
        <v>73</v>
      </c>
      <c r="J70" s="684"/>
      <c r="K70" s="701"/>
      <c r="L70" s="703"/>
    </row>
    <row r="71" spans="1:12" ht="75" customHeight="1">
      <c r="A71" s="653">
        <v>11</v>
      </c>
      <c r="B71" s="3731" t="str">
        <f>'Bridge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1" s="3731"/>
      <c r="D71" s="3731"/>
      <c r="E71" s="3731"/>
      <c r="F71" s="3731"/>
      <c r="G71" s="3731"/>
      <c r="H71" s="3731"/>
      <c r="I71" s="3731"/>
      <c r="J71" s="3731"/>
      <c r="K71" s="3731"/>
      <c r="L71" s="702"/>
    </row>
    <row r="72" spans="1:12" ht="20.100000000000001" customHeight="1">
      <c r="A72" s="589"/>
      <c r="B72" s="654"/>
      <c r="C72" s="655">
        <v>1</v>
      </c>
      <c r="D72" s="655" t="s">
        <v>907</v>
      </c>
      <c r="E72" s="655">
        <v>2</v>
      </c>
      <c r="F72" s="656">
        <v>12.76</v>
      </c>
      <c r="G72" s="656"/>
      <c r="H72" s="656"/>
      <c r="I72" s="656">
        <f>ROUND(PRODUCT(C72:H72),2)</f>
        <v>25.52</v>
      </c>
      <c r="J72" s="655"/>
      <c r="K72" s="655"/>
      <c r="L72" s="694"/>
    </row>
    <row r="73" spans="1:12" ht="20.100000000000001" customHeight="1">
      <c r="A73" s="589"/>
      <c r="B73" s="683"/>
      <c r="C73" s="666"/>
      <c r="D73" s="666"/>
      <c r="E73" s="666"/>
      <c r="F73" s="684"/>
      <c r="G73" s="684"/>
      <c r="H73" s="684"/>
      <c r="I73" s="689">
        <f>SUM(I72:I72)</f>
        <v>25.52</v>
      </c>
      <c r="J73" s="684">
        <f>'Bridge Data'!J673</f>
        <v>642.07593751082038</v>
      </c>
      <c r="K73" s="701" t="s">
        <v>1003</v>
      </c>
      <c r="L73" s="703">
        <f>ROUND(I73*J73,0)</f>
        <v>16386</v>
      </c>
    </row>
    <row r="74" spans="1:12" ht="18" customHeight="1">
      <c r="A74" s="589"/>
      <c r="B74" s="683"/>
      <c r="C74" s="666"/>
      <c r="D74" s="666"/>
      <c r="E74" s="666"/>
      <c r="F74" s="684"/>
      <c r="G74" s="684"/>
      <c r="H74" s="684"/>
      <c r="I74" s="691" t="s">
        <v>1003</v>
      </c>
      <c r="J74" s="684"/>
      <c r="K74" s="701"/>
      <c r="L74" s="703"/>
    </row>
    <row r="75" spans="1:12" ht="103.5" customHeight="1">
      <c r="A75" s="653">
        <v>12</v>
      </c>
      <c r="B75" s="3731" t="str">
        <f>'Bridge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75" s="3731"/>
      <c r="D75" s="3731"/>
      <c r="E75" s="3731"/>
      <c r="F75" s="3731"/>
      <c r="G75" s="3731"/>
      <c r="H75" s="3731"/>
      <c r="I75" s="3731"/>
      <c r="J75" s="3731"/>
      <c r="K75" s="3731"/>
      <c r="L75" s="702"/>
    </row>
    <row r="76" spans="1:12" ht="20.100000000000001" customHeight="1">
      <c r="A76" s="589"/>
      <c r="B76" s="654"/>
      <c r="C76" s="655">
        <v>2</v>
      </c>
      <c r="D76" s="655" t="s">
        <v>907</v>
      </c>
      <c r="E76" s="655">
        <v>2</v>
      </c>
      <c r="F76" s="656">
        <v>10</v>
      </c>
      <c r="G76" s="656"/>
      <c r="H76" s="656"/>
      <c r="I76" s="656">
        <f>ROUND(PRODUCT(C76:H76),2)</f>
        <v>40</v>
      </c>
      <c r="J76" s="655"/>
      <c r="K76" s="655"/>
      <c r="L76" s="694"/>
    </row>
    <row r="77" spans="1:12" ht="20.100000000000001" customHeight="1">
      <c r="A77" s="589"/>
      <c r="B77" s="683"/>
      <c r="C77" s="666"/>
      <c r="D77" s="666"/>
      <c r="E77" s="666"/>
      <c r="F77" s="684"/>
      <c r="G77" s="684"/>
      <c r="H77" s="684"/>
      <c r="I77" s="689">
        <f>SUM(I76:I76)</f>
        <v>40</v>
      </c>
      <c r="J77" s="684">
        <f>'Bridge Data'!J312</f>
        <v>711.68633333333332</v>
      </c>
      <c r="K77" s="701" t="s">
        <v>1003</v>
      </c>
      <c r="L77" s="703">
        <f>ROUND(I77*J77,0)</f>
        <v>28467</v>
      </c>
    </row>
    <row r="78" spans="1:12" ht="18" customHeight="1">
      <c r="A78" s="589"/>
      <c r="B78" s="683"/>
      <c r="C78" s="666"/>
      <c r="D78" s="666"/>
      <c r="E78" s="666"/>
      <c r="F78" s="684"/>
      <c r="G78" s="684"/>
      <c r="H78" s="684"/>
      <c r="I78" s="691" t="s">
        <v>1003</v>
      </c>
      <c r="J78" s="684"/>
      <c r="K78" s="701"/>
      <c r="L78" s="703"/>
    </row>
    <row r="79" spans="1:12" ht="120" customHeight="1">
      <c r="A79" s="653">
        <v>13</v>
      </c>
      <c r="B79" s="3731" t="str">
        <f>'Bridge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79" s="3731"/>
      <c r="D79" s="3731"/>
      <c r="E79" s="3731"/>
      <c r="F79" s="3731"/>
      <c r="G79" s="3731"/>
      <c r="H79" s="3731"/>
      <c r="I79" s="3731"/>
      <c r="J79" s="3731"/>
      <c r="K79" s="3731"/>
      <c r="L79" s="702"/>
    </row>
    <row r="80" spans="1:12" ht="20.100000000000001" customHeight="1">
      <c r="A80" s="589"/>
      <c r="B80" s="654"/>
      <c r="C80" s="655">
        <v>1</v>
      </c>
      <c r="D80" s="655" t="s">
        <v>907</v>
      </c>
      <c r="E80" s="655">
        <v>2</v>
      </c>
      <c r="F80" s="656">
        <v>14.5</v>
      </c>
      <c r="G80" s="656">
        <v>0.23</v>
      </c>
      <c r="H80" s="656">
        <v>2</v>
      </c>
      <c r="I80" s="656">
        <f>ROUND(PRODUCT(C80:H80),2)</f>
        <v>13.34</v>
      </c>
      <c r="J80" s="655"/>
      <c r="K80" s="655"/>
      <c r="L80" s="694"/>
    </row>
    <row r="81" spans="1:12" ht="20.100000000000001" customHeight="1">
      <c r="A81" s="589"/>
      <c r="B81" s="683"/>
      <c r="C81" s="666"/>
      <c r="D81" s="666"/>
      <c r="E81" s="666"/>
      <c r="F81" s="684"/>
      <c r="G81" s="684"/>
      <c r="H81" s="684"/>
      <c r="I81" s="689">
        <f>SUM(I80:I80)</f>
        <v>13.34</v>
      </c>
      <c r="J81" s="684">
        <f>'Bridge Data'!J335</f>
        <v>2587.65</v>
      </c>
      <c r="K81" s="701" t="s">
        <v>73</v>
      </c>
      <c r="L81" s="703">
        <f>ROUND(I81*J81,0)</f>
        <v>34519</v>
      </c>
    </row>
    <row r="82" spans="1:12" ht="20.100000000000001" customHeight="1">
      <c r="A82" s="589"/>
      <c r="B82" s="683"/>
      <c r="C82" s="666"/>
      <c r="D82" s="666"/>
      <c r="E82" s="666"/>
      <c r="F82" s="684"/>
      <c r="G82" s="684"/>
      <c r="H82" s="684"/>
      <c r="I82" s="691" t="s">
        <v>73</v>
      </c>
      <c r="J82" s="684"/>
      <c r="K82" s="701"/>
      <c r="L82" s="703"/>
    </row>
    <row r="83" spans="1:12" ht="59.25" customHeight="1">
      <c r="A83" s="653">
        <v>14</v>
      </c>
      <c r="B83" s="3731" t="str">
        <f>'Bridge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83" s="3731"/>
      <c r="D83" s="3731"/>
      <c r="E83" s="3731"/>
      <c r="F83" s="3731"/>
      <c r="G83" s="3731"/>
      <c r="H83" s="3731"/>
      <c r="I83" s="3731"/>
      <c r="J83" s="3731"/>
      <c r="K83" s="3731"/>
      <c r="L83" s="702"/>
    </row>
    <row r="84" spans="1:12" ht="20.100000000000001" customHeight="1">
      <c r="A84" s="589"/>
      <c r="B84" s="654" t="s">
        <v>1333</v>
      </c>
      <c r="C84" s="655">
        <v>1</v>
      </c>
      <c r="D84" s="655" t="s">
        <v>907</v>
      </c>
      <c r="E84" s="655">
        <v>1</v>
      </c>
      <c r="F84" s="656">
        <v>8.25</v>
      </c>
      <c r="G84" s="656">
        <v>5</v>
      </c>
      <c r="H84" s="656">
        <v>0.3</v>
      </c>
      <c r="I84" s="656">
        <f>ROUND(PRODUCT(C84:H84),2)</f>
        <v>12.38</v>
      </c>
      <c r="J84" s="655"/>
      <c r="K84" s="655"/>
      <c r="L84" s="694"/>
    </row>
    <row r="85" spans="1:12" ht="20.100000000000001" customHeight="1">
      <c r="A85" s="589"/>
      <c r="B85" s="654" t="s">
        <v>1334</v>
      </c>
      <c r="C85" s="655">
        <v>1</v>
      </c>
      <c r="D85" s="655" t="s">
        <v>907</v>
      </c>
      <c r="E85" s="655">
        <v>1</v>
      </c>
      <c r="F85" s="656">
        <v>13</v>
      </c>
      <c r="G85" s="656">
        <v>1.5</v>
      </c>
      <c r="H85" s="656">
        <v>0.3</v>
      </c>
      <c r="I85" s="656">
        <f>ROUND(PRODUCT(C85:H85),2)</f>
        <v>5.85</v>
      </c>
      <c r="J85" s="655"/>
      <c r="K85" s="655"/>
      <c r="L85" s="694"/>
    </row>
    <row r="86" spans="1:12" ht="20.100000000000001" customHeight="1">
      <c r="A86" s="589"/>
      <c r="B86" s="654" t="s">
        <v>1335</v>
      </c>
      <c r="C86" s="655">
        <v>1</v>
      </c>
      <c r="D86" s="655" t="s">
        <v>907</v>
      </c>
      <c r="E86" s="655">
        <v>1</v>
      </c>
      <c r="F86" s="656">
        <v>13</v>
      </c>
      <c r="G86" s="656">
        <v>3</v>
      </c>
      <c r="H86" s="656">
        <v>0.3</v>
      </c>
      <c r="I86" s="656">
        <f>ROUND(PRODUCT(C86:H86),2)</f>
        <v>11.7</v>
      </c>
      <c r="J86" s="655"/>
      <c r="K86" s="655"/>
      <c r="L86" s="694"/>
    </row>
    <row r="87" spans="1:12" ht="20.100000000000001" customHeight="1">
      <c r="A87" s="589"/>
      <c r="B87" s="683"/>
      <c r="C87" s="666"/>
      <c r="D87" s="666"/>
      <c r="E87" s="666"/>
      <c r="F87" s="684"/>
      <c r="G87" s="684"/>
      <c r="H87" s="684"/>
      <c r="I87" s="689">
        <f>SUM(I84:I86)</f>
        <v>29.93</v>
      </c>
      <c r="J87" s="684">
        <f>'Bridge Data'!J559</f>
        <v>2216.91</v>
      </c>
      <c r="K87" s="701" t="s">
        <v>73</v>
      </c>
      <c r="L87" s="703">
        <f>ROUND(I87*J87,0)</f>
        <v>66352</v>
      </c>
    </row>
    <row r="88" spans="1:12" ht="20.100000000000001" customHeight="1">
      <c r="A88" s="589"/>
      <c r="B88" s="658"/>
      <c r="C88" s="551"/>
      <c r="D88" s="551"/>
      <c r="E88" s="551"/>
      <c r="F88" s="589"/>
      <c r="G88" s="589"/>
      <c r="H88" s="589"/>
      <c r="I88" s="691" t="s">
        <v>73</v>
      </c>
      <c r="J88" s="677"/>
      <c r="K88" s="551"/>
      <c r="L88" s="690"/>
    </row>
    <row r="89" spans="1:12" ht="15" customHeight="1">
      <c r="A89" s="653"/>
      <c r="B89" s="663"/>
      <c r="C89" s="664"/>
      <c r="D89" s="664"/>
      <c r="E89" s="664"/>
      <c r="F89" s="589"/>
      <c r="G89" s="589"/>
      <c r="H89" s="589"/>
      <c r="I89" s="691"/>
      <c r="J89" s="677"/>
      <c r="K89" s="551"/>
      <c r="L89" s="690"/>
    </row>
    <row r="90" spans="1:12" ht="117.75" customHeight="1">
      <c r="A90" s="653">
        <v>15</v>
      </c>
      <c r="B90" s="3731" t="str">
        <f>'Bridge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0" s="3731"/>
      <c r="D90" s="3731"/>
      <c r="E90" s="3731"/>
      <c r="F90" s="3731"/>
      <c r="G90" s="3731"/>
      <c r="H90" s="3731"/>
      <c r="I90" s="3731"/>
      <c r="J90" s="3731"/>
      <c r="K90" s="3731"/>
      <c r="L90" s="690"/>
    </row>
    <row r="91" spans="1:12" ht="20.100000000000001" customHeight="1">
      <c r="A91" s="589"/>
      <c r="B91" s="658"/>
      <c r="C91" s="551"/>
      <c r="D91" s="551"/>
      <c r="E91" s="551"/>
      <c r="F91" s="589"/>
      <c r="G91" s="589"/>
      <c r="H91" s="589"/>
      <c r="I91" s="691">
        <v>0.61199999999999999</v>
      </c>
      <c r="J91" s="677">
        <f>'Bridge Data'!J175</f>
        <v>74877.55</v>
      </c>
      <c r="K91" s="551">
        <v>1</v>
      </c>
      <c r="L91" s="690">
        <f>ROUND(I91*J91,0)</f>
        <v>45825</v>
      </c>
    </row>
    <row r="92" spans="1:12" ht="20.100000000000001" customHeight="1">
      <c r="A92" s="589"/>
      <c r="B92" s="658"/>
      <c r="C92" s="551"/>
      <c r="D92" s="551"/>
      <c r="E92" s="551"/>
      <c r="F92" s="589"/>
      <c r="G92" s="589"/>
      <c r="H92" s="589"/>
      <c r="I92" s="691" t="s">
        <v>66</v>
      </c>
      <c r="J92" s="677"/>
      <c r="K92" s="551" t="s">
        <v>66</v>
      </c>
      <c r="L92" s="690"/>
    </row>
    <row r="93" spans="1:12" ht="15" customHeight="1">
      <c r="A93" s="653"/>
      <c r="B93" s="663"/>
      <c r="C93" s="664"/>
      <c r="D93" s="664"/>
      <c r="E93" s="664"/>
      <c r="F93" s="589"/>
      <c r="G93" s="589"/>
      <c r="H93" s="589"/>
      <c r="I93" s="691"/>
      <c r="J93" s="677"/>
      <c r="K93" s="551"/>
      <c r="L93" s="690"/>
    </row>
    <row r="94" spans="1:12" ht="138.75" customHeight="1">
      <c r="A94" s="653">
        <v>16</v>
      </c>
      <c r="B94" s="3731" t="str">
        <f>'Bridge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94" s="3731"/>
      <c r="D94" s="3731"/>
      <c r="E94" s="3731"/>
      <c r="F94" s="3731"/>
      <c r="G94" s="3731"/>
      <c r="H94" s="3731"/>
      <c r="I94" s="3731"/>
      <c r="J94" s="3731"/>
      <c r="K94" s="3731"/>
      <c r="L94" s="690"/>
    </row>
    <row r="95" spans="1:12" ht="20.100000000000001" customHeight="1">
      <c r="A95" s="589"/>
      <c r="B95" s="658"/>
      <c r="C95" s="551"/>
      <c r="D95" s="551"/>
      <c r="E95" s="551"/>
      <c r="F95" s="589"/>
      <c r="G95" s="589"/>
      <c r="H95" s="589"/>
      <c r="I95" s="691">
        <v>0.61199999999999999</v>
      </c>
      <c r="J95" s="677">
        <f>'Bridge Data'!J290</f>
        <v>75210.44</v>
      </c>
      <c r="K95" s="551">
        <v>1</v>
      </c>
      <c r="L95" s="690">
        <f>ROUND(I95*J95,0)</f>
        <v>46029</v>
      </c>
    </row>
    <row r="96" spans="1:12" ht="20.100000000000001" customHeight="1">
      <c r="A96" s="589"/>
      <c r="B96" s="658"/>
      <c r="C96" s="551"/>
      <c r="D96" s="551"/>
      <c r="E96" s="551"/>
      <c r="F96" s="589"/>
      <c r="G96" s="589"/>
      <c r="H96" s="589"/>
      <c r="I96" s="691" t="s">
        <v>66</v>
      </c>
      <c r="J96" s="677"/>
      <c r="K96" s="551" t="s">
        <v>66</v>
      </c>
      <c r="L96" s="690"/>
    </row>
    <row r="97" spans="1:20" ht="132.75" customHeight="1">
      <c r="A97" s="653">
        <v>17</v>
      </c>
      <c r="B97" s="3731" t="str">
        <f>'Bridge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97" s="3731"/>
      <c r="D97" s="3731"/>
      <c r="E97" s="3731"/>
      <c r="F97" s="3731"/>
      <c r="G97" s="3731"/>
      <c r="H97" s="3731"/>
      <c r="I97" s="3731"/>
      <c r="J97" s="3731"/>
      <c r="K97" s="3731"/>
      <c r="L97" s="687"/>
    </row>
    <row r="98" spans="1:20" ht="20.100000000000001" customHeight="1">
      <c r="A98" s="589"/>
      <c r="B98" s="658"/>
      <c r="C98" s="551"/>
      <c r="D98" s="551"/>
      <c r="E98" s="551"/>
      <c r="F98" s="589"/>
      <c r="G98" s="589"/>
      <c r="H98" s="589"/>
      <c r="I98" s="691">
        <v>3</v>
      </c>
      <c r="J98" s="677">
        <f>'Bridge Data'!J451</f>
        <v>77481.45</v>
      </c>
      <c r="K98" s="551">
        <v>1</v>
      </c>
      <c r="L98" s="690">
        <f>ROUND(I98*J98,0)</f>
        <v>232444</v>
      </c>
    </row>
    <row r="99" spans="1:20" ht="20.100000000000001" customHeight="1">
      <c r="A99" s="589"/>
      <c r="B99" s="658"/>
      <c r="C99" s="551"/>
      <c r="D99" s="551"/>
      <c r="E99" s="551"/>
      <c r="F99" s="589"/>
      <c r="G99" s="589"/>
      <c r="H99" s="589"/>
      <c r="I99" s="691" t="s">
        <v>66</v>
      </c>
      <c r="J99" s="677"/>
      <c r="K99" s="551" t="s">
        <v>66</v>
      </c>
      <c r="L99" s="690"/>
    </row>
    <row r="100" spans="1:20" ht="23.25" customHeight="1">
      <c r="A100" s="653"/>
      <c r="B100" s="663"/>
      <c r="C100" s="664"/>
      <c r="D100" s="664"/>
      <c r="E100" s="664"/>
      <c r="F100" s="589"/>
      <c r="G100" s="589"/>
      <c r="H100" s="589"/>
      <c r="I100" s="691"/>
      <c r="J100" s="652" t="s">
        <v>1298</v>
      </c>
      <c r="K100" s="589"/>
      <c r="L100" s="704">
        <f>SUM(L6:L99)</f>
        <v>2194377</v>
      </c>
    </row>
    <row r="101" spans="1:20" ht="12.75" customHeight="1">
      <c r="L101" s="645"/>
    </row>
    <row r="104" spans="1:20">
      <c r="B104" s="630"/>
      <c r="F104" s="630" t="s">
        <v>1336</v>
      </c>
      <c r="J104" s="3934" t="s">
        <v>742</v>
      </c>
      <c r="K104" s="3934"/>
    </row>
    <row r="105" spans="1:20">
      <c r="B105" s="630"/>
      <c r="F105" s="630" t="str">
        <f>GA!B34</f>
        <v>PRSD, Maddur</v>
      </c>
      <c r="J105" s="3934" t="str">
        <f>GA!C34</f>
        <v>PRSD, Maddur</v>
      </c>
      <c r="K105" s="3934"/>
    </row>
    <row r="106" spans="1:20">
      <c r="B106" s="630"/>
      <c r="F106" s="630"/>
      <c r="J106" s="631"/>
      <c r="K106" s="631"/>
    </row>
    <row r="107" spans="1:20">
      <c r="B107" s="630"/>
      <c r="F107" s="630"/>
      <c r="J107" s="631"/>
      <c r="K107" s="631"/>
    </row>
    <row r="108" spans="1:20">
      <c r="B108" s="632"/>
      <c r="F108" s="631"/>
      <c r="J108" s="631"/>
      <c r="K108" s="631"/>
    </row>
    <row r="109" spans="1:20">
      <c r="B109" s="630"/>
      <c r="F109" s="630" t="s">
        <v>857</v>
      </c>
      <c r="J109" s="3934" t="s">
        <v>684</v>
      </c>
      <c r="K109" s="3934"/>
    </row>
    <row r="110" spans="1:20" s="548" customFormat="1">
      <c r="A110" s="648"/>
      <c r="B110" s="630"/>
      <c r="C110" s="539"/>
      <c r="D110" s="539"/>
      <c r="E110" s="539"/>
      <c r="F110" s="630" t="str">
        <f>GA!B37</f>
        <v>PIU, Narayanpet</v>
      </c>
      <c r="G110" s="539"/>
      <c r="H110" s="539"/>
      <c r="I110" s="539"/>
      <c r="J110" s="3935" t="str">
        <f>GA!C37</f>
        <v>PR, Circle, Vikarabad</v>
      </c>
      <c r="K110" s="3935"/>
      <c r="M110" s="547"/>
      <c r="N110" s="547"/>
      <c r="O110" s="547"/>
      <c r="P110" s="547"/>
      <c r="Q110" s="547"/>
      <c r="R110" s="547"/>
      <c r="S110" s="547"/>
      <c r="T110" s="547"/>
    </row>
  </sheetData>
  <protectedRanges>
    <protectedRange sqref="B104:B110 F104:F110" name="Range4"/>
    <protectedRange sqref="K110 J104:K109" name="Range4_1"/>
  </protectedRanges>
  <mergeCells count="29">
    <mergeCell ref="J104:K104"/>
    <mergeCell ref="J105:K105"/>
    <mergeCell ref="J109:K109"/>
    <mergeCell ref="J110:K110"/>
    <mergeCell ref="B79:K79"/>
    <mergeCell ref="B83:K83"/>
    <mergeCell ref="B90:K90"/>
    <mergeCell ref="B94:K94"/>
    <mergeCell ref="B97:K97"/>
    <mergeCell ref="B59:K59"/>
    <mergeCell ref="B63:K63"/>
    <mergeCell ref="B67:K67"/>
    <mergeCell ref="B71:K71"/>
    <mergeCell ref="B75:K75"/>
    <mergeCell ref="B31:K31"/>
    <mergeCell ref="B38:K38"/>
    <mergeCell ref="B46:K46"/>
    <mergeCell ref="B51:K51"/>
    <mergeCell ref="B55:K55"/>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F107"/>
  <sheetViews>
    <sheetView view="pageBreakPreview" zoomScaleNormal="100" zoomScaleSheetLayoutView="100" workbookViewId="0">
      <selection activeCell="F93" sqref="F93"/>
    </sheetView>
  </sheetViews>
  <sheetFormatPr defaultColWidth="9.109375" defaultRowHeight="13.8"/>
  <cols>
    <col min="1" max="1" width="4" style="2293" customWidth="1"/>
    <col min="2" max="2" width="44.88671875" style="2214" customWidth="1"/>
    <col min="3" max="3" width="7.44140625" style="2221" bestFit="1" customWidth="1"/>
    <col min="4" max="4" width="9.33203125" style="2214" customWidth="1"/>
    <col min="5" max="5" width="10.109375" style="2214" customWidth="1"/>
    <col min="6" max="6" width="14.88671875" style="2214" customWidth="1"/>
    <col min="7" max="256" width="9.109375" style="2214"/>
    <col min="257" max="257" width="4" style="2214" customWidth="1"/>
    <col min="258" max="258" width="44.88671875" style="2214" customWidth="1"/>
    <col min="259" max="259" width="7.44140625" style="2214" bestFit="1" customWidth="1"/>
    <col min="260" max="260" width="9.33203125" style="2214" customWidth="1"/>
    <col min="261" max="261" width="10.109375" style="2214" customWidth="1"/>
    <col min="262" max="262" width="14.88671875" style="2214" customWidth="1"/>
    <col min="263" max="512" width="9.109375" style="2214"/>
    <col min="513" max="513" width="4" style="2214" customWidth="1"/>
    <col min="514" max="514" width="44.88671875" style="2214" customWidth="1"/>
    <col min="515" max="515" width="7.44140625" style="2214" bestFit="1" customWidth="1"/>
    <col min="516" max="516" width="9.33203125" style="2214" customWidth="1"/>
    <col min="517" max="517" width="10.109375" style="2214" customWidth="1"/>
    <col min="518" max="518" width="14.88671875" style="2214" customWidth="1"/>
    <col min="519" max="768" width="9.109375" style="2214"/>
    <col min="769" max="769" width="4" style="2214" customWidth="1"/>
    <col min="770" max="770" width="44.88671875" style="2214" customWidth="1"/>
    <col min="771" max="771" width="7.44140625" style="2214" bestFit="1" customWidth="1"/>
    <col min="772" max="772" width="9.33203125" style="2214" customWidth="1"/>
    <col min="773" max="773" width="10.109375" style="2214" customWidth="1"/>
    <col min="774" max="774" width="14.88671875" style="2214" customWidth="1"/>
    <col min="775" max="1024" width="9.109375" style="2214"/>
    <col min="1025" max="1025" width="4" style="2214" customWidth="1"/>
    <col min="1026" max="1026" width="44.88671875" style="2214" customWidth="1"/>
    <col min="1027" max="1027" width="7.44140625" style="2214" bestFit="1" customWidth="1"/>
    <col min="1028" max="1028" width="9.33203125" style="2214" customWidth="1"/>
    <col min="1029" max="1029" width="10.109375" style="2214" customWidth="1"/>
    <col min="1030" max="1030" width="14.88671875" style="2214" customWidth="1"/>
    <col min="1031" max="1280" width="9.109375" style="2214"/>
    <col min="1281" max="1281" width="4" style="2214" customWidth="1"/>
    <col min="1282" max="1282" width="44.88671875" style="2214" customWidth="1"/>
    <col min="1283" max="1283" width="7.44140625" style="2214" bestFit="1" customWidth="1"/>
    <col min="1284" max="1284" width="9.33203125" style="2214" customWidth="1"/>
    <col min="1285" max="1285" width="10.109375" style="2214" customWidth="1"/>
    <col min="1286" max="1286" width="14.88671875" style="2214" customWidth="1"/>
    <col min="1287" max="1536" width="9.109375" style="2214"/>
    <col min="1537" max="1537" width="4" style="2214" customWidth="1"/>
    <col min="1538" max="1538" width="44.88671875" style="2214" customWidth="1"/>
    <col min="1539" max="1539" width="7.44140625" style="2214" bestFit="1" customWidth="1"/>
    <col min="1540" max="1540" width="9.33203125" style="2214" customWidth="1"/>
    <col min="1541" max="1541" width="10.109375" style="2214" customWidth="1"/>
    <col min="1542" max="1542" width="14.88671875" style="2214" customWidth="1"/>
    <col min="1543" max="1792" width="9.109375" style="2214"/>
    <col min="1793" max="1793" width="4" style="2214" customWidth="1"/>
    <col min="1794" max="1794" width="44.88671875" style="2214" customWidth="1"/>
    <col min="1795" max="1795" width="7.44140625" style="2214" bestFit="1" customWidth="1"/>
    <col min="1796" max="1796" width="9.33203125" style="2214" customWidth="1"/>
    <col min="1797" max="1797" width="10.109375" style="2214" customWidth="1"/>
    <col min="1798" max="1798" width="14.88671875" style="2214" customWidth="1"/>
    <col min="1799" max="2048" width="9.109375" style="2214"/>
    <col min="2049" max="2049" width="4" style="2214" customWidth="1"/>
    <col min="2050" max="2050" width="44.88671875" style="2214" customWidth="1"/>
    <col min="2051" max="2051" width="7.44140625" style="2214" bestFit="1" customWidth="1"/>
    <col min="2052" max="2052" width="9.33203125" style="2214" customWidth="1"/>
    <col min="2053" max="2053" width="10.109375" style="2214" customWidth="1"/>
    <col min="2054" max="2054" width="14.88671875" style="2214" customWidth="1"/>
    <col min="2055" max="2304" width="9.109375" style="2214"/>
    <col min="2305" max="2305" width="4" style="2214" customWidth="1"/>
    <col min="2306" max="2306" width="44.88671875" style="2214" customWidth="1"/>
    <col min="2307" max="2307" width="7.44140625" style="2214" bestFit="1" customWidth="1"/>
    <col min="2308" max="2308" width="9.33203125" style="2214" customWidth="1"/>
    <col min="2309" max="2309" width="10.109375" style="2214" customWidth="1"/>
    <col min="2310" max="2310" width="14.88671875" style="2214" customWidth="1"/>
    <col min="2311" max="2560" width="9.109375" style="2214"/>
    <col min="2561" max="2561" width="4" style="2214" customWidth="1"/>
    <col min="2562" max="2562" width="44.88671875" style="2214" customWidth="1"/>
    <col min="2563" max="2563" width="7.44140625" style="2214" bestFit="1" customWidth="1"/>
    <col min="2564" max="2564" width="9.33203125" style="2214" customWidth="1"/>
    <col min="2565" max="2565" width="10.109375" style="2214" customWidth="1"/>
    <col min="2566" max="2566" width="14.88671875" style="2214" customWidth="1"/>
    <col min="2567" max="2816" width="9.109375" style="2214"/>
    <col min="2817" max="2817" width="4" style="2214" customWidth="1"/>
    <col min="2818" max="2818" width="44.88671875" style="2214" customWidth="1"/>
    <col min="2819" max="2819" width="7.44140625" style="2214" bestFit="1" customWidth="1"/>
    <col min="2820" max="2820" width="9.33203125" style="2214" customWidth="1"/>
    <col min="2821" max="2821" width="10.109375" style="2214" customWidth="1"/>
    <col min="2822" max="2822" width="14.88671875" style="2214" customWidth="1"/>
    <col min="2823" max="3072" width="9.109375" style="2214"/>
    <col min="3073" max="3073" width="4" style="2214" customWidth="1"/>
    <col min="3074" max="3074" width="44.88671875" style="2214" customWidth="1"/>
    <col min="3075" max="3075" width="7.44140625" style="2214" bestFit="1" customWidth="1"/>
    <col min="3076" max="3076" width="9.33203125" style="2214" customWidth="1"/>
    <col min="3077" max="3077" width="10.109375" style="2214" customWidth="1"/>
    <col min="3078" max="3078" width="14.88671875" style="2214" customWidth="1"/>
    <col min="3079" max="3328" width="9.109375" style="2214"/>
    <col min="3329" max="3329" width="4" style="2214" customWidth="1"/>
    <col min="3330" max="3330" width="44.88671875" style="2214" customWidth="1"/>
    <col min="3331" max="3331" width="7.44140625" style="2214" bestFit="1" customWidth="1"/>
    <col min="3332" max="3332" width="9.33203125" style="2214" customWidth="1"/>
    <col min="3333" max="3333" width="10.109375" style="2214" customWidth="1"/>
    <col min="3334" max="3334" width="14.88671875" style="2214" customWidth="1"/>
    <col min="3335" max="3584" width="9.109375" style="2214"/>
    <col min="3585" max="3585" width="4" style="2214" customWidth="1"/>
    <col min="3586" max="3586" width="44.88671875" style="2214" customWidth="1"/>
    <col min="3587" max="3587" width="7.44140625" style="2214" bestFit="1" customWidth="1"/>
    <col min="3588" max="3588" width="9.33203125" style="2214" customWidth="1"/>
    <col min="3589" max="3589" width="10.109375" style="2214" customWidth="1"/>
    <col min="3590" max="3590" width="14.88671875" style="2214" customWidth="1"/>
    <col min="3591" max="3840" width="9.109375" style="2214"/>
    <col min="3841" max="3841" width="4" style="2214" customWidth="1"/>
    <col min="3842" max="3842" width="44.88671875" style="2214" customWidth="1"/>
    <col min="3843" max="3843" width="7.44140625" style="2214" bestFit="1" customWidth="1"/>
    <col min="3844" max="3844" width="9.33203125" style="2214" customWidth="1"/>
    <col min="3845" max="3845" width="10.109375" style="2214" customWidth="1"/>
    <col min="3846" max="3846" width="14.88671875" style="2214" customWidth="1"/>
    <col min="3847" max="4096" width="9.109375" style="2214"/>
    <col min="4097" max="4097" width="4" style="2214" customWidth="1"/>
    <col min="4098" max="4098" width="44.88671875" style="2214" customWidth="1"/>
    <col min="4099" max="4099" width="7.44140625" style="2214" bestFit="1" customWidth="1"/>
    <col min="4100" max="4100" width="9.33203125" style="2214" customWidth="1"/>
    <col min="4101" max="4101" width="10.109375" style="2214" customWidth="1"/>
    <col min="4102" max="4102" width="14.88671875" style="2214" customWidth="1"/>
    <col min="4103" max="4352" width="9.109375" style="2214"/>
    <col min="4353" max="4353" width="4" style="2214" customWidth="1"/>
    <col min="4354" max="4354" width="44.88671875" style="2214" customWidth="1"/>
    <col min="4355" max="4355" width="7.44140625" style="2214" bestFit="1" customWidth="1"/>
    <col min="4356" max="4356" width="9.33203125" style="2214" customWidth="1"/>
    <col min="4357" max="4357" width="10.109375" style="2214" customWidth="1"/>
    <col min="4358" max="4358" width="14.88671875" style="2214" customWidth="1"/>
    <col min="4359" max="4608" width="9.109375" style="2214"/>
    <col min="4609" max="4609" width="4" style="2214" customWidth="1"/>
    <col min="4610" max="4610" width="44.88671875" style="2214" customWidth="1"/>
    <col min="4611" max="4611" width="7.44140625" style="2214" bestFit="1" customWidth="1"/>
    <col min="4612" max="4612" width="9.33203125" style="2214" customWidth="1"/>
    <col min="4613" max="4613" width="10.109375" style="2214" customWidth="1"/>
    <col min="4614" max="4614" width="14.88671875" style="2214" customWidth="1"/>
    <col min="4615" max="4864" width="9.109375" style="2214"/>
    <col min="4865" max="4865" width="4" style="2214" customWidth="1"/>
    <col min="4866" max="4866" width="44.88671875" style="2214" customWidth="1"/>
    <col min="4867" max="4867" width="7.44140625" style="2214" bestFit="1" customWidth="1"/>
    <col min="4868" max="4868" width="9.33203125" style="2214" customWidth="1"/>
    <col min="4869" max="4869" width="10.109375" style="2214" customWidth="1"/>
    <col min="4870" max="4870" width="14.88671875" style="2214" customWidth="1"/>
    <col min="4871" max="5120" width="9.109375" style="2214"/>
    <col min="5121" max="5121" width="4" style="2214" customWidth="1"/>
    <col min="5122" max="5122" width="44.88671875" style="2214" customWidth="1"/>
    <col min="5123" max="5123" width="7.44140625" style="2214" bestFit="1" customWidth="1"/>
    <col min="5124" max="5124" width="9.33203125" style="2214" customWidth="1"/>
    <col min="5125" max="5125" width="10.109375" style="2214" customWidth="1"/>
    <col min="5126" max="5126" width="14.88671875" style="2214" customWidth="1"/>
    <col min="5127" max="5376" width="9.109375" style="2214"/>
    <col min="5377" max="5377" width="4" style="2214" customWidth="1"/>
    <col min="5378" max="5378" width="44.88671875" style="2214" customWidth="1"/>
    <col min="5379" max="5379" width="7.44140625" style="2214" bestFit="1" customWidth="1"/>
    <col min="5380" max="5380" width="9.33203125" style="2214" customWidth="1"/>
    <col min="5381" max="5381" width="10.109375" style="2214" customWidth="1"/>
    <col min="5382" max="5382" width="14.88671875" style="2214" customWidth="1"/>
    <col min="5383" max="5632" width="9.109375" style="2214"/>
    <col min="5633" max="5633" width="4" style="2214" customWidth="1"/>
    <col min="5634" max="5634" width="44.88671875" style="2214" customWidth="1"/>
    <col min="5635" max="5635" width="7.44140625" style="2214" bestFit="1" customWidth="1"/>
    <col min="5636" max="5636" width="9.33203125" style="2214" customWidth="1"/>
    <col min="5637" max="5637" width="10.109375" style="2214" customWidth="1"/>
    <col min="5638" max="5638" width="14.88671875" style="2214" customWidth="1"/>
    <col min="5639" max="5888" width="9.109375" style="2214"/>
    <col min="5889" max="5889" width="4" style="2214" customWidth="1"/>
    <col min="5890" max="5890" width="44.88671875" style="2214" customWidth="1"/>
    <col min="5891" max="5891" width="7.44140625" style="2214" bestFit="1" customWidth="1"/>
    <col min="5892" max="5892" width="9.33203125" style="2214" customWidth="1"/>
    <col min="5893" max="5893" width="10.109375" style="2214" customWidth="1"/>
    <col min="5894" max="5894" width="14.88671875" style="2214" customWidth="1"/>
    <col min="5895" max="6144" width="9.109375" style="2214"/>
    <col min="6145" max="6145" width="4" style="2214" customWidth="1"/>
    <col min="6146" max="6146" width="44.88671875" style="2214" customWidth="1"/>
    <col min="6147" max="6147" width="7.44140625" style="2214" bestFit="1" customWidth="1"/>
    <col min="6148" max="6148" width="9.33203125" style="2214" customWidth="1"/>
    <col min="6149" max="6149" width="10.109375" style="2214" customWidth="1"/>
    <col min="6150" max="6150" width="14.88671875" style="2214" customWidth="1"/>
    <col min="6151" max="6400" width="9.109375" style="2214"/>
    <col min="6401" max="6401" width="4" style="2214" customWidth="1"/>
    <col min="6402" max="6402" width="44.88671875" style="2214" customWidth="1"/>
    <col min="6403" max="6403" width="7.44140625" style="2214" bestFit="1" customWidth="1"/>
    <col min="6404" max="6404" width="9.33203125" style="2214" customWidth="1"/>
    <col min="6405" max="6405" width="10.109375" style="2214" customWidth="1"/>
    <col min="6406" max="6406" width="14.88671875" style="2214" customWidth="1"/>
    <col min="6407" max="6656" width="9.109375" style="2214"/>
    <col min="6657" max="6657" width="4" style="2214" customWidth="1"/>
    <col min="6658" max="6658" width="44.88671875" style="2214" customWidth="1"/>
    <col min="6659" max="6659" width="7.44140625" style="2214" bestFit="1" customWidth="1"/>
    <col min="6660" max="6660" width="9.33203125" style="2214" customWidth="1"/>
    <col min="6661" max="6661" width="10.109375" style="2214" customWidth="1"/>
    <col min="6662" max="6662" width="14.88671875" style="2214" customWidth="1"/>
    <col min="6663" max="6912" width="9.109375" style="2214"/>
    <col min="6913" max="6913" width="4" style="2214" customWidth="1"/>
    <col min="6914" max="6914" width="44.88671875" style="2214" customWidth="1"/>
    <col min="6915" max="6915" width="7.44140625" style="2214" bestFit="1" customWidth="1"/>
    <col min="6916" max="6916" width="9.33203125" style="2214" customWidth="1"/>
    <col min="6917" max="6917" width="10.109375" style="2214" customWidth="1"/>
    <col min="6918" max="6918" width="14.88671875" style="2214" customWidth="1"/>
    <col min="6919" max="7168" width="9.109375" style="2214"/>
    <col min="7169" max="7169" width="4" style="2214" customWidth="1"/>
    <col min="7170" max="7170" width="44.88671875" style="2214" customWidth="1"/>
    <col min="7171" max="7171" width="7.44140625" style="2214" bestFit="1" customWidth="1"/>
    <col min="7172" max="7172" width="9.33203125" style="2214" customWidth="1"/>
    <col min="7173" max="7173" width="10.109375" style="2214" customWidth="1"/>
    <col min="7174" max="7174" width="14.88671875" style="2214" customWidth="1"/>
    <col min="7175" max="7424" width="9.109375" style="2214"/>
    <col min="7425" max="7425" width="4" style="2214" customWidth="1"/>
    <col min="7426" max="7426" width="44.88671875" style="2214" customWidth="1"/>
    <col min="7427" max="7427" width="7.44140625" style="2214" bestFit="1" customWidth="1"/>
    <col min="7428" max="7428" width="9.33203125" style="2214" customWidth="1"/>
    <col min="7429" max="7429" width="10.109375" style="2214" customWidth="1"/>
    <col min="7430" max="7430" width="14.88671875" style="2214" customWidth="1"/>
    <col min="7431" max="7680" width="9.109375" style="2214"/>
    <col min="7681" max="7681" width="4" style="2214" customWidth="1"/>
    <col min="7682" max="7682" width="44.88671875" style="2214" customWidth="1"/>
    <col min="7683" max="7683" width="7.44140625" style="2214" bestFit="1" customWidth="1"/>
    <col min="7684" max="7684" width="9.33203125" style="2214" customWidth="1"/>
    <col min="7685" max="7685" width="10.109375" style="2214" customWidth="1"/>
    <col min="7686" max="7686" width="14.88671875" style="2214" customWidth="1"/>
    <col min="7687" max="7936" width="9.109375" style="2214"/>
    <col min="7937" max="7937" width="4" style="2214" customWidth="1"/>
    <col min="7938" max="7938" width="44.88671875" style="2214" customWidth="1"/>
    <col min="7939" max="7939" width="7.44140625" style="2214" bestFit="1" customWidth="1"/>
    <col min="7940" max="7940" width="9.33203125" style="2214" customWidth="1"/>
    <col min="7941" max="7941" width="10.109375" style="2214" customWidth="1"/>
    <col min="7942" max="7942" width="14.88671875" style="2214" customWidth="1"/>
    <col min="7943" max="8192" width="9.109375" style="2214"/>
    <col min="8193" max="8193" width="4" style="2214" customWidth="1"/>
    <col min="8194" max="8194" width="44.88671875" style="2214" customWidth="1"/>
    <col min="8195" max="8195" width="7.44140625" style="2214" bestFit="1" customWidth="1"/>
    <col min="8196" max="8196" width="9.33203125" style="2214" customWidth="1"/>
    <col min="8197" max="8197" width="10.109375" style="2214" customWidth="1"/>
    <col min="8198" max="8198" width="14.88671875" style="2214" customWidth="1"/>
    <col min="8199" max="8448" width="9.109375" style="2214"/>
    <col min="8449" max="8449" width="4" style="2214" customWidth="1"/>
    <col min="8450" max="8450" width="44.88671875" style="2214" customWidth="1"/>
    <col min="8451" max="8451" width="7.44140625" style="2214" bestFit="1" customWidth="1"/>
    <col min="8452" max="8452" width="9.33203125" style="2214" customWidth="1"/>
    <col min="8453" max="8453" width="10.109375" style="2214" customWidth="1"/>
    <col min="8454" max="8454" width="14.88671875" style="2214" customWidth="1"/>
    <col min="8455" max="8704" width="9.109375" style="2214"/>
    <col min="8705" max="8705" width="4" style="2214" customWidth="1"/>
    <col min="8706" max="8706" width="44.88671875" style="2214" customWidth="1"/>
    <col min="8707" max="8707" width="7.44140625" style="2214" bestFit="1" customWidth="1"/>
    <col min="8708" max="8708" width="9.33203125" style="2214" customWidth="1"/>
    <col min="8709" max="8709" width="10.109375" style="2214" customWidth="1"/>
    <col min="8710" max="8710" width="14.88671875" style="2214" customWidth="1"/>
    <col min="8711" max="8960" width="9.109375" style="2214"/>
    <col min="8961" max="8961" width="4" style="2214" customWidth="1"/>
    <col min="8962" max="8962" width="44.88671875" style="2214" customWidth="1"/>
    <col min="8963" max="8963" width="7.44140625" style="2214" bestFit="1" customWidth="1"/>
    <col min="8964" max="8964" width="9.33203125" style="2214" customWidth="1"/>
    <col min="8965" max="8965" width="10.109375" style="2214" customWidth="1"/>
    <col min="8966" max="8966" width="14.88671875" style="2214" customWidth="1"/>
    <col min="8967" max="9216" width="9.109375" style="2214"/>
    <col min="9217" max="9217" width="4" style="2214" customWidth="1"/>
    <col min="9218" max="9218" width="44.88671875" style="2214" customWidth="1"/>
    <col min="9219" max="9219" width="7.44140625" style="2214" bestFit="1" customWidth="1"/>
    <col min="9220" max="9220" width="9.33203125" style="2214" customWidth="1"/>
    <col min="9221" max="9221" width="10.109375" style="2214" customWidth="1"/>
    <col min="9222" max="9222" width="14.88671875" style="2214" customWidth="1"/>
    <col min="9223" max="9472" width="9.109375" style="2214"/>
    <col min="9473" max="9473" width="4" style="2214" customWidth="1"/>
    <col min="9474" max="9474" width="44.88671875" style="2214" customWidth="1"/>
    <col min="9475" max="9475" width="7.44140625" style="2214" bestFit="1" customWidth="1"/>
    <col min="9476" max="9476" width="9.33203125" style="2214" customWidth="1"/>
    <col min="9477" max="9477" width="10.109375" style="2214" customWidth="1"/>
    <col min="9478" max="9478" width="14.88671875" style="2214" customWidth="1"/>
    <col min="9479" max="9728" width="9.109375" style="2214"/>
    <col min="9729" max="9729" width="4" style="2214" customWidth="1"/>
    <col min="9730" max="9730" width="44.88671875" style="2214" customWidth="1"/>
    <col min="9731" max="9731" width="7.44140625" style="2214" bestFit="1" customWidth="1"/>
    <col min="9732" max="9732" width="9.33203125" style="2214" customWidth="1"/>
    <col min="9733" max="9733" width="10.109375" style="2214" customWidth="1"/>
    <col min="9734" max="9734" width="14.88671875" style="2214" customWidth="1"/>
    <col min="9735" max="9984" width="9.109375" style="2214"/>
    <col min="9985" max="9985" width="4" style="2214" customWidth="1"/>
    <col min="9986" max="9986" width="44.88671875" style="2214" customWidth="1"/>
    <col min="9987" max="9987" width="7.44140625" style="2214" bestFit="1" customWidth="1"/>
    <col min="9988" max="9988" width="9.33203125" style="2214" customWidth="1"/>
    <col min="9989" max="9989" width="10.109375" style="2214" customWidth="1"/>
    <col min="9990" max="9990" width="14.88671875" style="2214" customWidth="1"/>
    <col min="9991" max="10240" width="9.109375" style="2214"/>
    <col min="10241" max="10241" width="4" style="2214" customWidth="1"/>
    <col min="10242" max="10242" width="44.88671875" style="2214" customWidth="1"/>
    <col min="10243" max="10243" width="7.44140625" style="2214" bestFit="1" customWidth="1"/>
    <col min="10244" max="10244" width="9.33203125" style="2214" customWidth="1"/>
    <col min="10245" max="10245" width="10.109375" style="2214" customWidth="1"/>
    <col min="10246" max="10246" width="14.88671875" style="2214" customWidth="1"/>
    <col min="10247" max="10496" width="9.109375" style="2214"/>
    <col min="10497" max="10497" width="4" style="2214" customWidth="1"/>
    <col min="10498" max="10498" width="44.88671875" style="2214" customWidth="1"/>
    <col min="10499" max="10499" width="7.44140625" style="2214" bestFit="1" customWidth="1"/>
    <col min="10500" max="10500" width="9.33203125" style="2214" customWidth="1"/>
    <col min="10501" max="10501" width="10.109375" style="2214" customWidth="1"/>
    <col min="10502" max="10502" width="14.88671875" style="2214" customWidth="1"/>
    <col min="10503" max="10752" width="9.109375" style="2214"/>
    <col min="10753" max="10753" width="4" style="2214" customWidth="1"/>
    <col min="10754" max="10754" width="44.88671875" style="2214" customWidth="1"/>
    <col min="10755" max="10755" width="7.44140625" style="2214" bestFit="1" customWidth="1"/>
    <col min="10756" max="10756" width="9.33203125" style="2214" customWidth="1"/>
    <col min="10757" max="10757" width="10.109375" style="2214" customWidth="1"/>
    <col min="10758" max="10758" width="14.88671875" style="2214" customWidth="1"/>
    <col min="10759" max="11008" width="9.109375" style="2214"/>
    <col min="11009" max="11009" width="4" style="2214" customWidth="1"/>
    <col min="11010" max="11010" width="44.88671875" style="2214" customWidth="1"/>
    <col min="11011" max="11011" width="7.44140625" style="2214" bestFit="1" customWidth="1"/>
    <col min="11012" max="11012" width="9.33203125" style="2214" customWidth="1"/>
    <col min="11013" max="11013" width="10.109375" style="2214" customWidth="1"/>
    <col min="11014" max="11014" width="14.88671875" style="2214" customWidth="1"/>
    <col min="11015" max="11264" width="9.109375" style="2214"/>
    <col min="11265" max="11265" width="4" style="2214" customWidth="1"/>
    <col min="11266" max="11266" width="44.88671875" style="2214" customWidth="1"/>
    <col min="11267" max="11267" width="7.44140625" style="2214" bestFit="1" customWidth="1"/>
    <col min="11268" max="11268" width="9.33203125" style="2214" customWidth="1"/>
    <col min="11269" max="11269" width="10.109375" style="2214" customWidth="1"/>
    <col min="11270" max="11270" width="14.88671875" style="2214" customWidth="1"/>
    <col min="11271" max="11520" width="9.109375" style="2214"/>
    <col min="11521" max="11521" width="4" style="2214" customWidth="1"/>
    <col min="11522" max="11522" width="44.88671875" style="2214" customWidth="1"/>
    <col min="11523" max="11523" width="7.44140625" style="2214" bestFit="1" customWidth="1"/>
    <col min="11524" max="11524" width="9.33203125" style="2214" customWidth="1"/>
    <col min="11525" max="11525" width="10.109375" style="2214" customWidth="1"/>
    <col min="11526" max="11526" width="14.88671875" style="2214" customWidth="1"/>
    <col min="11527" max="11776" width="9.109375" style="2214"/>
    <col min="11777" max="11777" width="4" style="2214" customWidth="1"/>
    <col min="11778" max="11778" width="44.88671875" style="2214" customWidth="1"/>
    <col min="11779" max="11779" width="7.44140625" style="2214" bestFit="1" customWidth="1"/>
    <col min="11780" max="11780" width="9.33203125" style="2214" customWidth="1"/>
    <col min="11781" max="11781" width="10.109375" style="2214" customWidth="1"/>
    <col min="11782" max="11782" width="14.88671875" style="2214" customWidth="1"/>
    <col min="11783" max="12032" width="9.109375" style="2214"/>
    <col min="12033" max="12033" width="4" style="2214" customWidth="1"/>
    <col min="12034" max="12034" width="44.88671875" style="2214" customWidth="1"/>
    <col min="12035" max="12035" width="7.44140625" style="2214" bestFit="1" customWidth="1"/>
    <col min="12036" max="12036" width="9.33203125" style="2214" customWidth="1"/>
    <col min="12037" max="12037" width="10.109375" style="2214" customWidth="1"/>
    <col min="12038" max="12038" width="14.88671875" style="2214" customWidth="1"/>
    <col min="12039" max="12288" width="9.109375" style="2214"/>
    <col min="12289" max="12289" width="4" style="2214" customWidth="1"/>
    <col min="12290" max="12290" width="44.88671875" style="2214" customWidth="1"/>
    <col min="12291" max="12291" width="7.44140625" style="2214" bestFit="1" customWidth="1"/>
    <col min="12292" max="12292" width="9.33203125" style="2214" customWidth="1"/>
    <col min="12293" max="12293" width="10.109375" style="2214" customWidth="1"/>
    <col min="12294" max="12294" width="14.88671875" style="2214" customWidth="1"/>
    <col min="12295" max="12544" width="9.109375" style="2214"/>
    <col min="12545" max="12545" width="4" style="2214" customWidth="1"/>
    <col min="12546" max="12546" width="44.88671875" style="2214" customWidth="1"/>
    <col min="12547" max="12547" width="7.44140625" style="2214" bestFit="1" customWidth="1"/>
    <col min="12548" max="12548" width="9.33203125" style="2214" customWidth="1"/>
    <col min="12549" max="12549" width="10.109375" style="2214" customWidth="1"/>
    <col min="12550" max="12550" width="14.88671875" style="2214" customWidth="1"/>
    <col min="12551" max="12800" width="9.109375" style="2214"/>
    <col min="12801" max="12801" width="4" style="2214" customWidth="1"/>
    <col min="12802" max="12802" width="44.88671875" style="2214" customWidth="1"/>
    <col min="12803" max="12803" width="7.44140625" style="2214" bestFit="1" customWidth="1"/>
    <col min="12804" max="12804" width="9.33203125" style="2214" customWidth="1"/>
    <col min="12805" max="12805" width="10.109375" style="2214" customWidth="1"/>
    <col min="12806" max="12806" width="14.88671875" style="2214" customWidth="1"/>
    <col min="12807" max="13056" width="9.109375" style="2214"/>
    <col min="13057" max="13057" width="4" style="2214" customWidth="1"/>
    <col min="13058" max="13058" width="44.88671875" style="2214" customWidth="1"/>
    <col min="13059" max="13059" width="7.44140625" style="2214" bestFit="1" customWidth="1"/>
    <col min="13060" max="13060" width="9.33203125" style="2214" customWidth="1"/>
    <col min="13061" max="13061" width="10.109375" style="2214" customWidth="1"/>
    <col min="13062" max="13062" width="14.88671875" style="2214" customWidth="1"/>
    <col min="13063" max="13312" width="9.109375" style="2214"/>
    <col min="13313" max="13313" width="4" style="2214" customWidth="1"/>
    <col min="13314" max="13314" width="44.88671875" style="2214" customWidth="1"/>
    <col min="13315" max="13315" width="7.44140625" style="2214" bestFit="1" customWidth="1"/>
    <col min="13316" max="13316" width="9.33203125" style="2214" customWidth="1"/>
    <col min="13317" max="13317" width="10.109375" style="2214" customWidth="1"/>
    <col min="13318" max="13318" width="14.88671875" style="2214" customWidth="1"/>
    <col min="13319" max="13568" width="9.109375" style="2214"/>
    <col min="13569" max="13569" width="4" style="2214" customWidth="1"/>
    <col min="13570" max="13570" width="44.88671875" style="2214" customWidth="1"/>
    <col min="13571" max="13571" width="7.44140625" style="2214" bestFit="1" customWidth="1"/>
    <col min="13572" max="13572" width="9.33203125" style="2214" customWidth="1"/>
    <col min="13573" max="13573" width="10.109375" style="2214" customWidth="1"/>
    <col min="13574" max="13574" width="14.88671875" style="2214" customWidth="1"/>
    <col min="13575" max="13824" width="9.109375" style="2214"/>
    <col min="13825" max="13825" width="4" style="2214" customWidth="1"/>
    <col min="13826" max="13826" width="44.88671875" style="2214" customWidth="1"/>
    <col min="13827" max="13827" width="7.44140625" style="2214" bestFit="1" customWidth="1"/>
    <col min="13828" max="13828" width="9.33203125" style="2214" customWidth="1"/>
    <col min="13829" max="13829" width="10.109375" style="2214" customWidth="1"/>
    <col min="13830" max="13830" width="14.88671875" style="2214" customWidth="1"/>
    <col min="13831" max="14080" width="9.109375" style="2214"/>
    <col min="14081" max="14081" width="4" style="2214" customWidth="1"/>
    <col min="14082" max="14082" width="44.88671875" style="2214" customWidth="1"/>
    <col min="14083" max="14083" width="7.44140625" style="2214" bestFit="1" customWidth="1"/>
    <col min="14084" max="14084" width="9.33203125" style="2214" customWidth="1"/>
    <col min="14085" max="14085" width="10.109375" style="2214" customWidth="1"/>
    <col min="14086" max="14086" width="14.88671875" style="2214" customWidth="1"/>
    <col min="14087" max="14336" width="9.109375" style="2214"/>
    <col min="14337" max="14337" width="4" style="2214" customWidth="1"/>
    <col min="14338" max="14338" width="44.88671875" style="2214" customWidth="1"/>
    <col min="14339" max="14339" width="7.44140625" style="2214" bestFit="1" customWidth="1"/>
    <col min="14340" max="14340" width="9.33203125" style="2214" customWidth="1"/>
    <col min="14341" max="14341" width="10.109375" style="2214" customWidth="1"/>
    <col min="14342" max="14342" width="14.88671875" style="2214" customWidth="1"/>
    <col min="14343" max="14592" width="9.109375" style="2214"/>
    <col min="14593" max="14593" width="4" style="2214" customWidth="1"/>
    <col min="14594" max="14594" width="44.88671875" style="2214" customWidth="1"/>
    <col min="14595" max="14595" width="7.44140625" style="2214" bestFit="1" customWidth="1"/>
    <col min="14596" max="14596" width="9.33203125" style="2214" customWidth="1"/>
    <col min="14597" max="14597" width="10.109375" style="2214" customWidth="1"/>
    <col min="14598" max="14598" width="14.88671875" style="2214" customWidth="1"/>
    <col min="14599" max="14848" width="9.109375" style="2214"/>
    <col min="14849" max="14849" width="4" style="2214" customWidth="1"/>
    <col min="14850" max="14850" width="44.88671875" style="2214" customWidth="1"/>
    <col min="14851" max="14851" width="7.44140625" style="2214" bestFit="1" customWidth="1"/>
    <col min="14852" max="14852" width="9.33203125" style="2214" customWidth="1"/>
    <col min="14853" max="14853" width="10.109375" style="2214" customWidth="1"/>
    <col min="14854" max="14854" width="14.88671875" style="2214" customWidth="1"/>
    <col min="14855" max="15104" width="9.109375" style="2214"/>
    <col min="15105" max="15105" width="4" style="2214" customWidth="1"/>
    <col min="15106" max="15106" width="44.88671875" style="2214" customWidth="1"/>
    <col min="15107" max="15107" width="7.44140625" style="2214" bestFit="1" customWidth="1"/>
    <col min="15108" max="15108" width="9.33203125" style="2214" customWidth="1"/>
    <col min="15109" max="15109" width="10.109375" style="2214" customWidth="1"/>
    <col min="15110" max="15110" width="14.88671875" style="2214" customWidth="1"/>
    <col min="15111" max="15360" width="9.109375" style="2214"/>
    <col min="15361" max="15361" width="4" style="2214" customWidth="1"/>
    <col min="15362" max="15362" width="44.88671875" style="2214" customWidth="1"/>
    <col min="15363" max="15363" width="7.44140625" style="2214" bestFit="1" customWidth="1"/>
    <col min="15364" max="15364" width="9.33203125" style="2214" customWidth="1"/>
    <col min="15365" max="15365" width="10.109375" style="2214" customWidth="1"/>
    <col min="15366" max="15366" width="14.88671875" style="2214" customWidth="1"/>
    <col min="15367" max="15616" width="9.109375" style="2214"/>
    <col min="15617" max="15617" width="4" style="2214" customWidth="1"/>
    <col min="15618" max="15618" width="44.88671875" style="2214" customWidth="1"/>
    <col min="15619" max="15619" width="7.44140625" style="2214" bestFit="1" customWidth="1"/>
    <col min="15620" max="15620" width="9.33203125" style="2214" customWidth="1"/>
    <col min="15621" max="15621" width="10.109375" style="2214" customWidth="1"/>
    <col min="15622" max="15622" width="14.88671875" style="2214" customWidth="1"/>
    <col min="15623" max="15872" width="9.109375" style="2214"/>
    <col min="15873" max="15873" width="4" style="2214" customWidth="1"/>
    <col min="15874" max="15874" width="44.88671875" style="2214" customWidth="1"/>
    <col min="15875" max="15875" width="7.44140625" style="2214" bestFit="1" customWidth="1"/>
    <col min="15876" max="15876" width="9.33203125" style="2214" customWidth="1"/>
    <col min="15877" max="15877" width="10.109375" style="2214" customWidth="1"/>
    <col min="15878" max="15878" width="14.88671875" style="2214" customWidth="1"/>
    <col min="15879" max="16128" width="9.109375" style="2214"/>
    <col min="16129" max="16129" width="4" style="2214" customWidth="1"/>
    <col min="16130" max="16130" width="44.88671875" style="2214" customWidth="1"/>
    <col min="16131" max="16131" width="7.44140625" style="2214" bestFit="1" customWidth="1"/>
    <col min="16132" max="16132" width="9.33203125" style="2214" customWidth="1"/>
    <col min="16133" max="16133" width="10.109375" style="2214" customWidth="1"/>
    <col min="16134" max="16134" width="14.88671875" style="2214" customWidth="1"/>
    <col min="16135" max="16384" width="9.109375" style="2214"/>
  </cols>
  <sheetData>
    <row r="1" spans="1:6" ht="30" customHeight="1">
      <c r="A1" s="3941" t="s">
        <v>2881</v>
      </c>
      <c r="B1" s="3942"/>
      <c r="C1" s="3942"/>
      <c r="D1" s="3942"/>
      <c r="E1" s="3942"/>
      <c r="F1" s="3943"/>
    </row>
    <row r="2" spans="1:6" ht="58.5" customHeight="1">
      <c r="A2" s="3941" t="str">
        <f>'[268]Bri estim'!A2:J2</f>
        <v>Name of the Work: Construction of High level bridge on R/F Pamapur to Veera Raghavapur @ 1/58-2/23 Km in Kothakota(M), Mahabubnagar Dist.</v>
      </c>
      <c r="B2" s="3942"/>
      <c r="C2" s="3942"/>
      <c r="D2" s="3942"/>
      <c r="E2" s="3942"/>
      <c r="F2" s="3943"/>
    </row>
    <row r="3" spans="1:6" s="2218" customFormat="1" ht="29.25" customHeight="1">
      <c r="A3" s="2215" t="s">
        <v>391</v>
      </c>
      <c r="B3" s="2216" t="s">
        <v>1418</v>
      </c>
      <c r="C3" s="2217" t="s">
        <v>965</v>
      </c>
      <c r="D3" s="2217" t="s">
        <v>3</v>
      </c>
      <c r="E3" s="2217" t="s">
        <v>5</v>
      </c>
      <c r="F3" s="2217" t="s">
        <v>531</v>
      </c>
    </row>
    <row r="4" spans="1:6" s="2218" customFormat="1">
      <c r="A4" s="2219">
        <v>1</v>
      </c>
      <c r="B4" s="2216">
        <v>2</v>
      </c>
      <c r="C4" s="2217">
        <v>3</v>
      </c>
      <c r="D4" s="2217">
        <v>4</v>
      </c>
      <c r="E4" s="2217">
        <v>5</v>
      </c>
      <c r="F4" s="2217">
        <v>6</v>
      </c>
    </row>
    <row r="5" spans="1:6" ht="110.4">
      <c r="A5" s="2222">
        <v>1</v>
      </c>
      <c r="B5" s="2294" t="s">
        <v>2882</v>
      </c>
      <c r="C5" s="2295"/>
      <c r="D5" s="2296"/>
      <c r="E5" s="2297"/>
      <c r="F5" s="2298"/>
    </row>
    <row r="6" spans="1:6" hidden="1">
      <c r="A6" s="2299"/>
      <c r="B6" s="2300" t="s">
        <v>2883</v>
      </c>
      <c r="C6" s="2301"/>
      <c r="D6" s="2302"/>
      <c r="E6" s="2303"/>
      <c r="F6" s="2304"/>
    </row>
    <row r="7" spans="1:6" s="2218" customFormat="1">
      <c r="A7" s="2250"/>
      <c r="B7" s="2253" t="s">
        <v>2809</v>
      </c>
      <c r="C7" s="2253" t="s">
        <v>2752</v>
      </c>
      <c r="D7" s="2305">
        <f>'Bri estim'!J23</f>
        <v>6151.97</v>
      </c>
      <c r="E7" s="2305">
        <f>'Bri estimate Final'!J9</f>
        <v>136.06920584583335</v>
      </c>
      <c r="F7" s="2306">
        <f>ROUND(D7*E7,0)</f>
        <v>837094</v>
      </c>
    </row>
    <row r="8" spans="1:6" s="2218" customFormat="1">
      <c r="A8" s="2250"/>
      <c r="B8" s="2253"/>
      <c r="C8" s="2253"/>
      <c r="D8" s="2305"/>
      <c r="E8" s="2305"/>
      <c r="F8" s="2306"/>
    </row>
    <row r="9" spans="1:6" ht="124.2" hidden="1">
      <c r="A9" s="2226">
        <v>2</v>
      </c>
      <c r="B9" s="2307" t="s">
        <v>2884</v>
      </c>
      <c r="C9" s="2227"/>
      <c r="D9" s="2228"/>
      <c r="E9" s="2228"/>
      <c r="F9" s="2249"/>
    </row>
    <row r="10" spans="1:6" hidden="1">
      <c r="A10" s="2226"/>
      <c r="B10" s="2300" t="s">
        <v>2885</v>
      </c>
      <c r="C10" s="2227"/>
      <c r="D10" s="2268"/>
      <c r="E10" s="2234"/>
      <c r="F10" s="2232"/>
    </row>
    <row r="11" spans="1:6" hidden="1">
      <c r="A11" s="2226"/>
      <c r="B11" s="2228" t="s">
        <v>2886</v>
      </c>
      <c r="C11" s="2227"/>
      <c r="D11" s="2268"/>
      <c r="E11" s="2234"/>
      <c r="F11" s="2232"/>
    </row>
    <row r="12" spans="1:6" s="2218" customFormat="1" hidden="1">
      <c r="A12" s="2250"/>
      <c r="B12" s="2253" t="s">
        <v>2809</v>
      </c>
      <c r="C12" s="2253" t="s">
        <v>2752</v>
      </c>
      <c r="D12" s="2305">
        <f>'Bri estim'!J44</f>
        <v>5677.67</v>
      </c>
      <c r="E12" s="2305">
        <v>0</v>
      </c>
      <c r="F12" s="2306">
        <f>ROUND(D12*E12,0)</f>
        <v>0</v>
      </c>
    </row>
    <row r="13" spans="1:6" hidden="1">
      <c r="A13" s="2226"/>
      <c r="B13" s="2228"/>
      <c r="C13" s="2227"/>
      <c r="D13" s="2234"/>
      <c r="E13" s="2234"/>
      <c r="F13" s="2235"/>
    </row>
    <row r="14" spans="1:6" ht="179.4">
      <c r="A14" s="2226">
        <v>3</v>
      </c>
      <c r="B14" s="2307" t="str">
        <f>'[268]Bri estim'!D46</f>
        <v>PCC (1:3:6) mix using 40mm size HBG Machine crushed stone aggregate and fine aggregate conforming to table 1000-2 of MoRT&amp;H including cost and conveyance of all materials to site and labour charges for centering, machine mixing, laying,  Vibrating, curing etc., including all other incidental and operational charges of all T&amp;P  (excluding Seignorage charges) etc., complete for finished item of work as per MoRT&amp;H specification 1500,1700,  2100  (4th  Revision) and as directed by the Engineer-in-Charge for foundations for levelling course. - For Abutment, Piers and below approach slab.</v>
      </c>
      <c r="C14" s="2227"/>
      <c r="D14" s="2234"/>
      <c r="E14" s="2234"/>
      <c r="F14" s="2232"/>
    </row>
    <row r="15" spans="1:6" hidden="1">
      <c r="A15" s="2226"/>
      <c r="B15" s="2308" t="s">
        <v>2887</v>
      </c>
      <c r="C15" s="2227"/>
      <c r="D15" s="2234"/>
      <c r="E15" s="2234"/>
      <c r="F15" s="2232"/>
    </row>
    <row r="16" spans="1:6">
      <c r="A16" s="2226"/>
      <c r="B16" s="2228" t="s">
        <v>2811</v>
      </c>
      <c r="C16" s="2227" t="s">
        <v>2752</v>
      </c>
      <c r="D16" s="2234">
        <f>'Bri estim'!J47</f>
        <v>239.81</v>
      </c>
      <c r="E16" s="2234"/>
      <c r="F16" s="2232"/>
    </row>
    <row r="17" spans="1:6">
      <c r="A17" s="2226"/>
      <c r="B17" s="2228" t="s">
        <v>2812</v>
      </c>
      <c r="C17" s="2227" t="s">
        <v>2752</v>
      </c>
      <c r="D17" s="2234">
        <f>'Bri estim'!J48</f>
        <v>63.74</v>
      </c>
      <c r="E17" s="2234"/>
      <c r="F17" s="2232"/>
    </row>
    <row r="18" spans="1:6">
      <c r="A18" s="2226"/>
      <c r="B18" s="2228" t="s">
        <v>2813</v>
      </c>
      <c r="C18" s="2227" t="s">
        <v>2752</v>
      </c>
      <c r="D18" s="2234">
        <f>'Bri estim'!J49</f>
        <v>11.83</v>
      </c>
      <c r="E18" s="2234"/>
      <c r="F18" s="2232"/>
    </row>
    <row r="19" spans="1:6" s="2218" customFormat="1">
      <c r="A19" s="2250"/>
      <c r="B19" s="2253" t="s">
        <v>2809</v>
      </c>
      <c r="C19" s="2253" t="s">
        <v>2752</v>
      </c>
      <c r="D19" s="2305">
        <f>SUM(D16:D18)</f>
        <v>315.38</v>
      </c>
      <c r="E19" s="2305">
        <f>'Bri estimate Final'!J18</f>
        <v>6547.95</v>
      </c>
      <c r="F19" s="2306">
        <f>ROUND(D19*E19,0)</f>
        <v>2065092</v>
      </c>
    </row>
    <row r="20" spans="1:6">
      <c r="A20" s="2226"/>
      <c r="B20" s="2228"/>
      <c r="C20" s="2227"/>
      <c r="D20" s="2234"/>
      <c r="E20" s="2234"/>
      <c r="F20" s="2232"/>
    </row>
    <row r="21" spans="1:6" ht="218.25" customHeight="1">
      <c r="A21" s="2226">
        <v>4</v>
      </c>
      <c r="B21" s="2307" t="s">
        <v>2888</v>
      </c>
      <c r="C21" s="2227"/>
      <c r="D21" s="2309"/>
      <c r="E21" s="2309"/>
      <c r="F21" s="2235"/>
    </row>
    <row r="22" spans="1:6" hidden="1">
      <c r="A22" s="2226"/>
      <c r="B22" s="2308" t="s">
        <v>2889</v>
      </c>
      <c r="C22" s="2227"/>
      <c r="D22" s="2309"/>
      <c r="E22" s="2309"/>
      <c r="F22" s="2235"/>
    </row>
    <row r="23" spans="1:6">
      <c r="A23" s="2226"/>
      <c r="B23" s="2310" t="s">
        <v>1380</v>
      </c>
      <c r="C23" s="2227"/>
      <c r="D23" s="2234">
        <f>'Bri estim'!J57</f>
        <v>1192.5</v>
      </c>
      <c r="E23" s="2234"/>
      <c r="F23" s="2232"/>
    </row>
    <row r="24" spans="1:6" hidden="1">
      <c r="A24" s="2226"/>
      <c r="B24" s="2308" t="s">
        <v>2890</v>
      </c>
      <c r="C24" s="2227"/>
      <c r="D24" s="2234"/>
      <c r="E24" s="2234"/>
      <c r="F24" s="2232"/>
    </row>
    <row r="25" spans="1:6">
      <c r="A25" s="2226"/>
      <c r="B25" s="2228" t="s">
        <v>2891</v>
      </c>
      <c r="C25" s="2227"/>
      <c r="D25" s="2234">
        <f>'Bri estim'!J60</f>
        <v>354.08</v>
      </c>
      <c r="E25" s="2234"/>
      <c r="F25" s="2232"/>
    </row>
    <row r="26" spans="1:6" s="2218" customFormat="1">
      <c r="A26" s="2250"/>
      <c r="B26" s="2253" t="s">
        <v>2809</v>
      </c>
      <c r="C26" s="2253" t="s">
        <v>2752</v>
      </c>
      <c r="D26" s="2305">
        <f>SUM(D23:D25)</f>
        <v>1546.58</v>
      </c>
      <c r="E26" s="2305">
        <f>'Bri estimate Final'!J23</f>
        <v>8315.23</v>
      </c>
      <c r="F26" s="2306">
        <f>ROUND(D26*E26,0)</f>
        <v>12860168</v>
      </c>
    </row>
    <row r="27" spans="1:6">
      <c r="A27" s="2226"/>
      <c r="B27" s="2228"/>
      <c r="C27" s="2227"/>
      <c r="D27" s="2309"/>
      <c r="E27" s="2309"/>
      <c r="F27" s="2235"/>
    </row>
    <row r="28" spans="1:6" ht="207">
      <c r="A28" s="2226">
        <v>5</v>
      </c>
      <c r="B28" s="2307" t="s">
        <v>2892</v>
      </c>
      <c r="C28" s="2227"/>
      <c r="D28" s="2228"/>
      <c r="E28" s="2228"/>
      <c r="F28" s="2249"/>
    </row>
    <row r="29" spans="1:6" hidden="1">
      <c r="A29" s="2226"/>
      <c r="B29" s="2308" t="s">
        <v>2893</v>
      </c>
      <c r="C29" s="2227"/>
      <c r="D29" s="2228"/>
      <c r="E29" s="2228"/>
      <c r="F29" s="2249"/>
    </row>
    <row r="30" spans="1:6">
      <c r="A30" s="2226"/>
      <c r="B30" s="2310" t="s">
        <v>1380</v>
      </c>
      <c r="C30" s="2227"/>
      <c r="D30" s="2234">
        <f>'Bri estim'!J79</f>
        <v>352.78</v>
      </c>
      <c r="E30" s="2234"/>
      <c r="F30" s="2232"/>
    </row>
    <row r="31" spans="1:6" hidden="1">
      <c r="A31" s="2226"/>
      <c r="B31" s="2308" t="s">
        <v>2894</v>
      </c>
      <c r="C31" s="2227"/>
      <c r="D31" s="2234"/>
      <c r="E31" s="2234"/>
      <c r="F31" s="2232"/>
    </row>
    <row r="32" spans="1:6">
      <c r="A32" s="2226"/>
      <c r="B32" s="2228" t="s">
        <v>2891</v>
      </c>
      <c r="C32" s="2227"/>
      <c r="D32" s="2234">
        <f>'Bri estim'!J85</f>
        <v>249.82999999999998</v>
      </c>
      <c r="E32" s="2234"/>
      <c r="F32" s="2232"/>
    </row>
    <row r="33" spans="1:6" hidden="1">
      <c r="A33" s="2226"/>
      <c r="B33" s="2308" t="s">
        <v>2895</v>
      </c>
      <c r="C33" s="2227"/>
      <c r="D33" s="2234"/>
      <c r="E33" s="2234"/>
      <c r="F33" s="2232"/>
    </row>
    <row r="34" spans="1:6">
      <c r="A34" s="2226"/>
      <c r="B34" s="2228" t="s">
        <v>2896</v>
      </c>
      <c r="C34" s="2227"/>
      <c r="D34" s="2234">
        <f>'Bri estim'!J95</f>
        <v>16.57</v>
      </c>
      <c r="E34" s="2234"/>
      <c r="F34" s="2232"/>
    </row>
    <row r="35" spans="1:6">
      <c r="A35" s="2226"/>
      <c r="B35" s="2228" t="s">
        <v>2897</v>
      </c>
      <c r="C35" s="2227"/>
      <c r="D35" s="2234">
        <f>'Bri estim'!J100</f>
        <v>216.29999999999998</v>
      </c>
      <c r="E35" s="2234"/>
      <c r="F35" s="2232"/>
    </row>
    <row r="36" spans="1:6">
      <c r="A36" s="2226"/>
      <c r="B36" s="2228" t="s">
        <v>2898</v>
      </c>
      <c r="C36" s="2227"/>
      <c r="D36" s="2234">
        <f>'Bri estim'!J92</f>
        <v>52.39</v>
      </c>
      <c r="E36" s="2234"/>
      <c r="F36" s="2232"/>
    </row>
    <row r="37" spans="1:6" s="2218" customFormat="1">
      <c r="A37" s="2250"/>
      <c r="B37" s="2253" t="s">
        <v>2809</v>
      </c>
      <c r="C37" s="2253" t="s">
        <v>2752</v>
      </c>
      <c r="D37" s="2305">
        <f>SUM(D30:D36)</f>
        <v>887.86999999999989</v>
      </c>
      <c r="E37" s="2305">
        <f>'Bri estimate Final'!J39</f>
        <v>8293.5400000000009</v>
      </c>
      <c r="F37" s="2306">
        <f>ROUND(D37*E37,0)</f>
        <v>7363585</v>
      </c>
    </row>
    <row r="38" spans="1:6">
      <c r="A38" s="2226"/>
      <c r="B38" s="2259"/>
      <c r="C38" s="2260"/>
      <c r="D38" s="2309"/>
      <c r="E38" s="2309"/>
      <c r="F38" s="2235"/>
    </row>
    <row r="39" spans="1:6" ht="218.25" customHeight="1">
      <c r="A39" s="2226">
        <v>6</v>
      </c>
      <c r="B39" s="2307" t="s">
        <v>2899</v>
      </c>
      <c r="C39" s="2227"/>
      <c r="D39" s="2228"/>
      <c r="E39" s="2228"/>
      <c r="F39" s="2249"/>
    </row>
    <row r="40" spans="1:6" hidden="1">
      <c r="A40" s="2226"/>
      <c r="B40" s="2308" t="s">
        <v>2900</v>
      </c>
      <c r="C40" s="2227"/>
      <c r="D40" s="2228"/>
      <c r="E40" s="2228"/>
      <c r="F40" s="2249"/>
    </row>
    <row r="41" spans="1:6" s="2218" customFormat="1">
      <c r="A41" s="2250"/>
      <c r="B41" s="2253" t="s">
        <v>2809</v>
      </c>
      <c r="C41" s="2253" t="s">
        <v>2752</v>
      </c>
      <c r="D41" s="2305">
        <f>'Bri estim'!J105</f>
        <v>979.2</v>
      </c>
      <c r="E41" s="2305">
        <f>'Bri estimate Final'!J52</f>
        <v>9582.9500000000007</v>
      </c>
      <c r="F41" s="2306">
        <f>ROUND(D41*E41,0)</f>
        <v>9383625</v>
      </c>
    </row>
    <row r="42" spans="1:6" s="2218" customFormat="1">
      <c r="A42" s="2250"/>
      <c r="B42" s="2253"/>
      <c r="C42" s="2253"/>
      <c r="D42" s="2305"/>
      <c r="E42" s="2305"/>
      <c r="F42" s="2306"/>
    </row>
    <row r="43" spans="1:6" ht="193.2">
      <c r="A43" s="2226">
        <v>7</v>
      </c>
      <c r="B43" s="2307" t="s">
        <v>2901</v>
      </c>
      <c r="C43" s="2260"/>
      <c r="D43" s="2309"/>
      <c r="E43" s="2309"/>
      <c r="F43" s="2235"/>
    </row>
    <row r="44" spans="1:6" s="2218" customFormat="1">
      <c r="A44" s="2250"/>
      <c r="B44" s="2253" t="s">
        <v>2809</v>
      </c>
      <c r="C44" s="2253" t="s">
        <v>2752</v>
      </c>
      <c r="D44" s="2305">
        <f>'Bri estim'!J107</f>
        <v>17.75</v>
      </c>
      <c r="E44" s="2305">
        <f>'Bri estimate Final'!J72</f>
        <v>8198.74</v>
      </c>
      <c r="F44" s="2306">
        <f>ROUND(D44*E44,0)</f>
        <v>145528</v>
      </c>
    </row>
    <row r="45" spans="1:6">
      <c r="A45" s="2226"/>
      <c r="B45" s="2228"/>
      <c r="C45" s="2265"/>
      <c r="D45" s="2309"/>
      <c r="E45" s="2309"/>
      <c r="F45" s="2235"/>
    </row>
    <row r="46" spans="1:6" ht="207">
      <c r="A46" s="2226">
        <v>8</v>
      </c>
      <c r="B46" s="2307" t="s">
        <v>2854</v>
      </c>
      <c r="C46" s="2227"/>
      <c r="D46" s="2234"/>
      <c r="E46" s="2234"/>
      <c r="F46" s="2232"/>
    </row>
    <row r="47" spans="1:6" hidden="1">
      <c r="A47" s="2226"/>
      <c r="B47" s="2240" t="s">
        <v>2902</v>
      </c>
      <c r="C47" s="2227"/>
      <c r="D47" s="2234"/>
      <c r="E47" s="2234"/>
      <c r="F47" s="2232"/>
    </row>
    <row r="48" spans="1:6" s="2218" customFormat="1">
      <c r="A48" s="2250"/>
      <c r="B48" s="2253" t="s">
        <v>2809</v>
      </c>
      <c r="C48" s="2253" t="s">
        <v>2752</v>
      </c>
      <c r="D48" s="2305">
        <f>'Bri estim'!J110</f>
        <v>154.56375</v>
      </c>
      <c r="E48" s="2305">
        <f>'Bri estimate Final'!J60</f>
        <v>8090.44</v>
      </c>
      <c r="F48" s="2306">
        <f>ROUND(D48*E48,0)</f>
        <v>1250489</v>
      </c>
    </row>
    <row r="49" spans="1:6">
      <c r="A49" s="2226"/>
      <c r="B49" s="2228"/>
      <c r="C49" s="2260"/>
      <c r="D49" s="2309"/>
      <c r="E49" s="2234"/>
      <c r="F49" s="2311"/>
    </row>
    <row r="50" spans="1:6" ht="151.80000000000001">
      <c r="A50" s="2226">
        <v>9</v>
      </c>
      <c r="B50" s="2307" t="s">
        <v>2903</v>
      </c>
      <c r="C50" s="2227"/>
      <c r="D50" s="2234"/>
      <c r="E50" s="2234"/>
      <c r="F50" s="2232"/>
    </row>
    <row r="51" spans="1:6" hidden="1">
      <c r="A51" s="2226"/>
      <c r="B51" s="2240" t="s">
        <v>2904</v>
      </c>
      <c r="C51" s="2227"/>
      <c r="D51" s="2234"/>
      <c r="E51" s="2234"/>
      <c r="F51" s="2232"/>
    </row>
    <row r="52" spans="1:6" s="2218" customFormat="1">
      <c r="A52" s="2250"/>
      <c r="B52" s="2253" t="s">
        <v>2809</v>
      </c>
      <c r="C52" s="2253" t="s">
        <v>1003</v>
      </c>
      <c r="D52" s="2305">
        <f>'Bri estim'!J113</f>
        <v>547.52</v>
      </c>
      <c r="E52" s="2305">
        <f>'Bri estimate Final'!J76</f>
        <v>642.07593751082038</v>
      </c>
      <c r="F52" s="2306">
        <f>ROUND(D52*E52,0)</f>
        <v>351549</v>
      </c>
    </row>
    <row r="53" spans="1:6" s="2257" customFormat="1">
      <c r="A53" s="2250"/>
      <c r="B53" s="2252"/>
      <c r="C53" s="2251"/>
      <c r="D53" s="2254"/>
      <c r="E53" s="2254"/>
      <c r="F53" s="2311"/>
    </row>
    <row r="54" spans="1:6" ht="96.6">
      <c r="A54" s="2226">
        <v>10</v>
      </c>
      <c r="B54" s="2307" t="s">
        <v>2905</v>
      </c>
      <c r="C54" s="2227"/>
      <c r="D54" s="2234"/>
      <c r="E54" s="2234"/>
      <c r="F54" s="2232"/>
    </row>
    <row r="55" spans="1:6" hidden="1">
      <c r="A55" s="2226"/>
      <c r="B55" s="2240" t="s">
        <v>2906</v>
      </c>
      <c r="C55" s="2227"/>
      <c r="D55" s="2234"/>
      <c r="E55" s="2234"/>
      <c r="F55" s="2232"/>
    </row>
    <row r="56" spans="1:6" s="2314" customFormat="1">
      <c r="A56" s="2312"/>
      <c r="B56" s="2253" t="s">
        <v>2809</v>
      </c>
      <c r="C56" s="2253" t="s">
        <v>73</v>
      </c>
      <c r="D56" s="2313">
        <f>'Bri estim'!J117</f>
        <v>9971.4500000000007</v>
      </c>
      <c r="E56" s="2313">
        <f>'Bri estimate Final'!J56</f>
        <v>801.15</v>
      </c>
      <c r="F56" s="2311">
        <f>ROUND(D56*E56,0)</f>
        <v>7988627</v>
      </c>
    </row>
    <row r="57" spans="1:6">
      <c r="A57" s="2226"/>
      <c r="B57" s="2264"/>
      <c r="C57" s="2251"/>
      <c r="D57" s="2254"/>
      <c r="E57" s="2254"/>
      <c r="F57" s="2311"/>
    </row>
    <row r="58" spans="1:6" ht="96.6">
      <c r="A58" s="2226">
        <v>11</v>
      </c>
      <c r="B58" s="2307" t="s">
        <v>2907</v>
      </c>
      <c r="C58" s="2227"/>
      <c r="D58" s="2234"/>
      <c r="E58" s="2234"/>
      <c r="F58" s="2232"/>
    </row>
    <row r="59" spans="1:6" s="2314" customFormat="1">
      <c r="A59" s="2312"/>
      <c r="B59" s="2253" t="s">
        <v>2809</v>
      </c>
      <c r="C59" s="2253" t="s">
        <v>708</v>
      </c>
      <c r="D59" s="2313">
        <f>'Bri estim'!J119</f>
        <v>64</v>
      </c>
      <c r="E59" s="2313">
        <f>'Bridge Data'!J475</f>
        <v>3679.08</v>
      </c>
      <c r="F59" s="2311">
        <f>ROUND(D59*E59,0)</f>
        <v>235461</v>
      </c>
    </row>
    <row r="60" spans="1:6">
      <c r="A60" s="2226"/>
      <c r="B60" s="2307"/>
      <c r="C60" s="2251"/>
      <c r="D60" s="2254"/>
      <c r="E60" s="2254"/>
      <c r="F60" s="2311"/>
    </row>
    <row r="61" spans="1:6">
      <c r="A61" s="2226">
        <v>12</v>
      </c>
      <c r="B61" s="2307">
        <f>'[268]Bri estim'!D119</f>
        <v>0</v>
      </c>
      <c r="C61" s="2227"/>
      <c r="D61" s="2234"/>
      <c r="E61" s="2234"/>
      <c r="F61" s="2232"/>
    </row>
    <row r="62" spans="1:6" hidden="1">
      <c r="A62" s="2226"/>
      <c r="B62" s="2240" t="s">
        <v>2908</v>
      </c>
      <c r="C62" s="2227"/>
      <c r="D62" s="2234"/>
      <c r="E62" s="2234"/>
      <c r="F62" s="2232"/>
    </row>
    <row r="63" spans="1:6" s="2314" customFormat="1">
      <c r="A63" s="2312"/>
      <c r="B63" s="2253" t="s">
        <v>2809</v>
      </c>
      <c r="C63" s="2253" t="s">
        <v>708</v>
      </c>
      <c r="D63" s="2313">
        <f>'Bri estim'!J123</f>
        <v>96</v>
      </c>
      <c r="E63" s="2313">
        <v>0</v>
      </c>
      <c r="F63" s="2311">
        <f>ROUND(D63*E63,0)</f>
        <v>0</v>
      </c>
    </row>
    <row r="64" spans="1:6">
      <c r="A64" s="2226"/>
      <c r="B64" s="2307"/>
      <c r="C64" s="2251"/>
      <c r="D64" s="2254"/>
      <c r="E64" s="2315"/>
      <c r="F64" s="2311"/>
    </row>
    <row r="65" spans="1:6">
      <c r="A65" s="2226">
        <v>13</v>
      </c>
      <c r="B65" s="2307">
        <f>'[268]Bri estim'!D123</f>
        <v>0</v>
      </c>
      <c r="C65" s="2227"/>
      <c r="D65" s="2234"/>
      <c r="E65" s="2234"/>
      <c r="F65" s="2232"/>
    </row>
    <row r="66" spans="1:6" hidden="1">
      <c r="A66" s="2226"/>
      <c r="B66" s="2240" t="s">
        <v>2909</v>
      </c>
      <c r="C66" s="2227"/>
      <c r="D66" s="2234"/>
      <c r="E66" s="2234"/>
      <c r="F66" s="2232"/>
    </row>
    <row r="67" spans="1:6" s="2314" customFormat="1">
      <c r="A67" s="2312"/>
      <c r="B67" s="2253" t="s">
        <v>2809</v>
      </c>
      <c r="C67" s="2253" t="s">
        <v>1003</v>
      </c>
      <c r="D67" s="2313">
        <f>'Bri estim'!J125</f>
        <v>127.5</v>
      </c>
      <c r="E67" s="2313">
        <v>7368.76</v>
      </c>
      <c r="F67" s="2311">
        <f>ROUND(D67*E67,0)</f>
        <v>939517</v>
      </c>
    </row>
    <row r="68" spans="1:6">
      <c r="A68" s="2226"/>
      <c r="B68" s="2307"/>
      <c r="C68" s="2251"/>
      <c r="D68" s="2254"/>
      <c r="E68" s="2315"/>
      <c r="F68" s="2311"/>
    </row>
    <row r="69" spans="1:6">
      <c r="A69" s="2226">
        <v>14</v>
      </c>
      <c r="B69" s="2307">
        <f>'[268]Bri estim'!D125</f>
        <v>0</v>
      </c>
      <c r="C69" s="2227"/>
      <c r="D69" s="2234"/>
      <c r="E69" s="2234"/>
      <c r="F69" s="2232"/>
    </row>
    <row r="70" spans="1:6" hidden="1">
      <c r="A70" s="2226"/>
      <c r="B70" s="2240" t="s">
        <v>2910</v>
      </c>
      <c r="C70" s="2227"/>
      <c r="D70" s="2234"/>
      <c r="E70" s="2234"/>
      <c r="F70" s="2232"/>
    </row>
    <row r="71" spans="1:6" s="2218" customFormat="1">
      <c r="A71" s="2250"/>
      <c r="B71" s="2253" t="s">
        <v>2809</v>
      </c>
      <c r="C71" s="2253" t="s">
        <v>708</v>
      </c>
      <c r="D71" s="2305">
        <f>'Bri estim'!J127</f>
        <v>88.2</v>
      </c>
      <c r="E71" s="2305">
        <v>609.13</v>
      </c>
      <c r="F71" s="2306">
        <f>ROUND(D71*E71,0)</f>
        <v>53725</v>
      </c>
    </row>
    <row r="72" spans="1:6">
      <c r="A72" s="2226"/>
      <c r="B72" s="2307"/>
      <c r="C72" s="2251"/>
      <c r="D72" s="2254"/>
      <c r="E72" s="2316"/>
      <c r="F72" s="2311"/>
    </row>
    <row r="73" spans="1:6">
      <c r="A73" s="2226">
        <v>15</v>
      </c>
      <c r="B73" s="2307" t="str">
        <f>'[268]Bri estim'!D127</f>
        <v>In Abutments</v>
      </c>
      <c r="C73" s="2227"/>
      <c r="D73" s="2234"/>
      <c r="E73" s="2234"/>
      <c r="F73" s="2232"/>
    </row>
    <row r="74" spans="1:6" hidden="1">
      <c r="A74" s="2226"/>
      <c r="B74" s="2240" t="s">
        <v>2911</v>
      </c>
      <c r="C74" s="2227"/>
      <c r="D74" s="2234"/>
      <c r="E74" s="2234"/>
      <c r="F74" s="2232"/>
    </row>
    <row r="75" spans="1:6" s="2218" customFormat="1">
      <c r="A75" s="2250"/>
      <c r="B75" s="2253" t="s">
        <v>2809</v>
      </c>
      <c r="C75" s="2253" t="s">
        <v>353</v>
      </c>
      <c r="D75" s="2305">
        <f>'Bri estim'!J131</f>
        <v>162.25</v>
      </c>
      <c r="E75" s="2305">
        <v>1155.8699999999999</v>
      </c>
      <c r="F75" s="2306">
        <f>ROUND(D75*E75,0)</f>
        <v>187540</v>
      </c>
    </row>
    <row r="76" spans="1:6">
      <c r="A76" s="2226"/>
      <c r="B76" s="2307"/>
      <c r="C76" s="2251"/>
      <c r="D76" s="2254"/>
      <c r="E76" s="2254"/>
      <c r="F76" s="2311"/>
    </row>
    <row r="77" spans="1:6">
      <c r="A77" s="2226">
        <v>16</v>
      </c>
      <c r="B77" s="2307">
        <f>'[268]Bri estim'!D131</f>
        <v>0</v>
      </c>
      <c r="C77" s="2214"/>
    </row>
    <row r="78" spans="1:6" hidden="1">
      <c r="A78" s="2226"/>
      <c r="B78" s="2240" t="s">
        <v>2912</v>
      </c>
      <c r="C78" s="2214"/>
    </row>
    <row r="79" spans="1:6" s="2218" customFormat="1">
      <c r="A79" s="2250"/>
      <c r="B79" s="2253" t="s">
        <v>2809</v>
      </c>
      <c r="C79" s="2253" t="s">
        <v>353</v>
      </c>
      <c r="D79" s="2305">
        <f>'Bri estim'!J137</f>
        <v>1084.72</v>
      </c>
      <c r="E79" s="2305">
        <v>101.95</v>
      </c>
      <c r="F79" s="2306">
        <f>ROUND(D79*E79,0)</f>
        <v>110587</v>
      </c>
    </row>
    <row r="80" spans="1:6">
      <c r="A80" s="2226"/>
      <c r="B80" s="2307"/>
      <c r="C80" s="2251"/>
      <c r="D80" s="2254"/>
      <c r="E80" s="2254"/>
      <c r="F80" s="2311"/>
    </row>
    <row r="81" spans="1:6" ht="220.8">
      <c r="A81" s="2226">
        <v>17</v>
      </c>
      <c r="B81" s="2307" t="s">
        <v>2874</v>
      </c>
      <c r="C81" s="2227"/>
      <c r="D81" s="2228"/>
      <c r="E81" s="2228"/>
      <c r="F81" s="2249"/>
    </row>
    <row r="82" spans="1:6" hidden="1">
      <c r="A82" s="2226"/>
      <c r="B82" s="2240" t="s">
        <v>2913</v>
      </c>
      <c r="C82" s="2227"/>
      <c r="D82" s="2228"/>
      <c r="E82" s="2228"/>
      <c r="F82" s="2249"/>
    </row>
    <row r="83" spans="1:6" s="2218" customFormat="1">
      <c r="A83" s="2250"/>
      <c r="B83" s="2253" t="s">
        <v>2809</v>
      </c>
      <c r="C83" s="2253" t="s">
        <v>2875</v>
      </c>
      <c r="D83" s="2305">
        <f>'Bri estim'!J139</f>
        <v>177</v>
      </c>
      <c r="E83" s="2305">
        <f>'Bri estimate Final'!J101</f>
        <v>77481.45</v>
      </c>
      <c r="F83" s="2306">
        <f>ROUND(D83*E83,0)</f>
        <v>13714217</v>
      </c>
    </row>
    <row r="84" spans="1:6">
      <c r="A84" s="2226"/>
      <c r="B84" s="2264"/>
      <c r="C84" s="2251"/>
      <c r="D84" s="2254"/>
      <c r="E84" s="2316"/>
      <c r="F84" s="2311"/>
    </row>
    <row r="85" spans="1:6" ht="220.8">
      <c r="A85" s="2226">
        <v>18</v>
      </c>
      <c r="B85" s="2281" t="s">
        <v>2914</v>
      </c>
      <c r="C85" s="2251"/>
      <c r="D85" s="2254"/>
      <c r="E85" s="2315"/>
      <c r="F85" s="2311"/>
    </row>
    <row r="86" spans="1:6" hidden="1">
      <c r="A86" s="2226"/>
      <c r="B86" s="2240" t="s">
        <v>2915</v>
      </c>
      <c r="C86" s="2251"/>
      <c r="D86" s="2254"/>
      <c r="E86" s="2315"/>
      <c r="F86" s="2311"/>
    </row>
    <row r="87" spans="1:6" s="2218" customFormat="1">
      <c r="A87" s="2250"/>
      <c r="B87" s="2253" t="s">
        <v>2809</v>
      </c>
      <c r="C87" s="2253" t="s">
        <v>2875</v>
      </c>
      <c r="D87" s="2305">
        <f>'Bri estim'!J141</f>
        <v>207.5</v>
      </c>
      <c r="E87" s="2305">
        <f>'Bri estimate Final'!J98</f>
        <v>75210.44</v>
      </c>
      <c r="F87" s="2306">
        <f>ROUND(D87*E87,0)</f>
        <v>15606166</v>
      </c>
    </row>
    <row r="88" spans="1:6">
      <c r="A88" s="2226"/>
      <c r="B88" s="2264"/>
      <c r="C88" s="2251"/>
      <c r="D88" s="2254"/>
      <c r="E88" s="2316"/>
      <c r="F88" s="2311"/>
    </row>
    <row r="89" spans="1:6" ht="220.8">
      <c r="A89" s="2226">
        <v>19</v>
      </c>
      <c r="B89" s="2281" t="s">
        <v>2877</v>
      </c>
      <c r="C89" s="2251"/>
      <c r="D89" s="2254"/>
      <c r="E89" s="2315"/>
      <c r="F89" s="2311"/>
    </row>
    <row r="90" spans="1:6" hidden="1">
      <c r="A90" s="2226"/>
      <c r="B90" s="2240" t="s">
        <v>2916</v>
      </c>
      <c r="C90" s="2251"/>
      <c r="D90" s="2254"/>
      <c r="E90" s="2315"/>
      <c r="F90" s="2311"/>
    </row>
    <row r="91" spans="1:6" s="2218" customFormat="1">
      <c r="A91" s="2250"/>
      <c r="B91" s="2253" t="s">
        <v>2809</v>
      </c>
      <c r="C91" s="2253" t="s">
        <v>2875</v>
      </c>
      <c r="D91" s="2305">
        <f>'Bri estim'!J143</f>
        <v>54.32</v>
      </c>
      <c r="E91" s="2305">
        <f>'Bri estimate Final'!J94</f>
        <v>74877.55</v>
      </c>
      <c r="F91" s="2306">
        <f>ROUND(D91*E91,0)</f>
        <v>4067349</v>
      </c>
    </row>
    <row r="92" spans="1:6">
      <c r="A92" s="2226"/>
      <c r="B92" s="2264"/>
      <c r="C92" s="2251"/>
      <c r="D92" s="2254"/>
      <c r="E92" s="2254"/>
      <c r="F92" s="2311"/>
    </row>
    <row r="93" spans="1:6">
      <c r="A93" s="2317">
        <v>20</v>
      </c>
      <c r="B93" s="2318" t="s">
        <v>2917</v>
      </c>
      <c r="C93" s="2253"/>
      <c r="D93" s="2252"/>
      <c r="E93" s="2252"/>
      <c r="F93" s="2319">
        <v>300000</v>
      </c>
    </row>
    <row r="94" spans="1:6">
      <c r="A94" s="2320">
        <v>21</v>
      </c>
      <c r="B94" s="2318" t="s">
        <v>2918</v>
      </c>
      <c r="C94" s="2253"/>
      <c r="D94" s="2252"/>
      <c r="E94" s="2252"/>
      <c r="F94" s="2321">
        <v>200000</v>
      </c>
    </row>
    <row r="95" spans="1:6" s="2257" customFormat="1">
      <c r="A95" s="2322"/>
      <c r="B95" s="2323" t="s">
        <v>60</v>
      </c>
      <c r="C95" s="2324"/>
      <c r="D95" s="2324"/>
      <c r="E95" s="2325"/>
      <c r="F95" s="2326">
        <f>SUM(F7:F94)</f>
        <v>77660319</v>
      </c>
    </row>
    <row r="98" spans="1:6">
      <c r="F98" s="2233"/>
    </row>
    <row r="100" spans="1:6">
      <c r="A100" s="2221"/>
      <c r="B100" s="2221">
        <f>'[268]Bri estim'!D146</f>
        <v>0</v>
      </c>
      <c r="D100" s="2221" t="s">
        <v>2878</v>
      </c>
    </row>
    <row r="101" spans="1:6">
      <c r="A101" s="2221"/>
      <c r="B101" s="2221" t="str">
        <f>'[268]Bri estim'!D147</f>
        <v>Asst. Exe. Engineer</v>
      </c>
      <c r="D101" s="2221" t="s">
        <v>2879</v>
      </c>
    </row>
    <row r="102" spans="1:6">
      <c r="A102" s="2221"/>
      <c r="B102" s="2221"/>
      <c r="D102" s="2221"/>
    </row>
    <row r="103" spans="1:6">
      <c r="A103" s="2221"/>
      <c r="B103" s="2221"/>
      <c r="D103" s="2221"/>
    </row>
    <row r="104" spans="1:6">
      <c r="A104" s="2221"/>
      <c r="B104" s="2221"/>
      <c r="D104" s="2221"/>
    </row>
    <row r="105" spans="1:6">
      <c r="A105" s="2221"/>
      <c r="B105" s="2221"/>
      <c r="D105" s="2221"/>
    </row>
    <row r="106" spans="1:6">
      <c r="A106" s="2221"/>
      <c r="B106" s="2221">
        <f>'[268]Bri estim'!D152</f>
        <v>0</v>
      </c>
      <c r="D106" s="2221" t="s">
        <v>684</v>
      </c>
    </row>
    <row r="107" spans="1:6">
      <c r="A107" s="2221"/>
      <c r="B107" s="2221" t="str">
        <f>'[268]Bri estim'!D153</f>
        <v>Executive Engineer</v>
      </c>
      <c r="D107" s="2221" t="s">
        <v>2880</v>
      </c>
    </row>
  </sheetData>
  <mergeCells count="2">
    <mergeCell ref="A1:F1"/>
    <mergeCell ref="A2:F2"/>
  </mergeCells>
  <printOptions horizontalCentered="1"/>
  <pageMargins left="0.7" right="0.7" top="0.75" bottom="0.75" header="0.3" footer="0.3"/>
  <pageSetup paperSize="9" scale="98" fitToHeight="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Q154"/>
  <sheetViews>
    <sheetView view="pageBreakPreview" topLeftCell="A52" zoomScaleNormal="100" zoomScaleSheetLayoutView="100" workbookViewId="0">
      <selection activeCell="G58" sqref="G58:J59"/>
    </sheetView>
  </sheetViews>
  <sheetFormatPr defaultColWidth="9.109375" defaultRowHeight="13.8"/>
  <cols>
    <col min="1" max="1" width="3.6640625" style="2293" bestFit="1" customWidth="1"/>
    <col min="2" max="2" width="6.88671875" style="2221" bestFit="1" customWidth="1"/>
    <col min="3" max="3" width="9" style="2221" hidden="1" customWidth="1"/>
    <col min="4" max="4" width="29.109375" style="2214" customWidth="1"/>
    <col min="5" max="5" width="6" style="2221" customWidth="1"/>
    <col min="6" max="6" width="9.109375" style="2214" customWidth="1"/>
    <col min="7" max="7" width="14.33203125" style="2214" customWidth="1"/>
    <col min="8" max="8" width="13" style="2214" customWidth="1"/>
    <col min="9" max="9" width="8" style="2214" customWidth="1"/>
    <col min="10" max="10" width="9.33203125" style="2214" customWidth="1"/>
    <col min="11" max="11" width="11.109375" style="2214" customWidth="1"/>
    <col min="12" max="256" width="9.109375" style="2214"/>
    <col min="257" max="257" width="4" style="2214" customWidth="1"/>
    <col min="258" max="258" width="5.88671875" style="2214" customWidth="1"/>
    <col min="259" max="259" width="0" style="2214" hidden="1" customWidth="1"/>
    <col min="260" max="260" width="35.88671875" style="2214" customWidth="1"/>
    <col min="261" max="261" width="6" style="2214" customWidth="1"/>
    <col min="262" max="262" width="5.5546875" style="2214" customWidth="1"/>
    <col min="263" max="263" width="14.33203125" style="2214" customWidth="1"/>
    <col min="264" max="264" width="13" style="2214" customWidth="1"/>
    <col min="265" max="265" width="8" style="2214" customWidth="1"/>
    <col min="266" max="266" width="9.33203125" style="2214" customWidth="1"/>
    <col min="267" max="267" width="11.109375" style="2214" customWidth="1"/>
    <col min="268" max="512" width="9.109375" style="2214"/>
    <col min="513" max="513" width="4" style="2214" customWidth="1"/>
    <col min="514" max="514" width="5.88671875" style="2214" customWidth="1"/>
    <col min="515" max="515" width="0" style="2214" hidden="1" customWidth="1"/>
    <col min="516" max="516" width="35.88671875" style="2214" customWidth="1"/>
    <col min="517" max="517" width="6" style="2214" customWidth="1"/>
    <col min="518" max="518" width="5.5546875" style="2214" customWidth="1"/>
    <col min="519" max="519" width="14.33203125" style="2214" customWidth="1"/>
    <col min="520" max="520" width="13" style="2214" customWidth="1"/>
    <col min="521" max="521" width="8" style="2214" customWidth="1"/>
    <col min="522" max="522" width="9.33203125" style="2214" customWidth="1"/>
    <col min="523" max="523" width="11.109375" style="2214" customWidth="1"/>
    <col min="524" max="768" width="9.109375" style="2214"/>
    <col min="769" max="769" width="4" style="2214" customWidth="1"/>
    <col min="770" max="770" width="5.88671875" style="2214" customWidth="1"/>
    <col min="771" max="771" width="0" style="2214" hidden="1" customWidth="1"/>
    <col min="772" max="772" width="35.88671875" style="2214" customWidth="1"/>
    <col min="773" max="773" width="6" style="2214" customWidth="1"/>
    <col min="774" max="774" width="5.5546875" style="2214" customWidth="1"/>
    <col min="775" max="775" width="14.33203125" style="2214" customWidth="1"/>
    <col min="776" max="776" width="13" style="2214" customWidth="1"/>
    <col min="777" max="777" width="8" style="2214" customWidth="1"/>
    <col min="778" max="778" width="9.33203125" style="2214" customWidth="1"/>
    <col min="779" max="779" width="11.109375" style="2214" customWidth="1"/>
    <col min="780" max="1024" width="9.109375" style="2214"/>
    <col min="1025" max="1025" width="4" style="2214" customWidth="1"/>
    <col min="1026" max="1026" width="5.88671875" style="2214" customWidth="1"/>
    <col min="1027" max="1027" width="0" style="2214" hidden="1" customWidth="1"/>
    <col min="1028" max="1028" width="35.88671875" style="2214" customWidth="1"/>
    <col min="1029" max="1029" width="6" style="2214" customWidth="1"/>
    <col min="1030" max="1030" width="5.5546875" style="2214" customWidth="1"/>
    <col min="1031" max="1031" width="14.33203125" style="2214" customWidth="1"/>
    <col min="1032" max="1032" width="13" style="2214" customWidth="1"/>
    <col min="1033" max="1033" width="8" style="2214" customWidth="1"/>
    <col min="1034" max="1034" width="9.33203125" style="2214" customWidth="1"/>
    <col min="1035" max="1035" width="11.109375" style="2214" customWidth="1"/>
    <col min="1036" max="1280" width="9.109375" style="2214"/>
    <col min="1281" max="1281" width="4" style="2214" customWidth="1"/>
    <col min="1282" max="1282" width="5.88671875" style="2214" customWidth="1"/>
    <col min="1283" max="1283" width="0" style="2214" hidden="1" customWidth="1"/>
    <col min="1284" max="1284" width="35.88671875" style="2214" customWidth="1"/>
    <col min="1285" max="1285" width="6" style="2214" customWidth="1"/>
    <col min="1286" max="1286" width="5.5546875" style="2214" customWidth="1"/>
    <col min="1287" max="1287" width="14.33203125" style="2214" customWidth="1"/>
    <col min="1288" max="1288" width="13" style="2214" customWidth="1"/>
    <col min="1289" max="1289" width="8" style="2214" customWidth="1"/>
    <col min="1290" max="1290" width="9.33203125" style="2214" customWidth="1"/>
    <col min="1291" max="1291" width="11.109375" style="2214" customWidth="1"/>
    <col min="1292" max="1536" width="9.109375" style="2214"/>
    <col min="1537" max="1537" width="4" style="2214" customWidth="1"/>
    <col min="1538" max="1538" width="5.88671875" style="2214" customWidth="1"/>
    <col min="1539" max="1539" width="0" style="2214" hidden="1" customWidth="1"/>
    <col min="1540" max="1540" width="35.88671875" style="2214" customWidth="1"/>
    <col min="1541" max="1541" width="6" style="2214" customWidth="1"/>
    <col min="1542" max="1542" width="5.5546875" style="2214" customWidth="1"/>
    <col min="1543" max="1543" width="14.33203125" style="2214" customWidth="1"/>
    <col min="1544" max="1544" width="13" style="2214" customWidth="1"/>
    <col min="1545" max="1545" width="8" style="2214" customWidth="1"/>
    <col min="1546" max="1546" width="9.33203125" style="2214" customWidth="1"/>
    <col min="1547" max="1547" width="11.109375" style="2214" customWidth="1"/>
    <col min="1548" max="1792" width="9.109375" style="2214"/>
    <col min="1793" max="1793" width="4" style="2214" customWidth="1"/>
    <col min="1794" max="1794" width="5.88671875" style="2214" customWidth="1"/>
    <col min="1795" max="1795" width="0" style="2214" hidden="1" customWidth="1"/>
    <col min="1796" max="1796" width="35.88671875" style="2214" customWidth="1"/>
    <col min="1797" max="1797" width="6" style="2214" customWidth="1"/>
    <col min="1798" max="1798" width="5.5546875" style="2214" customWidth="1"/>
    <col min="1799" max="1799" width="14.33203125" style="2214" customWidth="1"/>
    <col min="1800" max="1800" width="13" style="2214" customWidth="1"/>
    <col min="1801" max="1801" width="8" style="2214" customWidth="1"/>
    <col min="1802" max="1802" width="9.33203125" style="2214" customWidth="1"/>
    <col min="1803" max="1803" width="11.109375" style="2214" customWidth="1"/>
    <col min="1804" max="2048" width="9.109375" style="2214"/>
    <col min="2049" max="2049" width="4" style="2214" customWidth="1"/>
    <col min="2050" max="2050" width="5.88671875" style="2214" customWidth="1"/>
    <col min="2051" max="2051" width="0" style="2214" hidden="1" customWidth="1"/>
    <col min="2052" max="2052" width="35.88671875" style="2214" customWidth="1"/>
    <col min="2053" max="2053" width="6" style="2214" customWidth="1"/>
    <col min="2054" max="2054" width="5.5546875" style="2214" customWidth="1"/>
    <col min="2055" max="2055" width="14.33203125" style="2214" customWidth="1"/>
    <col min="2056" max="2056" width="13" style="2214" customWidth="1"/>
    <col min="2057" max="2057" width="8" style="2214" customWidth="1"/>
    <col min="2058" max="2058" width="9.33203125" style="2214" customWidth="1"/>
    <col min="2059" max="2059" width="11.109375" style="2214" customWidth="1"/>
    <col min="2060" max="2304" width="9.109375" style="2214"/>
    <col min="2305" max="2305" width="4" style="2214" customWidth="1"/>
    <col min="2306" max="2306" width="5.88671875" style="2214" customWidth="1"/>
    <col min="2307" max="2307" width="0" style="2214" hidden="1" customWidth="1"/>
    <col min="2308" max="2308" width="35.88671875" style="2214" customWidth="1"/>
    <col min="2309" max="2309" width="6" style="2214" customWidth="1"/>
    <col min="2310" max="2310" width="5.5546875" style="2214" customWidth="1"/>
    <col min="2311" max="2311" width="14.33203125" style="2214" customWidth="1"/>
    <col min="2312" max="2312" width="13" style="2214" customWidth="1"/>
    <col min="2313" max="2313" width="8" style="2214" customWidth="1"/>
    <col min="2314" max="2314" width="9.33203125" style="2214" customWidth="1"/>
    <col min="2315" max="2315" width="11.109375" style="2214" customWidth="1"/>
    <col min="2316" max="2560" width="9.109375" style="2214"/>
    <col min="2561" max="2561" width="4" style="2214" customWidth="1"/>
    <col min="2562" max="2562" width="5.88671875" style="2214" customWidth="1"/>
    <col min="2563" max="2563" width="0" style="2214" hidden="1" customWidth="1"/>
    <col min="2564" max="2564" width="35.88671875" style="2214" customWidth="1"/>
    <col min="2565" max="2565" width="6" style="2214" customWidth="1"/>
    <col min="2566" max="2566" width="5.5546875" style="2214" customWidth="1"/>
    <col min="2567" max="2567" width="14.33203125" style="2214" customWidth="1"/>
    <col min="2568" max="2568" width="13" style="2214" customWidth="1"/>
    <col min="2569" max="2569" width="8" style="2214" customWidth="1"/>
    <col min="2570" max="2570" width="9.33203125" style="2214" customWidth="1"/>
    <col min="2571" max="2571" width="11.109375" style="2214" customWidth="1"/>
    <col min="2572" max="2816" width="9.109375" style="2214"/>
    <col min="2817" max="2817" width="4" style="2214" customWidth="1"/>
    <col min="2818" max="2818" width="5.88671875" style="2214" customWidth="1"/>
    <col min="2819" max="2819" width="0" style="2214" hidden="1" customWidth="1"/>
    <col min="2820" max="2820" width="35.88671875" style="2214" customWidth="1"/>
    <col min="2821" max="2821" width="6" style="2214" customWidth="1"/>
    <col min="2822" max="2822" width="5.5546875" style="2214" customWidth="1"/>
    <col min="2823" max="2823" width="14.33203125" style="2214" customWidth="1"/>
    <col min="2824" max="2824" width="13" style="2214" customWidth="1"/>
    <col min="2825" max="2825" width="8" style="2214" customWidth="1"/>
    <col min="2826" max="2826" width="9.33203125" style="2214" customWidth="1"/>
    <col min="2827" max="2827" width="11.109375" style="2214" customWidth="1"/>
    <col min="2828" max="3072" width="9.109375" style="2214"/>
    <col min="3073" max="3073" width="4" style="2214" customWidth="1"/>
    <col min="3074" max="3074" width="5.88671875" style="2214" customWidth="1"/>
    <col min="3075" max="3075" width="0" style="2214" hidden="1" customWidth="1"/>
    <col min="3076" max="3076" width="35.88671875" style="2214" customWidth="1"/>
    <col min="3077" max="3077" width="6" style="2214" customWidth="1"/>
    <col min="3078" max="3078" width="5.5546875" style="2214" customWidth="1"/>
    <col min="3079" max="3079" width="14.33203125" style="2214" customWidth="1"/>
    <col min="3080" max="3080" width="13" style="2214" customWidth="1"/>
    <col min="3081" max="3081" width="8" style="2214" customWidth="1"/>
    <col min="3082" max="3082" width="9.33203125" style="2214" customWidth="1"/>
    <col min="3083" max="3083" width="11.109375" style="2214" customWidth="1"/>
    <col min="3084" max="3328" width="9.109375" style="2214"/>
    <col min="3329" max="3329" width="4" style="2214" customWidth="1"/>
    <col min="3330" max="3330" width="5.88671875" style="2214" customWidth="1"/>
    <col min="3331" max="3331" width="0" style="2214" hidden="1" customWidth="1"/>
    <col min="3332" max="3332" width="35.88671875" style="2214" customWidth="1"/>
    <col min="3333" max="3333" width="6" style="2214" customWidth="1"/>
    <col min="3334" max="3334" width="5.5546875" style="2214" customWidth="1"/>
    <col min="3335" max="3335" width="14.33203125" style="2214" customWidth="1"/>
    <col min="3336" max="3336" width="13" style="2214" customWidth="1"/>
    <col min="3337" max="3337" width="8" style="2214" customWidth="1"/>
    <col min="3338" max="3338" width="9.33203125" style="2214" customWidth="1"/>
    <col min="3339" max="3339" width="11.109375" style="2214" customWidth="1"/>
    <col min="3340" max="3584" width="9.109375" style="2214"/>
    <col min="3585" max="3585" width="4" style="2214" customWidth="1"/>
    <col min="3586" max="3586" width="5.88671875" style="2214" customWidth="1"/>
    <col min="3587" max="3587" width="0" style="2214" hidden="1" customWidth="1"/>
    <col min="3588" max="3588" width="35.88671875" style="2214" customWidth="1"/>
    <col min="3589" max="3589" width="6" style="2214" customWidth="1"/>
    <col min="3590" max="3590" width="5.5546875" style="2214" customWidth="1"/>
    <col min="3591" max="3591" width="14.33203125" style="2214" customWidth="1"/>
    <col min="3592" max="3592" width="13" style="2214" customWidth="1"/>
    <col min="3593" max="3593" width="8" style="2214" customWidth="1"/>
    <col min="3594" max="3594" width="9.33203125" style="2214" customWidth="1"/>
    <col min="3595" max="3595" width="11.109375" style="2214" customWidth="1"/>
    <col min="3596" max="3840" width="9.109375" style="2214"/>
    <col min="3841" max="3841" width="4" style="2214" customWidth="1"/>
    <col min="3842" max="3842" width="5.88671875" style="2214" customWidth="1"/>
    <col min="3843" max="3843" width="0" style="2214" hidden="1" customWidth="1"/>
    <col min="3844" max="3844" width="35.88671875" style="2214" customWidth="1"/>
    <col min="3845" max="3845" width="6" style="2214" customWidth="1"/>
    <col min="3846" max="3846" width="5.5546875" style="2214" customWidth="1"/>
    <col min="3847" max="3847" width="14.33203125" style="2214" customWidth="1"/>
    <col min="3848" max="3848" width="13" style="2214" customWidth="1"/>
    <col min="3849" max="3849" width="8" style="2214" customWidth="1"/>
    <col min="3850" max="3850" width="9.33203125" style="2214" customWidth="1"/>
    <col min="3851" max="3851" width="11.109375" style="2214" customWidth="1"/>
    <col min="3852" max="4096" width="9.109375" style="2214"/>
    <col min="4097" max="4097" width="4" style="2214" customWidth="1"/>
    <col min="4098" max="4098" width="5.88671875" style="2214" customWidth="1"/>
    <col min="4099" max="4099" width="0" style="2214" hidden="1" customWidth="1"/>
    <col min="4100" max="4100" width="35.88671875" style="2214" customWidth="1"/>
    <col min="4101" max="4101" width="6" style="2214" customWidth="1"/>
    <col min="4102" max="4102" width="5.5546875" style="2214" customWidth="1"/>
    <col min="4103" max="4103" width="14.33203125" style="2214" customWidth="1"/>
    <col min="4104" max="4104" width="13" style="2214" customWidth="1"/>
    <col min="4105" max="4105" width="8" style="2214" customWidth="1"/>
    <col min="4106" max="4106" width="9.33203125" style="2214" customWidth="1"/>
    <col min="4107" max="4107" width="11.109375" style="2214" customWidth="1"/>
    <col min="4108" max="4352" width="9.109375" style="2214"/>
    <col min="4353" max="4353" width="4" style="2214" customWidth="1"/>
    <col min="4354" max="4354" width="5.88671875" style="2214" customWidth="1"/>
    <col min="4355" max="4355" width="0" style="2214" hidden="1" customWidth="1"/>
    <col min="4356" max="4356" width="35.88671875" style="2214" customWidth="1"/>
    <col min="4357" max="4357" width="6" style="2214" customWidth="1"/>
    <col min="4358" max="4358" width="5.5546875" style="2214" customWidth="1"/>
    <col min="4359" max="4359" width="14.33203125" style="2214" customWidth="1"/>
    <col min="4360" max="4360" width="13" style="2214" customWidth="1"/>
    <col min="4361" max="4361" width="8" style="2214" customWidth="1"/>
    <col min="4362" max="4362" width="9.33203125" style="2214" customWidth="1"/>
    <col min="4363" max="4363" width="11.109375" style="2214" customWidth="1"/>
    <col min="4364" max="4608" width="9.109375" style="2214"/>
    <col min="4609" max="4609" width="4" style="2214" customWidth="1"/>
    <col min="4610" max="4610" width="5.88671875" style="2214" customWidth="1"/>
    <col min="4611" max="4611" width="0" style="2214" hidden="1" customWidth="1"/>
    <col min="4612" max="4612" width="35.88671875" style="2214" customWidth="1"/>
    <col min="4613" max="4613" width="6" style="2214" customWidth="1"/>
    <col min="4614" max="4614" width="5.5546875" style="2214" customWidth="1"/>
    <col min="4615" max="4615" width="14.33203125" style="2214" customWidth="1"/>
    <col min="4616" max="4616" width="13" style="2214" customWidth="1"/>
    <col min="4617" max="4617" width="8" style="2214" customWidth="1"/>
    <col min="4618" max="4618" width="9.33203125" style="2214" customWidth="1"/>
    <col min="4619" max="4619" width="11.109375" style="2214" customWidth="1"/>
    <col min="4620" max="4864" width="9.109375" style="2214"/>
    <col min="4865" max="4865" width="4" style="2214" customWidth="1"/>
    <col min="4866" max="4866" width="5.88671875" style="2214" customWidth="1"/>
    <col min="4867" max="4867" width="0" style="2214" hidden="1" customWidth="1"/>
    <col min="4868" max="4868" width="35.88671875" style="2214" customWidth="1"/>
    <col min="4869" max="4869" width="6" style="2214" customWidth="1"/>
    <col min="4870" max="4870" width="5.5546875" style="2214" customWidth="1"/>
    <col min="4871" max="4871" width="14.33203125" style="2214" customWidth="1"/>
    <col min="4872" max="4872" width="13" style="2214" customWidth="1"/>
    <col min="4873" max="4873" width="8" style="2214" customWidth="1"/>
    <col min="4874" max="4874" width="9.33203125" style="2214" customWidth="1"/>
    <col min="4875" max="4875" width="11.109375" style="2214" customWidth="1"/>
    <col min="4876" max="5120" width="9.109375" style="2214"/>
    <col min="5121" max="5121" width="4" style="2214" customWidth="1"/>
    <col min="5122" max="5122" width="5.88671875" style="2214" customWidth="1"/>
    <col min="5123" max="5123" width="0" style="2214" hidden="1" customWidth="1"/>
    <col min="5124" max="5124" width="35.88671875" style="2214" customWidth="1"/>
    <col min="5125" max="5125" width="6" style="2214" customWidth="1"/>
    <col min="5126" max="5126" width="5.5546875" style="2214" customWidth="1"/>
    <col min="5127" max="5127" width="14.33203125" style="2214" customWidth="1"/>
    <col min="5128" max="5128" width="13" style="2214" customWidth="1"/>
    <col min="5129" max="5129" width="8" style="2214" customWidth="1"/>
    <col min="5130" max="5130" width="9.33203125" style="2214" customWidth="1"/>
    <col min="5131" max="5131" width="11.109375" style="2214" customWidth="1"/>
    <col min="5132" max="5376" width="9.109375" style="2214"/>
    <col min="5377" max="5377" width="4" style="2214" customWidth="1"/>
    <col min="5378" max="5378" width="5.88671875" style="2214" customWidth="1"/>
    <col min="5379" max="5379" width="0" style="2214" hidden="1" customWidth="1"/>
    <col min="5380" max="5380" width="35.88671875" style="2214" customWidth="1"/>
    <col min="5381" max="5381" width="6" style="2214" customWidth="1"/>
    <col min="5382" max="5382" width="5.5546875" style="2214" customWidth="1"/>
    <col min="5383" max="5383" width="14.33203125" style="2214" customWidth="1"/>
    <col min="5384" max="5384" width="13" style="2214" customWidth="1"/>
    <col min="5385" max="5385" width="8" style="2214" customWidth="1"/>
    <col min="5386" max="5386" width="9.33203125" style="2214" customWidth="1"/>
    <col min="5387" max="5387" width="11.109375" style="2214" customWidth="1"/>
    <col min="5388" max="5632" width="9.109375" style="2214"/>
    <col min="5633" max="5633" width="4" style="2214" customWidth="1"/>
    <col min="5634" max="5634" width="5.88671875" style="2214" customWidth="1"/>
    <col min="5635" max="5635" width="0" style="2214" hidden="1" customWidth="1"/>
    <col min="5636" max="5636" width="35.88671875" style="2214" customWidth="1"/>
    <col min="5637" max="5637" width="6" style="2214" customWidth="1"/>
    <col min="5638" max="5638" width="5.5546875" style="2214" customWidth="1"/>
    <col min="5639" max="5639" width="14.33203125" style="2214" customWidth="1"/>
    <col min="5640" max="5640" width="13" style="2214" customWidth="1"/>
    <col min="5641" max="5641" width="8" style="2214" customWidth="1"/>
    <col min="5642" max="5642" width="9.33203125" style="2214" customWidth="1"/>
    <col min="5643" max="5643" width="11.109375" style="2214" customWidth="1"/>
    <col min="5644" max="5888" width="9.109375" style="2214"/>
    <col min="5889" max="5889" width="4" style="2214" customWidth="1"/>
    <col min="5890" max="5890" width="5.88671875" style="2214" customWidth="1"/>
    <col min="5891" max="5891" width="0" style="2214" hidden="1" customWidth="1"/>
    <col min="5892" max="5892" width="35.88671875" style="2214" customWidth="1"/>
    <col min="5893" max="5893" width="6" style="2214" customWidth="1"/>
    <col min="5894" max="5894" width="5.5546875" style="2214" customWidth="1"/>
    <col min="5895" max="5895" width="14.33203125" style="2214" customWidth="1"/>
    <col min="5896" max="5896" width="13" style="2214" customWidth="1"/>
    <col min="5897" max="5897" width="8" style="2214" customWidth="1"/>
    <col min="5898" max="5898" width="9.33203125" style="2214" customWidth="1"/>
    <col min="5899" max="5899" width="11.109375" style="2214" customWidth="1"/>
    <col min="5900" max="6144" width="9.109375" style="2214"/>
    <col min="6145" max="6145" width="4" style="2214" customWidth="1"/>
    <col min="6146" max="6146" width="5.88671875" style="2214" customWidth="1"/>
    <col min="6147" max="6147" width="0" style="2214" hidden="1" customWidth="1"/>
    <col min="6148" max="6148" width="35.88671875" style="2214" customWidth="1"/>
    <col min="6149" max="6149" width="6" style="2214" customWidth="1"/>
    <col min="6150" max="6150" width="5.5546875" style="2214" customWidth="1"/>
    <col min="6151" max="6151" width="14.33203125" style="2214" customWidth="1"/>
    <col min="6152" max="6152" width="13" style="2214" customWidth="1"/>
    <col min="6153" max="6153" width="8" style="2214" customWidth="1"/>
    <col min="6154" max="6154" width="9.33203125" style="2214" customWidth="1"/>
    <col min="6155" max="6155" width="11.109375" style="2214" customWidth="1"/>
    <col min="6156" max="6400" width="9.109375" style="2214"/>
    <col min="6401" max="6401" width="4" style="2214" customWidth="1"/>
    <col min="6402" max="6402" width="5.88671875" style="2214" customWidth="1"/>
    <col min="6403" max="6403" width="0" style="2214" hidden="1" customWidth="1"/>
    <col min="6404" max="6404" width="35.88671875" style="2214" customWidth="1"/>
    <col min="6405" max="6405" width="6" style="2214" customWidth="1"/>
    <col min="6406" max="6406" width="5.5546875" style="2214" customWidth="1"/>
    <col min="6407" max="6407" width="14.33203125" style="2214" customWidth="1"/>
    <col min="6408" max="6408" width="13" style="2214" customWidth="1"/>
    <col min="6409" max="6409" width="8" style="2214" customWidth="1"/>
    <col min="6410" max="6410" width="9.33203125" style="2214" customWidth="1"/>
    <col min="6411" max="6411" width="11.109375" style="2214" customWidth="1"/>
    <col min="6412" max="6656" width="9.109375" style="2214"/>
    <col min="6657" max="6657" width="4" style="2214" customWidth="1"/>
    <col min="6658" max="6658" width="5.88671875" style="2214" customWidth="1"/>
    <col min="6659" max="6659" width="0" style="2214" hidden="1" customWidth="1"/>
    <col min="6660" max="6660" width="35.88671875" style="2214" customWidth="1"/>
    <col min="6661" max="6661" width="6" style="2214" customWidth="1"/>
    <col min="6662" max="6662" width="5.5546875" style="2214" customWidth="1"/>
    <col min="6663" max="6663" width="14.33203125" style="2214" customWidth="1"/>
    <col min="6664" max="6664" width="13" style="2214" customWidth="1"/>
    <col min="6665" max="6665" width="8" style="2214" customWidth="1"/>
    <col min="6666" max="6666" width="9.33203125" style="2214" customWidth="1"/>
    <col min="6667" max="6667" width="11.109375" style="2214" customWidth="1"/>
    <col min="6668" max="6912" width="9.109375" style="2214"/>
    <col min="6913" max="6913" width="4" style="2214" customWidth="1"/>
    <col min="6914" max="6914" width="5.88671875" style="2214" customWidth="1"/>
    <col min="6915" max="6915" width="0" style="2214" hidden="1" customWidth="1"/>
    <col min="6916" max="6916" width="35.88671875" style="2214" customWidth="1"/>
    <col min="6917" max="6917" width="6" style="2214" customWidth="1"/>
    <col min="6918" max="6918" width="5.5546875" style="2214" customWidth="1"/>
    <col min="6919" max="6919" width="14.33203125" style="2214" customWidth="1"/>
    <col min="6920" max="6920" width="13" style="2214" customWidth="1"/>
    <col min="6921" max="6921" width="8" style="2214" customWidth="1"/>
    <col min="6922" max="6922" width="9.33203125" style="2214" customWidth="1"/>
    <col min="6923" max="6923" width="11.109375" style="2214" customWidth="1"/>
    <col min="6924" max="7168" width="9.109375" style="2214"/>
    <col min="7169" max="7169" width="4" style="2214" customWidth="1"/>
    <col min="7170" max="7170" width="5.88671875" style="2214" customWidth="1"/>
    <col min="7171" max="7171" width="0" style="2214" hidden="1" customWidth="1"/>
    <col min="7172" max="7172" width="35.88671875" style="2214" customWidth="1"/>
    <col min="7173" max="7173" width="6" style="2214" customWidth="1"/>
    <col min="7174" max="7174" width="5.5546875" style="2214" customWidth="1"/>
    <col min="7175" max="7175" width="14.33203125" style="2214" customWidth="1"/>
    <col min="7176" max="7176" width="13" style="2214" customWidth="1"/>
    <col min="7177" max="7177" width="8" style="2214" customWidth="1"/>
    <col min="7178" max="7178" width="9.33203125" style="2214" customWidth="1"/>
    <col min="7179" max="7179" width="11.109375" style="2214" customWidth="1"/>
    <col min="7180" max="7424" width="9.109375" style="2214"/>
    <col min="7425" max="7425" width="4" style="2214" customWidth="1"/>
    <col min="7426" max="7426" width="5.88671875" style="2214" customWidth="1"/>
    <col min="7427" max="7427" width="0" style="2214" hidden="1" customWidth="1"/>
    <col min="7428" max="7428" width="35.88671875" style="2214" customWidth="1"/>
    <col min="7429" max="7429" width="6" style="2214" customWidth="1"/>
    <col min="7430" max="7430" width="5.5546875" style="2214" customWidth="1"/>
    <col min="7431" max="7431" width="14.33203125" style="2214" customWidth="1"/>
    <col min="7432" max="7432" width="13" style="2214" customWidth="1"/>
    <col min="7433" max="7433" width="8" style="2214" customWidth="1"/>
    <col min="7434" max="7434" width="9.33203125" style="2214" customWidth="1"/>
    <col min="7435" max="7435" width="11.109375" style="2214" customWidth="1"/>
    <col min="7436" max="7680" width="9.109375" style="2214"/>
    <col min="7681" max="7681" width="4" style="2214" customWidth="1"/>
    <col min="7682" max="7682" width="5.88671875" style="2214" customWidth="1"/>
    <col min="7683" max="7683" width="0" style="2214" hidden="1" customWidth="1"/>
    <col min="7684" max="7684" width="35.88671875" style="2214" customWidth="1"/>
    <col min="7685" max="7685" width="6" style="2214" customWidth="1"/>
    <col min="7686" max="7686" width="5.5546875" style="2214" customWidth="1"/>
    <col min="7687" max="7687" width="14.33203125" style="2214" customWidth="1"/>
    <col min="7688" max="7688" width="13" style="2214" customWidth="1"/>
    <col min="7689" max="7689" width="8" style="2214" customWidth="1"/>
    <col min="7690" max="7690" width="9.33203125" style="2214" customWidth="1"/>
    <col min="7691" max="7691" width="11.109375" style="2214" customWidth="1"/>
    <col min="7692" max="7936" width="9.109375" style="2214"/>
    <col min="7937" max="7937" width="4" style="2214" customWidth="1"/>
    <col min="7938" max="7938" width="5.88671875" style="2214" customWidth="1"/>
    <col min="7939" max="7939" width="0" style="2214" hidden="1" customWidth="1"/>
    <col min="7940" max="7940" width="35.88671875" style="2214" customWidth="1"/>
    <col min="7941" max="7941" width="6" style="2214" customWidth="1"/>
    <col min="7942" max="7942" width="5.5546875" style="2214" customWidth="1"/>
    <col min="7943" max="7943" width="14.33203125" style="2214" customWidth="1"/>
    <col min="7944" max="7944" width="13" style="2214" customWidth="1"/>
    <col min="7945" max="7945" width="8" style="2214" customWidth="1"/>
    <col min="7946" max="7946" width="9.33203125" style="2214" customWidth="1"/>
    <col min="7947" max="7947" width="11.109375" style="2214" customWidth="1"/>
    <col min="7948" max="8192" width="9.109375" style="2214"/>
    <col min="8193" max="8193" width="4" style="2214" customWidth="1"/>
    <col min="8194" max="8194" width="5.88671875" style="2214" customWidth="1"/>
    <col min="8195" max="8195" width="0" style="2214" hidden="1" customWidth="1"/>
    <col min="8196" max="8196" width="35.88671875" style="2214" customWidth="1"/>
    <col min="8197" max="8197" width="6" style="2214" customWidth="1"/>
    <col min="8198" max="8198" width="5.5546875" style="2214" customWidth="1"/>
    <col min="8199" max="8199" width="14.33203125" style="2214" customWidth="1"/>
    <col min="8200" max="8200" width="13" style="2214" customWidth="1"/>
    <col min="8201" max="8201" width="8" style="2214" customWidth="1"/>
    <col min="8202" max="8202" width="9.33203125" style="2214" customWidth="1"/>
    <col min="8203" max="8203" width="11.109375" style="2214" customWidth="1"/>
    <col min="8204" max="8448" width="9.109375" style="2214"/>
    <col min="8449" max="8449" width="4" style="2214" customWidth="1"/>
    <col min="8450" max="8450" width="5.88671875" style="2214" customWidth="1"/>
    <col min="8451" max="8451" width="0" style="2214" hidden="1" customWidth="1"/>
    <col min="8452" max="8452" width="35.88671875" style="2214" customWidth="1"/>
    <col min="8453" max="8453" width="6" style="2214" customWidth="1"/>
    <col min="8454" max="8454" width="5.5546875" style="2214" customWidth="1"/>
    <col min="8455" max="8455" width="14.33203125" style="2214" customWidth="1"/>
    <col min="8456" max="8456" width="13" style="2214" customWidth="1"/>
    <col min="8457" max="8457" width="8" style="2214" customWidth="1"/>
    <col min="8458" max="8458" width="9.33203125" style="2214" customWidth="1"/>
    <col min="8459" max="8459" width="11.109375" style="2214" customWidth="1"/>
    <col min="8460" max="8704" width="9.109375" style="2214"/>
    <col min="8705" max="8705" width="4" style="2214" customWidth="1"/>
    <col min="8706" max="8706" width="5.88671875" style="2214" customWidth="1"/>
    <col min="8707" max="8707" width="0" style="2214" hidden="1" customWidth="1"/>
    <col min="8708" max="8708" width="35.88671875" style="2214" customWidth="1"/>
    <col min="8709" max="8709" width="6" style="2214" customWidth="1"/>
    <col min="8710" max="8710" width="5.5546875" style="2214" customWidth="1"/>
    <col min="8711" max="8711" width="14.33203125" style="2214" customWidth="1"/>
    <col min="8712" max="8712" width="13" style="2214" customWidth="1"/>
    <col min="8713" max="8713" width="8" style="2214" customWidth="1"/>
    <col min="8714" max="8714" width="9.33203125" style="2214" customWidth="1"/>
    <col min="8715" max="8715" width="11.109375" style="2214" customWidth="1"/>
    <col min="8716" max="8960" width="9.109375" style="2214"/>
    <col min="8961" max="8961" width="4" style="2214" customWidth="1"/>
    <col min="8962" max="8962" width="5.88671875" style="2214" customWidth="1"/>
    <col min="8963" max="8963" width="0" style="2214" hidden="1" customWidth="1"/>
    <col min="8964" max="8964" width="35.88671875" style="2214" customWidth="1"/>
    <col min="8965" max="8965" width="6" style="2214" customWidth="1"/>
    <col min="8966" max="8966" width="5.5546875" style="2214" customWidth="1"/>
    <col min="8967" max="8967" width="14.33203125" style="2214" customWidth="1"/>
    <col min="8968" max="8968" width="13" style="2214" customWidth="1"/>
    <col min="8969" max="8969" width="8" style="2214" customWidth="1"/>
    <col min="8970" max="8970" width="9.33203125" style="2214" customWidth="1"/>
    <col min="8971" max="8971" width="11.109375" style="2214" customWidth="1"/>
    <col min="8972" max="9216" width="9.109375" style="2214"/>
    <col min="9217" max="9217" width="4" style="2214" customWidth="1"/>
    <col min="9218" max="9218" width="5.88671875" style="2214" customWidth="1"/>
    <col min="9219" max="9219" width="0" style="2214" hidden="1" customWidth="1"/>
    <col min="9220" max="9220" width="35.88671875" style="2214" customWidth="1"/>
    <col min="9221" max="9221" width="6" style="2214" customWidth="1"/>
    <col min="9222" max="9222" width="5.5546875" style="2214" customWidth="1"/>
    <col min="9223" max="9223" width="14.33203125" style="2214" customWidth="1"/>
    <col min="9224" max="9224" width="13" style="2214" customWidth="1"/>
    <col min="9225" max="9225" width="8" style="2214" customWidth="1"/>
    <col min="9226" max="9226" width="9.33203125" style="2214" customWidth="1"/>
    <col min="9227" max="9227" width="11.109375" style="2214" customWidth="1"/>
    <col min="9228" max="9472" width="9.109375" style="2214"/>
    <col min="9473" max="9473" width="4" style="2214" customWidth="1"/>
    <col min="9474" max="9474" width="5.88671875" style="2214" customWidth="1"/>
    <col min="9475" max="9475" width="0" style="2214" hidden="1" customWidth="1"/>
    <col min="9476" max="9476" width="35.88671875" style="2214" customWidth="1"/>
    <col min="9477" max="9477" width="6" style="2214" customWidth="1"/>
    <col min="9478" max="9478" width="5.5546875" style="2214" customWidth="1"/>
    <col min="9479" max="9479" width="14.33203125" style="2214" customWidth="1"/>
    <col min="9480" max="9480" width="13" style="2214" customWidth="1"/>
    <col min="9481" max="9481" width="8" style="2214" customWidth="1"/>
    <col min="9482" max="9482" width="9.33203125" style="2214" customWidth="1"/>
    <col min="9483" max="9483" width="11.109375" style="2214" customWidth="1"/>
    <col min="9484" max="9728" width="9.109375" style="2214"/>
    <col min="9729" max="9729" width="4" style="2214" customWidth="1"/>
    <col min="9730" max="9730" width="5.88671875" style="2214" customWidth="1"/>
    <col min="9731" max="9731" width="0" style="2214" hidden="1" customWidth="1"/>
    <col min="9732" max="9732" width="35.88671875" style="2214" customWidth="1"/>
    <col min="9733" max="9733" width="6" style="2214" customWidth="1"/>
    <col min="9734" max="9734" width="5.5546875" style="2214" customWidth="1"/>
    <col min="9735" max="9735" width="14.33203125" style="2214" customWidth="1"/>
    <col min="9736" max="9736" width="13" style="2214" customWidth="1"/>
    <col min="9737" max="9737" width="8" style="2214" customWidth="1"/>
    <col min="9738" max="9738" width="9.33203125" style="2214" customWidth="1"/>
    <col min="9739" max="9739" width="11.109375" style="2214" customWidth="1"/>
    <col min="9740" max="9984" width="9.109375" style="2214"/>
    <col min="9985" max="9985" width="4" style="2214" customWidth="1"/>
    <col min="9986" max="9986" width="5.88671875" style="2214" customWidth="1"/>
    <col min="9987" max="9987" width="0" style="2214" hidden="1" customWidth="1"/>
    <col min="9988" max="9988" width="35.88671875" style="2214" customWidth="1"/>
    <col min="9989" max="9989" width="6" style="2214" customWidth="1"/>
    <col min="9990" max="9990" width="5.5546875" style="2214" customWidth="1"/>
    <col min="9991" max="9991" width="14.33203125" style="2214" customWidth="1"/>
    <col min="9992" max="9992" width="13" style="2214" customWidth="1"/>
    <col min="9993" max="9993" width="8" style="2214" customWidth="1"/>
    <col min="9994" max="9994" width="9.33203125" style="2214" customWidth="1"/>
    <col min="9995" max="9995" width="11.109375" style="2214" customWidth="1"/>
    <col min="9996" max="10240" width="9.109375" style="2214"/>
    <col min="10241" max="10241" width="4" style="2214" customWidth="1"/>
    <col min="10242" max="10242" width="5.88671875" style="2214" customWidth="1"/>
    <col min="10243" max="10243" width="0" style="2214" hidden="1" customWidth="1"/>
    <col min="10244" max="10244" width="35.88671875" style="2214" customWidth="1"/>
    <col min="10245" max="10245" width="6" style="2214" customWidth="1"/>
    <col min="10246" max="10246" width="5.5546875" style="2214" customWidth="1"/>
    <col min="10247" max="10247" width="14.33203125" style="2214" customWidth="1"/>
    <col min="10248" max="10248" width="13" style="2214" customWidth="1"/>
    <col min="10249" max="10249" width="8" style="2214" customWidth="1"/>
    <col min="10250" max="10250" width="9.33203125" style="2214" customWidth="1"/>
    <col min="10251" max="10251" width="11.109375" style="2214" customWidth="1"/>
    <col min="10252" max="10496" width="9.109375" style="2214"/>
    <col min="10497" max="10497" width="4" style="2214" customWidth="1"/>
    <col min="10498" max="10498" width="5.88671875" style="2214" customWidth="1"/>
    <col min="10499" max="10499" width="0" style="2214" hidden="1" customWidth="1"/>
    <col min="10500" max="10500" width="35.88671875" style="2214" customWidth="1"/>
    <col min="10501" max="10501" width="6" style="2214" customWidth="1"/>
    <col min="10502" max="10502" width="5.5546875" style="2214" customWidth="1"/>
    <col min="10503" max="10503" width="14.33203125" style="2214" customWidth="1"/>
    <col min="10504" max="10504" width="13" style="2214" customWidth="1"/>
    <col min="10505" max="10505" width="8" style="2214" customWidth="1"/>
    <col min="10506" max="10506" width="9.33203125" style="2214" customWidth="1"/>
    <col min="10507" max="10507" width="11.109375" style="2214" customWidth="1"/>
    <col min="10508" max="10752" width="9.109375" style="2214"/>
    <col min="10753" max="10753" width="4" style="2214" customWidth="1"/>
    <col min="10754" max="10754" width="5.88671875" style="2214" customWidth="1"/>
    <col min="10755" max="10755" width="0" style="2214" hidden="1" customWidth="1"/>
    <col min="10756" max="10756" width="35.88671875" style="2214" customWidth="1"/>
    <col min="10757" max="10757" width="6" style="2214" customWidth="1"/>
    <col min="10758" max="10758" width="5.5546875" style="2214" customWidth="1"/>
    <col min="10759" max="10759" width="14.33203125" style="2214" customWidth="1"/>
    <col min="10760" max="10760" width="13" style="2214" customWidth="1"/>
    <col min="10761" max="10761" width="8" style="2214" customWidth="1"/>
    <col min="10762" max="10762" width="9.33203125" style="2214" customWidth="1"/>
    <col min="10763" max="10763" width="11.109375" style="2214" customWidth="1"/>
    <col min="10764" max="11008" width="9.109375" style="2214"/>
    <col min="11009" max="11009" width="4" style="2214" customWidth="1"/>
    <col min="11010" max="11010" width="5.88671875" style="2214" customWidth="1"/>
    <col min="11011" max="11011" width="0" style="2214" hidden="1" customWidth="1"/>
    <col min="11012" max="11012" width="35.88671875" style="2214" customWidth="1"/>
    <col min="11013" max="11013" width="6" style="2214" customWidth="1"/>
    <col min="11014" max="11014" width="5.5546875" style="2214" customWidth="1"/>
    <col min="11015" max="11015" width="14.33203125" style="2214" customWidth="1"/>
    <col min="11016" max="11016" width="13" style="2214" customWidth="1"/>
    <col min="11017" max="11017" width="8" style="2214" customWidth="1"/>
    <col min="11018" max="11018" width="9.33203125" style="2214" customWidth="1"/>
    <col min="11019" max="11019" width="11.109375" style="2214" customWidth="1"/>
    <col min="11020" max="11264" width="9.109375" style="2214"/>
    <col min="11265" max="11265" width="4" style="2214" customWidth="1"/>
    <col min="11266" max="11266" width="5.88671875" style="2214" customWidth="1"/>
    <col min="11267" max="11267" width="0" style="2214" hidden="1" customWidth="1"/>
    <col min="11268" max="11268" width="35.88671875" style="2214" customWidth="1"/>
    <col min="11269" max="11269" width="6" style="2214" customWidth="1"/>
    <col min="11270" max="11270" width="5.5546875" style="2214" customWidth="1"/>
    <col min="11271" max="11271" width="14.33203125" style="2214" customWidth="1"/>
    <col min="11272" max="11272" width="13" style="2214" customWidth="1"/>
    <col min="11273" max="11273" width="8" style="2214" customWidth="1"/>
    <col min="11274" max="11274" width="9.33203125" style="2214" customWidth="1"/>
    <col min="11275" max="11275" width="11.109375" style="2214" customWidth="1"/>
    <col min="11276" max="11520" width="9.109375" style="2214"/>
    <col min="11521" max="11521" width="4" style="2214" customWidth="1"/>
    <col min="11522" max="11522" width="5.88671875" style="2214" customWidth="1"/>
    <col min="11523" max="11523" width="0" style="2214" hidden="1" customWidth="1"/>
    <col min="11524" max="11524" width="35.88671875" style="2214" customWidth="1"/>
    <col min="11525" max="11525" width="6" style="2214" customWidth="1"/>
    <col min="11526" max="11526" width="5.5546875" style="2214" customWidth="1"/>
    <col min="11527" max="11527" width="14.33203125" style="2214" customWidth="1"/>
    <col min="11528" max="11528" width="13" style="2214" customWidth="1"/>
    <col min="11529" max="11529" width="8" style="2214" customWidth="1"/>
    <col min="11530" max="11530" width="9.33203125" style="2214" customWidth="1"/>
    <col min="11531" max="11531" width="11.109375" style="2214" customWidth="1"/>
    <col min="11532" max="11776" width="9.109375" style="2214"/>
    <col min="11777" max="11777" width="4" style="2214" customWidth="1"/>
    <col min="11778" max="11778" width="5.88671875" style="2214" customWidth="1"/>
    <col min="11779" max="11779" width="0" style="2214" hidden="1" customWidth="1"/>
    <col min="11780" max="11780" width="35.88671875" style="2214" customWidth="1"/>
    <col min="11781" max="11781" width="6" style="2214" customWidth="1"/>
    <col min="11782" max="11782" width="5.5546875" style="2214" customWidth="1"/>
    <col min="11783" max="11783" width="14.33203125" style="2214" customWidth="1"/>
    <col min="11784" max="11784" width="13" style="2214" customWidth="1"/>
    <col min="11785" max="11785" width="8" style="2214" customWidth="1"/>
    <col min="11786" max="11786" width="9.33203125" style="2214" customWidth="1"/>
    <col min="11787" max="11787" width="11.109375" style="2214" customWidth="1"/>
    <col min="11788" max="12032" width="9.109375" style="2214"/>
    <col min="12033" max="12033" width="4" style="2214" customWidth="1"/>
    <col min="12034" max="12034" width="5.88671875" style="2214" customWidth="1"/>
    <col min="12035" max="12035" width="0" style="2214" hidden="1" customWidth="1"/>
    <col min="12036" max="12036" width="35.88671875" style="2214" customWidth="1"/>
    <col min="12037" max="12037" width="6" style="2214" customWidth="1"/>
    <col min="12038" max="12038" width="5.5546875" style="2214" customWidth="1"/>
    <col min="12039" max="12039" width="14.33203125" style="2214" customWidth="1"/>
    <col min="12040" max="12040" width="13" style="2214" customWidth="1"/>
    <col min="12041" max="12041" width="8" style="2214" customWidth="1"/>
    <col min="12042" max="12042" width="9.33203125" style="2214" customWidth="1"/>
    <col min="12043" max="12043" width="11.109375" style="2214" customWidth="1"/>
    <col min="12044" max="12288" width="9.109375" style="2214"/>
    <col min="12289" max="12289" width="4" style="2214" customWidth="1"/>
    <col min="12290" max="12290" width="5.88671875" style="2214" customWidth="1"/>
    <col min="12291" max="12291" width="0" style="2214" hidden="1" customWidth="1"/>
    <col min="12292" max="12292" width="35.88671875" style="2214" customWidth="1"/>
    <col min="12293" max="12293" width="6" style="2214" customWidth="1"/>
    <col min="12294" max="12294" width="5.5546875" style="2214" customWidth="1"/>
    <col min="12295" max="12295" width="14.33203125" style="2214" customWidth="1"/>
    <col min="12296" max="12296" width="13" style="2214" customWidth="1"/>
    <col min="12297" max="12297" width="8" style="2214" customWidth="1"/>
    <col min="12298" max="12298" width="9.33203125" style="2214" customWidth="1"/>
    <col min="12299" max="12299" width="11.109375" style="2214" customWidth="1"/>
    <col min="12300" max="12544" width="9.109375" style="2214"/>
    <col min="12545" max="12545" width="4" style="2214" customWidth="1"/>
    <col min="12546" max="12546" width="5.88671875" style="2214" customWidth="1"/>
    <col min="12547" max="12547" width="0" style="2214" hidden="1" customWidth="1"/>
    <col min="12548" max="12548" width="35.88671875" style="2214" customWidth="1"/>
    <col min="12549" max="12549" width="6" style="2214" customWidth="1"/>
    <col min="12550" max="12550" width="5.5546875" style="2214" customWidth="1"/>
    <col min="12551" max="12551" width="14.33203125" style="2214" customWidth="1"/>
    <col min="12552" max="12552" width="13" style="2214" customWidth="1"/>
    <col min="12553" max="12553" width="8" style="2214" customWidth="1"/>
    <col min="12554" max="12554" width="9.33203125" style="2214" customWidth="1"/>
    <col min="12555" max="12555" width="11.109375" style="2214" customWidth="1"/>
    <col min="12556" max="12800" width="9.109375" style="2214"/>
    <col min="12801" max="12801" width="4" style="2214" customWidth="1"/>
    <col min="12802" max="12802" width="5.88671875" style="2214" customWidth="1"/>
    <col min="12803" max="12803" width="0" style="2214" hidden="1" customWidth="1"/>
    <col min="12804" max="12804" width="35.88671875" style="2214" customWidth="1"/>
    <col min="12805" max="12805" width="6" style="2214" customWidth="1"/>
    <col min="12806" max="12806" width="5.5546875" style="2214" customWidth="1"/>
    <col min="12807" max="12807" width="14.33203125" style="2214" customWidth="1"/>
    <col min="12808" max="12808" width="13" style="2214" customWidth="1"/>
    <col min="12809" max="12809" width="8" style="2214" customWidth="1"/>
    <col min="12810" max="12810" width="9.33203125" style="2214" customWidth="1"/>
    <col min="12811" max="12811" width="11.109375" style="2214" customWidth="1"/>
    <col min="12812" max="13056" width="9.109375" style="2214"/>
    <col min="13057" max="13057" width="4" style="2214" customWidth="1"/>
    <col min="13058" max="13058" width="5.88671875" style="2214" customWidth="1"/>
    <col min="13059" max="13059" width="0" style="2214" hidden="1" customWidth="1"/>
    <col min="13060" max="13060" width="35.88671875" style="2214" customWidth="1"/>
    <col min="13061" max="13061" width="6" style="2214" customWidth="1"/>
    <col min="13062" max="13062" width="5.5546875" style="2214" customWidth="1"/>
    <col min="13063" max="13063" width="14.33203125" style="2214" customWidth="1"/>
    <col min="13064" max="13064" width="13" style="2214" customWidth="1"/>
    <col min="13065" max="13065" width="8" style="2214" customWidth="1"/>
    <col min="13066" max="13066" width="9.33203125" style="2214" customWidth="1"/>
    <col min="13067" max="13067" width="11.109375" style="2214" customWidth="1"/>
    <col min="13068" max="13312" width="9.109375" style="2214"/>
    <col min="13313" max="13313" width="4" style="2214" customWidth="1"/>
    <col min="13314" max="13314" width="5.88671875" style="2214" customWidth="1"/>
    <col min="13315" max="13315" width="0" style="2214" hidden="1" customWidth="1"/>
    <col min="13316" max="13316" width="35.88671875" style="2214" customWidth="1"/>
    <col min="13317" max="13317" width="6" style="2214" customWidth="1"/>
    <col min="13318" max="13318" width="5.5546875" style="2214" customWidth="1"/>
    <col min="13319" max="13319" width="14.33203125" style="2214" customWidth="1"/>
    <col min="13320" max="13320" width="13" style="2214" customWidth="1"/>
    <col min="13321" max="13321" width="8" style="2214" customWidth="1"/>
    <col min="13322" max="13322" width="9.33203125" style="2214" customWidth="1"/>
    <col min="13323" max="13323" width="11.109375" style="2214" customWidth="1"/>
    <col min="13324" max="13568" width="9.109375" style="2214"/>
    <col min="13569" max="13569" width="4" style="2214" customWidth="1"/>
    <col min="13570" max="13570" width="5.88671875" style="2214" customWidth="1"/>
    <col min="13571" max="13571" width="0" style="2214" hidden="1" customWidth="1"/>
    <col min="13572" max="13572" width="35.88671875" style="2214" customWidth="1"/>
    <col min="13573" max="13573" width="6" style="2214" customWidth="1"/>
    <col min="13574" max="13574" width="5.5546875" style="2214" customWidth="1"/>
    <col min="13575" max="13575" width="14.33203125" style="2214" customWidth="1"/>
    <col min="13576" max="13576" width="13" style="2214" customWidth="1"/>
    <col min="13577" max="13577" width="8" style="2214" customWidth="1"/>
    <col min="13578" max="13578" width="9.33203125" style="2214" customWidth="1"/>
    <col min="13579" max="13579" width="11.109375" style="2214" customWidth="1"/>
    <col min="13580" max="13824" width="9.109375" style="2214"/>
    <col min="13825" max="13825" width="4" style="2214" customWidth="1"/>
    <col min="13826" max="13826" width="5.88671875" style="2214" customWidth="1"/>
    <col min="13827" max="13827" width="0" style="2214" hidden="1" customWidth="1"/>
    <col min="13828" max="13828" width="35.88671875" style="2214" customWidth="1"/>
    <col min="13829" max="13829" width="6" style="2214" customWidth="1"/>
    <col min="13830" max="13830" width="5.5546875" style="2214" customWidth="1"/>
    <col min="13831" max="13831" width="14.33203125" style="2214" customWidth="1"/>
    <col min="13832" max="13832" width="13" style="2214" customWidth="1"/>
    <col min="13833" max="13833" width="8" style="2214" customWidth="1"/>
    <col min="13834" max="13834" width="9.33203125" style="2214" customWidth="1"/>
    <col min="13835" max="13835" width="11.109375" style="2214" customWidth="1"/>
    <col min="13836" max="14080" width="9.109375" style="2214"/>
    <col min="14081" max="14081" width="4" style="2214" customWidth="1"/>
    <col min="14082" max="14082" width="5.88671875" style="2214" customWidth="1"/>
    <col min="14083" max="14083" width="0" style="2214" hidden="1" customWidth="1"/>
    <col min="14084" max="14084" width="35.88671875" style="2214" customWidth="1"/>
    <col min="14085" max="14085" width="6" style="2214" customWidth="1"/>
    <col min="14086" max="14086" width="5.5546875" style="2214" customWidth="1"/>
    <col min="14087" max="14087" width="14.33203125" style="2214" customWidth="1"/>
    <col min="14088" max="14088" width="13" style="2214" customWidth="1"/>
    <col min="14089" max="14089" width="8" style="2214" customWidth="1"/>
    <col min="14090" max="14090" width="9.33203125" style="2214" customWidth="1"/>
    <col min="14091" max="14091" width="11.109375" style="2214" customWidth="1"/>
    <col min="14092" max="14336" width="9.109375" style="2214"/>
    <col min="14337" max="14337" width="4" style="2214" customWidth="1"/>
    <col min="14338" max="14338" width="5.88671875" style="2214" customWidth="1"/>
    <col min="14339" max="14339" width="0" style="2214" hidden="1" customWidth="1"/>
    <col min="14340" max="14340" width="35.88671875" style="2214" customWidth="1"/>
    <col min="14341" max="14341" width="6" style="2214" customWidth="1"/>
    <col min="14342" max="14342" width="5.5546875" style="2214" customWidth="1"/>
    <col min="14343" max="14343" width="14.33203125" style="2214" customWidth="1"/>
    <col min="14344" max="14344" width="13" style="2214" customWidth="1"/>
    <col min="14345" max="14345" width="8" style="2214" customWidth="1"/>
    <col min="14346" max="14346" width="9.33203125" style="2214" customWidth="1"/>
    <col min="14347" max="14347" width="11.109375" style="2214" customWidth="1"/>
    <col min="14348" max="14592" width="9.109375" style="2214"/>
    <col min="14593" max="14593" width="4" style="2214" customWidth="1"/>
    <col min="14594" max="14594" width="5.88671875" style="2214" customWidth="1"/>
    <col min="14595" max="14595" width="0" style="2214" hidden="1" customWidth="1"/>
    <col min="14596" max="14596" width="35.88671875" style="2214" customWidth="1"/>
    <col min="14597" max="14597" width="6" style="2214" customWidth="1"/>
    <col min="14598" max="14598" width="5.5546875" style="2214" customWidth="1"/>
    <col min="14599" max="14599" width="14.33203125" style="2214" customWidth="1"/>
    <col min="14600" max="14600" width="13" style="2214" customWidth="1"/>
    <col min="14601" max="14601" width="8" style="2214" customWidth="1"/>
    <col min="14602" max="14602" width="9.33203125" style="2214" customWidth="1"/>
    <col min="14603" max="14603" width="11.109375" style="2214" customWidth="1"/>
    <col min="14604" max="14848" width="9.109375" style="2214"/>
    <col min="14849" max="14849" width="4" style="2214" customWidth="1"/>
    <col min="14850" max="14850" width="5.88671875" style="2214" customWidth="1"/>
    <col min="14851" max="14851" width="0" style="2214" hidden="1" customWidth="1"/>
    <col min="14852" max="14852" width="35.88671875" style="2214" customWidth="1"/>
    <col min="14853" max="14853" width="6" style="2214" customWidth="1"/>
    <col min="14854" max="14854" width="5.5546875" style="2214" customWidth="1"/>
    <col min="14855" max="14855" width="14.33203125" style="2214" customWidth="1"/>
    <col min="14856" max="14856" width="13" style="2214" customWidth="1"/>
    <col min="14857" max="14857" width="8" style="2214" customWidth="1"/>
    <col min="14858" max="14858" width="9.33203125" style="2214" customWidth="1"/>
    <col min="14859" max="14859" width="11.109375" style="2214" customWidth="1"/>
    <col min="14860" max="15104" width="9.109375" style="2214"/>
    <col min="15105" max="15105" width="4" style="2214" customWidth="1"/>
    <col min="15106" max="15106" width="5.88671875" style="2214" customWidth="1"/>
    <col min="15107" max="15107" width="0" style="2214" hidden="1" customWidth="1"/>
    <col min="15108" max="15108" width="35.88671875" style="2214" customWidth="1"/>
    <col min="15109" max="15109" width="6" style="2214" customWidth="1"/>
    <col min="15110" max="15110" width="5.5546875" style="2214" customWidth="1"/>
    <col min="15111" max="15111" width="14.33203125" style="2214" customWidth="1"/>
    <col min="15112" max="15112" width="13" style="2214" customWidth="1"/>
    <col min="15113" max="15113" width="8" style="2214" customWidth="1"/>
    <col min="15114" max="15114" width="9.33203125" style="2214" customWidth="1"/>
    <col min="15115" max="15115" width="11.109375" style="2214" customWidth="1"/>
    <col min="15116" max="15360" width="9.109375" style="2214"/>
    <col min="15361" max="15361" width="4" style="2214" customWidth="1"/>
    <col min="15362" max="15362" width="5.88671875" style="2214" customWidth="1"/>
    <col min="15363" max="15363" width="0" style="2214" hidden="1" customWidth="1"/>
    <col min="15364" max="15364" width="35.88671875" style="2214" customWidth="1"/>
    <col min="15365" max="15365" width="6" style="2214" customWidth="1"/>
    <col min="15366" max="15366" width="5.5546875" style="2214" customWidth="1"/>
    <col min="15367" max="15367" width="14.33203125" style="2214" customWidth="1"/>
    <col min="15368" max="15368" width="13" style="2214" customWidth="1"/>
    <col min="15369" max="15369" width="8" style="2214" customWidth="1"/>
    <col min="15370" max="15370" width="9.33203125" style="2214" customWidth="1"/>
    <col min="15371" max="15371" width="11.109375" style="2214" customWidth="1"/>
    <col min="15372" max="15616" width="9.109375" style="2214"/>
    <col min="15617" max="15617" width="4" style="2214" customWidth="1"/>
    <col min="15618" max="15618" width="5.88671875" style="2214" customWidth="1"/>
    <col min="15619" max="15619" width="0" style="2214" hidden="1" customWidth="1"/>
    <col min="15620" max="15620" width="35.88671875" style="2214" customWidth="1"/>
    <col min="15621" max="15621" width="6" style="2214" customWidth="1"/>
    <col min="15622" max="15622" width="5.5546875" style="2214" customWidth="1"/>
    <col min="15623" max="15623" width="14.33203125" style="2214" customWidth="1"/>
    <col min="15624" max="15624" width="13" style="2214" customWidth="1"/>
    <col min="15625" max="15625" width="8" style="2214" customWidth="1"/>
    <col min="15626" max="15626" width="9.33203125" style="2214" customWidth="1"/>
    <col min="15627" max="15627" width="11.109375" style="2214" customWidth="1"/>
    <col min="15628" max="15872" width="9.109375" style="2214"/>
    <col min="15873" max="15873" width="4" style="2214" customWidth="1"/>
    <col min="15874" max="15874" width="5.88671875" style="2214" customWidth="1"/>
    <col min="15875" max="15875" width="0" style="2214" hidden="1" customWidth="1"/>
    <col min="15876" max="15876" width="35.88671875" style="2214" customWidth="1"/>
    <col min="15877" max="15877" width="6" style="2214" customWidth="1"/>
    <col min="15878" max="15878" width="5.5546875" style="2214" customWidth="1"/>
    <col min="15879" max="15879" width="14.33203125" style="2214" customWidth="1"/>
    <col min="15880" max="15880" width="13" style="2214" customWidth="1"/>
    <col min="15881" max="15881" width="8" style="2214" customWidth="1"/>
    <col min="15882" max="15882" width="9.33203125" style="2214" customWidth="1"/>
    <col min="15883" max="15883" width="11.109375" style="2214" customWidth="1"/>
    <col min="15884" max="16128" width="9.109375" style="2214"/>
    <col min="16129" max="16129" width="4" style="2214" customWidth="1"/>
    <col min="16130" max="16130" width="5.88671875" style="2214" customWidth="1"/>
    <col min="16131" max="16131" width="0" style="2214" hidden="1" customWidth="1"/>
    <col min="16132" max="16132" width="35.88671875" style="2214" customWidth="1"/>
    <col min="16133" max="16133" width="6" style="2214" customWidth="1"/>
    <col min="16134" max="16134" width="5.5546875" style="2214" customWidth="1"/>
    <col min="16135" max="16135" width="14.33203125" style="2214" customWidth="1"/>
    <col min="16136" max="16136" width="13" style="2214" customWidth="1"/>
    <col min="16137" max="16137" width="8" style="2214" customWidth="1"/>
    <col min="16138" max="16138" width="9.33203125" style="2214" customWidth="1"/>
    <col min="16139" max="16139" width="11.109375" style="2214" customWidth="1"/>
    <col min="16140" max="16384" width="9.109375" style="2214"/>
  </cols>
  <sheetData>
    <row r="1" spans="1:11" ht="25.5" customHeight="1">
      <c r="A1" s="3941" t="s">
        <v>2743</v>
      </c>
      <c r="B1" s="3942"/>
      <c r="C1" s="3942"/>
      <c r="D1" s="3942"/>
      <c r="E1" s="3942"/>
      <c r="F1" s="3942"/>
      <c r="G1" s="3942"/>
      <c r="H1" s="3942"/>
      <c r="I1" s="3942"/>
      <c r="J1" s="3943"/>
    </row>
    <row r="2" spans="1:11" s="2257" customFormat="1" ht="57.6" customHeight="1">
      <c r="A2" s="3941" t="s">
        <v>729</v>
      </c>
      <c r="B2" s="3942"/>
      <c r="C2" s="3942"/>
      <c r="D2" s="3942"/>
      <c r="E2" s="3948" t="str">
        <f>GA!B2</f>
        <v>C/o HLB on R/F Amlikunta to Gundumal of Gundumal Mandal of Narayanept District.</v>
      </c>
      <c r="F2" s="3942"/>
      <c r="G2" s="3942"/>
      <c r="H2" s="3942"/>
      <c r="I2" s="3942"/>
      <c r="J2" s="3943"/>
    </row>
    <row r="3" spans="1:11" s="2218" customFormat="1" ht="37.5" customHeight="1">
      <c r="A3" s="2215" t="s">
        <v>459</v>
      </c>
      <c r="B3" s="3945" t="s">
        <v>2744</v>
      </c>
      <c r="C3" s="3946"/>
      <c r="D3" s="2216" t="s">
        <v>1418</v>
      </c>
      <c r="E3" s="2217" t="s">
        <v>965</v>
      </c>
      <c r="F3" s="2217" t="s">
        <v>2745</v>
      </c>
      <c r="G3" s="2217" t="s">
        <v>2746</v>
      </c>
      <c r="H3" s="2217" t="s">
        <v>2747</v>
      </c>
      <c r="I3" s="2217" t="s">
        <v>2748</v>
      </c>
      <c r="J3" s="2217" t="s">
        <v>3</v>
      </c>
    </row>
    <row r="4" spans="1:11" s="2221" customFormat="1">
      <c r="A4" s="2219">
        <v>1</v>
      </c>
      <c r="B4" s="2220">
        <v>2</v>
      </c>
      <c r="C4" s="2220"/>
      <c r="D4" s="2220">
        <v>3</v>
      </c>
      <c r="E4" s="2220">
        <v>4</v>
      </c>
      <c r="F4" s="2220">
        <v>5</v>
      </c>
      <c r="G4" s="2220">
        <v>6</v>
      </c>
      <c r="H4" s="2220">
        <v>7</v>
      </c>
      <c r="I4" s="2220">
        <v>8</v>
      </c>
      <c r="J4" s="2220">
        <v>9</v>
      </c>
    </row>
    <row r="5" spans="1:11" ht="114.75" customHeight="1">
      <c r="A5" s="2222">
        <v>1</v>
      </c>
      <c r="B5" s="2223">
        <v>304</v>
      </c>
      <c r="C5" s="2223" t="s">
        <v>2749</v>
      </c>
      <c r="D5" s="3947" t="s">
        <v>2750</v>
      </c>
      <c r="E5" s="3947"/>
      <c r="F5" s="3947"/>
      <c r="G5" s="2224"/>
      <c r="H5" s="2224"/>
      <c r="I5" s="2224"/>
      <c r="J5" s="2225"/>
    </row>
    <row r="6" spans="1:11" ht="32.25" customHeight="1">
      <c r="A6" s="2226"/>
      <c r="B6" s="2227"/>
      <c r="C6" s="2227"/>
      <c r="D6" s="2228" t="s">
        <v>2751</v>
      </c>
      <c r="E6" s="2227" t="s">
        <v>2752</v>
      </c>
      <c r="F6" s="2229">
        <v>1</v>
      </c>
      <c r="G6" s="2230" t="s">
        <v>2753</v>
      </c>
      <c r="H6" s="2230" t="s">
        <v>2753</v>
      </c>
      <c r="I6" s="2231">
        <v>2.7949999999999999</v>
      </c>
      <c r="J6" s="2232">
        <v>548.21</v>
      </c>
      <c r="K6" s="2233">
        <f>ROUND(AVERAGE(16.8,11.21)*AVERAGE(16.8,11.21)*I6,3)</f>
        <v>548.21100000000001</v>
      </c>
    </row>
    <row r="7" spans="1:11" ht="32.25" customHeight="1">
      <c r="A7" s="2226"/>
      <c r="B7" s="2227"/>
      <c r="C7" s="2227"/>
      <c r="D7" s="2228" t="s">
        <v>2754</v>
      </c>
      <c r="E7" s="2227" t="s">
        <v>2752</v>
      </c>
      <c r="F7" s="2229">
        <v>1</v>
      </c>
      <c r="G7" s="2230" t="s">
        <v>2755</v>
      </c>
      <c r="H7" s="2230" t="str">
        <f t="shared" ref="H7:H20" si="0">G7</f>
        <v>(17.19+9.05)/2</v>
      </c>
      <c r="I7" s="2231">
        <v>4.07</v>
      </c>
      <c r="J7" s="2232">
        <v>700.58</v>
      </c>
      <c r="K7" s="2214">
        <f>ROUND(AVERAGE(17.19,9.05)*AVERAGE(17.19,9.05)*I7,2)</f>
        <v>700.59</v>
      </c>
    </row>
    <row r="8" spans="1:11" ht="32.25" customHeight="1">
      <c r="A8" s="2226"/>
      <c r="B8" s="2227"/>
      <c r="C8" s="2227"/>
      <c r="D8" s="2228" t="s">
        <v>2756</v>
      </c>
      <c r="E8" s="2227" t="s">
        <v>2752</v>
      </c>
      <c r="F8" s="2229">
        <v>1</v>
      </c>
      <c r="G8" s="2230" t="s">
        <v>2757</v>
      </c>
      <c r="H8" s="2230" t="str">
        <f>G8</f>
        <v>(15.905+9.645)/2</v>
      </c>
      <c r="I8" s="2231">
        <v>3.13</v>
      </c>
      <c r="J8" s="2232">
        <v>510.81</v>
      </c>
      <c r="K8" s="2214">
        <f>ROUND(AVERAGE(15.905,9.645)*AVERAGE(15.905,9.645)*I8,2)</f>
        <v>510.82</v>
      </c>
    </row>
    <row r="9" spans="1:11" ht="32.25" customHeight="1">
      <c r="A9" s="2226"/>
      <c r="B9" s="2227"/>
      <c r="C9" s="2227"/>
      <c r="D9" s="2228" t="s">
        <v>2758</v>
      </c>
      <c r="E9" s="2227" t="s">
        <v>2752</v>
      </c>
      <c r="F9" s="2229">
        <v>1</v>
      </c>
      <c r="G9" s="2230" t="s">
        <v>2759</v>
      </c>
      <c r="H9" s="2230" t="str">
        <f t="shared" si="0"/>
        <v>(12.39+11.43)/2</v>
      </c>
      <c r="I9" s="2231">
        <v>0.48</v>
      </c>
      <c r="J9" s="2232">
        <v>68.08</v>
      </c>
      <c r="K9" s="2214">
        <f>ROUND(AVERAGE(12.39,11.43)*AVERAGE(12.39,11.43)*I9,2)</f>
        <v>68.09</v>
      </c>
    </row>
    <row r="10" spans="1:11" ht="32.25" customHeight="1">
      <c r="A10" s="2226"/>
      <c r="B10" s="2227"/>
      <c r="C10" s="2227"/>
      <c r="D10" s="2228" t="s">
        <v>2760</v>
      </c>
      <c r="E10" s="2227" t="s">
        <v>2752</v>
      </c>
      <c r="F10" s="2229">
        <v>1</v>
      </c>
      <c r="G10" s="2230" t="s">
        <v>2761</v>
      </c>
      <c r="H10" s="2230" t="str">
        <f t="shared" si="0"/>
        <v>(13.365+11.235)/2</v>
      </c>
      <c r="I10" s="2231">
        <v>1.0649999999999999</v>
      </c>
      <c r="J10" s="2232">
        <v>161.12</v>
      </c>
      <c r="K10" s="2214">
        <f>ROUND(AVERAGE(13.365,11.235)*AVERAGE(13.365,11.235)*I10,2)</f>
        <v>161.12</v>
      </c>
    </row>
    <row r="11" spans="1:11" ht="32.25" customHeight="1">
      <c r="A11" s="2226"/>
      <c r="B11" s="2227"/>
      <c r="C11" s="2227"/>
      <c r="D11" s="2228" t="s">
        <v>2762</v>
      </c>
      <c r="E11" s="2227" t="s">
        <v>2752</v>
      </c>
      <c r="F11" s="2229">
        <v>1</v>
      </c>
      <c r="G11" s="2230" t="s">
        <v>2763</v>
      </c>
      <c r="H11" s="2230" t="str">
        <f t="shared" si="0"/>
        <v>(12.82+11.63)/2</v>
      </c>
      <c r="I11" s="2231">
        <v>0.59499999999999997</v>
      </c>
      <c r="J11" s="2232">
        <v>88.92</v>
      </c>
      <c r="K11" s="2214">
        <f>ROUND(AVERAGE(12.82,11.63)*AVERAGE(12.82,11.63)*I11,2)</f>
        <v>88.92</v>
      </c>
    </row>
    <row r="12" spans="1:11" ht="32.25" customHeight="1">
      <c r="A12" s="2226"/>
      <c r="B12" s="2227"/>
      <c r="C12" s="2227"/>
      <c r="D12" s="2228" t="s">
        <v>2764</v>
      </c>
      <c r="E12" s="2227" t="s">
        <v>2752</v>
      </c>
      <c r="F12" s="2229">
        <v>1</v>
      </c>
      <c r="G12" s="2230" t="s">
        <v>2765</v>
      </c>
      <c r="H12" s="2230" t="str">
        <f t="shared" si="0"/>
        <v>(14.24+11.95)/2</v>
      </c>
      <c r="I12" s="2231">
        <v>1.45</v>
      </c>
      <c r="J12" s="2232">
        <v>248.64</v>
      </c>
      <c r="K12" s="2233">
        <f>ROUND(AVERAGE(14.24,11.95)*AVERAGE(14.24,11.95)*I12,2)</f>
        <v>248.64</v>
      </c>
    </row>
    <row r="13" spans="1:11" ht="32.25" customHeight="1">
      <c r="A13" s="2226"/>
      <c r="B13" s="2227"/>
      <c r="C13" s="2227"/>
      <c r="D13" s="2228" t="s">
        <v>2766</v>
      </c>
      <c r="E13" s="2227" t="s">
        <v>2752</v>
      </c>
      <c r="F13" s="2229">
        <v>1</v>
      </c>
      <c r="G13" s="2230" t="s">
        <v>2767</v>
      </c>
      <c r="H13" s="2230" t="str">
        <f t="shared" si="0"/>
        <v>(14.54+13.39)/2</v>
      </c>
      <c r="I13" s="2231">
        <v>0.57499999999999996</v>
      </c>
      <c r="J13" s="2232">
        <v>112.13</v>
      </c>
      <c r="K13" s="2214">
        <f>ROUND(AVERAGE(14.54,13.39)*AVERAGE(14.54,13.39)*I13,2)</f>
        <v>112.14</v>
      </c>
    </row>
    <row r="14" spans="1:11" ht="32.25" customHeight="1">
      <c r="A14" s="2226"/>
      <c r="B14" s="2227"/>
      <c r="C14" s="2227"/>
      <c r="D14" s="2228" t="s">
        <v>2768</v>
      </c>
      <c r="E14" s="2227" t="s">
        <v>2752</v>
      </c>
      <c r="F14" s="2229">
        <v>1</v>
      </c>
      <c r="G14" s="2230" t="s">
        <v>2769</v>
      </c>
      <c r="H14" s="2230" t="str">
        <f t="shared" si="0"/>
        <v>(14.0+12.79)/2</v>
      </c>
      <c r="I14" s="2231">
        <v>0.60499999999999998</v>
      </c>
      <c r="J14" s="2232">
        <v>108.55</v>
      </c>
      <c r="K14" s="2214">
        <f>ROUND(AVERAGE(14,12.79)*AVERAGE(14,12.79)*I14,2)</f>
        <v>108.55</v>
      </c>
    </row>
    <row r="15" spans="1:11" ht="32.25" customHeight="1">
      <c r="A15" s="2226"/>
      <c r="B15" s="2227"/>
      <c r="C15" s="2227"/>
      <c r="D15" s="2228" t="s">
        <v>2770</v>
      </c>
      <c r="E15" s="2227" t="s">
        <v>2752</v>
      </c>
      <c r="F15" s="2229">
        <v>1</v>
      </c>
      <c r="G15" s="2230" t="s">
        <v>2771</v>
      </c>
      <c r="H15" s="2230" t="str">
        <f t="shared" si="0"/>
        <v>(13.29+12.19)/2</v>
      </c>
      <c r="I15" s="2231">
        <v>0.55000000000000004</v>
      </c>
      <c r="J15" s="2232">
        <v>89.26</v>
      </c>
      <c r="K15" s="2214">
        <f>ROUND(AVERAGE(13.29,12.19)*AVERAGE(13.29,12.19)*I15,2)</f>
        <v>89.27</v>
      </c>
    </row>
    <row r="16" spans="1:11" ht="32.25" customHeight="1">
      <c r="A16" s="2226"/>
      <c r="B16" s="2227"/>
      <c r="C16" s="2227"/>
      <c r="D16" s="2228" t="s">
        <v>2772</v>
      </c>
      <c r="E16" s="2227" t="s">
        <v>2752</v>
      </c>
      <c r="F16" s="2229">
        <v>1</v>
      </c>
      <c r="G16" s="2230" t="s">
        <v>2773</v>
      </c>
      <c r="H16" s="2230" t="str">
        <f t="shared" si="0"/>
        <v>(14.15+12.26)/2</v>
      </c>
      <c r="I16" s="2231">
        <v>0.94499999999999995</v>
      </c>
      <c r="J16" s="2232">
        <v>164.78</v>
      </c>
      <c r="K16" s="2214">
        <f>ROUND(AVERAGE(14.15,12.26)*AVERAGE(14.15,12.26)*I16,2)</f>
        <v>164.78</v>
      </c>
    </row>
    <row r="17" spans="1:17" ht="32.25" customHeight="1">
      <c r="A17" s="2226"/>
      <c r="B17" s="2227"/>
      <c r="C17" s="2227"/>
      <c r="D17" s="2228" t="s">
        <v>2774</v>
      </c>
      <c r="E17" s="2227" t="s">
        <v>2752</v>
      </c>
      <c r="F17" s="2229">
        <v>1</v>
      </c>
      <c r="G17" s="2230" t="s">
        <v>2775</v>
      </c>
      <c r="H17" s="2230" t="str">
        <f t="shared" si="0"/>
        <v>(13.71+11.72)/2</v>
      </c>
      <c r="I17" s="2231">
        <v>0.995</v>
      </c>
      <c r="J17" s="2232">
        <v>160.86000000000001</v>
      </c>
      <c r="K17" s="2214">
        <f>ROUND(AVERAGE(13.71,11.72)*AVERAGE(13.71,11.72)*I17,2)</f>
        <v>160.86000000000001</v>
      </c>
    </row>
    <row r="18" spans="1:17" ht="32.25" customHeight="1">
      <c r="A18" s="2226"/>
      <c r="B18" s="2227"/>
      <c r="C18" s="2227"/>
      <c r="D18" s="2228" t="s">
        <v>2776</v>
      </c>
      <c r="E18" s="2227" t="s">
        <v>2752</v>
      </c>
      <c r="F18" s="2229">
        <v>1</v>
      </c>
      <c r="G18" s="2230" t="s">
        <v>2777</v>
      </c>
      <c r="H18" s="2230" t="str">
        <f t="shared" si="0"/>
        <v>(12.89+11.87)/2</v>
      </c>
      <c r="I18" s="2231">
        <v>0.51</v>
      </c>
      <c r="J18" s="2232">
        <v>78.16</v>
      </c>
      <c r="K18" s="2214">
        <f>ROUND(AVERAGE(12.89,11.87)*AVERAGE(12.89,11.87)*I18,2)</f>
        <v>78.16</v>
      </c>
    </row>
    <row r="19" spans="1:17" ht="32.25" customHeight="1">
      <c r="A19" s="2226"/>
      <c r="B19" s="2227"/>
      <c r="C19" s="2227"/>
      <c r="D19" s="2228" t="s">
        <v>2778</v>
      </c>
      <c r="E19" s="2227" t="s">
        <v>2752</v>
      </c>
      <c r="F19" s="2229">
        <v>1</v>
      </c>
      <c r="G19" s="2230" t="s">
        <v>2779</v>
      </c>
      <c r="H19" s="2230" t="str">
        <f t="shared" si="0"/>
        <v>(14.015+11.625)/2</v>
      </c>
      <c r="I19" s="2231">
        <v>1.1950000000000001</v>
      </c>
      <c r="J19" s="2232">
        <v>196.4</v>
      </c>
      <c r="K19" s="2233">
        <f>ROUND(AVERAGE(14.015,11.625)*AVERAGE(14.015,11.625)*I19,2)</f>
        <v>196.4</v>
      </c>
    </row>
    <row r="20" spans="1:17" ht="32.25" customHeight="1">
      <c r="A20" s="2226"/>
      <c r="B20" s="2227"/>
      <c r="C20" s="2227"/>
      <c r="D20" s="2228" t="s">
        <v>2780</v>
      </c>
      <c r="E20" s="2227" t="s">
        <v>2752</v>
      </c>
      <c r="F20" s="2229">
        <v>1</v>
      </c>
      <c r="G20" s="2230" t="s">
        <v>2781</v>
      </c>
      <c r="H20" s="2230" t="str">
        <f t="shared" si="0"/>
        <v>(14.99+10.74)/2</v>
      </c>
      <c r="I20" s="2231">
        <v>2.125</v>
      </c>
      <c r="J20" s="2232">
        <v>351.7</v>
      </c>
      <c r="K20" s="2233">
        <f>ROUND(AVERAGE(14.99,10.74)*AVERAGE(14.99,10.74)*I20,2)</f>
        <v>351.7</v>
      </c>
    </row>
    <row r="21" spans="1:17" ht="32.25" customHeight="1">
      <c r="A21" s="2226"/>
      <c r="B21" s="2227"/>
      <c r="C21" s="2227"/>
      <c r="D21" s="2228" t="s">
        <v>2782</v>
      </c>
      <c r="E21" s="2227" t="s">
        <v>2752</v>
      </c>
      <c r="F21" s="2229">
        <v>1</v>
      </c>
      <c r="G21" s="2230" t="s">
        <v>2783</v>
      </c>
      <c r="H21" s="2230" t="s">
        <v>2784</v>
      </c>
      <c r="I21" s="2231">
        <v>6.0250000000000004</v>
      </c>
      <c r="J21" s="2232">
        <v>1976.2</v>
      </c>
      <c r="K21" s="2233">
        <f>ROUND(AVERAGE(26.525,14.475)*AVERAGE(22.025,9.975)*I21,2)</f>
        <v>1976.2</v>
      </c>
    </row>
    <row r="22" spans="1:17" ht="32.25" customHeight="1">
      <c r="A22" s="2226"/>
      <c r="B22" s="2227"/>
      <c r="C22" s="2227"/>
      <c r="D22" s="2228" t="s">
        <v>2785</v>
      </c>
      <c r="E22" s="2227" t="s">
        <v>2752</v>
      </c>
      <c r="F22" s="2229">
        <v>1</v>
      </c>
      <c r="G22" s="2230" t="s">
        <v>2786</v>
      </c>
      <c r="H22" s="2230" t="s">
        <v>2787</v>
      </c>
      <c r="I22" s="2231">
        <v>2.355</v>
      </c>
      <c r="J22" s="2232">
        <v>587.57000000000005</v>
      </c>
      <c r="K22" s="2233">
        <f>ROUND(AVERAGE(20.56,15.85)*AVERAGE(16.06,11.35)*I22,2)</f>
        <v>587.57000000000005</v>
      </c>
    </row>
    <row r="23" spans="1:17" ht="32.25" customHeight="1">
      <c r="A23" s="2226"/>
      <c r="B23" s="2227"/>
      <c r="C23" s="2227"/>
      <c r="D23" s="2228"/>
      <c r="E23" s="2227"/>
      <c r="F23" s="2234"/>
      <c r="G23" s="2234"/>
      <c r="H23" s="2234"/>
      <c r="I23" s="2231"/>
      <c r="J23" s="2235">
        <f>SUM(J6:J22)</f>
        <v>6151.97</v>
      </c>
      <c r="K23" s="2236">
        <f>SUM(K6:K22)</f>
        <v>6152.0209999999997</v>
      </c>
      <c r="L23" s="2214">
        <v>6151.91</v>
      </c>
    </row>
    <row r="24" spans="1:17" ht="21" customHeight="1">
      <c r="A24" s="2226"/>
      <c r="B24" s="2227"/>
      <c r="C24" s="2227"/>
      <c r="D24" s="2228"/>
      <c r="E24" s="2227"/>
      <c r="F24" s="2228"/>
      <c r="G24" s="2228"/>
      <c r="H24" s="2228"/>
      <c r="I24" s="2228"/>
      <c r="J24" s="2237"/>
    </row>
    <row r="25" spans="1:17" s="2248" customFormat="1" ht="27.6">
      <c r="A25" s="2238">
        <v>2</v>
      </c>
      <c r="B25" s="2239">
        <v>304</v>
      </c>
      <c r="C25" s="2239" t="s">
        <v>2749</v>
      </c>
      <c r="D25" s="2240" t="s">
        <v>2788</v>
      </c>
      <c r="E25" s="2241"/>
      <c r="F25" s="2242"/>
      <c r="G25" s="2243"/>
      <c r="H25" s="2244"/>
      <c r="I25" s="2245"/>
      <c r="J25" s="2246"/>
      <c r="K25" s="2247"/>
      <c r="L25" s="2247"/>
      <c r="M25" s="2247"/>
      <c r="N25" s="2247"/>
      <c r="O25" s="2247"/>
      <c r="P25" s="2247"/>
      <c r="Q25" s="2247"/>
    </row>
    <row r="26" spans="1:17" ht="117.75" customHeight="1">
      <c r="A26" s="2226"/>
      <c r="B26" s="2239"/>
      <c r="C26" s="2239"/>
      <c r="D26" s="3944" t="s">
        <v>2789</v>
      </c>
      <c r="E26" s="3944"/>
      <c r="F26" s="3944"/>
      <c r="G26" s="2228"/>
      <c r="H26" s="2228"/>
      <c r="I26" s="2228"/>
      <c r="J26" s="2249"/>
    </row>
    <row r="27" spans="1:17" ht="33" customHeight="1">
      <c r="A27" s="2226"/>
      <c r="B27" s="2227"/>
      <c r="C27" s="2227"/>
      <c r="D27" s="2228" t="s">
        <v>2751</v>
      </c>
      <c r="E27" s="2227" t="s">
        <v>2752</v>
      </c>
      <c r="F27" s="2229">
        <v>1</v>
      </c>
      <c r="G27" s="2234" t="s">
        <v>2790</v>
      </c>
      <c r="H27" s="2234" t="str">
        <f t="shared" ref="H27:H41" si="1">G27</f>
        <v>(11.21+8.0)/2</v>
      </c>
      <c r="I27" s="2231">
        <v>3.21</v>
      </c>
      <c r="J27" s="2232">
        <v>296.14</v>
      </c>
      <c r="K27" s="2233">
        <f>ROUND(AVERAGE(11.21,8)*AVERAGE(11.21,8)*I27,2)</f>
        <v>296.14</v>
      </c>
    </row>
    <row r="28" spans="1:17" ht="33" customHeight="1">
      <c r="A28" s="2226"/>
      <c r="B28" s="2227"/>
      <c r="C28" s="2227"/>
      <c r="D28" s="2228" t="s">
        <v>2754</v>
      </c>
      <c r="E28" s="2227" t="s">
        <v>2752</v>
      </c>
      <c r="F28" s="2229">
        <v>1</v>
      </c>
      <c r="G28" s="2234" t="s">
        <v>2791</v>
      </c>
      <c r="H28" s="2234" t="str">
        <f t="shared" si="1"/>
        <v>(9.05+8.0)/2</v>
      </c>
      <c r="I28" s="2231">
        <v>1.05</v>
      </c>
      <c r="J28" s="2232">
        <v>76.31</v>
      </c>
      <c r="K28" s="2233">
        <f>ROUND(AVERAGE(9.05,8)*AVERAGE(9.05,8)*I28,2)</f>
        <v>76.31</v>
      </c>
    </row>
    <row r="29" spans="1:17" ht="33" customHeight="1">
      <c r="A29" s="2226"/>
      <c r="B29" s="2227"/>
      <c r="C29" s="2227"/>
      <c r="D29" s="2228" t="s">
        <v>2756</v>
      </c>
      <c r="E29" s="2227" t="s">
        <v>2752</v>
      </c>
      <c r="F29" s="2229">
        <v>1</v>
      </c>
      <c r="G29" s="2234" t="s">
        <v>2792</v>
      </c>
      <c r="H29" s="2234" t="str">
        <f t="shared" si="1"/>
        <v>(9.645+8.0)/2</v>
      </c>
      <c r="I29" s="2231">
        <v>1.645</v>
      </c>
      <c r="J29" s="2232">
        <v>128.04</v>
      </c>
      <c r="K29" s="2233">
        <f>ROUND(AVERAGE(9.645,8)*AVERAGE(9.645,8)*I29,2)</f>
        <v>128.04</v>
      </c>
    </row>
    <row r="30" spans="1:17" ht="33" customHeight="1">
      <c r="A30" s="2226"/>
      <c r="B30" s="2227"/>
      <c r="C30" s="2227"/>
      <c r="D30" s="2228" t="s">
        <v>2758</v>
      </c>
      <c r="E30" s="2227" t="s">
        <v>2752</v>
      </c>
      <c r="F30" s="2229">
        <v>1</v>
      </c>
      <c r="G30" s="2234" t="s">
        <v>2793</v>
      </c>
      <c r="H30" s="2234" t="str">
        <f t="shared" si="1"/>
        <v>(11.43+8.0)/2</v>
      </c>
      <c r="I30" s="2231">
        <v>3.43</v>
      </c>
      <c r="J30" s="2232">
        <v>323.72000000000003</v>
      </c>
      <c r="K30" s="2233">
        <f>ROUND(AVERAGE(11.43,8)*AVERAGE(11.43,8)*I30,2)</f>
        <v>323.73</v>
      </c>
    </row>
    <row r="31" spans="1:17" ht="33" customHeight="1">
      <c r="A31" s="2226"/>
      <c r="B31" s="2227"/>
      <c r="C31" s="2227"/>
      <c r="D31" s="2228" t="s">
        <v>2760</v>
      </c>
      <c r="E31" s="2227" t="s">
        <v>2752</v>
      </c>
      <c r="F31" s="2229">
        <v>1</v>
      </c>
      <c r="G31" s="2234" t="s">
        <v>2794</v>
      </c>
      <c r="H31" s="2234" t="str">
        <f t="shared" si="1"/>
        <v>(11.235+8.0)/2</v>
      </c>
      <c r="I31" s="2231">
        <v>3.2349999999999999</v>
      </c>
      <c r="J31" s="2232">
        <v>299.22000000000003</v>
      </c>
      <c r="K31" s="2233">
        <f>ROUND(AVERAGE(11.235,8)*AVERAGE(11.235,8)*I31,2)</f>
        <v>299.23</v>
      </c>
    </row>
    <row r="32" spans="1:17" ht="33" customHeight="1">
      <c r="A32" s="2226"/>
      <c r="B32" s="2227"/>
      <c r="C32" s="2227"/>
      <c r="D32" s="2228" t="s">
        <v>2762</v>
      </c>
      <c r="E32" s="2227" t="s">
        <v>2752</v>
      </c>
      <c r="F32" s="2229">
        <v>1</v>
      </c>
      <c r="G32" s="2234" t="s">
        <v>2795</v>
      </c>
      <c r="H32" s="2234" t="str">
        <f t="shared" si="1"/>
        <v>(11..63+8.0)/2</v>
      </c>
      <c r="I32" s="2231">
        <v>3.63</v>
      </c>
      <c r="J32" s="2232">
        <v>349.69</v>
      </c>
      <c r="K32" s="2233">
        <f>ROUND(AVERAGE(11.63,8)*AVERAGE(11.63,8)*I32,2)</f>
        <v>349.69</v>
      </c>
    </row>
    <row r="33" spans="1:12" ht="33" customHeight="1">
      <c r="A33" s="2226"/>
      <c r="B33" s="2227"/>
      <c r="C33" s="2227"/>
      <c r="D33" s="2228" t="s">
        <v>2764</v>
      </c>
      <c r="E33" s="2227" t="s">
        <v>2752</v>
      </c>
      <c r="F33" s="2229">
        <v>1</v>
      </c>
      <c r="G33" s="2234" t="s">
        <v>2796</v>
      </c>
      <c r="H33" s="2234" t="s">
        <v>2796</v>
      </c>
      <c r="I33" s="2231">
        <v>3.95</v>
      </c>
      <c r="J33" s="2232">
        <v>393.02</v>
      </c>
      <c r="K33" s="2233">
        <f>ROUND(AVERAGE(11.95,8)*AVERAGE(11.95,8)*I33,2)</f>
        <v>393.03</v>
      </c>
    </row>
    <row r="34" spans="1:12" ht="33" customHeight="1">
      <c r="A34" s="2226"/>
      <c r="B34" s="2227"/>
      <c r="C34" s="2227"/>
      <c r="D34" s="2228" t="s">
        <v>2766</v>
      </c>
      <c r="E34" s="2227" t="s">
        <v>2752</v>
      </c>
      <c r="F34" s="2229">
        <v>1</v>
      </c>
      <c r="G34" s="2234" t="s">
        <v>2797</v>
      </c>
      <c r="H34" s="2234" t="str">
        <f t="shared" si="1"/>
        <v>(13.39+8.0)/2</v>
      </c>
      <c r="I34" s="2231">
        <v>5.39</v>
      </c>
      <c r="J34" s="2232">
        <v>616.52</v>
      </c>
      <c r="K34" s="2233">
        <f>ROUND(AVERAGE(13.39,8)*AVERAGE(13.39,8)*I34,2)</f>
        <v>616.52</v>
      </c>
    </row>
    <row r="35" spans="1:12" ht="33" customHeight="1">
      <c r="A35" s="2226"/>
      <c r="B35" s="2227"/>
      <c r="C35" s="2227"/>
      <c r="D35" s="2228" t="s">
        <v>2768</v>
      </c>
      <c r="E35" s="2227" t="s">
        <v>2752</v>
      </c>
      <c r="F35" s="2229">
        <v>1</v>
      </c>
      <c r="G35" s="2234" t="s">
        <v>2798</v>
      </c>
      <c r="H35" s="2234" t="str">
        <f t="shared" si="1"/>
        <v>(12.79+8.0)/2</v>
      </c>
      <c r="I35" s="2231">
        <v>4.79</v>
      </c>
      <c r="J35" s="2232">
        <v>517.38</v>
      </c>
      <c r="K35" s="2233">
        <f>ROUND(AVERAGE(12.79,8)*AVERAGE(12.79,8)*I35,2)</f>
        <v>517.59</v>
      </c>
    </row>
    <row r="36" spans="1:12" ht="33" customHeight="1">
      <c r="A36" s="2226"/>
      <c r="B36" s="2227"/>
      <c r="C36" s="2227"/>
      <c r="D36" s="2228" t="s">
        <v>2770</v>
      </c>
      <c r="E36" s="2227" t="s">
        <v>2752</v>
      </c>
      <c r="F36" s="2229">
        <v>1</v>
      </c>
      <c r="G36" s="2234" t="s">
        <v>2799</v>
      </c>
      <c r="H36" s="2234" t="str">
        <f t="shared" si="1"/>
        <v>(12.19+8.0)/2</v>
      </c>
      <c r="I36" s="2231">
        <v>4.1900000000000004</v>
      </c>
      <c r="J36" s="2232">
        <v>427</v>
      </c>
      <c r="K36" s="2233">
        <f>ROUND(AVERAGE(12.19,8)*AVERAGE(12.19,8)*I36,2)</f>
        <v>427</v>
      </c>
    </row>
    <row r="37" spans="1:12" ht="33" customHeight="1">
      <c r="A37" s="2226"/>
      <c r="B37" s="2227"/>
      <c r="C37" s="2227"/>
      <c r="D37" s="2228" t="s">
        <v>2772</v>
      </c>
      <c r="E37" s="2227" t="s">
        <v>2752</v>
      </c>
      <c r="F37" s="2229">
        <v>1</v>
      </c>
      <c r="G37" s="2234" t="s">
        <v>2800</v>
      </c>
      <c r="H37" s="2234" t="str">
        <f t="shared" si="1"/>
        <v>(12.26+8.0)/2</v>
      </c>
      <c r="I37" s="2231">
        <v>4.26</v>
      </c>
      <c r="J37" s="2232">
        <v>437.14</v>
      </c>
      <c r="K37" s="2233">
        <f>ROUND(AVERAGE(12.26,8)*AVERAGE(12.26,8)*I37,2)</f>
        <v>437.15</v>
      </c>
    </row>
    <row r="38" spans="1:12" ht="33" customHeight="1">
      <c r="A38" s="2226"/>
      <c r="B38" s="2227"/>
      <c r="C38" s="2227"/>
      <c r="D38" s="2228" t="s">
        <v>2774</v>
      </c>
      <c r="E38" s="2227" t="s">
        <v>2752</v>
      </c>
      <c r="F38" s="2229">
        <v>1</v>
      </c>
      <c r="G38" s="2234" t="s">
        <v>2801</v>
      </c>
      <c r="H38" s="2234" t="str">
        <f t="shared" si="1"/>
        <v>(11.72+8.0)/2</v>
      </c>
      <c r="I38" s="2231">
        <v>3.72</v>
      </c>
      <c r="J38" s="2232">
        <v>361.65</v>
      </c>
      <c r="K38" s="2233">
        <f>ROUND(AVERAGE(11.72,8)*AVERAGE(11.72,8)*I38,2)</f>
        <v>361.66</v>
      </c>
    </row>
    <row r="39" spans="1:12" ht="33" customHeight="1">
      <c r="A39" s="2226"/>
      <c r="B39" s="2227"/>
      <c r="C39" s="2227"/>
      <c r="D39" s="2228" t="s">
        <v>2776</v>
      </c>
      <c r="E39" s="2227" t="s">
        <v>2752</v>
      </c>
      <c r="F39" s="2229">
        <v>1</v>
      </c>
      <c r="G39" s="2234" t="s">
        <v>2802</v>
      </c>
      <c r="H39" s="2234" t="str">
        <f t="shared" si="1"/>
        <v>(11.87+8.0)/2</v>
      </c>
      <c r="I39" s="2231">
        <v>3.87</v>
      </c>
      <c r="J39" s="2232">
        <v>381.98</v>
      </c>
      <c r="K39" s="2233">
        <f>ROUND(AVERAGE(11.87,8)*AVERAGE(11.87,8)*I39,2)</f>
        <v>381.99</v>
      </c>
    </row>
    <row r="40" spans="1:12" ht="33" customHeight="1">
      <c r="A40" s="2226"/>
      <c r="B40" s="2227"/>
      <c r="C40" s="2227"/>
      <c r="D40" s="2228" t="s">
        <v>2778</v>
      </c>
      <c r="E40" s="2227" t="s">
        <v>2752</v>
      </c>
      <c r="F40" s="2229">
        <v>1</v>
      </c>
      <c r="G40" s="2234" t="s">
        <v>2803</v>
      </c>
      <c r="H40" s="2234" t="str">
        <f t="shared" si="1"/>
        <v>(11.625+8.0)/2</v>
      </c>
      <c r="I40" s="2231">
        <v>3.625</v>
      </c>
      <c r="J40" s="2232">
        <v>349.03</v>
      </c>
      <c r="K40" s="2233">
        <f>ROUND(AVERAGE(11.625,8)*AVERAGE(11.625,8)*I40,2)</f>
        <v>349.03</v>
      </c>
    </row>
    <row r="41" spans="1:12" ht="33" customHeight="1">
      <c r="A41" s="2226"/>
      <c r="B41" s="2227"/>
      <c r="C41" s="2227"/>
      <c r="D41" s="2228" t="s">
        <v>2780</v>
      </c>
      <c r="E41" s="2227" t="s">
        <v>2752</v>
      </c>
      <c r="F41" s="2229">
        <v>1</v>
      </c>
      <c r="G41" s="2234" t="s">
        <v>2804</v>
      </c>
      <c r="H41" s="2234" t="str">
        <f t="shared" si="1"/>
        <v>(10.74+8.0)/2</v>
      </c>
      <c r="I41" s="2231">
        <v>2.74</v>
      </c>
      <c r="J41" s="2232">
        <v>240.56</v>
      </c>
      <c r="K41" s="2233">
        <f>ROUND(AVERAGE(10.74,8)*AVERAGE(10.74,8)*I41,2)</f>
        <v>240.56</v>
      </c>
    </row>
    <row r="42" spans="1:12" ht="33" customHeight="1">
      <c r="A42" s="2226"/>
      <c r="B42" s="2227"/>
      <c r="C42" s="2227"/>
      <c r="D42" s="2228" t="s">
        <v>2782</v>
      </c>
      <c r="E42" s="2227" t="s">
        <v>2752</v>
      </c>
      <c r="F42" s="2229">
        <v>1</v>
      </c>
      <c r="G42" s="2234" t="s">
        <v>2805</v>
      </c>
      <c r="H42" s="2234" t="s">
        <v>2806</v>
      </c>
      <c r="I42" s="2231">
        <v>0.97499999999999998</v>
      </c>
      <c r="J42" s="2232">
        <v>129.38</v>
      </c>
      <c r="K42" s="2233">
        <f>ROUND(AVERAGE(14.475,13.5)*AVERAGE(9.975,9)*I42,2)</f>
        <v>129.38999999999999</v>
      </c>
    </row>
    <row r="43" spans="1:12" ht="33" customHeight="1">
      <c r="A43" s="2226"/>
      <c r="B43" s="2227"/>
      <c r="C43" s="2227"/>
      <c r="D43" s="2228" t="s">
        <v>2785</v>
      </c>
      <c r="E43" s="2227" t="s">
        <v>2752</v>
      </c>
      <c r="F43" s="2229">
        <v>1</v>
      </c>
      <c r="G43" s="2234" t="s">
        <v>2807</v>
      </c>
      <c r="H43" s="2234" t="s">
        <v>2808</v>
      </c>
      <c r="I43" s="2231">
        <v>2.35</v>
      </c>
      <c r="J43" s="2232">
        <v>350.89</v>
      </c>
      <c r="K43" s="2233">
        <f>ROUND(AVERAGE(15.85,13.5)*AVERAGE(11.35,9)*I43,2)</f>
        <v>350.9</v>
      </c>
    </row>
    <row r="44" spans="1:12" s="2257" customFormat="1" ht="33" customHeight="1">
      <c r="A44" s="2250"/>
      <c r="B44" s="2251"/>
      <c r="C44" s="2251"/>
      <c r="D44" s="2252" t="s">
        <v>2809</v>
      </c>
      <c r="E44" s="2253" t="s">
        <v>2752</v>
      </c>
      <c r="F44" s="2254"/>
      <c r="G44" s="2254"/>
      <c r="H44" s="2254"/>
      <c r="I44" s="2254"/>
      <c r="J44" s="2255">
        <f>SUM(J27:J43)</f>
        <v>5677.67</v>
      </c>
      <c r="K44" s="2256">
        <f>SUM(K27:K43)</f>
        <v>5677.96</v>
      </c>
      <c r="L44" s="2256">
        <v>5677.1</v>
      </c>
    </row>
    <row r="45" spans="1:12" ht="33" customHeight="1">
      <c r="A45" s="2226"/>
      <c r="B45" s="2227"/>
      <c r="C45" s="2227"/>
      <c r="D45" s="2228"/>
      <c r="E45" s="2227"/>
      <c r="F45" s="2234"/>
      <c r="G45" s="2234"/>
      <c r="H45" s="2234"/>
      <c r="I45" s="2234"/>
      <c r="J45" s="2235"/>
    </row>
    <row r="46" spans="1:12" ht="192" customHeight="1">
      <c r="A46" s="2226">
        <v>3</v>
      </c>
      <c r="B46" s="2239">
        <v>2100</v>
      </c>
      <c r="C46" s="2239" t="s">
        <v>2749</v>
      </c>
      <c r="D46" s="3944" t="s">
        <v>2810</v>
      </c>
      <c r="E46" s="3944"/>
      <c r="F46" s="3944"/>
      <c r="G46" s="2234"/>
      <c r="H46" s="2234"/>
      <c r="I46" s="2234"/>
      <c r="J46" s="2232"/>
    </row>
    <row r="47" spans="1:12" ht="22.5" customHeight="1">
      <c r="A47" s="2226"/>
      <c r="B47" s="2227"/>
      <c r="C47" s="2227"/>
      <c r="D47" s="2228" t="s">
        <v>2811</v>
      </c>
      <c r="E47" s="2227" t="s">
        <v>2752</v>
      </c>
      <c r="F47" s="2229">
        <v>15</v>
      </c>
      <c r="G47" s="2234">
        <v>7.3</v>
      </c>
      <c r="H47" s="2234">
        <v>7.3</v>
      </c>
      <c r="I47" s="2234">
        <v>0.3</v>
      </c>
      <c r="J47" s="2232">
        <f>ROUND(F47*G47*H47*I47,2)</f>
        <v>239.81</v>
      </c>
    </row>
    <row r="48" spans="1:12" ht="22.5" customHeight="1">
      <c r="A48" s="2226"/>
      <c r="B48" s="2227"/>
      <c r="C48" s="2227"/>
      <c r="D48" s="2228" t="s">
        <v>2812</v>
      </c>
      <c r="E48" s="2227" t="s">
        <v>2752</v>
      </c>
      <c r="F48" s="2229">
        <v>2</v>
      </c>
      <c r="G48" s="2234">
        <v>12.8</v>
      </c>
      <c r="H48" s="2258">
        <v>8.3000000000000007</v>
      </c>
      <c r="I48" s="2234">
        <v>0.3</v>
      </c>
      <c r="J48" s="2232">
        <f>ROUND(F48*G48*H48*I48,2)</f>
        <v>63.74</v>
      </c>
    </row>
    <row r="49" spans="1:10" ht="22.5" customHeight="1">
      <c r="A49" s="2226"/>
      <c r="B49" s="2227"/>
      <c r="C49" s="2227"/>
      <c r="D49" s="2228" t="s">
        <v>2813</v>
      </c>
      <c r="E49" s="2227" t="s">
        <v>2752</v>
      </c>
      <c r="F49" s="2229">
        <v>2</v>
      </c>
      <c r="G49" s="2234">
        <v>8.4499999999999993</v>
      </c>
      <c r="H49" s="2234">
        <v>3.5</v>
      </c>
      <c r="I49" s="2234">
        <v>0.2</v>
      </c>
      <c r="J49" s="2232">
        <f>ROUND(F49*G49*H49*I49,2)</f>
        <v>11.83</v>
      </c>
    </row>
    <row r="50" spans="1:10" ht="22.5" customHeight="1">
      <c r="A50" s="2226"/>
      <c r="B50" s="2227"/>
      <c r="C50" s="2227"/>
      <c r="D50" s="2259" t="s">
        <v>2809</v>
      </c>
      <c r="E50" s="2260" t="s">
        <v>2752</v>
      </c>
      <c r="F50" s="2229"/>
      <c r="G50" s="2234"/>
      <c r="H50" s="2234"/>
      <c r="I50" s="2234"/>
      <c r="J50" s="2235">
        <f>SUM(J47:J49)</f>
        <v>315.38</v>
      </c>
    </row>
    <row r="51" spans="1:10">
      <c r="A51" s="2226"/>
      <c r="B51" s="2227"/>
      <c r="C51" s="2227"/>
      <c r="D51" s="2228"/>
      <c r="E51" s="2227"/>
      <c r="F51" s="2229"/>
      <c r="G51" s="2234"/>
      <c r="H51" s="2234"/>
      <c r="I51" s="2234"/>
      <c r="J51" s="2232"/>
    </row>
    <row r="52" spans="1:10" ht="189" customHeight="1">
      <c r="A52" s="2226">
        <v>4</v>
      </c>
      <c r="B52" s="2239" t="s">
        <v>2814</v>
      </c>
      <c r="C52" s="2239" t="s">
        <v>2749</v>
      </c>
      <c r="D52" s="3944" t="s">
        <v>2815</v>
      </c>
      <c r="E52" s="3944"/>
      <c r="F52" s="3944"/>
      <c r="G52" s="2234"/>
      <c r="H52" s="2234"/>
      <c r="I52" s="2234"/>
      <c r="J52" s="2235"/>
    </row>
    <row r="53" spans="1:10">
      <c r="A53" s="2226"/>
      <c r="B53" s="2227"/>
      <c r="C53" s="2227"/>
      <c r="D53" s="2259" t="s">
        <v>2816</v>
      </c>
      <c r="E53" s="2227"/>
      <c r="F53" s="2229"/>
      <c r="G53" s="2234"/>
      <c r="H53" s="2234"/>
      <c r="I53" s="2234"/>
      <c r="J53" s="2232"/>
    </row>
    <row r="54" spans="1:10" ht="22.5" customHeight="1">
      <c r="A54" s="2226"/>
      <c r="B54" s="2227"/>
      <c r="C54" s="2227"/>
      <c r="D54" s="2228" t="s">
        <v>2817</v>
      </c>
      <c r="E54" s="2227" t="s">
        <v>2752</v>
      </c>
      <c r="F54" s="2229">
        <v>15</v>
      </c>
      <c r="G54" s="2234">
        <v>7</v>
      </c>
      <c r="H54" s="2234">
        <v>7</v>
      </c>
      <c r="I54" s="2234">
        <v>0.75</v>
      </c>
      <c r="J54" s="2232">
        <f t="shared" ref="J54:J59" si="2">ROUND(F54*G54*H54*I54,2)</f>
        <v>551.25</v>
      </c>
    </row>
    <row r="55" spans="1:10" ht="22.5" customHeight="1">
      <c r="A55" s="2226"/>
      <c r="B55" s="2227"/>
      <c r="C55" s="2227"/>
      <c r="D55" s="2228" t="s">
        <v>2818</v>
      </c>
      <c r="E55" s="2227" t="s">
        <v>2752</v>
      </c>
      <c r="F55" s="2229">
        <v>15</v>
      </c>
      <c r="G55" s="2234">
        <v>5</v>
      </c>
      <c r="H55" s="2234">
        <v>5</v>
      </c>
      <c r="I55" s="2234">
        <v>0.75</v>
      </c>
      <c r="J55" s="2232">
        <f t="shared" si="2"/>
        <v>281.25</v>
      </c>
    </row>
    <row r="56" spans="1:10" ht="22.5" customHeight="1">
      <c r="A56" s="2226"/>
      <c r="B56" s="2227"/>
      <c r="C56" s="2227"/>
      <c r="D56" s="2228" t="s">
        <v>2819</v>
      </c>
      <c r="E56" s="2227" t="s">
        <v>2752</v>
      </c>
      <c r="F56" s="2229">
        <v>15</v>
      </c>
      <c r="G56" s="2234">
        <v>4</v>
      </c>
      <c r="H56" s="2234">
        <v>4</v>
      </c>
      <c r="I56" s="2234">
        <v>1.5</v>
      </c>
      <c r="J56" s="2232">
        <f t="shared" si="2"/>
        <v>360</v>
      </c>
    </row>
    <row r="57" spans="1:10" ht="22.5" customHeight="1">
      <c r="A57" s="2226"/>
      <c r="B57" s="2227"/>
      <c r="C57" s="2227"/>
      <c r="D57" s="2259" t="s">
        <v>2820</v>
      </c>
      <c r="E57" s="2227"/>
      <c r="F57" s="2229"/>
      <c r="G57" s="2234"/>
      <c r="H57" s="2234"/>
      <c r="I57" s="2234"/>
      <c r="J57" s="2261">
        <f>SUM(J54:J56)</f>
        <v>1192.5</v>
      </c>
    </row>
    <row r="58" spans="1:10" ht="22.5" customHeight="1">
      <c r="A58" s="2226"/>
      <c r="B58" s="2227"/>
      <c r="C58" s="2227"/>
      <c r="D58" s="2228" t="s">
        <v>2821</v>
      </c>
      <c r="E58" s="2227" t="s">
        <v>2752</v>
      </c>
      <c r="F58" s="2229">
        <v>2</v>
      </c>
      <c r="G58" s="2234">
        <v>12.5</v>
      </c>
      <c r="H58" s="2258">
        <v>8</v>
      </c>
      <c r="I58" s="2234">
        <v>1.5</v>
      </c>
      <c r="J58" s="2232">
        <f t="shared" si="2"/>
        <v>300</v>
      </c>
    </row>
    <row r="59" spans="1:10" ht="22.5" customHeight="1">
      <c r="A59" s="2226"/>
      <c r="B59" s="2227"/>
      <c r="C59" s="2227"/>
      <c r="D59" s="2228" t="s">
        <v>2822</v>
      </c>
      <c r="E59" s="2227" t="s">
        <v>2752</v>
      </c>
      <c r="F59" s="2229">
        <v>2</v>
      </c>
      <c r="G59" s="2234">
        <v>8.4499999999999993</v>
      </c>
      <c r="H59" s="2258">
        <v>4</v>
      </c>
      <c r="I59" s="2234">
        <v>0.8</v>
      </c>
      <c r="J59" s="2232">
        <f t="shared" si="2"/>
        <v>54.08</v>
      </c>
    </row>
    <row r="60" spans="1:10" ht="22.5" customHeight="1">
      <c r="A60" s="2226"/>
      <c r="B60" s="2227"/>
      <c r="C60" s="2227"/>
      <c r="D60" s="2259" t="s">
        <v>2809</v>
      </c>
      <c r="E60" s="2260" t="s">
        <v>2752</v>
      </c>
      <c r="F60" s="2229"/>
      <c r="G60" s="2234"/>
      <c r="H60" s="2234"/>
      <c r="I60" s="2234"/>
      <c r="J60" s="2261">
        <f>SUM(J58:J59)</f>
        <v>354.08</v>
      </c>
    </row>
    <row r="61" spans="1:10" ht="22.5" customHeight="1">
      <c r="A61" s="2226"/>
      <c r="B61" s="2227"/>
      <c r="C61" s="2227"/>
      <c r="D61" s="2259" t="s">
        <v>60</v>
      </c>
      <c r="E61" s="2227"/>
      <c r="F61" s="2229"/>
      <c r="G61" s="2234"/>
      <c r="H61" s="2234"/>
      <c r="I61" s="2234"/>
      <c r="J61" s="2235">
        <f>J57+J60</f>
        <v>1546.58</v>
      </c>
    </row>
    <row r="62" spans="1:10" ht="162.75" customHeight="1">
      <c r="A62" s="2226">
        <v>5</v>
      </c>
      <c r="B62" s="2239" t="s">
        <v>2823</v>
      </c>
      <c r="C62" s="2239" t="s">
        <v>2749</v>
      </c>
      <c r="D62" s="3944" t="s">
        <v>2824</v>
      </c>
      <c r="E62" s="3944"/>
      <c r="F62" s="3944"/>
      <c r="G62" s="2228"/>
      <c r="H62" s="2228"/>
      <c r="I62" s="2228"/>
      <c r="J62" s="2249"/>
    </row>
    <row r="63" spans="1:10">
      <c r="A63" s="2226"/>
      <c r="B63" s="2239"/>
      <c r="C63" s="2239"/>
      <c r="D63" s="2262" t="s">
        <v>2825</v>
      </c>
      <c r="E63" s="2227"/>
      <c r="F63" s="2229"/>
      <c r="G63" s="2228"/>
      <c r="H63" s="2228"/>
      <c r="I63" s="2228"/>
      <c r="J63" s="2249"/>
    </row>
    <row r="64" spans="1:10">
      <c r="A64" s="2226"/>
      <c r="B64" s="2227"/>
      <c r="C64" s="2227"/>
      <c r="D64" s="2228" t="s">
        <v>2826</v>
      </c>
      <c r="E64" s="2227" t="s">
        <v>2752</v>
      </c>
      <c r="F64" s="2229">
        <v>1</v>
      </c>
      <c r="G64" s="2258">
        <v>2</v>
      </c>
      <c r="H64" s="2258">
        <v>2</v>
      </c>
      <c r="I64" s="2263">
        <f>104.45-97.43</f>
        <v>7.019999999999996</v>
      </c>
      <c r="J64" s="2232">
        <f t="shared" ref="J64:J77" si="3">ROUND(22/28*F64*G64*H64*I64,2)</f>
        <v>22.06</v>
      </c>
    </row>
    <row r="65" spans="1:10">
      <c r="A65" s="2226"/>
      <c r="B65" s="2227"/>
      <c r="C65" s="2227"/>
      <c r="D65" s="2228" t="s">
        <v>2827</v>
      </c>
      <c r="E65" s="2227" t="s">
        <v>2752</v>
      </c>
      <c r="F65" s="2229">
        <v>1</v>
      </c>
      <c r="G65" s="2258">
        <v>2</v>
      </c>
      <c r="H65" s="2258">
        <v>2</v>
      </c>
      <c r="I65" s="2258">
        <f>104.45-97.49</f>
        <v>6.960000000000008</v>
      </c>
      <c r="J65" s="2232">
        <f t="shared" si="3"/>
        <v>21.87</v>
      </c>
    </row>
    <row r="66" spans="1:10">
      <c r="A66" s="2226"/>
      <c r="B66" s="2227"/>
      <c r="C66" s="2227"/>
      <c r="D66" s="2228" t="s">
        <v>2828</v>
      </c>
      <c r="E66" s="2227" t="s">
        <v>2752</v>
      </c>
      <c r="F66" s="2229">
        <v>1</v>
      </c>
      <c r="G66" s="2258">
        <v>2</v>
      </c>
      <c r="H66" s="2258">
        <v>2</v>
      </c>
      <c r="I66" s="2258">
        <f>104.45-97.29</f>
        <v>7.1599999999999966</v>
      </c>
      <c r="J66" s="2232">
        <f t="shared" si="3"/>
        <v>22.5</v>
      </c>
    </row>
    <row r="67" spans="1:10">
      <c r="A67" s="2226"/>
      <c r="B67" s="2227"/>
      <c r="C67" s="2227"/>
      <c r="D67" s="2228" t="s">
        <v>2829</v>
      </c>
      <c r="E67" s="2227" t="s">
        <v>2752</v>
      </c>
      <c r="F67" s="2229">
        <v>1</v>
      </c>
      <c r="G67" s="2258">
        <v>2</v>
      </c>
      <c r="H67" s="2258">
        <v>2</v>
      </c>
      <c r="I67" s="2258">
        <f>104.45-97.62</f>
        <v>6.8299999999999983</v>
      </c>
      <c r="J67" s="2232">
        <f>ROUND(22/28*F67*G67*H67*I67,2)</f>
        <v>21.47</v>
      </c>
    </row>
    <row r="68" spans="1:10">
      <c r="A68" s="2226"/>
      <c r="B68" s="2227"/>
      <c r="C68" s="2227"/>
      <c r="D68" s="2228" t="s">
        <v>2830</v>
      </c>
      <c r="E68" s="2227" t="s">
        <v>2752</v>
      </c>
      <c r="F68" s="2229">
        <v>1</v>
      </c>
      <c r="G68" s="2258">
        <v>2</v>
      </c>
      <c r="H68" s="2258">
        <v>2</v>
      </c>
      <c r="I68" s="2258">
        <f>104.45-97.285</f>
        <v>7.1650000000000063</v>
      </c>
      <c r="J68" s="2232">
        <f>ROUND(22/28*F68*G68*H68*I68,2)</f>
        <v>22.52</v>
      </c>
    </row>
    <row r="69" spans="1:10">
      <c r="A69" s="2226"/>
      <c r="B69" s="2227"/>
      <c r="C69" s="2227"/>
      <c r="D69" s="2228" t="s">
        <v>2831</v>
      </c>
      <c r="E69" s="2227" t="s">
        <v>2752</v>
      </c>
      <c r="F69" s="2229">
        <v>1</v>
      </c>
      <c r="G69" s="2258">
        <v>2</v>
      </c>
      <c r="H69" s="2258">
        <v>2</v>
      </c>
      <c r="I69" s="2258">
        <f>104.45-96.99</f>
        <v>7.460000000000008</v>
      </c>
      <c r="J69" s="2232">
        <f t="shared" si="3"/>
        <v>23.45</v>
      </c>
    </row>
    <row r="70" spans="1:10">
      <c r="A70" s="2226"/>
      <c r="B70" s="2227"/>
      <c r="C70" s="2227"/>
      <c r="D70" s="2228" t="s">
        <v>2832</v>
      </c>
      <c r="E70" s="2227" t="s">
        <v>2752</v>
      </c>
      <c r="F70" s="2229">
        <v>1</v>
      </c>
      <c r="G70" s="2258">
        <v>2</v>
      </c>
      <c r="H70" s="2258">
        <v>2</v>
      </c>
      <c r="I70" s="2258">
        <f>104.45-96.24</f>
        <v>8.210000000000008</v>
      </c>
      <c r="J70" s="2232">
        <f t="shared" si="3"/>
        <v>25.8</v>
      </c>
    </row>
    <row r="71" spans="1:10">
      <c r="A71" s="2226"/>
      <c r="B71" s="2227"/>
      <c r="C71" s="2227"/>
      <c r="D71" s="2228" t="s">
        <v>2833</v>
      </c>
      <c r="E71" s="2227" t="s">
        <v>2752</v>
      </c>
      <c r="F71" s="2229">
        <v>1</v>
      </c>
      <c r="G71" s="2258">
        <v>2</v>
      </c>
      <c r="H71" s="2258">
        <v>2</v>
      </c>
      <c r="I71" s="2258">
        <f>104.45-95.35</f>
        <v>9.1000000000000085</v>
      </c>
      <c r="J71" s="2232">
        <f t="shared" si="3"/>
        <v>28.6</v>
      </c>
    </row>
    <row r="72" spans="1:10">
      <c r="A72" s="2226"/>
      <c r="B72" s="2227"/>
      <c r="C72" s="2227"/>
      <c r="D72" s="2228" t="s">
        <v>2834</v>
      </c>
      <c r="E72" s="2227" t="s">
        <v>2752</v>
      </c>
      <c r="F72" s="2229">
        <v>1</v>
      </c>
      <c r="G72" s="2258">
        <v>2</v>
      </c>
      <c r="H72" s="2258">
        <v>2</v>
      </c>
      <c r="I72" s="2263">
        <f>104.45-95.935</f>
        <v>8.5150000000000006</v>
      </c>
      <c r="J72" s="2232">
        <f t="shared" si="3"/>
        <v>26.76</v>
      </c>
    </row>
    <row r="73" spans="1:10">
      <c r="A73" s="2226"/>
      <c r="B73" s="2227"/>
      <c r="C73" s="2227"/>
      <c r="D73" s="2228" t="s">
        <v>2835</v>
      </c>
      <c r="E73" s="2227" t="s">
        <v>2752</v>
      </c>
      <c r="F73" s="2229">
        <v>1</v>
      </c>
      <c r="G73" s="2258">
        <v>2</v>
      </c>
      <c r="H73" s="2258">
        <v>2</v>
      </c>
      <c r="I73" s="2258">
        <f>104.45-96.41</f>
        <v>8.0400000000000063</v>
      </c>
      <c r="J73" s="2232">
        <f t="shared" si="3"/>
        <v>25.27</v>
      </c>
    </row>
    <row r="74" spans="1:10">
      <c r="A74" s="2226"/>
      <c r="B74" s="2227"/>
      <c r="C74" s="2227"/>
      <c r="D74" s="2228" t="s">
        <v>2836</v>
      </c>
      <c r="E74" s="2227" t="s">
        <v>2752</v>
      </c>
      <c r="F74" s="2229">
        <v>1</v>
      </c>
      <c r="G74" s="2258">
        <v>2</v>
      </c>
      <c r="H74" s="2258">
        <v>2</v>
      </c>
      <c r="I74" s="2258">
        <f>104.45-96.385</f>
        <v>8.0649999999999977</v>
      </c>
      <c r="J74" s="2232">
        <f t="shared" si="3"/>
        <v>25.35</v>
      </c>
    </row>
    <row r="75" spans="1:10">
      <c r="A75" s="2226"/>
      <c r="B75" s="2227"/>
      <c r="C75" s="2227"/>
      <c r="D75" s="2228" t="s">
        <v>2837</v>
      </c>
      <c r="E75" s="2227" t="s">
        <v>2752</v>
      </c>
      <c r="F75" s="2229">
        <v>1</v>
      </c>
      <c r="G75" s="2258">
        <v>2</v>
      </c>
      <c r="H75" s="2258">
        <v>2</v>
      </c>
      <c r="I75" s="2258">
        <f>104.45-96.905</f>
        <v>7.5450000000000017</v>
      </c>
      <c r="J75" s="2232">
        <f t="shared" si="3"/>
        <v>23.71</v>
      </c>
    </row>
    <row r="76" spans="1:10">
      <c r="A76" s="2226"/>
      <c r="B76" s="2227"/>
      <c r="C76" s="2227"/>
      <c r="D76" s="2228" t="s">
        <v>2838</v>
      </c>
      <c r="E76" s="2227" t="s">
        <v>2752</v>
      </c>
      <c r="F76" s="2229">
        <v>1</v>
      </c>
      <c r="G76" s="2258">
        <v>2</v>
      </c>
      <c r="H76" s="2258">
        <v>2</v>
      </c>
      <c r="I76" s="2263">
        <f>104.45-97.53</f>
        <v>6.9200000000000017</v>
      </c>
      <c r="J76" s="2232">
        <f t="shared" si="3"/>
        <v>21.75</v>
      </c>
    </row>
    <row r="77" spans="1:10">
      <c r="A77" s="2226"/>
      <c r="B77" s="2227"/>
      <c r="C77" s="2227"/>
      <c r="D77" s="2228" t="s">
        <v>2839</v>
      </c>
      <c r="E77" s="2227" t="s">
        <v>2752</v>
      </c>
      <c r="F77" s="2229">
        <v>1</v>
      </c>
      <c r="G77" s="2258">
        <v>2</v>
      </c>
      <c r="H77" s="2258">
        <v>2</v>
      </c>
      <c r="I77" s="2258">
        <f>104.45-97.78</f>
        <v>6.6700000000000017</v>
      </c>
      <c r="J77" s="2232">
        <f t="shared" si="3"/>
        <v>20.96</v>
      </c>
    </row>
    <row r="78" spans="1:10">
      <c r="A78" s="2226"/>
      <c r="B78" s="2227"/>
      <c r="C78" s="2227"/>
      <c r="D78" s="2228" t="s">
        <v>2840</v>
      </c>
      <c r="E78" s="2227" t="s">
        <v>2752</v>
      </c>
      <c r="F78" s="2229">
        <v>1</v>
      </c>
      <c r="G78" s="2258">
        <v>2</v>
      </c>
      <c r="H78" s="2258">
        <v>2</v>
      </c>
      <c r="I78" s="2258">
        <f>104.45-97.86</f>
        <v>6.5900000000000034</v>
      </c>
      <c r="J78" s="2232">
        <f>ROUND(22/28*F78*G78*H78*I78,2)</f>
        <v>20.71</v>
      </c>
    </row>
    <row r="79" spans="1:10">
      <c r="A79" s="2226"/>
      <c r="B79" s="2227"/>
      <c r="C79" s="2227"/>
      <c r="D79" s="2259" t="s">
        <v>2809</v>
      </c>
      <c r="E79" s="2260" t="s">
        <v>2752</v>
      </c>
      <c r="F79" s="2229"/>
      <c r="G79" s="2234"/>
      <c r="H79" s="2234"/>
      <c r="I79" s="2234"/>
      <c r="J79" s="2235">
        <f>SUM(J64:J78)</f>
        <v>352.78</v>
      </c>
    </row>
    <row r="80" spans="1:10">
      <c r="A80" s="2226"/>
      <c r="B80" s="2227"/>
      <c r="C80" s="2227"/>
      <c r="D80" s="2259"/>
      <c r="E80" s="2260"/>
      <c r="F80" s="2229"/>
      <c r="G80" s="2234"/>
      <c r="H80" s="2234"/>
      <c r="I80" s="2234"/>
      <c r="J80" s="2235"/>
    </row>
    <row r="81" spans="1:10" ht="42" hidden="1" customHeight="1">
      <c r="A81" s="2226">
        <v>6</v>
      </c>
      <c r="B81" s="2239" t="s">
        <v>2823</v>
      </c>
      <c r="C81" s="2239" t="s">
        <v>2749</v>
      </c>
      <c r="D81" s="2264" t="str">
        <f>D62</f>
        <v xml:space="preserve">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Sub structure.  </v>
      </c>
      <c r="E81" s="2227"/>
      <c r="F81" s="2229"/>
      <c r="G81" s="2228"/>
      <c r="H81" s="2228"/>
      <c r="I81" s="2228"/>
      <c r="J81" s="2249"/>
    </row>
    <row r="82" spans="1:10">
      <c r="A82" s="2226"/>
      <c r="B82" s="2227"/>
      <c r="C82" s="2227"/>
      <c r="D82" s="2259" t="s">
        <v>2841</v>
      </c>
      <c r="E82" s="2265"/>
      <c r="F82" s="2266"/>
      <c r="G82" s="2258"/>
      <c r="H82" s="2258"/>
      <c r="I82" s="2267"/>
      <c r="J82" s="2232"/>
    </row>
    <row r="83" spans="1:10">
      <c r="A83" s="2226"/>
      <c r="B83" s="2227"/>
      <c r="C83" s="2227"/>
      <c r="D83" s="2228" t="s">
        <v>2842</v>
      </c>
      <c r="E83" s="2227" t="s">
        <v>2752</v>
      </c>
      <c r="F83" s="2266">
        <v>1</v>
      </c>
      <c r="G83" s="2258">
        <v>8.4499999999999993</v>
      </c>
      <c r="H83" s="2258">
        <v>1.75</v>
      </c>
      <c r="I83" s="2268">
        <f>105.85-97.02</f>
        <v>8.8299999999999983</v>
      </c>
      <c r="J83" s="2232">
        <f>ROUND(F83*G83*H83*I83,2)</f>
        <v>130.57</v>
      </c>
    </row>
    <row r="84" spans="1:10">
      <c r="A84" s="2226"/>
      <c r="B84" s="2227"/>
      <c r="C84" s="2227"/>
      <c r="D84" s="2228" t="s">
        <v>2843</v>
      </c>
      <c r="E84" s="2227" t="s">
        <v>2752</v>
      </c>
      <c r="F84" s="2266">
        <v>1</v>
      </c>
      <c r="G84" s="2258">
        <v>8.4499999999999993</v>
      </c>
      <c r="H84" s="2258">
        <v>1.75</v>
      </c>
      <c r="I84" s="2268">
        <f>105.85-97.785</f>
        <v>8.0649999999999977</v>
      </c>
      <c r="J84" s="2232">
        <f>ROUND(F84*G84*H84*I84,2)</f>
        <v>119.26</v>
      </c>
    </row>
    <row r="85" spans="1:10">
      <c r="A85" s="2226"/>
      <c r="B85" s="2227"/>
      <c r="C85" s="2227"/>
      <c r="D85" s="2259" t="s">
        <v>2809</v>
      </c>
      <c r="E85" s="2260" t="s">
        <v>2752</v>
      </c>
      <c r="F85" s="2229"/>
      <c r="G85" s="2234"/>
      <c r="H85" s="2234"/>
      <c r="I85" s="2234"/>
      <c r="J85" s="2235">
        <f>SUM(J83:J84)</f>
        <v>249.82999999999998</v>
      </c>
    </row>
    <row r="86" spans="1:10">
      <c r="A86" s="2226"/>
      <c r="B86" s="2227"/>
      <c r="C86" s="2227"/>
      <c r="D86" s="2259"/>
      <c r="E86" s="2260"/>
      <c r="F86" s="2229"/>
      <c r="G86" s="2234"/>
      <c r="H86" s="2234"/>
      <c r="I86" s="2234"/>
      <c r="J86" s="2235"/>
    </row>
    <row r="87" spans="1:10" ht="317.39999999999998" hidden="1">
      <c r="A87" s="2226">
        <v>7</v>
      </c>
      <c r="B87" s="2239" t="s">
        <v>2823</v>
      </c>
      <c r="C87" s="2239" t="s">
        <v>2749</v>
      </c>
      <c r="D87" s="2264" t="str">
        <f>D81</f>
        <v xml:space="preserve">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Sub structure.  </v>
      </c>
      <c r="E87" s="2260"/>
      <c r="F87" s="2229"/>
      <c r="G87" s="2234"/>
      <c r="H87" s="2234"/>
      <c r="I87" s="2234"/>
      <c r="J87" s="2235"/>
    </row>
    <row r="88" spans="1:10">
      <c r="A88" s="2226"/>
      <c r="B88" s="2227"/>
      <c r="C88" s="2227"/>
      <c r="D88" s="2259" t="s">
        <v>2844</v>
      </c>
      <c r="E88" s="2227" t="s">
        <v>2752</v>
      </c>
      <c r="F88" s="2266">
        <v>15</v>
      </c>
      <c r="G88" s="2258">
        <v>2</v>
      </c>
      <c r="H88" s="2258">
        <v>2</v>
      </c>
      <c r="I88" s="2258">
        <v>0.5</v>
      </c>
      <c r="J88" s="2232">
        <f>ROUND(F88*G88*H88*I88,2)</f>
        <v>30</v>
      </c>
    </row>
    <row r="89" spans="1:10">
      <c r="A89" s="2226"/>
      <c r="B89" s="2227"/>
      <c r="C89" s="2227"/>
      <c r="D89" s="2228" t="s">
        <v>2845</v>
      </c>
      <c r="E89" s="2227" t="s">
        <v>2752</v>
      </c>
      <c r="F89" s="2266">
        <v>2</v>
      </c>
      <c r="G89" s="2258">
        <v>8.4499999999999993</v>
      </c>
      <c r="H89" s="2258">
        <v>1.825</v>
      </c>
      <c r="I89" s="2258">
        <v>0.5</v>
      </c>
      <c r="J89" s="2232">
        <f>ROUND(F89*G89*H89*I89,2)</f>
        <v>15.42</v>
      </c>
    </row>
    <row r="90" spans="1:10">
      <c r="A90" s="2226"/>
      <c r="B90" s="2227"/>
      <c r="C90" s="2227"/>
      <c r="D90" s="2228" t="s">
        <v>2846</v>
      </c>
      <c r="E90" s="2227" t="s">
        <v>2752</v>
      </c>
      <c r="F90" s="2266">
        <v>90</v>
      </c>
      <c r="G90" s="2258">
        <v>0.93</v>
      </c>
      <c r="H90" s="2258">
        <v>0.52</v>
      </c>
      <c r="I90" s="2258">
        <v>0.15</v>
      </c>
      <c r="J90" s="2232">
        <f>ROUND(F90*G90*H90*I90,2)</f>
        <v>6.53</v>
      </c>
    </row>
    <row r="91" spans="1:10">
      <c r="A91" s="2226"/>
      <c r="B91" s="2227"/>
      <c r="C91" s="2227"/>
      <c r="D91" s="2228" t="s">
        <v>2847</v>
      </c>
      <c r="E91" s="2227" t="s">
        <v>2752</v>
      </c>
      <c r="F91" s="2266">
        <v>6</v>
      </c>
      <c r="G91" s="2258">
        <v>0.93</v>
      </c>
      <c r="H91" s="2258">
        <v>0.52</v>
      </c>
      <c r="I91" s="2258">
        <v>0.15</v>
      </c>
      <c r="J91" s="2232">
        <f>ROUND(F91*G91*H91*I91,2)</f>
        <v>0.44</v>
      </c>
    </row>
    <row r="92" spans="1:10">
      <c r="A92" s="2226"/>
      <c r="B92" s="2227"/>
      <c r="C92" s="2227"/>
      <c r="D92" s="2259" t="s">
        <v>2809</v>
      </c>
      <c r="E92" s="2260" t="s">
        <v>2752</v>
      </c>
      <c r="F92" s="2266"/>
      <c r="G92" s="2258"/>
      <c r="H92" s="2258"/>
      <c r="I92" s="2258"/>
      <c r="J92" s="2235">
        <f>SUM(J88:J91)</f>
        <v>52.39</v>
      </c>
    </row>
    <row r="93" spans="1:10">
      <c r="A93" s="2226"/>
      <c r="B93" s="2227"/>
      <c r="C93" s="2227"/>
      <c r="D93" s="2228"/>
      <c r="E93" s="2265"/>
      <c r="F93" s="2266"/>
      <c r="G93" s="2258"/>
      <c r="H93" s="2258"/>
      <c r="I93" s="2258"/>
      <c r="J93" s="2235"/>
    </row>
    <row r="94" spans="1:10" ht="317.39999999999998" hidden="1">
      <c r="A94" s="2226">
        <v>8</v>
      </c>
      <c r="B94" s="2239" t="s">
        <v>2823</v>
      </c>
      <c r="C94" s="2239" t="s">
        <v>2749</v>
      </c>
      <c r="D94" s="2264" t="str">
        <f>D81</f>
        <v xml:space="preserve">Vibrated reinforced cement concrete M 25 grade using  20mm &amp; 10mm  HBG crushed stone aggregate (Coarse aggregate conforming to table 1000-1 and fine aggregate conforming to table 1000-2) including cost,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(4th revision ) and  as directed by the Engineer-in-Charge Sub structure.  </v>
      </c>
      <c r="E94" s="2260"/>
      <c r="F94" s="2229"/>
      <c r="G94" s="2234"/>
      <c r="H94" s="2234"/>
      <c r="I94" s="2234"/>
      <c r="J94" s="2235"/>
    </row>
    <row r="95" spans="1:10">
      <c r="A95" s="2226"/>
      <c r="B95" s="2227"/>
      <c r="C95" s="2227"/>
      <c r="D95" s="2259" t="s">
        <v>2848</v>
      </c>
      <c r="E95" s="2227" t="s">
        <v>2752</v>
      </c>
      <c r="F95" s="2266">
        <v>2</v>
      </c>
      <c r="G95" s="2258">
        <v>8.4499999999999993</v>
      </c>
      <c r="H95" s="2258">
        <v>0.5</v>
      </c>
      <c r="I95" s="2258">
        <v>1.9610000000000001</v>
      </c>
      <c r="J95" s="2235">
        <f>ROUND(F95*G95*H95*I95,2)</f>
        <v>16.57</v>
      </c>
    </row>
    <row r="96" spans="1:10">
      <c r="A96" s="2226"/>
      <c r="B96" s="2227"/>
      <c r="C96" s="2227"/>
      <c r="D96" s="2228"/>
      <c r="E96" s="2227"/>
      <c r="F96" s="2266"/>
      <c r="G96" s="2258"/>
      <c r="H96" s="2258"/>
      <c r="I96" s="2258"/>
      <c r="J96" s="2232"/>
    </row>
    <row r="97" spans="1:10" ht="82.8" hidden="1">
      <c r="A97" s="2226">
        <v>9</v>
      </c>
      <c r="B97" s="2239" t="s">
        <v>2823</v>
      </c>
      <c r="C97" s="2239" t="s">
        <v>2749</v>
      </c>
      <c r="D97" s="2264" t="s">
        <v>2849</v>
      </c>
      <c r="E97" s="2260"/>
      <c r="F97" s="2229"/>
      <c r="G97" s="2234"/>
      <c r="H97" s="2234"/>
      <c r="I97" s="2234"/>
      <c r="J97" s="2235"/>
    </row>
    <row r="98" spans="1:10">
      <c r="A98" s="2226"/>
      <c r="B98" s="2227"/>
      <c r="C98" s="2227"/>
      <c r="D98" s="2259" t="s">
        <v>2850</v>
      </c>
      <c r="E98" s="2227" t="s">
        <v>2752</v>
      </c>
      <c r="F98" s="2266">
        <v>15</v>
      </c>
      <c r="G98" s="2258">
        <v>6.2</v>
      </c>
      <c r="H98" s="2258">
        <v>2</v>
      </c>
      <c r="I98" s="2258">
        <v>0.7</v>
      </c>
      <c r="J98" s="2232">
        <f>ROUND(F98*G98*H98*I98,2)</f>
        <v>130.19999999999999</v>
      </c>
    </row>
    <row r="99" spans="1:10">
      <c r="A99" s="2226"/>
      <c r="B99" s="2227"/>
      <c r="C99" s="2227"/>
      <c r="D99" s="2228" t="s">
        <v>2850</v>
      </c>
      <c r="E99" s="2227" t="s">
        <v>2752</v>
      </c>
      <c r="F99" s="2266">
        <v>15</v>
      </c>
      <c r="G99" s="2258">
        <v>4.0999999999999996</v>
      </c>
      <c r="H99" s="2258">
        <v>2</v>
      </c>
      <c r="I99" s="2258">
        <v>0.7</v>
      </c>
      <c r="J99" s="2232">
        <f>ROUND(F99*G99*H99*I99,2)</f>
        <v>86.1</v>
      </c>
    </row>
    <row r="100" spans="1:10">
      <c r="A100" s="2226"/>
      <c r="B100" s="2227"/>
      <c r="C100" s="2227"/>
      <c r="D100" s="2259" t="s">
        <v>2809</v>
      </c>
      <c r="E100" s="2227"/>
      <c r="F100" s="2266"/>
      <c r="G100" s="2258"/>
      <c r="H100" s="2258"/>
      <c r="I100" s="2258"/>
      <c r="J100" s="2235">
        <f>SUM(J98:J99)</f>
        <v>216.29999999999998</v>
      </c>
    </row>
    <row r="101" spans="1:10">
      <c r="A101" s="2226"/>
      <c r="B101" s="2227"/>
      <c r="C101" s="2227"/>
      <c r="D101" s="2259"/>
      <c r="E101" s="2227"/>
      <c r="F101" s="2266"/>
      <c r="G101" s="2258"/>
      <c r="H101" s="2258"/>
      <c r="I101" s="2258"/>
      <c r="J101" s="2235"/>
    </row>
    <row r="102" spans="1:10" ht="20.25" customHeight="1">
      <c r="A102" s="2226"/>
      <c r="B102" s="2227"/>
      <c r="C102" s="2227"/>
      <c r="D102" s="2259" t="s">
        <v>60</v>
      </c>
      <c r="E102" s="2227"/>
      <c r="F102" s="2229"/>
      <c r="G102" s="2234"/>
      <c r="H102" s="2234"/>
      <c r="I102" s="2234"/>
      <c r="J102" s="2235">
        <f>J79+J85+J92+J95+J100</f>
        <v>887.86999999999989</v>
      </c>
    </row>
    <row r="103" spans="1:10" ht="20.25" customHeight="1">
      <c r="A103" s="2226"/>
      <c r="B103" s="2227"/>
      <c r="C103" s="2227"/>
      <c r="D103" s="2259"/>
      <c r="E103" s="2227"/>
      <c r="F103" s="2229"/>
      <c r="G103" s="2234"/>
      <c r="H103" s="2234"/>
      <c r="I103" s="2234"/>
      <c r="J103" s="2235"/>
    </row>
    <row r="104" spans="1:10" ht="163.19999999999999" customHeight="1">
      <c r="A104" s="2226">
        <v>6</v>
      </c>
      <c r="B104" s="2239" t="s">
        <v>2823</v>
      </c>
      <c r="C104" s="2239" t="s">
        <v>2749</v>
      </c>
      <c r="D104" s="3944" t="s">
        <v>2851</v>
      </c>
      <c r="E104" s="3944"/>
      <c r="F104" s="3944"/>
      <c r="G104" s="2269"/>
      <c r="H104" s="2269"/>
      <c r="I104" s="2269"/>
      <c r="J104" s="2270"/>
    </row>
    <row r="105" spans="1:10" ht="24" customHeight="1">
      <c r="A105" s="2226"/>
      <c r="B105" s="2227"/>
      <c r="C105" s="2227"/>
      <c r="D105" s="2228"/>
      <c r="E105" s="2271" t="s">
        <v>2752</v>
      </c>
      <c r="F105" s="2272">
        <v>16</v>
      </c>
      <c r="G105" s="2269"/>
      <c r="H105" s="2269"/>
      <c r="I105" s="2269">
        <v>61.2</v>
      </c>
      <c r="J105" s="2270">
        <f>ROUND(F105*I105,2)</f>
        <v>979.2</v>
      </c>
    </row>
    <row r="106" spans="1:10" ht="165" customHeight="1">
      <c r="A106" s="2226">
        <v>7</v>
      </c>
      <c r="B106" s="2239" t="s">
        <v>2823</v>
      </c>
      <c r="C106" s="2239" t="s">
        <v>2749</v>
      </c>
      <c r="D106" s="3944" t="s">
        <v>2852</v>
      </c>
      <c r="E106" s="3944"/>
      <c r="F106" s="3944"/>
      <c r="G106" s="2234"/>
      <c r="H106" s="2234"/>
      <c r="I106" s="2234"/>
      <c r="J106" s="2232"/>
    </row>
    <row r="107" spans="1:10" ht="21" customHeight="1">
      <c r="A107" s="2226"/>
      <c r="B107" s="2227"/>
      <c r="C107" s="2227"/>
      <c r="D107" s="2228" t="s">
        <v>2853</v>
      </c>
      <c r="E107" s="2227" t="s">
        <v>2752</v>
      </c>
      <c r="F107" s="2229">
        <v>2</v>
      </c>
      <c r="G107" s="2234">
        <v>8.4499999999999993</v>
      </c>
      <c r="H107" s="2234">
        <v>3.5</v>
      </c>
      <c r="I107" s="2234">
        <v>0.3</v>
      </c>
      <c r="J107" s="2235">
        <f>ROUND(F107*G107*H107*I107,2)</f>
        <v>17.75</v>
      </c>
    </row>
    <row r="108" spans="1:10" ht="21" customHeight="1">
      <c r="A108" s="2226"/>
      <c r="B108" s="2227"/>
      <c r="C108" s="2227"/>
      <c r="D108" s="2228"/>
      <c r="E108" s="2227"/>
      <c r="F108" s="2229"/>
      <c r="G108" s="2234"/>
      <c r="H108" s="2234"/>
      <c r="I108" s="2234"/>
      <c r="J108" s="2232"/>
    </row>
    <row r="109" spans="1:10" ht="173.25" customHeight="1">
      <c r="A109" s="2226">
        <v>8</v>
      </c>
      <c r="B109" s="2239" t="s">
        <v>2823</v>
      </c>
      <c r="C109" s="2239" t="s">
        <v>2749</v>
      </c>
      <c r="D109" s="3944" t="s">
        <v>2854</v>
      </c>
      <c r="E109" s="3944"/>
      <c r="F109" s="3944"/>
      <c r="G109" s="2234"/>
      <c r="H109" s="2234"/>
      <c r="I109" s="2234"/>
      <c r="J109" s="2232"/>
    </row>
    <row r="110" spans="1:10" ht="18" customHeight="1">
      <c r="A110" s="2226"/>
      <c r="B110" s="2227"/>
      <c r="C110" s="2227"/>
      <c r="D110" s="2228" t="s">
        <v>2855</v>
      </c>
      <c r="E110" s="2227" t="s">
        <v>2752</v>
      </c>
      <c r="F110" s="2266">
        <v>1</v>
      </c>
      <c r="G110" s="2258">
        <v>274.77999999999997</v>
      </c>
      <c r="H110" s="2258">
        <v>7.5</v>
      </c>
      <c r="I110" s="2273">
        <v>7.4999999999999997E-2</v>
      </c>
      <c r="J110" s="2235">
        <f>F110*G110*H110*I110</f>
        <v>154.56375</v>
      </c>
    </row>
    <row r="111" spans="1:10">
      <c r="A111" s="2226"/>
      <c r="B111" s="2227"/>
      <c r="C111" s="2227"/>
      <c r="D111" s="2259"/>
      <c r="E111" s="2260"/>
      <c r="F111" s="2266"/>
      <c r="G111" s="2258"/>
      <c r="H111" s="2258"/>
      <c r="I111" s="2258"/>
      <c r="J111" s="2235"/>
    </row>
    <row r="112" spans="1:10" ht="126.75" customHeight="1">
      <c r="A112" s="2226">
        <v>9</v>
      </c>
      <c r="B112" s="2239" t="s">
        <v>2856</v>
      </c>
      <c r="C112" s="2239" t="s">
        <v>2749</v>
      </c>
      <c r="D112" s="3944" t="s">
        <v>2857</v>
      </c>
      <c r="E112" s="3944"/>
      <c r="F112" s="3944"/>
      <c r="G112" s="2274"/>
      <c r="H112" s="2274"/>
      <c r="I112" s="2275"/>
      <c r="J112" s="2276"/>
    </row>
    <row r="113" spans="1:10" ht="21.75" customHeight="1">
      <c r="A113" s="2226"/>
      <c r="B113" s="2227"/>
      <c r="C113" s="2227"/>
      <c r="D113" s="2228"/>
      <c r="E113" s="2277" t="s">
        <v>1003</v>
      </c>
      <c r="F113" s="2277">
        <v>2</v>
      </c>
      <c r="G113" s="2274">
        <v>273.76</v>
      </c>
      <c r="H113" s="2274"/>
      <c r="I113" s="2275"/>
      <c r="J113" s="2278">
        <f>F113*G113</f>
        <v>547.52</v>
      </c>
    </row>
    <row r="114" spans="1:10" ht="95.25" customHeight="1">
      <c r="A114" s="2226">
        <v>10</v>
      </c>
      <c r="B114" s="2239"/>
      <c r="C114" s="2251"/>
      <c r="D114" s="3944" t="str">
        <f>'[268]Bri Abst'!B54</f>
        <v>Back filling behind Abutments with carted gravel including cost and conveyance and   of all materials to site (Excluding seignorage charges) etc., complete  as per   Clause 710.1.4 of IRC : 78and as per  MoRT&amp;H Specification No. 2200 (4th Revision) and as per Drawing and technical specifications  for finished item of work</v>
      </c>
      <c r="E114" s="3944"/>
      <c r="F114" s="3944"/>
      <c r="G114" s="2254"/>
      <c r="H114" s="2254"/>
      <c r="I114" s="2254"/>
      <c r="J114" s="2279"/>
    </row>
    <row r="115" spans="1:10" ht="21.75" customHeight="1">
      <c r="A115" s="2226"/>
      <c r="B115" s="2239"/>
      <c r="C115" s="2251"/>
      <c r="D115" s="2228" t="s">
        <v>2858</v>
      </c>
      <c r="E115" s="2227" t="s">
        <v>2752</v>
      </c>
      <c r="F115" s="2229">
        <v>1</v>
      </c>
      <c r="G115" s="2234">
        <v>120</v>
      </c>
      <c r="H115" s="2234">
        <v>7.85</v>
      </c>
      <c r="I115" s="2234">
        <v>5.6</v>
      </c>
      <c r="J115" s="2280">
        <f>ROUND(F115*G115*H115*I115,2)</f>
        <v>5275.2</v>
      </c>
    </row>
    <row r="116" spans="1:10" ht="21.75" customHeight="1">
      <c r="A116" s="2226"/>
      <c r="B116" s="2239"/>
      <c r="C116" s="2251"/>
      <c r="D116" s="2228" t="s">
        <v>2859</v>
      </c>
      <c r="E116" s="2227" t="s">
        <v>2752</v>
      </c>
      <c r="F116" s="2229">
        <v>1</v>
      </c>
      <c r="G116" s="2234">
        <v>106.83</v>
      </c>
      <c r="H116" s="2234">
        <v>7.85</v>
      </c>
      <c r="I116" s="2234">
        <v>5.6</v>
      </c>
      <c r="J116" s="2280">
        <f>ROUND(F116*G116*H116*I116,2)</f>
        <v>4696.25</v>
      </c>
    </row>
    <row r="117" spans="1:10" ht="21.75" customHeight="1">
      <c r="A117" s="2226"/>
      <c r="B117" s="2239"/>
      <c r="C117" s="2251"/>
      <c r="D117" s="2281"/>
      <c r="E117" s="2251"/>
      <c r="F117" s="2254"/>
      <c r="G117" s="2254"/>
      <c r="H117" s="2254"/>
      <c r="I117" s="2254"/>
      <c r="J117" s="2255">
        <f>SUM(J115:J116)</f>
        <v>9971.4500000000007</v>
      </c>
    </row>
    <row r="118" spans="1:10" ht="84.75" customHeight="1">
      <c r="A118" s="2226">
        <v>11</v>
      </c>
      <c r="B118" s="2239"/>
      <c r="C118" s="2251"/>
      <c r="D118" s="3944" t="str">
        <f>'[268]Bri Abst'!B58</f>
        <v>Supply and fixing of Drainage Spouts complete as per drawing and Technical specification No. 2705. (As per Data communicated vide Circular Memo No. D&amp;P/Bridge work estimates/Non SSR Items/rates/2009-1 Dt 13-08-09 of the Chief Engineer (R&amp;B), Designs &amp; Planning wing,) Hyderabad.</v>
      </c>
      <c r="E118" s="3944"/>
      <c r="F118" s="3944"/>
      <c r="G118" s="2254"/>
      <c r="H118" s="2254"/>
      <c r="I118" s="2254"/>
      <c r="J118" s="2279"/>
    </row>
    <row r="119" spans="1:10" ht="27" customHeight="1">
      <c r="A119" s="2226"/>
      <c r="B119" s="2239"/>
      <c r="C119" s="2251"/>
      <c r="D119" s="2281"/>
      <c r="E119" s="2251" t="s">
        <v>708</v>
      </c>
      <c r="F119" s="2282">
        <v>64</v>
      </c>
      <c r="G119" s="2254"/>
      <c r="H119" s="2254"/>
      <c r="I119" s="2254"/>
      <c r="J119" s="2255">
        <f>F119</f>
        <v>64</v>
      </c>
    </row>
    <row r="120" spans="1:10" ht="101.25" customHeight="1">
      <c r="A120" s="2226">
        <v>12</v>
      </c>
      <c r="B120" s="2239"/>
      <c r="C120" s="2251"/>
      <c r="D120" s="3944" t="s">
        <v>2860</v>
      </c>
      <c r="E120" s="3944"/>
      <c r="F120" s="3944"/>
      <c r="G120" s="2254"/>
      <c r="H120" s="2254"/>
      <c r="I120" s="2254"/>
      <c r="J120" s="2279"/>
    </row>
    <row r="121" spans="1:10" ht="27" customHeight="1">
      <c r="A121" s="2226"/>
      <c r="B121" s="2239"/>
      <c r="C121" s="2251"/>
      <c r="D121" s="2281" t="s">
        <v>2861</v>
      </c>
      <c r="E121" s="2251"/>
      <c r="F121" s="2282">
        <v>90</v>
      </c>
      <c r="G121" s="2254"/>
      <c r="H121" s="2254"/>
      <c r="I121" s="2254"/>
      <c r="J121" s="2283">
        <f>F121</f>
        <v>90</v>
      </c>
    </row>
    <row r="122" spans="1:10" ht="27" customHeight="1">
      <c r="A122" s="2226"/>
      <c r="B122" s="2239"/>
      <c r="C122" s="2251"/>
      <c r="D122" s="2281" t="s">
        <v>2862</v>
      </c>
      <c r="E122" s="2251"/>
      <c r="F122" s="2282">
        <v>6</v>
      </c>
      <c r="G122" s="2254"/>
      <c r="H122" s="2254"/>
      <c r="I122" s="2254"/>
      <c r="J122" s="2283">
        <f>F122</f>
        <v>6</v>
      </c>
    </row>
    <row r="123" spans="1:10" ht="27" customHeight="1">
      <c r="A123" s="2226"/>
      <c r="B123" s="2239"/>
      <c r="C123" s="2251"/>
      <c r="D123" s="2281"/>
      <c r="E123" s="2251" t="s">
        <v>708</v>
      </c>
      <c r="F123" s="2282"/>
      <c r="G123" s="2254"/>
      <c r="H123" s="2254"/>
      <c r="I123" s="2254"/>
      <c r="J123" s="2255">
        <f>SUM(J121:J122)</f>
        <v>96</v>
      </c>
    </row>
    <row r="124" spans="1:10" ht="148.5" customHeight="1">
      <c r="A124" s="2226">
        <v>13</v>
      </c>
      <c r="B124" s="2239"/>
      <c r="C124" s="2251"/>
      <c r="D124" s="3944" t="s">
        <v>2863</v>
      </c>
      <c r="E124" s="3944"/>
      <c r="F124" s="3944"/>
      <c r="G124" s="2254"/>
      <c r="H124" s="2254"/>
      <c r="I124" s="2254"/>
      <c r="J124" s="2279"/>
    </row>
    <row r="125" spans="1:10" ht="27" customHeight="1">
      <c r="A125" s="2226"/>
      <c r="B125" s="2239"/>
      <c r="C125" s="2251"/>
      <c r="D125" s="2281"/>
      <c r="E125" s="2251" t="s">
        <v>1003</v>
      </c>
      <c r="F125" s="2282">
        <v>17</v>
      </c>
      <c r="G125" s="2254">
        <v>7.5</v>
      </c>
      <c r="H125" s="2254"/>
      <c r="I125" s="2254"/>
      <c r="J125" s="2255">
        <f>F125*G125</f>
        <v>127.5</v>
      </c>
    </row>
    <row r="126" spans="1:10" ht="192.75" customHeight="1">
      <c r="A126" s="2226">
        <v>14</v>
      </c>
      <c r="B126" s="2239"/>
      <c r="C126" s="2251"/>
      <c r="D126" s="3944" t="s">
        <v>2864</v>
      </c>
      <c r="E126" s="3944"/>
      <c r="F126" s="3944"/>
      <c r="G126" s="2254"/>
      <c r="H126" s="2254"/>
      <c r="I126" s="2254"/>
      <c r="J126" s="2279"/>
    </row>
    <row r="127" spans="1:10" ht="27" customHeight="1">
      <c r="A127" s="2226"/>
      <c r="B127" s="2239"/>
      <c r="C127" s="2251"/>
      <c r="D127" s="2281" t="s">
        <v>2865</v>
      </c>
      <c r="E127" s="2251" t="s">
        <v>1003</v>
      </c>
      <c r="F127" s="2282">
        <v>49</v>
      </c>
      <c r="G127" s="2254">
        <v>1.8</v>
      </c>
      <c r="H127" s="2254"/>
      <c r="I127" s="2254"/>
      <c r="J127" s="2255">
        <f>F127*G127</f>
        <v>88.2</v>
      </c>
    </row>
    <row r="128" spans="1:10" ht="57" customHeight="1">
      <c r="A128" s="2226">
        <v>15</v>
      </c>
      <c r="B128" s="2239"/>
      <c r="C128" s="2251"/>
      <c r="D128" s="3944" t="str">
        <f>[269]Bridge_data!$B$1093</f>
        <v>Cost and supply of Mastic pads 20mm thick ilncluding cost and  conveyance of mastic pads to the required soze amd fixing in position etc., complete as directed by the Engineer-in-charge.</v>
      </c>
      <c r="E128" s="3944"/>
      <c r="F128" s="3944"/>
      <c r="G128" s="2254"/>
      <c r="H128" s="2254"/>
      <c r="I128" s="2254"/>
      <c r="J128" s="2279"/>
    </row>
    <row r="129" spans="1:10" ht="27" customHeight="1">
      <c r="A129" s="2226"/>
      <c r="B129" s="2239"/>
      <c r="C129" s="2251"/>
      <c r="D129" s="2281" t="s">
        <v>2866</v>
      </c>
      <c r="E129" s="2251" t="s">
        <v>353</v>
      </c>
      <c r="F129" s="2282">
        <v>15</v>
      </c>
      <c r="G129" s="2254">
        <v>8.4499999999999993</v>
      </c>
      <c r="H129" s="2254"/>
      <c r="I129" s="2254">
        <f>0.215</f>
        <v>0.215</v>
      </c>
      <c r="J129" s="2255">
        <f>ROUND(F129*G129*I129,2)</f>
        <v>27.25</v>
      </c>
    </row>
    <row r="130" spans="1:10" ht="27" customHeight="1">
      <c r="A130" s="2226"/>
      <c r="B130" s="2239"/>
      <c r="C130" s="2251"/>
      <c r="D130" s="2281" t="s">
        <v>2867</v>
      </c>
      <c r="E130" s="2251" t="s">
        <v>353</v>
      </c>
      <c r="F130" s="2282">
        <v>30</v>
      </c>
      <c r="G130" s="2254">
        <v>0.6</v>
      </c>
      <c r="H130" s="2254"/>
      <c r="I130" s="2254">
        <v>7.5</v>
      </c>
      <c r="J130" s="2255">
        <f>ROUND(F130*G130*I130,2)</f>
        <v>135</v>
      </c>
    </row>
    <row r="131" spans="1:10">
      <c r="A131" s="2284"/>
      <c r="B131" s="2285"/>
      <c r="C131" s="2285"/>
      <c r="D131" s="2286"/>
      <c r="E131" s="2285"/>
      <c r="F131" s="2286"/>
      <c r="G131" s="2286"/>
      <c r="H131" s="2286"/>
      <c r="I131" s="2286"/>
      <c r="J131" s="2287">
        <f>SUM(J129:J130)</f>
        <v>162.25</v>
      </c>
    </row>
    <row r="132" spans="1:10" ht="90.75" customHeight="1">
      <c r="A132" s="2226">
        <v>16</v>
      </c>
      <c r="B132" s="2239"/>
      <c r="C132" s="2251"/>
      <c r="D132" s="3944" t="s">
        <v>2239</v>
      </c>
      <c r="E132" s="3944"/>
      <c r="F132" s="3944"/>
      <c r="G132" s="2254"/>
      <c r="H132" s="2254"/>
      <c r="I132" s="2254"/>
      <c r="J132" s="2279"/>
    </row>
    <row r="133" spans="1:10" ht="27" customHeight="1">
      <c r="A133" s="2226"/>
      <c r="B133" s="2239"/>
      <c r="C133" s="2251"/>
      <c r="D133" s="2281" t="s">
        <v>2868</v>
      </c>
      <c r="E133" s="2251" t="s">
        <v>353</v>
      </c>
      <c r="F133" s="2282" t="s">
        <v>2869</v>
      </c>
      <c r="G133" s="2254">
        <v>1</v>
      </c>
      <c r="H133" s="2254">
        <v>1.08</v>
      </c>
      <c r="I133" s="2254"/>
      <c r="J133" s="2255">
        <f>ROUND(16*20*G133*H133,2)</f>
        <v>345.6</v>
      </c>
    </row>
    <row r="134" spans="1:10" ht="27" customHeight="1">
      <c r="A134" s="2226"/>
      <c r="B134" s="2239"/>
      <c r="C134" s="2251"/>
      <c r="D134" s="2281" t="s">
        <v>2870</v>
      </c>
      <c r="E134" s="2251" t="s">
        <v>353</v>
      </c>
      <c r="F134" s="2282" t="s">
        <v>2871</v>
      </c>
      <c r="G134" s="2254">
        <v>1.65</v>
      </c>
      <c r="H134" s="2254">
        <v>0.6</v>
      </c>
      <c r="I134" s="2254"/>
      <c r="J134" s="2255">
        <f>ROUND(16*18*G134*H134,2)</f>
        <v>285.12</v>
      </c>
    </row>
    <row r="135" spans="1:10" ht="27" customHeight="1">
      <c r="A135" s="2226"/>
      <c r="B135" s="2239"/>
      <c r="C135" s="2251"/>
      <c r="D135" s="2281" t="s">
        <v>2872</v>
      </c>
      <c r="E135" s="2251" t="s">
        <v>353</v>
      </c>
      <c r="F135" s="2282">
        <v>2</v>
      </c>
      <c r="G135" s="2254">
        <v>120</v>
      </c>
      <c r="H135" s="2254">
        <v>1.5</v>
      </c>
      <c r="I135" s="2254"/>
      <c r="J135" s="2255">
        <f>ROUND(F135*G135,2)</f>
        <v>240</v>
      </c>
    </row>
    <row r="136" spans="1:10" ht="27" customHeight="1">
      <c r="A136" s="2288"/>
      <c r="B136" s="2289"/>
      <c r="C136" s="2290"/>
      <c r="D136" s="2291"/>
      <c r="E136" s="2251" t="s">
        <v>353</v>
      </c>
      <c r="F136" s="2282">
        <v>2</v>
      </c>
      <c r="G136" s="2254">
        <v>107</v>
      </c>
      <c r="H136" s="2254">
        <v>1.5</v>
      </c>
      <c r="I136" s="2254"/>
      <c r="J136" s="2255">
        <f>ROUND(F136*G136,2)</f>
        <v>214</v>
      </c>
    </row>
    <row r="137" spans="1:10" ht="21.75" customHeight="1">
      <c r="A137" s="2284"/>
      <c r="B137" s="2285"/>
      <c r="C137" s="2285"/>
      <c r="D137" s="2286"/>
      <c r="E137" s="2285"/>
      <c r="F137" s="2286"/>
      <c r="G137" s="2286"/>
      <c r="H137" s="2286"/>
      <c r="I137" s="2286"/>
      <c r="J137" s="2287">
        <f>SUM(J133:J136)</f>
        <v>1084.72</v>
      </c>
    </row>
    <row r="138" spans="1:10" ht="241.2" customHeight="1">
      <c r="A138" s="2226">
        <v>17</v>
      </c>
      <c r="B138" s="2239" t="s">
        <v>2873</v>
      </c>
      <c r="C138" s="2251"/>
      <c r="D138" s="3944" t="s">
        <v>2874</v>
      </c>
      <c r="E138" s="3944"/>
      <c r="F138" s="3944"/>
      <c r="G138" s="2254"/>
      <c r="H138" s="2254"/>
      <c r="I138" s="2254"/>
      <c r="J138" s="2279"/>
    </row>
    <row r="139" spans="1:10" ht="32.25" customHeight="1">
      <c r="A139" s="2226"/>
      <c r="B139" s="2239"/>
      <c r="C139" s="2251"/>
      <c r="D139" s="2281"/>
      <c r="E139" s="2251" t="s">
        <v>2875</v>
      </c>
      <c r="F139" s="2254"/>
      <c r="G139" s="2254">
        <v>177</v>
      </c>
      <c r="H139" s="2254"/>
      <c r="I139" s="2254"/>
      <c r="J139" s="2255">
        <v>177</v>
      </c>
    </row>
    <row r="140" spans="1:10" ht="202.5" customHeight="1">
      <c r="A140" s="2226">
        <v>18</v>
      </c>
      <c r="B140" s="2239" t="s">
        <v>2873</v>
      </c>
      <c r="C140" s="2251"/>
      <c r="D140" s="3944" t="s">
        <v>2876</v>
      </c>
      <c r="E140" s="3944"/>
      <c r="F140" s="3944"/>
      <c r="G140" s="2254"/>
      <c r="H140" s="2254"/>
      <c r="I140" s="2254"/>
      <c r="J140" s="2279"/>
    </row>
    <row r="141" spans="1:10" ht="23.25" customHeight="1">
      <c r="A141" s="2226"/>
      <c r="B141" s="2239"/>
      <c r="C141" s="2251"/>
      <c r="D141" s="2281"/>
      <c r="E141" s="2251" t="s">
        <v>2875</v>
      </c>
      <c r="F141" s="2254"/>
      <c r="G141" s="2254">
        <v>207.5</v>
      </c>
      <c r="H141" s="2254"/>
      <c r="I141" s="2254"/>
      <c r="J141" s="2255">
        <f>G141</f>
        <v>207.5</v>
      </c>
    </row>
    <row r="142" spans="1:10" ht="222.6" customHeight="1">
      <c r="A142" s="2226">
        <v>19</v>
      </c>
      <c r="B142" s="2239" t="s">
        <v>2873</v>
      </c>
      <c r="C142" s="2251"/>
      <c r="D142" s="3944" t="s">
        <v>2877</v>
      </c>
      <c r="E142" s="3944"/>
      <c r="F142" s="3944"/>
      <c r="G142" s="2254"/>
      <c r="H142" s="2254"/>
      <c r="I142" s="2254"/>
      <c r="J142" s="2279"/>
    </row>
    <row r="143" spans="1:10">
      <c r="A143" s="2226"/>
      <c r="B143" s="2239"/>
      <c r="C143" s="2251"/>
      <c r="D143" s="2281"/>
      <c r="E143" s="2251" t="s">
        <v>2875</v>
      </c>
      <c r="F143" s="2254"/>
      <c r="G143" s="2254">
        <v>54.32</v>
      </c>
      <c r="H143" s="2254"/>
      <c r="I143" s="2254"/>
      <c r="J143" s="2255">
        <f>G143</f>
        <v>54.32</v>
      </c>
    </row>
    <row r="147" spans="1:8">
      <c r="A147" s="2292"/>
      <c r="B147" s="2214"/>
      <c r="D147" s="2218" t="str">
        <f>SPR!B55</f>
        <v>Assistant Engineer,</v>
      </c>
      <c r="H147" s="2221" t="str">
        <f>SPR!F55</f>
        <v>Dy Executive Engineer</v>
      </c>
    </row>
    <row r="148" spans="1:8">
      <c r="A148" s="2292"/>
      <c r="B148" s="2214"/>
      <c r="D148" s="2218" t="str">
        <f>SPR!B56</f>
        <v>PRSD, Maddur</v>
      </c>
      <c r="H148" s="2221" t="str">
        <f>SPR!F56</f>
        <v>PRSD, Maddur</v>
      </c>
    </row>
    <row r="149" spans="1:8">
      <c r="A149" s="2292"/>
      <c r="B149" s="2214"/>
      <c r="D149" s="2218"/>
      <c r="H149" s="2221"/>
    </row>
    <row r="150" spans="1:8">
      <c r="A150" s="2292"/>
      <c r="B150" s="2214"/>
      <c r="D150" s="2218"/>
      <c r="H150" s="2221"/>
    </row>
    <row r="151" spans="1:8">
      <c r="A151" s="2292"/>
      <c r="B151" s="2214"/>
      <c r="D151" s="2218"/>
      <c r="H151" s="2221"/>
    </row>
    <row r="152" spans="1:8">
      <c r="A152" s="2292"/>
      <c r="B152" s="2214"/>
      <c r="D152" s="2218"/>
      <c r="H152" s="2221"/>
    </row>
    <row r="153" spans="1:8">
      <c r="A153" s="2292"/>
      <c r="B153" s="2214"/>
      <c r="D153" s="2218" t="str">
        <f>GA!B36</f>
        <v>District Panchayat Raj Engineer,</v>
      </c>
      <c r="H153" s="2221" t="str">
        <f>GA!C36</f>
        <v>Superintending Engineer</v>
      </c>
    </row>
    <row r="154" spans="1:8">
      <c r="A154" s="2292"/>
      <c r="B154" s="2214"/>
      <c r="D154" s="2218" t="str">
        <f>GA!B37</f>
        <v>PIU, Narayanpet</v>
      </c>
      <c r="H154" s="2221" t="str">
        <f>GA!C37</f>
        <v>PR, Circle, Vikarabad</v>
      </c>
    </row>
  </sheetData>
  <mergeCells count="23">
    <mergeCell ref="D132:F132"/>
    <mergeCell ref="D138:F138"/>
    <mergeCell ref="D140:F140"/>
    <mergeCell ref="D142:F142"/>
    <mergeCell ref="A2:D2"/>
    <mergeCell ref="E2:J2"/>
    <mergeCell ref="D114:F114"/>
    <mergeCell ref="D118:F118"/>
    <mergeCell ref="D120:F120"/>
    <mergeCell ref="D124:F124"/>
    <mergeCell ref="D126:F126"/>
    <mergeCell ref="D128:F128"/>
    <mergeCell ref="D52:F52"/>
    <mergeCell ref="D62:F62"/>
    <mergeCell ref="D104:F104"/>
    <mergeCell ref="D106:F106"/>
    <mergeCell ref="D109:F109"/>
    <mergeCell ref="D112:F112"/>
    <mergeCell ref="A1:J1"/>
    <mergeCell ref="B3:C3"/>
    <mergeCell ref="D5:F5"/>
    <mergeCell ref="D26:F26"/>
    <mergeCell ref="D46:F46"/>
  </mergeCells>
  <printOptions horizontalCentered="1"/>
  <pageMargins left="0.6" right="0.45" top="0.5" bottom="0.5" header="0.3" footer="0.3"/>
  <pageSetup paperSize="9" scale="83" orientation="portrait" r:id="rId1"/>
  <rowBreaks count="3" manualBreakCount="3">
    <brk id="24" max="9" man="1"/>
    <brk id="135" max="9" man="1"/>
    <brk id="154" max="9"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tabColor theme="5" tint="-0.249977111117893"/>
  </sheetPr>
  <dimension ref="A1:AB118"/>
  <sheetViews>
    <sheetView showGridLines="0" topLeftCell="A96" zoomScale="90" zoomScaleNormal="90" workbookViewId="0">
      <selection activeCell="J101" sqref="J101"/>
    </sheetView>
  </sheetViews>
  <sheetFormatPr defaultColWidth="9.109375" defaultRowHeight="13.8"/>
  <cols>
    <col min="1" max="1" width="5" style="2484" customWidth="1"/>
    <col min="2" max="2" width="20.88671875" style="2388" customWidth="1"/>
    <col min="3" max="4" width="2.5546875" style="2396" customWidth="1"/>
    <col min="5" max="5" width="4.6640625" style="2396" customWidth="1"/>
    <col min="6" max="6" width="7.6640625" style="2396" customWidth="1"/>
    <col min="7" max="7" width="10.77734375" style="2396" bestFit="1" customWidth="1"/>
    <col min="8" max="8" width="12.77734375" style="2396" customWidth="1"/>
    <col min="9" max="9" width="9.44140625" style="2396" customWidth="1"/>
    <col min="10" max="10" width="10" style="2485" customWidth="1"/>
    <col min="11" max="11" width="8" style="2396" customWidth="1"/>
    <col min="12" max="12" width="14.109375" style="2390" bestFit="1" customWidth="1"/>
    <col min="13" max="13" width="9.109375" style="2388" hidden="1" customWidth="1"/>
    <col min="14" max="14" width="13.88671875" style="2388" hidden="1" customWidth="1"/>
    <col min="15" max="15" width="11" style="2388" hidden="1" customWidth="1"/>
    <col min="16" max="16" width="6.33203125" style="2388" hidden="1" customWidth="1"/>
    <col min="17" max="25" width="9.109375" style="2388" hidden="1" customWidth="1"/>
    <col min="26" max="16384" width="9.109375" style="2388"/>
  </cols>
  <sheetData>
    <row r="1" spans="1:15" ht="18" customHeight="1">
      <c r="A1" s="3951" t="s">
        <v>2694</v>
      </c>
      <c r="B1" s="3952"/>
      <c r="C1" s="3952"/>
      <c r="D1" s="3952"/>
      <c r="E1" s="3952"/>
      <c r="F1" s="3952"/>
      <c r="G1" s="3952"/>
      <c r="H1" s="3952"/>
      <c r="I1" s="3952"/>
      <c r="J1" s="3952"/>
      <c r="K1" s="3952"/>
      <c r="L1" s="3952"/>
    </row>
    <row r="2" spans="1:15" ht="28.2" customHeight="1">
      <c r="A2" s="3953" t="s">
        <v>676</v>
      </c>
      <c r="B2" s="3953"/>
      <c r="C2" s="2389"/>
      <c r="D2" s="2389"/>
      <c r="E2" s="2389"/>
      <c r="F2" s="3954" t="str">
        <f>'Input Data'!E1</f>
        <v>C/o HLB on R/F Amlikunta to Gundumal of Gundumal Mandal of Narayanept District.</v>
      </c>
      <c r="G2" s="3954"/>
      <c r="H2" s="3954"/>
      <c r="I2" s="3954"/>
      <c r="J2" s="3954"/>
      <c r="K2" s="3954"/>
      <c r="L2" s="3954"/>
    </row>
    <row r="3" spans="1:15" s="2390" customFormat="1">
      <c r="A3" s="3955"/>
      <c r="B3" s="3955"/>
      <c r="C3" s="3955"/>
      <c r="D3" s="3955"/>
      <c r="E3" s="3955"/>
      <c r="F3" s="3955"/>
      <c r="G3" s="3955"/>
      <c r="H3" s="3955"/>
      <c r="I3" s="3955"/>
      <c r="J3" s="3955"/>
      <c r="K3" s="3955"/>
      <c r="L3" s="3955"/>
    </row>
    <row r="4" spans="1:15" s="2396" customFormat="1" ht="33" customHeight="1">
      <c r="A4" s="2391" t="s">
        <v>1285</v>
      </c>
      <c r="B4" s="2392" t="s">
        <v>904</v>
      </c>
      <c r="C4" s="3956" t="s">
        <v>905</v>
      </c>
      <c r="D4" s="3956"/>
      <c r="E4" s="3956"/>
      <c r="F4" s="2392" t="s">
        <v>180</v>
      </c>
      <c r="G4" s="2392" t="s">
        <v>732</v>
      </c>
      <c r="H4" s="2392" t="s">
        <v>906</v>
      </c>
      <c r="I4" s="2393" t="s">
        <v>3</v>
      </c>
      <c r="J4" s="2394" t="s">
        <v>5</v>
      </c>
      <c r="K4" s="2395" t="s">
        <v>579</v>
      </c>
      <c r="L4" s="2392" t="s">
        <v>7</v>
      </c>
    </row>
    <row r="5" spans="1:15" s="2390" customFormat="1">
      <c r="A5" s="2397">
        <v>1</v>
      </c>
      <c r="B5" s="2395">
        <v>2</v>
      </c>
      <c r="C5" s="3957">
        <v>3</v>
      </c>
      <c r="D5" s="3957"/>
      <c r="E5" s="3957"/>
      <c r="F5" s="2395">
        <v>4</v>
      </c>
      <c r="G5" s="2395">
        <v>5</v>
      </c>
      <c r="H5" s="2395">
        <v>6</v>
      </c>
      <c r="I5" s="2398">
        <v>7</v>
      </c>
      <c r="J5" s="2394">
        <v>8</v>
      </c>
      <c r="K5" s="2395">
        <v>9</v>
      </c>
      <c r="L5" s="2395">
        <v>10</v>
      </c>
    </row>
    <row r="6" spans="1:15" ht="92.4" customHeight="1">
      <c r="A6" s="2399">
        <v>1</v>
      </c>
      <c r="B6" s="3950"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950"/>
      <c r="D6" s="3950"/>
      <c r="E6" s="3950"/>
      <c r="F6" s="3950"/>
      <c r="G6" s="3950"/>
      <c r="H6" s="3950"/>
      <c r="I6" s="3950"/>
      <c r="J6" s="3950"/>
      <c r="K6" s="3950"/>
      <c r="L6" s="2400"/>
      <c r="O6" s="2401"/>
    </row>
    <row r="7" spans="1:15" ht="20.100000000000001" customHeight="1">
      <c r="A7" s="2402"/>
      <c r="B7" s="2403" t="s">
        <v>1380</v>
      </c>
      <c r="C7" s="2404">
        <v>1</v>
      </c>
      <c r="D7" s="2404" t="s">
        <v>907</v>
      </c>
      <c r="E7" s="2404">
        <f>'Input Data'!M13</f>
        <v>7</v>
      </c>
      <c r="F7" s="3085">
        <v>9</v>
      </c>
      <c r="G7" s="3085">
        <v>3.2</v>
      </c>
      <c r="H7" s="3085">
        <f>98.415-94.7+0.15</f>
        <v>3.8650000000000033</v>
      </c>
      <c r="I7" s="3085">
        <f t="shared" ref="I7:I8" si="0">ROUND(C7*E7*F7*G7*H7, 2)</f>
        <v>779.18</v>
      </c>
      <c r="J7" s="2406"/>
      <c r="K7" s="2407"/>
      <c r="L7" s="2408"/>
      <c r="O7" s="2401"/>
    </row>
    <row r="8" spans="1:15" ht="20.100000000000001" customHeight="1">
      <c r="A8" s="2402"/>
      <c r="B8" s="2403" t="s">
        <v>2891</v>
      </c>
      <c r="C8" s="2404">
        <v>1</v>
      </c>
      <c r="D8" s="2404" t="s">
        <v>907</v>
      </c>
      <c r="E8" s="2404">
        <v>2</v>
      </c>
      <c r="F8" s="3085">
        <f>F7</f>
        <v>9</v>
      </c>
      <c r="G8" s="3085">
        <v>3.2</v>
      </c>
      <c r="H8" s="3085">
        <f>97.8-94.7+0.15</f>
        <v>3.2499999999999942</v>
      </c>
      <c r="I8" s="3085">
        <f t="shared" si="0"/>
        <v>187.2</v>
      </c>
      <c r="J8" s="2406"/>
      <c r="K8" s="2407"/>
      <c r="L8" s="2408"/>
      <c r="O8" s="2401"/>
    </row>
    <row r="9" spans="1:15" ht="20.100000000000001" customHeight="1">
      <c r="A9" s="2402"/>
      <c r="B9" s="2409"/>
      <c r="C9" s="2407"/>
      <c r="D9" s="2407"/>
      <c r="E9" s="2407"/>
      <c r="F9" s="2407"/>
      <c r="G9" s="2402"/>
      <c r="H9" s="2402"/>
      <c r="I9" s="2410">
        <f>SUM(I7:I8)</f>
        <v>966.37999999999988</v>
      </c>
      <c r="J9" s="2411">
        <f>'Pipe data'!G20</f>
        <v>136.06920584583335</v>
      </c>
      <c r="K9" s="2407">
        <v>1</v>
      </c>
      <c r="L9" s="2412">
        <f>ROUND(I9*J9,0)</f>
        <v>131495</v>
      </c>
      <c r="O9" s="2401"/>
    </row>
    <row r="10" spans="1:15" ht="20.100000000000001" customHeight="1">
      <c r="A10" s="2402"/>
      <c r="B10" s="2409"/>
      <c r="C10" s="2407"/>
      <c r="D10" s="2407"/>
      <c r="E10" s="2407"/>
      <c r="F10" s="2407"/>
      <c r="G10" s="2402"/>
      <c r="H10" s="2402"/>
      <c r="I10" s="2413" t="s">
        <v>31</v>
      </c>
      <c r="J10" s="2411"/>
      <c r="K10" s="2407" t="s">
        <v>31</v>
      </c>
      <c r="L10" s="2412"/>
    </row>
    <row r="11" spans="1:15" ht="45.6" hidden="1" customHeight="1">
      <c r="A11" s="2399">
        <v>2</v>
      </c>
      <c r="B11" s="3949" t="str">
        <f>'Pipe data'!B55:G55</f>
        <v>Sand  Filling (Natural Sand 50% + Manufactured sand 50%) in foundation trenches as per drawing and technical specification Clause 304 of MORTH including overhead charges &amp; Contractors profit etc complete.</v>
      </c>
      <c r="C11" s="3950"/>
      <c r="D11" s="3950"/>
      <c r="E11" s="3950"/>
      <c r="F11" s="3950"/>
      <c r="G11" s="3950"/>
      <c r="H11" s="3950"/>
      <c r="I11" s="3950"/>
      <c r="J11" s="3950"/>
      <c r="K11" s="3950"/>
      <c r="L11" s="2414"/>
      <c r="N11" s="2401"/>
    </row>
    <row r="12" spans="1:15" s="2422" customFormat="1" ht="20.399999999999999" hidden="1" customHeight="1">
      <c r="A12" s="2415"/>
      <c r="B12" s="2416" t="s">
        <v>1303</v>
      </c>
      <c r="C12" s="2417">
        <v>1</v>
      </c>
      <c r="D12" s="2417" t="s">
        <v>907</v>
      </c>
      <c r="E12" s="2417">
        <v>1</v>
      </c>
      <c r="F12" s="2418">
        <v>0</v>
      </c>
      <c r="G12" s="2418">
        <v>3</v>
      </c>
      <c r="H12" s="2418">
        <v>0.15</v>
      </c>
      <c r="I12" s="2418">
        <f>ROUND(C12*E12*F12*G12*H12,2)</f>
        <v>0</v>
      </c>
      <c r="J12" s="2419"/>
      <c r="K12" s="2420"/>
      <c r="L12" s="2421"/>
      <c r="O12" s="2423"/>
    </row>
    <row r="13" spans="1:15" ht="15" hidden="1" customHeight="1">
      <c r="A13" s="2399"/>
      <c r="B13" s="2424"/>
      <c r="C13" s="2425"/>
      <c r="D13" s="2425"/>
      <c r="E13" s="2425"/>
      <c r="F13" s="2425"/>
      <c r="G13" s="2402"/>
      <c r="H13" s="2402"/>
      <c r="I13" s="2413">
        <f>SUM(I12:I12)</f>
        <v>0</v>
      </c>
      <c r="J13" s="2411">
        <f>'Pipe data'!G73</f>
        <v>1920.41</v>
      </c>
      <c r="K13" s="2407">
        <v>1</v>
      </c>
      <c r="L13" s="2412">
        <f>ROUND(I13*J13,0)</f>
        <v>0</v>
      </c>
    </row>
    <row r="14" spans="1:15" ht="15" hidden="1" customHeight="1">
      <c r="A14" s="2399"/>
      <c r="B14" s="2424"/>
      <c r="C14" s="2425"/>
      <c r="D14" s="2425"/>
      <c r="E14" s="2425"/>
      <c r="F14" s="2425"/>
      <c r="G14" s="2402"/>
      <c r="H14" s="2402"/>
      <c r="I14" s="2413" t="s">
        <v>31</v>
      </c>
      <c r="J14" s="2411"/>
      <c r="K14" s="2407" t="s">
        <v>31</v>
      </c>
      <c r="L14" s="2412"/>
    </row>
    <row r="15" spans="1:15" ht="91.2" customHeight="1">
      <c r="A15" s="2399">
        <v>2</v>
      </c>
      <c r="B15" s="3950"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950"/>
      <c r="D15" s="3950"/>
      <c r="E15" s="3950"/>
      <c r="F15" s="3950"/>
      <c r="G15" s="3950"/>
      <c r="H15" s="3950"/>
      <c r="I15" s="3950"/>
      <c r="J15" s="3950"/>
      <c r="K15" s="3950"/>
      <c r="L15" s="2414"/>
    </row>
    <row r="16" spans="1:15" ht="20.100000000000001" customHeight="1">
      <c r="A16" s="2402"/>
      <c r="B16" s="2403" t="str">
        <f>B7</f>
        <v>Piers</v>
      </c>
      <c r="C16" s="2404">
        <v>1</v>
      </c>
      <c r="D16" s="2404" t="s">
        <v>907</v>
      </c>
      <c r="E16" s="2404">
        <f>E7</f>
        <v>7</v>
      </c>
      <c r="F16" s="2405">
        <f>F7</f>
        <v>9</v>
      </c>
      <c r="G16" s="2405">
        <f>9.1+0.1+0.1</f>
        <v>9.2999999999999989</v>
      </c>
      <c r="H16" s="2405">
        <v>0.3</v>
      </c>
      <c r="I16" s="2405">
        <f>ROUND(PRODUCT(C16:H16),2)</f>
        <v>175.77</v>
      </c>
      <c r="J16" s="2406"/>
      <c r="K16" s="2407"/>
      <c r="L16" s="2426"/>
    </row>
    <row r="17" spans="1:28" ht="20.100000000000001" customHeight="1">
      <c r="A17" s="2402"/>
      <c r="B17" s="2403" t="str">
        <f>B8</f>
        <v>Abutments</v>
      </c>
      <c r="C17" s="2404">
        <v>1</v>
      </c>
      <c r="D17" s="2404" t="s">
        <v>907</v>
      </c>
      <c r="E17" s="2404">
        <f>E8</f>
        <v>2</v>
      </c>
      <c r="F17" s="2405">
        <f>F8</f>
        <v>9</v>
      </c>
      <c r="G17" s="2405">
        <f>9.1+0.1+0.1</f>
        <v>9.2999999999999989</v>
      </c>
      <c r="H17" s="2405">
        <v>0.3</v>
      </c>
      <c r="I17" s="2405">
        <f>ROUND(PRODUCT(C17:H17),2)</f>
        <v>50.22</v>
      </c>
      <c r="J17" s="2406"/>
      <c r="K17" s="2407"/>
      <c r="L17" s="2426"/>
    </row>
    <row r="18" spans="1:28" ht="20.100000000000001" customHeight="1">
      <c r="A18" s="2402"/>
      <c r="B18" s="2427"/>
      <c r="C18" s="2428"/>
      <c r="D18" s="2428"/>
      <c r="E18" s="2428"/>
      <c r="F18" s="2429"/>
      <c r="G18" s="2429"/>
      <c r="H18" s="2429"/>
      <c r="I18" s="2410">
        <f>SUM(I16:I16)</f>
        <v>175.77</v>
      </c>
      <c r="J18" s="2411">
        <f>'Bridge Data'!J31</f>
        <v>6547.95</v>
      </c>
      <c r="K18" s="2407">
        <v>1</v>
      </c>
      <c r="L18" s="2412">
        <f>ROUND(I18*J18,0)</f>
        <v>1150933</v>
      </c>
    </row>
    <row r="19" spans="1:28" ht="20.100000000000001" customHeight="1">
      <c r="A19" s="2402"/>
      <c r="B19" s="2409"/>
      <c r="C19" s="2407"/>
      <c r="D19" s="2407"/>
      <c r="E19" s="2407"/>
      <c r="F19" s="2402"/>
      <c r="G19" s="2402"/>
      <c r="H19" s="2402"/>
      <c r="I19" s="2413" t="s">
        <v>31</v>
      </c>
      <c r="J19" s="2411"/>
      <c r="K19" s="2407" t="s">
        <v>31</v>
      </c>
      <c r="L19" s="2412"/>
    </row>
    <row r="20" spans="1:28" ht="119.4" customHeight="1">
      <c r="A20" s="2399">
        <v>3</v>
      </c>
      <c r="B20" s="3949" t="str">
        <f>'Bridge Data'!B95:J95</f>
        <v xml:space="preserve">Vibrated reinforced cement concrete M30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Raft foundation)  </v>
      </c>
      <c r="C20" s="3950"/>
      <c r="D20" s="3950"/>
      <c r="E20" s="3950"/>
      <c r="F20" s="3950"/>
      <c r="G20" s="3950"/>
      <c r="H20" s="3950"/>
      <c r="I20" s="3950"/>
      <c r="J20" s="3950"/>
      <c r="K20" s="3950"/>
      <c r="L20" s="2414"/>
    </row>
    <row r="21" spans="1:28" s="2432" customFormat="1" ht="20.100000000000001" customHeight="1">
      <c r="A21" s="2403"/>
      <c r="B21" s="2228" t="s">
        <v>2956</v>
      </c>
      <c r="C21" s="2404">
        <v>1</v>
      </c>
      <c r="D21" s="2404" t="s">
        <v>907</v>
      </c>
      <c r="E21" s="2229">
        <f>E7</f>
        <v>7</v>
      </c>
      <c r="F21" s="2234">
        <f>F29+4.05</f>
        <v>13.149999999999999</v>
      </c>
      <c r="G21" s="2234">
        <f>G29+0.6+0.6</f>
        <v>5.1999999999999993</v>
      </c>
      <c r="H21" s="2234">
        <v>1.2</v>
      </c>
      <c r="I21" s="2232">
        <f t="shared" ref="I21:I22" si="1">ROUND(E21*F21*G21*H21,2)</f>
        <v>574.39</v>
      </c>
      <c r="J21" s="2430"/>
      <c r="K21" s="2404"/>
      <c r="L21" s="2431"/>
    </row>
    <row r="22" spans="1:28" s="2432" customFormat="1" ht="20.100000000000001" customHeight="1">
      <c r="A22" s="2486"/>
      <c r="B22" s="2228" t="s">
        <v>2957</v>
      </c>
      <c r="C22" s="2404">
        <v>1</v>
      </c>
      <c r="D22" s="2404" t="s">
        <v>907</v>
      </c>
      <c r="E22" s="2229">
        <f>E8</f>
        <v>2</v>
      </c>
      <c r="F22" s="2234">
        <v>12.5</v>
      </c>
      <c r="G22" s="2258">
        <v>8</v>
      </c>
      <c r="H22" s="2234">
        <v>1.5</v>
      </c>
      <c r="I22" s="2232">
        <f t="shared" si="1"/>
        <v>300</v>
      </c>
      <c r="J22" s="2488"/>
      <c r="K22" s="2487"/>
      <c r="L22" s="2489"/>
    </row>
    <row r="23" spans="1:28" ht="20.100000000000001" customHeight="1">
      <c r="A23" s="2402"/>
      <c r="B23" s="2428"/>
      <c r="C23" s="2428"/>
      <c r="D23" s="2428"/>
      <c r="E23" s="2428"/>
      <c r="F23" s="2429"/>
      <c r="G23" s="2429"/>
      <c r="H23" s="2429"/>
      <c r="I23" s="2410">
        <f>SUM(I21:I22)</f>
        <v>874.39</v>
      </c>
      <c r="J23" s="2411">
        <f>'Bridge Data'!J123</f>
        <v>8315.23</v>
      </c>
      <c r="K23" s="2407">
        <v>1</v>
      </c>
      <c r="L23" s="2412">
        <f>ROUND(I23*J23,0)</f>
        <v>7270754</v>
      </c>
    </row>
    <row r="24" spans="1:28" ht="20.100000000000001" customHeight="1">
      <c r="A24" s="2402"/>
      <c r="B24" s="2409"/>
      <c r="C24" s="2407"/>
      <c r="D24" s="2407"/>
      <c r="E24" s="2407"/>
      <c r="F24" s="2402"/>
      <c r="G24" s="2402"/>
      <c r="H24" s="2402"/>
      <c r="I24" s="2413" t="s">
        <v>31</v>
      </c>
      <c r="J24" s="2411"/>
      <c r="K24" s="2407" t="s">
        <v>31</v>
      </c>
      <c r="L24" s="2412"/>
    </row>
    <row r="25" spans="1:28" ht="87" customHeight="1">
      <c r="A25" s="2399">
        <v>4</v>
      </c>
      <c r="B25" s="3949" t="str">
        <f>'Bridge Data'!B64:J64</f>
        <v>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5" s="3950"/>
      <c r="D25" s="3950"/>
      <c r="E25" s="3950"/>
      <c r="F25" s="3950"/>
      <c r="G25" s="3950"/>
      <c r="H25" s="3950"/>
      <c r="I25" s="3950"/>
      <c r="J25" s="3950"/>
      <c r="K25" s="3950"/>
      <c r="L25" s="2412"/>
    </row>
    <row r="26" spans="1:28" ht="27" customHeight="1">
      <c r="A26" s="2402"/>
      <c r="B26" s="2403" t="s">
        <v>2697</v>
      </c>
      <c r="C26" s="2404">
        <v>1</v>
      </c>
      <c r="D26" s="2404" t="s">
        <v>907</v>
      </c>
      <c r="E26" s="2490">
        <f>E22</f>
        <v>2</v>
      </c>
      <c r="F26" s="2405">
        <v>8.4499999999999993</v>
      </c>
      <c r="G26" s="2433">
        <v>4.5999999999999996</v>
      </c>
      <c r="H26" s="2405">
        <v>0.6</v>
      </c>
      <c r="I26" s="2405">
        <f>ROUNDDOWN(PRODUCT(C26*E26*F26*G26*H26),2)</f>
        <v>46.64</v>
      </c>
      <c r="J26" s="2411"/>
      <c r="K26" s="2407"/>
      <c r="L26" s="2412"/>
      <c r="AB26" s="2388">
        <f>12.5-8.45</f>
        <v>4.0500000000000007</v>
      </c>
    </row>
    <row r="27" spans="1:28" ht="27" customHeight="1">
      <c r="A27" s="2402"/>
      <c r="B27" s="2403" t="s">
        <v>2698</v>
      </c>
      <c r="C27" s="2404">
        <v>1</v>
      </c>
      <c r="D27" s="2404" t="s">
        <v>907</v>
      </c>
      <c r="E27" s="2404">
        <v>2</v>
      </c>
      <c r="F27" s="2405">
        <f>F26</f>
        <v>8.4499999999999993</v>
      </c>
      <c r="G27" s="2433">
        <v>4</v>
      </c>
      <c r="H27" s="2405">
        <v>0.45</v>
      </c>
      <c r="I27" s="2405">
        <f t="shared" ref="I27:I31" si="2">ROUNDDOWN(PRODUCT(C27*E27*F27*G27*H27),2)</f>
        <v>30.42</v>
      </c>
      <c r="J27" s="2411"/>
      <c r="K27" s="2407"/>
      <c r="L27" s="2412"/>
    </row>
    <row r="28" spans="1:28" ht="27" customHeight="1">
      <c r="A28" s="2402"/>
      <c r="B28" s="2403" t="s">
        <v>2699</v>
      </c>
      <c r="C28" s="2404">
        <v>1</v>
      </c>
      <c r="D28" s="2404" t="s">
        <v>907</v>
      </c>
      <c r="E28" s="2404">
        <v>2</v>
      </c>
      <c r="F28" s="2405">
        <f>F27</f>
        <v>8.4499999999999993</v>
      </c>
      <c r="G28" s="2433">
        <v>3.6</v>
      </c>
      <c r="H28" s="2405">
        <v>0.3</v>
      </c>
      <c r="I28" s="2405">
        <f t="shared" si="2"/>
        <v>18.25</v>
      </c>
      <c r="J28" s="2411"/>
      <c r="K28" s="2407"/>
      <c r="L28" s="2412"/>
    </row>
    <row r="29" spans="1:28" ht="27" customHeight="1">
      <c r="A29" s="2402"/>
      <c r="B29" s="2403" t="s">
        <v>1381</v>
      </c>
      <c r="C29" s="2404">
        <v>1</v>
      </c>
      <c r="D29" s="2404" t="s">
        <v>907</v>
      </c>
      <c r="E29" s="2490">
        <f>E21</f>
        <v>7</v>
      </c>
      <c r="F29" s="2405">
        <v>9.1</v>
      </c>
      <c r="G29" s="2433">
        <v>4</v>
      </c>
      <c r="H29" s="2405">
        <f>H26</f>
        <v>0.6</v>
      </c>
      <c r="I29" s="2405">
        <f t="shared" si="2"/>
        <v>152.88</v>
      </c>
      <c r="J29" s="2411"/>
      <c r="K29" s="2407"/>
      <c r="L29" s="2412"/>
    </row>
    <row r="30" spans="1:28" ht="27" customHeight="1">
      <c r="A30" s="2402"/>
      <c r="B30" s="2403" t="s">
        <v>2698</v>
      </c>
      <c r="C30" s="2404">
        <v>1</v>
      </c>
      <c r="D30" s="2404" t="s">
        <v>907</v>
      </c>
      <c r="E30" s="2490">
        <f>E29</f>
        <v>7</v>
      </c>
      <c r="F30" s="2405">
        <v>9.1</v>
      </c>
      <c r="G30" s="2433">
        <v>3.4</v>
      </c>
      <c r="H30" s="2405">
        <f>H27</f>
        <v>0.45</v>
      </c>
      <c r="I30" s="2405">
        <f t="shared" si="2"/>
        <v>97.46</v>
      </c>
      <c r="J30" s="2411"/>
      <c r="K30" s="2407"/>
      <c r="L30" s="2412"/>
    </row>
    <row r="31" spans="1:28" ht="27" customHeight="1">
      <c r="A31" s="2402"/>
      <c r="B31" s="2403" t="s">
        <v>2699</v>
      </c>
      <c r="C31" s="2404">
        <v>1</v>
      </c>
      <c r="D31" s="2404" t="s">
        <v>907</v>
      </c>
      <c r="E31" s="2490">
        <f>E30</f>
        <v>7</v>
      </c>
      <c r="F31" s="2405">
        <v>9.1</v>
      </c>
      <c r="G31" s="2433">
        <v>2.8</v>
      </c>
      <c r="H31" s="2405">
        <f>H28</f>
        <v>0.3</v>
      </c>
      <c r="I31" s="2405">
        <f t="shared" si="2"/>
        <v>53.5</v>
      </c>
      <c r="J31" s="2411"/>
      <c r="K31" s="2407"/>
      <c r="L31" s="2412"/>
    </row>
    <row r="32" spans="1:28" ht="20.100000000000001" customHeight="1">
      <c r="A32" s="2402"/>
      <c r="B32" s="2434"/>
      <c r="C32" s="2428"/>
      <c r="D32" s="2428"/>
      <c r="E32" s="2428"/>
      <c r="F32" s="2429"/>
      <c r="G32" s="2429"/>
      <c r="H32" s="2429"/>
      <c r="I32" s="2410">
        <f>SUM(I26:I31)</f>
        <v>399.15</v>
      </c>
      <c r="J32" s="2411">
        <f>'Bridge Data'!J93</f>
        <v>7841.16</v>
      </c>
      <c r="K32" s="2407">
        <v>1</v>
      </c>
      <c r="L32" s="2412">
        <f>ROUND(I32*J32,0)</f>
        <v>3129799</v>
      </c>
    </row>
    <row r="33" spans="1:12" ht="20.100000000000001" customHeight="1">
      <c r="A33" s="2402"/>
      <c r="B33" s="2409"/>
      <c r="C33" s="2407"/>
      <c r="D33" s="2407"/>
      <c r="E33" s="2407"/>
      <c r="F33" s="2402"/>
      <c r="G33" s="2402"/>
      <c r="H33" s="2402"/>
      <c r="I33" s="2413" t="s">
        <v>31</v>
      </c>
      <c r="J33" s="2411"/>
      <c r="K33" s="2407" t="s">
        <v>31</v>
      </c>
      <c r="L33" s="2412"/>
    </row>
    <row r="34" spans="1:12" ht="27.6" customHeight="1">
      <c r="A34" s="2399"/>
      <c r="B34" s="2424"/>
      <c r="C34" s="2425"/>
      <c r="D34" s="2425"/>
      <c r="E34" s="2425"/>
      <c r="F34" s="2402"/>
      <c r="G34" s="2402"/>
      <c r="H34" s="2402"/>
      <c r="I34" s="2413"/>
      <c r="J34" s="2411"/>
      <c r="K34" s="2407"/>
      <c r="L34" s="2412"/>
    </row>
    <row r="35" spans="1:12" ht="91.8" customHeight="1">
      <c r="A35" s="2399">
        <v>5</v>
      </c>
      <c r="B35" s="3949" t="str">
        <f>'Bridge Data'!B208:J208</f>
        <v>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5" s="3950"/>
      <c r="D35" s="3950"/>
      <c r="E35" s="3950"/>
      <c r="F35" s="3950"/>
      <c r="G35" s="3950"/>
      <c r="H35" s="3950"/>
      <c r="I35" s="3950"/>
      <c r="J35" s="3950"/>
      <c r="K35" s="3950"/>
      <c r="L35" s="2412"/>
    </row>
    <row r="36" spans="1:12" ht="35.1" customHeight="1">
      <c r="A36" s="2402"/>
      <c r="B36" s="2403" t="s">
        <v>1315</v>
      </c>
      <c r="C36" s="2404">
        <v>1</v>
      </c>
      <c r="D36" s="2404" t="s">
        <v>907</v>
      </c>
      <c r="E36" s="2490">
        <f>E26</f>
        <v>2</v>
      </c>
      <c r="F36" s="2405">
        <f>F26</f>
        <v>8.4499999999999993</v>
      </c>
      <c r="G36" s="2435" t="s">
        <v>2952</v>
      </c>
      <c r="H36" s="2405">
        <v>5.5</v>
      </c>
      <c r="I36" s="2405">
        <f>ROUNDDOWN(PRODUCT(C36:H36)*(3+0.8)/2,2)</f>
        <v>176.6</v>
      </c>
      <c r="J36" s="2411"/>
      <c r="K36" s="2407"/>
      <c r="L36" s="2412"/>
    </row>
    <row r="37" spans="1:12" ht="35.1" customHeight="1">
      <c r="A37" s="2402"/>
      <c r="B37" s="2403" t="s">
        <v>1381</v>
      </c>
      <c r="C37" s="2404">
        <v>1</v>
      </c>
      <c r="D37" s="2404" t="s">
        <v>907</v>
      </c>
      <c r="E37" s="2404">
        <f>E16</f>
        <v>7</v>
      </c>
      <c r="F37" s="2405">
        <f>F29</f>
        <v>9.1</v>
      </c>
      <c r="G37" s="2435" t="s">
        <v>2953</v>
      </c>
      <c r="H37" s="2405">
        <v>5.5</v>
      </c>
      <c r="I37" s="2405">
        <f>ROUNDDOWN(PRODUCT(C37:H37)*(0.76+1.4)/2,2)</f>
        <v>378.37</v>
      </c>
      <c r="J37" s="2411"/>
      <c r="K37" s="2407"/>
      <c r="L37" s="2412"/>
    </row>
    <row r="38" spans="1:12" ht="28.5" customHeight="1">
      <c r="A38" s="2402"/>
      <c r="B38" s="2436" t="s">
        <v>1382</v>
      </c>
      <c r="C38" s="2437" t="s">
        <v>1383</v>
      </c>
      <c r="D38" s="2437" t="s">
        <v>907</v>
      </c>
      <c r="E38" s="2437">
        <f>E37</f>
        <v>7</v>
      </c>
      <c r="F38" s="2438" t="s">
        <v>2731</v>
      </c>
      <c r="G38" s="2439"/>
      <c r="H38" s="2440">
        <v>5.5</v>
      </c>
      <c r="I38" s="2433">
        <f>ROUND(PRODUCT(C38:H38)*(3.14/8)*(1.4^2+0.76^2)/2,2)</f>
        <v>19.170000000000002</v>
      </c>
      <c r="J38" s="2411"/>
      <c r="K38" s="2407"/>
      <c r="L38" s="2412"/>
    </row>
    <row r="39" spans="1:12" ht="20.100000000000001" customHeight="1">
      <c r="A39" s="2402"/>
      <c r="B39" s="2434"/>
      <c r="C39" s="2428"/>
      <c r="D39" s="2428"/>
      <c r="E39" s="2428"/>
      <c r="F39" s="2429"/>
      <c r="G39" s="2429"/>
      <c r="H39" s="2429"/>
      <c r="I39" s="2410">
        <f>SUM(I36:I38)</f>
        <v>574.14</v>
      </c>
      <c r="J39" s="2411">
        <f>'Bridge Data'!J237</f>
        <v>8293.5400000000009</v>
      </c>
      <c r="K39" s="2407">
        <v>1</v>
      </c>
      <c r="L39" s="2412">
        <f>ROUND(I39*J39,0)</f>
        <v>4761653</v>
      </c>
    </row>
    <row r="40" spans="1:12" ht="20.100000000000001" customHeight="1">
      <c r="A40" s="2402"/>
      <c r="B40" s="2409"/>
      <c r="C40" s="2407"/>
      <c r="D40" s="2407"/>
      <c r="E40" s="2407"/>
      <c r="F40" s="2402"/>
      <c r="G40" s="2402"/>
      <c r="H40" s="2402"/>
      <c r="I40" s="2413" t="s">
        <v>31</v>
      </c>
      <c r="J40" s="2411"/>
      <c r="K40" s="2407" t="s">
        <v>31</v>
      </c>
      <c r="L40" s="2412"/>
    </row>
    <row r="41" spans="1:12" ht="111.6" customHeight="1">
      <c r="A41" s="2399">
        <v>6</v>
      </c>
      <c r="B41" s="3950" t="str">
        <f>'Bridge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1" s="3950"/>
      <c r="D41" s="3950"/>
      <c r="E41" s="3950"/>
      <c r="F41" s="3950"/>
      <c r="G41" s="3950"/>
      <c r="H41" s="3950"/>
      <c r="I41" s="3950"/>
      <c r="J41" s="3950"/>
      <c r="K41" s="3950"/>
      <c r="L41" s="2412"/>
    </row>
    <row r="42" spans="1:12" ht="27" customHeight="1">
      <c r="A42" s="2402"/>
      <c r="B42" s="2436" t="s">
        <v>1320</v>
      </c>
      <c r="C42" s="2490">
        <f>E36</f>
        <v>2</v>
      </c>
      <c r="D42" s="2404" t="s">
        <v>907</v>
      </c>
      <c r="E42" s="2490">
        <v>3</v>
      </c>
      <c r="F42" s="2405">
        <f>F26</f>
        <v>8.4499999999999993</v>
      </c>
      <c r="G42" s="2439">
        <v>1.1000000000000001</v>
      </c>
      <c r="H42" s="2405">
        <v>0.5</v>
      </c>
      <c r="I42" s="2405">
        <f>ROUND(PRODUCT(C42:H42),2)</f>
        <v>27.89</v>
      </c>
      <c r="J42" s="2406"/>
      <c r="K42" s="2407"/>
      <c r="L42" s="2412"/>
    </row>
    <row r="43" spans="1:12" ht="20.100000000000001" customHeight="1">
      <c r="A43" s="2402"/>
      <c r="B43" s="2403" t="s">
        <v>1380</v>
      </c>
      <c r="C43" s="2404">
        <v>6</v>
      </c>
      <c r="D43" s="2404" t="s">
        <v>907</v>
      </c>
      <c r="E43" s="2404">
        <f>E37</f>
        <v>7</v>
      </c>
      <c r="F43" s="2405">
        <f>F37</f>
        <v>9.1</v>
      </c>
      <c r="G43" s="2405">
        <v>0.96</v>
      </c>
      <c r="H43" s="2405">
        <v>0.5</v>
      </c>
      <c r="I43" s="2405">
        <f>ROUND(PRODUCT(C43:H43),2)</f>
        <v>183.46</v>
      </c>
      <c r="J43" s="2406"/>
      <c r="K43" s="2407"/>
      <c r="L43" s="2412"/>
    </row>
    <row r="44" spans="1:12" ht="45" customHeight="1">
      <c r="A44" s="2402"/>
      <c r="B44" s="2436" t="s">
        <v>1382</v>
      </c>
      <c r="C44" s="2437" t="s">
        <v>1384</v>
      </c>
      <c r="D44" s="2437" t="s">
        <v>907</v>
      </c>
      <c r="E44" s="2437">
        <f>E43</f>
        <v>7</v>
      </c>
      <c r="F44" s="2405">
        <v>0.96</v>
      </c>
      <c r="G44" s="2405">
        <v>0.96</v>
      </c>
      <c r="H44" s="2440">
        <v>0.5</v>
      </c>
      <c r="I44" s="2405">
        <f>ROUND(PRODUCT(C44:H44)*(3.14/4),2)</f>
        <v>2.5299999999999998</v>
      </c>
      <c r="J44" s="2406"/>
      <c r="K44" s="2407"/>
      <c r="L44" s="2412"/>
    </row>
    <row r="45" spans="1:12" s="2443" customFormat="1" ht="20.100000000000001" customHeight="1">
      <c r="A45" s="2436"/>
      <c r="B45" s="2436" t="s">
        <v>1322</v>
      </c>
      <c r="C45" s="2437">
        <v>1</v>
      </c>
      <c r="D45" s="2437" t="s">
        <v>907</v>
      </c>
      <c r="E45" s="2437">
        <f>E44</f>
        <v>7</v>
      </c>
      <c r="F45" s="2433">
        <f>(E43*F43)+8.76+3.5+3.5</f>
        <v>79.459999999999994</v>
      </c>
      <c r="G45" s="2440">
        <v>0.52500000000000002</v>
      </c>
      <c r="H45" s="2440">
        <v>0.3</v>
      </c>
      <c r="I45" s="2433">
        <f>ROUNDDOWN(PRODUCT(C45:H45),2)</f>
        <v>87.6</v>
      </c>
      <c r="J45" s="2441"/>
      <c r="K45" s="2437"/>
      <c r="L45" s="2442"/>
    </row>
    <row r="46" spans="1:12" ht="20.100000000000001" customHeight="1">
      <c r="A46" s="2402"/>
      <c r="B46" s="2409"/>
      <c r="C46" s="2407"/>
      <c r="D46" s="2407"/>
      <c r="E46" s="2407"/>
      <c r="F46" s="2402"/>
      <c r="G46" s="2402"/>
      <c r="H46" s="2402"/>
      <c r="I46" s="2413">
        <f>SUM(I42:I45)</f>
        <v>301.48</v>
      </c>
      <c r="J46" s="2411">
        <f>'Bridge Data'!J267</f>
        <v>8813.32</v>
      </c>
      <c r="K46" s="2407">
        <v>1</v>
      </c>
      <c r="L46" s="2412">
        <f>ROUND(I46*J46,0)</f>
        <v>2657040</v>
      </c>
    </row>
    <row r="47" spans="1:12" ht="16.5" customHeight="1">
      <c r="A47" s="2402"/>
      <c r="B47" s="2409"/>
      <c r="C47" s="2407"/>
      <c r="D47" s="2407"/>
      <c r="E47" s="2407"/>
      <c r="F47" s="2402"/>
      <c r="G47" s="2402"/>
      <c r="H47" s="2402"/>
      <c r="I47" s="2413" t="s">
        <v>31</v>
      </c>
      <c r="J47" s="2411"/>
      <c r="K47" s="2407" t="s">
        <v>31</v>
      </c>
      <c r="L47" s="2412"/>
    </row>
    <row r="48" spans="1:12">
      <c r="A48" s="2399"/>
      <c r="B48" s="2424"/>
      <c r="C48" s="2425"/>
      <c r="D48" s="2425"/>
      <c r="E48" s="2425"/>
      <c r="F48" s="2402"/>
      <c r="G48" s="2402"/>
      <c r="H48" s="2402"/>
      <c r="I48" s="2413"/>
      <c r="J48" s="2411"/>
      <c r="K48" s="2407"/>
      <c r="L48" s="2412"/>
    </row>
    <row r="49" spans="1:14" ht="124.8" customHeight="1">
      <c r="A49" s="2399">
        <v>7</v>
      </c>
      <c r="B49" s="3950" t="str">
        <f>'Bridge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9" s="3950"/>
      <c r="D49" s="3950"/>
      <c r="E49" s="3950"/>
      <c r="F49" s="3950"/>
      <c r="G49" s="3950"/>
      <c r="H49" s="3950"/>
      <c r="I49" s="3950"/>
      <c r="J49" s="3950"/>
      <c r="K49" s="3950"/>
      <c r="L49" s="2412"/>
    </row>
    <row r="50" spans="1:14" ht="15.6" customHeight="1">
      <c r="A50" s="2399"/>
      <c r="B50" s="2424" t="s">
        <v>1323</v>
      </c>
      <c r="C50" s="2425"/>
      <c r="D50" s="2425"/>
      <c r="E50" s="2425"/>
      <c r="F50" s="2425"/>
      <c r="G50" s="2425"/>
      <c r="H50" s="2425"/>
      <c r="I50" s="2425"/>
      <c r="J50" s="2444"/>
      <c r="K50" s="2425"/>
      <c r="L50" s="2414"/>
    </row>
    <row r="51" spans="1:14" s="2451" customFormat="1" ht="18" customHeight="1">
      <c r="A51" s="2417"/>
      <c r="B51" s="2445" t="s">
        <v>1324</v>
      </c>
      <c r="C51" s="2417">
        <v>1</v>
      </c>
      <c r="D51" s="2417" t="s">
        <v>907</v>
      </c>
      <c r="E51" s="2417">
        <f>E7+E8-1</f>
        <v>8</v>
      </c>
      <c r="F51" s="2433"/>
      <c r="G51" s="2433"/>
      <c r="H51" s="2440">
        <v>46.71</v>
      </c>
      <c r="I51" s="2418">
        <f>H51*E51</f>
        <v>373.68</v>
      </c>
      <c r="J51" s="2446"/>
      <c r="K51" s="2447"/>
      <c r="L51" s="2448"/>
      <c r="M51" s="2449"/>
      <c r="N51" s="2450"/>
    </row>
    <row r="52" spans="1:14" ht="15" customHeight="1">
      <c r="A52" s="2399"/>
      <c r="B52" s="2424"/>
      <c r="C52" s="2425"/>
      <c r="D52" s="2425"/>
      <c r="E52" s="2425"/>
      <c r="F52" s="2402"/>
      <c r="G52" s="2452"/>
      <c r="H52" s="2402"/>
      <c r="I52" s="2413">
        <f>I51</f>
        <v>373.68</v>
      </c>
      <c r="J52" s="2411">
        <f>'Bridge Data'!J366</f>
        <v>9582.9500000000007</v>
      </c>
      <c r="K52" s="2407">
        <v>1</v>
      </c>
      <c r="L52" s="2412">
        <f>ROUND(I52*J52,0)</f>
        <v>3580957</v>
      </c>
    </row>
    <row r="53" spans="1:14" ht="15" customHeight="1">
      <c r="A53" s="2399"/>
      <c r="B53" s="2424"/>
      <c r="C53" s="2425"/>
      <c r="D53" s="2425"/>
      <c r="E53" s="2425"/>
      <c r="F53" s="2402"/>
      <c r="G53" s="2402"/>
      <c r="H53" s="2402"/>
      <c r="I53" s="2413" t="s">
        <v>31</v>
      </c>
      <c r="J53" s="2411"/>
      <c r="K53" s="2407" t="s">
        <v>31</v>
      </c>
      <c r="L53" s="2412"/>
    </row>
    <row r="54" spans="1:14" ht="49.8" customHeight="1">
      <c r="A54" s="2399">
        <v>8</v>
      </c>
      <c r="B54" s="3950" t="str">
        <f>'Bridge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4" s="3950"/>
      <c r="D54" s="3950"/>
      <c r="E54" s="3950"/>
      <c r="F54" s="3950"/>
      <c r="G54" s="3950"/>
      <c r="H54" s="3950"/>
      <c r="I54" s="3950"/>
      <c r="J54" s="3950"/>
      <c r="K54" s="3950"/>
      <c r="L54" s="2412"/>
    </row>
    <row r="55" spans="1:14" ht="27.6">
      <c r="A55" s="2399"/>
      <c r="B55" s="2453" t="s">
        <v>1325</v>
      </c>
      <c r="C55" s="2454">
        <v>1</v>
      </c>
      <c r="D55" s="2454" t="s">
        <v>907</v>
      </c>
      <c r="E55" s="2454">
        <v>2</v>
      </c>
      <c r="F55" s="2455">
        <v>3.5</v>
      </c>
      <c r="G55" s="2455">
        <v>8.5</v>
      </c>
      <c r="H55" s="2456" t="s">
        <v>2959</v>
      </c>
      <c r="I55" s="2455">
        <f>ROUNDDOWN(PRODUCT(C55:H55)*(4.5+0.5)/2,2)</f>
        <v>148.75</v>
      </c>
      <c r="J55" s="2446"/>
      <c r="K55" s="2447"/>
      <c r="L55" s="2448"/>
    </row>
    <row r="56" spans="1:14" ht="20.100000000000001" customHeight="1">
      <c r="A56" s="2399"/>
      <c r="B56" s="2424"/>
      <c r="C56" s="2425"/>
      <c r="D56" s="2425"/>
      <c r="E56" s="2425"/>
      <c r="F56" s="2402"/>
      <c r="G56" s="2452"/>
      <c r="H56" s="2402"/>
      <c r="I56" s="2413">
        <f>SUM(I55:I55)</f>
        <v>148.75</v>
      </c>
      <c r="J56" s="2411">
        <f>'Bridge Data'!J625</f>
        <v>801.15</v>
      </c>
      <c r="K56" s="2407">
        <v>1</v>
      </c>
      <c r="L56" s="2412">
        <f>ROUND(I56*J56,0)</f>
        <v>119171</v>
      </c>
    </row>
    <row r="57" spans="1:14" ht="17.25" customHeight="1">
      <c r="A57" s="2399"/>
      <c r="B57" s="2424"/>
      <c r="C57" s="2425"/>
      <c r="D57" s="2425"/>
      <c r="E57" s="2425"/>
      <c r="F57" s="2402"/>
      <c r="G57" s="2402"/>
      <c r="H57" s="2402"/>
      <c r="I57" s="2413" t="s">
        <v>31</v>
      </c>
      <c r="J57" s="2411"/>
      <c r="K57" s="2407" t="s">
        <v>31</v>
      </c>
      <c r="L57" s="2412"/>
    </row>
    <row r="58" spans="1:14" ht="126" customHeight="1">
      <c r="A58" s="2399">
        <v>9</v>
      </c>
      <c r="B58" s="3950" t="str">
        <f>'Bridge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8" s="3950"/>
      <c r="D58" s="3950"/>
      <c r="E58" s="3950"/>
      <c r="F58" s="3950"/>
      <c r="G58" s="3950"/>
      <c r="H58" s="3950"/>
      <c r="I58" s="3950"/>
      <c r="J58" s="3950"/>
      <c r="K58" s="3950"/>
      <c r="L58" s="2412"/>
    </row>
    <row r="59" spans="1:14" s="2466" customFormat="1" ht="20.100000000000001" customHeight="1">
      <c r="A59" s="2457"/>
      <c r="B59" s="2458" t="s">
        <v>1327</v>
      </c>
      <c r="C59" s="2457">
        <v>1</v>
      </c>
      <c r="D59" s="2457" t="s">
        <v>907</v>
      </c>
      <c r="E59" s="2457">
        <f>E51</f>
        <v>8</v>
      </c>
      <c r="F59" s="2459">
        <v>7.5</v>
      </c>
      <c r="G59" s="2459">
        <v>10.76</v>
      </c>
      <c r="H59" s="2460">
        <v>7.4999999999999997E-2</v>
      </c>
      <c r="I59" s="2433">
        <f>ROUNDDOWN(PRODUCT(C59:H59),2)</f>
        <v>48.42</v>
      </c>
      <c r="J59" s="2461"/>
      <c r="K59" s="2462"/>
      <c r="L59" s="2463"/>
      <c r="M59" s="2464"/>
      <c r="N59" s="2465"/>
    </row>
    <row r="60" spans="1:14" ht="20.100000000000001" customHeight="1">
      <c r="A60" s="2402"/>
      <c r="B60" s="2409"/>
      <c r="C60" s="2407"/>
      <c r="D60" s="2407"/>
      <c r="E60" s="2407"/>
      <c r="F60" s="2402"/>
      <c r="G60" s="2452"/>
      <c r="H60" s="2402"/>
      <c r="I60" s="2413">
        <f>SUM(I59)</f>
        <v>48.42</v>
      </c>
      <c r="J60" s="2411">
        <f>'Bridge Data'!J428</f>
        <v>8090.44</v>
      </c>
      <c r="K60" s="2407">
        <v>1</v>
      </c>
      <c r="L60" s="2412">
        <f>ROUND(I60*J60,0)</f>
        <v>391739</v>
      </c>
    </row>
    <row r="61" spans="1:14" ht="20.100000000000001" customHeight="1">
      <c r="A61" s="2402"/>
      <c r="B61" s="2409"/>
      <c r="C61" s="2407"/>
      <c r="D61" s="2407"/>
      <c r="E61" s="2407"/>
      <c r="F61" s="2402"/>
      <c r="G61" s="2402"/>
      <c r="H61" s="2402"/>
      <c r="I61" s="2413" t="s">
        <v>31</v>
      </c>
      <c r="J61" s="2411"/>
      <c r="K61" s="2407" t="s">
        <v>31</v>
      </c>
      <c r="L61" s="2412"/>
    </row>
    <row r="62" spans="1:14" s="2469" customFormat="1" ht="115.8" customHeight="1">
      <c r="A62" s="2467">
        <v>10</v>
      </c>
      <c r="B62" s="3950"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2" s="3950"/>
      <c r="D62" s="3950"/>
      <c r="E62" s="3950"/>
      <c r="F62" s="3950"/>
      <c r="G62" s="3950"/>
      <c r="H62" s="3950"/>
      <c r="I62" s="3950"/>
      <c r="J62" s="3950"/>
      <c r="K62" s="3950"/>
      <c r="L62" s="2468"/>
    </row>
    <row r="63" spans="1:14" ht="35.1" customHeight="1">
      <c r="A63" s="2402"/>
      <c r="B63" s="2403" t="s">
        <v>1328</v>
      </c>
      <c r="C63" s="2404">
        <v>1</v>
      </c>
      <c r="D63" s="2404" t="s">
        <v>907</v>
      </c>
      <c r="E63" s="2404">
        <v>2</v>
      </c>
      <c r="F63" s="2405">
        <f>'Input Data'!N14</f>
        <v>120</v>
      </c>
      <c r="G63" s="2435" t="s">
        <v>2954</v>
      </c>
      <c r="H63" s="2435" t="s">
        <v>2958</v>
      </c>
      <c r="I63" s="2405">
        <f>ROUND(PRODUCT(C63:H63)*(13.5+7.5)/2*(4.5+0.3)/2,2)</f>
        <v>6048</v>
      </c>
      <c r="J63" s="2430"/>
      <c r="K63" s="2404"/>
      <c r="L63" s="2431"/>
    </row>
    <row r="64" spans="1:14" ht="20.100000000000001" customHeight="1">
      <c r="A64" s="2402"/>
      <c r="B64" s="2470"/>
      <c r="C64" s="2428"/>
      <c r="D64" s="2428"/>
      <c r="E64" s="2428"/>
      <c r="F64" s="2471"/>
      <c r="G64" s="2471"/>
      <c r="H64" s="2471"/>
      <c r="I64" s="2410">
        <f>SUM(I63:I63)</f>
        <v>6048</v>
      </c>
      <c r="J64" s="2472">
        <f>'Road data'!G188</f>
        <v>297.89</v>
      </c>
      <c r="K64" s="2473" t="s">
        <v>1331</v>
      </c>
      <c r="L64" s="2412">
        <f>ROUND(I64*J64,0)</f>
        <v>1801639</v>
      </c>
    </row>
    <row r="65" spans="1:12" ht="20.100000000000001" customHeight="1">
      <c r="A65" s="2402"/>
      <c r="B65" s="2409"/>
      <c r="C65" s="2407"/>
      <c r="D65" s="2407"/>
      <c r="E65" s="2407"/>
      <c r="F65" s="2402"/>
      <c r="G65" s="2402"/>
      <c r="H65" s="2402"/>
      <c r="I65" s="2413" t="s">
        <v>31</v>
      </c>
      <c r="J65" s="2411"/>
      <c r="K65" s="2407"/>
      <c r="L65" s="2412"/>
    </row>
    <row r="66" spans="1:12" ht="108.6" customHeight="1">
      <c r="A66" s="2399">
        <v>11</v>
      </c>
      <c r="B66" s="3950" t="str">
        <f>'Bridge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66" s="3950"/>
      <c r="D66" s="3950"/>
      <c r="E66" s="3950"/>
      <c r="F66" s="3950"/>
      <c r="G66" s="3950"/>
      <c r="H66" s="3950"/>
      <c r="I66" s="3950"/>
      <c r="J66" s="3950"/>
      <c r="K66" s="3950"/>
      <c r="L66" s="2474"/>
    </row>
    <row r="67" spans="1:12" ht="20.100000000000001" customHeight="1">
      <c r="A67" s="2399"/>
      <c r="B67" s="2453" t="s">
        <v>1328</v>
      </c>
      <c r="C67" s="2454">
        <v>1</v>
      </c>
      <c r="D67" s="2454" t="s">
        <v>907</v>
      </c>
      <c r="E67" s="2454">
        <v>2</v>
      </c>
      <c r="F67" s="2455">
        <v>3.5</v>
      </c>
      <c r="G67" s="2455">
        <v>7.5</v>
      </c>
      <c r="H67" s="2455">
        <v>0.15</v>
      </c>
      <c r="I67" s="2455">
        <f>ROUND(PRODUCT(C67:H67),2)</f>
        <v>7.88</v>
      </c>
      <c r="J67" s="2475"/>
      <c r="K67" s="2454"/>
      <c r="L67" s="2476"/>
    </row>
    <row r="68" spans="1:12" ht="20.100000000000001" customHeight="1">
      <c r="A68" s="2399"/>
      <c r="B68" s="2477"/>
      <c r="C68" s="2478"/>
      <c r="D68" s="2478"/>
      <c r="E68" s="2478"/>
      <c r="F68" s="2479"/>
      <c r="G68" s="2479"/>
      <c r="H68" s="2479"/>
      <c r="I68" s="2480">
        <f>SUM(I67:I67)</f>
        <v>7.88</v>
      </c>
      <c r="J68" s="2481">
        <f>'Bridge Data'!J535</f>
        <v>7050.69</v>
      </c>
      <c r="K68" s="2482" t="s">
        <v>1331</v>
      </c>
      <c r="L68" s="2412">
        <f>ROUND(I68*J68,0)</f>
        <v>55559</v>
      </c>
    </row>
    <row r="69" spans="1:12" ht="20.100000000000001" customHeight="1">
      <c r="A69" s="2399"/>
      <c r="B69" s="2424"/>
      <c r="C69" s="2425"/>
      <c r="D69" s="2425"/>
      <c r="E69" s="2425"/>
      <c r="F69" s="2402"/>
      <c r="G69" s="2402"/>
      <c r="H69" s="2402"/>
      <c r="I69" s="2413" t="s">
        <v>31</v>
      </c>
      <c r="J69" s="2411"/>
      <c r="K69" s="2407"/>
      <c r="L69" s="2412"/>
    </row>
    <row r="70" spans="1:12" ht="135" customHeight="1">
      <c r="A70" s="2399">
        <v>12</v>
      </c>
      <c r="B70" s="3950" t="str">
        <f>'Bridge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0" s="3950"/>
      <c r="D70" s="3950"/>
      <c r="E70" s="3950"/>
      <c r="F70" s="3950"/>
      <c r="G70" s="3950"/>
      <c r="H70" s="3950"/>
      <c r="I70" s="3950"/>
      <c r="J70" s="3950"/>
      <c r="K70" s="3950"/>
      <c r="L70" s="2474"/>
    </row>
    <row r="71" spans="1:12" ht="20.100000000000001" customHeight="1">
      <c r="A71" s="2402"/>
      <c r="B71" s="2403" t="s">
        <v>2955</v>
      </c>
      <c r="C71" s="2404">
        <v>1</v>
      </c>
      <c r="D71" s="2404" t="s">
        <v>907</v>
      </c>
      <c r="E71" s="2404">
        <v>2</v>
      </c>
      <c r="F71" s="2405">
        <v>3.5</v>
      </c>
      <c r="G71" s="2405">
        <v>7.5</v>
      </c>
      <c r="H71" s="2405">
        <v>0.15</v>
      </c>
      <c r="I71" s="2405">
        <f>ROUND(PRODUCT(C71:H71),2)</f>
        <v>7.88</v>
      </c>
      <c r="J71" s="2430"/>
      <c r="K71" s="2404"/>
      <c r="L71" s="2431"/>
    </row>
    <row r="72" spans="1:12" ht="20.100000000000001" customHeight="1">
      <c r="A72" s="2402"/>
      <c r="B72" s="2470"/>
      <c r="C72" s="2428"/>
      <c r="D72" s="2428"/>
      <c r="E72" s="2428"/>
      <c r="F72" s="2471"/>
      <c r="G72" s="2471"/>
      <c r="H72" s="2471"/>
      <c r="I72" s="2410">
        <f>SUM(I71:I71)</f>
        <v>7.88</v>
      </c>
      <c r="J72" s="2472">
        <f>'Bridge Data'!J504</f>
        <v>8198.74</v>
      </c>
      <c r="K72" s="2473" t="s">
        <v>1331</v>
      </c>
      <c r="L72" s="2483">
        <f>ROUND(I72*J72,0)</f>
        <v>64606</v>
      </c>
    </row>
    <row r="73" spans="1:12" ht="20.100000000000001" customHeight="1">
      <c r="A73" s="2402"/>
      <c r="B73" s="2470"/>
      <c r="C73" s="2428"/>
      <c r="D73" s="2428"/>
      <c r="E73" s="2428"/>
      <c r="F73" s="2471"/>
      <c r="G73" s="2471"/>
      <c r="H73" s="2471"/>
      <c r="I73" s="2413" t="s">
        <v>31</v>
      </c>
      <c r="J73" s="2472"/>
      <c r="K73" s="2473"/>
      <c r="L73" s="2483"/>
    </row>
    <row r="74" spans="1:12" ht="75.599999999999994" customHeight="1">
      <c r="A74" s="2399">
        <v>13</v>
      </c>
      <c r="B74" s="3950" t="str">
        <f>'Bridge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4" s="3950"/>
      <c r="D74" s="3950"/>
      <c r="E74" s="3950"/>
      <c r="F74" s="3950"/>
      <c r="G74" s="3950"/>
      <c r="H74" s="3950"/>
      <c r="I74" s="3950"/>
      <c r="J74" s="3950"/>
      <c r="K74" s="3950"/>
      <c r="L74" s="2474"/>
    </row>
    <row r="75" spans="1:12" ht="20.100000000000001" customHeight="1">
      <c r="A75" s="2402"/>
      <c r="B75" s="2403"/>
      <c r="C75" s="2404">
        <v>1</v>
      </c>
      <c r="D75" s="2404" t="s">
        <v>907</v>
      </c>
      <c r="E75" s="2404">
        <v>2</v>
      </c>
      <c r="F75" s="2405">
        <f>F45</f>
        <v>79.459999999999994</v>
      </c>
      <c r="G75" s="2405"/>
      <c r="H75" s="2405"/>
      <c r="I75" s="2405">
        <f>ROUND(PRODUCT(C75:H75),2)</f>
        <v>158.91999999999999</v>
      </c>
      <c r="J75" s="2430"/>
      <c r="K75" s="2404"/>
      <c r="L75" s="2431"/>
    </row>
    <row r="76" spans="1:12" ht="20.100000000000001" customHeight="1">
      <c r="A76" s="2402"/>
      <c r="B76" s="2470"/>
      <c r="C76" s="2428"/>
      <c r="D76" s="2428"/>
      <c r="E76" s="2428"/>
      <c r="F76" s="2471"/>
      <c r="G76" s="2471"/>
      <c r="H76" s="2471"/>
      <c r="I76" s="2410">
        <f>SUM(I75:I75)</f>
        <v>158.91999999999999</v>
      </c>
      <c r="J76" s="2472">
        <f>'Bridge Data'!J673</f>
        <v>642.07593751082038</v>
      </c>
      <c r="K76" s="2473" t="s">
        <v>1003</v>
      </c>
      <c r="L76" s="2483">
        <f>ROUND(I76*J76,0)</f>
        <v>102039</v>
      </c>
    </row>
    <row r="77" spans="1:12" ht="20.100000000000001" customHeight="1">
      <c r="A77" s="2402"/>
      <c r="B77" s="2470"/>
      <c r="C77" s="2428"/>
      <c r="D77" s="2428"/>
      <c r="E77" s="2428"/>
      <c r="F77" s="2471"/>
      <c r="G77" s="2471"/>
      <c r="H77" s="2471"/>
      <c r="I77" s="2413" t="s">
        <v>1003</v>
      </c>
      <c r="J77" s="2472"/>
      <c r="K77" s="2473"/>
      <c r="L77" s="2483"/>
    </row>
    <row r="78" spans="1:12" ht="94.8" customHeight="1">
      <c r="A78" s="2399">
        <v>14</v>
      </c>
      <c r="B78" s="3950" t="str">
        <f>'Bridge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78" s="3950"/>
      <c r="D78" s="3950"/>
      <c r="E78" s="3950"/>
      <c r="F78" s="3950"/>
      <c r="G78" s="3950"/>
      <c r="H78" s="3950"/>
      <c r="I78" s="3950"/>
      <c r="J78" s="3950"/>
      <c r="K78" s="3950"/>
      <c r="L78" s="2474"/>
    </row>
    <row r="79" spans="1:12" ht="20.100000000000001" customHeight="1">
      <c r="A79" s="2402"/>
      <c r="B79" s="2403"/>
      <c r="C79" s="2404">
        <v>2</v>
      </c>
      <c r="D79" s="2404" t="s">
        <v>907</v>
      </c>
      <c r="E79" s="2404">
        <v>2</v>
      </c>
      <c r="F79" s="2405">
        <v>70</v>
      </c>
      <c r="G79" s="2405"/>
      <c r="H79" s="2405"/>
      <c r="I79" s="2405">
        <f>ROUND(PRODUCT(C79:H79),2)</f>
        <v>280</v>
      </c>
      <c r="J79" s="2430"/>
      <c r="K79" s="2404"/>
      <c r="L79" s="2431"/>
    </row>
    <row r="80" spans="1:12" ht="20.100000000000001" customHeight="1">
      <c r="A80" s="2402"/>
      <c r="B80" s="2470"/>
      <c r="C80" s="2428"/>
      <c r="D80" s="2428"/>
      <c r="E80" s="2428"/>
      <c r="F80" s="2471"/>
      <c r="G80" s="2471"/>
      <c r="H80" s="2471"/>
      <c r="I80" s="2410">
        <f>SUM(I79:I79)</f>
        <v>280</v>
      </c>
      <c r="J80" s="2472">
        <f>'Bridge Data'!J312</f>
        <v>711.68633333333332</v>
      </c>
      <c r="K80" s="2473" t="s">
        <v>1003</v>
      </c>
      <c r="L80" s="2483">
        <f>ROUND(I80*J80,0)</f>
        <v>199272</v>
      </c>
    </row>
    <row r="81" spans="1:12" ht="20.100000000000001" customHeight="1">
      <c r="A81" s="2402"/>
      <c r="B81" s="2470"/>
      <c r="C81" s="2428"/>
      <c r="D81" s="2428"/>
      <c r="E81" s="2428"/>
      <c r="F81" s="2471"/>
      <c r="G81" s="2471"/>
      <c r="H81" s="2471"/>
      <c r="I81" s="2413" t="s">
        <v>1003</v>
      </c>
      <c r="J81" s="2472"/>
      <c r="K81" s="2473"/>
      <c r="L81" s="2483"/>
    </row>
    <row r="82" spans="1:12" ht="118.2" customHeight="1">
      <c r="A82" s="2399">
        <v>15</v>
      </c>
      <c r="B82" s="3950" t="str">
        <f>'Bridge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2" s="3950"/>
      <c r="D82" s="3950"/>
      <c r="E82" s="3950"/>
      <c r="F82" s="3950"/>
      <c r="G82" s="3950"/>
      <c r="H82" s="3950"/>
      <c r="I82" s="3950"/>
      <c r="J82" s="3950"/>
      <c r="K82" s="3950"/>
      <c r="L82" s="2474"/>
    </row>
    <row r="83" spans="1:12" ht="20.100000000000001" customHeight="1">
      <c r="A83" s="2402"/>
      <c r="B83" s="2403"/>
      <c r="C83" s="2404">
        <v>1</v>
      </c>
      <c r="D83" s="2404" t="s">
        <v>907</v>
      </c>
      <c r="E83" s="2404">
        <v>2</v>
      </c>
      <c r="F83" s="2405">
        <v>16.5</v>
      </c>
      <c r="G83" s="2405">
        <v>0.23</v>
      </c>
      <c r="H83" s="2405">
        <v>3.5</v>
      </c>
      <c r="I83" s="2405">
        <f>ROUND(PRODUCT(C83:H83),2)</f>
        <v>26.57</v>
      </c>
      <c r="J83" s="2430"/>
      <c r="K83" s="2404"/>
      <c r="L83" s="2431"/>
    </row>
    <row r="84" spans="1:12" ht="20.100000000000001" customHeight="1">
      <c r="A84" s="2402"/>
      <c r="B84" s="2470"/>
      <c r="C84" s="2428"/>
      <c r="D84" s="2428"/>
      <c r="E84" s="2428"/>
      <c r="F84" s="2471"/>
      <c r="G84" s="2471"/>
      <c r="H84" s="2471"/>
      <c r="I84" s="2410">
        <f>SUM(I83:I83)</f>
        <v>26.57</v>
      </c>
      <c r="J84" s="2472">
        <f>'Bridge Data'!J335</f>
        <v>2587.65</v>
      </c>
      <c r="K84" s="2473" t="s">
        <v>73</v>
      </c>
      <c r="L84" s="2483">
        <f>ROUND(I84*J84,0)</f>
        <v>68754</v>
      </c>
    </row>
    <row r="85" spans="1:12" ht="20.100000000000001" customHeight="1">
      <c r="A85" s="2402"/>
      <c r="B85" s="2470"/>
      <c r="C85" s="2428"/>
      <c r="D85" s="2428"/>
      <c r="E85" s="2428"/>
      <c r="F85" s="2471"/>
      <c r="G85" s="2471"/>
      <c r="H85" s="2471"/>
      <c r="I85" s="2413" t="s">
        <v>31</v>
      </c>
      <c r="J85" s="2472"/>
      <c r="K85" s="2473"/>
      <c r="L85" s="2483"/>
    </row>
    <row r="86" spans="1:12" ht="52.8" customHeight="1">
      <c r="A86" s="2399">
        <v>16</v>
      </c>
      <c r="B86" s="3950" t="str">
        <f>'Bridge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86" s="3950"/>
      <c r="D86" s="3950"/>
      <c r="E86" s="3950"/>
      <c r="F86" s="3950"/>
      <c r="G86" s="3950"/>
      <c r="H86" s="3950"/>
      <c r="I86" s="3950"/>
      <c r="J86" s="3950"/>
      <c r="K86" s="3950"/>
      <c r="L86" s="2474"/>
    </row>
    <row r="87" spans="1:12" ht="20.100000000000001" customHeight="1">
      <c r="A87" s="2402"/>
      <c r="B87" s="2403" t="s">
        <v>1333</v>
      </c>
      <c r="C87" s="2404">
        <v>1</v>
      </c>
      <c r="D87" s="2404" t="s">
        <v>907</v>
      </c>
      <c r="E87" s="2404">
        <f>E59</f>
        <v>8</v>
      </c>
      <c r="F87" s="2405">
        <v>10.37</v>
      </c>
      <c r="G87" s="2405">
        <v>10</v>
      </c>
      <c r="H87" s="2405">
        <v>0.3</v>
      </c>
      <c r="I87" s="2405">
        <f>ROUND(PRODUCT(C87:H87),2)</f>
        <v>248.88</v>
      </c>
      <c r="J87" s="2430"/>
      <c r="K87" s="2404"/>
      <c r="L87" s="2431"/>
    </row>
    <row r="88" spans="1:12" ht="20.100000000000001" customHeight="1">
      <c r="A88" s="2402"/>
      <c r="B88" s="2403" t="s">
        <v>1334</v>
      </c>
      <c r="C88" s="2404">
        <v>1</v>
      </c>
      <c r="D88" s="2404" t="s">
        <v>907</v>
      </c>
      <c r="E88" s="2404">
        <v>1</v>
      </c>
      <c r="F88" s="2405">
        <f>F75+3.5+3.5</f>
        <v>86.46</v>
      </c>
      <c r="G88" s="2405">
        <v>8.5</v>
      </c>
      <c r="H88" s="2405">
        <v>0.6</v>
      </c>
      <c r="I88" s="2405">
        <f>ROUND(PRODUCT(C88:H88),2)</f>
        <v>440.95</v>
      </c>
      <c r="J88" s="2430"/>
      <c r="K88" s="2404"/>
      <c r="L88" s="2431"/>
    </row>
    <row r="89" spans="1:12" ht="20.100000000000001" customHeight="1">
      <c r="A89" s="2402"/>
      <c r="B89" s="2403" t="s">
        <v>1335</v>
      </c>
      <c r="C89" s="2404">
        <v>1</v>
      </c>
      <c r="D89" s="2404" t="s">
        <v>907</v>
      </c>
      <c r="E89" s="2404">
        <v>1</v>
      </c>
      <c r="F89" s="2405">
        <f>F88</f>
        <v>86.46</v>
      </c>
      <c r="G89" s="2405">
        <v>9</v>
      </c>
      <c r="H89" s="2405">
        <v>0.6</v>
      </c>
      <c r="I89" s="2405">
        <f>ROUND(PRODUCT(C89:H89),2)</f>
        <v>466.88</v>
      </c>
      <c r="J89" s="2430"/>
      <c r="K89" s="2404"/>
      <c r="L89" s="2431"/>
    </row>
    <row r="90" spans="1:12" ht="20.100000000000001" customHeight="1">
      <c r="A90" s="2402"/>
      <c r="B90" s="2470"/>
      <c r="C90" s="2428"/>
      <c r="D90" s="2428"/>
      <c r="E90" s="2428"/>
      <c r="F90" s="2471"/>
      <c r="G90" s="2471"/>
      <c r="H90" s="2471"/>
      <c r="I90" s="2410">
        <f>SUM(I87:I89)</f>
        <v>1156.71</v>
      </c>
      <c r="J90" s="2472">
        <f>'Bridge Data'!J559</f>
        <v>2216.91</v>
      </c>
      <c r="K90" s="2473" t="s">
        <v>73</v>
      </c>
      <c r="L90" s="2483">
        <f>ROUND(I90*J90,0)</f>
        <v>2564322</v>
      </c>
    </row>
    <row r="91" spans="1:12" ht="20.100000000000001" customHeight="1">
      <c r="A91" s="2402"/>
      <c r="B91" s="2409"/>
      <c r="C91" s="2407"/>
      <c r="D91" s="2407"/>
      <c r="E91" s="2407"/>
      <c r="F91" s="2402"/>
      <c r="G91" s="2402"/>
      <c r="H91" s="2402"/>
      <c r="I91" s="2413" t="s">
        <v>31</v>
      </c>
      <c r="J91" s="2411"/>
      <c r="K91" s="2407"/>
      <c r="L91" s="2412"/>
    </row>
    <row r="92" spans="1:12" ht="15" customHeight="1">
      <c r="A92" s="2399"/>
      <c r="B92" s="2424"/>
      <c r="C92" s="2425"/>
      <c r="D92" s="2425"/>
      <c r="E92" s="2425"/>
      <c r="F92" s="2402"/>
      <c r="G92" s="2402"/>
      <c r="H92" s="2402"/>
      <c r="I92" s="2413"/>
      <c r="J92" s="2411"/>
      <c r="K92" s="2407"/>
      <c r="L92" s="2412"/>
    </row>
    <row r="93" spans="1:12" ht="120.6" customHeight="1">
      <c r="A93" s="2399">
        <v>17</v>
      </c>
      <c r="B93" s="3950" t="str">
        <f>'Bridge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3" s="3950"/>
      <c r="D93" s="3950"/>
      <c r="E93" s="3950"/>
      <c r="F93" s="3950"/>
      <c r="G93" s="3950"/>
      <c r="H93" s="3950"/>
      <c r="I93" s="3950"/>
      <c r="J93" s="3950"/>
      <c r="K93" s="3950"/>
      <c r="L93" s="2412"/>
    </row>
    <row r="94" spans="1:12" ht="20.100000000000001" customHeight="1">
      <c r="A94" s="2402"/>
      <c r="B94" s="2409"/>
      <c r="C94" s="2407"/>
      <c r="D94" s="2407"/>
      <c r="E94" s="2407"/>
      <c r="F94" s="2402"/>
      <c r="G94" s="2402"/>
      <c r="H94" s="2402"/>
      <c r="I94" s="2413">
        <f>ROUND(E87*12,2)</f>
        <v>96</v>
      </c>
      <c r="J94" s="2411">
        <f>'Bridge Data'!J175</f>
        <v>74877.55</v>
      </c>
      <c r="K94" s="2407">
        <v>1</v>
      </c>
      <c r="L94" s="2412">
        <f>ROUND(I94*J94,0)</f>
        <v>7188245</v>
      </c>
    </row>
    <row r="95" spans="1:12" ht="20.100000000000001" customHeight="1">
      <c r="A95" s="2402"/>
      <c r="B95" s="2409"/>
      <c r="C95" s="2407"/>
      <c r="D95" s="2407"/>
      <c r="E95" s="2407"/>
      <c r="F95" s="2402"/>
      <c r="G95" s="2402"/>
      <c r="H95" s="2402"/>
      <c r="I95" s="2413" t="s">
        <v>66</v>
      </c>
      <c r="J95" s="2411"/>
      <c r="K95" s="2407" t="s">
        <v>66</v>
      </c>
      <c r="L95" s="2412"/>
    </row>
    <row r="96" spans="1:12" ht="15" customHeight="1">
      <c r="A96" s="2402"/>
      <c r="B96" s="2409"/>
      <c r="C96" s="2407"/>
      <c r="D96" s="2407"/>
      <c r="E96" s="2407"/>
      <c r="F96" s="2402"/>
      <c r="G96" s="2402"/>
      <c r="H96" s="2402"/>
      <c r="I96" s="2413"/>
      <c r="J96" s="2411"/>
      <c r="K96" s="2407"/>
      <c r="L96" s="2412"/>
    </row>
    <row r="97" spans="1:12" ht="121.2" customHeight="1">
      <c r="A97" s="2399">
        <v>18</v>
      </c>
      <c r="B97" s="3950" t="str">
        <f>'Bridge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97" s="3950"/>
      <c r="D97" s="3950"/>
      <c r="E97" s="3950"/>
      <c r="F97" s="3950"/>
      <c r="G97" s="3950"/>
      <c r="H97" s="3950"/>
      <c r="I97" s="3950"/>
      <c r="J97" s="3950"/>
      <c r="K97" s="3950"/>
      <c r="L97" s="2412"/>
    </row>
    <row r="98" spans="1:12" ht="20.100000000000001" customHeight="1">
      <c r="A98" s="2402"/>
      <c r="B98" s="2409"/>
      <c r="C98" s="2407"/>
      <c r="D98" s="2407"/>
      <c r="E98" s="2407"/>
      <c r="F98" s="2402"/>
      <c r="G98" s="2402"/>
      <c r="H98" s="2402"/>
      <c r="I98" s="2413">
        <f>ROUND(E87*3.6,0)</f>
        <v>29</v>
      </c>
      <c r="J98" s="2411">
        <f>'Bridge Data'!J290</f>
        <v>75210.44</v>
      </c>
      <c r="K98" s="2407">
        <v>1</v>
      </c>
      <c r="L98" s="2412">
        <f>ROUND(I98*J98,0)</f>
        <v>2181103</v>
      </c>
    </row>
    <row r="99" spans="1:12" ht="20.100000000000001" customHeight="1">
      <c r="A99" s="2402"/>
      <c r="B99" s="2409"/>
      <c r="C99" s="2407"/>
      <c r="D99" s="2407"/>
      <c r="E99" s="2407"/>
      <c r="F99" s="2402"/>
      <c r="G99" s="2402"/>
      <c r="H99" s="2402"/>
      <c r="I99" s="2413" t="s">
        <v>66</v>
      </c>
      <c r="J99" s="2411"/>
      <c r="K99" s="2407" t="s">
        <v>66</v>
      </c>
      <c r="L99" s="2412"/>
    </row>
    <row r="100" spans="1:12" ht="119.4" customHeight="1">
      <c r="A100" s="2399">
        <v>19</v>
      </c>
      <c r="B100" s="3950" t="str">
        <f>'Bridge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0" s="3950"/>
      <c r="D100" s="3950"/>
      <c r="E100" s="3950"/>
      <c r="F100" s="3950"/>
      <c r="G100" s="3950"/>
      <c r="H100" s="3950"/>
      <c r="I100" s="3950"/>
      <c r="J100" s="3950"/>
      <c r="K100" s="3950"/>
      <c r="L100" s="2414"/>
    </row>
    <row r="101" spans="1:12" ht="20.100000000000001" customHeight="1">
      <c r="A101" s="2402"/>
      <c r="B101" s="2409"/>
      <c r="C101" s="2407"/>
      <c r="D101" s="2407"/>
      <c r="E101" s="2407"/>
      <c r="F101" s="2402"/>
      <c r="G101" s="2402"/>
      <c r="H101" s="2402"/>
      <c r="I101" s="2413">
        <f>I98</f>
        <v>29</v>
      </c>
      <c r="J101" s="2411">
        <f>'Bridge Data'!J451</f>
        <v>77481.45</v>
      </c>
      <c r="K101" s="2407">
        <v>1</v>
      </c>
      <c r="L101" s="2412">
        <f>ROUND(I101*J101,0)</f>
        <v>2246962</v>
      </c>
    </row>
    <row r="102" spans="1:12" ht="20.100000000000001" customHeight="1">
      <c r="A102" s="2402"/>
      <c r="B102" s="2409"/>
      <c r="C102" s="2407"/>
      <c r="D102" s="2407"/>
      <c r="E102" s="2407"/>
      <c r="F102" s="2402"/>
      <c r="G102" s="2402"/>
      <c r="H102" s="2402"/>
      <c r="I102" s="2497" t="s">
        <v>66</v>
      </c>
      <c r="J102" s="2498"/>
      <c r="K102" s="2499" t="s">
        <v>66</v>
      </c>
      <c r="L102" s="2500"/>
    </row>
    <row r="103" spans="1:12" ht="23.25" customHeight="1">
      <c r="A103" s="2402"/>
      <c r="B103" s="2409"/>
      <c r="C103" s="2407"/>
      <c r="D103" s="2407"/>
      <c r="E103" s="2407"/>
      <c r="F103" s="2402"/>
      <c r="G103" s="2402"/>
      <c r="H103" s="2402"/>
      <c r="I103" s="2497"/>
      <c r="J103" s="2501" t="s">
        <v>1298</v>
      </c>
      <c r="K103" s="2502"/>
      <c r="L103" s="2503">
        <f>SUM(L6:L102)</f>
        <v>39666042</v>
      </c>
    </row>
    <row r="104" spans="1:12" ht="12.75" customHeight="1">
      <c r="I104" s="2492"/>
      <c r="J104" s="2492"/>
      <c r="K104" s="2492"/>
      <c r="L104" s="2504"/>
    </row>
    <row r="105" spans="1:12">
      <c r="B105" s="2491"/>
      <c r="C105" s="2492"/>
      <c r="D105" s="2492"/>
      <c r="E105" s="2492"/>
      <c r="F105" s="2492"/>
      <c r="G105" s="2492"/>
      <c r="H105" s="2492"/>
      <c r="I105" s="2492"/>
      <c r="J105" s="2492"/>
      <c r="K105" s="2492"/>
      <c r="L105" s="2493"/>
    </row>
    <row r="106" spans="1:12">
      <c r="B106" s="2491"/>
      <c r="C106" s="2492"/>
      <c r="D106" s="2492"/>
      <c r="E106" s="2492"/>
      <c r="F106" s="2492"/>
      <c r="G106" s="2492"/>
      <c r="H106" s="2492"/>
      <c r="I106" s="2492"/>
      <c r="J106" s="2492"/>
      <c r="K106" s="2492"/>
      <c r="L106" s="2493"/>
    </row>
    <row r="107" spans="1:12" ht="18" customHeight="1">
      <c r="B107" s="2494"/>
      <c r="C107" s="2492"/>
      <c r="D107" s="2492"/>
      <c r="E107" s="2492"/>
      <c r="F107" s="2494" t="str">
        <f>GA!B33</f>
        <v>Assistant Engineer,</v>
      </c>
      <c r="G107" s="2492"/>
      <c r="H107" s="2492"/>
      <c r="I107" s="3958" t="s">
        <v>742</v>
      </c>
      <c r="J107" s="3958"/>
      <c r="K107" s="3958"/>
      <c r="L107" s="2493"/>
    </row>
    <row r="108" spans="1:12" ht="18" customHeight="1">
      <c r="B108" s="2494"/>
      <c r="C108" s="2492"/>
      <c r="D108" s="2492"/>
      <c r="E108" s="2492"/>
      <c r="F108" s="2494" t="str">
        <f>'Slab Culvert 1V 6m x 2m spa'!B113</f>
        <v>PRSD, Maddur</v>
      </c>
      <c r="G108" s="2492"/>
      <c r="H108" s="2492"/>
      <c r="I108" s="3958" t="str">
        <f>'Slab Culvert 1V 6m x 2m spa'!F113</f>
        <v>PRSD, Maddur</v>
      </c>
      <c r="J108" s="3958"/>
      <c r="K108" s="3958"/>
      <c r="L108" s="2493"/>
    </row>
    <row r="109" spans="1:12">
      <c r="B109" s="2494"/>
      <c r="C109" s="2492"/>
      <c r="D109" s="2492"/>
      <c r="E109" s="2492"/>
      <c r="F109" s="2494"/>
      <c r="G109" s="2492"/>
      <c r="H109" s="2492"/>
      <c r="I109" s="2492"/>
      <c r="J109" s="2495"/>
      <c r="K109" s="2495"/>
      <c r="L109" s="2493"/>
    </row>
    <row r="110" spans="1:12">
      <c r="B110" s="2494"/>
      <c r="C110" s="2492"/>
      <c r="D110" s="2492"/>
      <c r="E110" s="2492"/>
      <c r="F110" s="2494"/>
      <c r="G110" s="2492"/>
      <c r="H110" s="2492"/>
      <c r="I110" s="2492"/>
      <c r="J110" s="2495"/>
      <c r="K110" s="2495"/>
      <c r="L110" s="2493"/>
    </row>
    <row r="111" spans="1:12">
      <c r="B111" s="2496"/>
      <c r="C111" s="2492"/>
      <c r="D111" s="2492"/>
      <c r="E111" s="2492"/>
      <c r="F111" s="2495"/>
      <c r="G111" s="2492"/>
      <c r="H111" s="2492"/>
      <c r="I111" s="2492"/>
      <c r="J111" s="2495"/>
      <c r="K111" s="2495"/>
      <c r="L111" s="2493"/>
    </row>
    <row r="112" spans="1:12" ht="18" customHeight="1">
      <c r="B112" s="2494"/>
      <c r="C112" s="2492"/>
      <c r="D112" s="2492"/>
      <c r="E112" s="2492"/>
      <c r="F112" s="2494" t="s">
        <v>857</v>
      </c>
      <c r="G112" s="2492"/>
      <c r="H112" s="2492"/>
      <c r="I112" s="3958" t="s">
        <v>684</v>
      </c>
      <c r="J112" s="3958"/>
      <c r="K112" s="3958"/>
      <c r="L112" s="2496"/>
    </row>
    <row r="113" spans="1:20" s="2390" customFormat="1" ht="18" customHeight="1">
      <c r="A113" s="2484"/>
      <c r="B113" s="2494"/>
      <c r="C113" s="2492"/>
      <c r="D113" s="2492"/>
      <c r="E113" s="2492"/>
      <c r="F113" s="2494" t="str">
        <f>'Slab Culvert 1V 6m x 2m spa'!J113</f>
        <v>PIU, Narayanpet</v>
      </c>
      <c r="G113" s="2492"/>
      <c r="H113" s="2492"/>
      <c r="I113" s="3959">
        <f>'Slab Culvert 1V 6m x 2m spa'!I118</f>
        <v>0</v>
      </c>
      <c r="J113" s="3959"/>
      <c r="K113" s="3959"/>
      <c r="L113" s="2493"/>
      <c r="M113" s="2388"/>
      <c r="N113" s="2388"/>
      <c r="O113" s="2388"/>
      <c r="P113" s="2388"/>
      <c r="Q113" s="2388"/>
      <c r="R113" s="2388"/>
      <c r="S113" s="2388"/>
      <c r="T113" s="2388"/>
    </row>
    <row r="114" spans="1:20">
      <c r="B114" s="2491"/>
      <c r="C114" s="2492"/>
      <c r="D114" s="2492"/>
      <c r="E114" s="2492"/>
      <c r="F114" s="2492"/>
      <c r="G114" s="2492"/>
      <c r="H114" s="2492"/>
      <c r="I114" s="2492"/>
      <c r="J114" s="2492"/>
      <c r="K114" s="2492"/>
      <c r="L114" s="2493"/>
    </row>
    <row r="115" spans="1:20">
      <c r="B115" s="2491"/>
      <c r="C115" s="2492"/>
      <c r="D115" s="2492"/>
      <c r="E115" s="2492"/>
      <c r="F115" s="2492"/>
      <c r="G115" s="2492"/>
      <c r="H115" s="2492"/>
      <c r="I115" s="2492"/>
      <c r="J115" s="2492"/>
      <c r="K115" s="2492"/>
      <c r="L115" s="2493"/>
    </row>
    <row r="116" spans="1:20">
      <c r="B116" s="2491"/>
      <c r="C116" s="2492"/>
      <c r="D116" s="2492"/>
      <c r="E116" s="2492"/>
      <c r="F116" s="2492"/>
      <c r="G116" s="2492"/>
      <c r="H116" s="2492"/>
      <c r="I116" s="2492"/>
      <c r="J116" s="2492"/>
      <c r="K116" s="2492"/>
      <c r="L116" s="2493"/>
    </row>
    <row r="117" spans="1:20">
      <c r="B117" s="2491"/>
      <c r="C117" s="2492"/>
      <c r="D117" s="2492"/>
      <c r="E117" s="2492"/>
      <c r="F117" s="2492"/>
      <c r="G117" s="2492"/>
      <c r="H117" s="2492"/>
      <c r="I117" s="2492"/>
      <c r="J117" s="2492"/>
      <c r="K117" s="2492"/>
      <c r="L117" s="2493"/>
    </row>
    <row r="118" spans="1:20">
      <c r="B118" s="2491"/>
      <c r="C118" s="2492"/>
      <c r="D118" s="2492"/>
      <c r="E118" s="2492"/>
      <c r="F118" s="2492"/>
      <c r="G118" s="2492"/>
      <c r="H118" s="2492"/>
      <c r="I118" s="2492"/>
      <c r="J118" s="2492"/>
      <c r="K118" s="2492"/>
      <c r="L118" s="2493"/>
    </row>
  </sheetData>
  <protectedRanges>
    <protectedRange sqref="B107:B113 F107:F113" name="Range4"/>
    <protectedRange sqref="K107:K113 I107:I108 I112 J109:J111" name="Range4_1"/>
  </protectedRanges>
  <mergeCells count="30">
    <mergeCell ref="I108:K108"/>
    <mergeCell ref="I112:K112"/>
    <mergeCell ref="I113:K113"/>
    <mergeCell ref="B82:K82"/>
    <mergeCell ref="B86:K86"/>
    <mergeCell ref="B93:K93"/>
    <mergeCell ref="B97:K97"/>
    <mergeCell ref="B100:K100"/>
    <mergeCell ref="B66:K66"/>
    <mergeCell ref="B70:K70"/>
    <mergeCell ref="B74:K74"/>
    <mergeCell ref="B78:K78"/>
    <mergeCell ref="I107:K107"/>
    <mergeCell ref="B41:K41"/>
    <mergeCell ref="B49:K49"/>
    <mergeCell ref="B54:K54"/>
    <mergeCell ref="B58:K58"/>
    <mergeCell ref="B62:K62"/>
    <mergeCell ref="B35:K35"/>
    <mergeCell ref="A1:L1"/>
    <mergeCell ref="A2:B2"/>
    <mergeCell ref="F2:L2"/>
    <mergeCell ref="A3:L3"/>
    <mergeCell ref="C4:E4"/>
    <mergeCell ref="C5:E5"/>
    <mergeCell ref="B6:K6"/>
    <mergeCell ref="B11:K11"/>
    <mergeCell ref="B15:K15"/>
    <mergeCell ref="B20:K20"/>
    <mergeCell ref="B25:K25"/>
  </mergeCells>
  <printOptions horizontalCentered="1"/>
  <pageMargins left="0.35" right="0.2" top="0.55000000000000004" bottom="0.35" header="0.31496062992126" footer="0.31496062992126"/>
  <pageSetup paperSize="9" scale="88"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5" tint="-0.249977111117893"/>
  </sheetPr>
  <dimension ref="A1:L682"/>
  <sheetViews>
    <sheetView view="pageBreakPreview" topLeftCell="A305" zoomScale="90" zoomScaleNormal="85" zoomScaleSheetLayoutView="90" workbookViewId="0">
      <selection activeCell="J335" sqref="J335"/>
    </sheetView>
  </sheetViews>
  <sheetFormatPr defaultColWidth="9.109375" defaultRowHeight="15"/>
  <cols>
    <col min="1" max="1" width="5.109375" style="2597" customWidth="1"/>
    <col min="2" max="2" width="11" style="2597" customWidth="1"/>
    <col min="3" max="3" width="9.6640625" style="2506" customWidth="1"/>
    <col min="4" max="4" width="9.88671875" style="2506" customWidth="1"/>
    <col min="5" max="5" width="10.88671875" style="2506" customWidth="1"/>
    <col min="6" max="6" width="8.5546875" style="2506" customWidth="1"/>
    <col min="7" max="7" width="8.88671875" style="2506" customWidth="1"/>
    <col min="8" max="8" width="12.33203125" style="2506" customWidth="1"/>
    <col min="9" max="9" width="6.6640625" style="2506" customWidth="1"/>
    <col min="10" max="10" width="14.109375" style="2598" customWidth="1"/>
    <col min="11" max="11" width="14" style="2506" customWidth="1"/>
    <col min="12" max="16384" width="9.109375" style="2506"/>
  </cols>
  <sheetData>
    <row r="1" spans="1:10" ht="24.75" customHeight="1">
      <c r="A1" s="2505"/>
      <c r="B1" s="3960" t="s">
        <v>1875</v>
      </c>
      <c r="C1" s="3961"/>
      <c r="D1" s="3961"/>
      <c r="E1" s="3961"/>
      <c r="F1" s="3961"/>
      <c r="G1" s="3961"/>
      <c r="H1" s="3961"/>
      <c r="I1" s="3961"/>
      <c r="J1" s="3961"/>
    </row>
    <row r="2" spans="1:10" s="2510" customFormat="1" ht="41.25" customHeight="1">
      <c r="A2" s="2507"/>
      <c r="B2" s="2508" t="s">
        <v>1</v>
      </c>
      <c r="C2" s="2509"/>
      <c r="D2" s="3962" t="str">
        <f>'Input Data'!E1</f>
        <v>C/o HLB on R/F Amlikunta to Gundumal of Gundumal Mandal of Narayanept District.</v>
      </c>
      <c r="E2" s="3963"/>
      <c r="F2" s="3963"/>
      <c r="G2" s="3963"/>
      <c r="H2" s="3963"/>
      <c r="I2" s="3963"/>
      <c r="J2" s="3963"/>
    </row>
    <row r="3" spans="1:10" ht="32.25" customHeight="1">
      <c r="A3" s="2505" t="s">
        <v>2</v>
      </c>
      <c r="B3" s="3964" t="s">
        <v>3</v>
      </c>
      <c r="C3" s="3964"/>
      <c r="D3" s="3965" t="s">
        <v>4</v>
      </c>
      <c r="E3" s="3965"/>
      <c r="F3" s="3965"/>
      <c r="G3" s="3965"/>
      <c r="H3" s="2511" t="s">
        <v>5</v>
      </c>
      <c r="I3" s="2511" t="s">
        <v>6</v>
      </c>
      <c r="J3" s="2512" t="s">
        <v>7</v>
      </c>
    </row>
    <row r="4" spans="1:10" ht="17.25" customHeight="1">
      <c r="A4" s="2513"/>
      <c r="B4" s="2513" t="s">
        <v>1876</v>
      </c>
      <c r="C4" s="2514"/>
      <c r="D4" s="2513"/>
      <c r="E4" s="2513"/>
      <c r="F4" s="2513"/>
      <c r="G4" s="2513"/>
      <c r="H4" s="2513"/>
      <c r="I4" s="2513"/>
      <c r="J4" s="2513"/>
    </row>
    <row r="5" spans="1:10" s="2516" customFormat="1" ht="111.6" customHeight="1">
      <c r="A5" s="2515">
        <f>'Pipe data'!A181+1</f>
        <v>8</v>
      </c>
      <c r="B5" s="3966" t="s">
        <v>2960</v>
      </c>
      <c r="C5" s="3966"/>
      <c r="D5" s="3966"/>
      <c r="E5" s="3966"/>
      <c r="F5" s="3966"/>
      <c r="G5" s="3966"/>
      <c r="H5" s="3966"/>
      <c r="I5" s="3966"/>
      <c r="J5" s="3966"/>
    </row>
    <row r="6" spans="1:10" s="2516" customFormat="1" ht="20.100000000000001" customHeight="1">
      <c r="A6" s="2517"/>
      <c r="B6" s="2505"/>
      <c r="C6" s="2517"/>
      <c r="D6" s="2518" t="s">
        <v>10</v>
      </c>
      <c r="E6" s="2517"/>
      <c r="F6" s="2519" t="s">
        <v>1877</v>
      </c>
      <c r="G6" s="2517"/>
      <c r="H6" s="2517"/>
      <c r="I6" s="2517"/>
      <c r="J6" s="2517"/>
    </row>
    <row r="7" spans="1:10" s="2516" customFormat="1" ht="20.100000000000001" customHeight="1">
      <c r="A7" s="2517"/>
      <c r="B7" s="2505"/>
      <c r="C7" s="2517"/>
      <c r="D7" s="2518" t="s">
        <v>56</v>
      </c>
      <c r="E7" s="2517"/>
      <c r="F7" s="2517"/>
      <c r="G7" s="2517"/>
      <c r="H7" s="2517"/>
      <c r="I7" s="2517"/>
      <c r="J7" s="2517"/>
    </row>
    <row r="8" spans="1:10" s="2516" customFormat="1" ht="20.100000000000001" customHeight="1">
      <c r="A8" s="2517"/>
      <c r="B8" s="2520" t="s">
        <v>36</v>
      </c>
      <c r="C8" s="2521" t="s">
        <v>37</v>
      </c>
      <c r="D8" s="2517"/>
      <c r="E8" s="2517"/>
      <c r="F8" s="2517"/>
      <c r="G8" s="2517"/>
      <c r="H8" s="2517"/>
      <c r="I8" s="2517"/>
      <c r="J8" s="2517"/>
    </row>
    <row r="9" spans="1:10" s="2516" customFormat="1" ht="20.100000000000001" customHeight="1">
      <c r="A9" s="2517"/>
      <c r="B9" s="2522">
        <v>0.64</v>
      </c>
      <c r="C9" s="2523" t="s">
        <v>57</v>
      </c>
      <c r="D9" s="2518" t="s">
        <v>14</v>
      </c>
      <c r="E9" s="2517"/>
      <c r="F9" s="2517"/>
      <c r="G9" s="2517"/>
      <c r="H9" s="2522">
        <f>+'SSR-rates'!$K$58</f>
        <v>575</v>
      </c>
      <c r="I9" s="2522" t="s">
        <v>38</v>
      </c>
      <c r="J9" s="2524">
        <f>ROUND(B9*H9,2)</f>
        <v>368</v>
      </c>
    </row>
    <row r="10" spans="1:10" s="2516" customFormat="1" ht="20.100000000000001" customHeight="1">
      <c r="A10" s="2517"/>
      <c r="B10" s="2522">
        <v>1</v>
      </c>
      <c r="C10" s="2523" t="s">
        <v>57</v>
      </c>
      <c r="D10" s="2518" t="s">
        <v>58</v>
      </c>
      <c r="E10" s="2517"/>
      <c r="F10" s="2517"/>
      <c r="G10" s="2517"/>
      <c r="H10" s="2522">
        <f>+'SSR-rates'!$K$54</f>
        <v>615</v>
      </c>
      <c r="I10" s="2522" t="s">
        <v>38</v>
      </c>
      <c r="J10" s="2524">
        <f>ROUND(B10*H10,2)</f>
        <v>615</v>
      </c>
    </row>
    <row r="11" spans="1:10" s="2516" customFormat="1" ht="20.100000000000001" customHeight="1">
      <c r="A11" s="2517"/>
      <c r="B11" s="2522">
        <v>15</v>
      </c>
      <c r="C11" s="2523" t="s">
        <v>57</v>
      </c>
      <c r="D11" s="2518" t="s">
        <v>59</v>
      </c>
      <c r="E11" s="2517"/>
      <c r="F11" s="2517"/>
      <c r="G11" s="2517"/>
      <c r="H11" s="2522">
        <f>+'SSR-rates'!$K$58</f>
        <v>575</v>
      </c>
      <c r="I11" s="2522" t="s">
        <v>38</v>
      </c>
      <c r="J11" s="2524">
        <f>ROUND(B11*H11,2)</f>
        <v>8625</v>
      </c>
    </row>
    <row r="12" spans="1:10" ht="20.100000000000001" customHeight="1">
      <c r="A12" s="2520"/>
      <c r="B12" s="2525">
        <f>+'Input Data'!D23</f>
        <v>0</v>
      </c>
      <c r="C12" s="2526"/>
      <c r="D12" s="2517" t="s">
        <v>17</v>
      </c>
      <c r="E12" s="2517"/>
      <c r="F12" s="2523"/>
      <c r="G12" s="2523"/>
      <c r="H12" s="2522">
        <f>SUM(J9:J11)</f>
        <v>9608</v>
      </c>
      <c r="I12" s="2505"/>
      <c r="J12" s="2524">
        <f>B12*H12</f>
        <v>0</v>
      </c>
    </row>
    <row r="13" spans="1:10" s="2516" customFormat="1" ht="20.100000000000001" customHeight="1">
      <c r="A13" s="2517"/>
      <c r="B13" s="2522"/>
      <c r="C13" s="2517"/>
      <c r="D13" s="2518" t="s">
        <v>60</v>
      </c>
      <c r="E13" s="2517"/>
      <c r="F13" s="2517"/>
      <c r="G13" s="2517"/>
      <c r="H13" s="2522"/>
      <c r="I13" s="2522"/>
      <c r="J13" s="2527">
        <f>SUM(J9:J12)</f>
        <v>9608</v>
      </c>
    </row>
    <row r="14" spans="1:10" s="2516" customFormat="1" ht="20.100000000000001" customHeight="1">
      <c r="A14" s="2517"/>
      <c r="B14" s="2520" t="s">
        <v>39</v>
      </c>
      <c r="C14" s="2521" t="s">
        <v>61</v>
      </c>
      <c r="D14" s="2517"/>
      <c r="E14" s="2517"/>
      <c r="F14" s="2517"/>
      <c r="G14" s="2517"/>
      <c r="H14" s="2517"/>
      <c r="I14" s="2522"/>
      <c r="J14" s="2524"/>
    </row>
    <row r="15" spans="1:10" s="2516" customFormat="1" ht="20.100000000000001" customHeight="1">
      <c r="A15" s="2517"/>
      <c r="B15" s="2522">
        <v>13.8</v>
      </c>
      <c r="C15" s="2523" t="s">
        <v>31</v>
      </c>
      <c r="D15" s="2518" t="s">
        <v>1857</v>
      </c>
      <c r="E15" s="2517"/>
      <c r="F15" s="2517"/>
      <c r="G15" s="2517"/>
      <c r="H15" s="2522">
        <f>lead!$J$14</f>
        <v>1590.8641904678079</v>
      </c>
      <c r="I15" s="2522" t="s">
        <v>31</v>
      </c>
      <c r="J15" s="2524">
        <f>ROUND(B15*H15,2)</f>
        <v>21953.93</v>
      </c>
    </row>
    <row r="16" spans="1:10" s="2516" customFormat="1" ht="45" customHeight="1">
      <c r="A16" s="2517"/>
      <c r="B16" s="2522">
        <f>6.9/2</f>
        <v>3.45</v>
      </c>
      <c r="C16" s="2523" t="s">
        <v>31</v>
      </c>
      <c r="D16" s="3967" t="s">
        <v>1716</v>
      </c>
      <c r="E16" s="3967"/>
      <c r="F16" s="3967"/>
      <c r="G16" s="3967"/>
      <c r="H16" s="2528">
        <f>lead!$J$31</f>
        <v>1760.9684020595876</v>
      </c>
      <c r="I16" s="2522" t="s">
        <v>31</v>
      </c>
      <c r="J16" s="2524">
        <f>ROUND(B16*H16,2)</f>
        <v>6075.34</v>
      </c>
    </row>
    <row r="17" spans="1:10" s="2516" customFormat="1" ht="35.1" customHeight="1">
      <c r="A17" s="2517"/>
      <c r="B17" s="2522">
        <f>+B16</f>
        <v>3.45</v>
      </c>
      <c r="C17" s="2523" t="s">
        <v>31</v>
      </c>
      <c r="D17" s="3967" t="s">
        <v>1717</v>
      </c>
      <c r="E17" s="3967"/>
      <c r="F17" s="3967"/>
      <c r="G17" s="3967"/>
      <c r="H17" s="2528">
        <f>lead!$J$33</f>
        <v>1760.9684020595876</v>
      </c>
      <c r="I17" s="2522" t="s">
        <v>31</v>
      </c>
      <c r="J17" s="2524">
        <f>ROUND(B17*H17,2)</f>
        <v>6075.34</v>
      </c>
    </row>
    <row r="18" spans="1:10" s="2516" customFormat="1" ht="20.100000000000001" customHeight="1">
      <c r="A18" s="2517"/>
      <c r="B18" s="2522">
        <v>3.3</v>
      </c>
      <c r="C18" s="2523" t="s">
        <v>66</v>
      </c>
      <c r="D18" s="2518" t="s">
        <v>67</v>
      </c>
      <c r="E18" s="2517"/>
      <c r="F18" s="2517"/>
      <c r="G18" s="2517"/>
      <c r="H18" s="2522">
        <f>lead!$J$36</f>
        <v>5000</v>
      </c>
      <c r="I18" s="2522" t="s">
        <v>66</v>
      </c>
      <c r="J18" s="2524">
        <f>ROUND(B18*H18,2)</f>
        <v>16500</v>
      </c>
    </row>
    <row r="19" spans="1:10" s="2516" customFormat="1" ht="20.100000000000001" customHeight="1">
      <c r="A19" s="2517"/>
      <c r="B19" s="2529"/>
      <c r="C19" s="2526"/>
      <c r="D19" s="2518" t="s">
        <v>60</v>
      </c>
      <c r="E19" s="2517"/>
      <c r="F19" s="2517"/>
      <c r="G19" s="2517"/>
      <c r="H19" s="2522"/>
      <c r="I19" s="2522"/>
      <c r="J19" s="2527">
        <f>SUM(J15:J18)</f>
        <v>50604.61</v>
      </c>
    </row>
    <row r="20" spans="1:10" s="2516" customFormat="1" ht="20.100000000000001" customHeight="1">
      <c r="A20" s="2517"/>
      <c r="B20" s="2520" t="s">
        <v>1858</v>
      </c>
      <c r="C20" s="2521" t="s">
        <v>40</v>
      </c>
      <c r="D20" s="2517"/>
      <c r="E20" s="2517"/>
      <c r="F20" s="2517"/>
      <c r="G20" s="2517"/>
      <c r="H20" s="2522"/>
      <c r="I20" s="2522"/>
      <c r="J20" s="2524"/>
    </row>
    <row r="21" spans="1:10" s="2516" customFormat="1" ht="20.100000000000001" customHeight="1">
      <c r="A21" s="2517"/>
      <c r="B21" s="2522">
        <v>6</v>
      </c>
      <c r="C21" s="2523" t="s">
        <v>41</v>
      </c>
      <c r="D21" s="2518" t="s">
        <v>68</v>
      </c>
      <c r="E21" s="2517"/>
      <c r="F21" s="2517"/>
      <c r="G21" s="2517"/>
      <c r="H21" s="2522">
        <f>'SSR-rates'!K88</f>
        <v>697.9</v>
      </c>
      <c r="I21" s="2522" t="s">
        <v>41</v>
      </c>
      <c r="J21" s="2524">
        <f>ROUND(B21*H21,2)</f>
        <v>4187.3999999999996</v>
      </c>
    </row>
    <row r="22" spans="1:10" s="2516" customFormat="1" ht="20.100000000000001" customHeight="1">
      <c r="A22" s="2520"/>
      <c r="B22" s="2522">
        <v>6</v>
      </c>
      <c r="C22" s="2523" t="s">
        <v>41</v>
      </c>
      <c r="D22" s="2518" t="s">
        <v>1859</v>
      </c>
      <c r="E22" s="2517"/>
      <c r="F22" s="2517"/>
      <c r="G22" s="2517"/>
      <c r="H22" s="2522">
        <f>'SSR-rates'!K87</f>
        <v>1323.5</v>
      </c>
      <c r="I22" s="2522" t="s">
        <v>41</v>
      </c>
      <c r="J22" s="2524">
        <f>ROUND(B22*H22,2)</f>
        <v>7941</v>
      </c>
    </row>
    <row r="23" spans="1:10" s="2516" customFormat="1" ht="20.100000000000001" customHeight="1">
      <c r="A23" s="2520"/>
      <c r="B23" s="2522">
        <v>3</v>
      </c>
      <c r="C23" s="2523" t="s">
        <v>41</v>
      </c>
      <c r="D23" s="2518" t="s">
        <v>213</v>
      </c>
      <c r="E23" s="2517"/>
      <c r="F23" s="2517"/>
      <c r="G23" s="2517"/>
      <c r="H23" s="2522">
        <f>'SSR-rates'!K69</f>
        <v>769</v>
      </c>
      <c r="I23" s="2522" t="s">
        <v>41</v>
      </c>
      <c r="J23" s="2524">
        <f>ROUND(B23*H23,2)</f>
        <v>2307</v>
      </c>
    </row>
    <row r="24" spans="1:10" s="2516" customFormat="1" ht="20.100000000000001" customHeight="1">
      <c r="A24" s="2520"/>
      <c r="B24" s="2522"/>
      <c r="C24" s="2526"/>
      <c r="D24" s="2518" t="s">
        <v>60</v>
      </c>
      <c r="E24" s="2517"/>
      <c r="F24" s="2517"/>
      <c r="G24" s="2517"/>
      <c r="H24" s="2522"/>
      <c r="I24" s="2522"/>
      <c r="J24" s="2527">
        <f>SUM(J21:J23)</f>
        <v>14435.4</v>
      </c>
    </row>
    <row r="25" spans="1:10" s="2516" customFormat="1" ht="20.100000000000001" customHeight="1">
      <c r="A25" s="2520"/>
      <c r="B25" s="2520" t="s">
        <v>45</v>
      </c>
      <c r="C25" s="2530" t="s">
        <v>1238</v>
      </c>
      <c r="D25" s="2517"/>
      <c r="E25" s="2517"/>
      <c r="F25" s="2523"/>
      <c r="G25" s="2523"/>
      <c r="H25" s="2523"/>
      <c r="I25" s="2523"/>
      <c r="J25" s="2527"/>
    </row>
    <row r="26" spans="1:10" s="2516" customFormat="1" ht="20.100000000000001" customHeight="1">
      <c r="A26" s="2517"/>
      <c r="B26" s="2531">
        <f>'Input Data'!$D$25</f>
        <v>0.19614999999999999</v>
      </c>
      <c r="C26" s="2530" t="s">
        <v>1238</v>
      </c>
      <c r="D26" s="2517"/>
      <c r="E26" s="2517"/>
      <c r="F26" s="2523"/>
      <c r="G26" s="2523"/>
      <c r="H26" s="2523"/>
      <c r="I26" s="2523"/>
      <c r="J26" s="2524">
        <f>ROUND((J13+J19+J24)*B26,2)</f>
        <v>14642.21</v>
      </c>
    </row>
    <row r="27" spans="1:10" s="2516" customFormat="1" ht="20.100000000000001" customHeight="1">
      <c r="A27" s="2517"/>
      <c r="B27" s="2532">
        <f>'Input Data'!$E$24</f>
        <v>0.1</v>
      </c>
      <c r="C27" s="2533" t="s">
        <v>1220</v>
      </c>
      <c r="D27" s="2517"/>
      <c r="E27" s="2517"/>
      <c r="F27" s="2523"/>
      <c r="G27" s="2523"/>
      <c r="H27" s="2526">
        <f>J13+J19+J24+J26</f>
        <v>89290.22</v>
      </c>
      <c r="I27" s="2523"/>
      <c r="J27" s="2524">
        <f>H27*B27</f>
        <v>8929.0220000000008</v>
      </c>
    </row>
    <row r="28" spans="1:10" s="2516" customFormat="1" ht="20.100000000000001" customHeight="1">
      <c r="A28" s="2517"/>
      <c r="B28" s="2520" t="s">
        <v>47</v>
      </c>
      <c r="C28" s="2530" t="s">
        <v>89</v>
      </c>
      <c r="D28" s="2517"/>
      <c r="E28" s="2517"/>
      <c r="F28" s="2523"/>
      <c r="G28" s="2523"/>
      <c r="H28" s="2523"/>
      <c r="I28" s="2523"/>
      <c r="J28" s="2527">
        <f>J13+J19+J24+J26+J27</f>
        <v>98219.241999999998</v>
      </c>
    </row>
    <row r="29" spans="1:10" s="2516" customFormat="1" ht="20.100000000000001" customHeight="1">
      <c r="A29" s="2517"/>
      <c r="B29" s="2529"/>
      <c r="C29" s="2523"/>
      <c r="D29" s="2521" t="s">
        <v>1814</v>
      </c>
      <c r="E29" s="2517"/>
      <c r="F29" s="2517"/>
      <c r="G29" s="2517"/>
      <c r="H29" s="2522"/>
      <c r="I29" s="2522"/>
      <c r="J29" s="2527">
        <f>SUM(J28:J28)</f>
        <v>98219.241999999998</v>
      </c>
    </row>
    <row r="30" spans="1:10" s="2516" customFormat="1" ht="20.100000000000001" customHeight="1">
      <c r="A30" s="2517"/>
      <c r="B30" s="2522"/>
      <c r="C30" s="2523"/>
      <c r="D30" s="2518" t="s">
        <v>81</v>
      </c>
      <c r="E30" s="2517"/>
      <c r="F30" s="2517"/>
      <c r="G30" s="2517"/>
      <c r="H30" s="2522"/>
      <c r="I30" s="2522"/>
      <c r="J30" s="2524">
        <f>ROUND(J29/15,2)</f>
        <v>6547.95</v>
      </c>
    </row>
    <row r="31" spans="1:10" s="2516" customFormat="1" ht="20.100000000000001" customHeight="1">
      <c r="A31" s="2534"/>
      <c r="B31" s="2505"/>
      <c r="C31" s="2517"/>
      <c r="D31" s="2518" t="s">
        <v>52</v>
      </c>
      <c r="E31" s="2517"/>
      <c r="F31" s="2517"/>
      <c r="G31" s="2517"/>
      <c r="H31" s="2522"/>
      <c r="I31" s="2522"/>
      <c r="J31" s="2535">
        <f>ROUND(J30,2)</f>
        <v>6547.95</v>
      </c>
    </row>
    <row r="32" spans="1:10" s="2516" customFormat="1" ht="20.100000000000001" customHeight="1">
      <c r="A32" s="2517"/>
      <c r="B32" s="2505"/>
      <c r="C32" s="2517"/>
      <c r="D32" s="2518"/>
      <c r="E32" s="2517"/>
      <c r="F32" s="2517"/>
      <c r="G32" s="2517"/>
      <c r="H32" s="2522"/>
      <c r="I32" s="2522"/>
      <c r="J32" s="2527" t="s">
        <v>53</v>
      </c>
    </row>
    <row r="33" spans="1:10" s="2516" customFormat="1" ht="115.2" customHeight="1">
      <c r="A33" s="2515">
        <f>A5+1</f>
        <v>9</v>
      </c>
      <c r="B33" s="3966" t="s">
        <v>2961</v>
      </c>
      <c r="C33" s="3966"/>
      <c r="D33" s="3966"/>
      <c r="E33" s="3966"/>
      <c r="F33" s="3966"/>
      <c r="G33" s="3966"/>
      <c r="H33" s="3966"/>
      <c r="I33" s="3966"/>
      <c r="J33" s="3966"/>
    </row>
    <row r="34" spans="1:10" s="2516" customFormat="1" ht="20.100000000000001" customHeight="1">
      <c r="A34" s="2517"/>
      <c r="B34" s="2505"/>
      <c r="C34" s="2517"/>
      <c r="D34" s="2518" t="s">
        <v>10</v>
      </c>
      <c r="E34" s="2517"/>
      <c r="F34" s="2517"/>
      <c r="G34" s="2517"/>
      <c r="H34" s="2517"/>
      <c r="I34" s="2517"/>
      <c r="J34" s="2517"/>
    </row>
    <row r="35" spans="1:10" s="2516" customFormat="1" ht="20.100000000000001" customHeight="1">
      <c r="A35" s="2517"/>
      <c r="B35" s="2505"/>
      <c r="C35" s="2517"/>
      <c r="D35" s="2518" t="s">
        <v>56</v>
      </c>
      <c r="E35" s="2517"/>
      <c r="F35" s="2517"/>
      <c r="G35" s="2517"/>
      <c r="H35" s="2517"/>
      <c r="I35" s="2517"/>
      <c r="J35" s="2517"/>
    </row>
    <row r="36" spans="1:10" s="2516" customFormat="1" ht="20.100000000000001" customHeight="1">
      <c r="A36" s="2517"/>
      <c r="B36" s="2520" t="s">
        <v>36</v>
      </c>
      <c r="C36" s="2521" t="s">
        <v>37</v>
      </c>
      <c r="D36" s="2517"/>
      <c r="E36" s="2517"/>
      <c r="F36" s="2517"/>
      <c r="G36" s="2517"/>
      <c r="H36" s="2517"/>
      <c r="I36" s="2517"/>
      <c r="J36" s="2517"/>
    </row>
    <row r="37" spans="1:10" s="2516" customFormat="1" ht="20.100000000000001" customHeight="1">
      <c r="A37" s="2517"/>
      <c r="B37" s="2522">
        <v>0.86</v>
      </c>
      <c r="C37" s="2523" t="s">
        <v>57</v>
      </c>
      <c r="D37" s="2518" t="s">
        <v>14</v>
      </c>
      <c r="E37" s="2517"/>
      <c r="F37" s="2517"/>
      <c r="G37" s="2517"/>
      <c r="H37" s="2522">
        <f>+'SSR-rates'!$K$58</f>
        <v>575</v>
      </c>
      <c r="I37" s="2522" t="s">
        <v>38</v>
      </c>
      <c r="J37" s="2524">
        <f>ROUND(B37*H37,2)</f>
        <v>494.5</v>
      </c>
    </row>
    <row r="38" spans="1:10" s="2516" customFormat="1" ht="20.100000000000001" customHeight="1">
      <c r="A38" s="2517"/>
      <c r="B38" s="2522">
        <v>1.5</v>
      </c>
      <c r="C38" s="2523" t="s">
        <v>57</v>
      </c>
      <c r="D38" s="2518" t="s">
        <v>58</v>
      </c>
      <c r="E38" s="2517"/>
      <c r="F38" s="2517"/>
      <c r="G38" s="2517"/>
      <c r="H38" s="2522">
        <f>+'SSR-rates'!$K$54</f>
        <v>615</v>
      </c>
      <c r="I38" s="2522" t="s">
        <v>38</v>
      </c>
      <c r="J38" s="2524">
        <f>ROUND(B38*H38,2)</f>
        <v>922.5</v>
      </c>
    </row>
    <row r="39" spans="1:10" s="2516" customFormat="1" ht="20.100000000000001" customHeight="1">
      <c r="A39" s="2517"/>
      <c r="B39" s="2522">
        <v>20</v>
      </c>
      <c r="C39" s="2523" t="s">
        <v>57</v>
      </c>
      <c r="D39" s="2518" t="s">
        <v>59</v>
      </c>
      <c r="E39" s="2517"/>
      <c r="F39" s="2517"/>
      <c r="G39" s="2517"/>
      <c r="H39" s="2522">
        <f>+'SSR-rates'!$K$58</f>
        <v>575</v>
      </c>
      <c r="I39" s="2522" t="s">
        <v>38</v>
      </c>
      <c r="J39" s="2524">
        <f>ROUND(B39*H39,2)</f>
        <v>11500</v>
      </c>
    </row>
    <row r="40" spans="1:10" ht="20.100000000000001" customHeight="1">
      <c r="A40" s="2520"/>
      <c r="B40" s="2525">
        <f>+'Input Data'!D23</f>
        <v>0</v>
      </c>
      <c r="C40" s="2526"/>
      <c r="D40" s="2517" t="s">
        <v>17</v>
      </c>
      <c r="E40" s="2517"/>
      <c r="F40" s="2523"/>
      <c r="G40" s="2523"/>
      <c r="H40" s="2522">
        <f>SUM(J37:J39)</f>
        <v>12917</v>
      </c>
      <c r="I40" s="2505"/>
      <c r="J40" s="2524">
        <f>B40*H40</f>
        <v>0</v>
      </c>
    </row>
    <row r="41" spans="1:10" s="2516" customFormat="1" ht="20.100000000000001" customHeight="1">
      <c r="A41" s="2517"/>
      <c r="B41" s="2522"/>
      <c r="C41" s="2517"/>
      <c r="D41" s="2518" t="s">
        <v>60</v>
      </c>
      <c r="E41" s="2517"/>
      <c r="F41" s="2517"/>
      <c r="G41" s="2517"/>
      <c r="H41" s="2522"/>
      <c r="I41" s="2522"/>
      <c r="J41" s="2527">
        <f>SUM(J37:J40)</f>
        <v>12917</v>
      </c>
    </row>
    <row r="42" spans="1:10" s="2516" customFormat="1" ht="20.100000000000001" customHeight="1">
      <c r="A42" s="2517"/>
      <c r="B42" s="2520" t="s">
        <v>39</v>
      </c>
      <c r="C42" s="2521" t="s">
        <v>61</v>
      </c>
      <c r="D42" s="2517"/>
      <c r="E42" s="2517"/>
      <c r="F42" s="2517"/>
      <c r="G42" s="2517"/>
      <c r="H42" s="2517"/>
      <c r="I42" s="2522"/>
      <c r="J42" s="2524"/>
    </row>
    <row r="43" spans="1:10" s="2516" customFormat="1" ht="20.100000000000001" customHeight="1">
      <c r="A43" s="2517"/>
      <c r="B43" s="2522">
        <v>8.1</v>
      </c>
      <c r="C43" s="2523" t="s">
        <v>31</v>
      </c>
      <c r="D43" s="2518" t="s">
        <v>1857</v>
      </c>
      <c r="E43" s="2517"/>
      <c r="F43" s="2517"/>
      <c r="G43" s="2517"/>
      <c r="H43" s="2522">
        <f>+lead!$J$14</f>
        <v>1590.8641904678079</v>
      </c>
      <c r="I43" s="2522" t="s">
        <v>31</v>
      </c>
      <c r="J43" s="2524">
        <f t="shared" ref="J43:J48" si="0">ROUND(B43*H43,2)</f>
        <v>12886</v>
      </c>
    </row>
    <row r="44" spans="1:10" ht="20.100000000000001" customHeight="1">
      <c r="A44" s="2523"/>
      <c r="B44" s="2522">
        <v>4.05</v>
      </c>
      <c r="C44" s="2523" t="s">
        <v>31</v>
      </c>
      <c r="D44" s="2517" t="s">
        <v>63</v>
      </c>
      <c r="E44" s="2517"/>
      <c r="F44" s="2517"/>
      <c r="G44" s="2517"/>
      <c r="H44" s="2522">
        <f>+lead!$J$16</f>
        <v>1889.8641904678079</v>
      </c>
      <c r="I44" s="2522" t="s">
        <v>31</v>
      </c>
      <c r="J44" s="2518">
        <f t="shared" si="0"/>
        <v>7653.95</v>
      </c>
    </row>
    <row r="45" spans="1:10" ht="20.100000000000001" customHeight="1">
      <c r="A45" s="2523"/>
      <c r="B45" s="2522">
        <v>1.35</v>
      </c>
      <c r="C45" s="2523" t="s">
        <v>31</v>
      </c>
      <c r="D45" s="2517" t="s">
        <v>64</v>
      </c>
      <c r="E45" s="2517"/>
      <c r="F45" s="2517"/>
      <c r="G45" s="2517"/>
      <c r="H45" s="2522">
        <f>+lead!$J$18</f>
        <v>1638.8641904678079</v>
      </c>
      <c r="I45" s="2522" t="s">
        <v>31</v>
      </c>
      <c r="J45" s="2518">
        <f t="shared" si="0"/>
        <v>2212.4699999999998</v>
      </c>
    </row>
    <row r="46" spans="1:10" s="2516" customFormat="1" ht="45" customHeight="1">
      <c r="A46" s="2517"/>
      <c r="B46" s="2529">
        <f>6.75/2</f>
        <v>3.375</v>
      </c>
      <c r="C46" s="2523" t="s">
        <v>31</v>
      </c>
      <c r="D46" s="3967" t="s">
        <v>1716</v>
      </c>
      <c r="E46" s="3967"/>
      <c r="F46" s="3967"/>
      <c r="G46" s="3967"/>
      <c r="H46" s="2528">
        <f>lead!$J$31</f>
        <v>1760.9684020595876</v>
      </c>
      <c r="I46" s="2522" t="s">
        <v>31</v>
      </c>
      <c r="J46" s="2524">
        <f t="shared" si="0"/>
        <v>5943.27</v>
      </c>
    </row>
    <row r="47" spans="1:10" s="2516" customFormat="1" ht="35.1" customHeight="1">
      <c r="A47" s="2517"/>
      <c r="B47" s="2529">
        <f>6.75/2</f>
        <v>3.375</v>
      </c>
      <c r="C47" s="2523" t="s">
        <v>31</v>
      </c>
      <c r="D47" s="3967" t="s">
        <v>1717</v>
      </c>
      <c r="E47" s="3967"/>
      <c r="F47" s="3967"/>
      <c r="G47" s="3967"/>
      <c r="H47" s="2528">
        <f>lead!$J$33</f>
        <v>1760.9684020595876</v>
      </c>
      <c r="I47" s="2522" t="s">
        <v>31</v>
      </c>
      <c r="J47" s="2524">
        <f t="shared" si="0"/>
        <v>5943.27</v>
      </c>
    </row>
    <row r="48" spans="1:10" s="2516" customFormat="1" ht="20.100000000000001" customHeight="1">
      <c r="A48" s="2517"/>
      <c r="B48" s="2522">
        <v>4.13</v>
      </c>
      <c r="C48" s="2523" t="s">
        <v>66</v>
      </c>
      <c r="D48" s="2518" t="s">
        <v>67</v>
      </c>
      <c r="E48" s="2517"/>
      <c r="F48" s="2517"/>
      <c r="G48" s="2517"/>
      <c r="H48" s="2522">
        <f>lead!J36</f>
        <v>5000</v>
      </c>
      <c r="I48" s="2522" t="s">
        <v>66</v>
      </c>
      <c r="J48" s="2524">
        <f t="shared" si="0"/>
        <v>20650</v>
      </c>
    </row>
    <row r="49" spans="1:10" s="2516" customFormat="1" ht="20.100000000000001" customHeight="1">
      <c r="A49" s="2517"/>
      <c r="B49" s="2529"/>
      <c r="C49" s="2526"/>
      <c r="D49" s="2518" t="s">
        <v>60</v>
      </c>
      <c r="E49" s="2517"/>
      <c r="F49" s="2517"/>
      <c r="G49" s="2517"/>
      <c r="H49" s="2522"/>
      <c r="I49" s="2522"/>
      <c r="J49" s="2527">
        <f>SUM(J43:J48)</f>
        <v>55288.960000000006</v>
      </c>
    </row>
    <row r="50" spans="1:10" s="2516" customFormat="1" ht="20.100000000000001" customHeight="1">
      <c r="A50" s="2517"/>
      <c r="B50" s="2520" t="s">
        <v>1858</v>
      </c>
      <c r="C50" s="2521" t="s">
        <v>40</v>
      </c>
      <c r="D50" s="2517"/>
      <c r="E50" s="2517"/>
      <c r="F50" s="2517"/>
      <c r="G50" s="2517"/>
      <c r="H50" s="2522"/>
      <c r="I50" s="2522"/>
      <c r="J50" s="2524"/>
    </row>
    <row r="51" spans="1:10" s="2516" customFormat="1" ht="20.100000000000001" customHeight="1">
      <c r="A51" s="2517"/>
      <c r="B51" s="2522">
        <v>6</v>
      </c>
      <c r="C51" s="2523" t="s">
        <v>41</v>
      </c>
      <c r="D51" s="2518" t="s">
        <v>68</v>
      </c>
      <c r="E51" s="2517"/>
      <c r="F51" s="2517"/>
      <c r="G51" s="2517"/>
      <c r="H51" s="2522">
        <f>+'SSR-rates'!$K$88</f>
        <v>697.9</v>
      </c>
      <c r="I51" s="2522" t="s">
        <v>41</v>
      </c>
      <c r="J51" s="2524">
        <f>ROUND(B51*H51,2)</f>
        <v>4187.3999999999996</v>
      </c>
    </row>
    <row r="52" spans="1:10" s="2516" customFormat="1" ht="20.100000000000001" customHeight="1">
      <c r="A52" s="2520"/>
      <c r="B52" s="2522">
        <v>6</v>
      </c>
      <c r="C52" s="2523" t="s">
        <v>41</v>
      </c>
      <c r="D52" s="2518" t="s">
        <v>1859</v>
      </c>
      <c r="E52" s="2517"/>
      <c r="F52" s="2517"/>
      <c r="G52" s="2517"/>
      <c r="H52" s="2522">
        <f>+'SSR-rates'!$K$87</f>
        <v>1323.5</v>
      </c>
      <c r="I52" s="2522" t="s">
        <v>41</v>
      </c>
      <c r="J52" s="2524">
        <f>ROUND(B52*H52,2)</f>
        <v>7941</v>
      </c>
    </row>
    <row r="53" spans="1:10" s="2516" customFormat="1" ht="20.100000000000001" customHeight="1">
      <c r="A53" s="2520"/>
      <c r="B53" s="2522"/>
      <c r="C53" s="2526"/>
      <c r="D53" s="2518" t="s">
        <v>60</v>
      </c>
      <c r="E53" s="2517"/>
      <c r="F53" s="2517"/>
      <c r="G53" s="2517"/>
      <c r="H53" s="2522"/>
      <c r="I53" s="2522"/>
      <c r="J53" s="2527">
        <f>SUM(J51:J52)</f>
        <v>12128.4</v>
      </c>
    </row>
    <row r="54" spans="1:10" ht="20.100000000000001" customHeight="1">
      <c r="A54" s="2523"/>
      <c r="B54" s="2520" t="s">
        <v>45</v>
      </c>
      <c r="C54" s="2521" t="s">
        <v>71</v>
      </c>
      <c r="D54" s="2517"/>
      <c r="E54" s="2517"/>
      <c r="F54" s="2517"/>
      <c r="G54" s="2517"/>
      <c r="H54" s="2522"/>
      <c r="I54" s="2522"/>
      <c r="J54" s="2518"/>
    </row>
    <row r="55" spans="1:10" ht="20.100000000000001" customHeight="1">
      <c r="A55" s="2523"/>
      <c r="B55" s="2522">
        <v>4</v>
      </c>
      <c r="C55" s="2523" t="s">
        <v>29</v>
      </c>
      <c r="D55" s="2517" t="s">
        <v>1878</v>
      </c>
      <c r="E55" s="2517"/>
      <c r="F55" s="2517"/>
      <c r="G55" s="2517"/>
      <c r="H55" s="2522">
        <f>+J53+J49+J41</f>
        <v>80334.36</v>
      </c>
      <c r="I55" s="2505" t="s">
        <v>73</v>
      </c>
      <c r="J55" s="2518">
        <f>ROUND(B55*H55/100,2)</f>
        <v>3213.37</v>
      </c>
    </row>
    <row r="56" spans="1:10" s="2516" customFormat="1" ht="20.100000000000001" customHeight="1">
      <c r="A56" s="2520"/>
      <c r="B56" s="2520" t="s">
        <v>45</v>
      </c>
      <c r="C56" s="2530" t="s">
        <v>1238</v>
      </c>
      <c r="D56" s="2517"/>
      <c r="E56" s="2517"/>
      <c r="F56" s="2523"/>
      <c r="G56" s="2523"/>
      <c r="H56" s="2523"/>
      <c r="I56" s="2523"/>
      <c r="J56" s="2527"/>
    </row>
    <row r="57" spans="1:10" s="2516" customFormat="1" ht="20.100000000000001" customHeight="1">
      <c r="A57" s="2517"/>
      <c r="B57" s="2531">
        <f>B26</f>
        <v>0.19614999999999999</v>
      </c>
      <c r="C57" s="2530" t="s">
        <v>1238</v>
      </c>
      <c r="D57" s="2517"/>
      <c r="E57" s="2517"/>
      <c r="F57" s="2523"/>
      <c r="G57" s="2523"/>
      <c r="H57" s="2523"/>
      <c r="I57" s="2523"/>
      <c r="J57" s="2524">
        <f>ROUND((J41+J49+J53+J55)*B57,2)</f>
        <v>16387.89</v>
      </c>
    </row>
    <row r="58" spans="1:10" s="2516" customFormat="1" ht="20.100000000000001" customHeight="1">
      <c r="A58" s="2517"/>
      <c r="B58" s="2532">
        <f>'Input Data'!$E$24</f>
        <v>0.1</v>
      </c>
      <c r="C58" s="2533" t="s">
        <v>1220</v>
      </c>
      <c r="D58" s="2517"/>
      <c r="E58" s="2517"/>
      <c r="F58" s="2523"/>
      <c r="G58" s="2523"/>
      <c r="H58" s="2526">
        <f>J41+J49+J53+J55+J57</f>
        <v>99935.62</v>
      </c>
      <c r="I58" s="2523"/>
      <c r="J58" s="2524">
        <f>H58*B58</f>
        <v>9993.5619999999999</v>
      </c>
    </row>
    <row r="59" spans="1:10" s="2516" customFormat="1" ht="20.100000000000001" customHeight="1">
      <c r="A59" s="2517"/>
      <c r="B59" s="2520" t="s">
        <v>47</v>
      </c>
      <c r="C59" s="2530" t="s">
        <v>89</v>
      </c>
      <c r="D59" s="2517"/>
      <c r="E59" s="2517"/>
      <c r="F59" s="2523"/>
      <c r="G59" s="2523"/>
      <c r="H59" s="2523"/>
      <c r="I59" s="2523"/>
      <c r="J59" s="2527">
        <f>J41+J49+J53+J55+J57+J58</f>
        <v>109929.182</v>
      </c>
    </row>
    <row r="60" spans="1:10" s="2516" customFormat="1" ht="20.100000000000001" customHeight="1">
      <c r="A60" s="2517"/>
      <c r="B60" s="2529"/>
      <c r="C60" s="2523"/>
      <c r="D60" s="2521" t="s">
        <v>1814</v>
      </c>
      <c r="E60" s="2517"/>
      <c r="F60" s="2517"/>
      <c r="G60" s="2517"/>
      <c r="H60" s="2522"/>
      <c r="I60" s="2522"/>
      <c r="J60" s="2527">
        <f>SUM(J59:J59)</f>
        <v>109929.182</v>
      </c>
    </row>
    <row r="61" spans="1:10" s="2516" customFormat="1" ht="20.100000000000001" customHeight="1">
      <c r="A61" s="2517"/>
      <c r="B61" s="2522"/>
      <c r="C61" s="2523"/>
      <c r="D61" s="2518" t="s">
        <v>81</v>
      </c>
      <c r="E61" s="2517"/>
      <c r="F61" s="2517"/>
      <c r="G61" s="2517"/>
      <c r="H61" s="2522"/>
      <c r="I61" s="2522"/>
      <c r="J61" s="2524">
        <f>ROUND(J60/15,2)</f>
        <v>7328.61</v>
      </c>
    </row>
    <row r="62" spans="1:10" s="2516" customFormat="1" ht="20.100000000000001" customHeight="1">
      <c r="A62" s="2534"/>
      <c r="B62" s="2505"/>
      <c r="C62" s="2517"/>
      <c r="D62" s="2518" t="s">
        <v>52</v>
      </c>
      <c r="E62" s="2517"/>
      <c r="F62" s="2517"/>
      <c r="G62" s="2517"/>
      <c r="H62" s="2522"/>
      <c r="I62" s="2522"/>
      <c r="J62" s="2535">
        <f>ROUND(J61,2)</f>
        <v>7328.61</v>
      </c>
    </row>
    <row r="63" spans="1:10" s="2516" customFormat="1" ht="20.100000000000001" customHeight="1">
      <c r="A63" s="2517"/>
      <c r="B63" s="2505"/>
      <c r="C63" s="2517"/>
      <c r="D63" s="2518"/>
      <c r="E63" s="2517"/>
      <c r="F63" s="2517"/>
      <c r="G63" s="2517"/>
      <c r="H63" s="2522"/>
      <c r="I63" s="2522"/>
      <c r="J63" s="2527" t="s">
        <v>53</v>
      </c>
    </row>
    <row r="64" spans="1:10" s="2510" customFormat="1" ht="111.6" customHeight="1">
      <c r="A64" s="2515">
        <f>A33+1</f>
        <v>10</v>
      </c>
      <c r="B64" s="3968" t="s">
        <v>2962</v>
      </c>
      <c r="C64" s="3968"/>
      <c r="D64" s="3968"/>
      <c r="E64" s="3968"/>
      <c r="F64" s="3968"/>
      <c r="G64" s="3968"/>
      <c r="H64" s="3968"/>
      <c r="I64" s="3968"/>
      <c r="J64" s="3968"/>
    </row>
    <row r="65" spans="1:10" s="2516" customFormat="1" ht="20.100000000000001" customHeight="1">
      <c r="A65" s="2517"/>
      <c r="B65" s="2505"/>
      <c r="C65" s="2517"/>
      <c r="D65" s="2518" t="s">
        <v>10</v>
      </c>
      <c r="E65" s="2517"/>
      <c r="F65" s="2517"/>
      <c r="G65" s="2517"/>
      <c r="H65" s="2517"/>
      <c r="I65" s="2517"/>
      <c r="J65" s="2517"/>
    </row>
    <row r="66" spans="1:10" s="2516" customFormat="1" ht="20.100000000000001" customHeight="1">
      <c r="A66" s="2517"/>
      <c r="B66" s="2505"/>
      <c r="C66" s="2517"/>
      <c r="D66" s="2518" t="s">
        <v>56</v>
      </c>
      <c r="E66" s="2517"/>
      <c r="F66" s="2517"/>
      <c r="G66" s="2517"/>
      <c r="H66" s="2517"/>
      <c r="I66" s="2517"/>
      <c r="J66" s="2517"/>
    </row>
    <row r="67" spans="1:10" s="2516" customFormat="1" ht="20.100000000000001" customHeight="1">
      <c r="A67" s="2517"/>
      <c r="B67" s="2520" t="s">
        <v>36</v>
      </c>
      <c r="C67" s="2521" t="s">
        <v>37</v>
      </c>
      <c r="D67" s="2517"/>
      <c r="E67" s="2517"/>
      <c r="F67" s="2517"/>
      <c r="G67" s="2517"/>
      <c r="H67" s="2517"/>
      <c r="I67" s="2517"/>
      <c r="J67" s="2517"/>
    </row>
    <row r="68" spans="1:10" s="2516" customFormat="1" ht="20.100000000000001" customHeight="1">
      <c r="A68" s="2517"/>
      <c r="B68" s="2522">
        <v>0.86</v>
      </c>
      <c r="C68" s="2523" t="s">
        <v>57</v>
      </c>
      <c r="D68" s="2518" t="s">
        <v>14</v>
      </c>
      <c r="E68" s="2517"/>
      <c r="F68" s="2517"/>
      <c r="G68" s="2517"/>
      <c r="H68" s="2522">
        <f>'SSR-rates'!$K$58</f>
        <v>575</v>
      </c>
      <c r="I68" s="2522" t="s">
        <v>38</v>
      </c>
      <c r="J68" s="2524">
        <f>ROUND(B68*H68,2)</f>
        <v>494.5</v>
      </c>
    </row>
    <row r="69" spans="1:10" s="2516" customFormat="1" ht="20.100000000000001" customHeight="1">
      <c r="A69" s="2517"/>
      <c r="B69" s="2522">
        <v>1.5</v>
      </c>
      <c r="C69" s="2523" t="s">
        <v>57</v>
      </c>
      <c r="D69" s="2518" t="s">
        <v>58</v>
      </c>
      <c r="E69" s="2517"/>
      <c r="F69" s="2517"/>
      <c r="G69" s="2517"/>
      <c r="H69" s="2522">
        <f>+'SSR-rates'!$K$54</f>
        <v>615</v>
      </c>
      <c r="I69" s="2522" t="s">
        <v>38</v>
      </c>
      <c r="J69" s="2524">
        <f>ROUND(B69*H69,2)</f>
        <v>922.5</v>
      </c>
    </row>
    <row r="70" spans="1:10" s="2516" customFormat="1" ht="20.100000000000001" customHeight="1">
      <c r="A70" s="2517"/>
      <c r="B70" s="2522">
        <v>20</v>
      </c>
      <c r="C70" s="2523" t="s">
        <v>57</v>
      </c>
      <c r="D70" s="2518" t="s">
        <v>59</v>
      </c>
      <c r="E70" s="2517"/>
      <c r="F70" s="2517"/>
      <c r="G70" s="2517"/>
      <c r="H70" s="2522">
        <f>'SSR-rates'!$K$60</f>
        <v>575</v>
      </c>
      <c r="I70" s="2522" t="s">
        <v>38</v>
      </c>
      <c r="J70" s="2524">
        <f>ROUND(B70*H70,2)</f>
        <v>11500</v>
      </c>
    </row>
    <row r="71" spans="1:10" ht="20.100000000000001" customHeight="1">
      <c r="A71" s="2520"/>
      <c r="B71" s="2525">
        <f>+'Input Data'!D23</f>
        <v>0</v>
      </c>
      <c r="C71" s="2526"/>
      <c r="D71" s="2517" t="s">
        <v>17</v>
      </c>
      <c r="E71" s="2517"/>
      <c r="F71" s="2523"/>
      <c r="G71" s="2523"/>
      <c r="H71" s="2522">
        <f t="shared" ref="H71" si="1">+H40</f>
        <v>12917</v>
      </c>
      <c r="I71" s="2505"/>
      <c r="J71" s="2524">
        <f>B71*H71</f>
        <v>0</v>
      </c>
    </row>
    <row r="72" spans="1:10" s="2516" customFormat="1" ht="20.100000000000001" customHeight="1">
      <c r="A72" s="2517"/>
      <c r="B72" s="2522"/>
      <c r="C72" s="2517"/>
      <c r="D72" s="2518" t="s">
        <v>60</v>
      </c>
      <c r="E72" s="2517"/>
      <c r="F72" s="2517"/>
      <c r="G72" s="2517"/>
      <c r="H72" s="2522"/>
      <c r="I72" s="2522"/>
      <c r="J72" s="2527">
        <f>SUM(J68:J71)</f>
        <v>12917</v>
      </c>
    </row>
    <row r="73" spans="1:10" s="2516" customFormat="1" ht="20.100000000000001" customHeight="1">
      <c r="A73" s="2517"/>
      <c r="B73" s="2520" t="s">
        <v>39</v>
      </c>
      <c r="C73" s="2521" t="s">
        <v>61</v>
      </c>
      <c r="D73" s="2517"/>
      <c r="E73" s="2517"/>
      <c r="F73" s="2517"/>
      <c r="G73" s="2517"/>
      <c r="H73" s="2517"/>
      <c r="I73" s="2522"/>
      <c r="J73" s="2524"/>
    </row>
    <row r="74" spans="1:10" s="2516" customFormat="1" ht="20.100000000000001" customHeight="1">
      <c r="A74" s="2517"/>
      <c r="B74" s="2522">
        <v>5.4</v>
      </c>
      <c r="C74" s="2523" t="s">
        <v>31</v>
      </c>
      <c r="D74" s="2518" t="s">
        <v>1857</v>
      </c>
      <c r="E74" s="2517"/>
      <c r="F74" s="2517"/>
      <c r="G74" s="2517"/>
      <c r="H74" s="2522">
        <f>+lead!$J$14</f>
        <v>1590.8641904678079</v>
      </c>
      <c r="I74" s="2522" t="s">
        <v>31</v>
      </c>
      <c r="J74" s="2524">
        <f t="shared" ref="J74:J79" si="2">ROUND(B74*H74,2)</f>
        <v>8590.67</v>
      </c>
    </row>
    <row r="75" spans="1:10" ht="20.100000000000001" customHeight="1">
      <c r="A75" s="2523"/>
      <c r="B75" s="2522">
        <v>5.4</v>
      </c>
      <c r="C75" s="2523" t="s">
        <v>31</v>
      </c>
      <c r="D75" s="2517" t="s">
        <v>63</v>
      </c>
      <c r="E75" s="2517"/>
      <c r="F75" s="2517"/>
      <c r="G75" s="2517"/>
      <c r="H75" s="2522">
        <f>+lead!$J$16</f>
        <v>1889.8641904678079</v>
      </c>
      <c r="I75" s="2522" t="s">
        <v>31</v>
      </c>
      <c r="J75" s="2518">
        <f t="shared" si="2"/>
        <v>10205.27</v>
      </c>
    </row>
    <row r="76" spans="1:10" ht="20.100000000000001" customHeight="1">
      <c r="A76" s="2523"/>
      <c r="B76" s="2522">
        <v>2.7</v>
      </c>
      <c r="C76" s="2523" t="s">
        <v>31</v>
      </c>
      <c r="D76" s="2517" t="s">
        <v>64</v>
      </c>
      <c r="E76" s="2517"/>
      <c r="F76" s="2517"/>
      <c r="G76" s="2517"/>
      <c r="H76" s="2522">
        <f>+lead!$J$18</f>
        <v>1638.8641904678079</v>
      </c>
      <c r="I76" s="2522" t="s">
        <v>31</v>
      </c>
      <c r="J76" s="2518">
        <f t="shared" si="2"/>
        <v>4424.93</v>
      </c>
    </row>
    <row r="77" spans="1:10" s="2516" customFormat="1" ht="45" customHeight="1">
      <c r="A77" s="2517"/>
      <c r="B77" s="2529">
        <f>6.75/2</f>
        <v>3.375</v>
      </c>
      <c r="C77" s="2523" t="s">
        <v>31</v>
      </c>
      <c r="D77" s="3967" t="s">
        <v>1716</v>
      </c>
      <c r="E77" s="3967"/>
      <c r="F77" s="3967"/>
      <c r="G77" s="3967"/>
      <c r="H77" s="2528">
        <f>lead!$J$31</f>
        <v>1760.9684020595876</v>
      </c>
      <c r="I77" s="2522" t="s">
        <v>31</v>
      </c>
      <c r="J77" s="2524">
        <f t="shared" si="2"/>
        <v>5943.27</v>
      </c>
    </row>
    <row r="78" spans="1:10" s="2516" customFormat="1" ht="35.1" customHeight="1">
      <c r="A78" s="2517"/>
      <c r="B78" s="2529">
        <f>6.75/2</f>
        <v>3.375</v>
      </c>
      <c r="C78" s="2523" t="s">
        <v>31</v>
      </c>
      <c r="D78" s="3967" t="s">
        <v>1717</v>
      </c>
      <c r="E78" s="3967"/>
      <c r="F78" s="3967"/>
      <c r="G78" s="3967"/>
      <c r="H78" s="2528">
        <f>lead!$J$33</f>
        <v>1760.9684020595876</v>
      </c>
      <c r="I78" s="2522" t="s">
        <v>31</v>
      </c>
      <c r="J78" s="2524">
        <f t="shared" si="2"/>
        <v>5943.27</v>
      </c>
    </row>
    <row r="79" spans="1:10" s="2516" customFormat="1" ht="20.100000000000001" customHeight="1">
      <c r="A79" s="2517"/>
      <c r="B79" s="2522">
        <v>5.16</v>
      </c>
      <c r="C79" s="2523" t="s">
        <v>66</v>
      </c>
      <c r="D79" s="2518" t="s">
        <v>67</v>
      </c>
      <c r="E79" s="2517"/>
      <c r="F79" s="2517"/>
      <c r="G79" s="2517"/>
      <c r="H79" s="2522">
        <f>+lead!$J$36</f>
        <v>5000</v>
      </c>
      <c r="I79" s="2522" t="s">
        <v>66</v>
      </c>
      <c r="J79" s="2524">
        <f t="shared" si="2"/>
        <v>25800</v>
      </c>
    </row>
    <row r="80" spans="1:10" s="2516" customFormat="1" ht="20.100000000000001" customHeight="1">
      <c r="A80" s="2517"/>
      <c r="B80" s="2529"/>
      <c r="C80" s="2526"/>
      <c r="D80" s="2518" t="s">
        <v>60</v>
      </c>
      <c r="E80" s="2517"/>
      <c r="F80" s="2517"/>
      <c r="G80" s="2517"/>
      <c r="H80" s="2522"/>
      <c r="I80" s="2522"/>
      <c r="J80" s="2527">
        <f>SUM(J74:J79)</f>
        <v>60907.41</v>
      </c>
    </row>
    <row r="81" spans="1:10" s="2516" customFormat="1" ht="20.100000000000001" customHeight="1">
      <c r="A81" s="2517"/>
      <c r="B81" s="2520" t="s">
        <v>1858</v>
      </c>
      <c r="C81" s="2521" t="s">
        <v>40</v>
      </c>
      <c r="D81" s="2517"/>
      <c r="E81" s="2517"/>
      <c r="F81" s="2517"/>
      <c r="G81" s="2517"/>
      <c r="H81" s="2522"/>
      <c r="I81" s="2522"/>
      <c r="J81" s="2524"/>
    </row>
    <row r="82" spans="1:10" s="2516" customFormat="1" ht="20.100000000000001" customHeight="1">
      <c r="A82" s="2517"/>
      <c r="B82" s="2522">
        <v>6</v>
      </c>
      <c r="C82" s="2523" t="s">
        <v>41</v>
      </c>
      <c r="D82" s="2518" t="s">
        <v>68</v>
      </c>
      <c r="E82" s="2517"/>
      <c r="F82" s="2517"/>
      <c r="G82" s="2517"/>
      <c r="H82" s="2522">
        <f>+'SSR-rates'!$K$88</f>
        <v>697.9</v>
      </c>
      <c r="I82" s="2522" t="s">
        <v>41</v>
      </c>
      <c r="J82" s="2524">
        <f>ROUND(B82*H82,2)</f>
        <v>4187.3999999999996</v>
      </c>
    </row>
    <row r="83" spans="1:10" s="2516" customFormat="1" ht="20.100000000000001" customHeight="1">
      <c r="A83" s="2520"/>
      <c r="B83" s="2522">
        <v>6</v>
      </c>
      <c r="C83" s="2523" t="s">
        <v>41</v>
      </c>
      <c r="D83" s="2518" t="s">
        <v>69</v>
      </c>
      <c r="E83" s="2517"/>
      <c r="F83" s="2517"/>
      <c r="G83" s="2517"/>
      <c r="H83" s="2522">
        <f>+'SSR-rates'!$K$87</f>
        <v>1323.5</v>
      </c>
      <c r="I83" s="2522" t="s">
        <v>41</v>
      </c>
      <c r="J83" s="2524">
        <f>ROUND(B83*H83,2)</f>
        <v>7941</v>
      </c>
    </row>
    <row r="84" spans="1:10" s="2516" customFormat="1" ht="20.100000000000001" customHeight="1">
      <c r="A84" s="2520"/>
      <c r="B84" s="2522"/>
      <c r="C84" s="2526"/>
      <c r="D84" s="2518" t="s">
        <v>60</v>
      </c>
      <c r="E84" s="2517"/>
      <c r="F84" s="2517"/>
      <c r="G84" s="2517"/>
      <c r="H84" s="2522"/>
      <c r="I84" s="2522"/>
      <c r="J84" s="2527">
        <f>SUM(J82:J83)</f>
        <v>12128.4</v>
      </c>
    </row>
    <row r="85" spans="1:10" ht="20.100000000000001" customHeight="1">
      <c r="A85" s="2523"/>
      <c r="B85" s="2520" t="s">
        <v>45</v>
      </c>
      <c r="C85" s="2521" t="s">
        <v>71</v>
      </c>
      <c r="D85" s="2517"/>
      <c r="E85" s="2517"/>
      <c r="F85" s="2517"/>
      <c r="G85" s="2517"/>
      <c r="H85" s="2522"/>
      <c r="I85" s="2522"/>
      <c r="J85" s="2518"/>
    </row>
    <row r="86" spans="1:10" ht="20.100000000000001" customHeight="1">
      <c r="A86" s="2523"/>
      <c r="B86" s="2522">
        <v>4</v>
      </c>
      <c r="C86" s="2523" t="s">
        <v>29</v>
      </c>
      <c r="D86" s="2517" t="s">
        <v>1878</v>
      </c>
      <c r="E86" s="2517"/>
      <c r="F86" s="2517"/>
      <c r="G86" s="2517"/>
      <c r="H86" s="2522">
        <f>+J84+J80+J72</f>
        <v>85952.81</v>
      </c>
      <c r="I86" s="2505" t="s">
        <v>73</v>
      </c>
      <c r="J86" s="2518">
        <f>ROUND(B86*H86/100,2)</f>
        <v>3438.11</v>
      </c>
    </row>
    <row r="87" spans="1:10" s="2516" customFormat="1" ht="20.100000000000001" customHeight="1">
      <c r="A87" s="2520"/>
      <c r="B87" s="2520" t="s">
        <v>45</v>
      </c>
      <c r="C87" s="2530" t="s">
        <v>1238</v>
      </c>
      <c r="D87" s="2517"/>
      <c r="E87" s="2517"/>
      <c r="F87" s="2523"/>
      <c r="G87" s="2523"/>
      <c r="H87" s="2523"/>
      <c r="I87" s="2523"/>
      <c r="J87" s="2527"/>
    </row>
    <row r="88" spans="1:10" s="2516" customFormat="1" ht="20.100000000000001" customHeight="1">
      <c r="A88" s="2517"/>
      <c r="B88" s="2531">
        <f>B57</f>
        <v>0.19614999999999999</v>
      </c>
      <c r="C88" s="2530" t="s">
        <v>1238</v>
      </c>
      <c r="D88" s="2517"/>
      <c r="E88" s="2517"/>
      <c r="F88" s="2523"/>
      <c r="G88" s="2523"/>
      <c r="H88" s="2526"/>
      <c r="I88" s="2523"/>
      <c r="J88" s="2524">
        <f>ROUND((J72+J80+J84+J86)*B88,2)</f>
        <v>17534.03</v>
      </c>
    </row>
    <row r="89" spans="1:10" s="2516" customFormat="1" ht="20.100000000000001" customHeight="1">
      <c r="A89" s="2517"/>
      <c r="B89" s="2532">
        <f>'Input Data'!$E$24</f>
        <v>0.1</v>
      </c>
      <c r="C89" s="2533" t="s">
        <v>1220</v>
      </c>
      <c r="D89" s="2517"/>
      <c r="E89" s="2517"/>
      <c r="F89" s="2523"/>
      <c r="G89" s="2523"/>
      <c r="H89" s="2526">
        <f>J72+J80+J84+J86+J88</f>
        <v>106924.95</v>
      </c>
      <c r="I89" s="2523"/>
      <c r="J89" s="2524">
        <f>H89*B89</f>
        <v>10692.495000000001</v>
      </c>
    </row>
    <row r="90" spans="1:10" s="2516" customFormat="1" ht="20.100000000000001" customHeight="1">
      <c r="A90" s="2517"/>
      <c r="B90" s="2520" t="s">
        <v>47</v>
      </c>
      <c r="C90" s="2530" t="s">
        <v>89</v>
      </c>
      <c r="D90" s="2517"/>
      <c r="E90" s="2517"/>
      <c r="F90" s="2523"/>
      <c r="G90" s="2523"/>
      <c r="H90" s="2523"/>
      <c r="I90" s="2523"/>
      <c r="J90" s="2527">
        <f>J72+J80+J84+J86+J88+J89</f>
        <v>117617.44499999999</v>
      </c>
    </row>
    <row r="91" spans="1:10" s="2516" customFormat="1" ht="20.100000000000001" customHeight="1">
      <c r="A91" s="2517"/>
      <c r="B91" s="2529"/>
      <c r="C91" s="2523"/>
      <c r="D91" s="2521" t="s">
        <v>1814</v>
      </c>
      <c r="E91" s="2517"/>
      <c r="F91" s="2517"/>
      <c r="G91" s="2517"/>
      <c r="H91" s="2522"/>
      <c r="I91" s="2522"/>
      <c r="J91" s="2527">
        <f>SUM(J90:J90)</f>
        <v>117617.44499999999</v>
      </c>
    </row>
    <row r="92" spans="1:10" s="2516" customFormat="1" ht="20.100000000000001" customHeight="1">
      <c r="A92" s="2517"/>
      <c r="B92" s="2522"/>
      <c r="C92" s="2523"/>
      <c r="D92" s="2518" t="s">
        <v>81</v>
      </c>
      <c r="E92" s="2517"/>
      <c r="F92" s="2517"/>
      <c r="G92" s="2517"/>
      <c r="H92" s="2522"/>
      <c r="I92" s="2517"/>
      <c r="J92" s="2524">
        <f>ROUND(J91/15,2)</f>
        <v>7841.16</v>
      </c>
    </row>
    <row r="93" spans="1:10" s="2516" customFormat="1" ht="20.100000000000001" customHeight="1">
      <c r="A93" s="2534"/>
      <c r="B93" s="2505"/>
      <c r="C93" s="2517"/>
      <c r="D93" s="2518" t="s">
        <v>52</v>
      </c>
      <c r="E93" s="2517"/>
      <c r="F93" s="2517"/>
      <c r="G93" s="2517"/>
      <c r="H93" s="2522"/>
      <c r="I93" s="2517"/>
      <c r="J93" s="2535">
        <f>ROUND(J92,2)</f>
        <v>7841.16</v>
      </c>
    </row>
    <row r="94" spans="1:10" s="2516" customFormat="1" ht="20.100000000000001" customHeight="1">
      <c r="A94" s="2517"/>
      <c r="B94" s="2505"/>
      <c r="C94" s="2517"/>
      <c r="D94" s="2518"/>
      <c r="E94" s="2517"/>
      <c r="F94" s="2517"/>
      <c r="G94" s="2517"/>
      <c r="H94" s="2522"/>
      <c r="I94" s="2517"/>
      <c r="J94" s="2527" t="s">
        <v>53</v>
      </c>
    </row>
    <row r="95" spans="1:10" ht="135" customHeight="1">
      <c r="A95" s="2536">
        <f>A64+1</f>
        <v>11</v>
      </c>
      <c r="B95" s="3969" t="s">
        <v>2695</v>
      </c>
      <c r="C95" s="3969"/>
      <c r="D95" s="3969"/>
      <c r="E95" s="3969"/>
      <c r="F95" s="3969"/>
      <c r="G95" s="3969"/>
      <c r="H95" s="3969"/>
      <c r="I95" s="3969"/>
      <c r="J95" s="3969"/>
    </row>
    <row r="96" spans="1:10" ht="20.100000000000001" customHeight="1">
      <c r="A96" s="2523"/>
      <c r="B96" s="2505"/>
      <c r="C96" s="2517"/>
      <c r="D96" s="2518" t="s">
        <v>10</v>
      </c>
      <c r="E96" s="2517"/>
      <c r="F96" s="2530" t="s">
        <v>169</v>
      </c>
      <c r="G96" s="2517"/>
      <c r="H96" s="2517"/>
      <c r="I96" s="2517"/>
      <c r="J96" s="2517"/>
    </row>
    <row r="97" spans="1:10" ht="20.100000000000001" customHeight="1">
      <c r="A97" s="2523"/>
      <c r="B97" s="2505"/>
      <c r="C97" s="2517"/>
      <c r="D97" s="2518" t="s">
        <v>1879</v>
      </c>
      <c r="E97" s="2517"/>
      <c r="F97" s="2517"/>
      <c r="G97" s="2517"/>
      <c r="H97" s="2517"/>
      <c r="I97" s="2517"/>
      <c r="J97" s="2517"/>
    </row>
    <row r="98" spans="1:10" ht="20.100000000000001" customHeight="1">
      <c r="A98" s="2523"/>
      <c r="B98" s="2520" t="s">
        <v>36</v>
      </c>
      <c r="C98" s="2521" t="s">
        <v>37</v>
      </c>
      <c r="D98" s="2517"/>
      <c r="E98" s="2517"/>
      <c r="F98" s="2517"/>
      <c r="G98" s="2517"/>
      <c r="H98" s="2517"/>
      <c r="I98" s="2517"/>
      <c r="J98" s="2517"/>
    </row>
    <row r="99" spans="1:10" ht="20.100000000000001" customHeight="1">
      <c r="A99" s="2523"/>
      <c r="B99" s="2522">
        <v>0.86</v>
      </c>
      <c r="C99" s="2523" t="s">
        <v>57</v>
      </c>
      <c r="D99" s="2518" t="s">
        <v>156</v>
      </c>
      <c r="E99" s="2517"/>
      <c r="F99" s="2517"/>
      <c r="G99" s="2517"/>
      <c r="H99" s="2522">
        <f>+'SSR-rates'!$K$58</f>
        <v>575</v>
      </c>
      <c r="I99" s="2505" t="s">
        <v>38</v>
      </c>
      <c r="J99" s="2518">
        <f>ROUND(B99*H99,2)</f>
        <v>494.5</v>
      </c>
    </row>
    <row r="100" spans="1:10" ht="20.100000000000001" customHeight="1">
      <c r="A100" s="2523"/>
      <c r="B100" s="2522">
        <v>1.5</v>
      </c>
      <c r="C100" s="2523" t="s">
        <v>57</v>
      </c>
      <c r="D100" s="2518" t="s">
        <v>58</v>
      </c>
      <c r="E100" s="2517"/>
      <c r="F100" s="2517"/>
      <c r="G100" s="2517"/>
      <c r="H100" s="2522">
        <f>+'SSR-rates'!$K$54</f>
        <v>615</v>
      </c>
      <c r="I100" s="2505" t="s">
        <v>38</v>
      </c>
      <c r="J100" s="2518">
        <f>ROUND(B100*H100,2)</f>
        <v>922.5</v>
      </c>
    </row>
    <row r="101" spans="1:10" ht="20.100000000000001" customHeight="1">
      <c r="A101" s="2523"/>
      <c r="B101" s="2522">
        <v>20</v>
      </c>
      <c r="C101" s="2523" t="s">
        <v>57</v>
      </c>
      <c r="D101" s="2518" t="s">
        <v>59</v>
      </c>
      <c r="E101" s="2517"/>
      <c r="F101" s="2517"/>
      <c r="G101" s="2517"/>
      <c r="H101" s="2522">
        <f>'SSR-rates'!$K$60</f>
        <v>575</v>
      </c>
      <c r="I101" s="2505" t="s">
        <v>38</v>
      </c>
      <c r="J101" s="2518">
        <f>ROUND(B101*H101,2)</f>
        <v>11500</v>
      </c>
    </row>
    <row r="102" spans="1:10" ht="20.100000000000001" customHeight="1">
      <c r="A102" s="2530"/>
      <c r="B102" s="2525">
        <f>'Input Data'!$D$23</f>
        <v>0</v>
      </c>
      <c r="C102" s="2526"/>
      <c r="D102" s="2517" t="s">
        <v>17</v>
      </c>
      <c r="E102" s="2517"/>
      <c r="F102" s="2523"/>
      <c r="G102" s="2523"/>
      <c r="H102" s="2522">
        <f>SUM(J99:J101)</f>
        <v>12917</v>
      </c>
      <c r="I102" s="2505"/>
      <c r="J102" s="2518">
        <f>B102*H102</f>
        <v>0</v>
      </c>
    </row>
    <row r="103" spans="1:10" ht="20.100000000000001" customHeight="1">
      <c r="A103" s="2523"/>
      <c r="B103" s="2522"/>
      <c r="C103" s="2523"/>
      <c r="D103" s="2518" t="s">
        <v>60</v>
      </c>
      <c r="E103" s="2517"/>
      <c r="F103" s="2517"/>
      <c r="G103" s="2517"/>
      <c r="H103" s="2522"/>
      <c r="I103" s="2522"/>
      <c r="J103" s="2518">
        <f>SUM(J99:J102)</f>
        <v>12917</v>
      </c>
    </row>
    <row r="104" spans="1:10" ht="20.100000000000001" customHeight="1">
      <c r="A104" s="2523"/>
      <c r="B104" s="2520" t="s">
        <v>39</v>
      </c>
      <c r="C104" s="2521" t="s">
        <v>61</v>
      </c>
      <c r="D104" s="2517"/>
      <c r="E104" s="2517"/>
      <c r="F104" s="2517"/>
      <c r="G104" s="2517"/>
      <c r="H104" s="2522"/>
      <c r="I104" s="2522"/>
      <c r="J104" s="2518"/>
    </row>
    <row r="105" spans="1:10" ht="20.100000000000001" customHeight="1">
      <c r="A105" s="2523"/>
      <c r="B105" s="2522">
        <v>8.1</v>
      </c>
      <c r="C105" s="2523" t="s">
        <v>31</v>
      </c>
      <c r="D105" s="2517" t="s">
        <v>63</v>
      </c>
      <c r="E105" s="2517"/>
      <c r="F105" s="2517"/>
      <c r="G105" s="2517"/>
      <c r="H105" s="2522">
        <f>lead!$J$16</f>
        <v>1889.8641904678079</v>
      </c>
      <c r="I105" s="2522" t="s">
        <v>31</v>
      </c>
      <c r="J105" s="2518">
        <f>ROUND(B105*H105,2)</f>
        <v>15307.9</v>
      </c>
    </row>
    <row r="106" spans="1:10" ht="20.100000000000001" customHeight="1">
      <c r="A106" s="2523"/>
      <c r="B106" s="2522">
        <v>5.4</v>
      </c>
      <c r="C106" s="2523" t="s">
        <v>31</v>
      </c>
      <c r="D106" s="2517" t="s">
        <v>64</v>
      </c>
      <c r="E106" s="2517"/>
      <c r="F106" s="2517"/>
      <c r="G106" s="2517"/>
      <c r="H106" s="2522">
        <f>lead!$J$18</f>
        <v>1638.8641904678079</v>
      </c>
      <c r="I106" s="2522" t="s">
        <v>31</v>
      </c>
      <c r="J106" s="2518">
        <f>ROUND(B106*H106,2)</f>
        <v>8849.8700000000008</v>
      </c>
    </row>
    <row r="107" spans="1:10" ht="45" customHeight="1">
      <c r="A107" s="2523"/>
      <c r="B107" s="2529">
        <f>6.75/2</f>
        <v>3.375</v>
      </c>
      <c r="C107" s="2523" t="s">
        <v>31</v>
      </c>
      <c r="D107" s="3967" t="s">
        <v>1716</v>
      </c>
      <c r="E107" s="3967"/>
      <c r="F107" s="3967"/>
      <c r="G107" s="3967"/>
      <c r="H107" s="2528">
        <f>lead!$J$31</f>
        <v>1760.9684020595876</v>
      </c>
      <c r="I107" s="2522" t="s">
        <v>31</v>
      </c>
      <c r="J107" s="2524">
        <f>ROUND(B107*H107,2)</f>
        <v>5943.27</v>
      </c>
    </row>
    <row r="108" spans="1:10" ht="35.1" customHeight="1">
      <c r="A108" s="2523"/>
      <c r="B108" s="2529">
        <f>6.75/2</f>
        <v>3.375</v>
      </c>
      <c r="C108" s="2523" t="s">
        <v>31</v>
      </c>
      <c r="D108" s="3967" t="s">
        <v>1717</v>
      </c>
      <c r="E108" s="3967"/>
      <c r="F108" s="3967"/>
      <c r="G108" s="3967"/>
      <c r="H108" s="2528">
        <f>lead!$J$33</f>
        <v>1760.9684020595876</v>
      </c>
      <c r="I108" s="2522" t="s">
        <v>31</v>
      </c>
      <c r="J108" s="2524">
        <f>ROUND(B108*H108,2)</f>
        <v>5943.27</v>
      </c>
    </row>
    <row r="109" spans="1:10" ht="20.100000000000001" customHeight="1">
      <c r="A109" s="2523"/>
      <c r="B109" s="2529">
        <v>6.1</v>
      </c>
      <c r="C109" s="2523" t="s">
        <v>66</v>
      </c>
      <c r="D109" s="2518" t="s">
        <v>67</v>
      </c>
      <c r="E109" s="2517"/>
      <c r="F109" s="2517"/>
      <c r="G109" s="2517"/>
      <c r="H109" s="2522">
        <f>lead!$J$36</f>
        <v>5000</v>
      </c>
      <c r="I109" s="2522" t="s">
        <v>66</v>
      </c>
      <c r="J109" s="2518">
        <f>ROUND(B109*H109,2)</f>
        <v>30500</v>
      </c>
    </row>
    <row r="110" spans="1:10" ht="20.100000000000001" customHeight="1">
      <c r="A110" s="2523"/>
      <c r="B110" s="2522"/>
      <c r="C110" s="2517"/>
      <c r="D110" s="2518" t="s">
        <v>60</v>
      </c>
      <c r="E110" s="2517"/>
      <c r="F110" s="2517"/>
      <c r="G110" s="2517"/>
      <c r="H110" s="2522"/>
      <c r="I110" s="2522"/>
      <c r="J110" s="2518">
        <f>SUM(J105:J109)</f>
        <v>66544.31</v>
      </c>
    </row>
    <row r="111" spans="1:10" ht="20.100000000000001" customHeight="1">
      <c r="A111" s="2523"/>
      <c r="B111" s="2520" t="s">
        <v>27</v>
      </c>
      <c r="C111" s="2521" t="s">
        <v>40</v>
      </c>
      <c r="D111" s="2517"/>
      <c r="E111" s="2517"/>
      <c r="F111" s="2517"/>
      <c r="G111" s="2517"/>
      <c r="H111" s="2522"/>
      <c r="I111" s="2522"/>
      <c r="J111" s="2518"/>
    </row>
    <row r="112" spans="1:10" ht="20.100000000000001" customHeight="1">
      <c r="A112" s="2523"/>
      <c r="B112" s="2522">
        <v>6</v>
      </c>
      <c r="C112" s="2523" t="s">
        <v>41</v>
      </c>
      <c r="D112" s="2518" t="s">
        <v>68</v>
      </c>
      <c r="E112" s="2517"/>
      <c r="F112" s="2517"/>
      <c r="G112" s="2517"/>
      <c r="H112" s="2522">
        <f>+'SSR-rates'!$K$88</f>
        <v>697.9</v>
      </c>
      <c r="I112" s="2522" t="s">
        <v>41</v>
      </c>
      <c r="J112" s="2518">
        <f t="shared" ref="J112:J113" si="3">ROUND(B112*H112,2)</f>
        <v>4187.3999999999996</v>
      </c>
    </row>
    <row r="113" spans="1:10" ht="20.100000000000001" customHeight="1">
      <c r="A113" s="2523"/>
      <c r="B113" s="2522">
        <v>6</v>
      </c>
      <c r="C113" s="2523" t="s">
        <v>41</v>
      </c>
      <c r="D113" s="2518" t="s">
        <v>1859</v>
      </c>
      <c r="E113" s="2517"/>
      <c r="F113" s="2517"/>
      <c r="G113" s="2517"/>
      <c r="H113" s="2522">
        <f>+'SSR-rates'!$K$87</f>
        <v>1323.5</v>
      </c>
      <c r="I113" s="2522" t="s">
        <v>41</v>
      </c>
      <c r="J113" s="2518">
        <f t="shared" si="3"/>
        <v>7941</v>
      </c>
    </row>
    <row r="114" spans="1:10" ht="20.100000000000001" customHeight="1">
      <c r="A114" s="2523"/>
      <c r="B114" s="2522"/>
      <c r="C114" s="2526"/>
      <c r="D114" s="2518" t="s">
        <v>60</v>
      </c>
      <c r="E114" s="2517"/>
      <c r="F114" s="2517"/>
      <c r="G114" s="2517"/>
      <c r="H114" s="2522"/>
      <c r="I114" s="2522"/>
      <c r="J114" s="2518">
        <f>SUM(J112:J113)</f>
        <v>12128.4</v>
      </c>
    </row>
    <row r="115" spans="1:10" ht="20.100000000000001" customHeight="1">
      <c r="A115" s="2523"/>
      <c r="B115" s="2520" t="s">
        <v>45</v>
      </c>
      <c r="C115" s="2521" t="s">
        <v>71</v>
      </c>
      <c r="D115" s="2517"/>
      <c r="E115" s="2517"/>
      <c r="F115" s="2517"/>
      <c r="G115" s="2517"/>
      <c r="H115" s="2522"/>
      <c r="I115" s="2522"/>
      <c r="J115" s="2518"/>
    </row>
    <row r="116" spans="1:10" ht="20.100000000000001" customHeight="1">
      <c r="A116" s="2523"/>
      <c r="B116" s="2522">
        <v>3.5</v>
      </c>
      <c r="C116" s="2523" t="s">
        <v>29</v>
      </c>
      <c r="D116" s="2517" t="s">
        <v>157</v>
      </c>
      <c r="E116" s="2517"/>
      <c r="F116" s="2517"/>
      <c r="G116" s="2517"/>
      <c r="H116" s="2522">
        <f>J103+J110+J114</f>
        <v>91589.709999999992</v>
      </c>
      <c r="I116" s="2505" t="s">
        <v>73</v>
      </c>
      <c r="J116" s="2518">
        <f>ROUND(B116*H116/100,2)</f>
        <v>3205.64</v>
      </c>
    </row>
    <row r="117" spans="1:10" ht="20.100000000000001" customHeight="1">
      <c r="A117" s="2530"/>
      <c r="B117" s="2520" t="s">
        <v>47</v>
      </c>
      <c r="C117" s="2530" t="s">
        <v>1189</v>
      </c>
      <c r="D117" s="2517"/>
      <c r="E117" s="2517"/>
      <c r="F117" s="2523"/>
      <c r="G117" s="2523"/>
      <c r="H117" s="2523"/>
      <c r="I117" s="2523"/>
      <c r="J117" s="2521"/>
    </row>
    <row r="118" spans="1:10" ht="35.1" customHeight="1">
      <c r="A118" s="2530"/>
      <c r="B118" s="2531">
        <f>B88</f>
        <v>0.19614999999999999</v>
      </c>
      <c r="C118" s="3970" t="str">
        <f>"Over head charges &amp; CP "&amp;'Input Data'!$D$24*100&amp;"%  on (A) + (B)+(C)+(D)"</f>
        <v>Over head charges &amp; CP 13.615%  on (A) + (B)+(C)+(D)</v>
      </c>
      <c r="D118" s="3970"/>
      <c r="E118" s="3970"/>
      <c r="F118" s="3970"/>
      <c r="G118" s="3970"/>
      <c r="H118" s="2526">
        <f>J116+J114+J110+J103</f>
        <v>94795.349999999991</v>
      </c>
      <c r="I118" s="2523"/>
      <c r="J118" s="2518">
        <f>H118*B118</f>
        <v>18594.107902499996</v>
      </c>
    </row>
    <row r="119" spans="1:10" ht="20.100000000000001" customHeight="1">
      <c r="A119" s="2530"/>
      <c r="B119" s="2532">
        <f>'Input Data'!$E$24</f>
        <v>0.1</v>
      </c>
      <c r="C119" s="2533" t="s">
        <v>1220</v>
      </c>
      <c r="D119" s="2528"/>
      <c r="E119" s="2528"/>
      <c r="F119" s="2528"/>
      <c r="G119" s="2528"/>
      <c r="H119" s="2526">
        <f>J103+J110+J114+J116+J118</f>
        <v>113389.45790249998</v>
      </c>
      <c r="I119" s="2523"/>
      <c r="J119" s="2518">
        <f>H119*B119</f>
        <v>11338.94579025</v>
      </c>
    </row>
    <row r="120" spans="1:10" ht="20.100000000000001" customHeight="1">
      <c r="A120" s="2530"/>
      <c r="B120" s="2520" t="s">
        <v>76</v>
      </c>
      <c r="C120" s="2530" t="s">
        <v>77</v>
      </c>
      <c r="D120" s="2517"/>
      <c r="E120" s="2517"/>
      <c r="F120" s="2523"/>
      <c r="G120" s="2523"/>
      <c r="H120" s="2523"/>
      <c r="I120" s="2523"/>
      <c r="J120" s="2537">
        <f>J103+J110+J114+J116+J118+J119</f>
        <v>124728.40369274998</v>
      </c>
    </row>
    <row r="121" spans="1:10" ht="20.100000000000001" customHeight="1">
      <c r="A121" s="2523"/>
      <c r="B121" s="2522"/>
      <c r="C121" s="2523"/>
      <c r="D121" s="2521" t="s">
        <v>1814</v>
      </c>
      <c r="E121" s="2517"/>
      <c r="F121" s="2517"/>
      <c r="G121" s="2517"/>
      <c r="H121" s="2522"/>
      <c r="I121" s="2522"/>
      <c r="J121" s="2537">
        <f>SUM(J120:J120)</f>
        <v>124728.40369274998</v>
      </c>
    </row>
    <row r="122" spans="1:10" ht="20.100000000000001" customHeight="1">
      <c r="A122" s="2523"/>
      <c r="B122" s="2522"/>
      <c r="C122" s="2523"/>
      <c r="D122" s="2518" t="s">
        <v>81</v>
      </c>
      <c r="E122" s="2517"/>
      <c r="F122" s="2517"/>
      <c r="G122" s="2517"/>
      <c r="H122" s="2522"/>
      <c r="I122" s="2522"/>
      <c r="J122" s="2518">
        <f>ROUND(J121/15,2)</f>
        <v>8315.23</v>
      </c>
    </row>
    <row r="123" spans="1:10" ht="20.100000000000001" customHeight="1">
      <c r="A123" s="2523"/>
      <c r="B123" s="2505"/>
      <c r="C123" s="2517"/>
      <c r="D123" s="2518" t="s">
        <v>52</v>
      </c>
      <c r="E123" s="2517"/>
      <c r="F123" s="2517"/>
      <c r="G123" s="2517"/>
      <c r="H123" s="2522"/>
      <c r="I123" s="2522"/>
      <c r="J123" s="2538">
        <f>ROUND(J122,2)</f>
        <v>8315.23</v>
      </c>
    </row>
    <row r="124" spans="1:10" ht="20.100000000000001" customHeight="1">
      <c r="A124" s="2523"/>
      <c r="B124" s="2505"/>
      <c r="C124" s="2517"/>
      <c r="D124" s="2518"/>
      <c r="E124" s="2517"/>
      <c r="F124" s="2517"/>
      <c r="G124" s="2517"/>
      <c r="H124" s="2522"/>
      <c r="I124" s="2522"/>
      <c r="J124" s="2527" t="s">
        <v>53</v>
      </c>
    </row>
    <row r="125" spans="1:10" ht="124.2" customHeight="1">
      <c r="A125" s="2536">
        <f>A95+1</f>
        <v>12</v>
      </c>
      <c r="B125" s="3969" t="s">
        <v>2696</v>
      </c>
      <c r="C125" s="3969"/>
      <c r="D125" s="3969"/>
      <c r="E125" s="3969"/>
      <c r="F125" s="3969"/>
      <c r="G125" s="3969"/>
      <c r="H125" s="3969"/>
      <c r="I125" s="3969"/>
      <c r="J125" s="3969"/>
    </row>
    <row r="126" spans="1:10" ht="20.100000000000001" customHeight="1">
      <c r="A126" s="2523"/>
      <c r="B126" s="2505"/>
      <c r="C126" s="2517"/>
      <c r="D126" s="2518" t="s">
        <v>10</v>
      </c>
      <c r="E126" s="2517"/>
      <c r="F126" s="2530" t="s">
        <v>1880</v>
      </c>
      <c r="G126" s="2517"/>
      <c r="H126" s="2517"/>
      <c r="I126" s="2517"/>
      <c r="J126" s="2517"/>
    </row>
    <row r="127" spans="1:10" ht="20.100000000000001" customHeight="1">
      <c r="A127" s="2523"/>
      <c r="B127" s="2505"/>
      <c r="C127" s="2517"/>
      <c r="D127" s="2518" t="s">
        <v>1879</v>
      </c>
      <c r="E127" s="2517"/>
      <c r="F127" s="2517"/>
      <c r="G127" s="2517"/>
      <c r="H127" s="2517"/>
      <c r="I127" s="2517"/>
      <c r="J127" s="2517"/>
    </row>
    <row r="128" spans="1:10" ht="20.100000000000001" customHeight="1">
      <c r="A128" s="2523"/>
      <c r="B128" s="2520" t="s">
        <v>36</v>
      </c>
      <c r="C128" s="2521" t="s">
        <v>37</v>
      </c>
      <c r="D128" s="2517"/>
      <c r="E128" s="2517"/>
      <c r="F128" s="2517"/>
      <c r="G128" s="2517"/>
      <c r="H128" s="2517"/>
      <c r="I128" s="2517"/>
      <c r="J128" s="2517"/>
    </row>
    <row r="129" spans="1:10" ht="20.100000000000001" customHeight="1">
      <c r="A129" s="2523"/>
      <c r="B129" s="2522">
        <v>0.86</v>
      </c>
      <c r="C129" s="2523" t="s">
        <v>57</v>
      </c>
      <c r="D129" s="2518" t="s">
        <v>156</v>
      </c>
      <c r="E129" s="2517"/>
      <c r="F129" s="2517"/>
      <c r="G129" s="2517"/>
      <c r="H129" s="2522">
        <f>'SSR-rates'!$K$58</f>
        <v>575</v>
      </c>
      <c r="I129" s="2505" t="s">
        <v>38</v>
      </c>
      <c r="J129" s="2518">
        <f>ROUND(B129*H129,2)</f>
        <v>494.5</v>
      </c>
    </row>
    <row r="130" spans="1:10" ht="20.100000000000001" customHeight="1">
      <c r="A130" s="2523"/>
      <c r="B130" s="2522">
        <v>1.5</v>
      </c>
      <c r="C130" s="2523" t="s">
        <v>57</v>
      </c>
      <c r="D130" s="2518" t="s">
        <v>58</v>
      </c>
      <c r="E130" s="2517"/>
      <c r="F130" s="2517"/>
      <c r="G130" s="2517"/>
      <c r="H130" s="2522">
        <f>+'SSR-rates'!$K$54</f>
        <v>615</v>
      </c>
      <c r="I130" s="2505" t="s">
        <v>38</v>
      </c>
      <c r="J130" s="2518">
        <f>ROUND(B130*H130,2)</f>
        <v>922.5</v>
      </c>
    </row>
    <row r="131" spans="1:10" ht="20.100000000000001" customHeight="1">
      <c r="A131" s="2523"/>
      <c r="B131" s="2522">
        <v>20</v>
      </c>
      <c r="C131" s="2523" t="s">
        <v>57</v>
      </c>
      <c r="D131" s="2518" t="s">
        <v>59</v>
      </c>
      <c r="E131" s="2517"/>
      <c r="F131" s="2517"/>
      <c r="G131" s="2517"/>
      <c r="H131" s="2522">
        <f>'SSR-rates'!$K$60</f>
        <v>575</v>
      </c>
      <c r="I131" s="2505" t="s">
        <v>38</v>
      </c>
      <c r="J131" s="2518">
        <f>ROUND(B131*H131,2)</f>
        <v>11500</v>
      </c>
    </row>
    <row r="132" spans="1:10" ht="20.100000000000001" customHeight="1">
      <c r="A132" s="2530"/>
      <c r="B132" s="2525">
        <f>'Input Data'!$D$23</f>
        <v>0</v>
      </c>
      <c r="C132" s="2526"/>
      <c r="D132" s="2517" t="s">
        <v>17</v>
      </c>
      <c r="E132" s="2517"/>
      <c r="F132" s="2523"/>
      <c r="G132" s="2523"/>
      <c r="H132" s="2522">
        <f>SUM(J129:J131)</f>
        <v>12917</v>
      </c>
      <c r="I132" s="2505"/>
      <c r="J132" s="2518">
        <f>B132*H132</f>
        <v>0</v>
      </c>
    </row>
    <row r="133" spans="1:10" ht="20.100000000000001" customHeight="1">
      <c r="A133" s="2523"/>
      <c r="B133" s="2522"/>
      <c r="C133" s="2523"/>
      <c r="D133" s="2518" t="s">
        <v>60</v>
      </c>
      <c r="E133" s="2517"/>
      <c r="F133" s="2517"/>
      <c r="G133" s="2517"/>
      <c r="H133" s="2522"/>
      <c r="I133" s="2522"/>
      <c r="J133" s="2518">
        <f>SUM(J129:J132)</f>
        <v>12917</v>
      </c>
    </row>
    <row r="134" spans="1:10" ht="20.100000000000001" customHeight="1">
      <c r="A134" s="2523"/>
      <c r="B134" s="2520" t="s">
        <v>39</v>
      </c>
      <c r="C134" s="2521" t="s">
        <v>61</v>
      </c>
      <c r="D134" s="2517"/>
      <c r="E134" s="2517"/>
      <c r="F134" s="2517"/>
      <c r="G134" s="2517"/>
      <c r="H134" s="2522"/>
      <c r="I134" s="2522"/>
      <c r="J134" s="2518"/>
    </row>
    <row r="135" spans="1:10" ht="20.100000000000001" customHeight="1">
      <c r="A135" s="2523"/>
      <c r="B135" s="2522">
        <v>8.1</v>
      </c>
      <c r="C135" s="2523" t="s">
        <v>31</v>
      </c>
      <c r="D135" s="2517" t="s">
        <v>63</v>
      </c>
      <c r="E135" s="2517"/>
      <c r="F135" s="2517"/>
      <c r="G135" s="2517"/>
      <c r="H135" s="2522">
        <f>lead!$J$16</f>
        <v>1889.8641904678079</v>
      </c>
      <c r="I135" s="2522" t="s">
        <v>31</v>
      </c>
      <c r="J135" s="2518">
        <f>ROUND(B135*H135,2)</f>
        <v>15307.9</v>
      </c>
    </row>
    <row r="136" spans="1:10" ht="20.100000000000001" customHeight="1">
      <c r="A136" s="2523"/>
      <c r="B136" s="2522">
        <v>5.4</v>
      </c>
      <c r="C136" s="2523" t="s">
        <v>31</v>
      </c>
      <c r="D136" s="2517" t="s">
        <v>64</v>
      </c>
      <c r="E136" s="2517"/>
      <c r="F136" s="2517"/>
      <c r="G136" s="2517"/>
      <c r="H136" s="2522">
        <f>lead!$J$18</f>
        <v>1638.8641904678079</v>
      </c>
      <c r="I136" s="2522" t="s">
        <v>31</v>
      </c>
      <c r="J136" s="2518">
        <f>ROUND(B136*H136,2)</f>
        <v>8849.8700000000008</v>
      </c>
    </row>
    <row r="137" spans="1:10" ht="45" customHeight="1">
      <c r="A137" s="2523"/>
      <c r="B137" s="2529">
        <f>6.75/2</f>
        <v>3.375</v>
      </c>
      <c r="C137" s="2523" t="s">
        <v>31</v>
      </c>
      <c r="D137" s="3967" t="s">
        <v>1716</v>
      </c>
      <c r="E137" s="3967"/>
      <c r="F137" s="3967"/>
      <c r="G137" s="3967"/>
      <c r="H137" s="2528">
        <f>lead!$J$31</f>
        <v>1760.9684020595876</v>
      </c>
      <c r="I137" s="2522" t="s">
        <v>31</v>
      </c>
      <c r="J137" s="2524">
        <f>ROUND(B137*H137,2)</f>
        <v>5943.27</v>
      </c>
    </row>
    <row r="138" spans="1:10" ht="35.1" customHeight="1">
      <c r="A138" s="2523"/>
      <c r="B138" s="2529">
        <f>6.75/2</f>
        <v>3.375</v>
      </c>
      <c r="C138" s="2523" t="s">
        <v>31</v>
      </c>
      <c r="D138" s="3967" t="s">
        <v>1717</v>
      </c>
      <c r="E138" s="3967"/>
      <c r="F138" s="3967"/>
      <c r="G138" s="3967"/>
      <c r="H138" s="2528">
        <f>lead!$J$33</f>
        <v>1760.9684020595876</v>
      </c>
      <c r="I138" s="2522" t="s">
        <v>31</v>
      </c>
      <c r="J138" s="2524">
        <f>ROUND(B138*H138,2)</f>
        <v>5943.27</v>
      </c>
    </row>
    <row r="139" spans="1:10" ht="20.100000000000001" customHeight="1">
      <c r="A139" s="2523"/>
      <c r="B139" s="2529">
        <v>5.21</v>
      </c>
      <c r="C139" s="2523" t="s">
        <v>66</v>
      </c>
      <c r="D139" s="2518" t="s">
        <v>67</v>
      </c>
      <c r="E139" s="2517"/>
      <c r="F139" s="2517"/>
      <c r="G139" s="2517"/>
      <c r="H139" s="2522">
        <f>lead!$J$36</f>
        <v>5000</v>
      </c>
      <c r="I139" s="2522" t="s">
        <v>66</v>
      </c>
      <c r="J139" s="2518">
        <f>ROUND(B139*H139,2)</f>
        <v>26050</v>
      </c>
    </row>
    <row r="140" spans="1:10" ht="20.100000000000001" customHeight="1">
      <c r="A140" s="2523"/>
      <c r="B140" s="2522"/>
      <c r="C140" s="2517"/>
      <c r="D140" s="2518" t="s">
        <v>60</v>
      </c>
      <c r="E140" s="2517"/>
      <c r="F140" s="2517"/>
      <c r="G140" s="2517"/>
      <c r="H140" s="2522"/>
      <c r="I140" s="2522"/>
      <c r="J140" s="2518">
        <f>SUM(J135:J139)</f>
        <v>62094.31</v>
      </c>
    </row>
    <row r="141" spans="1:10" ht="20.100000000000001" customHeight="1">
      <c r="A141" s="2523"/>
      <c r="B141" s="2520" t="s">
        <v>27</v>
      </c>
      <c r="C141" s="2521" t="s">
        <v>40</v>
      </c>
      <c r="D141" s="2517"/>
      <c r="E141" s="2517"/>
      <c r="F141" s="2517"/>
      <c r="G141" s="2517"/>
      <c r="H141" s="2522"/>
      <c r="I141" s="2522"/>
      <c r="J141" s="2518"/>
    </row>
    <row r="142" spans="1:10" ht="20.100000000000001" customHeight="1">
      <c r="A142" s="2523"/>
      <c r="B142" s="2522">
        <v>6</v>
      </c>
      <c r="C142" s="2523" t="s">
        <v>41</v>
      </c>
      <c r="D142" s="2518" t="s">
        <v>68</v>
      </c>
      <c r="E142" s="2517"/>
      <c r="F142" s="2517"/>
      <c r="G142" s="2517"/>
      <c r="H142" s="2522">
        <f>+'SSR-rates'!$K$88</f>
        <v>697.9</v>
      </c>
      <c r="I142" s="2522" t="s">
        <v>41</v>
      </c>
      <c r="J142" s="2518">
        <f t="shared" ref="J142:J143" si="4">ROUND(B142*H142,2)</f>
        <v>4187.3999999999996</v>
      </c>
    </row>
    <row r="143" spans="1:10" ht="20.100000000000001" customHeight="1">
      <c r="A143" s="2523"/>
      <c r="B143" s="2522">
        <v>6</v>
      </c>
      <c r="C143" s="2523" t="s">
        <v>41</v>
      </c>
      <c r="D143" s="2518" t="s">
        <v>1859</v>
      </c>
      <c r="E143" s="2517"/>
      <c r="F143" s="2517"/>
      <c r="G143" s="2517"/>
      <c r="H143" s="2522">
        <f>+'SSR-rates'!$K$87</f>
        <v>1323.5</v>
      </c>
      <c r="I143" s="2522" t="s">
        <v>41</v>
      </c>
      <c r="J143" s="2518">
        <f t="shared" si="4"/>
        <v>7941</v>
      </c>
    </row>
    <row r="144" spans="1:10" ht="20.100000000000001" customHeight="1">
      <c r="A144" s="2523"/>
      <c r="B144" s="2522"/>
      <c r="C144" s="2526"/>
      <c r="D144" s="2518" t="s">
        <v>60</v>
      </c>
      <c r="E144" s="2517"/>
      <c r="F144" s="2517"/>
      <c r="G144" s="2517"/>
      <c r="H144" s="2522"/>
      <c r="I144" s="2522"/>
      <c r="J144" s="2518">
        <f>SUM(J142:J143)</f>
        <v>12128.4</v>
      </c>
    </row>
    <row r="145" spans="1:10" ht="20.100000000000001" customHeight="1">
      <c r="A145" s="2523"/>
      <c r="B145" s="2520" t="s">
        <v>45</v>
      </c>
      <c r="C145" s="2521" t="s">
        <v>71</v>
      </c>
      <c r="D145" s="2517"/>
      <c r="E145" s="2517"/>
      <c r="F145" s="2517"/>
      <c r="G145" s="2517"/>
      <c r="H145" s="2522"/>
      <c r="I145" s="2522"/>
      <c r="J145" s="2518"/>
    </row>
    <row r="146" spans="1:10" ht="20.100000000000001" customHeight="1">
      <c r="A146" s="2523"/>
      <c r="B146" s="2522">
        <v>4</v>
      </c>
      <c r="C146" s="2523" t="s">
        <v>29</v>
      </c>
      <c r="D146" s="2517" t="s">
        <v>1878</v>
      </c>
      <c r="E146" s="2517"/>
      <c r="F146" s="2517"/>
      <c r="G146" s="2517"/>
      <c r="H146" s="2522">
        <f>J133+J140+J144</f>
        <v>87139.709999999992</v>
      </c>
      <c r="I146" s="2505" t="s">
        <v>73</v>
      </c>
      <c r="J146" s="2518">
        <f>ROUND(B146*H146/100,2)</f>
        <v>3485.59</v>
      </c>
    </row>
    <row r="147" spans="1:10" ht="20.100000000000001" customHeight="1">
      <c r="A147" s="2530"/>
      <c r="B147" s="2520" t="s">
        <v>47</v>
      </c>
      <c r="C147" s="2530" t="s">
        <v>1238</v>
      </c>
      <c r="D147" s="2517"/>
      <c r="E147" s="2517"/>
      <c r="F147" s="2523"/>
      <c r="G147" s="2523"/>
      <c r="H147" s="2523"/>
      <c r="I147" s="2523"/>
      <c r="J147" s="2521"/>
    </row>
    <row r="148" spans="1:10" ht="35.1" customHeight="1">
      <c r="A148" s="2530"/>
      <c r="B148" s="2531">
        <f>B118</f>
        <v>0.19614999999999999</v>
      </c>
      <c r="C148" s="3970" t="str">
        <f>"Over head charges &amp; CP  "&amp;'Input Data'!$D$24*100&amp;"%  on (A) + (B)+(C)+(D)"</f>
        <v>Over head charges &amp; CP  13.615%  on (A) + (B)+(C)+(D)</v>
      </c>
      <c r="D148" s="3970"/>
      <c r="E148" s="3970"/>
      <c r="F148" s="3970"/>
      <c r="G148" s="3970"/>
      <c r="H148" s="2526">
        <f>J146+J144+J140+J133</f>
        <v>90625.3</v>
      </c>
      <c r="I148" s="2523"/>
      <c r="J148" s="2518">
        <f>H148*B148</f>
        <v>17776.152595</v>
      </c>
    </row>
    <row r="149" spans="1:10" ht="20.100000000000001" customHeight="1">
      <c r="A149" s="2530"/>
      <c r="B149" s="2532">
        <f>'Input Data'!$E$24</f>
        <v>0.1</v>
      </c>
      <c r="C149" s="2533" t="s">
        <v>1220</v>
      </c>
      <c r="D149" s="2528"/>
      <c r="E149" s="2528"/>
      <c r="F149" s="2528"/>
      <c r="G149" s="2528"/>
      <c r="H149" s="2526">
        <f>J148+J146+J144+J140+J133</f>
        <v>108401.452595</v>
      </c>
      <c r="I149" s="2523"/>
      <c r="J149" s="2518">
        <f>H149*B149</f>
        <v>10840.145259500001</v>
      </c>
    </row>
    <row r="150" spans="1:10" ht="20.100000000000001" customHeight="1">
      <c r="A150" s="2530"/>
      <c r="B150" s="2520" t="s">
        <v>76</v>
      </c>
      <c r="C150" s="2530" t="s">
        <v>77</v>
      </c>
      <c r="D150" s="2517"/>
      <c r="E150" s="2517"/>
      <c r="F150" s="2523"/>
      <c r="G150" s="2523"/>
      <c r="H150" s="2523"/>
      <c r="I150" s="2523"/>
      <c r="J150" s="2521">
        <f>J133+J140+J144+J146+J148+J149</f>
        <v>119241.59785449998</v>
      </c>
    </row>
    <row r="151" spans="1:10" ht="20.100000000000001" customHeight="1">
      <c r="A151" s="2523"/>
      <c r="B151" s="2522"/>
      <c r="C151" s="2523"/>
      <c r="D151" s="2521" t="s">
        <v>1814</v>
      </c>
      <c r="E151" s="2517"/>
      <c r="F151" s="2517"/>
      <c r="G151" s="2517"/>
      <c r="H151" s="2522"/>
      <c r="I151" s="2522"/>
      <c r="J151" s="2521">
        <f>SUM(J150:J150)</f>
        <v>119241.59785449998</v>
      </c>
    </row>
    <row r="152" spans="1:10" ht="20.100000000000001" customHeight="1">
      <c r="A152" s="2523"/>
      <c r="B152" s="2522"/>
      <c r="C152" s="2523"/>
      <c r="D152" s="2518" t="s">
        <v>81</v>
      </c>
      <c r="E152" s="2517"/>
      <c r="F152" s="2517"/>
      <c r="G152" s="2517"/>
      <c r="H152" s="2522"/>
      <c r="I152" s="2522"/>
      <c r="J152" s="2518">
        <f>ROUND(J151/15,2)</f>
        <v>7949.44</v>
      </c>
    </row>
    <row r="153" spans="1:10" ht="20.100000000000001" customHeight="1">
      <c r="A153" s="2523"/>
      <c r="B153" s="2505"/>
      <c r="C153" s="2517"/>
      <c r="D153" s="2518" t="s">
        <v>52</v>
      </c>
      <c r="E153" s="2517"/>
      <c r="F153" s="2517"/>
      <c r="G153" s="2517"/>
      <c r="H153" s="2522"/>
      <c r="I153" s="2522"/>
      <c r="J153" s="2538">
        <f>ROUND(J152,2)</f>
        <v>7949.44</v>
      </c>
    </row>
    <row r="154" spans="1:10" ht="20.100000000000001" customHeight="1">
      <c r="A154" s="2523"/>
      <c r="B154" s="2505"/>
      <c r="C154" s="2517"/>
      <c r="D154" s="2518"/>
      <c r="E154" s="2517"/>
      <c r="F154" s="2517"/>
      <c r="G154" s="2517"/>
      <c r="H154" s="2522"/>
      <c r="I154" s="2522"/>
      <c r="J154" s="2527" t="s">
        <v>53</v>
      </c>
    </row>
    <row r="155" spans="1:10" ht="123.6" customHeight="1">
      <c r="A155" s="2536">
        <f>A125+1</f>
        <v>13</v>
      </c>
      <c r="B155" s="3971" t="s">
        <v>1062</v>
      </c>
      <c r="C155" s="3971"/>
      <c r="D155" s="3971"/>
      <c r="E155" s="3971"/>
      <c r="F155" s="3971"/>
      <c r="G155" s="3971"/>
      <c r="H155" s="3971"/>
      <c r="I155" s="3971"/>
      <c r="J155" s="3971"/>
    </row>
    <row r="156" spans="1:10" ht="20.100000000000001" customHeight="1">
      <c r="A156" s="2539"/>
      <c r="B156" s="2540"/>
      <c r="C156" s="2540"/>
      <c r="D156" s="3972" t="s">
        <v>185</v>
      </c>
      <c r="E156" s="3972"/>
      <c r="F156" s="3972"/>
      <c r="G156" s="3972"/>
      <c r="H156" s="2540"/>
      <c r="I156" s="2540"/>
      <c r="J156" s="2541"/>
    </row>
    <row r="157" spans="1:10" ht="20.100000000000001" customHeight="1">
      <c r="A157" s="2539"/>
      <c r="B157" s="2540"/>
      <c r="C157" s="2540"/>
      <c r="D157" s="3973" t="s">
        <v>186</v>
      </c>
      <c r="E157" s="3973"/>
      <c r="F157" s="3973"/>
      <c r="G157" s="3973"/>
      <c r="H157" s="2540"/>
      <c r="I157" s="2540"/>
      <c r="J157" s="2541"/>
    </row>
    <row r="158" spans="1:10" ht="20.100000000000001" customHeight="1">
      <c r="A158" s="2539"/>
      <c r="B158" s="2540"/>
      <c r="C158" s="2542"/>
      <c r="D158" s="3973" t="s">
        <v>187</v>
      </c>
      <c r="E158" s="3973"/>
      <c r="F158" s="3973"/>
      <c r="G158" s="3973"/>
      <c r="H158" s="2540"/>
      <c r="I158" s="2540"/>
      <c r="J158" s="2541"/>
    </row>
    <row r="159" spans="1:10" ht="20.100000000000001" customHeight="1">
      <c r="A159" s="2539"/>
      <c r="B159" s="2540"/>
      <c r="C159" s="2543"/>
      <c r="D159" s="3974" t="s">
        <v>12</v>
      </c>
      <c r="E159" s="3974"/>
      <c r="F159" s="3974"/>
      <c r="G159" s="3974"/>
      <c r="H159" s="2540"/>
      <c r="I159" s="2540"/>
      <c r="J159" s="2541"/>
    </row>
    <row r="160" spans="1:10" ht="20.100000000000001" customHeight="1">
      <c r="A160" s="2539"/>
      <c r="B160" s="2542">
        <v>0.4</v>
      </c>
      <c r="C160" s="2544" t="s">
        <v>13</v>
      </c>
      <c r="D160" s="3975" t="s">
        <v>14</v>
      </c>
      <c r="E160" s="3975"/>
      <c r="F160" s="3975"/>
      <c r="G160" s="3975"/>
      <c r="H160" s="2545">
        <f>'SSR-rates'!$K$58</f>
        <v>575</v>
      </c>
      <c r="I160" s="2542">
        <v>1</v>
      </c>
      <c r="J160" s="2546">
        <f>ROUND(B160*H160,2)</f>
        <v>230</v>
      </c>
    </row>
    <row r="161" spans="1:11" ht="20.100000000000001" customHeight="1">
      <c r="A161" s="2539"/>
      <c r="B161" s="2542">
        <v>2</v>
      </c>
      <c r="C161" s="2544" t="s">
        <v>13</v>
      </c>
      <c r="D161" s="3975" t="s">
        <v>188</v>
      </c>
      <c r="E161" s="3975"/>
      <c r="F161" s="3975"/>
      <c r="G161" s="3975"/>
      <c r="H161" s="2545">
        <f>'SSR-rates'!$K$92</f>
        <v>640</v>
      </c>
      <c r="I161" s="2542">
        <v>1</v>
      </c>
      <c r="J161" s="2546">
        <f>ROUND(B161*H161,2)</f>
        <v>1280</v>
      </c>
    </row>
    <row r="162" spans="1:11" ht="20.100000000000001" customHeight="1">
      <c r="A162" s="2539"/>
      <c r="B162" s="2542">
        <v>6</v>
      </c>
      <c r="C162" s="2544" t="s">
        <v>13</v>
      </c>
      <c r="D162" s="3975" t="s">
        <v>59</v>
      </c>
      <c r="E162" s="3975"/>
      <c r="F162" s="3975"/>
      <c r="G162" s="3975"/>
      <c r="H162" s="2545">
        <f>'SSR-rates'!$K$60</f>
        <v>575</v>
      </c>
      <c r="I162" s="2542">
        <v>1</v>
      </c>
      <c r="J162" s="2546">
        <f>ROUND(B162*H162,2)</f>
        <v>3450</v>
      </c>
    </row>
    <row r="163" spans="1:11" ht="20.100000000000001" customHeight="1">
      <c r="A163" s="2539"/>
      <c r="B163" s="2525">
        <f>'Input Data'!$D$23</f>
        <v>0</v>
      </c>
      <c r="C163" s="2526"/>
      <c r="D163" s="2517" t="s">
        <v>17</v>
      </c>
      <c r="E163" s="2517"/>
      <c r="F163" s="2523"/>
      <c r="G163" s="2523"/>
      <c r="H163" s="2522">
        <f>SUM(J160:J162)</f>
        <v>4960</v>
      </c>
      <c r="I163" s="2505"/>
      <c r="J163" s="2522">
        <f>B163*H163</f>
        <v>0</v>
      </c>
    </row>
    <row r="164" spans="1:11" ht="20.100000000000001" customHeight="1">
      <c r="A164" s="2539"/>
      <c r="B164" s="2542"/>
      <c r="C164" s="2547"/>
      <c r="D164" s="3976" t="s">
        <v>18</v>
      </c>
      <c r="E164" s="3976"/>
      <c r="F164" s="3976"/>
      <c r="G164" s="3976"/>
      <c r="H164" s="2542"/>
      <c r="I164" s="2548" t="s">
        <v>19</v>
      </c>
      <c r="J164" s="2549">
        <f>SUM(J160:J163)</f>
        <v>4960</v>
      </c>
    </row>
    <row r="165" spans="1:11" ht="20.100000000000001" customHeight="1">
      <c r="A165" s="2539"/>
      <c r="B165" s="2542"/>
      <c r="C165" s="2550"/>
      <c r="D165" s="3974" t="s">
        <v>189</v>
      </c>
      <c r="E165" s="3974"/>
      <c r="F165" s="3974"/>
      <c r="G165" s="3974"/>
      <c r="H165" s="2542"/>
      <c r="I165" s="2542"/>
      <c r="J165" s="2546"/>
    </row>
    <row r="166" spans="1:11" ht="20.100000000000001" customHeight="1">
      <c r="A166" s="2539"/>
      <c r="B166" s="2542">
        <v>1.05</v>
      </c>
      <c r="C166" s="2544" t="s">
        <v>66</v>
      </c>
      <c r="D166" s="3975" t="s">
        <v>190</v>
      </c>
      <c r="E166" s="3975"/>
      <c r="F166" s="3975"/>
      <c r="G166" s="3975"/>
      <c r="H166" s="2542">
        <f>lead!$J$37</f>
        <v>49000</v>
      </c>
      <c r="I166" s="2542">
        <v>1</v>
      </c>
      <c r="J166" s="2546">
        <f>ROUND(B166*H166,2)</f>
        <v>51450</v>
      </c>
    </row>
    <row r="167" spans="1:11" ht="20.100000000000001" customHeight="1">
      <c r="A167" s="2539"/>
      <c r="B167" s="2542">
        <v>6</v>
      </c>
      <c r="C167" s="2544" t="s">
        <v>191</v>
      </c>
      <c r="D167" s="3976" t="s">
        <v>192</v>
      </c>
      <c r="E167" s="3976"/>
      <c r="F167" s="3976"/>
      <c r="G167" s="3976"/>
      <c r="H167" s="2542">
        <f>'SSR-rates'!$K$93</f>
        <v>83</v>
      </c>
      <c r="I167" s="2542">
        <v>1</v>
      </c>
      <c r="J167" s="2546">
        <f>H167*B167</f>
        <v>498</v>
      </c>
    </row>
    <row r="168" spans="1:11" ht="20.100000000000001" customHeight="1">
      <c r="A168" s="2539"/>
      <c r="B168" s="2542"/>
      <c r="C168" s="2547"/>
      <c r="D168" s="3976" t="s">
        <v>18</v>
      </c>
      <c r="E168" s="3976"/>
      <c r="F168" s="3976"/>
      <c r="G168" s="3976"/>
      <c r="H168" s="2542"/>
      <c r="I168" s="2548" t="s">
        <v>25</v>
      </c>
      <c r="J168" s="2549">
        <f>SUM(J166:J167)</f>
        <v>51948</v>
      </c>
    </row>
    <row r="169" spans="1:11" ht="20.100000000000001" customHeight="1">
      <c r="A169" s="2539"/>
      <c r="B169" s="2545"/>
      <c r="C169" s="2551"/>
      <c r="D169" s="3977" t="s">
        <v>26</v>
      </c>
      <c r="E169" s="3977"/>
      <c r="F169" s="3977"/>
      <c r="G169" s="3977"/>
      <c r="H169" s="2545"/>
      <c r="I169" s="2552"/>
      <c r="J169" s="2553">
        <f>J164+J168</f>
        <v>56908</v>
      </c>
    </row>
    <row r="170" spans="1:11" ht="35.1" customHeight="1">
      <c r="A170" s="2539"/>
      <c r="B170" s="2531">
        <f>B148</f>
        <v>0.19614999999999999</v>
      </c>
      <c r="C170" s="2551"/>
      <c r="D170" s="3978" t="s">
        <v>1881</v>
      </c>
      <c r="E170" s="3978"/>
      <c r="F170" s="3978"/>
      <c r="G170" s="3978"/>
      <c r="H170" s="2545">
        <f>J169</f>
        <v>56908</v>
      </c>
      <c r="I170" s="2554"/>
      <c r="J170" s="2555">
        <f>H170*B170</f>
        <v>11162.504199999999</v>
      </c>
    </row>
    <row r="171" spans="1:11" ht="20.100000000000001" customHeight="1">
      <c r="A171" s="2539"/>
      <c r="B171" s="2532">
        <f>'Input Data'!$E$24</f>
        <v>0.1</v>
      </c>
      <c r="C171" s="2533" t="s">
        <v>1220</v>
      </c>
      <c r="D171" s="3974"/>
      <c r="E171" s="3974"/>
      <c r="F171" s="3974"/>
      <c r="G171" s="3974"/>
      <c r="H171" s="2545">
        <f>J170+J168+J164</f>
        <v>68070.504199999996</v>
      </c>
      <c r="I171" s="2554"/>
      <c r="J171" s="2555">
        <f>H171*B171</f>
        <v>6807.0504199999996</v>
      </c>
    </row>
    <row r="172" spans="1:11" ht="20.100000000000001" customHeight="1">
      <c r="A172" s="2539"/>
      <c r="B172" s="2545"/>
      <c r="C172" s="2551"/>
      <c r="D172" s="3974"/>
      <c r="E172" s="3974"/>
      <c r="F172" s="3974"/>
      <c r="G172" s="3974"/>
      <c r="H172" s="2545"/>
      <c r="I172" s="2554"/>
      <c r="J172" s="2553"/>
    </row>
    <row r="173" spans="1:11" ht="20.100000000000001" customHeight="1">
      <c r="A173" s="2539"/>
      <c r="B173" s="2545">
        <v>1</v>
      </c>
      <c r="C173" s="2551" t="s">
        <v>66</v>
      </c>
      <c r="D173" s="3976" t="str">
        <f>CONCATENATE("TOTAL Cost for ",B173,"  ",C173,"  =  (A+B+C)",)</f>
        <v>TOTAL Cost for 1  MT  =  (A+B+C)</v>
      </c>
      <c r="E173" s="3976"/>
      <c r="F173" s="3976"/>
      <c r="G173" s="3976"/>
      <c r="H173" s="2545"/>
      <c r="I173" s="2545"/>
      <c r="J173" s="2555">
        <f>SUM(J169:J171)</f>
        <v>74877.554619999995</v>
      </c>
    </row>
    <row r="174" spans="1:11" ht="20.100000000000001" customHeight="1">
      <c r="A174" s="2539"/>
      <c r="B174" s="2545"/>
      <c r="C174" s="2545"/>
      <c r="D174" s="3976" t="str">
        <f>CONCATENATE("Rate per  1  ",C173)</f>
        <v>Rate per  1  MT</v>
      </c>
      <c r="E174" s="3976"/>
      <c r="F174" s="3976"/>
      <c r="G174" s="3976"/>
      <c r="H174" s="2545"/>
      <c r="I174" s="2545"/>
      <c r="J174" s="2546">
        <f>J173/B173</f>
        <v>74877.554619999995</v>
      </c>
    </row>
    <row r="175" spans="1:11" ht="20.100000000000001" customHeight="1">
      <c r="A175" s="2539"/>
      <c r="B175" s="2542"/>
      <c r="C175" s="2542"/>
      <c r="D175" s="3972" t="str">
        <f>D174</f>
        <v>Rate per  1  MT</v>
      </c>
      <c r="E175" s="3972"/>
      <c r="F175" s="3972"/>
      <c r="G175" s="3972"/>
      <c r="H175" s="2545"/>
      <c r="I175" s="2545"/>
      <c r="J175" s="2549">
        <f>ROUND(J174,2)</f>
        <v>74877.55</v>
      </c>
      <c r="K175" s="2506">
        <v>57233</v>
      </c>
    </row>
    <row r="176" spans="1:11" ht="20.100000000000001" customHeight="1">
      <c r="A176" s="2517"/>
      <c r="B176" s="2520" t="s">
        <v>1882</v>
      </c>
      <c r="C176" s="2517"/>
      <c r="D176" s="2518"/>
      <c r="E176" s="2517"/>
      <c r="F176" s="2517"/>
      <c r="G176" s="2517"/>
      <c r="H176" s="2522"/>
      <c r="I176" s="2522"/>
      <c r="J176" s="2527"/>
    </row>
    <row r="177" spans="1:10" s="2516" customFormat="1" ht="126" customHeight="1">
      <c r="A177" s="2515">
        <v>4</v>
      </c>
      <c r="B177" s="3966" t="s">
        <v>2963</v>
      </c>
      <c r="C177" s="3966"/>
      <c r="D177" s="3966"/>
      <c r="E177" s="3966"/>
      <c r="F177" s="3966"/>
      <c r="G177" s="3966"/>
      <c r="H177" s="3966"/>
      <c r="I177" s="3966"/>
      <c r="J177" s="3966"/>
    </row>
    <row r="178" spans="1:10" s="2516" customFormat="1" ht="20.100000000000001" customHeight="1">
      <c r="A178" s="2517"/>
      <c r="B178" s="2505"/>
      <c r="C178" s="2517"/>
      <c r="D178" s="2518" t="s">
        <v>10</v>
      </c>
      <c r="E178" s="2517"/>
      <c r="F178" s="2530" t="s">
        <v>1856</v>
      </c>
      <c r="G178" s="2517"/>
      <c r="H178" s="2517"/>
      <c r="I178" s="2517"/>
      <c r="J178" s="2517"/>
    </row>
    <row r="179" spans="1:10" s="2516" customFormat="1" ht="20.100000000000001" customHeight="1">
      <c r="A179" s="2517"/>
      <c r="B179" s="2505"/>
      <c r="C179" s="2517"/>
      <c r="D179" s="2518" t="s">
        <v>56</v>
      </c>
      <c r="E179" s="2517"/>
      <c r="F179" s="2517"/>
      <c r="G179" s="2517"/>
      <c r="H179" s="2517"/>
      <c r="I179" s="2517"/>
      <c r="J179" s="2517"/>
    </row>
    <row r="180" spans="1:10" s="2516" customFormat="1" ht="20.100000000000001" customHeight="1">
      <c r="A180" s="2517"/>
      <c r="B180" s="2520" t="s">
        <v>36</v>
      </c>
      <c r="C180" s="2521" t="s">
        <v>37</v>
      </c>
      <c r="D180" s="2517"/>
      <c r="E180" s="2517"/>
      <c r="F180" s="2517"/>
      <c r="G180" s="2517"/>
      <c r="H180" s="2517"/>
      <c r="I180" s="2517"/>
      <c r="J180" s="2517"/>
    </row>
    <row r="181" spans="1:10" s="2516" customFormat="1" ht="20.100000000000001" customHeight="1">
      <c r="A181" s="2517"/>
      <c r="B181" s="2522">
        <v>0.86</v>
      </c>
      <c r="C181" s="2523" t="s">
        <v>57</v>
      </c>
      <c r="D181" s="2518" t="s">
        <v>14</v>
      </c>
      <c r="E181" s="2517"/>
      <c r="F181" s="2517"/>
      <c r="G181" s="2517"/>
      <c r="H181" s="2522">
        <f>+'SSR-rates'!$K$58</f>
        <v>575</v>
      </c>
      <c r="I181" s="2522" t="s">
        <v>38</v>
      </c>
      <c r="J181" s="2524">
        <f>ROUND(B181*H181,2)</f>
        <v>494.5</v>
      </c>
    </row>
    <row r="182" spans="1:10" s="2516" customFormat="1" ht="20.100000000000001" customHeight="1">
      <c r="A182" s="2517"/>
      <c r="B182" s="2522">
        <v>1.5</v>
      </c>
      <c r="C182" s="2523" t="s">
        <v>57</v>
      </c>
      <c r="D182" s="2518" t="s">
        <v>58</v>
      </c>
      <c r="E182" s="2517"/>
      <c r="F182" s="2517"/>
      <c r="G182" s="2517"/>
      <c r="H182" s="2522">
        <f>+'SSR-rates'!$K$54</f>
        <v>615</v>
      </c>
      <c r="I182" s="2522" t="s">
        <v>38</v>
      </c>
      <c r="J182" s="2524">
        <f>ROUND(B182*H182,2)</f>
        <v>922.5</v>
      </c>
    </row>
    <row r="183" spans="1:10" s="2516" customFormat="1" ht="20.100000000000001" customHeight="1">
      <c r="A183" s="2517"/>
      <c r="B183" s="2522">
        <v>20</v>
      </c>
      <c r="C183" s="2523" t="s">
        <v>57</v>
      </c>
      <c r="D183" s="2518" t="s">
        <v>59</v>
      </c>
      <c r="E183" s="2517"/>
      <c r="F183" s="2517"/>
      <c r="G183" s="2517"/>
      <c r="H183" s="2522">
        <f>+'SSR-rates'!$K$60</f>
        <v>575</v>
      </c>
      <c r="I183" s="2522" t="s">
        <v>38</v>
      </c>
      <c r="J183" s="2524">
        <f>ROUND(B183*H183,2)</f>
        <v>11500</v>
      </c>
    </row>
    <row r="184" spans="1:10" ht="20.100000000000001" customHeight="1">
      <c r="A184" s="2520"/>
      <c r="B184" s="2525">
        <f>+'Input Data'!D23</f>
        <v>0</v>
      </c>
      <c r="C184" s="2526"/>
      <c r="D184" s="2517" t="s">
        <v>17</v>
      </c>
      <c r="E184" s="2517"/>
      <c r="F184" s="2523"/>
      <c r="G184" s="2523"/>
      <c r="H184" s="2522">
        <f>SUM(J181:J183)</f>
        <v>12917</v>
      </c>
      <c r="I184" s="2505"/>
      <c r="J184" s="2524">
        <f>B184*H184</f>
        <v>0</v>
      </c>
    </row>
    <row r="185" spans="1:10" s="2516" customFormat="1" ht="20.100000000000001" customHeight="1">
      <c r="A185" s="2517"/>
      <c r="B185" s="2522"/>
      <c r="C185" s="2517"/>
      <c r="D185" s="2518" t="s">
        <v>60</v>
      </c>
      <c r="E185" s="2517"/>
      <c r="F185" s="2517"/>
      <c r="G185" s="2517"/>
      <c r="H185" s="2522"/>
      <c r="I185" s="2522"/>
      <c r="J185" s="2527">
        <f>SUM(J181:J184)</f>
        <v>12917</v>
      </c>
    </row>
    <row r="186" spans="1:10" s="2516" customFormat="1" ht="20.100000000000001" customHeight="1">
      <c r="A186" s="2517"/>
      <c r="B186" s="2520" t="s">
        <v>39</v>
      </c>
      <c r="C186" s="2521" t="s">
        <v>61</v>
      </c>
      <c r="D186" s="2517"/>
      <c r="E186" s="2517"/>
      <c r="F186" s="2517"/>
      <c r="G186" s="2517"/>
      <c r="H186" s="2517"/>
      <c r="I186" s="2522"/>
      <c r="J186" s="2524"/>
    </row>
    <row r="187" spans="1:10" s="2516" customFormat="1" ht="20.100000000000001" customHeight="1">
      <c r="A187" s="2517"/>
      <c r="B187" s="2522">
        <v>8.1</v>
      </c>
      <c r="C187" s="2523" t="s">
        <v>31</v>
      </c>
      <c r="D187" s="2518" t="s">
        <v>1857</v>
      </c>
      <c r="E187" s="2517"/>
      <c r="F187" s="2517"/>
      <c r="G187" s="2517"/>
      <c r="H187" s="2522">
        <f>+lead!$J$14</f>
        <v>1590.8641904678079</v>
      </c>
      <c r="I187" s="2522" t="s">
        <v>31</v>
      </c>
      <c r="J187" s="2524">
        <f t="shared" ref="J187:J192" si="5">ROUND(B187*H187,2)</f>
        <v>12886</v>
      </c>
    </row>
    <row r="188" spans="1:10" ht="20.100000000000001" customHeight="1">
      <c r="A188" s="2523"/>
      <c r="B188" s="2522">
        <v>4.05</v>
      </c>
      <c r="C188" s="2523" t="s">
        <v>31</v>
      </c>
      <c r="D188" s="2517" t="s">
        <v>63</v>
      </c>
      <c r="E188" s="2517"/>
      <c r="F188" s="2517"/>
      <c r="G188" s="2517"/>
      <c r="H188" s="2522">
        <f>+lead!$J$16</f>
        <v>1889.8641904678079</v>
      </c>
      <c r="I188" s="2522" t="s">
        <v>31</v>
      </c>
      <c r="J188" s="2518">
        <f t="shared" si="5"/>
        <v>7653.95</v>
      </c>
    </row>
    <row r="189" spans="1:10" ht="20.100000000000001" customHeight="1">
      <c r="A189" s="2523"/>
      <c r="B189" s="2522">
        <v>1.35</v>
      </c>
      <c r="C189" s="2523" t="s">
        <v>31</v>
      </c>
      <c r="D189" s="2517" t="s">
        <v>64</v>
      </c>
      <c r="E189" s="2517"/>
      <c r="F189" s="2517"/>
      <c r="G189" s="2517"/>
      <c r="H189" s="2522">
        <f>+lead!$J$18</f>
        <v>1638.8641904678079</v>
      </c>
      <c r="I189" s="2522" t="s">
        <v>31</v>
      </c>
      <c r="J189" s="2518">
        <f t="shared" si="5"/>
        <v>2212.4699999999998</v>
      </c>
    </row>
    <row r="190" spans="1:10" s="2516" customFormat="1" ht="45" customHeight="1">
      <c r="A190" s="2517"/>
      <c r="B190" s="2529">
        <f>6.75/2</f>
        <v>3.375</v>
      </c>
      <c r="C190" s="2523" t="s">
        <v>31</v>
      </c>
      <c r="D190" s="3967" t="s">
        <v>1716</v>
      </c>
      <c r="E190" s="3967"/>
      <c r="F190" s="3967"/>
      <c r="G190" s="3967"/>
      <c r="H190" s="2528">
        <f>lead!$J$31</f>
        <v>1760.9684020595876</v>
      </c>
      <c r="I190" s="2522" t="s">
        <v>31</v>
      </c>
      <c r="J190" s="2524">
        <f t="shared" si="5"/>
        <v>5943.27</v>
      </c>
    </row>
    <row r="191" spans="1:10" s="2516" customFormat="1" ht="35.1" customHeight="1">
      <c r="A191" s="2517"/>
      <c r="B191" s="2529">
        <f>6.75/2</f>
        <v>3.375</v>
      </c>
      <c r="C191" s="2523" t="s">
        <v>31</v>
      </c>
      <c r="D191" s="3967" t="s">
        <v>1717</v>
      </c>
      <c r="E191" s="3967"/>
      <c r="F191" s="3967"/>
      <c r="G191" s="3967"/>
      <c r="H191" s="2528">
        <f>lead!$J$33</f>
        <v>1760.9684020595876</v>
      </c>
      <c r="I191" s="2522" t="s">
        <v>31</v>
      </c>
      <c r="J191" s="2524">
        <f t="shared" si="5"/>
        <v>5943.27</v>
      </c>
    </row>
    <row r="192" spans="1:10" s="2516" customFormat="1" ht="20.100000000000001" customHeight="1">
      <c r="A192" s="2517"/>
      <c r="B192" s="2522">
        <v>4.13</v>
      </c>
      <c r="C192" s="2523" t="s">
        <v>66</v>
      </c>
      <c r="D192" s="2518" t="s">
        <v>67</v>
      </c>
      <c r="E192" s="2517"/>
      <c r="F192" s="2517"/>
      <c r="G192" s="2517"/>
      <c r="H192" s="2522">
        <f>+lead!$J$36</f>
        <v>5000</v>
      </c>
      <c r="I192" s="2522" t="s">
        <v>66</v>
      </c>
      <c r="J192" s="2524">
        <f t="shared" si="5"/>
        <v>20650</v>
      </c>
    </row>
    <row r="193" spans="1:10" s="2516" customFormat="1" ht="20.100000000000001" customHeight="1">
      <c r="A193" s="2517"/>
      <c r="B193" s="2529"/>
      <c r="C193" s="2526"/>
      <c r="D193" s="2518" t="s">
        <v>60</v>
      </c>
      <c r="E193" s="2517"/>
      <c r="F193" s="2517"/>
      <c r="G193" s="2517"/>
      <c r="H193" s="2522"/>
      <c r="I193" s="2522"/>
      <c r="J193" s="2527">
        <f>SUM(J187:J192)</f>
        <v>55288.960000000006</v>
      </c>
    </row>
    <row r="194" spans="1:10" s="2516" customFormat="1" ht="20.100000000000001" customHeight="1">
      <c r="A194" s="2517"/>
      <c r="B194" s="2520" t="s">
        <v>1858</v>
      </c>
      <c r="C194" s="2521" t="s">
        <v>40</v>
      </c>
      <c r="D194" s="2517"/>
      <c r="E194" s="2517"/>
      <c r="F194" s="2517"/>
      <c r="G194" s="2517"/>
      <c r="H194" s="2522"/>
      <c r="I194" s="2522"/>
      <c r="J194" s="2524"/>
    </row>
    <row r="195" spans="1:10" s="2516" customFormat="1" ht="20.100000000000001" customHeight="1">
      <c r="A195" s="2517"/>
      <c r="B195" s="2522">
        <v>6</v>
      </c>
      <c r="C195" s="2523" t="s">
        <v>41</v>
      </c>
      <c r="D195" s="2518" t="s">
        <v>68</v>
      </c>
      <c r="E195" s="2517"/>
      <c r="F195" s="2517"/>
      <c r="G195" s="2517"/>
      <c r="H195" s="2522">
        <f>+'SSR-rates'!$K$88</f>
        <v>697.9</v>
      </c>
      <c r="I195" s="2522" t="s">
        <v>41</v>
      </c>
      <c r="J195" s="2524">
        <f>ROUND(B195*H195,2)</f>
        <v>4187.3999999999996</v>
      </c>
    </row>
    <row r="196" spans="1:10" s="2516" customFormat="1" ht="20.100000000000001" customHeight="1">
      <c r="A196" s="2520"/>
      <c r="B196" s="2522">
        <v>6</v>
      </c>
      <c r="C196" s="2523" t="s">
        <v>41</v>
      </c>
      <c r="D196" s="2518" t="s">
        <v>1859</v>
      </c>
      <c r="E196" s="2517"/>
      <c r="F196" s="2517"/>
      <c r="G196" s="2517"/>
      <c r="H196" s="2522">
        <f>+'SSR-rates'!$K$87</f>
        <v>1323.5</v>
      </c>
      <c r="I196" s="2522" t="s">
        <v>41</v>
      </c>
      <c r="J196" s="2524">
        <f>ROUND(B196*H196,2)</f>
        <v>7941</v>
      </c>
    </row>
    <row r="197" spans="1:10" s="2516" customFormat="1" ht="20.100000000000001" customHeight="1">
      <c r="A197" s="2520"/>
      <c r="B197" s="2522"/>
      <c r="C197" s="2526"/>
      <c r="D197" s="2518" t="s">
        <v>60</v>
      </c>
      <c r="E197" s="2517"/>
      <c r="F197" s="2517"/>
      <c r="G197" s="2517"/>
      <c r="H197" s="2522"/>
      <c r="I197" s="2522"/>
      <c r="J197" s="2527">
        <f>SUM(J195:J196)</f>
        <v>12128.4</v>
      </c>
    </row>
    <row r="198" spans="1:10" ht="20.100000000000001" customHeight="1">
      <c r="A198" s="2523"/>
      <c r="B198" s="2520" t="s">
        <v>45</v>
      </c>
      <c r="C198" s="2521" t="s">
        <v>71</v>
      </c>
      <c r="D198" s="2517"/>
      <c r="E198" s="2517"/>
      <c r="F198" s="2517"/>
      <c r="G198" s="2517"/>
      <c r="H198" s="2522"/>
      <c r="I198" s="2522"/>
      <c r="J198" s="2518"/>
    </row>
    <row r="199" spans="1:10" ht="20.100000000000001" customHeight="1">
      <c r="A199" s="2523"/>
      <c r="B199" s="2522">
        <v>10</v>
      </c>
      <c r="C199" s="2523" t="s">
        <v>29</v>
      </c>
      <c r="D199" s="2517" t="s">
        <v>1860</v>
      </c>
      <c r="E199" s="2517"/>
      <c r="F199" s="2517"/>
      <c r="G199" s="2517"/>
      <c r="H199" s="2522">
        <f>+J197+J193+J185</f>
        <v>80334.36</v>
      </c>
      <c r="I199" s="2505" t="s">
        <v>73</v>
      </c>
      <c r="J199" s="2518">
        <f>ROUND(B199*H199/100,2)</f>
        <v>8033.44</v>
      </c>
    </row>
    <row r="200" spans="1:10" s="2516" customFormat="1" ht="20.100000000000001" customHeight="1">
      <c r="A200" s="2520"/>
      <c r="B200" s="2520" t="s">
        <v>45</v>
      </c>
      <c r="C200" s="2530" t="s">
        <v>1238</v>
      </c>
      <c r="D200" s="2517"/>
      <c r="E200" s="2517"/>
      <c r="F200" s="2523"/>
      <c r="G200" s="2523"/>
      <c r="H200" s="2523"/>
      <c r="I200" s="2523"/>
      <c r="J200" s="2527"/>
    </row>
    <row r="201" spans="1:10" s="2516" customFormat="1" ht="20.100000000000001" customHeight="1">
      <c r="A201" s="2517"/>
      <c r="B201" s="2531">
        <f>B170</f>
        <v>0.19614999999999999</v>
      </c>
      <c r="C201" s="2530" t="s">
        <v>1238</v>
      </c>
      <c r="D201" s="2517"/>
      <c r="E201" s="2517"/>
      <c r="F201" s="2523"/>
      <c r="G201" s="2523"/>
      <c r="H201" s="2523"/>
      <c r="I201" s="2523"/>
      <c r="J201" s="2524">
        <f>ROUND((J185+J193+J197+J199)*B201,2)</f>
        <v>17333.34</v>
      </c>
    </row>
    <row r="202" spans="1:10" s="2516" customFormat="1" ht="20.100000000000001" customHeight="1">
      <c r="A202" s="2517"/>
      <c r="B202" s="2532">
        <f>'Input Data'!$E$24</f>
        <v>0.1</v>
      </c>
      <c r="C202" s="2533" t="s">
        <v>1220</v>
      </c>
      <c r="D202" s="2517"/>
      <c r="E202" s="2517"/>
      <c r="F202" s="2523"/>
      <c r="G202" s="2523"/>
      <c r="H202" s="2526">
        <f>J201+J199+J197+J193+J185</f>
        <v>105701.14000000001</v>
      </c>
      <c r="I202" s="2523"/>
      <c r="J202" s="2524">
        <f>H202*B202</f>
        <v>10570.114000000001</v>
      </c>
    </row>
    <row r="203" spans="1:10" s="2516" customFormat="1" ht="20.100000000000001" customHeight="1">
      <c r="A203" s="2517"/>
      <c r="B203" s="2520" t="s">
        <v>47</v>
      </c>
      <c r="C203" s="2530" t="s">
        <v>89</v>
      </c>
      <c r="D203" s="2517"/>
      <c r="E203" s="2517"/>
      <c r="F203" s="2523"/>
      <c r="G203" s="2523"/>
      <c r="H203" s="2523"/>
      <c r="I203" s="2523"/>
      <c r="J203" s="2527">
        <f>J185+J193+J197+J199+J201+J202</f>
        <v>116271.254</v>
      </c>
    </row>
    <row r="204" spans="1:10" s="2516" customFormat="1" ht="20.100000000000001" customHeight="1">
      <c r="A204" s="2517"/>
      <c r="B204" s="2529"/>
      <c r="C204" s="2523"/>
      <c r="D204" s="2521" t="s">
        <v>1814</v>
      </c>
      <c r="E204" s="2517"/>
      <c r="F204" s="2517"/>
      <c r="G204" s="2517"/>
      <c r="H204" s="2522"/>
      <c r="I204" s="2522"/>
      <c r="J204" s="2527">
        <f>SUM(J203:J203)</f>
        <v>116271.254</v>
      </c>
    </row>
    <row r="205" spans="1:10" s="2516" customFormat="1" ht="20.100000000000001" customHeight="1">
      <c r="A205" s="2517"/>
      <c r="B205" s="2522"/>
      <c r="C205" s="2523"/>
      <c r="D205" s="2518" t="s">
        <v>81</v>
      </c>
      <c r="E205" s="2517"/>
      <c r="F205" s="2517"/>
      <c r="G205" s="2517"/>
      <c r="H205" s="2522"/>
      <c r="I205" s="2522"/>
      <c r="J205" s="2524">
        <f>ROUND(J204/15,2)</f>
        <v>7751.42</v>
      </c>
    </row>
    <row r="206" spans="1:10" s="2516" customFormat="1" ht="20.100000000000001" customHeight="1">
      <c r="A206" s="2534"/>
      <c r="B206" s="2505"/>
      <c r="C206" s="2517"/>
      <c r="D206" s="2518" t="s">
        <v>52</v>
      </c>
      <c r="E206" s="2517"/>
      <c r="F206" s="2517"/>
      <c r="G206" s="2517"/>
      <c r="H206" s="2522"/>
      <c r="I206" s="2522"/>
      <c r="J206" s="2535">
        <f>ROUND(J205,2)</f>
        <v>7751.42</v>
      </c>
    </row>
    <row r="207" spans="1:10" s="2516" customFormat="1" ht="20.100000000000001" customHeight="1">
      <c r="A207" s="2517"/>
      <c r="B207" s="2505"/>
      <c r="C207" s="2517"/>
      <c r="D207" s="2518"/>
      <c r="E207" s="2517"/>
      <c r="F207" s="2517"/>
      <c r="G207" s="2517"/>
      <c r="H207" s="2522"/>
      <c r="I207" s="2522"/>
      <c r="J207" s="2527" t="s">
        <v>53</v>
      </c>
    </row>
    <row r="208" spans="1:10" s="2510" customFormat="1" ht="111" customHeight="1">
      <c r="A208" s="2515">
        <f>A177+1</f>
        <v>5</v>
      </c>
      <c r="B208" s="3968" t="s">
        <v>2964</v>
      </c>
      <c r="C208" s="3968"/>
      <c r="D208" s="3968"/>
      <c r="E208" s="3968"/>
      <c r="F208" s="3968"/>
      <c r="G208" s="3968"/>
      <c r="H208" s="3968"/>
      <c r="I208" s="3968"/>
      <c r="J208" s="3968"/>
    </row>
    <row r="209" spans="1:10" s="2516" customFormat="1" ht="20.100000000000001" customHeight="1">
      <c r="A209" s="2517"/>
      <c r="B209" s="2505"/>
      <c r="C209" s="2517"/>
      <c r="D209" s="2518" t="s">
        <v>10</v>
      </c>
      <c r="E209" s="2517"/>
      <c r="F209" s="2517"/>
      <c r="G209" s="2517"/>
      <c r="H209" s="2517"/>
      <c r="I209" s="2517"/>
      <c r="J209" s="2517"/>
    </row>
    <row r="210" spans="1:10" s="2516" customFormat="1" ht="20.100000000000001" customHeight="1">
      <c r="A210" s="2517"/>
      <c r="B210" s="2505"/>
      <c r="C210" s="2517"/>
      <c r="D210" s="2518" t="s">
        <v>56</v>
      </c>
      <c r="E210" s="2517"/>
      <c r="F210" s="2517"/>
      <c r="G210" s="2517"/>
      <c r="H210" s="2517"/>
      <c r="I210" s="2517"/>
      <c r="J210" s="2517"/>
    </row>
    <row r="211" spans="1:10" s="2516" customFormat="1" ht="20.100000000000001" customHeight="1">
      <c r="A211" s="2517"/>
      <c r="B211" s="2520" t="s">
        <v>36</v>
      </c>
      <c r="C211" s="2521" t="s">
        <v>37</v>
      </c>
      <c r="D211" s="2517"/>
      <c r="E211" s="2517"/>
      <c r="F211" s="2517"/>
      <c r="G211" s="2517"/>
      <c r="H211" s="2517"/>
      <c r="I211" s="2517"/>
      <c r="J211" s="2517"/>
    </row>
    <row r="212" spans="1:10" s="2516" customFormat="1" ht="20.100000000000001" customHeight="1">
      <c r="A212" s="2517"/>
      <c r="B212" s="2522">
        <v>0.86</v>
      </c>
      <c r="C212" s="2523" t="s">
        <v>57</v>
      </c>
      <c r="D212" s="2518" t="s">
        <v>14</v>
      </c>
      <c r="E212" s="2517"/>
      <c r="F212" s="2517"/>
      <c r="G212" s="2517"/>
      <c r="H212" s="2522">
        <f>'SSR-rates'!$K$58</f>
        <v>575</v>
      </c>
      <c r="I212" s="2522" t="s">
        <v>38</v>
      </c>
      <c r="J212" s="2524">
        <f>ROUND(B212*H212,2)</f>
        <v>494.5</v>
      </c>
    </row>
    <row r="213" spans="1:10" s="2516" customFormat="1" ht="20.100000000000001" customHeight="1">
      <c r="A213" s="2517"/>
      <c r="B213" s="2522">
        <v>1.5</v>
      </c>
      <c r="C213" s="2523" t="s">
        <v>57</v>
      </c>
      <c r="D213" s="2518" t="s">
        <v>58</v>
      </c>
      <c r="E213" s="2517"/>
      <c r="F213" s="2517"/>
      <c r="G213" s="2517"/>
      <c r="H213" s="2522">
        <f>+'SSR-rates'!$K$54</f>
        <v>615</v>
      </c>
      <c r="I213" s="2522" t="s">
        <v>38</v>
      </c>
      <c r="J213" s="2524">
        <f>ROUND(B213*H213,2)</f>
        <v>922.5</v>
      </c>
    </row>
    <row r="214" spans="1:10" s="2516" customFormat="1" ht="20.100000000000001" customHeight="1">
      <c r="A214" s="2517"/>
      <c r="B214" s="2522">
        <v>20</v>
      </c>
      <c r="C214" s="2523" t="s">
        <v>57</v>
      </c>
      <c r="D214" s="2518" t="s">
        <v>59</v>
      </c>
      <c r="E214" s="2517"/>
      <c r="F214" s="2517"/>
      <c r="G214" s="2517"/>
      <c r="H214" s="2522">
        <f>'SSR-rates'!$K$60</f>
        <v>575</v>
      </c>
      <c r="I214" s="2522" t="s">
        <v>38</v>
      </c>
      <c r="J214" s="2524">
        <f>ROUND(B214*H214,2)</f>
        <v>11500</v>
      </c>
    </row>
    <row r="215" spans="1:10" ht="20.100000000000001" customHeight="1">
      <c r="A215" s="2520"/>
      <c r="B215" s="2525">
        <f>+'Input Data'!$D$23</f>
        <v>0</v>
      </c>
      <c r="C215" s="2526"/>
      <c r="D215" s="2517" t="s">
        <v>17</v>
      </c>
      <c r="E215" s="2517"/>
      <c r="F215" s="2523"/>
      <c r="G215" s="2523"/>
      <c r="H215" s="2522">
        <f>SUM(J212:J214)</f>
        <v>12917</v>
      </c>
      <c r="I215" s="2505"/>
      <c r="J215" s="2524">
        <f>B215*H215</f>
        <v>0</v>
      </c>
    </row>
    <row r="216" spans="1:10" s="2516" customFormat="1" ht="20.100000000000001" customHeight="1">
      <c r="A216" s="2517"/>
      <c r="B216" s="2522"/>
      <c r="C216" s="2517"/>
      <c r="D216" s="2518" t="s">
        <v>60</v>
      </c>
      <c r="E216" s="2517"/>
      <c r="F216" s="2517"/>
      <c r="G216" s="2517"/>
      <c r="H216" s="2522"/>
      <c r="I216" s="2522"/>
      <c r="J216" s="2527">
        <f>SUM(J212:J215)</f>
        <v>12917</v>
      </c>
    </row>
    <row r="217" spans="1:10" s="2516" customFormat="1" ht="20.100000000000001" customHeight="1">
      <c r="A217" s="2517"/>
      <c r="B217" s="2520" t="s">
        <v>39</v>
      </c>
      <c r="C217" s="2521" t="s">
        <v>61</v>
      </c>
      <c r="D217" s="2517"/>
      <c r="E217" s="2517"/>
      <c r="F217" s="2517"/>
      <c r="G217" s="2517"/>
      <c r="H217" s="2517"/>
      <c r="I217" s="2522"/>
      <c r="J217" s="2524"/>
    </row>
    <row r="218" spans="1:10" s="2516" customFormat="1" ht="20.100000000000001" customHeight="1">
      <c r="A218" s="2517"/>
      <c r="B218" s="2522">
        <v>5.4</v>
      </c>
      <c r="C218" s="2523" t="s">
        <v>31</v>
      </c>
      <c r="D218" s="2518" t="s">
        <v>1857</v>
      </c>
      <c r="E218" s="2517"/>
      <c r="F218" s="2517"/>
      <c r="G218" s="2517"/>
      <c r="H218" s="2522">
        <f>+lead!$J$14</f>
        <v>1590.8641904678079</v>
      </c>
      <c r="I218" s="2522" t="s">
        <v>31</v>
      </c>
      <c r="J218" s="2524">
        <f t="shared" ref="J218:J223" si="6">ROUND(B218*H218,2)</f>
        <v>8590.67</v>
      </c>
    </row>
    <row r="219" spans="1:10" ht="20.100000000000001" customHeight="1">
      <c r="A219" s="2523"/>
      <c r="B219" s="2522">
        <v>5.4</v>
      </c>
      <c r="C219" s="2523" t="s">
        <v>31</v>
      </c>
      <c r="D219" s="2517" t="s">
        <v>63</v>
      </c>
      <c r="E219" s="2517"/>
      <c r="F219" s="2517"/>
      <c r="G219" s="2517"/>
      <c r="H219" s="2522">
        <f>+lead!$J$16</f>
        <v>1889.8641904678079</v>
      </c>
      <c r="I219" s="2522" t="s">
        <v>31</v>
      </c>
      <c r="J219" s="2518">
        <f t="shared" si="6"/>
        <v>10205.27</v>
      </c>
    </row>
    <row r="220" spans="1:10" ht="20.100000000000001" customHeight="1">
      <c r="A220" s="2523"/>
      <c r="B220" s="2522">
        <v>2.7</v>
      </c>
      <c r="C220" s="2523" t="s">
        <v>31</v>
      </c>
      <c r="D220" s="2517" t="s">
        <v>64</v>
      </c>
      <c r="E220" s="2517"/>
      <c r="F220" s="2517"/>
      <c r="G220" s="2517"/>
      <c r="H220" s="2522">
        <f>+lead!$J$18</f>
        <v>1638.8641904678079</v>
      </c>
      <c r="I220" s="2522" t="s">
        <v>31</v>
      </c>
      <c r="J220" s="2518">
        <f t="shared" si="6"/>
        <v>4424.93</v>
      </c>
    </row>
    <row r="221" spans="1:10" s="2516" customFormat="1" ht="45" customHeight="1">
      <c r="A221" s="2517"/>
      <c r="B221" s="2529">
        <f>6.75/2</f>
        <v>3.375</v>
      </c>
      <c r="C221" s="2523" t="s">
        <v>31</v>
      </c>
      <c r="D221" s="3967" t="s">
        <v>1716</v>
      </c>
      <c r="E221" s="3967"/>
      <c r="F221" s="3967"/>
      <c r="G221" s="3967"/>
      <c r="H221" s="2528">
        <f>lead!$J$31</f>
        <v>1760.9684020595876</v>
      </c>
      <c r="I221" s="2522" t="s">
        <v>31</v>
      </c>
      <c r="J221" s="2524">
        <f t="shared" si="6"/>
        <v>5943.27</v>
      </c>
    </row>
    <row r="222" spans="1:10" s="2516" customFormat="1" ht="35.1" customHeight="1">
      <c r="A222" s="2517"/>
      <c r="B222" s="2529">
        <f>6.75/2</f>
        <v>3.375</v>
      </c>
      <c r="C222" s="2523" t="s">
        <v>31</v>
      </c>
      <c r="D222" s="3967" t="s">
        <v>1717</v>
      </c>
      <c r="E222" s="3967"/>
      <c r="F222" s="3967"/>
      <c r="G222" s="3967"/>
      <c r="H222" s="2528">
        <f>lead!$J$33</f>
        <v>1760.9684020595876</v>
      </c>
      <c r="I222" s="2522" t="s">
        <v>31</v>
      </c>
      <c r="J222" s="2524">
        <f t="shared" si="6"/>
        <v>5943.27</v>
      </c>
    </row>
    <row r="223" spans="1:10" s="2516" customFormat="1" ht="20.100000000000001" customHeight="1">
      <c r="A223" s="2517"/>
      <c r="B223" s="2522">
        <v>5.16</v>
      </c>
      <c r="C223" s="2523" t="s">
        <v>66</v>
      </c>
      <c r="D223" s="2518" t="s">
        <v>67</v>
      </c>
      <c r="E223" s="2517"/>
      <c r="F223" s="2517"/>
      <c r="G223" s="2517"/>
      <c r="H223" s="2522">
        <f>+lead!$J$36</f>
        <v>5000</v>
      </c>
      <c r="I223" s="2522" t="s">
        <v>66</v>
      </c>
      <c r="J223" s="2524">
        <f t="shared" si="6"/>
        <v>25800</v>
      </c>
    </row>
    <row r="224" spans="1:10" s="2516" customFormat="1" ht="20.100000000000001" customHeight="1">
      <c r="A224" s="2517"/>
      <c r="B224" s="2529"/>
      <c r="C224" s="2526"/>
      <c r="D224" s="2518" t="s">
        <v>60</v>
      </c>
      <c r="E224" s="2517"/>
      <c r="F224" s="2517"/>
      <c r="G224" s="2517"/>
      <c r="H224" s="2522"/>
      <c r="I224" s="2522"/>
      <c r="J224" s="2527">
        <f>SUM(J218:J223)</f>
        <v>60907.41</v>
      </c>
    </row>
    <row r="225" spans="1:10" s="2516" customFormat="1" ht="20.100000000000001" customHeight="1">
      <c r="A225" s="2517"/>
      <c r="B225" s="2520" t="s">
        <v>1858</v>
      </c>
      <c r="C225" s="2521" t="s">
        <v>40</v>
      </c>
      <c r="D225" s="2517"/>
      <c r="E225" s="2517"/>
      <c r="F225" s="2517"/>
      <c r="G225" s="2517"/>
      <c r="H225" s="2522"/>
      <c r="I225" s="2522"/>
      <c r="J225" s="2524"/>
    </row>
    <row r="226" spans="1:10" s="2516" customFormat="1" ht="20.100000000000001" customHeight="1">
      <c r="A226" s="2517"/>
      <c r="B226" s="2522">
        <v>6</v>
      </c>
      <c r="C226" s="2523" t="s">
        <v>41</v>
      </c>
      <c r="D226" s="2518" t="s">
        <v>68</v>
      </c>
      <c r="E226" s="2517"/>
      <c r="F226" s="2517"/>
      <c r="G226" s="2517"/>
      <c r="H226" s="2522">
        <f>+'SSR-rates'!K88</f>
        <v>697.9</v>
      </c>
      <c r="I226" s="2522" t="s">
        <v>41</v>
      </c>
      <c r="J226" s="2524">
        <f>ROUND(B226*H226,2)</f>
        <v>4187.3999999999996</v>
      </c>
    </row>
    <row r="227" spans="1:10" s="2516" customFormat="1" ht="20.100000000000001" customHeight="1">
      <c r="A227" s="2520"/>
      <c r="B227" s="2522">
        <v>6</v>
      </c>
      <c r="C227" s="2523" t="s">
        <v>41</v>
      </c>
      <c r="D227" s="2518" t="s">
        <v>1859</v>
      </c>
      <c r="E227" s="2517"/>
      <c r="F227" s="2517"/>
      <c r="G227" s="2517"/>
      <c r="H227" s="2522">
        <f>+'SSR-rates'!K87</f>
        <v>1323.5</v>
      </c>
      <c r="I227" s="2522" t="s">
        <v>41</v>
      </c>
      <c r="J227" s="2524">
        <f>ROUND(B227*H227,2)</f>
        <v>7941</v>
      </c>
    </row>
    <row r="228" spans="1:10" s="2516" customFormat="1" ht="20.100000000000001" customHeight="1">
      <c r="A228" s="2520"/>
      <c r="B228" s="2522"/>
      <c r="C228" s="2526"/>
      <c r="D228" s="2518" t="s">
        <v>60</v>
      </c>
      <c r="E228" s="2517"/>
      <c r="F228" s="2517"/>
      <c r="G228" s="2517"/>
      <c r="H228" s="2522"/>
      <c r="I228" s="2522"/>
      <c r="J228" s="2527">
        <f>SUM(J226:J227)</f>
        <v>12128.4</v>
      </c>
    </row>
    <row r="229" spans="1:10" ht="20.100000000000001" customHeight="1">
      <c r="A229" s="2523"/>
      <c r="B229" s="2520" t="s">
        <v>45</v>
      </c>
      <c r="C229" s="2521" t="s">
        <v>71</v>
      </c>
      <c r="D229" s="2517"/>
      <c r="E229" s="2517"/>
      <c r="F229" s="2517"/>
      <c r="G229" s="2517"/>
      <c r="H229" s="2522"/>
      <c r="I229" s="2522"/>
      <c r="J229" s="2518"/>
    </row>
    <row r="230" spans="1:10" ht="20.100000000000001" customHeight="1">
      <c r="A230" s="2523"/>
      <c r="B230" s="2522">
        <v>10</v>
      </c>
      <c r="C230" s="2523" t="s">
        <v>29</v>
      </c>
      <c r="D230" s="2517" t="s">
        <v>72</v>
      </c>
      <c r="E230" s="2517"/>
      <c r="F230" s="2517"/>
      <c r="G230" s="2517"/>
      <c r="H230" s="2522">
        <f>+J228+J224+J216</f>
        <v>85952.81</v>
      </c>
      <c r="I230" s="2505" t="s">
        <v>73</v>
      </c>
      <c r="J230" s="2518">
        <f>ROUND(B230*H230/100,2)</f>
        <v>8595.2800000000007</v>
      </c>
    </row>
    <row r="231" spans="1:10" s="2516" customFormat="1" ht="20.100000000000001" customHeight="1">
      <c r="A231" s="2520"/>
      <c r="B231" s="2520" t="s">
        <v>45</v>
      </c>
      <c r="C231" s="2530" t="s">
        <v>1238</v>
      </c>
      <c r="D231" s="2517"/>
      <c r="E231" s="2517"/>
      <c r="F231" s="2523"/>
      <c r="G231" s="2523"/>
      <c r="H231" s="2523"/>
      <c r="I231" s="2523"/>
      <c r="J231" s="2527"/>
    </row>
    <row r="232" spans="1:10" s="2516" customFormat="1" ht="20.100000000000001" customHeight="1">
      <c r="A232" s="2517"/>
      <c r="B232" s="2531">
        <f>B201</f>
        <v>0.19614999999999999</v>
      </c>
      <c r="C232" s="2530" t="s">
        <v>1238</v>
      </c>
      <c r="D232" s="2517"/>
      <c r="E232" s="2517"/>
      <c r="F232" s="2523"/>
      <c r="G232" s="2523"/>
      <c r="H232" s="2523"/>
      <c r="I232" s="2523"/>
      <c r="J232" s="2524">
        <f>ROUND((J216+J224+J228+J230)*B232,2)</f>
        <v>18545.61</v>
      </c>
    </row>
    <row r="233" spans="1:10" s="2516" customFormat="1" ht="20.100000000000001" customHeight="1">
      <c r="A233" s="2517"/>
      <c r="B233" s="2532">
        <f>'Input Data'!$E$24</f>
        <v>0.1</v>
      </c>
      <c r="C233" s="2533" t="s">
        <v>1220</v>
      </c>
      <c r="D233" s="2517"/>
      <c r="E233" s="2517"/>
      <c r="F233" s="2523"/>
      <c r="G233" s="2523"/>
      <c r="H233" s="2526">
        <f>J232+J230+J228+J224+J216</f>
        <v>113093.70000000001</v>
      </c>
      <c r="I233" s="2523"/>
      <c r="J233" s="2524">
        <f>H233*B233</f>
        <v>11309.370000000003</v>
      </c>
    </row>
    <row r="234" spans="1:10" s="2516" customFormat="1" ht="20.100000000000001" customHeight="1">
      <c r="A234" s="2517"/>
      <c r="B234" s="2520" t="s">
        <v>47</v>
      </c>
      <c r="C234" s="2530" t="s">
        <v>89</v>
      </c>
      <c r="D234" s="2517"/>
      <c r="E234" s="2517"/>
      <c r="F234" s="2523"/>
      <c r="G234" s="2523"/>
      <c r="H234" s="2523"/>
      <c r="I234" s="2523"/>
      <c r="J234" s="2527">
        <f>H233+J233</f>
        <v>124403.07</v>
      </c>
    </row>
    <row r="235" spans="1:10" s="2516" customFormat="1" ht="20.100000000000001" customHeight="1">
      <c r="A235" s="2517"/>
      <c r="B235" s="2529"/>
      <c r="C235" s="2523"/>
      <c r="D235" s="2521" t="s">
        <v>1814</v>
      </c>
      <c r="E235" s="2517"/>
      <c r="F235" s="2517"/>
      <c r="G235" s="2517"/>
      <c r="H235" s="2522"/>
      <c r="I235" s="2522"/>
      <c r="J235" s="2527">
        <f>SUM(J234:J234)</f>
        <v>124403.07</v>
      </c>
    </row>
    <row r="236" spans="1:10" s="2516" customFormat="1" ht="20.100000000000001" customHeight="1">
      <c r="A236" s="2517"/>
      <c r="B236" s="2522"/>
      <c r="C236" s="2523"/>
      <c r="D236" s="2518" t="s">
        <v>81</v>
      </c>
      <c r="E236" s="2517"/>
      <c r="F236" s="2517"/>
      <c r="G236" s="2517"/>
      <c r="H236" s="2522"/>
      <c r="I236" s="2517"/>
      <c r="J236" s="2524">
        <f>ROUND(J235/15,2)</f>
        <v>8293.5400000000009</v>
      </c>
    </row>
    <row r="237" spans="1:10" s="2516" customFormat="1" ht="20.100000000000001" customHeight="1">
      <c r="A237" s="2534"/>
      <c r="B237" s="2505"/>
      <c r="C237" s="2517"/>
      <c r="D237" s="2518" t="s">
        <v>52</v>
      </c>
      <c r="E237" s="2517"/>
      <c r="F237" s="2517"/>
      <c r="G237" s="2517"/>
      <c r="H237" s="2522"/>
      <c r="I237" s="2517"/>
      <c r="J237" s="2535">
        <f>ROUND(J236,2)</f>
        <v>8293.5400000000009</v>
      </c>
    </row>
    <row r="238" spans="1:10" s="2516" customFormat="1" ht="20.100000000000001" customHeight="1">
      <c r="A238" s="2517"/>
      <c r="B238" s="2505"/>
      <c r="C238" s="2517"/>
      <c r="D238" s="2518"/>
      <c r="E238" s="2517"/>
      <c r="F238" s="2517"/>
      <c r="G238" s="2517"/>
      <c r="H238" s="2522"/>
      <c r="I238" s="2517"/>
      <c r="J238" s="2527" t="s">
        <v>53</v>
      </c>
    </row>
    <row r="239" spans="1:10" s="2510" customFormat="1" ht="114.6" customHeight="1">
      <c r="A239" s="2515">
        <f>A208+1</f>
        <v>6</v>
      </c>
      <c r="B239" s="3968" t="s">
        <v>2965</v>
      </c>
      <c r="C239" s="3968"/>
      <c r="D239" s="3968"/>
      <c r="E239" s="3968"/>
      <c r="F239" s="3968"/>
      <c r="G239" s="3968"/>
      <c r="H239" s="3968"/>
      <c r="I239" s="3968"/>
      <c r="J239" s="3968"/>
    </row>
    <row r="240" spans="1:10" s="2516" customFormat="1" ht="20.100000000000001" customHeight="1">
      <c r="A240" s="2517"/>
      <c r="B240" s="2505"/>
      <c r="C240" s="2517"/>
      <c r="D240" s="2518" t="s">
        <v>10</v>
      </c>
      <c r="E240" s="2517"/>
      <c r="F240" s="2517"/>
      <c r="G240" s="2517"/>
      <c r="H240" s="2517"/>
      <c r="I240" s="2517"/>
      <c r="J240" s="2517"/>
    </row>
    <row r="241" spans="1:10" s="2516" customFormat="1" ht="20.100000000000001" customHeight="1">
      <c r="A241" s="2517"/>
      <c r="B241" s="2505"/>
      <c r="C241" s="2517"/>
      <c r="D241" s="2518" t="s">
        <v>56</v>
      </c>
      <c r="E241" s="2517"/>
      <c r="F241" s="2517"/>
      <c r="G241" s="2517"/>
      <c r="H241" s="2517"/>
      <c r="I241" s="2517"/>
      <c r="J241" s="2517"/>
    </row>
    <row r="242" spans="1:10" s="2516" customFormat="1" ht="20.100000000000001" customHeight="1">
      <c r="A242" s="2517"/>
      <c r="B242" s="2520" t="s">
        <v>36</v>
      </c>
      <c r="C242" s="2521" t="s">
        <v>37</v>
      </c>
      <c r="D242" s="2517"/>
      <c r="E242" s="2517"/>
      <c r="F242" s="2517"/>
      <c r="G242" s="2517"/>
      <c r="H242" s="2517"/>
      <c r="I242" s="2517"/>
      <c r="J242" s="2517"/>
    </row>
    <row r="243" spans="1:10" s="2516" customFormat="1" ht="20.100000000000001" customHeight="1">
      <c r="A243" s="2517"/>
      <c r="B243" s="2522">
        <v>0.86</v>
      </c>
      <c r="C243" s="2523" t="s">
        <v>57</v>
      </c>
      <c r="D243" s="2518" t="s">
        <v>14</v>
      </c>
      <c r="E243" s="2517"/>
      <c r="F243" s="2517"/>
      <c r="G243" s="2517"/>
      <c r="H243" s="2522">
        <f>'SSR-rates'!$K$58</f>
        <v>575</v>
      </c>
      <c r="I243" s="2522" t="s">
        <v>38</v>
      </c>
      <c r="J243" s="2524">
        <f>ROUND(B243*H243,2)</f>
        <v>494.5</v>
      </c>
    </row>
    <row r="244" spans="1:10" s="2516" customFormat="1" ht="20.100000000000001" customHeight="1">
      <c r="A244" s="2517"/>
      <c r="B244" s="2522">
        <v>1.5</v>
      </c>
      <c r="C244" s="2523" t="s">
        <v>57</v>
      </c>
      <c r="D244" s="2518" t="s">
        <v>58</v>
      </c>
      <c r="E244" s="2517"/>
      <c r="F244" s="2517"/>
      <c r="G244" s="2517"/>
      <c r="H244" s="2522">
        <f>+'SSR-rates'!$K$54</f>
        <v>615</v>
      </c>
      <c r="I244" s="2522" t="s">
        <v>38</v>
      </c>
      <c r="J244" s="2524">
        <f>ROUND(B244*H244,2)</f>
        <v>922.5</v>
      </c>
    </row>
    <row r="245" spans="1:10" s="2516" customFormat="1" ht="20.100000000000001" customHeight="1">
      <c r="A245" s="2517"/>
      <c r="B245" s="2522">
        <v>20</v>
      </c>
      <c r="C245" s="2523" t="s">
        <v>57</v>
      </c>
      <c r="D245" s="2518" t="s">
        <v>59</v>
      </c>
      <c r="E245" s="2517"/>
      <c r="F245" s="2517"/>
      <c r="G245" s="2517"/>
      <c r="H245" s="2522">
        <f>'SSR-rates'!$K$60</f>
        <v>575</v>
      </c>
      <c r="I245" s="2522" t="s">
        <v>38</v>
      </c>
      <c r="J245" s="2524">
        <f>ROUND(B245*H245,2)</f>
        <v>11500</v>
      </c>
    </row>
    <row r="246" spans="1:10" ht="20.100000000000001" customHeight="1">
      <c r="A246" s="2520"/>
      <c r="B246" s="2525">
        <f>+'Input Data'!D23</f>
        <v>0</v>
      </c>
      <c r="C246" s="2526"/>
      <c r="D246" s="2517" t="s">
        <v>17</v>
      </c>
      <c r="E246" s="2517"/>
      <c r="F246" s="2523"/>
      <c r="G246" s="2523"/>
      <c r="H246" s="2522">
        <f>SUM(J243:J245)</f>
        <v>12917</v>
      </c>
      <c r="I246" s="2505"/>
      <c r="J246" s="2524">
        <f>B246*H246</f>
        <v>0</v>
      </c>
    </row>
    <row r="247" spans="1:10" s="2516" customFormat="1" ht="20.100000000000001" customHeight="1">
      <c r="A247" s="2517"/>
      <c r="B247" s="2522"/>
      <c r="C247" s="2517"/>
      <c r="D247" s="2518" t="s">
        <v>60</v>
      </c>
      <c r="E247" s="2517"/>
      <c r="F247" s="2517"/>
      <c r="G247" s="2517"/>
      <c r="H247" s="2522"/>
      <c r="I247" s="2522"/>
      <c r="J247" s="2527">
        <f>SUM(J243:J246)</f>
        <v>12917</v>
      </c>
    </row>
    <row r="248" spans="1:10" s="2516" customFormat="1" ht="20.100000000000001" customHeight="1">
      <c r="A248" s="2517"/>
      <c r="B248" s="2520" t="s">
        <v>39</v>
      </c>
      <c r="C248" s="2521" t="s">
        <v>61</v>
      </c>
      <c r="D248" s="2517"/>
      <c r="E248" s="2517"/>
      <c r="F248" s="2517"/>
      <c r="G248" s="2517"/>
      <c r="H248" s="2517"/>
      <c r="I248" s="2522"/>
      <c r="J248" s="2524"/>
    </row>
    <row r="249" spans="1:10" ht="20.100000000000001" customHeight="1">
      <c r="A249" s="2523"/>
      <c r="B249" s="2522">
        <v>8.1</v>
      </c>
      <c r="C249" s="2523" t="s">
        <v>31</v>
      </c>
      <c r="D249" s="2517" t="s">
        <v>63</v>
      </c>
      <c r="E249" s="2517"/>
      <c r="F249" s="2517"/>
      <c r="G249" s="2517"/>
      <c r="H249" s="2522">
        <f>+lead!$J$16</f>
        <v>1889.8641904678079</v>
      </c>
      <c r="I249" s="2522" t="s">
        <v>31</v>
      </c>
      <c r="J249" s="2518">
        <f>ROUND(B249*H249,2)</f>
        <v>15307.9</v>
      </c>
    </row>
    <row r="250" spans="1:10" ht="20.100000000000001" customHeight="1">
      <c r="A250" s="2523"/>
      <c r="B250" s="2522">
        <v>5.4</v>
      </c>
      <c r="C250" s="2523" t="s">
        <v>31</v>
      </c>
      <c r="D250" s="2517" t="s">
        <v>64</v>
      </c>
      <c r="E250" s="2517"/>
      <c r="F250" s="2517"/>
      <c r="G250" s="2517"/>
      <c r="H250" s="2522">
        <f>+lead!$J$18</f>
        <v>1638.8641904678079</v>
      </c>
      <c r="I250" s="2522" t="s">
        <v>31</v>
      </c>
      <c r="J250" s="2518">
        <f>ROUND(B250*H250,2)</f>
        <v>8849.8700000000008</v>
      </c>
    </row>
    <row r="251" spans="1:10" s="2516" customFormat="1" ht="45" customHeight="1">
      <c r="A251" s="2517"/>
      <c r="B251" s="2529">
        <f>6.75/2</f>
        <v>3.375</v>
      </c>
      <c r="C251" s="2523" t="s">
        <v>31</v>
      </c>
      <c r="D251" s="3967" t="s">
        <v>1716</v>
      </c>
      <c r="E251" s="3967"/>
      <c r="F251" s="3967"/>
      <c r="G251" s="3967"/>
      <c r="H251" s="2528">
        <f>lead!$J$31</f>
        <v>1760.9684020595876</v>
      </c>
      <c r="I251" s="2522" t="s">
        <v>31</v>
      </c>
      <c r="J251" s="2524">
        <f>ROUND(B251*H251,2)</f>
        <v>5943.27</v>
      </c>
    </row>
    <row r="252" spans="1:10" s="2516" customFormat="1" ht="35.1" customHeight="1">
      <c r="A252" s="2517"/>
      <c r="B252" s="2529">
        <f>6.75/2</f>
        <v>3.375</v>
      </c>
      <c r="C252" s="2523" t="s">
        <v>31</v>
      </c>
      <c r="D252" s="3967" t="s">
        <v>1717</v>
      </c>
      <c r="E252" s="3967"/>
      <c r="F252" s="3967"/>
      <c r="G252" s="3967"/>
      <c r="H252" s="2528">
        <f>lead!$J$33</f>
        <v>1760.9684020595876</v>
      </c>
      <c r="I252" s="2522" t="s">
        <v>31</v>
      </c>
      <c r="J252" s="2524">
        <f>ROUND(B252*H252,2)</f>
        <v>5943.27</v>
      </c>
    </row>
    <row r="253" spans="1:10" s="2516" customFormat="1" ht="20.100000000000001" customHeight="1">
      <c r="A253" s="2517"/>
      <c r="B253" s="2522">
        <v>6.05</v>
      </c>
      <c r="C253" s="2523" t="s">
        <v>66</v>
      </c>
      <c r="D253" s="2518" t="s">
        <v>67</v>
      </c>
      <c r="E253" s="2517"/>
      <c r="F253" s="2517"/>
      <c r="G253" s="2517"/>
      <c r="H253" s="2522">
        <f>+lead!$J$36</f>
        <v>5000</v>
      </c>
      <c r="I253" s="2522" t="s">
        <v>66</v>
      </c>
      <c r="J253" s="2524">
        <f>ROUND(B253*H253,2)</f>
        <v>30250</v>
      </c>
    </row>
    <row r="254" spans="1:10" s="2516" customFormat="1" ht="20.100000000000001" customHeight="1">
      <c r="A254" s="2517"/>
      <c r="B254" s="2529"/>
      <c r="C254" s="2526"/>
      <c r="D254" s="2518" t="s">
        <v>60</v>
      </c>
      <c r="E254" s="2517"/>
      <c r="F254" s="2517"/>
      <c r="G254" s="2517"/>
      <c r="H254" s="2522"/>
      <c r="I254" s="2522"/>
      <c r="J254" s="2527">
        <f>SUM(J249:J253)</f>
        <v>66294.31</v>
      </c>
    </row>
    <row r="255" spans="1:10" s="2516" customFormat="1" ht="20.100000000000001" customHeight="1">
      <c r="A255" s="2517"/>
      <c r="B255" s="2520" t="s">
        <v>1858</v>
      </c>
      <c r="C255" s="2521" t="s">
        <v>40</v>
      </c>
      <c r="D255" s="2517"/>
      <c r="E255" s="2517"/>
      <c r="F255" s="2517"/>
      <c r="G255" s="2517"/>
      <c r="H255" s="2522"/>
      <c r="I255" s="2522"/>
      <c r="J255" s="2524"/>
    </row>
    <row r="256" spans="1:10" s="2516" customFormat="1" ht="20.100000000000001" customHeight="1">
      <c r="A256" s="2517"/>
      <c r="B256" s="2522">
        <v>6</v>
      </c>
      <c r="C256" s="2523" t="s">
        <v>41</v>
      </c>
      <c r="D256" s="2518" t="s">
        <v>68</v>
      </c>
      <c r="E256" s="2517"/>
      <c r="F256" s="2517"/>
      <c r="G256" s="2517"/>
      <c r="H256" s="2522">
        <f>+'SSR-rates'!$K$88</f>
        <v>697.9</v>
      </c>
      <c r="I256" s="2522" t="s">
        <v>41</v>
      </c>
      <c r="J256" s="2524">
        <f>ROUND(B256*H256,2)</f>
        <v>4187.3999999999996</v>
      </c>
    </row>
    <row r="257" spans="1:10" s="2516" customFormat="1" ht="20.100000000000001" customHeight="1">
      <c r="A257" s="2520"/>
      <c r="B257" s="2522">
        <v>6</v>
      </c>
      <c r="C257" s="2523" t="s">
        <v>41</v>
      </c>
      <c r="D257" s="2518" t="s">
        <v>1859</v>
      </c>
      <c r="E257" s="2517"/>
      <c r="F257" s="2517"/>
      <c r="G257" s="2517"/>
      <c r="H257" s="2522">
        <f>+'SSR-rates'!$K$87</f>
        <v>1323.5</v>
      </c>
      <c r="I257" s="2522" t="s">
        <v>41</v>
      </c>
      <c r="J257" s="2524">
        <f>ROUND(B257*H257,2)</f>
        <v>7941</v>
      </c>
    </row>
    <row r="258" spans="1:10" s="2516" customFormat="1" ht="20.100000000000001" customHeight="1">
      <c r="A258" s="2520"/>
      <c r="B258" s="2522"/>
      <c r="C258" s="2526"/>
      <c r="D258" s="2518" t="s">
        <v>60</v>
      </c>
      <c r="E258" s="2517"/>
      <c r="F258" s="2517"/>
      <c r="G258" s="2517"/>
      <c r="H258" s="2522"/>
      <c r="I258" s="2522"/>
      <c r="J258" s="2527">
        <f>SUM(J256:J257)</f>
        <v>12128.4</v>
      </c>
    </row>
    <row r="259" spans="1:10" ht="20.100000000000001" customHeight="1">
      <c r="A259" s="2523"/>
      <c r="B259" s="2520" t="s">
        <v>45</v>
      </c>
      <c r="C259" s="2521" t="s">
        <v>71</v>
      </c>
      <c r="D259" s="2517"/>
      <c r="E259" s="2517"/>
      <c r="F259" s="2517"/>
      <c r="G259" s="2517"/>
      <c r="H259" s="2522"/>
      <c r="I259" s="2522"/>
      <c r="J259" s="2518"/>
    </row>
    <row r="260" spans="1:10" ht="20.100000000000001" customHeight="1">
      <c r="A260" s="2523"/>
      <c r="B260" s="2522">
        <v>10</v>
      </c>
      <c r="C260" s="2523" t="s">
        <v>29</v>
      </c>
      <c r="D260" s="2517" t="s">
        <v>72</v>
      </c>
      <c r="E260" s="2517"/>
      <c r="F260" s="2517"/>
      <c r="G260" s="2517"/>
      <c r="H260" s="2522">
        <f>+J258+J254+J247</f>
        <v>91339.709999999992</v>
      </c>
      <c r="I260" s="2505" t="s">
        <v>73</v>
      </c>
      <c r="J260" s="2518">
        <f>ROUND(B260*H260/100,2)</f>
        <v>9133.9699999999993</v>
      </c>
    </row>
    <row r="261" spans="1:10" s="2516" customFormat="1" ht="20.100000000000001" customHeight="1">
      <c r="A261" s="2520"/>
      <c r="B261" s="2520" t="s">
        <v>45</v>
      </c>
      <c r="C261" s="2530" t="s">
        <v>1238</v>
      </c>
      <c r="D261" s="2517"/>
      <c r="E261" s="2517"/>
      <c r="F261" s="2523"/>
      <c r="G261" s="2523"/>
      <c r="H261" s="2523"/>
      <c r="I261" s="2523"/>
      <c r="J261" s="2527"/>
    </row>
    <row r="262" spans="1:10" s="2516" customFormat="1" ht="20.100000000000001" customHeight="1">
      <c r="A262" s="2517"/>
      <c r="B262" s="2531">
        <f>B232</f>
        <v>0.19614999999999999</v>
      </c>
      <c r="C262" s="2530" t="s">
        <v>1238</v>
      </c>
      <c r="D262" s="2517"/>
      <c r="E262" s="2517"/>
      <c r="F262" s="2523"/>
      <c r="G262" s="2523"/>
      <c r="H262" s="2523"/>
      <c r="I262" s="2523"/>
      <c r="J262" s="2524">
        <f>ROUND((J247+J254+J258+J260)*B262,2)</f>
        <v>19707.91</v>
      </c>
    </row>
    <row r="263" spans="1:10" s="2516" customFormat="1" ht="20.100000000000001" customHeight="1">
      <c r="A263" s="2517"/>
      <c r="B263" s="2532">
        <f>'Input Data'!$E$24</f>
        <v>0.1</v>
      </c>
      <c r="C263" s="2533" t="s">
        <v>1220</v>
      </c>
      <c r="D263" s="2517"/>
      <c r="E263" s="2517"/>
      <c r="F263" s="2523"/>
      <c r="G263" s="2523"/>
      <c r="H263" s="2526">
        <f>J262+J260+J258+J254+J247</f>
        <v>120181.59</v>
      </c>
      <c r="I263" s="2523"/>
      <c r="J263" s="2524">
        <f>H263*B263</f>
        <v>12018.159</v>
      </c>
    </row>
    <row r="264" spans="1:10" s="2516" customFormat="1" ht="20.100000000000001" customHeight="1">
      <c r="A264" s="2517"/>
      <c r="B264" s="2520" t="s">
        <v>47</v>
      </c>
      <c r="C264" s="2530" t="s">
        <v>89</v>
      </c>
      <c r="D264" s="2517"/>
      <c r="E264" s="2517"/>
      <c r="F264" s="2523"/>
      <c r="G264" s="2523"/>
      <c r="H264" s="2523"/>
      <c r="I264" s="2523"/>
      <c r="J264" s="2527">
        <f>J247+J254+J258+J260+J262+J263</f>
        <v>132199.74900000001</v>
      </c>
    </row>
    <row r="265" spans="1:10" s="2516" customFormat="1" ht="20.100000000000001" customHeight="1">
      <c r="A265" s="2517"/>
      <c r="B265" s="2529"/>
      <c r="C265" s="2523"/>
      <c r="D265" s="2521" t="s">
        <v>1814</v>
      </c>
      <c r="E265" s="2517"/>
      <c r="F265" s="2517"/>
      <c r="G265" s="2517"/>
      <c r="H265" s="2522"/>
      <c r="I265" s="2522"/>
      <c r="J265" s="2527">
        <f>SUM(J264:J264)</f>
        <v>132199.74900000001</v>
      </c>
    </row>
    <row r="266" spans="1:10" s="2516" customFormat="1" ht="20.100000000000001" customHeight="1">
      <c r="A266" s="2517"/>
      <c r="B266" s="2522"/>
      <c r="C266" s="2523"/>
      <c r="D266" s="2518" t="s">
        <v>81</v>
      </c>
      <c r="E266" s="2517"/>
      <c r="F266" s="2517"/>
      <c r="G266" s="2517"/>
      <c r="H266" s="2522"/>
      <c r="I266" s="2517"/>
      <c r="J266" s="2524">
        <f>ROUND(J265/15,2)</f>
        <v>8813.32</v>
      </c>
    </row>
    <row r="267" spans="1:10" s="2516" customFormat="1" ht="20.100000000000001" customHeight="1">
      <c r="A267" s="2534"/>
      <c r="B267" s="2505"/>
      <c r="C267" s="2517"/>
      <c r="D267" s="2518" t="s">
        <v>52</v>
      </c>
      <c r="E267" s="2517"/>
      <c r="F267" s="2517"/>
      <c r="G267" s="2517"/>
      <c r="H267" s="2522"/>
      <c r="I267" s="2517"/>
      <c r="J267" s="2535">
        <f>ROUND(J266,2)</f>
        <v>8813.32</v>
      </c>
    </row>
    <row r="268" spans="1:10" s="2516" customFormat="1" ht="20.100000000000001" customHeight="1">
      <c r="A268" s="2517"/>
      <c r="B268" s="2505"/>
      <c r="C268" s="2517"/>
      <c r="D268" s="2518"/>
      <c r="E268" s="2517"/>
      <c r="F268" s="2517"/>
      <c r="G268" s="2517"/>
      <c r="H268" s="2522"/>
      <c r="I268" s="2517"/>
      <c r="J268" s="2527" t="s">
        <v>53</v>
      </c>
    </row>
    <row r="269" spans="1:10" ht="138" customHeight="1">
      <c r="A269" s="2536">
        <f>A239+1</f>
        <v>7</v>
      </c>
      <c r="B269" s="3971" t="s">
        <v>1068</v>
      </c>
      <c r="C269" s="3971"/>
      <c r="D269" s="3971"/>
      <c r="E269" s="3971"/>
      <c r="F269" s="3971"/>
      <c r="G269" s="3971"/>
      <c r="H269" s="3971"/>
      <c r="I269" s="3971"/>
      <c r="J269" s="3971"/>
    </row>
    <row r="270" spans="1:10" ht="20.100000000000001" customHeight="1">
      <c r="A270" s="2539"/>
      <c r="B270" s="2540"/>
      <c r="C270" s="2540"/>
      <c r="D270" s="3972" t="s">
        <v>195</v>
      </c>
      <c r="E270" s="3972"/>
      <c r="F270" s="3972"/>
      <c r="G270" s="3972"/>
      <c r="H270" s="2540"/>
      <c r="I270" s="2540"/>
      <c r="J270" s="2541"/>
    </row>
    <row r="271" spans="1:10" ht="20.100000000000001" customHeight="1">
      <c r="A271" s="2539"/>
      <c r="B271" s="2540"/>
      <c r="C271" s="2540"/>
      <c r="D271" s="3973" t="s">
        <v>186</v>
      </c>
      <c r="E271" s="3973"/>
      <c r="F271" s="3973"/>
      <c r="G271" s="3973"/>
      <c r="H271" s="2540"/>
      <c r="I271" s="2540"/>
      <c r="J271" s="2541"/>
    </row>
    <row r="272" spans="1:10" ht="20.100000000000001" customHeight="1">
      <c r="A272" s="2539"/>
      <c r="B272" s="2540"/>
      <c r="C272" s="2542"/>
      <c r="D272" s="3973" t="s">
        <v>187</v>
      </c>
      <c r="E272" s="3973"/>
      <c r="F272" s="3973"/>
      <c r="G272" s="3973"/>
      <c r="H272" s="2540"/>
      <c r="I272" s="2540"/>
      <c r="J272" s="2541"/>
    </row>
    <row r="273" spans="1:10" ht="20.100000000000001" customHeight="1">
      <c r="A273" s="2539"/>
      <c r="B273" s="2540"/>
      <c r="C273" s="2543"/>
      <c r="D273" s="3974" t="s">
        <v>12</v>
      </c>
      <c r="E273" s="3974"/>
      <c r="F273" s="3974"/>
      <c r="G273" s="3974"/>
      <c r="H273" s="2540"/>
      <c r="I273" s="2540"/>
      <c r="J273" s="2541"/>
    </row>
    <row r="274" spans="1:10" ht="20.100000000000001" customHeight="1">
      <c r="A274" s="2539"/>
      <c r="B274" s="2542">
        <v>0.34</v>
      </c>
      <c r="C274" s="2544" t="s">
        <v>13</v>
      </c>
      <c r="D274" s="3975" t="s">
        <v>14</v>
      </c>
      <c r="E274" s="3975"/>
      <c r="F274" s="3975"/>
      <c r="G274" s="3975"/>
      <c r="H274" s="2545">
        <f>'SSR-rates'!$K$58</f>
        <v>575</v>
      </c>
      <c r="I274" s="2542">
        <v>1</v>
      </c>
      <c r="J274" s="2546">
        <f>ROUND(B274*H274,2)</f>
        <v>195.5</v>
      </c>
    </row>
    <row r="275" spans="1:10" ht="20.100000000000001" customHeight="1">
      <c r="A275" s="2539"/>
      <c r="B275" s="2542">
        <v>2</v>
      </c>
      <c r="C275" s="2544" t="s">
        <v>13</v>
      </c>
      <c r="D275" s="3975" t="s">
        <v>188</v>
      </c>
      <c r="E275" s="3975"/>
      <c r="F275" s="3975"/>
      <c r="G275" s="3975"/>
      <c r="H275" s="2545">
        <f>'SSR-rates'!$K$92</f>
        <v>640</v>
      </c>
      <c r="I275" s="2542">
        <v>1</v>
      </c>
      <c r="J275" s="2546">
        <f>ROUND(B275*H275,2)</f>
        <v>1280</v>
      </c>
    </row>
    <row r="276" spans="1:10" ht="20.100000000000001" customHeight="1">
      <c r="A276" s="2539"/>
      <c r="B276" s="2542">
        <v>6.5</v>
      </c>
      <c r="C276" s="2544" t="s">
        <v>13</v>
      </c>
      <c r="D276" s="3975" t="s">
        <v>59</v>
      </c>
      <c r="E276" s="3975"/>
      <c r="F276" s="3975"/>
      <c r="G276" s="3975"/>
      <c r="H276" s="2545">
        <f>'SSR-rates'!$K$60</f>
        <v>575</v>
      </c>
      <c r="I276" s="2542">
        <v>1</v>
      </c>
      <c r="J276" s="2546">
        <f>ROUND(B276*H276,2)</f>
        <v>3737.5</v>
      </c>
    </row>
    <row r="277" spans="1:10" ht="20.100000000000001" customHeight="1">
      <c r="A277" s="2539"/>
      <c r="B277" s="2525">
        <f>'Input Data'!$D$23</f>
        <v>0</v>
      </c>
      <c r="C277" s="2526"/>
      <c r="D277" s="2517" t="s">
        <v>17</v>
      </c>
      <c r="E277" s="2517"/>
      <c r="F277" s="2523"/>
      <c r="G277" s="2523"/>
      <c r="H277" s="2522">
        <f>SUM(J274:J276)</f>
        <v>5213</v>
      </c>
      <c r="I277" s="2505"/>
      <c r="J277" s="2524">
        <f>B277*H277</f>
        <v>0</v>
      </c>
    </row>
    <row r="278" spans="1:10" ht="20.100000000000001" customHeight="1">
      <c r="A278" s="2539"/>
      <c r="B278" s="2542"/>
      <c r="C278" s="2547"/>
      <c r="D278" s="3976" t="s">
        <v>18</v>
      </c>
      <c r="E278" s="3976"/>
      <c r="F278" s="3976"/>
      <c r="G278" s="3976"/>
      <c r="H278" s="2542"/>
      <c r="I278" s="2548" t="s">
        <v>19</v>
      </c>
      <c r="J278" s="2549">
        <f>SUM(J274:J277)</f>
        <v>5213</v>
      </c>
    </row>
    <row r="279" spans="1:10" ht="20.100000000000001" customHeight="1">
      <c r="A279" s="2539"/>
      <c r="B279" s="2542"/>
      <c r="C279" s="2550"/>
      <c r="D279" s="3974" t="s">
        <v>189</v>
      </c>
      <c r="E279" s="3974"/>
      <c r="F279" s="3974"/>
      <c r="G279" s="3974"/>
      <c r="H279" s="2542"/>
      <c r="I279" s="2542"/>
      <c r="J279" s="2546"/>
    </row>
    <row r="280" spans="1:10" ht="20.100000000000001" customHeight="1">
      <c r="A280" s="2539"/>
      <c r="B280" s="2542">
        <v>1.05</v>
      </c>
      <c r="C280" s="2544" t="s">
        <v>66</v>
      </c>
      <c r="D280" s="3975" t="s">
        <v>190</v>
      </c>
      <c r="E280" s="3975"/>
      <c r="F280" s="3975"/>
      <c r="G280" s="3975"/>
      <c r="H280" s="2542">
        <f>lead!$J$37</f>
        <v>49000</v>
      </c>
      <c r="I280" s="2542">
        <v>1</v>
      </c>
      <c r="J280" s="2546">
        <f>ROUND(B280*H280,2)</f>
        <v>51450</v>
      </c>
    </row>
    <row r="281" spans="1:10" ht="35.1" customHeight="1">
      <c r="A281" s="2523"/>
      <c r="B281" s="2556">
        <v>6</v>
      </c>
      <c r="C281" s="2557" t="s">
        <v>191</v>
      </c>
      <c r="D281" s="3979" t="s">
        <v>196</v>
      </c>
      <c r="E281" s="3979"/>
      <c r="F281" s="3979"/>
      <c r="G281" s="3979"/>
      <c r="H281" s="2556">
        <f>'SSR-rates'!$K$93</f>
        <v>83</v>
      </c>
      <c r="I281" s="2556">
        <v>1</v>
      </c>
      <c r="J281" s="2558">
        <f>H281*B281</f>
        <v>498</v>
      </c>
    </row>
    <row r="282" spans="1:10" ht="20.100000000000001" customHeight="1">
      <c r="A282" s="2539"/>
      <c r="B282" s="2542"/>
      <c r="C282" s="2547"/>
      <c r="D282" s="3976" t="s">
        <v>18</v>
      </c>
      <c r="E282" s="3976"/>
      <c r="F282" s="3976"/>
      <c r="G282" s="3976"/>
      <c r="H282" s="2542"/>
      <c r="I282" s="2548" t="s">
        <v>25</v>
      </c>
      <c r="J282" s="2549">
        <f>SUM(J280:J281)</f>
        <v>51948</v>
      </c>
    </row>
    <row r="283" spans="1:10" ht="35.1" customHeight="1">
      <c r="A283" s="2539"/>
      <c r="B283" s="2545"/>
      <c r="C283" s="2551"/>
      <c r="D283" s="3974" t="s">
        <v>26</v>
      </c>
      <c r="E283" s="3974"/>
      <c r="F283" s="3974"/>
      <c r="G283" s="3974"/>
      <c r="H283" s="2545"/>
      <c r="I283" s="2552"/>
      <c r="J283" s="2553">
        <f>J278+J282</f>
        <v>57161</v>
      </c>
    </row>
    <row r="284" spans="1:10" ht="20.100000000000001" customHeight="1">
      <c r="A284" s="2523"/>
      <c r="B284" s="2531">
        <f>B262</f>
        <v>0.19614999999999999</v>
      </c>
      <c r="C284" s="2559"/>
      <c r="D284" s="3978" t="s">
        <v>1883</v>
      </c>
      <c r="E284" s="3978"/>
      <c r="F284" s="3978"/>
      <c r="G284" s="3978"/>
      <c r="H284" s="2556">
        <f>J283</f>
        <v>57161</v>
      </c>
      <c r="I284" s="2560"/>
      <c r="J284" s="2558">
        <f>H284*B284</f>
        <v>11212.130149999999</v>
      </c>
    </row>
    <row r="285" spans="1:10" ht="20.100000000000001" customHeight="1">
      <c r="A285" s="2523"/>
      <c r="B285" s="2532">
        <f>'Input Data'!$E$24</f>
        <v>0.1</v>
      </c>
      <c r="C285" s="2533" t="s">
        <v>1220</v>
      </c>
      <c r="D285" s="2561"/>
      <c r="E285" s="2561"/>
      <c r="F285" s="2561"/>
      <c r="G285" s="2561"/>
      <c r="H285" s="2556">
        <f>J284+J282+J278</f>
        <v>68373.130149999997</v>
      </c>
      <c r="I285" s="2560"/>
      <c r="J285" s="2558">
        <f>H285*B285</f>
        <v>6837.3130149999997</v>
      </c>
    </row>
    <row r="286" spans="1:10" ht="20.100000000000001" customHeight="1">
      <c r="A286" s="2539"/>
      <c r="B286" s="2545"/>
      <c r="C286" s="2551"/>
      <c r="D286" s="3974"/>
      <c r="E286" s="3974"/>
      <c r="F286" s="3974"/>
      <c r="G286" s="3974"/>
      <c r="H286" s="2545"/>
      <c r="I286" s="2554"/>
      <c r="J286" s="2555"/>
    </row>
    <row r="287" spans="1:10" ht="20.100000000000001" customHeight="1">
      <c r="A287" s="2539"/>
      <c r="B287" s="2545"/>
      <c r="C287" s="2551"/>
      <c r="D287" s="3974"/>
      <c r="E287" s="3974"/>
      <c r="F287" s="3974"/>
      <c r="G287" s="3974"/>
      <c r="H287" s="2545"/>
      <c r="I287" s="2554"/>
      <c r="J287" s="2553"/>
    </row>
    <row r="288" spans="1:10" ht="20.100000000000001" customHeight="1">
      <c r="A288" s="2539"/>
      <c r="B288" s="2545">
        <v>1</v>
      </c>
      <c r="C288" s="2551" t="s">
        <v>66</v>
      </c>
      <c r="D288" s="3976" t="str">
        <f>CONCATENATE("TOTAL Cost for ",B288,"  ",C288,"  =  (A+B+C)",)</f>
        <v>TOTAL Cost for 1  MT  =  (A+B+C)</v>
      </c>
      <c r="E288" s="3976"/>
      <c r="F288" s="3976"/>
      <c r="G288" s="3976"/>
      <c r="H288" s="2545"/>
      <c r="I288" s="2545"/>
      <c r="J288" s="2555">
        <f>SUM(J283:J286)</f>
        <v>75210.443165000004</v>
      </c>
    </row>
    <row r="289" spans="1:11" ht="20.100000000000001" customHeight="1">
      <c r="A289" s="2539"/>
      <c r="B289" s="2545"/>
      <c r="C289" s="2545"/>
      <c r="D289" s="3976" t="str">
        <f>CONCATENATE("Rate per  1  ",C288)</f>
        <v>Rate per  1  MT</v>
      </c>
      <c r="E289" s="3976"/>
      <c r="F289" s="3976"/>
      <c r="G289" s="3976"/>
      <c r="H289" s="2545"/>
      <c r="I289" s="2545"/>
      <c r="J289" s="2546">
        <f>J288/B288</f>
        <v>75210.443165000004</v>
      </c>
    </row>
    <row r="290" spans="1:11" ht="20.100000000000001" customHeight="1">
      <c r="A290" s="2539"/>
      <c r="B290" s="2542"/>
      <c r="C290" s="2542"/>
      <c r="D290" s="3972" t="str">
        <f>D289</f>
        <v>Rate per  1  MT</v>
      </c>
      <c r="E290" s="3972"/>
      <c r="F290" s="3972"/>
      <c r="G290" s="3972"/>
      <c r="H290" s="2545"/>
      <c r="I290" s="2545"/>
      <c r="J290" s="2549">
        <f>ROUND(J289,2)</f>
        <v>75210.44</v>
      </c>
      <c r="K290" s="2506">
        <v>57086</v>
      </c>
    </row>
    <row r="291" spans="1:11" ht="109.5" customHeight="1">
      <c r="A291" s="2562">
        <f>A269+1</f>
        <v>8</v>
      </c>
      <c r="B291" s="3971" t="s">
        <v>200</v>
      </c>
      <c r="C291" s="3971"/>
      <c r="D291" s="3971"/>
      <c r="E291" s="3971"/>
      <c r="F291" s="3971"/>
      <c r="G291" s="3971"/>
      <c r="H291" s="3971"/>
      <c r="I291" s="3971"/>
      <c r="J291" s="3971"/>
    </row>
    <row r="292" spans="1:11" ht="20.100000000000001" customHeight="1">
      <c r="A292" s="2523"/>
      <c r="B292" s="2505"/>
      <c r="C292" s="2517"/>
      <c r="D292" s="2518" t="s">
        <v>1884</v>
      </c>
      <c r="E292" s="2517"/>
      <c r="F292" s="2530" t="s">
        <v>1885</v>
      </c>
      <c r="G292" s="2517"/>
      <c r="H292" s="2517"/>
      <c r="I292" s="2517"/>
      <c r="J292" s="2517"/>
    </row>
    <row r="293" spans="1:11" ht="20.100000000000001" customHeight="1">
      <c r="A293" s="2523"/>
      <c r="B293" s="2505"/>
      <c r="C293" s="2517"/>
      <c r="D293" s="2518" t="s">
        <v>1886</v>
      </c>
      <c r="E293" s="2517"/>
      <c r="F293" s="2517"/>
      <c r="G293" s="2517"/>
      <c r="H293" s="2517"/>
      <c r="I293" s="2517"/>
      <c r="J293" s="2517"/>
    </row>
    <row r="294" spans="1:11" ht="20.100000000000001" customHeight="1">
      <c r="A294" s="2523"/>
      <c r="B294" s="2520" t="s">
        <v>36</v>
      </c>
      <c r="C294" s="2521" t="s">
        <v>37</v>
      </c>
      <c r="D294" s="2517"/>
      <c r="E294" s="2517"/>
      <c r="F294" s="2517"/>
      <c r="G294" s="2517"/>
      <c r="H294" s="2517"/>
      <c r="I294" s="2517"/>
      <c r="J294" s="2517"/>
    </row>
    <row r="295" spans="1:11" ht="20.100000000000001" customHeight="1">
      <c r="A295" s="2523"/>
      <c r="B295" s="2522">
        <v>0.03</v>
      </c>
      <c r="C295" s="2523" t="s">
        <v>57</v>
      </c>
      <c r="D295" s="2518" t="s">
        <v>156</v>
      </c>
      <c r="E295" s="2517"/>
      <c r="F295" s="2517"/>
      <c r="G295" s="2517"/>
      <c r="H295" s="2522">
        <f>'SSR-rates'!$K$58</f>
        <v>575</v>
      </c>
      <c r="I295" s="2505" t="s">
        <v>38</v>
      </c>
      <c r="J295" s="2518">
        <f>ROUND(B295*H295,2)</f>
        <v>17.25</v>
      </c>
    </row>
    <row r="296" spans="1:11" ht="20.100000000000001" customHeight="1">
      <c r="A296" s="2523"/>
      <c r="B296" s="2522">
        <v>0.5</v>
      </c>
      <c r="C296" s="2523" t="s">
        <v>57</v>
      </c>
      <c r="D296" s="2518" t="s">
        <v>58</v>
      </c>
      <c r="E296" s="2517"/>
      <c r="F296" s="2517"/>
      <c r="G296" s="2517"/>
      <c r="H296" s="2522">
        <f>+'SSR-rates'!$K$96</f>
        <v>645</v>
      </c>
      <c r="I296" s="2505" t="s">
        <v>38</v>
      </c>
      <c r="J296" s="2518">
        <f>ROUND(B296*H296,2)</f>
        <v>322.5</v>
      </c>
    </row>
    <row r="297" spans="1:11" ht="20.100000000000001" customHeight="1">
      <c r="A297" s="2523"/>
      <c r="B297" s="2522">
        <v>0.25</v>
      </c>
      <c r="C297" s="2523" t="s">
        <v>57</v>
      </c>
      <c r="D297" s="2518" t="s">
        <v>59</v>
      </c>
      <c r="E297" s="2517"/>
      <c r="F297" s="2517"/>
      <c r="G297" s="2517"/>
      <c r="H297" s="2522">
        <f>'SSR-rates'!$K$60</f>
        <v>575</v>
      </c>
      <c r="I297" s="2505" t="s">
        <v>38</v>
      </c>
      <c r="J297" s="2518">
        <f>ROUND(B297*H297,2)</f>
        <v>143.75</v>
      </c>
    </row>
    <row r="298" spans="1:11" ht="20.100000000000001" customHeight="1">
      <c r="A298" s="2530"/>
      <c r="B298" s="2525">
        <f>'Input Data'!$D$23</f>
        <v>0</v>
      </c>
      <c r="C298" s="2526"/>
      <c r="D298" s="2517" t="s">
        <v>17</v>
      </c>
      <c r="E298" s="2517"/>
      <c r="F298" s="2523"/>
      <c r="G298" s="2523"/>
      <c r="H298" s="2522">
        <f>SUM(J295:J297)</f>
        <v>483.5</v>
      </c>
      <c r="I298" s="2505"/>
      <c r="J298" s="2518">
        <f>B298*H298</f>
        <v>0</v>
      </c>
    </row>
    <row r="299" spans="1:11" ht="20.100000000000001" customHeight="1">
      <c r="A299" s="2523"/>
      <c r="B299" s="2522"/>
      <c r="C299" s="2523"/>
      <c r="D299" s="2518" t="s">
        <v>60</v>
      </c>
      <c r="E299" s="2517"/>
      <c r="F299" s="2517"/>
      <c r="G299" s="2517"/>
      <c r="H299" s="2522"/>
      <c r="I299" s="2522"/>
      <c r="J299" s="2518">
        <f>SUM(J295:J298)</f>
        <v>483.5</v>
      </c>
    </row>
    <row r="300" spans="1:11" ht="20.100000000000001" customHeight="1">
      <c r="A300" s="2523"/>
      <c r="B300" s="2520" t="s">
        <v>39</v>
      </c>
      <c r="C300" s="2521" t="s">
        <v>61</v>
      </c>
      <c r="D300" s="2517"/>
      <c r="E300" s="2517"/>
      <c r="F300" s="2517"/>
      <c r="G300" s="2517"/>
      <c r="H300" s="2522"/>
      <c r="I300" s="2522"/>
      <c r="J300" s="2518"/>
    </row>
    <row r="301" spans="1:11" ht="35.1" customHeight="1">
      <c r="A301" s="2523"/>
      <c r="B301" s="2522">
        <v>31.5</v>
      </c>
      <c r="C301" s="2523" t="s">
        <v>107</v>
      </c>
      <c r="D301" s="2517" t="s">
        <v>1887</v>
      </c>
      <c r="E301" s="2517"/>
      <c r="F301" s="2517"/>
      <c r="G301" s="2517"/>
      <c r="H301" s="2545">
        <f>'SSR-rates'!$K$125</f>
        <v>267</v>
      </c>
      <c r="I301" s="2522" t="s">
        <v>31</v>
      </c>
      <c r="J301" s="2518">
        <f>ROUND(B301*H301,2)</f>
        <v>8410.5</v>
      </c>
    </row>
    <row r="302" spans="1:11" ht="20.100000000000001" customHeight="1">
      <c r="A302" s="2523"/>
      <c r="B302" s="2522">
        <v>30</v>
      </c>
      <c r="C302" s="2523" t="s">
        <v>708</v>
      </c>
      <c r="D302" s="2517" t="s">
        <v>1888</v>
      </c>
      <c r="E302" s="2517"/>
      <c r="F302" s="2517"/>
      <c r="G302" s="2517"/>
      <c r="H302" s="2545">
        <v>195</v>
      </c>
      <c r="I302" s="2522" t="s">
        <v>31</v>
      </c>
      <c r="J302" s="2518">
        <f>ROUND(B302*H302,2)</f>
        <v>5850</v>
      </c>
    </row>
    <row r="303" spans="1:11" ht="20.100000000000001" customHeight="1">
      <c r="A303" s="2523"/>
      <c r="B303" s="2522">
        <v>10</v>
      </c>
      <c r="C303" s="2523" t="s">
        <v>708</v>
      </c>
      <c r="D303" s="2518" t="s">
        <v>1889</v>
      </c>
      <c r="E303" s="2517"/>
      <c r="F303" s="2517"/>
      <c r="G303" s="2517"/>
      <c r="H303" s="2545">
        <v>123</v>
      </c>
      <c r="I303" s="2522" t="s">
        <v>31</v>
      </c>
      <c r="J303" s="2518">
        <f>ROUND(B303*H303,2)</f>
        <v>1230</v>
      </c>
    </row>
    <row r="304" spans="1:11" ht="20.100000000000001" customHeight="1">
      <c r="A304" s="2523"/>
      <c r="B304" s="2529">
        <v>0.05</v>
      </c>
      <c r="C304" s="2523" t="s">
        <v>73</v>
      </c>
      <c r="D304" s="2518" t="s">
        <v>1890</v>
      </c>
      <c r="E304" s="2517"/>
      <c r="F304" s="2517"/>
      <c r="G304" s="2517"/>
      <c r="H304" s="2522">
        <f>+'Road data'!$G$962</f>
        <v>5055.0200000000004</v>
      </c>
      <c r="I304" s="2522" t="s">
        <v>66</v>
      </c>
      <c r="J304" s="2518">
        <f>ROUND(B304*H304,2)</f>
        <v>252.75</v>
      </c>
    </row>
    <row r="305" spans="1:10" ht="20.100000000000001" customHeight="1">
      <c r="A305" s="2523"/>
      <c r="B305" s="2522"/>
      <c r="C305" s="2517"/>
      <c r="D305" s="2518" t="s">
        <v>60</v>
      </c>
      <c r="E305" s="2517"/>
      <c r="F305" s="2517"/>
      <c r="G305" s="2517"/>
      <c r="H305" s="2522"/>
      <c r="I305" s="2522"/>
      <c r="J305" s="2518">
        <f>SUM(J301:J304)</f>
        <v>15743.25</v>
      </c>
    </row>
    <row r="306" spans="1:10" ht="20.100000000000001" customHeight="1">
      <c r="A306" s="2530"/>
      <c r="B306" s="2520" t="s">
        <v>47</v>
      </c>
      <c r="C306" s="2530" t="s">
        <v>1238</v>
      </c>
      <c r="D306" s="2517"/>
      <c r="E306" s="2517"/>
      <c r="F306" s="2523"/>
      <c r="G306" s="2523"/>
      <c r="H306" s="2523"/>
      <c r="I306" s="2523"/>
      <c r="J306" s="2521"/>
    </row>
    <row r="307" spans="1:10" ht="35.1" customHeight="1">
      <c r="A307" s="2530"/>
      <c r="B307" s="2531">
        <f>B284</f>
        <v>0.19614999999999999</v>
      </c>
      <c r="C307" s="3970" t="str">
        <f>"Over head charges &amp; CP  "&amp;'Input Data'!$D$24*100&amp;"%  on (A) + (B)+(C)+(D)"</f>
        <v>Over head charges &amp; CP  13.615%  on (A) + (B)+(C)+(D)</v>
      </c>
      <c r="D307" s="3970"/>
      <c r="E307" s="3970"/>
      <c r="F307" s="3970"/>
      <c r="G307" s="3970"/>
      <c r="H307" s="2522">
        <f>+J305+J299</f>
        <v>16226.75</v>
      </c>
      <c r="I307" s="2523"/>
      <c r="J307" s="2518">
        <f>H307*B307</f>
        <v>3182.8770124999996</v>
      </c>
    </row>
    <row r="308" spans="1:10" ht="20.100000000000001" customHeight="1">
      <c r="A308" s="2530"/>
      <c r="B308" s="2532">
        <f>'Input Data'!$E$24</f>
        <v>0.1</v>
      </c>
      <c r="C308" s="2533" t="s">
        <v>1220</v>
      </c>
      <c r="D308" s="2528"/>
      <c r="E308" s="2528"/>
      <c r="F308" s="2528"/>
      <c r="G308" s="2528"/>
      <c r="H308" s="2522">
        <f>J307+J305+J299</f>
        <v>19409.627012500001</v>
      </c>
      <c r="I308" s="2523"/>
      <c r="J308" s="2518">
        <f>H308*B308</f>
        <v>1940.9627012500002</v>
      </c>
    </row>
    <row r="309" spans="1:10" ht="20.100000000000001" customHeight="1">
      <c r="A309" s="2530"/>
      <c r="B309" s="2520" t="s">
        <v>76</v>
      </c>
      <c r="C309" s="2530" t="s">
        <v>77</v>
      </c>
      <c r="D309" s="2517"/>
      <c r="E309" s="2517"/>
      <c r="F309" s="2523"/>
      <c r="G309" s="2523"/>
      <c r="H309" s="2523"/>
      <c r="I309" s="2523"/>
      <c r="J309" s="2537">
        <f>J299+J305+J307+J308</f>
        <v>21350.58971375</v>
      </c>
    </row>
    <row r="310" spans="1:10" ht="20.100000000000001" customHeight="1">
      <c r="A310" s="2523"/>
      <c r="B310" s="2522"/>
      <c r="C310" s="2523"/>
      <c r="D310" s="2521" t="s">
        <v>1891</v>
      </c>
      <c r="E310" s="2517"/>
      <c r="F310" s="2517"/>
      <c r="G310" s="2517"/>
      <c r="H310" s="2522"/>
      <c r="I310" s="2522"/>
      <c r="J310" s="2537">
        <f>SUM(J309:J309)</f>
        <v>21350.58971375</v>
      </c>
    </row>
    <row r="311" spans="1:10" ht="20.100000000000001" customHeight="1">
      <c r="A311" s="2523"/>
      <c r="B311" s="2522"/>
      <c r="C311" s="2523"/>
      <c r="D311" s="2518" t="s">
        <v>1892</v>
      </c>
      <c r="E311" s="2517"/>
      <c r="F311" s="2517"/>
      <c r="G311" s="2517"/>
      <c r="H311" s="2522"/>
      <c r="I311" s="2522"/>
      <c r="J311" s="2518">
        <f>ROUND(J310,2)/30</f>
        <v>711.68633333333332</v>
      </c>
    </row>
    <row r="312" spans="1:10" ht="20.100000000000001" customHeight="1">
      <c r="A312" s="2563"/>
      <c r="B312" s="2540"/>
      <c r="C312" s="2540"/>
      <c r="D312" s="3973" t="s">
        <v>52</v>
      </c>
      <c r="E312" s="3973"/>
      <c r="F312" s="3973"/>
      <c r="G312" s="2564"/>
      <c r="H312" s="2517"/>
      <c r="I312" s="2543" t="s">
        <v>1055</v>
      </c>
      <c r="J312" s="2549">
        <f>J311</f>
        <v>711.68633333333332</v>
      </c>
    </row>
    <row r="313" spans="1:10" ht="129" customHeight="1">
      <c r="A313" s="2515">
        <f>A291+1</f>
        <v>9</v>
      </c>
      <c r="B313" s="3969" t="s">
        <v>1067</v>
      </c>
      <c r="C313" s="3969"/>
      <c r="D313" s="3969"/>
      <c r="E313" s="3969"/>
      <c r="F313" s="3969"/>
      <c r="G313" s="3969"/>
      <c r="H313" s="3969"/>
      <c r="I313" s="3969"/>
      <c r="J313" s="3969"/>
    </row>
    <row r="314" spans="1:10" ht="20.100000000000001" customHeight="1">
      <c r="A314" s="2517"/>
      <c r="B314" s="2505"/>
      <c r="C314" s="2517"/>
      <c r="D314" s="2518" t="s">
        <v>10</v>
      </c>
      <c r="E314" s="2517"/>
      <c r="F314" s="2530" t="s">
        <v>140</v>
      </c>
      <c r="G314" s="2517"/>
      <c r="H314" s="2517"/>
      <c r="I314" s="2517"/>
      <c r="J314" s="2517"/>
    </row>
    <row r="315" spans="1:10" ht="20.100000000000001" customHeight="1">
      <c r="A315" s="2517"/>
      <c r="B315" s="2505"/>
      <c r="C315" s="2517"/>
      <c r="D315" s="2518" t="s">
        <v>84</v>
      </c>
      <c r="E315" s="2517"/>
      <c r="F315" s="2517"/>
      <c r="G315" s="2517"/>
      <c r="H315" s="2517"/>
      <c r="I315" s="2517"/>
      <c r="J315" s="2517"/>
    </row>
    <row r="316" spans="1:10" ht="20.100000000000001" customHeight="1">
      <c r="A316" s="2517"/>
      <c r="B316" s="2520" t="s">
        <v>36</v>
      </c>
      <c r="C316" s="2521" t="s">
        <v>37</v>
      </c>
      <c r="D316" s="2517"/>
      <c r="E316" s="2517"/>
      <c r="F316" s="2517"/>
      <c r="G316" s="2517"/>
      <c r="H316" s="2517"/>
      <c r="I316" s="2517"/>
      <c r="J316" s="2517"/>
    </row>
    <row r="317" spans="1:10" ht="20.100000000000001" customHeight="1">
      <c r="A317" s="2517"/>
      <c r="B317" s="2522">
        <v>0.32</v>
      </c>
      <c r="C317" s="2523" t="s">
        <v>57</v>
      </c>
      <c r="D317" s="2518" t="s">
        <v>14</v>
      </c>
      <c r="E317" s="2517"/>
      <c r="F317" s="2517"/>
      <c r="G317" s="2517"/>
      <c r="H317" s="2522">
        <f>'SSR-rates'!$K$58</f>
        <v>575</v>
      </c>
      <c r="I317" s="2505" t="s">
        <v>38</v>
      </c>
      <c r="J317" s="2518">
        <f>ROUND(B317*H317,2)</f>
        <v>184</v>
      </c>
    </row>
    <row r="318" spans="1:10" ht="20.100000000000001" customHeight="1">
      <c r="A318" s="2517"/>
      <c r="B318" s="2522">
        <v>7</v>
      </c>
      <c r="C318" s="2523" t="s">
        <v>57</v>
      </c>
      <c r="D318" s="2518" t="s">
        <v>59</v>
      </c>
      <c r="E318" s="2517"/>
      <c r="F318" s="2517"/>
      <c r="G318" s="2517"/>
      <c r="H318" s="2522">
        <f>'SSR-rates'!$K$60</f>
        <v>575</v>
      </c>
      <c r="I318" s="2505" t="s">
        <v>38</v>
      </c>
      <c r="J318" s="2518">
        <f>ROUND(B318*H318,2)</f>
        <v>4025</v>
      </c>
    </row>
    <row r="319" spans="1:10" ht="20.100000000000001" customHeight="1">
      <c r="A319" s="2517"/>
      <c r="B319" s="2522">
        <v>1</v>
      </c>
      <c r="C319" s="2523" t="s">
        <v>57</v>
      </c>
      <c r="D319" s="2518" t="s">
        <v>59</v>
      </c>
      <c r="E319" s="2517" t="s">
        <v>141</v>
      </c>
      <c r="F319" s="2517"/>
      <c r="G319" s="2517"/>
      <c r="H319" s="2522">
        <f>'SSR-rates'!$K$59</f>
        <v>575</v>
      </c>
      <c r="I319" s="2505" t="s">
        <v>38</v>
      </c>
      <c r="J319" s="2518">
        <f>ROUND(B319*H319,2)</f>
        <v>575</v>
      </c>
    </row>
    <row r="320" spans="1:10" ht="20.100000000000001" customHeight="1">
      <c r="A320" s="2520"/>
      <c r="B320" s="2525">
        <f>'Input Data'!$D$23</f>
        <v>0</v>
      </c>
      <c r="C320" s="2526"/>
      <c r="D320" s="2517" t="s">
        <v>17</v>
      </c>
      <c r="E320" s="2517"/>
      <c r="F320" s="2523"/>
      <c r="G320" s="2523"/>
      <c r="H320" s="2522">
        <f>SUM(J317:J319)</f>
        <v>4784</v>
      </c>
      <c r="I320" s="2505"/>
      <c r="J320" s="2518">
        <f>B320*H320</f>
        <v>0</v>
      </c>
    </row>
    <row r="321" spans="1:10" ht="20.100000000000001" customHeight="1">
      <c r="A321" s="2517"/>
      <c r="B321" s="2522"/>
      <c r="C321" s="2517"/>
      <c r="D321" s="2518" t="s">
        <v>60</v>
      </c>
      <c r="E321" s="2517"/>
      <c r="F321" s="2517"/>
      <c r="G321" s="2517"/>
      <c r="H321" s="2522"/>
      <c r="I321" s="2522"/>
      <c r="J321" s="2518">
        <f>SUM(J317:J320)</f>
        <v>4784</v>
      </c>
    </row>
    <row r="322" spans="1:10" ht="20.100000000000001" customHeight="1">
      <c r="A322" s="2517"/>
      <c r="B322" s="2520" t="s">
        <v>39</v>
      </c>
      <c r="C322" s="2521" t="s">
        <v>61</v>
      </c>
      <c r="D322" s="2517"/>
      <c r="E322" s="2517"/>
      <c r="F322" s="2517"/>
      <c r="G322" s="2517"/>
      <c r="H322" s="2522"/>
      <c r="I322" s="2522"/>
      <c r="J322" s="2518"/>
    </row>
    <row r="323" spans="1:10" ht="20.100000000000001" customHeight="1">
      <c r="A323" s="2517"/>
      <c r="B323" s="2522">
        <v>6</v>
      </c>
      <c r="C323" s="2523" t="s">
        <v>31</v>
      </c>
      <c r="D323" s="2518" t="s">
        <v>142</v>
      </c>
      <c r="E323" s="2517"/>
      <c r="F323" s="2517"/>
      <c r="G323" s="2517"/>
      <c r="H323" s="2522">
        <f>lead!$J$26</f>
        <v>881.86419046780804</v>
      </c>
      <c r="I323" s="2522" t="s">
        <v>31</v>
      </c>
      <c r="J323" s="2518">
        <f>ROUND(B323*H323,2)</f>
        <v>5291.19</v>
      </c>
    </row>
    <row r="324" spans="1:10" ht="20.100000000000001" customHeight="1">
      <c r="A324" s="2517"/>
      <c r="B324" s="2522">
        <v>6</v>
      </c>
      <c r="C324" s="2523" t="s">
        <v>31</v>
      </c>
      <c r="D324" s="2518" t="s">
        <v>143</v>
      </c>
      <c r="E324" s="2517"/>
      <c r="F324" s="2517"/>
      <c r="G324" s="2517"/>
      <c r="H324" s="2522">
        <f>lead!$J$20</f>
        <v>1590.8641904678079</v>
      </c>
      <c r="I324" s="2522" t="s">
        <v>31</v>
      </c>
      <c r="J324" s="2518">
        <f>ROUND(B324*H324,2)</f>
        <v>9545.19</v>
      </c>
    </row>
    <row r="325" spans="1:10" ht="20.100000000000001" customHeight="1">
      <c r="A325" s="2517"/>
      <c r="B325" s="2522"/>
      <c r="C325" s="2526"/>
      <c r="D325" s="2518" t="s">
        <v>60</v>
      </c>
      <c r="E325" s="2517"/>
      <c r="F325" s="2517"/>
      <c r="G325" s="2517"/>
      <c r="H325" s="2522"/>
      <c r="I325" s="2522"/>
      <c r="J325" s="2518">
        <f>SUM(J323:J324)</f>
        <v>14836.380000000001</v>
      </c>
    </row>
    <row r="326" spans="1:10" ht="20.100000000000001" customHeight="1">
      <c r="A326" s="2517"/>
      <c r="B326" s="2520" t="s">
        <v>87</v>
      </c>
      <c r="C326" s="2521" t="s">
        <v>40</v>
      </c>
      <c r="D326" s="2517"/>
      <c r="E326" s="2517"/>
      <c r="F326" s="2517"/>
      <c r="G326" s="2517"/>
      <c r="H326" s="2522"/>
      <c r="I326" s="2522"/>
      <c r="J326" s="2518"/>
    </row>
    <row r="327" spans="1:10" ht="20.100000000000001" customHeight="1">
      <c r="A327" s="2517"/>
      <c r="B327" s="2522">
        <v>0.06</v>
      </c>
      <c r="C327" s="2523" t="s">
        <v>41</v>
      </c>
      <c r="D327" s="2518" t="s">
        <v>70</v>
      </c>
      <c r="E327" s="2517"/>
      <c r="F327" s="2517"/>
      <c r="G327" s="2517"/>
      <c r="H327" s="2522">
        <f>'SSR-rates'!K69</f>
        <v>769</v>
      </c>
      <c r="I327" s="2522" t="s">
        <v>41</v>
      </c>
      <c r="J327" s="2518">
        <f>ROUND(B327*H327,2)</f>
        <v>46.14</v>
      </c>
    </row>
    <row r="328" spans="1:10" ht="20.100000000000001" customHeight="1">
      <c r="A328" s="2517"/>
      <c r="B328" s="2522"/>
      <c r="C328" s="2526"/>
      <c r="D328" s="2518" t="s">
        <v>60</v>
      </c>
      <c r="E328" s="2517"/>
      <c r="F328" s="2517"/>
      <c r="G328" s="2517"/>
      <c r="H328" s="2522"/>
      <c r="I328" s="2522"/>
      <c r="J328" s="2518">
        <f>SUM(J327:J327)</f>
        <v>46.14</v>
      </c>
    </row>
    <row r="329" spans="1:10" ht="20.100000000000001" customHeight="1">
      <c r="A329" s="2520"/>
      <c r="B329" s="2520" t="s">
        <v>45</v>
      </c>
      <c r="C329" s="2530" t="s">
        <v>1238</v>
      </c>
      <c r="D329" s="2517"/>
      <c r="E329" s="2517"/>
      <c r="F329" s="2523"/>
      <c r="G329" s="2523"/>
      <c r="H329" s="2523"/>
      <c r="I329" s="2523"/>
      <c r="J329" s="2521"/>
    </row>
    <row r="330" spans="1:10" ht="35.1" customHeight="1">
      <c r="A330" s="2520"/>
      <c r="B330" s="2531">
        <f>B307</f>
        <v>0.19614999999999999</v>
      </c>
      <c r="C330" s="2526" t="s">
        <v>1893</v>
      </c>
      <c r="D330" s="2518"/>
      <c r="E330" s="2517"/>
      <c r="F330" s="2523"/>
      <c r="G330" s="2523"/>
      <c r="H330" s="2522">
        <f>J328+J325+J321</f>
        <v>19666.52</v>
      </c>
      <c r="I330" s="2523"/>
      <c r="J330" s="2518">
        <f>H330*B330</f>
        <v>3857.5878979999998</v>
      </c>
    </row>
    <row r="331" spans="1:10" ht="20.100000000000001" customHeight="1">
      <c r="A331" s="2520"/>
      <c r="B331" s="2532">
        <f>'Input Data'!$E$24</f>
        <v>0.1</v>
      </c>
      <c r="C331" s="2533" t="s">
        <v>1220</v>
      </c>
      <c r="D331" s="2518"/>
      <c r="E331" s="2517"/>
      <c r="F331" s="2523"/>
      <c r="G331" s="2523"/>
      <c r="H331" s="2522">
        <f>J330+J328+J325+J321</f>
        <v>23524.107898000002</v>
      </c>
      <c r="I331" s="2523"/>
      <c r="J331" s="2518">
        <f>H331*B331</f>
        <v>2352.4107898000002</v>
      </c>
    </row>
    <row r="332" spans="1:10" ht="20.100000000000001" customHeight="1">
      <c r="A332" s="2520"/>
      <c r="B332" s="2520" t="s">
        <v>47</v>
      </c>
      <c r="C332" s="2530" t="s">
        <v>89</v>
      </c>
      <c r="D332" s="2517"/>
      <c r="E332" s="2517"/>
      <c r="F332" s="2523"/>
      <c r="G332" s="2523"/>
      <c r="H332" s="2523"/>
      <c r="I332" s="2523"/>
      <c r="J332" s="2521">
        <f>J321+J325+J328+J330+J331</f>
        <v>25876.518687800002</v>
      </c>
    </row>
    <row r="333" spans="1:10" ht="20.100000000000001" customHeight="1">
      <c r="A333" s="2517"/>
      <c r="B333" s="2522"/>
      <c r="C333" s="2523"/>
      <c r="D333" s="2521" t="s">
        <v>1814</v>
      </c>
      <c r="E333" s="2517"/>
      <c r="F333" s="2517"/>
      <c r="G333" s="2517"/>
      <c r="H333" s="2522"/>
      <c r="I333" s="2522"/>
      <c r="J333" s="2521">
        <f>SUM(J332:J332)</f>
        <v>25876.518687800002</v>
      </c>
    </row>
    <row r="334" spans="1:10" ht="20.100000000000001" customHeight="1">
      <c r="A334" s="2517"/>
      <c r="B334" s="2522"/>
      <c r="C334" s="2523"/>
      <c r="D334" s="2518" t="s">
        <v>81</v>
      </c>
      <c r="E334" s="2517"/>
      <c r="F334" s="2517"/>
      <c r="G334" s="2517"/>
      <c r="H334" s="2522"/>
      <c r="I334" s="2522"/>
      <c r="J334" s="2518">
        <f>ROUND(J333/10,2)</f>
        <v>2587.65</v>
      </c>
    </row>
    <row r="335" spans="1:10" ht="20.100000000000001" customHeight="1">
      <c r="A335" s="2517"/>
      <c r="B335" s="2505"/>
      <c r="C335" s="2517"/>
      <c r="D335" s="2518" t="s">
        <v>52</v>
      </c>
      <c r="E335" s="2517"/>
      <c r="F335" s="2517"/>
      <c r="G335" s="2517"/>
      <c r="H335" s="2522"/>
      <c r="I335" s="2522"/>
      <c r="J335" s="2538">
        <f>J334</f>
        <v>2587.65</v>
      </c>
    </row>
    <row r="336" spans="1:10" ht="20.100000000000001" customHeight="1">
      <c r="A336" s="2517"/>
      <c r="B336" s="2505"/>
      <c r="C336" s="2517"/>
      <c r="D336" s="2518"/>
      <c r="E336" s="2517"/>
      <c r="F336" s="2517"/>
      <c r="G336" s="2517"/>
      <c r="H336" s="2522"/>
      <c r="I336" s="2522"/>
      <c r="J336" s="2527" t="s">
        <v>53</v>
      </c>
    </row>
    <row r="337" spans="1:10">
      <c r="A337" s="2523"/>
      <c r="B337" s="2530" t="s">
        <v>1894</v>
      </c>
      <c r="C337" s="2517"/>
      <c r="D337" s="2518"/>
      <c r="E337" s="2517"/>
      <c r="F337" s="2517"/>
      <c r="G337" s="2517"/>
      <c r="H337" s="2522"/>
      <c r="I337" s="2522"/>
      <c r="J337" s="2521"/>
    </row>
    <row r="338" spans="1:10" ht="133.19999999999999" customHeight="1">
      <c r="A338" s="2515">
        <f>A313+1</f>
        <v>10</v>
      </c>
      <c r="B338" s="3969" t="s">
        <v>1895</v>
      </c>
      <c r="C338" s="3969"/>
      <c r="D338" s="3969"/>
      <c r="E338" s="3969"/>
      <c r="F338" s="3969"/>
      <c r="G338" s="3969"/>
      <c r="H338" s="3969"/>
      <c r="I338" s="3969"/>
      <c r="J338" s="3969"/>
    </row>
    <row r="339" spans="1:10" ht="20.100000000000001" customHeight="1">
      <c r="A339" s="2517"/>
      <c r="B339" s="2505"/>
      <c r="C339" s="2517"/>
      <c r="D339" s="2518" t="s">
        <v>10</v>
      </c>
      <c r="E339" s="2517"/>
      <c r="F339" s="2530" t="s">
        <v>1896</v>
      </c>
      <c r="G339" s="2517"/>
      <c r="H339" s="2517"/>
      <c r="I339" s="2517"/>
      <c r="J339" s="2517"/>
    </row>
    <row r="340" spans="1:10" ht="20.100000000000001" customHeight="1">
      <c r="A340" s="2517"/>
      <c r="B340" s="2505"/>
      <c r="C340" s="2517"/>
      <c r="D340" s="2518" t="s">
        <v>56</v>
      </c>
      <c r="E340" s="2517"/>
      <c r="F340" s="2517"/>
      <c r="G340" s="2517"/>
      <c r="H340" s="2517"/>
      <c r="I340" s="2517"/>
      <c r="J340" s="2517"/>
    </row>
    <row r="341" spans="1:10" ht="20.100000000000001" customHeight="1">
      <c r="A341" s="2517"/>
      <c r="B341" s="2520" t="s">
        <v>36</v>
      </c>
      <c r="C341" s="2521" t="s">
        <v>37</v>
      </c>
      <c r="D341" s="2517"/>
      <c r="E341" s="2517"/>
      <c r="F341" s="2517"/>
      <c r="G341" s="2517"/>
      <c r="H341" s="2517"/>
      <c r="I341" s="2517"/>
      <c r="J341" s="2517"/>
    </row>
    <row r="342" spans="1:10" ht="20.100000000000001" customHeight="1">
      <c r="A342" s="2517"/>
      <c r="B342" s="2522">
        <v>0.86</v>
      </c>
      <c r="C342" s="2523" t="s">
        <v>57</v>
      </c>
      <c r="D342" s="2518" t="s">
        <v>14</v>
      </c>
      <c r="E342" s="2517"/>
      <c r="F342" s="2517"/>
      <c r="G342" s="2517"/>
      <c r="H342" s="2522">
        <f>+'SSR-rates'!$K$58</f>
        <v>575</v>
      </c>
      <c r="I342" s="2505" t="s">
        <v>38</v>
      </c>
      <c r="J342" s="2518">
        <f>ROUND(B342*H342,2)</f>
        <v>494.5</v>
      </c>
    </row>
    <row r="343" spans="1:10" ht="20.100000000000001" customHeight="1">
      <c r="A343" s="2517"/>
      <c r="B343" s="2522">
        <v>1.5</v>
      </c>
      <c r="C343" s="2523" t="s">
        <v>57</v>
      </c>
      <c r="D343" s="2518" t="s">
        <v>58</v>
      </c>
      <c r="E343" s="2517"/>
      <c r="F343" s="2517"/>
      <c r="G343" s="2517"/>
      <c r="H343" s="2522">
        <f>+'SSR-rates'!$K$54</f>
        <v>615</v>
      </c>
      <c r="I343" s="2505" t="s">
        <v>38</v>
      </c>
      <c r="J343" s="2518">
        <f>ROUND(B343*H343,2)</f>
        <v>922.5</v>
      </c>
    </row>
    <row r="344" spans="1:10" ht="20.100000000000001" customHeight="1">
      <c r="A344" s="2517"/>
      <c r="B344" s="2522">
        <v>20</v>
      </c>
      <c r="C344" s="2523" t="s">
        <v>57</v>
      </c>
      <c r="D344" s="2518" t="s">
        <v>59</v>
      </c>
      <c r="E344" s="2517"/>
      <c r="F344" s="2517"/>
      <c r="G344" s="2517"/>
      <c r="H344" s="2522">
        <f>+'SSR-rates'!$K$60</f>
        <v>575</v>
      </c>
      <c r="I344" s="2505" t="s">
        <v>38</v>
      </c>
      <c r="J344" s="2518">
        <f>ROUND(B344*H344,2)</f>
        <v>11500</v>
      </c>
    </row>
    <row r="345" spans="1:10" ht="20.100000000000001" customHeight="1">
      <c r="A345" s="2520"/>
      <c r="B345" s="2525">
        <f>'Input Data'!$D$23</f>
        <v>0</v>
      </c>
      <c r="C345" s="2526"/>
      <c r="D345" s="2517" t="s">
        <v>17</v>
      </c>
      <c r="E345" s="2517"/>
      <c r="F345" s="2523"/>
      <c r="G345" s="2523"/>
      <c r="H345" s="2522">
        <f>SUM(J342:J344)</f>
        <v>12917</v>
      </c>
      <c r="I345" s="2505"/>
      <c r="J345" s="2518">
        <f>ROUND(B345*H345,2)</f>
        <v>0</v>
      </c>
    </row>
    <row r="346" spans="1:10" ht="20.100000000000001" customHeight="1">
      <c r="A346" s="2517"/>
      <c r="B346" s="2522"/>
      <c r="C346" s="2523"/>
      <c r="D346" s="2518" t="s">
        <v>60</v>
      </c>
      <c r="E346" s="2517"/>
      <c r="F346" s="2517"/>
      <c r="G346" s="2517"/>
      <c r="H346" s="2522"/>
      <c r="I346" s="2522"/>
      <c r="J346" s="2518">
        <f>SUM(J342:J345)</f>
        <v>12917</v>
      </c>
    </row>
    <row r="347" spans="1:10" ht="20.100000000000001" customHeight="1">
      <c r="A347" s="2517"/>
      <c r="B347" s="2520" t="s">
        <v>39</v>
      </c>
      <c r="C347" s="2521" t="s">
        <v>61</v>
      </c>
      <c r="D347" s="2517"/>
      <c r="E347" s="2517"/>
      <c r="F347" s="2517"/>
      <c r="G347" s="2517"/>
      <c r="H347" s="2522"/>
      <c r="I347" s="2522"/>
      <c r="J347" s="2518"/>
    </row>
    <row r="348" spans="1:10" ht="20.100000000000001" customHeight="1">
      <c r="A348" s="2517"/>
      <c r="B348" s="2522">
        <v>8.1</v>
      </c>
      <c r="C348" s="2523" t="s">
        <v>31</v>
      </c>
      <c r="D348" s="2517" t="s">
        <v>63</v>
      </c>
      <c r="E348" s="2517"/>
      <c r="F348" s="2517"/>
      <c r="G348" s="2517"/>
      <c r="H348" s="2522">
        <f>lead!$J$16</f>
        <v>1889.8641904678079</v>
      </c>
      <c r="I348" s="2522" t="s">
        <v>31</v>
      </c>
      <c r="J348" s="2518">
        <f>ROUND(B348*H348,2)</f>
        <v>15307.9</v>
      </c>
    </row>
    <row r="349" spans="1:10" ht="20.100000000000001" customHeight="1">
      <c r="A349" s="2517"/>
      <c r="B349" s="2522">
        <v>5.4</v>
      </c>
      <c r="C349" s="2523" t="s">
        <v>31</v>
      </c>
      <c r="D349" s="2517" t="s">
        <v>64</v>
      </c>
      <c r="E349" s="2517"/>
      <c r="F349" s="2517"/>
      <c r="G349" s="2517"/>
      <c r="H349" s="2522">
        <f>lead!$J$18</f>
        <v>1638.8641904678079</v>
      </c>
      <c r="I349" s="2522" t="s">
        <v>31</v>
      </c>
      <c r="J349" s="2518">
        <f>ROUND(B349*H349,2)</f>
        <v>8849.8700000000008</v>
      </c>
    </row>
    <row r="350" spans="1:10" ht="45" customHeight="1">
      <c r="A350" s="2517"/>
      <c r="B350" s="2529">
        <f>6.75/2</f>
        <v>3.375</v>
      </c>
      <c r="C350" s="2523" t="s">
        <v>31</v>
      </c>
      <c r="D350" s="3967" t="s">
        <v>1716</v>
      </c>
      <c r="E350" s="3967"/>
      <c r="F350" s="3967"/>
      <c r="G350" s="3967"/>
      <c r="H350" s="2528">
        <f>lead!$J$31</f>
        <v>1760.9684020595876</v>
      </c>
      <c r="I350" s="2522" t="s">
        <v>31</v>
      </c>
      <c r="J350" s="2524">
        <f>ROUND(B350*H350,2)</f>
        <v>5943.27</v>
      </c>
    </row>
    <row r="351" spans="1:10" ht="35.1" customHeight="1">
      <c r="A351" s="2517"/>
      <c r="B351" s="2529">
        <f>6.75/2</f>
        <v>3.375</v>
      </c>
      <c r="C351" s="2523" t="s">
        <v>31</v>
      </c>
      <c r="D351" s="3967" t="s">
        <v>1717</v>
      </c>
      <c r="E351" s="3967"/>
      <c r="F351" s="3967"/>
      <c r="G351" s="3967"/>
      <c r="H351" s="2528">
        <f>lead!$J$33</f>
        <v>1760.9684020595876</v>
      </c>
      <c r="I351" s="2522" t="s">
        <v>31</v>
      </c>
      <c r="J351" s="2524">
        <f>ROUND(B351*H351,2)</f>
        <v>5943.27</v>
      </c>
    </row>
    <row r="352" spans="1:10" ht="20.100000000000001" customHeight="1">
      <c r="A352" s="2517"/>
      <c r="B352" s="2522">
        <v>5.99</v>
      </c>
      <c r="C352" s="2523" t="s">
        <v>66</v>
      </c>
      <c r="D352" s="2518" t="s">
        <v>67</v>
      </c>
      <c r="E352" s="2517"/>
      <c r="F352" s="2517"/>
      <c r="G352" s="2517"/>
      <c r="H352" s="2522">
        <f>lead!$J$36</f>
        <v>5000</v>
      </c>
      <c r="I352" s="2522" t="s">
        <v>66</v>
      </c>
      <c r="J352" s="2518">
        <f>ROUND(B352*H352,2)</f>
        <v>29950</v>
      </c>
    </row>
    <row r="353" spans="1:10" ht="20.100000000000001" customHeight="1">
      <c r="A353" s="2517"/>
      <c r="B353" s="2522"/>
      <c r="C353" s="2517"/>
      <c r="D353" s="2518" t="s">
        <v>60</v>
      </c>
      <c r="E353" s="2517"/>
      <c r="F353" s="2517"/>
      <c r="G353" s="2517"/>
      <c r="H353" s="2522"/>
      <c r="I353" s="2522"/>
      <c r="J353" s="2518">
        <f>SUM(J348:J352)</f>
        <v>65994.31</v>
      </c>
    </row>
    <row r="354" spans="1:10" ht="20.100000000000001" customHeight="1">
      <c r="A354" s="2517"/>
      <c r="B354" s="2520" t="s">
        <v>27</v>
      </c>
      <c r="C354" s="2521" t="s">
        <v>40</v>
      </c>
      <c r="D354" s="2517"/>
      <c r="E354" s="2517"/>
      <c r="F354" s="2517"/>
      <c r="G354" s="2517"/>
      <c r="H354" s="2522"/>
      <c r="I354" s="2522"/>
      <c r="J354" s="2518"/>
    </row>
    <row r="355" spans="1:10" ht="20.100000000000001" customHeight="1">
      <c r="A355" s="2517"/>
      <c r="B355" s="2522">
        <v>6</v>
      </c>
      <c r="C355" s="2523" t="s">
        <v>41</v>
      </c>
      <c r="D355" s="2518" t="s">
        <v>68</v>
      </c>
      <c r="E355" s="2517"/>
      <c r="F355" s="2517"/>
      <c r="G355" s="2517"/>
      <c r="H355" s="2522">
        <f>'SSR-rates'!$K$88</f>
        <v>697.9</v>
      </c>
      <c r="I355" s="2522" t="s">
        <v>41</v>
      </c>
      <c r="J355" s="2518">
        <f>ROUND(B355*H355,2)</f>
        <v>4187.3999999999996</v>
      </c>
    </row>
    <row r="356" spans="1:10" ht="20.100000000000001" customHeight="1">
      <c r="A356" s="2517"/>
      <c r="B356" s="2522">
        <v>6</v>
      </c>
      <c r="C356" s="2523" t="s">
        <v>41</v>
      </c>
      <c r="D356" s="2518" t="s">
        <v>1859</v>
      </c>
      <c r="E356" s="2517"/>
      <c r="F356" s="2517"/>
      <c r="G356" s="2517"/>
      <c r="H356" s="2522">
        <f>'SSR-rates'!$K$87</f>
        <v>1323.5</v>
      </c>
      <c r="I356" s="2522" t="s">
        <v>41</v>
      </c>
      <c r="J356" s="2518">
        <f>ROUND(B356*H356,2)</f>
        <v>7941</v>
      </c>
    </row>
    <row r="357" spans="1:10" ht="20.100000000000001" customHeight="1">
      <c r="A357" s="2517"/>
      <c r="B357" s="2522"/>
      <c r="C357" s="2526"/>
      <c r="D357" s="2518" t="s">
        <v>60</v>
      </c>
      <c r="E357" s="2517"/>
      <c r="F357" s="2517"/>
      <c r="G357" s="2517"/>
      <c r="H357" s="2522"/>
      <c r="I357" s="2522"/>
      <c r="J357" s="2518">
        <f>SUM(J355:J356)</f>
        <v>12128.4</v>
      </c>
    </row>
    <row r="358" spans="1:10" ht="20.100000000000001" customHeight="1">
      <c r="A358" s="2517"/>
      <c r="B358" s="2520" t="s">
        <v>45</v>
      </c>
      <c r="C358" s="2521" t="s">
        <v>71</v>
      </c>
      <c r="D358" s="2517"/>
      <c r="E358" s="2517"/>
      <c r="F358" s="2517"/>
      <c r="G358" s="2517"/>
      <c r="H358" s="2522"/>
      <c r="I358" s="2522"/>
      <c r="J358" s="2518"/>
    </row>
    <row r="359" spans="1:10" ht="20.100000000000001" customHeight="1">
      <c r="A359" s="2517"/>
      <c r="B359" s="2522">
        <v>20</v>
      </c>
      <c r="C359" s="2523" t="s">
        <v>29</v>
      </c>
      <c r="D359" s="2517" t="s">
        <v>161</v>
      </c>
      <c r="E359" s="2517"/>
      <c r="F359" s="2517"/>
      <c r="G359" s="2517"/>
      <c r="H359" s="2522">
        <f>J346+J353+J357</f>
        <v>91039.709999999992</v>
      </c>
      <c r="I359" s="2505" t="s">
        <v>73</v>
      </c>
      <c r="J359" s="2518">
        <f>ROUND(B359*H359/100,2)</f>
        <v>18207.939999999999</v>
      </c>
    </row>
    <row r="360" spans="1:10" ht="20.100000000000001" customHeight="1">
      <c r="A360" s="2520"/>
      <c r="B360" s="2520" t="s">
        <v>47</v>
      </c>
      <c r="C360" s="2530" t="s">
        <v>1238</v>
      </c>
      <c r="D360" s="2517"/>
      <c r="E360" s="2517"/>
      <c r="F360" s="2523"/>
      <c r="G360" s="2523"/>
      <c r="H360" s="2523"/>
      <c r="I360" s="2523"/>
      <c r="J360" s="2521"/>
    </row>
    <row r="361" spans="1:10" ht="35.1" customHeight="1">
      <c r="A361" s="2520"/>
      <c r="B361" s="2531">
        <f>B330</f>
        <v>0.19614999999999999</v>
      </c>
      <c r="C361" s="2526" t="s">
        <v>1897</v>
      </c>
      <c r="D361" s="2518"/>
      <c r="E361" s="2517"/>
      <c r="F361" s="2523"/>
      <c r="G361" s="2523"/>
      <c r="H361" s="2522">
        <f>J359+J357+J353+J346</f>
        <v>109247.65</v>
      </c>
      <c r="I361" s="2523"/>
      <c r="J361" s="2518">
        <f>H361*B361</f>
        <v>21428.926547499999</v>
      </c>
    </row>
    <row r="362" spans="1:10" ht="20.100000000000001" customHeight="1">
      <c r="A362" s="2520"/>
      <c r="B362" s="2532">
        <f>'Input Data'!$E$24</f>
        <v>0.1</v>
      </c>
      <c r="C362" s="2533" t="s">
        <v>1220</v>
      </c>
      <c r="D362" s="2518"/>
      <c r="E362" s="2517"/>
      <c r="F362" s="2523"/>
      <c r="G362" s="2523"/>
      <c r="H362" s="2522">
        <f>J361+J359+J357+J353+J346</f>
        <v>130676.57654750001</v>
      </c>
      <c r="I362" s="2523"/>
      <c r="J362" s="2518">
        <f>H362*B362</f>
        <v>13067.657654750001</v>
      </c>
    </row>
    <row r="363" spans="1:10" ht="20.100000000000001" customHeight="1">
      <c r="A363" s="2520"/>
      <c r="B363" s="2520" t="s">
        <v>76</v>
      </c>
      <c r="C363" s="2530" t="s">
        <v>77</v>
      </c>
      <c r="D363" s="2517"/>
      <c r="E363" s="2517"/>
      <c r="F363" s="2523"/>
      <c r="G363" s="2523"/>
      <c r="H363" s="2523"/>
      <c r="I363" s="2523"/>
      <c r="J363" s="2521">
        <f>J346+J353+J357+J359+J361+J362</f>
        <v>143744.23420224999</v>
      </c>
    </row>
    <row r="364" spans="1:10" ht="20.100000000000001" customHeight="1">
      <c r="A364" s="2517"/>
      <c r="B364" s="2522"/>
      <c r="C364" s="2523"/>
      <c r="D364" s="2521" t="s">
        <v>1814</v>
      </c>
      <c r="E364" s="2517"/>
      <c r="F364" s="2517"/>
      <c r="G364" s="2517"/>
      <c r="H364" s="2522"/>
      <c r="I364" s="2522"/>
      <c r="J364" s="2521">
        <f>SUM(J363:J363)</f>
        <v>143744.23420224999</v>
      </c>
    </row>
    <row r="365" spans="1:10" ht="20.100000000000001" customHeight="1">
      <c r="A365" s="2517"/>
      <c r="B365" s="2522"/>
      <c r="C365" s="2523"/>
      <c r="D365" s="2518" t="s">
        <v>81</v>
      </c>
      <c r="E365" s="2517"/>
      <c r="F365" s="2517"/>
      <c r="G365" s="2517"/>
      <c r="H365" s="2522"/>
      <c r="I365" s="2522"/>
      <c r="J365" s="2518">
        <f>ROUND(J364/15,2)</f>
        <v>9582.9500000000007</v>
      </c>
    </row>
    <row r="366" spans="1:10" ht="20.100000000000001" customHeight="1">
      <c r="A366" s="2517"/>
      <c r="B366" s="2505"/>
      <c r="C366" s="2517"/>
      <c r="D366" s="2518" t="s">
        <v>52</v>
      </c>
      <c r="E366" s="2517"/>
      <c r="F366" s="2517"/>
      <c r="G366" s="2517"/>
      <c r="H366" s="2522"/>
      <c r="I366" s="2522"/>
      <c r="J366" s="2538">
        <f>ROUND(J365,2)</f>
        <v>9582.9500000000007</v>
      </c>
    </row>
    <row r="367" spans="1:10" ht="20.100000000000001" customHeight="1">
      <c r="A367" s="2517"/>
      <c r="B367" s="2505"/>
      <c r="C367" s="2517"/>
      <c r="D367" s="2518"/>
      <c r="E367" s="2517"/>
      <c r="F367" s="2517"/>
      <c r="G367" s="2517"/>
      <c r="H367" s="2522"/>
      <c r="I367" s="2522"/>
      <c r="J367" s="2527" t="s">
        <v>53</v>
      </c>
    </row>
    <row r="368" spans="1:10" ht="20.100000000000001" customHeight="1">
      <c r="A368" s="2517"/>
      <c r="B368" s="2505"/>
      <c r="C368" s="2517"/>
      <c r="D368" s="2518"/>
      <c r="E368" s="2517"/>
      <c r="F368" s="2517"/>
      <c r="G368" s="2517"/>
      <c r="H368" s="2522"/>
      <c r="I368" s="2522"/>
      <c r="J368" s="2565"/>
    </row>
    <row r="369" spans="1:10" ht="141" customHeight="1">
      <c r="A369" s="2536">
        <f>A338+1</f>
        <v>11</v>
      </c>
      <c r="B369" s="3969" t="s">
        <v>1059</v>
      </c>
      <c r="C369" s="3969"/>
      <c r="D369" s="3969"/>
      <c r="E369" s="3969"/>
      <c r="F369" s="3969"/>
      <c r="G369" s="3969"/>
      <c r="H369" s="3969"/>
      <c r="I369" s="3969"/>
      <c r="J369" s="3969"/>
    </row>
    <row r="370" spans="1:10" ht="20.100000000000001" customHeight="1">
      <c r="A370" s="2517"/>
      <c r="B370" s="2505"/>
      <c r="C370" s="2517"/>
      <c r="D370" s="2518" t="s">
        <v>10</v>
      </c>
      <c r="E370" s="2517"/>
      <c r="F370" s="2530" t="s">
        <v>280</v>
      </c>
      <c r="G370" s="2517"/>
      <c r="H370" s="2517"/>
      <c r="I370" s="2517"/>
      <c r="J370" s="2517"/>
    </row>
    <row r="371" spans="1:10" ht="20.100000000000001" customHeight="1">
      <c r="A371" s="2517"/>
      <c r="B371" s="2505"/>
      <c r="C371" s="2517"/>
      <c r="D371" s="2518" t="s">
        <v>1879</v>
      </c>
      <c r="E371" s="2517"/>
      <c r="F371" s="2517"/>
      <c r="G371" s="2517"/>
      <c r="H371" s="2517"/>
      <c r="I371" s="2517"/>
      <c r="J371" s="2517"/>
    </row>
    <row r="372" spans="1:10" ht="20.100000000000001" customHeight="1">
      <c r="A372" s="2517"/>
      <c r="B372" s="2520" t="s">
        <v>36</v>
      </c>
      <c r="C372" s="2521" t="s">
        <v>37</v>
      </c>
      <c r="D372" s="2517"/>
      <c r="E372" s="2517"/>
      <c r="F372" s="2517"/>
      <c r="G372" s="2517"/>
      <c r="H372" s="2517"/>
      <c r="I372" s="2517"/>
      <c r="J372" s="2517"/>
    </row>
    <row r="373" spans="1:10" ht="20.100000000000001" customHeight="1">
      <c r="A373" s="2517"/>
      <c r="B373" s="2522">
        <v>0.9</v>
      </c>
      <c r="C373" s="2523" t="s">
        <v>57</v>
      </c>
      <c r="D373" s="2518" t="s">
        <v>156</v>
      </c>
      <c r="E373" s="2517"/>
      <c r="F373" s="2517"/>
      <c r="G373" s="2517"/>
      <c r="H373" s="2522">
        <f>'SSR-rates'!K$58</f>
        <v>575</v>
      </c>
      <c r="I373" s="2505" t="s">
        <v>38</v>
      </c>
      <c r="J373" s="2518">
        <f>ROUND(B373*H373,2)</f>
        <v>517.5</v>
      </c>
    </row>
    <row r="374" spans="1:10" ht="20.100000000000001" customHeight="1">
      <c r="A374" s="2517"/>
      <c r="B374" s="2522">
        <v>1.5</v>
      </c>
      <c r="C374" s="2523" t="s">
        <v>57</v>
      </c>
      <c r="D374" s="2518" t="s">
        <v>58</v>
      </c>
      <c r="E374" s="2517"/>
      <c r="F374" s="2517"/>
      <c r="G374" s="2517"/>
      <c r="H374" s="2522">
        <f>+'SSR-rates'!K96</f>
        <v>645</v>
      </c>
      <c r="I374" s="2505" t="s">
        <v>38</v>
      </c>
      <c r="J374" s="2518">
        <f>ROUND(B374*H374,2)</f>
        <v>967.5</v>
      </c>
    </row>
    <row r="375" spans="1:10" ht="20.100000000000001" customHeight="1">
      <c r="A375" s="2517"/>
      <c r="B375" s="2522">
        <v>21</v>
      </c>
      <c r="C375" s="2523" t="s">
        <v>57</v>
      </c>
      <c r="D375" s="2518" t="s">
        <v>59</v>
      </c>
      <c r="E375" s="2517"/>
      <c r="F375" s="2517"/>
      <c r="G375" s="2517"/>
      <c r="H375" s="2522">
        <f>'SSR-rates'!K$60</f>
        <v>575</v>
      </c>
      <c r="I375" s="2505" t="s">
        <v>38</v>
      </c>
      <c r="J375" s="2518">
        <f>ROUND(B375*H375,2)</f>
        <v>12075</v>
      </c>
    </row>
    <row r="376" spans="1:10" ht="20.100000000000001" customHeight="1">
      <c r="A376" s="2520"/>
      <c r="B376" s="2525">
        <f>'Input Data'!$D$23</f>
        <v>0</v>
      </c>
      <c r="C376" s="2526"/>
      <c r="D376" s="2517" t="s">
        <v>17</v>
      </c>
      <c r="E376" s="2517"/>
      <c r="F376" s="2523"/>
      <c r="G376" s="2523"/>
      <c r="H376" s="2522">
        <f>SUM(J373:J375)</f>
        <v>13560</v>
      </c>
      <c r="I376" s="2505"/>
      <c r="J376" s="2518">
        <f>B376*H376</f>
        <v>0</v>
      </c>
    </row>
    <row r="377" spans="1:10" ht="20.100000000000001" customHeight="1">
      <c r="A377" s="2517"/>
      <c r="B377" s="2522"/>
      <c r="C377" s="2523"/>
      <c r="D377" s="2518" t="s">
        <v>60</v>
      </c>
      <c r="E377" s="2517"/>
      <c r="F377" s="2517"/>
      <c r="G377" s="2517"/>
      <c r="H377" s="2522"/>
      <c r="I377" s="2522"/>
      <c r="J377" s="2518">
        <f>SUM(J373:J376)</f>
        <v>13560</v>
      </c>
    </row>
    <row r="378" spans="1:10" ht="20.100000000000001" customHeight="1">
      <c r="A378" s="2517"/>
      <c r="B378" s="2520" t="s">
        <v>39</v>
      </c>
      <c r="C378" s="2521" t="s">
        <v>61</v>
      </c>
      <c r="D378" s="2517"/>
      <c r="E378" s="2517"/>
      <c r="F378" s="2517"/>
      <c r="G378" s="2517"/>
      <c r="H378" s="2522"/>
      <c r="I378" s="2522"/>
      <c r="J378" s="2518"/>
    </row>
    <row r="379" spans="1:10" ht="20.100000000000001" customHeight="1">
      <c r="A379" s="2517"/>
      <c r="B379" s="2522">
        <v>8.1</v>
      </c>
      <c r="C379" s="2523" t="s">
        <v>31</v>
      </c>
      <c r="D379" s="2517" t="s">
        <v>63</v>
      </c>
      <c r="E379" s="2517"/>
      <c r="F379" s="2517"/>
      <c r="G379" s="2517"/>
      <c r="H379" s="2522">
        <f>lead!J$16</f>
        <v>1889.8641904678079</v>
      </c>
      <c r="I379" s="2522" t="s">
        <v>31</v>
      </c>
      <c r="J379" s="2518">
        <f>ROUND(B379*H379,2)</f>
        <v>15307.9</v>
      </c>
    </row>
    <row r="380" spans="1:10" ht="20.100000000000001" customHeight="1">
      <c r="A380" s="2517"/>
      <c r="B380" s="2522">
        <v>5.4</v>
      </c>
      <c r="C380" s="2523" t="s">
        <v>31</v>
      </c>
      <c r="D380" s="2517" t="s">
        <v>64</v>
      </c>
      <c r="E380" s="2517"/>
      <c r="F380" s="2517"/>
      <c r="G380" s="2517"/>
      <c r="H380" s="2522">
        <f>lead!J$18</f>
        <v>1638.8641904678079</v>
      </c>
      <c r="I380" s="2522" t="s">
        <v>31</v>
      </c>
      <c r="J380" s="2518">
        <f>ROUND(B380*H380,2)</f>
        <v>8849.8700000000008</v>
      </c>
    </row>
    <row r="381" spans="1:10" ht="45" customHeight="1">
      <c r="A381" s="2517"/>
      <c r="B381" s="2529">
        <f>6.75/2</f>
        <v>3.375</v>
      </c>
      <c r="C381" s="2523" t="s">
        <v>31</v>
      </c>
      <c r="D381" s="3967" t="s">
        <v>1716</v>
      </c>
      <c r="E381" s="3967"/>
      <c r="F381" s="3967"/>
      <c r="G381" s="3967"/>
      <c r="H381" s="2528">
        <f>lead!$J$31</f>
        <v>1760.9684020595876</v>
      </c>
      <c r="I381" s="2522" t="s">
        <v>31</v>
      </c>
      <c r="J381" s="2524">
        <f>ROUND(B381*H381,2)</f>
        <v>5943.27</v>
      </c>
    </row>
    <row r="382" spans="1:10" ht="35.1" customHeight="1">
      <c r="A382" s="2517"/>
      <c r="B382" s="2529">
        <f>6.75/2</f>
        <v>3.375</v>
      </c>
      <c r="C382" s="2523" t="s">
        <v>31</v>
      </c>
      <c r="D382" s="3967" t="s">
        <v>1717</v>
      </c>
      <c r="E382" s="3967"/>
      <c r="F382" s="3967"/>
      <c r="G382" s="3967"/>
      <c r="H382" s="2528">
        <f>lead!$J$33</f>
        <v>1760.9684020595876</v>
      </c>
      <c r="I382" s="2522" t="s">
        <v>31</v>
      </c>
      <c r="J382" s="2524">
        <f>ROUND(B382*H382,2)</f>
        <v>5943.27</v>
      </c>
    </row>
    <row r="383" spans="1:10" ht="20.100000000000001" customHeight="1">
      <c r="A383" s="2517"/>
      <c r="B383" s="2529">
        <v>6.1</v>
      </c>
      <c r="C383" s="2523" t="s">
        <v>66</v>
      </c>
      <c r="D383" s="2518" t="s">
        <v>67</v>
      </c>
      <c r="E383" s="2517"/>
      <c r="F383" s="2517"/>
      <c r="G383" s="2517"/>
      <c r="H383" s="2522">
        <f>lead!J$36</f>
        <v>5000</v>
      </c>
      <c r="I383" s="2522" t="s">
        <v>66</v>
      </c>
      <c r="J383" s="2518">
        <f>ROUND(B383*H383,2)</f>
        <v>30500</v>
      </c>
    </row>
    <row r="384" spans="1:10" ht="20.100000000000001" customHeight="1">
      <c r="A384" s="2517"/>
      <c r="B384" s="2522"/>
      <c r="C384" s="2517"/>
      <c r="D384" s="2518" t="s">
        <v>60</v>
      </c>
      <c r="E384" s="2517"/>
      <c r="F384" s="2517"/>
      <c r="G384" s="2517"/>
      <c r="H384" s="2522"/>
      <c r="I384" s="2522"/>
      <c r="J384" s="2518">
        <f>SUM(J379:J383)</f>
        <v>66544.31</v>
      </c>
    </row>
    <row r="385" spans="1:10" ht="20.100000000000001" customHeight="1">
      <c r="A385" s="2517"/>
      <c r="B385" s="2520" t="s">
        <v>27</v>
      </c>
      <c r="C385" s="2521" t="s">
        <v>40</v>
      </c>
      <c r="D385" s="2517"/>
      <c r="E385" s="2517"/>
      <c r="F385" s="2517"/>
      <c r="G385" s="2517"/>
      <c r="H385" s="2522"/>
      <c r="I385" s="2522"/>
      <c r="J385" s="2518"/>
    </row>
    <row r="386" spans="1:10" ht="20.100000000000001" customHeight="1">
      <c r="A386" s="2517"/>
      <c r="B386" s="2522">
        <v>6</v>
      </c>
      <c r="C386" s="2523" t="s">
        <v>41</v>
      </c>
      <c r="D386" s="2518" t="s">
        <v>68</v>
      </c>
      <c r="E386" s="2517"/>
      <c r="F386" s="2517"/>
      <c r="G386" s="2517"/>
      <c r="H386" s="2522">
        <f>+H355</f>
        <v>697.9</v>
      </c>
      <c r="I386" s="2522" t="s">
        <v>41</v>
      </c>
      <c r="J386" s="2518">
        <f>ROUND(B386*H386,2)</f>
        <v>4187.3999999999996</v>
      </c>
    </row>
    <row r="387" spans="1:10" ht="20.100000000000001" customHeight="1">
      <c r="A387" s="2517"/>
      <c r="B387" s="2522">
        <v>6</v>
      </c>
      <c r="C387" s="2523" t="s">
        <v>41</v>
      </c>
      <c r="D387" s="2518" t="s">
        <v>69</v>
      </c>
      <c r="E387" s="2517"/>
      <c r="F387" s="2517"/>
      <c r="G387" s="2517"/>
      <c r="H387" s="2522">
        <f>+H356</f>
        <v>1323.5</v>
      </c>
      <c r="I387" s="2522" t="s">
        <v>41</v>
      </c>
      <c r="J387" s="2518">
        <f>ROUND(B387*H387,2)</f>
        <v>7941</v>
      </c>
    </row>
    <row r="388" spans="1:10" ht="20.100000000000001" customHeight="1">
      <c r="A388" s="2517"/>
      <c r="B388" s="2522"/>
      <c r="C388" s="2526"/>
      <c r="D388" s="2518" t="s">
        <v>60</v>
      </c>
      <c r="E388" s="2517"/>
      <c r="F388" s="2517"/>
      <c r="G388" s="2517"/>
      <c r="H388" s="2522"/>
      <c r="I388" s="2522"/>
      <c r="J388" s="2518">
        <f>SUM(J386:J387)</f>
        <v>12128.4</v>
      </c>
    </row>
    <row r="389" spans="1:10" ht="20.100000000000001" customHeight="1">
      <c r="A389" s="2517"/>
      <c r="B389" s="2520" t="s">
        <v>45</v>
      </c>
      <c r="C389" s="2521" t="s">
        <v>71</v>
      </c>
      <c r="D389" s="2517"/>
      <c r="E389" s="2517"/>
      <c r="F389" s="2517"/>
      <c r="G389" s="2517"/>
      <c r="H389" s="2522"/>
      <c r="I389" s="2522"/>
      <c r="J389" s="2518"/>
    </row>
    <row r="390" spans="1:10" ht="20.100000000000001" customHeight="1">
      <c r="A390" s="2517"/>
      <c r="B390" s="2522">
        <v>20</v>
      </c>
      <c r="C390" s="2523" t="s">
        <v>29</v>
      </c>
      <c r="D390" s="2517" t="s">
        <v>1898</v>
      </c>
      <c r="E390" s="2517"/>
      <c r="F390" s="2517"/>
      <c r="G390" s="2517"/>
      <c r="H390" s="2522">
        <f>J377+J384+J388</f>
        <v>92232.709999999992</v>
      </c>
      <c r="I390" s="2505" t="s">
        <v>73</v>
      </c>
      <c r="J390" s="2518">
        <f>ROUND(B390*H390/100,2)</f>
        <v>18446.54</v>
      </c>
    </row>
    <row r="391" spans="1:10" ht="20.100000000000001" customHeight="1">
      <c r="A391" s="2520"/>
      <c r="B391" s="2520" t="s">
        <v>47</v>
      </c>
      <c r="C391" s="2530" t="s">
        <v>1238</v>
      </c>
      <c r="D391" s="2517"/>
      <c r="E391" s="2517"/>
      <c r="F391" s="2523"/>
      <c r="G391" s="2523"/>
      <c r="H391" s="2523"/>
      <c r="I391" s="2523"/>
      <c r="J391" s="2521"/>
    </row>
    <row r="392" spans="1:10" ht="35.1" customHeight="1">
      <c r="A392" s="2520"/>
      <c r="B392" s="2531">
        <f>B361</f>
        <v>0.19614999999999999</v>
      </c>
      <c r="C392" s="2526" t="s">
        <v>1897</v>
      </c>
      <c r="D392" s="2518"/>
      <c r="E392" s="2517"/>
      <c r="F392" s="2523"/>
      <c r="G392" s="2523"/>
      <c r="H392" s="2526">
        <f>J390+J388+J384+J377</f>
        <v>110679.25</v>
      </c>
      <c r="I392" s="2523"/>
      <c r="J392" s="2518">
        <f>H392*B392</f>
        <v>21709.734887499999</v>
      </c>
    </row>
    <row r="393" spans="1:10" ht="20.100000000000001" customHeight="1">
      <c r="A393" s="2520"/>
      <c r="B393" s="2532">
        <f>'Input Data'!$E$24</f>
        <v>0.1</v>
      </c>
      <c r="C393" s="2533" t="s">
        <v>1220</v>
      </c>
      <c r="D393" s="2518"/>
      <c r="E393" s="2517"/>
      <c r="F393" s="2523"/>
      <c r="G393" s="2523"/>
      <c r="H393" s="2526">
        <f>J392+J390+J388+J384+J377</f>
        <v>132388.9848875</v>
      </c>
      <c r="I393" s="2523"/>
      <c r="J393" s="2518">
        <f>H393*B393</f>
        <v>13238.898488750001</v>
      </c>
    </row>
    <row r="394" spans="1:10" ht="20.100000000000001" customHeight="1">
      <c r="A394" s="2520"/>
      <c r="B394" s="2520" t="s">
        <v>76</v>
      </c>
      <c r="C394" s="2530" t="s">
        <v>77</v>
      </c>
      <c r="D394" s="2517"/>
      <c r="E394" s="2517"/>
      <c r="F394" s="2523"/>
      <c r="G394" s="2523"/>
      <c r="H394" s="2523"/>
      <c r="I394" s="2523"/>
      <c r="J394" s="2521">
        <f>J377+J384+J388+J390+J392+J393</f>
        <v>145627.88337625001</v>
      </c>
    </row>
    <row r="395" spans="1:10" ht="20.100000000000001" customHeight="1">
      <c r="A395" s="2517"/>
      <c r="B395" s="2522"/>
      <c r="C395" s="2523"/>
      <c r="D395" s="2521" t="s">
        <v>80</v>
      </c>
      <c r="E395" s="2517"/>
      <c r="F395" s="2517"/>
      <c r="G395" s="2517"/>
      <c r="H395" s="2522"/>
      <c r="I395" s="2522"/>
      <c r="J395" s="2521">
        <f>SUM(J394:J394)</f>
        <v>145627.88337625001</v>
      </c>
    </row>
    <row r="396" spans="1:10" ht="20.100000000000001" customHeight="1">
      <c r="A396" s="2517"/>
      <c r="B396" s="2522"/>
      <c r="C396" s="2523"/>
      <c r="D396" s="2518" t="s">
        <v>81</v>
      </c>
      <c r="E396" s="2517"/>
      <c r="F396" s="2517"/>
      <c r="G396" s="2517"/>
      <c r="H396" s="2522"/>
      <c r="I396" s="2522"/>
      <c r="J396" s="2518">
        <f>ROUND(J395/15,2)</f>
        <v>9708.5300000000007</v>
      </c>
    </row>
    <row r="397" spans="1:10" ht="20.100000000000001" customHeight="1">
      <c r="A397" s="2517"/>
      <c r="B397" s="2505"/>
      <c r="C397" s="2517"/>
      <c r="D397" s="2518" t="s">
        <v>52</v>
      </c>
      <c r="E397" s="2517"/>
      <c r="F397" s="2517"/>
      <c r="G397" s="2517"/>
      <c r="H397" s="2522"/>
      <c r="I397" s="2522"/>
      <c r="J397" s="2538">
        <f>ROUND(J396,2)</f>
        <v>9708.5300000000007</v>
      </c>
    </row>
    <row r="398" spans="1:10" ht="20.100000000000001" customHeight="1">
      <c r="A398" s="2517"/>
      <c r="B398" s="2505"/>
      <c r="C398" s="2517"/>
      <c r="D398" s="2518"/>
      <c r="E398" s="2517"/>
      <c r="F398" s="2517"/>
      <c r="G398" s="2517"/>
      <c r="H398" s="2522"/>
      <c r="I398" s="2522"/>
      <c r="J398" s="2527" t="s">
        <v>53</v>
      </c>
    </row>
    <row r="399" spans="1:10" ht="20.100000000000001" customHeight="1">
      <c r="A399" s="2517"/>
      <c r="B399" s="2505"/>
      <c r="C399" s="2517"/>
      <c r="D399" s="2518"/>
      <c r="E399" s="2517"/>
      <c r="F399" s="2517"/>
      <c r="G399" s="2517"/>
      <c r="H399" s="2522"/>
      <c r="I399" s="2522"/>
      <c r="J399" s="2527"/>
    </row>
    <row r="400" spans="1:10" ht="138.6" customHeight="1">
      <c r="A400" s="2536">
        <f>A369+1</f>
        <v>12</v>
      </c>
      <c r="B400" s="3969" t="s">
        <v>1060</v>
      </c>
      <c r="C400" s="3969"/>
      <c r="D400" s="3969"/>
      <c r="E400" s="3969"/>
      <c r="F400" s="3969"/>
      <c r="G400" s="3969"/>
      <c r="H400" s="3969"/>
      <c r="I400" s="3969"/>
      <c r="J400" s="3969"/>
    </row>
    <row r="401" spans="1:10" ht="20.100000000000001" customHeight="1">
      <c r="A401" s="2523"/>
      <c r="B401" s="2505"/>
      <c r="C401" s="2517"/>
      <c r="D401" s="2518" t="s">
        <v>10</v>
      </c>
      <c r="E401" s="2517"/>
      <c r="F401" s="2530" t="s">
        <v>160</v>
      </c>
      <c r="G401" s="2517"/>
      <c r="H401" s="2517"/>
      <c r="I401" s="2517"/>
      <c r="J401" s="2517"/>
    </row>
    <row r="402" spans="1:10" ht="20.100000000000001" customHeight="1">
      <c r="A402" s="2523"/>
      <c r="B402" s="2505"/>
      <c r="C402" s="2517"/>
      <c r="D402" s="2518" t="s">
        <v>56</v>
      </c>
      <c r="E402" s="2517"/>
      <c r="F402" s="2517"/>
      <c r="G402" s="2517"/>
      <c r="H402" s="2517"/>
      <c r="I402" s="2517"/>
      <c r="J402" s="2517"/>
    </row>
    <row r="403" spans="1:10" ht="20.100000000000001" customHeight="1">
      <c r="A403" s="2523"/>
      <c r="B403" s="2520" t="s">
        <v>36</v>
      </c>
      <c r="C403" s="2521" t="s">
        <v>37</v>
      </c>
      <c r="D403" s="2517"/>
      <c r="E403" s="2517"/>
      <c r="F403" s="2517"/>
      <c r="G403" s="2517"/>
      <c r="H403" s="2517"/>
      <c r="I403" s="2517"/>
      <c r="J403" s="2566"/>
    </row>
    <row r="404" spans="1:10" ht="20.100000000000001" customHeight="1">
      <c r="A404" s="2523"/>
      <c r="B404" s="2522">
        <v>0.9</v>
      </c>
      <c r="C404" s="2523" t="s">
        <v>57</v>
      </c>
      <c r="D404" s="2518" t="s">
        <v>156</v>
      </c>
      <c r="E404" s="2517"/>
      <c r="F404" s="2517"/>
      <c r="G404" s="2517"/>
      <c r="H404" s="2522">
        <f>'SSR-rates'!$K58</f>
        <v>575</v>
      </c>
      <c r="I404" s="2505" t="s">
        <v>38</v>
      </c>
      <c r="J404" s="2524">
        <f>ROUND(B404*H404,2)</f>
        <v>517.5</v>
      </c>
    </row>
    <row r="405" spans="1:10" ht="20.100000000000001" customHeight="1">
      <c r="A405" s="2523"/>
      <c r="B405" s="2522">
        <v>1.5</v>
      </c>
      <c r="C405" s="2523" t="s">
        <v>57</v>
      </c>
      <c r="D405" s="2518" t="s">
        <v>58</v>
      </c>
      <c r="E405" s="2517"/>
      <c r="F405" s="2517"/>
      <c r="G405" s="2517"/>
      <c r="H405" s="2522">
        <f>+'SSR-rates'!$K$96</f>
        <v>645</v>
      </c>
      <c r="I405" s="2505" t="s">
        <v>38</v>
      </c>
      <c r="J405" s="2524">
        <f>ROUND(B405*H405,2)</f>
        <v>967.5</v>
      </c>
    </row>
    <row r="406" spans="1:10" ht="20.100000000000001" customHeight="1">
      <c r="A406" s="2523"/>
      <c r="B406" s="2522">
        <v>21</v>
      </c>
      <c r="C406" s="2523" t="s">
        <v>57</v>
      </c>
      <c r="D406" s="2518" t="s">
        <v>59</v>
      </c>
      <c r="E406" s="2517"/>
      <c r="F406" s="2517"/>
      <c r="G406" s="2517"/>
      <c r="H406" s="2522">
        <f>'SSR-rates'!$K60</f>
        <v>575</v>
      </c>
      <c r="I406" s="2505" t="s">
        <v>38</v>
      </c>
      <c r="J406" s="2524">
        <f>ROUND(B406*H406,2)</f>
        <v>12075</v>
      </c>
    </row>
    <row r="407" spans="1:10" ht="20.100000000000001" customHeight="1">
      <c r="A407" s="2530"/>
      <c r="B407" s="2525">
        <f>'Input Data'!$D$23</f>
        <v>0</v>
      </c>
      <c r="C407" s="2526"/>
      <c r="D407" s="2517" t="s">
        <v>17</v>
      </c>
      <c r="E407" s="2517"/>
      <c r="F407" s="2523"/>
      <c r="G407" s="2523"/>
      <c r="H407" s="2522">
        <f>SUM(J404:J406)</f>
        <v>13560</v>
      </c>
      <c r="I407" s="2505"/>
      <c r="J407" s="2524">
        <f>B407*H407</f>
        <v>0</v>
      </c>
    </row>
    <row r="408" spans="1:10" ht="20.100000000000001" customHeight="1">
      <c r="A408" s="2523"/>
      <c r="B408" s="2522"/>
      <c r="C408" s="2523"/>
      <c r="D408" s="2518" t="s">
        <v>60</v>
      </c>
      <c r="E408" s="2517"/>
      <c r="F408" s="2517"/>
      <c r="G408" s="2517"/>
      <c r="H408" s="2522"/>
      <c r="I408" s="2522"/>
      <c r="J408" s="2524">
        <f>SUM(J404:J407)</f>
        <v>13560</v>
      </c>
    </row>
    <row r="409" spans="1:10" ht="20.100000000000001" customHeight="1">
      <c r="A409" s="2523"/>
      <c r="B409" s="2520" t="s">
        <v>39</v>
      </c>
      <c r="C409" s="2521" t="s">
        <v>61</v>
      </c>
      <c r="D409" s="2517"/>
      <c r="E409" s="2517"/>
      <c r="F409" s="2517"/>
      <c r="G409" s="2517"/>
      <c r="H409" s="2522"/>
      <c r="I409" s="2522"/>
      <c r="J409" s="2524"/>
    </row>
    <row r="410" spans="1:10" ht="20.100000000000001" customHeight="1">
      <c r="A410" s="2523"/>
      <c r="B410" s="2522">
        <v>8.1</v>
      </c>
      <c r="C410" s="2523" t="s">
        <v>31</v>
      </c>
      <c r="D410" s="2517" t="s">
        <v>63</v>
      </c>
      <c r="E410" s="2517"/>
      <c r="F410" s="2517"/>
      <c r="G410" s="2517"/>
      <c r="H410" s="2522">
        <f>lead!$J$16</f>
        <v>1889.8641904678079</v>
      </c>
      <c r="I410" s="2522" t="s">
        <v>31</v>
      </c>
      <c r="J410" s="2524">
        <f>ROUND(B410*H410,2)</f>
        <v>15307.9</v>
      </c>
    </row>
    <row r="411" spans="1:10" ht="20.100000000000001" customHeight="1">
      <c r="A411" s="2523"/>
      <c r="B411" s="2522">
        <v>5.4</v>
      </c>
      <c r="C411" s="2523" t="s">
        <v>31</v>
      </c>
      <c r="D411" s="2517" t="s">
        <v>64</v>
      </c>
      <c r="E411" s="2517"/>
      <c r="F411" s="2517"/>
      <c r="G411" s="2517"/>
      <c r="H411" s="2522">
        <f>lead!$J$18</f>
        <v>1638.8641904678079</v>
      </c>
      <c r="I411" s="2522" t="s">
        <v>31</v>
      </c>
      <c r="J411" s="2524">
        <f>ROUND(B411*H411,2)</f>
        <v>8849.8700000000008</v>
      </c>
    </row>
    <row r="412" spans="1:10" ht="45" customHeight="1">
      <c r="A412" s="2523"/>
      <c r="B412" s="2529">
        <f>6.75/2</f>
        <v>3.375</v>
      </c>
      <c r="C412" s="2523" t="s">
        <v>31</v>
      </c>
      <c r="D412" s="3967" t="s">
        <v>1716</v>
      </c>
      <c r="E412" s="3967"/>
      <c r="F412" s="3967"/>
      <c r="G412" s="3967"/>
      <c r="H412" s="2528">
        <f>lead!$J$31</f>
        <v>1760.9684020595876</v>
      </c>
      <c r="I412" s="2522" t="s">
        <v>31</v>
      </c>
      <c r="J412" s="2524">
        <f>ROUND(B412*H412,2)</f>
        <v>5943.27</v>
      </c>
    </row>
    <row r="413" spans="1:10" ht="35.1" customHeight="1">
      <c r="A413" s="2523"/>
      <c r="B413" s="2529">
        <f>6.75/2</f>
        <v>3.375</v>
      </c>
      <c r="C413" s="2523" t="s">
        <v>31</v>
      </c>
      <c r="D413" s="3967" t="s">
        <v>1717</v>
      </c>
      <c r="E413" s="3967"/>
      <c r="F413" s="3967"/>
      <c r="G413" s="3967"/>
      <c r="H413" s="2528">
        <f>lead!$J$33</f>
        <v>1760.9684020595876</v>
      </c>
      <c r="I413" s="2522" t="s">
        <v>31</v>
      </c>
      <c r="J413" s="2524">
        <f>ROUND(B413*H413,2)</f>
        <v>5943.27</v>
      </c>
    </row>
    <row r="414" spans="1:10" ht="20.100000000000001" customHeight="1">
      <c r="A414" s="2523"/>
      <c r="B414" s="2522">
        <v>6.1</v>
      </c>
      <c r="C414" s="2523" t="s">
        <v>66</v>
      </c>
      <c r="D414" s="2518" t="s">
        <v>67</v>
      </c>
      <c r="E414" s="2517"/>
      <c r="F414" s="2517"/>
      <c r="G414" s="2517"/>
      <c r="H414" s="2522">
        <f>lead!$J$36</f>
        <v>5000</v>
      </c>
      <c r="I414" s="2522" t="s">
        <v>66</v>
      </c>
      <c r="J414" s="2524">
        <f>ROUND(B414*H414,2)</f>
        <v>30500</v>
      </c>
    </row>
    <row r="415" spans="1:10" ht="20.100000000000001" customHeight="1">
      <c r="A415" s="2523"/>
      <c r="B415" s="2522"/>
      <c r="C415" s="2517"/>
      <c r="D415" s="2518" t="s">
        <v>60</v>
      </c>
      <c r="E415" s="2517"/>
      <c r="F415" s="2517"/>
      <c r="G415" s="2517"/>
      <c r="H415" s="2522"/>
      <c r="I415" s="2522"/>
      <c r="J415" s="2524">
        <f>SUM(J410:J414)</f>
        <v>66544.31</v>
      </c>
    </row>
    <row r="416" spans="1:10" ht="20.100000000000001" customHeight="1">
      <c r="A416" s="2523"/>
      <c r="B416" s="2520" t="s">
        <v>27</v>
      </c>
      <c r="C416" s="2521" t="s">
        <v>40</v>
      </c>
      <c r="D416" s="2517"/>
      <c r="E416" s="2517"/>
      <c r="F416" s="2517"/>
      <c r="G416" s="2517"/>
      <c r="H416" s="2522"/>
      <c r="I416" s="2522"/>
      <c r="J416" s="2524"/>
    </row>
    <row r="417" spans="1:10" ht="20.100000000000001" customHeight="1">
      <c r="A417" s="2523"/>
      <c r="B417" s="2522">
        <v>6</v>
      </c>
      <c r="C417" s="2523" t="s">
        <v>41</v>
      </c>
      <c r="D417" s="2518" t="s">
        <v>68</v>
      </c>
      <c r="E417" s="2517"/>
      <c r="F417" s="2517"/>
      <c r="G417" s="2517"/>
      <c r="H417" s="2522">
        <f>'SSR-rates'!$K$88</f>
        <v>697.9</v>
      </c>
      <c r="I417" s="2522" t="s">
        <v>41</v>
      </c>
      <c r="J417" s="2524">
        <f>ROUND(B417*H417,2)</f>
        <v>4187.3999999999996</v>
      </c>
    </row>
    <row r="418" spans="1:10" ht="20.100000000000001" customHeight="1">
      <c r="A418" s="2523"/>
      <c r="B418" s="2522">
        <v>6</v>
      </c>
      <c r="C418" s="2523" t="s">
        <v>41</v>
      </c>
      <c r="D418" s="2518" t="s">
        <v>1859</v>
      </c>
      <c r="E418" s="2517"/>
      <c r="F418" s="2517"/>
      <c r="G418" s="2517"/>
      <c r="H418" s="2522">
        <f>'SSR-rates'!$K$87</f>
        <v>1323.5</v>
      </c>
      <c r="I418" s="2522" t="s">
        <v>41</v>
      </c>
      <c r="J418" s="2524">
        <f>ROUND(B418*H418,2)</f>
        <v>7941</v>
      </c>
    </row>
    <row r="419" spans="1:10" ht="20.100000000000001" customHeight="1">
      <c r="A419" s="2523"/>
      <c r="B419" s="2522"/>
      <c r="C419" s="2526"/>
      <c r="D419" s="2518" t="s">
        <v>60</v>
      </c>
      <c r="E419" s="2517"/>
      <c r="F419" s="2517"/>
      <c r="G419" s="2517"/>
      <c r="H419" s="2522"/>
      <c r="I419" s="2522"/>
      <c r="J419" s="2524">
        <f>SUM(J417:J418)</f>
        <v>12128.4</v>
      </c>
    </row>
    <row r="420" spans="1:10" ht="20.100000000000001" customHeight="1">
      <c r="A420" s="2523"/>
      <c r="B420" s="2520" t="s">
        <v>45</v>
      </c>
      <c r="C420" s="2521" t="s">
        <v>71</v>
      </c>
      <c r="D420" s="2517"/>
      <c r="E420" s="2517"/>
      <c r="F420" s="2517"/>
      <c r="G420" s="2517"/>
      <c r="H420" s="2522"/>
      <c r="I420" s="2522"/>
      <c r="J420" s="2524"/>
    </row>
    <row r="421" spans="1:10" ht="35.1" customHeight="1">
      <c r="A421" s="2523"/>
      <c r="B421" s="2567">
        <v>0</v>
      </c>
      <c r="C421" s="2568"/>
      <c r="D421" s="2517" t="s">
        <v>1899</v>
      </c>
      <c r="E421" s="2517"/>
      <c r="F421" s="2517"/>
      <c r="G421" s="2517"/>
      <c r="H421" s="2522">
        <f>J408+J415+J419</f>
        <v>92232.709999999992</v>
      </c>
      <c r="I421" s="2505" t="s">
        <v>73</v>
      </c>
      <c r="J421" s="2524">
        <f>ROUND(B421*H421,2)</f>
        <v>0</v>
      </c>
    </row>
    <row r="422" spans="1:10" ht="20.100000000000001" customHeight="1">
      <c r="A422" s="2530"/>
      <c r="B422" s="2520" t="s">
        <v>47</v>
      </c>
      <c r="C422" s="2530" t="s">
        <v>1189</v>
      </c>
      <c r="D422" s="2517"/>
      <c r="E422" s="2517"/>
      <c r="F422" s="2523"/>
      <c r="G422" s="2523"/>
      <c r="H422" s="2523"/>
      <c r="I422" s="2523"/>
      <c r="J422" s="2527"/>
    </row>
    <row r="423" spans="1:10" ht="35.1" customHeight="1">
      <c r="A423" s="2530"/>
      <c r="B423" s="2531">
        <f>B392</f>
        <v>0.19614999999999999</v>
      </c>
      <c r="C423" s="3970" t="str">
        <f>"Over head charges &amp; CP "&amp;'Input Data'!$D$24*100&amp;"%  on (A) + (B)+(C)+(D)"</f>
        <v>Over head charges &amp; CP 13.615%  on (A) + (B)+(C)+(D)</v>
      </c>
      <c r="D423" s="3970"/>
      <c r="E423" s="3970"/>
      <c r="F423" s="3970"/>
      <c r="G423" s="3970"/>
      <c r="H423" s="2526">
        <f>J421+J419+J415+J408</f>
        <v>92232.709999999992</v>
      </c>
      <c r="I423" s="2523"/>
      <c r="J423" s="2524">
        <f>H423*B423</f>
        <v>18091.446066499997</v>
      </c>
    </row>
    <row r="424" spans="1:10" ht="20.100000000000001" customHeight="1">
      <c r="A424" s="2530"/>
      <c r="B424" s="2532">
        <f>'Input Data'!$E$24</f>
        <v>0.1</v>
      </c>
      <c r="C424" s="2533" t="s">
        <v>1220</v>
      </c>
      <c r="D424" s="2528"/>
      <c r="E424" s="2528"/>
      <c r="F424" s="2528"/>
      <c r="G424" s="2528"/>
      <c r="H424" s="2526">
        <f>J423+J421+J419+J415+J408</f>
        <v>110324.1560665</v>
      </c>
      <c r="I424" s="2523"/>
      <c r="J424" s="2524">
        <f>H424*B424</f>
        <v>11032.41560665</v>
      </c>
    </row>
    <row r="425" spans="1:10" ht="20.100000000000001" customHeight="1">
      <c r="A425" s="2530"/>
      <c r="B425" s="2520" t="s">
        <v>76</v>
      </c>
      <c r="C425" s="2530" t="s">
        <v>77</v>
      </c>
      <c r="D425" s="2517"/>
      <c r="E425" s="2517"/>
      <c r="F425" s="2523"/>
      <c r="G425" s="2523"/>
      <c r="H425" s="2523"/>
      <c r="I425" s="2523"/>
      <c r="J425" s="2527">
        <f>J408+J415+J419+J421+J423+J424</f>
        <v>121356.57167314999</v>
      </c>
    </row>
    <row r="426" spans="1:10" ht="20.100000000000001" customHeight="1">
      <c r="A426" s="2523"/>
      <c r="B426" s="2522"/>
      <c r="C426" s="2523"/>
      <c r="D426" s="2521" t="s">
        <v>1814</v>
      </c>
      <c r="E426" s="2517"/>
      <c r="F426" s="2517"/>
      <c r="G426" s="2517"/>
      <c r="H426" s="2522"/>
      <c r="I426" s="2522"/>
      <c r="J426" s="2569">
        <f>SUM(J425:J425)</f>
        <v>121356.57167314999</v>
      </c>
    </row>
    <row r="427" spans="1:10" ht="20.100000000000001" customHeight="1">
      <c r="A427" s="2523"/>
      <c r="B427" s="2522"/>
      <c r="C427" s="2523"/>
      <c r="D427" s="2518" t="s">
        <v>81</v>
      </c>
      <c r="E427" s="2517"/>
      <c r="F427" s="2517"/>
      <c r="G427" s="2517"/>
      <c r="H427" s="2522"/>
      <c r="I427" s="2522"/>
      <c r="J427" s="2524">
        <f>ROUND(J426/15,2)</f>
        <v>8090.44</v>
      </c>
    </row>
    <row r="428" spans="1:10" ht="20.100000000000001" customHeight="1">
      <c r="A428" s="2523"/>
      <c r="B428" s="2505"/>
      <c r="C428" s="2517"/>
      <c r="D428" s="2518" t="s">
        <v>52</v>
      </c>
      <c r="E428" s="2517"/>
      <c r="F428" s="2517"/>
      <c r="G428" s="2517"/>
      <c r="H428" s="2522"/>
      <c r="I428" s="2522"/>
      <c r="J428" s="2535">
        <f>ROUND(J427,2)</f>
        <v>8090.44</v>
      </c>
    </row>
    <row r="429" spans="1:10" ht="20.100000000000001" customHeight="1">
      <c r="A429" s="2523"/>
      <c r="B429" s="2505"/>
      <c r="C429" s="2517"/>
      <c r="D429" s="2518"/>
      <c r="E429" s="2517"/>
      <c r="F429" s="2517"/>
      <c r="G429" s="2517"/>
      <c r="H429" s="2522"/>
      <c r="I429" s="2522"/>
      <c r="J429" s="2527" t="s">
        <v>53</v>
      </c>
    </row>
    <row r="430" spans="1:10" ht="20.100000000000001" customHeight="1">
      <c r="A430" s="2517"/>
      <c r="B430" s="2505"/>
      <c r="C430" s="2517"/>
      <c r="D430" s="2518"/>
      <c r="E430" s="2517"/>
      <c r="F430" s="2517"/>
      <c r="G430" s="2517"/>
      <c r="H430" s="2522"/>
      <c r="I430" s="2522"/>
      <c r="J430" s="2570"/>
    </row>
    <row r="431" spans="1:10" ht="141" customHeight="1">
      <c r="A431" s="2536">
        <f>A400+1</f>
        <v>13</v>
      </c>
      <c r="B431" s="3971" t="s">
        <v>1069</v>
      </c>
      <c r="C431" s="3971"/>
      <c r="D431" s="3971"/>
      <c r="E431" s="3971"/>
      <c r="F431" s="3971"/>
      <c r="G431" s="3971"/>
      <c r="H431" s="3971"/>
      <c r="I431" s="3971"/>
      <c r="J431" s="3971"/>
    </row>
    <row r="432" spans="1:10" ht="20.100000000000001" customHeight="1">
      <c r="A432" s="2539"/>
      <c r="B432" s="2540"/>
      <c r="C432" s="2540"/>
      <c r="D432" s="3972" t="s">
        <v>198</v>
      </c>
      <c r="E432" s="3972"/>
      <c r="F432" s="3972"/>
      <c r="G432" s="3972"/>
      <c r="H432" s="2540"/>
      <c r="I432" s="2540"/>
      <c r="J432" s="2541"/>
    </row>
    <row r="433" spans="1:12" ht="20.100000000000001" customHeight="1">
      <c r="A433" s="2539"/>
      <c r="B433" s="2540"/>
      <c r="C433" s="2540"/>
      <c r="D433" s="3973" t="s">
        <v>186</v>
      </c>
      <c r="E433" s="3973"/>
      <c r="F433" s="3973"/>
      <c r="G433" s="3973"/>
      <c r="H433" s="2540"/>
      <c r="I433" s="2540"/>
      <c r="J433" s="2541"/>
    </row>
    <row r="434" spans="1:12" ht="20.100000000000001" customHeight="1">
      <c r="A434" s="2539"/>
      <c r="B434" s="2540"/>
      <c r="C434" s="2542"/>
      <c r="D434" s="3973" t="s">
        <v>187</v>
      </c>
      <c r="E434" s="3973"/>
      <c r="F434" s="3973"/>
      <c r="G434" s="3973"/>
      <c r="H434" s="2540"/>
      <c r="I434" s="2540"/>
      <c r="J434" s="2541"/>
    </row>
    <row r="435" spans="1:12" ht="20.100000000000001" customHeight="1">
      <c r="A435" s="2539"/>
      <c r="B435" s="2540"/>
      <c r="C435" s="2543"/>
      <c r="D435" s="3974" t="s">
        <v>12</v>
      </c>
      <c r="E435" s="3974"/>
      <c r="F435" s="3974"/>
      <c r="G435" s="3974"/>
      <c r="H435" s="2540"/>
      <c r="I435" s="2540"/>
      <c r="J435" s="2541"/>
    </row>
    <row r="436" spans="1:12" ht="20.100000000000001" customHeight="1">
      <c r="A436" s="2539"/>
      <c r="B436" s="2542">
        <v>0.44</v>
      </c>
      <c r="C436" s="2544" t="s">
        <v>13</v>
      </c>
      <c r="D436" s="3975" t="s">
        <v>14</v>
      </c>
      <c r="E436" s="3975"/>
      <c r="F436" s="3975"/>
      <c r="G436" s="3975"/>
      <c r="H436" s="2545">
        <f>'SSR-rates'!$K$58</f>
        <v>575</v>
      </c>
      <c r="I436" s="2542">
        <v>1</v>
      </c>
      <c r="J436" s="2546">
        <f>ROUND(B436*H436,2)</f>
        <v>253</v>
      </c>
      <c r="L436" s="2506">
        <v>0.44</v>
      </c>
    </row>
    <row r="437" spans="1:12" ht="20.100000000000001" customHeight="1">
      <c r="A437" s="2539"/>
      <c r="B437" s="2542">
        <v>3</v>
      </c>
      <c r="C437" s="2544" t="s">
        <v>13</v>
      </c>
      <c r="D437" s="3975" t="s">
        <v>188</v>
      </c>
      <c r="E437" s="3975"/>
      <c r="F437" s="3975"/>
      <c r="G437" s="3975"/>
      <c r="H437" s="2545">
        <f>'SSR-rates'!$K$92</f>
        <v>640</v>
      </c>
      <c r="I437" s="2542">
        <v>1</v>
      </c>
      <c r="J437" s="2546">
        <f>ROUND(B437*H437,2)</f>
        <v>1920</v>
      </c>
      <c r="L437" s="2506">
        <v>3</v>
      </c>
    </row>
    <row r="438" spans="1:12" ht="20.100000000000001" customHeight="1">
      <c r="A438" s="2539"/>
      <c r="B438" s="2542">
        <v>8</v>
      </c>
      <c r="C438" s="2544" t="s">
        <v>13</v>
      </c>
      <c r="D438" s="3975" t="s">
        <v>59</v>
      </c>
      <c r="E438" s="3975"/>
      <c r="F438" s="3975"/>
      <c r="G438" s="3975"/>
      <c r="H438" s="2545">
        <f>'SSR-rates'!$K$60</f>
        <v>575</v>
      </c>
      <c r="I438" s="2542">
        <v>1</v>
      </c>
      <c r="J438" s="2546">
        <f>ROUND(B438*H438,2)</f>
        <v>4600</v>
      </c>
      <c r="L438" s="2506">
        <v>8</v>
      </c>
    </row>
    <row r="439" spans="1:12" ht="20.100000000000001" customHeight="1">
      <c r="A439" s="2539"/>
      <c r="B439" s="2525">
        <f>'Input Data'!$D$23</f>
        <v>0</v>
      </c>
      <c r="C439" s="2526"/>
      <c r="D439" s="2517" t="s">
        <v>17</v>
      </c>
      <c r="E439" s="2517"/>
      <c r="F439" s="2523"/>
      <c r="G439" s="2523"/>
      <c r="H439" s="2522">
        <f>SUM(J436:J438)</f>
        <v>6773</v>
      </c>
      <c r="I439" s="2505"/>
      <c r="J439" s="2524">
        <f>B439*H439</f>
        <v>0</v>
      </c>
    </row>
    <row r="440" spans="1:12" ht="20.100000000000001" customHeight="1">
      <c r="A440" s="2539"/>
      <c r="B440" s="2542"/>
      <c r="C440" s="2547"/>
      <c r="D440" s="3976" t="s">
        <v>18</v>
      </c>
      <c r="E440" s="3976"/>
      <c r="F440" s="3976"/>
      <c r="G440" s="3976"/>
      <c r="H440" s="2542"/>
      <c r="I440" s="2548" t="s">
        <v>19</v>
      </c>
      <c r="J440" s="2549">
        <f>SUM(J436:J439)</f>
        <v>6773</v>
      </c>
    </row>
    <row r="441" spans="1:12" ht="20.100000000000001" customHeight="1">
      <c r="A441" s="2539"/>
      <c r="B441" s="2542"/>
      <c r="C441" s="2550"/>
      <c r="D441" s="3974" t="s">
        <v>189</v>
      </c>
      <c r="E441" s="3974"/>
      <c r="F441" s="3974"/>
      <c r="G441" s="3974"/>
      <c r="H441" s="2542"/>
      <c r="I441" s="2542"/>
      <c r="J441" s="2546"/>
    </row>
    <row r="442" spans="1:12" ht="35.1" customHeight="1">
      <c r="A442" s="2523"/>
      <c r="B442" s="2556">
        <v>1.05</v>
      </c>
      <c r="C442" s="2557" t="s">
        <v>66</v>
      </c>
      <c r="D442" s="3980" t="s">
        <v>199</v>
      </c>
      <c r="E442" s="3980"/>
      <c r="F442" s="3980"/>
      <c r="G442" s="3980"/>
      <c r="H442" s="2556">
        <f>lead!$J$37</f>
        <v>49000</v>
      </c>
      <c r="I442" s="2556">
        <v>1</v>
      </c>
      <c r="J442" s="2558">
        <f>ROUND(B442*H442,2)</f>
        <v>51450</v>
      </c>
    </row>
    <row r="443" spans="1:12" ht="35.1" customHeight="1">
      <c r="A443" s="2539"/>
      <c r="B443" s="2542">
        <v>8</v>
      </c>
      <c r="C443" s="2544" t="s">
        <v>191</v>
      </c>
      <c r="D443" s="3976" t="s">
        <v>196</v>
      </c>
      <c r="E443" s="3976"/>
      <c r="F443" s="3976"/>
      <c r="G443" s="3976"/>
      <c r="H443" s="2542">
        <f>'SSR-rates'!$K$93</f>
        <v>83</v>
      </c>
      <c r="I443" s="2542">
        <v>1</v>
      </c>
      <c r="J443" s="2546">
        <f>H443*B443</f>
        <v>664</v>
      </c>
    </row>
    <row r="444" spans="1:12" ht="20.100000000000001" customHeight="1">
      <c r="A444" s="2539"/>
      <c r="B444" s="2542"/>
      <c r="C444" s="2547"/>
      <c r="D444" s="3976" t="s">
        <v>18</v>
      </c>
      <c r="E444" s="3976"/>
      <c r="F444" s="3976"/>
      <c r="G444" s="3976"/>
      <c r="H444" s="2542"/>
      <c r="I444" s="2548" t="s">
        <v>25</v>
      </c>
      <c r="J444" s="2549">
        <f>SUM(J442:J443)</f>
        <v>52114</v>
      </c>
    </row>
    <row r="445" spans="1:12" ht="20.100000000000001" customHeight="1">
      <c r="A445" s="2539"/>
      <c r="B445" s="2545"/>
      <c r="C445" s="2551"/>
      <c r="D445" s="3974" t="s">
        <v>26</v>
      </c>
      <c r="E445" s="3974"/>
      <c r="F445" s="3974"/>
      <c r="G445" s="3974"/>
      <c r="H445" s="2545"/>
      <c r="I445" s="2552"/>
      <c r="J445" s="2553">
        <f>J440+J444</f>
        <v>58887</v>
      </c>
    </row>
    <row r="446" spans="1:12" ht="35.1" customHeight="1">
      <c r="A446" s="2539"/>
      <c r="B446" s="2531">
        <f>B423</f>
        <v>0.19614999999999999</v>
      </c>
      <c r="C446" s="2551"/>
      <c r="D446" s="3978" t="s">
        <v>1881</v>
      </c>
      <c r="E446" s="3978"/>
      <c r="F446" s="3978"/>
      <c r="G446" s="3978"/>
      <c r="H446" s="2545">
        <f>J445</f>
        <v>58887</v>
      </c>
      <c r="I446" s="2554"/>
      <c r="J446" s="2555">
        <f>H446*B446</f>
        <v>11550.68505</v>
      </c>
    </row>
    <row r="447" spans="1:12" ht="20.100000000000001" customHeight="1">
      <c r="A447" s="2539"/>
      <c r="B447" s="2532">
        <f>'Input Data'!$E$24</f>
        <v>0.1</v>
      </c>
      <c r="C447" s="2533" t="s">
        <v>1220</v>
      </c>
      <c r="D447" s="3974"/>
      <c r="E447" s="3974"/>
      <c r="F447" s="3974"/>
      <c r="G447" s="3974"/>
      <c r="H447" s="2545">
        <f>J446+J444+J440</f>
        <v>70437.68505</v>
      </c>
      <c r="I447" s="2554"/>
      <c r="J447" s="2555">
        <f>H447*B447</f>
        <v>7043.768505</v>
      </c>
    </row>
    <row r="448" spans="1:12" ht="20.100000000000001" customHeight="1">
      <c r="A448" s="2539"/>
      <c r="B448" s="2545"/>
      <c r="C448" s="2551"/>
      <c r="D448" s="3974"/>
      <c r="E448" s="3974"/>
      <c r="F448" s="3974"/>
      <c r="G448" s="3974"/>
      <c r="H448" s="2545"/>
      <c r="I448" s="2554"/>
      <c r="J448" s="2553"/>
    </row>
    <row r="449" spans="1:11" ht="20.100000000000001" customHeight="1">
      <c r="A449" s="2539"/>
      <c r="B449" s="2545">
        <v>1</v>
      </c>
      <c r="C449" s="2551" t="s">
        <v>66</v>
      </c>
      <c r="D449" s="3976" t="str">
        <f>CONCATENATE("TOTAL Cost for ",B449,"  ",C449,"  =  (A+B+C+D)",)</f>
        <v>TOTAL Cost for 1  MT  =  (A+B+C+D)</v>
      </c>
      <c r="E449" s="3976"/>
      <c r="F449" s="3976"/>
      <c r="G449" s="3976"/>
      <c r="H449" s="2545"/>
      <c r="I449" s="2545"/>
      <c r="J449" s="2555">
        <f>SUM(J445:J447)</f>
        <v>77481.453555</v>
      </c>
    </row>
    <row r="450" spans="1:11" ht="20.100000000000001" customHeight="1">
      <c r="A450" s="2539"/>
      <c r="B450" s="2545"/>
      <c r="C450" s="2545"/>
      <c r="D450" s="3976" t="str">
        <f>CONCATENATE("Rate per  1  ",C449)</f>
        <v>Rate per  1  MT</v>
      </c>
      <c r="E450" s="3976"/>
      <c r="F450" s="3976"/>
      <c r="G450" s="3976"/>
      <c r="H450" s="2545"/>
      <c r="I450" s="2545"/>
      <c r="J450" s="2546">
        <f>J449/B449</f>
        <v>77481.453555</v>
      </c>
    </row>
    <row r="451" spans="1:11" ht="20.100000000000001" customHeight="1">
      <c r="A451" s="2539"/>
      <c r="B451" s="2542"/>
      <c r="C451" s="2542"/>
      <c r="D451" s="3972" t="str">
        <f>D450</f>
        <v>Rate per  1  MT</v>
      </c>
      <c r="E451" s="3972"/>
      <c r="F451" s="3972"/>
      <c r="G451" s="3972"/>
      <c r="H451" s="2545"/>
      <c r="I451" s="2545"/>
      <c r="J451" s="2549">
        <f>ROUND(J450,2)</f>
        <v>77481.45</v>
      </c>
      <c r="K451" s="2506">
        <v>58243</v>
      </c>
    </row>
    <row r="452" spans="1:11" ht="20.100000000000001" customHeight="1">
      <c r="A452" s="2539"/>
      <c r="B452" s="2542"/>
      <c r="C452" s="2542"/>
      <c r="D452" s="2571"/>
      <c r="E452" s="2571"/>
      <c r="F452" s="2571"/>
      <c r="G452" s="2571"/>
      <c r="H452" s="2545"/>
      <c r="I452" s="2545"/>
      <c r="J452" s="2549"/>
    </row>
    <row r="453" spans="1:11" ht="33.6" customHeight="1">
      <c r="A453" s="2515">
        <f>A431+1</f>
        <v>14</v>
      </c>
      <c r="B453" s="3971" t="s">
        <v>231</v>
      </c>
      <c r="C453" s="3971"/>
      <c r="D453" s="3971"/>
      <c r="E453" s="3971"/>
      <c r="F453" s="3971"/>
      <c r="G453" s="3971"/>
      <c r="H453" s="3971"/>
      <c r="I453" s="3971"/>
      <c r="J453" s="3971"/>
    </row>
    <row r="454" spans="1:11" ht="20.100000000000001" customHeight="1">
      <c r="A454" s="2572"/>
      <c r="B454" s="2540"/>
      <c r="C454" s="2540"/>
      <c r="D454" s="3972" t="s">
        <v>1900</v>
      </c>
      <c r="E454" s="3972"/>
      <c r="F454" s="3972"/>
      <c r="G454" s="3972"/>
      <c r="H454" s="2540"/>
      <c r="I454" s="2540"/>
      <c r="J454" s="2541"/>
    </row>
    <row r="455" spans="1:11" ht="20.100000000000001" customHeight="1">
      <c r="A455" s="2572"/>
      <c r="B455" s="2540"/>
      <c r="C455" s="2540"/>
      <c r="D455" s="3973" t="s">
        <v>233</v>
      </c>
      <c r="E455" s="3973"/>
      <c r="F455" s="3973"/>
      <c r="G455" s="3973"/>
      <c r="H455" s="2540"/>
      <c r="I455" s="2540"/>
      <c r="J455" s="2541"/>
    </row>
    <row r="456" spans="1:11" ht="20.100000000000001" customHeight="1">
      <c r="A456" s="2572"/>
      <c r="B456" s="2540"/>
      <c r="C456" s="2543"/>
      <c r="D456" s="3974" t="s">
        <v>12</v>
      </c>
      <c r="E456" s="3974"/>
      <c r="F456" s="3974"/>
      <c r="G456" s="3974"/>
      <c r="H456" s="2540"/>
      <c r="I456" s="2540"/>
      <c r="J456" s="2541"/>
    </row>
    <row r="457" spans="1:11" ht="20.100000000000001" customHeight="1">
      <c r="A457" s="2572"/>
      <c r="B457" s="2542">
        <v>0.03</v>
      </c>
      <c r="C457" s="2544" t="s">
        <v>13</v>
      </c>
      <c r="D457" s="3975" t="s">
        <v>156</v>
      </c>
      <c r="E457" s="3975"/>
      <c r="F457" s="3975"/>
      <c r="G457" s="3975"/>
      <c r="H457" s="2545">
        <f>'SSR-rates'!K$58</f>
        <v>575</v>
      </c>
      <c r="I457" s="2542">
        <v>1</v>
      </c>
      <c r="J457" s="2546">
        <f>ROUND(B457*H457,2)</f>
        <v>17.25</v>
      </c>
    </row>
    <row r="458" spans="1:11" ht="20.100000000000001" customHeight="1">
      <c r="A458" s="2572"/>
      <c r="B458" s="2542">
        <v>0.01</v>
      </c>
      <c r="C458" s="2544" t="s">
        <v>13</v>
      </c>
      <c r="D458" s="3975" t="s">
        <v>236</v>
      </c>
      <c r="E458" s="3975"/>
      <c r="F458" s="3975"/>
      <c r="G458" s="3975"/>
      <c r="H458" s="2545">
        <v>645</v>
      </c>
      <c r="I458" s="2542">
        <v>1</v>
      </c>
      <c r="J458" s="2546">
        <f>ROUND(B458*H458,2)</f>
        <v>6.45</v>
      </c>
    </row>
    <row r="459" spans="1:11" ht="20.100000000000001" customHeight="1">
      <c r="A459" s="2572"/>
      <c r="B459" s="2542">
        <v>0.02</v>
      </c>
      <c r="C459" s="2544" t="s">
        <v>13</v>
      </c>
      <c r="D459" s="3975" t="s">
        <v>188</v>
      </c>
      <c r="E459" s="3975"/>
      <c r="F459" s="3975"/>
      <c r="G459" s="3975"/>
      <c r="H459" s="2545">
        <f>'SSR-rates'!K$92</f>
        <v>640</v>
      </c>
      <c r="I459" s="2542">
        <v>1</v>
      </c>
      <c r="J459" s="2546">
        <f>ROUND(B459*H459,2)</f>
        <v>12.8</v>
      </c>
    </row>
    <row r="460" spans="1:11" ht="20.100000000000001" customHeight="1">
      <c r="A460" s="2572"/>
      <c r="B460" s="2542">
        <v>0.22</v>
      </c>
      <c r="C460" s="2544" t="s">
        <v>13</v>
      </c>
      <c r="D460" s="3975" t="s">
        <v>59</v>
      </c>
      <c r="E460" s="3975"/>
      <c r="F460" s="3975"/>
      <c r="G460" s="3975"/>
      <c r="H460" s="2545">
        <f>'SSR-rates'!K$60</f>
        <v>575</v>
      </c>
      <c r="I460" s="2542">
        <v>1</v>
      </c>
      <c r="J460" s="2546">
        <f>ROUND(B460*H460,2)</f>
        <v>126.5</v>
      </c>
    </row>
    <row r="461" spans="1:11" ht="20.100000000000001" customHeight="1">
      <c r="A461" s="2572"/>
      <c r="B461" s="2525">
        <f>'Input Data'!$D$23</f>
        <v>0</v>
      </c>
      <c r="C461" s="2526"/>
      <c r="D461" s="2517" t="s">
        <v>17</v>
      </c>
      <c r="E461" s="2517"/>
      <c r="F461" s="2523"/>
      <c r="G461" s="2523"/>
      <c r="H461" s="2522">
        <f>SUM(J457:J460)</f>
        <v>163</v>
      </c>
      <c r="I461" s="2505"/>
      <c r="J461" s="2524">
        <f>B461*H461</f>
        <v>0</v>
      </c>
    </row>
    <row r="462" spans="1:11" ht="20.100000000000001" customHeight="1">
      <c r="A462" s="2572"/>
      <c r="B462" s="2542"/>
      <c r="C462" s="2547"/>
      <c r="D462" s="3976" t="s">
        <v>18</v>
      </c>
      <c r="E462" s="3976"/>
      <c r="F462" s="3976"/>
      <c r="G462" s="3976"/>
      <c r="H462" s="2542"/>
      <c r="I462" s="2548" t="s">
        <v>19</v>
      </c>
      <c r="J462" s="2549">
        <f>SUM(J457:J461)</f>
        <v>163</v>
      </c>
    </row>
    <row r="463" spans="1:11" ht="20.100000000000001" customHeight="1">
      <c r="A463" s="2572"/>
      <c r="B463" s="2542"/>
      <c r="C463" s="2550"/>
      <c r="D463" s="3974" t="s">
        <v>189</v>
      </c>
      <c r="E463" s="3974"/>
      <c r="F463" s="3974"/>
      <c r="G463" s="3974"/>
      <c r="H463" s="2542"/>
      <c r="I463" s="2542"/>
      <c r="J463" s="2546"/>
    </row>
    <row r="464" spans="1:11" s="2510" customFormat="1" ht="33.75" customHeight="1">
      <c r="A464" s="2573"/>
      <c r="B464" s="2574">
        <f>4/1000</f>
        <v>4.0000000000000001E-3</v>
      </c>
      <c r="C464" s="2563" t="s">
        <v>66</v>
      </c>
      <c r="D464" s="3981" t="s">
        <v>1901</v>
      </c>
      <c r="E464" s="3981"/>
      <c r="F464" s="3981"/>
      <c r="G464" s="3981"/>
      <c r="H464" s="2552">
        <f>lead!J38</f>
        <v>60000</v>
      </c>
      <c r="I464" s="2545">
        <v>1</v>
      </c>
      <c r="J464" s="2555">
        <f>ROUND(B464*H464,2)</f>
        <v>240</v>
      </c>
    </row>
    <row r="465" spans="1:10" s="2510" customFormat="1" ht="36.75" customHeight="1">
      <c r="A465" s="2573"/>
      <c r="B465" s="2545">
        <v>6</v>
      </c>
      <c r="C465" s="2563" t="s">
        <v>106</v>
      </c>
      <c r="D465" s="3982" t="s">
        <v>1902</v>
      </c>
      <c r="E465" s="3982"/>
      <c r="F465" s="3982"/>
      <c r="G465" s="3982"/>
      <c r="H465" s="2522"/>
      <c r="I465" s="2545">
        <v>1</v>
      </c>
      <c r="J465" s="2555">
        <f>H465*B465</f>
        <v>0</v>
      </c>
    </row>
    <row r="466" spans="1:10" s="2510" customFormat="1" ht="35.25" customHeight="1">
      <c r="A466" s="2573"/>
      <c r="B466" s="2545">
        <v>2</v>
      </c>
      <c r="C466" s="2563" t="s">
        <v>107</v>
      </c>
      <c r="D466" s="3982" t="s">
        <v>1903</v>
      </c>
      <c r="E466" s="3982"/>
      <c r="F466" s="3982"/>
      <c r="G466" s="3982"/>
      <c r="H466" s="2522">
        <f>+'SSR-rates'!$K$124</f>
        <v>935</v>
      </c>
      <c r="I466" s="2545">
        <v>1</v>
      </c>
      <c r="J466" s="2555">
        <f>H466*B466</f>
        <v>1870</v>
      </c>
    </row>
    <row r="467" spans="1:10" s="2510" customFormat="1" ht="20.100000000000001" customHeight="1">
      <c r="A467" s="2573"/>
      <c r="B467" s="2545">
        <v>2</v>
      </c>
      <c r="C467" s="2563" t="s">
        <v>241</v>
      </c>
      <c r="D467" s="3983" t="s">
        <v>1904</v>
      </c>
      <c r="E467" s="3983"/>
      <c r="F467" s="3983"/>
      <c r="G467" s="3983"/>
      <c r="H467" s="2552">
        <v>195</v>
      </c>
      <c r="I467" s="2545">
        <v>1</v>
      </c>
      <c r="J467" s="2555">
        <f>B467*H467</f>
        <v>390</v>
      </c>
    </row>
    <row r="468" spans="1:10" ht="20.100000000000001" customHeight="1">
      <c r="A468" s="2572"/>
      <c r="B468" s="2542"/>
      <c r="C468" s="2547"/>
      <c r="D468" s="3976" t="s">
        <v>18</v>
      </c>
      <c r="E468" s="3976"/>
      <c r="F468" s="3976"/>
      <c r="G468" s="3976"/>
      <c r="H468" s="2542"/>
      <c r="I468" s="2548" t="s">
        <v>25</v>
      </c>
      <c r="J468" s="2549">
        <f>SUM(J464:J467)</f>
        <v>2500</v>
      </c>
    </row>
    <row r="469" spans="1:10" ht="20.100000000000001" customHeight="1">
      <c r="A469" s="2572"/>
      <c r="B469" s="2545"/>
      <c r="C469" s="2551"/>
      <c r="D469" s="3974" t="s">
        <v>26</v>
      </c>
      <c r="E469" s="3974"/>
      <c r="F469" s="3974"/>
      <c r="G469" s="3974"/>
      <c r="H469" s="2545"/>
      <c r="I469" s="2552"/>
      <c r="J469" s="2553">
        <f>J462+J468</f>
        <v>2663</v>
      </c>
    </row>
    <row r="470" spans="1:10" ht="45" customHeight="1">
      <c r="A470" s="2572"/>
      <c r="B470" s="2545">
        <v>5</v>
      </c>
      <c r="C470" s="2551" t="s">
        <v>29</v>
      </c>
      <c r="D470" s="3979" t="s">
        <v>243</v>
      </c>
      <c r="E470" s="3979"/>
      <c r="F470" s="3979"/>
      <c r="G470" s="3979"/>
      <c r="H470" s="2545">
        <f>J469</f>
        <v>2663</v>
      </c>
      <c r="I470" s="2554"/>
      <c r="J470" s="2555">
        <f>ROUND(B470*H470/100,2)</f>
        <v>133.15</v>
      </c>
    </row>
    <row r="471" spans="1:10" ht="20.100000000000001" customHeight="1">
      <c r="A471" s="2572"/>
      <c r="B471" s="2531">
        <f>B446</f>
        <v>0.19614999999999999</v>
      </c>
      <c r="C471" s="2551"/>
      <c r="D471" s="3974" t="s">
        <v>193</v>
      </c>
      <c r="E471" s="3974"/>
      <c r="F471" s="3974"/>
      <c r="G471" s="3974"/>
      <c r="H471" s="2545">
        <f>J469+J470</f>
        <v>2796.15</v>
      </c>
      <c r="I471" s="2554"/>
      <c r="J471" s="2555">
        <f>H471*B471</f>
        <v>548.46482249999997</v>
      </c>
    </row>
    <row r="472" spans="1:10" ht="20.100000000000001" customHeight="1">
      <c r="A472" s="2572"/>
      <c r="B472" s="2532">
        <f>'Input Data'!$E$24</f>
        <v>0.1</v>
      </c>
      <c r="C472" s="2533" t="s">
        <v>1220</v>
      </c>
      <c r="D472" s="2564"/>
      <c r="E472" s="2564"/>
      <c r="F472" s="2564"/>
      <c r="G472" s="2564"/>
      <c r="H472" s="2545">
        <f>J471+J470+J468+J462</f>
        <v>3344.6148224999997</v>
      </c>
      <c r="I472" s="2554"/>
      <c r="J472" s="2555">
        <f>H472*B472</f>
        <v>334.46148225000002</v>
      </c>
    </row>
    <row r="473" spans="1:10" ht="20.100000000000001" customHeight="1">
      <c r="A473" s="2572"/>
      <c r="B473" s="2545">
        <v>1</v>
      </c>
      <c r="C473" s="2551" t="s">
        <v>244</v>
      </c>
      <c r="D473" s="3976" t="str">
        <f>CONCATENATE("TOTAL Cost for ",B473,"  ",C473,"  =  (A+B+C)",)</f>
        <v>TOTAL Cost for 1  NO  =  (A+B+C)</v>
      </c>
      <c r="E473" s="3976"/>
      <c r="F473" s="3976"/>
      <c r="G473" s="3976"/>
      <c r="H473" s="2545"/>
      <c r="I473" s="2545"/>
      <c r="J473" s="2555">
        <f>SUM(J469:J472)</f>
        <v>3679.0763047500004</v>
      </c>
    </row>
    <row r="474" spans="1:10" ht="20.100000000000001" customHeight="1">
      <c r="A474" s="2572"/>
      <c r="B474" s="2545"/>
      <c r="C474" s="2545"/>
      <c r="D474" s="3976" t="str">
        <f>CONCATENATE("Rate per  1  ",C473)</f>
        <v>Rate per  1  NO</v>
      </c>
      <c r="E474" s="3976"/>
      <c r="F474" s="3976"/>
      <c r="G474" s="3976"/>
      <c r="H474" s="2545"/>
      <c r="I474" s="2545"/>
      <c r="J474" s="2546">
        <f>J473/B473</f>
        <v>3679.0763047500004</v>
      </c>
    </row>
    <row r="475" spans="1:10" ht="20.100000000000001" customHeight="1">
      <c r="A475" s="2572"/>
      <c r="B475" s="2542"/>
      <c r="C475" s="2542"/>
      <c r="D475" s="3972" t="str">
        <f>D474</f>
        <v>Rate per  1  NO</v>
      </c>
      <c r="E475" s="3972"/>
      <c r="F475" s="3972"/>
      <c r="G475" s="3972"/>
      <c r="H475" s="2545"/>
      <c r="I475" s="2545"/>
      <c r="J475" s="2549">
        <f>ROUND(J474,2)</f>
        <v>3679.08</v>
      </c>
    </row>
    <row r="476" spans="1:10" ht="127.8" customHeight="1">
      <c r="A476" s="2536">
        <f>A453+1</f>
        <v>15</v>
      </c>
      <c r="B476" s="3969" t="s">
        <v>1066</v>
      </c>
      <c r="C476" s="3969"/>
      <c r="D476" s="3969"/>
      <c r="E476" s="3969"/>
      <c r="F476" s="3969"/>
      <c r="G476" s="3969"/>
      <c r="H476" s="3969"/>
      <c r="I476" s="3969"/>
      <c r="J476" s="3969"/>
    </row>
    <row r="477" spans="1:10" ht="20.100000000000001" customHeight="1">
      <c r="A477" s="2523"/>
      <c r="B477" s="2505"/>
      <c r="C477" s="2517"/>
      <c r="D477" s="2518" t="s">
        <v>10</v>
      </c>
      <c r="E477" s="2517"/>
      <c r="F477" s="2530" t="s">
        <v>1905</v>
      </c>
      <c r="G477" s="2517"/>
      <c r="H477" s="2517"/>
      <c r="I477" s="2517"/>
      <c r="J477" s="2517"/>
    </row>
    <row r="478" spans="1:10" ht="20.100000000000001" customHeight="1">
      <c r="A478" s="2523"/>
      <c r="B478" s="2505"/>
      <c r="C478" s="2517"/>
      <c r="D478" s="2518" t="s">
        <v>56</v>
      </c>
      <c r="E478" s="2517"/>
      <c r="F478" s="2517"/>
      <c r="G478" s="2517"/>
      <c r="H478" s="2517"/>
      <c r="I478" s="2517"/>
      <c r="J478" s="2517"/>
    </row>
    <row r="479" spans="1:10" ht="20.100000000000001" customHeight="1">
      <c r="A479" s="2523"/>
      <c r="B479" s="2520" t="s">
        <v>36</v>
      </c>
      <c r="C479" s="2521" t="s">
        <v>37</v>
      </c>
      <c r="D479" s="2517"/>
      <c r="E479" s="2517"/>
      <c r="F479" s="2517"/>
      <c r="G479" s="2517"/>
      <c r="H479" s="2517"/>
      <c r="I479" s="2517"/>
      <c r="J479" s="2517"/>
    </row>
    <row r="480" spans="1:10" ht="20.100000000000001" customHeight="1">
      <c r="A480" s="2523"/>
      <c r="B480" s="2522">
        <v>0.86</v>
      </c>
      <c r="C480" s="2523" t="s">
        <v>57</v>
      </c>
      <c r="D480" s="2518" t="s">
        <v>156</v>
      </c>
      <c r="E480" s="2517"/>
      <c r="F480" s="2517"/>
      <c r="G480" s="2517"/>
      <c r="H480" s="2522">
        <f>'SSR-rates'!$K$58</f>
        <v>575</v>
      </c>
      <c r="I480" s="2505" t="s">
        <v>38</v>
      </c>
      <c r="J480" s="2518">
        <f>ROUND(B480*H480,2)</f>
        <v>494.5</v>
      </c>
    </row>
    <row r="481" spans="1:10" ht="20.100000000000001" customHeight="1">
      <c r="A481" s="2523"/>
      <c r="B481" s="2522">
        <v>1.5</v>
      </c>
      <c r="C481" s="2523" t="s">
        <v>57</v>
      </c>
      <c r="D481" s="2518" t="s">
        <v>58</v>
      </c>
      <c r="E481" s="2517"/>
      <c r="F481" s="2517"/>
      <c r="G481" s="2517"/>
      <c r="H481" s="2522">
        <f>+'SSR-rates'!$K$96</f>
        <v>645</v>
      </c>
      <c r="I481" s="2505" t="s">
        <v>38</v>
      </c>
      <c r="J481" s="2518">
        <f>ROUND(B481*H481,2)</f>
        <v>967.5</v>
      </c>
    </row>
    <row r="482" spans="1:10" ht="20.100000000000001" customHeight="1">
      <c r="A482" s="2523"/>
      <c r="B482" s="2522">
        <v>20</v>
      </c>
      <c r="C482" s="2523" t="s">
        <v>57</v>
      </c>
      <c r="D482" s="2518" t="s">
        <v>59</v>
      </c>
      <c r="E482" s="2517"/>
      <c r="F482" s="2517"/>
      <c r="G482" s="2517"/>
      <c r="H482" s="2522">
        <f>'SSR-rates'!$K$60</f>
        <v>575</v>
      </c>
      <c r="I482" s="2505" t="s">
        <v>38</v>
      </c>
      <c r="J482" s="2518">
        <f>ROUND(B482*H482,2)</f>
        <v>11500</v>
      </c>
    </row>
    <row r="483" spans="1:10" ht="20.100000000000001" customHeight="1">
      <c r="A483" s="2530"/>
      <c r="B483" s="2525">
        <f>'Input Data'!$D$23</f>
        <v>0</v>
      </c>
      <c r="C483" s="2526"/>
      <c r="D483" s="2517" t="s">
        <v>17</v>
      </c>
      <c r="E483" s="2517"/>
      <c r="F483" s="2523"/>
      <c r="G483" s="2523"/>
      <c r="H483" s="2522">
        <f>SUM(J479:J482)</f>
        <v>12962</v>
      </c>
      <c r="I483" s="2505"/>
      <c r="J483" s="2518">
        <f>B483*H483</f>
        <v>0</v>
      </c>
    </row>
    <row r="484" spans="1:10" ht="20.100000000000001" customHeight="1">
      <c r="A484" s="2523"/>
      <c r="B484" s="2522"/>
      <c r="C484" s="2523"/>
      <c r="D484" s="2518" t="s">
        <v>60</v>
      </c>
      <c r="E484" s="2517"/>
      <c r="F484" s="2517"/>
      <c r="G484" s="2517"/>
      <c r="H484" s="2522"/>
      <c r="I484" s="2522"/>
      <c r="J484" s="2518">
        <f>SUM(J480:J483)</f>
        <v>12962</v>
      </c>
    </row>
    <row r="485" spans="1:10" ht="20.100000000000001" customHeight="1">
      <c r="A485" s="2523"/>
      <c r="B485" s="2520" t="s">
        <v>39</v>
      </c>
      <c r="C485" s="2521" t="s">
        <v>61</v>
      </c>
      <c r="D485" s="2517"/>
      <c r="E485" s="2517"/>
      <c r="F485" s="2517"/>
      <c r="G485" s="2517"/>
      <c r="H485" s="2522"/>
      <c r="I485" s="2522"/>
      <c r="J485" s="2518"/>
    </row>
    <row r="486" spans="1:10" ht="20.100000000000001" customHeight="1">
      <c r="A486" s="2523"/>
      <c r="B486" s="2522">
        <v>8.1</v>
      </c>
      <c r="C486" s="2523" t="s">
        <v>31</v>
      </c>
      <c r="D486" s="2517" t="s">
        <v>63</v>
      </c>
      <c r="E486" s="2517"/>
      <c r="F486" s="2517"/>
      <c r="G486" s="2517"/>
      <c r="H486" s="2522">
        <f>lead!$J$16</f>
        <v>1889.8641904678079</v>
      </c>
      <c r="I486" s="2522" t="s">
        <v>31</v>
      </c>
      <c r="J486" s="2518">
        <f>ROUND(B486*H486,2)</f>
        <v>15307.9</v>
      </c>
    </row>
    <row r="487" spans="1:10" ht="20.100000000000001" customHeight="1">
      <c r="A487" s="2523"/>
      <c r="B487" s="2522">
        <v>5.4</v>
      </c>
      <c r="C487" s="2523" t="s">
        <v>31</v>
      </c>
      <c r="D487" s="2517" t="s">
        <v>64</v>
      </c>
      <c r="E487" s="2517"/>
      <c r="F487" s="2517"/>
      <c r="G487" s="2517"/>
      <c r="H487" s="2522">
        <f>lead!$J$18</f>
        <v>1638.8641904678079</v>
      </c>
      <c r="I487" s="2522" t="s">
        <v>31</v>
      </c>
      <c r="J487" s="2518">
        <f>ROUND(B487*H487,2)</f>
        <v>8849.8700000000008</v>
      </c>
    </row>
    <row r="488" spans="1:10" ht="45" customHeight="1">
      <c r="A488" s="2523"/>
      <c r="B488" s="2529">
        <f>6.75/2</f>
        <v>3.375</v>
      </c>
      <c r="C488" s="2523" t="s">
        <v>31</v>
      </c>
      <c r="D488" s="3967" t="s">
        <v>1716</v>
      </c>
      <c r="E488" s="3967"/>
      <c r="F488" s="3967"/>
      <c r="G488" s="3967"/>
      <c r="H488" s="2528">
        <f>lead!$J$31</f>
        <v>1760.9684020595876</v>
      </c>
      <c r="I488" s="2522" t="s">
        <v>31</v>
      </c>
      <c r="J488" s="2524">
        <f>ROUND(B488*H488,2)</f>
        <v>5943.27</v>
      </c>
    </row>
    <row r="489" spans="1:10" ht="35.1" customHeight="1">
      <c r="A489" s="2523"/>
      <c r="B489" s="2529">
        <f>6.75/2</f>
        <v>3.375</v>
      </c>
      <c r="C489" s="2523" t="s">
        <v>31</v>
      </c>
      <c r="D489" s="3967" t="s">
        <v>1717</v>
      </c>
      <c r="E489" s="3967"/>
      <c r="F489" s="3967"/>
      <c r="G489" s="3967"/>
      <c r="H489" s="2528">
        <f>lead!$J$33</f>
        <v>1760.9684020595876</v>
      </c>
      <c r="I489" s="2522" t="s">
        <v>31</v>
      </c>
      <c r="J489" s="2524">
        <f>ROUND(B489*H489,2)</f>
        <v>5943.27</v>
      </c>
    </row>
    <row r="490" spans="1:10" ht="20.100000000000001" customHeight="1">
      <c r="A490" s="2523"/>
      <c r="B490" s="2529">
        <v>6.1</v>
      </c>
      <c r="C490" s="2523" t="s">
        <v>66</v>
      </c>
      <c r="D490" s="2518" t="s">
        <v>67</v>
      </c>
      <c r="E490" s="2517"/>
      <c r="F490" s="2517"/>
      <c r="G490" s="2517"/>
      <c r="H490" s="2522">
        <f>lead!$J$36</f>
        <v>5000</v>
      </c>
      <c r="I490" s="2522" t="s">
        <v>66</v>
      </c>
      <c r="J490" s="2518">
        <f>ROUND(B490*H490,2)</f>
        <v>30500</v>
      </c>
    </row>
    <row r="491" spans="1:10" ht="20.100000000000001" customHeight="1">
      <c r="A491" s="2523"/>
      <c r="B491" s="2522"/>
      <c r="C491" s="2517"/>
      <c r="D491" s="2518" t="s">
        <v>60</v>
      </c>
      <c r="E491" s="2517"/>
      <c r="F491" s="2517"/>
      <c r="G491" s="2517"/>
      <c r="H491" s="2522"/>
      <c r="I491" s="2522"/>
      <c r="J491" s="2518">
        <f>SUM(J486:J490)</f>
        <v>66544.31</v>
      </c>
    </row>
    <row r="492" spans="1:10" ht="20.100000000000001" customHeight="1">
      <c r="A492" s="2523"/>
      <c r="B492" s="2520" t="s">
        <v>27</v>
      </c>
      <c r="C492" s="2521" t="s">
        <v>40</v>
      </c>
      <c r="D492" s="2517"/>
      <c r="E492" s="2517"/>
      <c r="F492" s="2517"/>
      <c r="G492" s="2517"/>
      <c r="H492" s="2522"/>
      <c r="I492" s="2522"/>
      <c r="J492" s="2518"/>
    </row>
    <row r="493" spans="1:10" ht="20.100000000000001" customHeight="1">
      <c r="A493" s="2523"/>
      <c r="B493" s="2522">
        <v>6</v>
      </c>
      <c r="C493" s="2523" t="s">
        <v>41</v>
      </c>
      <c r="D493" s="2518" t="s">
        <v>68</v>
      </c>
      <c r="E493" s="2517"/>
      <c r="F493" s="2517"/>
      <c r="G493" s="2517"/>
      <c r="H493" s="2522">
        <f>+'SSR-rates'!$K$88</f>
        <v>697.9</v>
      </c>
      <c r="I493" s="2522" t="s">
        <v>41</v>
      </c>
      <c r="J493" s="2518">
        <f t="shared" ref="J493:J494" si="7">ROUND(B493*H493,2)</f>
        <v>4187.3999999999996</v>
      </c>
    </row>
    <row r="494" spans="1:10" ht="20.100000000000001" customHeight="1">
      <c r="A494" s="2523"/>
      <c r="B494" s="2522">
        <v>6</v>
      </c>
      <c r="C494" s="2523" t="s">
        <v>41</v>
      </c>
      <c r="D494" s="2518" t="s">
        <v>1859</v>
      </c>
      <c r="E494" s="2517"/>
      <c r="F494" s="2517"/>
      <c r="G494" s="2517"/>
      <c r="H494" s="2522">
        <f>+'SSR-rates'!$K$87</f>
        <v>1323.5</v>
      </c>
      <c r="I494" s="2522" t="s">
        <v>41</v>
      </c>
      <c r="J494" s="2518">
        <f t="shared" si="7"/>
        <v>7941</v>
      </c>
    </row>
    <row r="495" spans="1:10" ht="20.100000000000001" customHeight="1">
      <c r="A495" s="2523"/>
      <c r="B495" s="2522"/>
      <c r="C495" s="2526"/>
      <c r="D495" s="2518" t="s">
        <v>60</v>
      </c>
      <c r="E495" s="2517"/>
      <c r="F495" s="2517"/>
      <c r="G495" s="2517"/>
      <c r="H495" s="2522"/>
      <c r="I495" s="2522"/>
      <c r="J495" s="2518">
        <f>SUM(J493:J494)</f>
        <v>12128.4</v>
      </c>
    </row>
    <row r="496" spans="1:10" ht="20.100000000000001" customHeight="1">
      <c r="A496" s="2523"/>
      <c r="B496" s="2520" t="s">
        <v>45</v>
      </c>
      <c r="C496" s="2521" t="s">
        <v>71</v>
      </c>
      <c r="D496" s="2517"/>
      <c r="E496" s="2517"/>
      <c r="F496" s="2517"/>
      <c r="G496" s="2517"/>
      <c r="H496" s="2522"/>
      <c r="I496" s="2522"/>
      <c r="J496" s="2518"/>
    </row>
    <row r="497" spans="1:10" ht="20.100000000000001" customHeight="1">
      <c r="A497" s="2523"/>
      <c r="B497" s="2522">
        <v>2</v>
      </c>
      <c r="C497" s="2523" t="s">
        <v>29</v>
      </c>
      <c r="D497" s="2517" t="s">
        <v>1906</v>
      </c>
      <c r="E497" s="2517"/>
      <c r="F497" s="2517"/>
      <c r="G497" s="2517"/>
      <c r="H497" s="2522">
        <f>J484+J491+J495</f>
        <v>91634.709999999992</v>
      </c>
      <c r="I497" s="2505" t="s">
        <v>73</v>
      </c>
      <c r="J497" s="2518">
        <f>ROUND(B497*H497/100,2)</f>
        <v>1832.69</v>
      </c>
    </row>
    <row r="498" spans="1:10" ht="20.100000000000001" customHeight="1">
      <c r="A498" s="2530"/>
      <c r="B498" s="2520" t="s">
        <v>47</v>
      </c>
      <c r="C498" s="2530" t="s">
        <v>1238</v>
      </c>
      <c r="D498" s="2517"/>
      <c r="E498" s="2517"/>
      <c r="F498" s="2523"/>
      <c r="G498" s="2523"/>
      <c r="H498" s="2523"/>
      <c r="I498" s="2523"/>
      <c r="J498" s="2521"/>
    </row>
    <row r="499" spans="1:10" ht="35.1" customHeight="1">
      <c r="A499" s="2530"/>
      <c r="B499" s="2531">
        <f>B471</f>
        <v>0.19614999999999999</v>
      </c>
      <c r="C499" s="3970" t="str">
        <f>"Over head charges &amp; CP  "&amp;'Input Data'!$D$24*100&amp;"%  on (A) + (B)+(C)+(D)"</f>
        <v>Over head charges &amp; CP  13.615%  on (A) + (B)+(C)+(D)</v>
      </c>
      <c r="D499" s="3970"/>
      <c r="E499" s="3970"/>
      <c r="F499" s="3970"/>
      <c r="G499" s="3970"/>
      <c r="H499" s="2522">
        <f>J497+J495+J491+J484</f>
        <v>93467.4</v>
      </c>
      <c r="I499" s="2523"/>
      <c r="J499" s="2518">
        <f>H499*B499</f>
        <v>18333.630509999999</v>
      </c>
    </row>
    <row r="500" spans="1:10" ht="20.100000000000001" customHeight="1">
      <c r="A500" s="2530"/>
      <c r="B500" s="2532">
        <f>'Input Data'!$E$24</f>
        <v>0.1</v>
      </c>
      <c r="C500" s="2533" t="s">
        <v>1220</v>
      </c>
      <c r="D500" s="2528"/>
      <c r="E500" s="2528"/>
      <c r="F500" s="2528"/>
      <c r="G500" s="2528"/>
      <c r="H500" s="2522">
        <f>J499+J497+J495+J491+J484</f>
        <v>111801.03051</v>
      </c>
      <c r="I500" s="2523"/>
      <c r="J500" s="2518">
        <f>H500*B500</f>
        <v>11180.103051</v>
      </c>
    </row>
    <row r="501" spans="1:10" ht="20.100000000000001" customHeight="1">
      <c r="A501" s="2530"/>
      <c r="B501" s="2520" t="s">
        <v>76</v>
      </c>
      <c r="C501" s="2530" t="s">
        <v>77</v>
      </c>
      <c r="D501" s="2517"/>
      <c r="E501" s="2517"/>
      <c r="F501" s="2523"/>
      <c r="G501" s="2523"/>
      <c r="H501" s="2523"/>
      <c r="I501" s="2523"/>
      <c r="J501" s="2537">
        <f>J484+J491+J495+J497+J499+J500</f>
        <v>122981.133561</v>
      </c>
    </row>
    <row r="502" spans="1:10" ht="20.100000000000001" customHeight="1">
      <c r="A502" s="2523"/>
      <c r="B502" s="2522"/>
      <c r="C502" s="2523"/>
      <c r="D502" s="2521" t="s">
        <v>80</v>
      </c>
      <c r="E502" s="2517"/>
      <c r="F502" s="2517"/>
      <c r="G502" s="2517"/>
      <c r="H502" s="2522"/>
      <c r="I502" s="2522"/>
      <c r="J502" s="2537">
        <f>SUM(J501:J501)</f>
        <v>122981.133561</v>
      </c>
    </row>
    <row r="503" spans="1:10" ht="20.100000000000001" customHeight="1">
      <c r="A503" s="2523"/>
      <c r="B503" s="2522"/>
      <c r="C503" s="2523"/>
      <c r="D503" s="2518" t="s">
        <v>81</v>
      </c>
      <c r="E503" s="2517"/>
      <c r="F503" s="2517"/>
      <c r="G503" s="2517"/>
      <c r="H503" s="2522"/>
      <c r="I503" s="2522"/>
      <c r="J503" s="2518">
        <f>ROUND(J502,2)/15</f>
        <v>8198.7420000000002</v>
      </c>
    </row>
    <row r="504" spans="1:10" ht="20.100000000000001" customHeight="1">
      <c r="A504" s="2523"/>
      <c r="B504" s="2505"/>
      <c r="C504" s="2517"/>
      <c r="D504" s="2518" t="s">
        <v>52</v>
      </c>
      <c r="E504" s="2517"/>
      <c r="F504" s="2517"/>
      <c r="G504" s="2517"/>
      <c r="H504" s="2522"/>
      <c r="I504" s="2522"/>
      <c r="J504" s="2538">
        <f>ROUND(J503,2)</f>
        <v>8198.74</v>
      </c>
    </row>
    <row r="505" spans="1:10" ht="20.100000000000001" customHeight="1">
      <c r="A505" s="2523"/>
      <c r="B505" s="2505"/>
      <c r="C505" s="2517"/>
      <c r="D505" s="2518"/>
      <c r="E505" s="2517"/>
      <c r="F505" s="2517"/>
      <c r="G505" s="2517"/>
      <c r="H505" s="2522"/>
      <c r="I505" s="2522"/>
      <c r="J505" s="2527" t="s">
        <v>53</v>
      </c>
    </row>
    <row r="506" spans="1:10" ht="124.5" customHeight="1">
      <c r="A506" s="2515">
        <f>A476+1</f>
        <v>16</v>
      </c>
      <c r="B506" s="3969" t="s">
        <v>1065</v>
      </c>
      <c r="C506" s="3969"/>
      <c r="D506" s="3969"/>
      <c r="E506" s="3969"/>
      <c r="F506" s="3969"/>
      <c r="G506" s="3969"/>
      <c r="H506" s="3969"/>
      <c r="I506" s="3969"/>
      <c r="J506" s="3969"/>
    </row>
    <row r="507" spans="1:10" ht="20.100000000000001" customHeight="1">
      <c r="A507" s="2517"/>
      <c r="B507" s="2505"/>
      <c r="C507" s="2517"/>
      <c r="D507" s="2518" t="s">
        <v>10</v>
      </c>
      <c r="E507" s="2517"/>
      <c r="F507" s="2530" t="s">
        <v>148</v>
      </c>
      <c r="G507" s="2517"/>
      <c r="H507" s="2517"/>
      <c r="I507" s="2517"/>
      <c r="J507" s="2517"/>
    </row>
    <row r="508" spans="1:10" ht="20.100000000000001" customHeight="1">
      <c r="A508" s="2517"/>
      <c r="B508" s="2505"/>
      <c r="C508" s="2517"/>
      <c r="D508" s="2518" t="s">
        <v>56</v>
      </c>
      <c r="E508" s="2517"/>
      <c r="F508" s="2517"/>
      <c r="G508" s="2517"/>
      <c r="H508" s="2517"/>
      <c r="I508" s="2517"/>
      <c r="J508" s="2517"/>
    </row>
    <row r="509" spans="1:10" ht="20.100000000000001" customHeight="1">
      <c r="A509" s="2517"/>
      <c r="B509" s="2520" t="s">
        <v>36</v>
      </c>
      <c r="C509" s="2521" t="s">
        <v>37</v>
      </c>
      <c r="D509" s="2517"/>
      <c r="E509" s="2517"/>
      <c r="F509" s="2517"/>
      <c r="G509" s="2517"/>
      <c r="H509" s="2517"/>
      <c r="I509" s="2517"/>
      <c r="J509" s="2517"/>
    </row>
    <row r="510" spans="1:10" ht="20.100000000000001" customHeight="1">
      <c r="A510" s="2517"/>
      <c r="B510" s="2522">
        <v>0.86</v>
      </c>
      <c r="C510" s="2523" t="s">
        <v>57</v>
      </c>
      <c r="D510" s="2518" t="s">
        <v>14</v>
      </c>
      <c r="E510" s="2517"/>
      <c r="F510" s="2517"/>
      <c r="G510" s="2517"/>
      <c r="H510" s="2522">
        <f>'SSR-rates'!K$58</f>
        <v>575</v>
      </c>
      <c r="I510" s="2505" t="s">
        <v>38</v>
      </c>
      <c r="J510" s="2518">
        <f>ROUND(B510*H510,2)</f>
        <v>494.5</v>
      </c>
    </row>
    <row r="511" spans="1:10" ht="20.100000000000001" customHeight="1">
      <c r="A511" s="2517"/>
      <c r="B511" s="2522">
        <v>1.5</v>
      </c>
      <c r="C511" s="2523" t="s">
        <v>57</v>
      </c>
      <c r="D511" s="2518" t="s">
        <v>58</v>
      </c>
      <c r="E511" s="2517"/>
      <c r="F511" s="2517"/>
      <c r="G511" s="2517"/>
      <c r="H511" s="2522">
        <f>+'SSR-rates'!K96</f>
        <v>645</v>
      </c>
      <c r="I511" s="2505" t="s">
        <v>38</v>
      </c>
      <c r="J511" s="2518">
        <f>ROUND(B511*H511,2)</f>
        <v>967.5</v>
      </c>
    </row>
    <row r="512" spans="1:10" ht="20.100000000000001" customHeight="1">
      <c r="A512" s="2517"/>
      <c r="B512" s="2522">
        <v>20</v>
      </c>
      <c r="C512" s="2523" t="s">
        <v>57</v>
      </c>
      <c r="D512" s="2518" t="s">
        <v>59</v>
      </c>
      <c r="E512" s="2517"/>
      <c r="F512" s="2517"/>
      <c r="G512" s="2517"/>
      <c r="H512" s="2522">
        <f>'SSR-rates'!K$60</f>
        <v>575</v>
      </c>
      <c r="I512" s="2505" t="s">
        <v>38</v>
      </c>
      <c r="J512" s="2518">
        <f>ROUND(B512*H512,2)</f>
        <v>11500</v>
      </c>
    </row>
    <row r="513" spans="1:10" ht="20.100000000000001" customHeight="1">
      <c r="A513" s="2520"/>
      <c r="B513" s="2525">
        <f>'Input Data'!$D$23</f>
        <v>0</v>
      </c>
      <c r="C513" s="2526"/>
      <c r="D513" s="2517" t="s">
        <v>17</v>
      </c>
      <c r="E513" s="2517"/>
      <c r="F513" s="2523"/>
      <c r="G513" s="2523"/>
      <c r="H513" s="2522">
        <f>SUM(J510:J512)</f>
        <v>12962</v>
      </c>
      <c r="I513" s="2505"/>
      <c r="J513" s="2518">
        <f>B513*H513</f>
        <v>0</v>
      </c>
    </row>
    <row r="514" spans="1:10" ht="20.100000000000001" customHeight="1">
      <c r="A514" s="2517"/>
      <c r="B514" s="2522"/>
      <c r="C514" s="2517"/>
      <c r="D514" s="2518" t="s">
        <v>60</v>
      </c>
      <c r="E514" s="2517"/>
      <c r="F514" s="2517"/>
      <c r="G514" s="2517"/>
      <c r="H514" s="2522"/>
      <c r="I514" s="2522"/>
      <c r="J514" s="2518">
        <f>SUM(J510:J513)</f>
        <v>12962</v>
      </c>
    </row>
    <row r="515" spans="1:10" ht="20.100000000000001" customHeight="1">
      <c r="A515" s="2517"/>
      <c r="B515" s="2520" t="s">
        <v>39</v>
      </c>
      <c r="C515" s="2521" t="s">
        <v>61</v>
      </c>
      <c r="D515" s="2517"/>
      <c r="E515" s="2517"/>
      <c r="F515" s="2517"/>
      <c r="G515" s="2517"/>
      <c r="H515" s="2522"/>
      <c r="I515" s="2522"/>
      <c r="J515" s="2518"/>
    </row>
    <row r="516" spans="1:10" ht="20.100000000000001" customHeight="1">
      <c r="A516" s="2517"/>
      <c r="B516" s="2522">
        <v>8.1</v>
      </c>
      <c r="C516" s="2523" t="s">
        <v>31</v>
      </c>
      <c r="D516" s="2518" t="s">
        <v>62</v>
      </c>
      <c r="E516" s="2517"/>
      <c r="F516" s="2517"/>
      <c r="G516" s="2517"/>
      <c r="H516" s="2522">
        <f>+lead!$J$14</f>
        <v>1590.8641904678079</v>
      </c>
      <c r="I516" s="2522" t="s">
        <v>31</v>
      </c>
      <c r="J516" s="2518">
        <f t="shared" ref="J516:J521" si="8">ROUND(B516*H516,2)</f>
        <v>12886</v>
      </c>
    </row>
    <row r="517" spans="1:10" ht="20.100000000000001" customHeight="1">
      <c r="A517" s="2517"/>
      <c r="B517" s="2522">
        <v>4.05</v>
      </c>
      <c r="C517" s="2523" t="s">
        <v>31</v>
      </c>
      <c r="D517" s="2517" t="s">
        <v>63</v>
      </c>
      <c r="E517" s="2517"/>
      <c r="F517" s="2517"/>
      <c r="G517" s="2517"/>
      <c r="H517" s="2522">
        <f>lead!$J$16</f>
        <v>1889.8641904678079</v>
      </c>
      <c r="I517" s="2522" t="s">
        <v>31</v>
      </c>
      <c r="J517" s="2518">
        <f t="shared" si="8"/>
        <v>7653.95</v>
      </c>
    </row>
    <row r="518" spans="1:10" ht="20.100000000000001" customHeight="1">
      <c r="A518" s="2517"/>
      <c r="B518" s="2522">
        <v>1.35</v>
      </c>
      <c r="C518" s="2523" t="s">
        <v>31</v>
      </c>
      <c r="D518" s="2517" t="s">
        <v>64</v>
      </c>
      <c r="E518" s="2517"/>
      <c r="F518" s="2517"/>
      <c r="G518" s="2517"/>
      <c r="H518" s="2522">
        <f>+lead!$J$18</f>
        <v>1638.8641904678079</v>
      </c>
      <c r="I518" s="2522" t="s">
        <v>31</v>
      </c>
      <c r="J518" s="2518">
        <f t="shared" si="8"/>
        <v>2212.4699999999998</v>
      </c>
    </row>
    <row r="519" spans="1:10" ht="45" customHeight="1">
      <c r="A519" s="2517"/>
      <c r="B519" s="2529">
        <f>6.75/2</f>
        <v>3.375</v>
      </c>
      <c r="C519" s="2523" t="s">
        <v>31</v>
      </c>
      <c r="D519" s="3967" t="s">
        <v>1716</v>
      </c>
      <c r="E519" s="3967"/>
      <c r="F519" s="3967"/>
      <c r="G519" s="3967"/>
      <c r="H519" s="2528">
        <f>lead!$J$31</f>
        <v>1760.9684020595876</v>
      </c>
      <c r="I519" s="2522" t="s">
        <v>31</v>
      </c>
      <c r="J519" s="2524">
        <f t="shared" si="8"/>
        <v>5943.27</v>
      </c>
    </row>
    <row r="520" spans="1:10" ht="35.1" customHeight="1">
      <c r="A520" s="2517"/>
      <c r="B520" s="2529">
        <f>6.75/2</f>
        <v>3.375</v>
      </c>
      <c r="C520" s="2523" t="s">
        <v>31</v>
      </c>
      <c r="D520" s="3967" t="s">
        <v>1717</v>
      </c>
      <c r="E520" s="3967"/>
      <c r="F520" s="3967"/>
      <c r="G520" s="3967"/>
      <c r="H520" s="2528">
        <f>lead!$J$33</f>
        <v>1760.9684020595876</v>
      </c>
      <c r="I520" s="2522" t="s">
        <v>31</v>
      </c>
      <c r="J520" s="2524">
        <f t="shared" si="8"/>
        <v>5943.27</v>
      </c>
    </row>
    <row r="521" spans="1:10" ht="20.100000000000001" customHeight="1">
      <c r="A521" s="2517"/>
      <c r="B521" s="2522">
        <v>4.13</v>
      </c>
      <c r="C521" s="2523" t="s">
        <v>66</v>
      </c>
      <c r="D521" s="2518" t="s">
        <v>67</v>
      </c>
      <c r="E521" s="2517"/>
      <c r="F521" s="2517"/>
      <c r="G521" s="2517"/>
      <c r="H521" s="2522">
        <f>lead!$J$36</f>
        <v>5000</v>
      </c>
      <c r="I521" s="2522" t="s">
        <v>66</v>
      </c>
      <c r="J521" s="2518">
        <f t="shared" si="8"/>
        <v>20650</v>
      </c>
    </row>
    <row r="522" spans="1:10" ht="20.100000000000001" customHeight="1">
      <c r="A522" s="2517"/>
      <c r="B522" s="2522"/>
      <c r="C522" s="2526"/>
      <c r="D522" s="2518" t="s">
        <v>60</v>
      </c>
      <c r="E522" s="2517"/>
      <c r="F522" s="2517"/>
      <c r="G522" s="2517"/>
      <c r="H522" s="2522"/>
      <c r="I522" s="2522"/>
      <c r="J522" s="2518">
        <f>SUM(J516:J521)</f>
        <v>55288.960000000006</v>
      </c>
    </row>
    <row r="523" spans="1:10" ht="20.100000000000001" customHeight="1">
      <c r="A523" s="2517"/>
      <c r="B523" s="2520" t="s">
        <v>87</v>
      </c>
      <c r="C523" s="2521" t="s">
        <v>40</v>
      </c>
      <c r="D523" s="2517"/>
      <c r="E523" s="2517"/>
      <c r="F523" s="2517"/>
      <c r="G523" s="2517"/>
      <c r="H523" s="2522"/>
      <c r="I523" s="2522"/>
      <c r="J523" s="2518"/>
    </row>
    <row r="524" spans="1:10" ht="20.100000000000001" customHeight="1">
      <c r="A524" s="2517"/>
      <c r="B524" s="2522">
        <v>6</v>
      </c>
      <c r="C524" s="2523" t="s">
        <v>41</v>
      </c>
      <c r="D524" s="2518" t="s">
        <v>68</v>
      </c>
      <c r="E524" s="2517"/>
      <c r="F524" s="2517"/>
      <c r="G524" s="2517"/>
      <c r="H524" s="2522">
        <f>'SSR-rates'!$K$88</f>
        <v>697.9</v>
      </c>
      <c r="I524" s="2522" t="s">
        <v>41</v>
      </c>
      <c r="J524" s="2518">
        <f>ROUND(B524*H524,2)</f>
        <v>4187.3999999999996</v>
      </c>
    </row>
    <row r="525" spans="1:10" ht="20.100000000000001" customHeight="1">
      <c r="A525" s="2517"/>
      <c r="B525" s="2522">
        <v>6</v>
      </c>
      <c r="C525" s="2523" t="s">
        <v>41</v>
      </c>
      <c r="D525" s="2518" t="s">
        <v>69</v>
      </c>
      <c r="E525" s="2517"/>
      <c r="F525" s="2517"/>
      <c r="G525" s="2517"/>
      <c r="H525" s="2522">
        <f>'SSR-rates'!$K$87</f>
        <v>1323.5</v>
      </c>
      <c r="I525" s="2522" t="s">
        <v>41</v>
      </c>
      <c r="J525" s="2518">
        <f>ROUND(B525*H525,2)</f>
        <v>7941</v>
      </c>
    </row>
    <row r="526" spans="1:10" ht="20.100000000000001" customHeight="1">
      <c r="A526" s="2517"/>
      <c r="B526" s="2522"/>
      <c r="C526" s="2526"/>
      <c r="D526" s="2518" t="s">
        <v>60</v>
      </c>
      <c r="E526" s="2517"/>
      <c r="F526" s="2517"/>
      <c r="G526" s="2517"/>
      <c r="H526" s="2522"/>
      <c r="I526" s="2522"/>
      <c r="J526" s="2518">
        <f>SUM(J524:J525)</f>
        <v>12128.4</v>
      </c>
    </row>
    <row r="527" spans="1:10" ht="20.100000000000001" customHeight="1">
      <c r="A527" s="2520"/>
      <c r="B527" s="2520" t="s">
        <v>45</v>
      </c>
      <c r="C527" s="2530" t="s">
        <v>1907</v>
      </c>
      <c r="D527" s="2517"/>
      <c r="E527" s="2517"/>
      <c r="F527" s="2523"/>
      <c r="G527" s="2523"/>
      <c r="H527" s="2523"/>
      <c r="I527" s="2523"/>
      <c r="J527" s="2521"/>
    </row>
    <row r="528" spans="1:10" ht="20.100000000000001" customHeight="1">
      <c r="A528" s="2520"/>
      <c r="B528" s="2522">
        <v>0</v>
      </c>
      <c r="C528" s="2526" t="s">
        <v>29</v>
      </c>
      <c r="D528" s="2518" t="s">
        <v>1908</v>
      </c>
      <c r="E528" s="2517"/>
      <c r="F528" s="2523"/>
      <c r="G528" s="2523"/>
      <c r="H528" s="2523"/>
      <c r="I528" s="2523"/>
      <c r="J528" s="2518">
        <f>ROUND((J514+J522+J526)*B528/100,2)</f>
        <v>0</v>
      </c>
    </row>
    <row r="529" spans="1:10" ht="20.100000000000001" customHeight="1">
      <c r="A529" s="2520"/>
      <c r="B529" s="2520" t="s">
        <v>47</v>
      </c>
      <c r="C529" s="2530" t="s">
        <v>1189</v>
      </c>
      <c r="D529" s="2517"/>
      <c r="E529" s="2517"/>
      <c r="F529" s="2523"/>
      <c r="G529" s="2523"/>
      <c r="H529" s="2523"/>
      <c r="I529" s="2523"/>
      <c r="J529" s="2521"/>
    </row>
    <row r="530" spans="1:10" ht="35.1" customHeight="1">
      <c r="A530" s="2520"/>
      <c r="B530" s="2531">
        <f>B499</f>
        <v>0.19614999999999999</v>
      </c>
      <c r="C530" s="2526" t="s">
        <v>1897</v>
      </c>
      <c r="D530" s="2518"/>
      <c r="E530" s="2517"/>
      <c r="F530" s="2523"/>
      <c r="G530" s="2523"/>
      <c r="H530" s="2526">
        <f>J528+J526+J522+J514</f>
        <v>80379.360000000001</v>
      </c>
      <c r="I530" s="2523"/>
      <c r="J530" s="2518">
        <f>H530*B530</f>
        <v>15766.411463999999</v>
      </c>
    </row>
    <row r="531" spans="1:10" ht="20.100000000000001" customHeight="1">
      <c r="A531" s="2520"/>
      <c r="B531" s="2532">
        <f>'Input Data'!$E$24</f>
        <v>0.1</v>
      </c>
      <c r="C531" s="2533" t="s">
        <v>1220</v>
      </c>
      <c r="D531" s="2518"/>
      <c r="E531" s="2517"/>
      <c r="F531" s="2523"/>
      <c r="G531" s="2523"/>
      <c r="H531" s="2526">
        <f>J530+J528+J526+J522+J514</f>
        <v>96145.771464000005</v>
      </c>
      <c r="I531" s="2523"/>
      <c r="J531" s="2518">
        <f>H531*B531</f>
        <v>9614.5771464000009</v>
      </c>
    </row>
    <row r="532" spans="1:10" ht="20.100000000000001" customHeight="1">
      <c r="A532" s="2520"/>
      <c r="B532" s="2520" t="s">
        <v>76</v>
      </c>
      <c r="C532" s="2530" t="s">
        <v>89</v>
      </c>
      <c r="D532" s="2517"/>
      <c r="E532" s="2517"/>
      <c r="F532" s="2523"/>
      <c r="G532" s="2523"/>
      <c r="H532" s="2523"/>
      <c r="I532" s="2523"/>
      <c r="J532" s="2521">
        <f>J514+J522+J526+J530+J528+J531</f>
        <v>105760.3486104</v>
      </c>
    </row>
    <row r="533" spans="1:10" ht="20.100000000000001" customHeight="1">
      <c r="A533" s="2517"/>
      <c r="B533" s="2522"/>
      <c r="C533" s="2523"/>
      <c r="D533" s="2521" t="s">
        <v>1814</v>
      </c>
      <c r="E533" s="2517"/>
      <c r="F533" s="2517"/>
      <c r="G533" s="2517"/>
      <c r="H533" s="2522"/>
      <c r="I533" s="2522"/>
      <c r="J533" s="2521">
        <f>SUM(J532:J532)</f>
        <v>105760.3486104</v>
      </c>
    </row>
    <row r="534" spans="1:10" ht="20.100000000000001" customHeight="1">
      <c r="A534" s="2517"/>
      <c r="B534" s="2522"/>
      <c r="C534" s="2523"/>
      <c r="D534" s="2518" t="s">
        <v>81</v>
      </c>
      <c r="E534" s="2517"/>
      <c r="F534" s="2517"/>
      <c r="G534" s="2517"/>
      <c r="H534" s="2522"/>
      <c r="I534" s="2522"/>
      <c r="J534" s="2518">
        <f>ROUND(J533/15,2)</f>
        <v>7050.69</v>
      </c>
    </row>
    <row r="535" spans="1:10" ht="20.100000000000001" customHeight="1">
      <c r="A535" s="2517"/>
      <c r="B535" s="2505"/>
      <c r="C535" s="2517"/>
      <c r="D535" s="2518" t="s">
        <v>52</v>
      </c>
      <c r="E535" s="2517"/>
      <c r="F535" s="2517"/>
      <c r="G535" s="2517"/>
      <c r="H535" s="2522"/>
      <c r="I535" s="2522"/>
      <c r="J535" s="2538">
        <f>ROUND(J534,2)</f>
        <v>7050.69</v>
      </c>
    </row>
    <row r="536" spans="1:10" ht="20.100000000000001" customHeight="1">
      <c r="A536" s="2517"/>
      <c r="B536" s="2505"/>
      <c r="C536" s="2517"/>
      <c r="D536" s="2518"/>
      <c r="E536" s="2517"/>
      <c r="F536" s="2517"/>
      <c r="G536" s="2517"/>
      <c r="H536" s="2522"/>
      <c r="I536" s="2522"/>
      <c r="J536" s="2527" t="s">
        <v>53</v>
      </c>
    </row>
    <row r="537" spans="1:10" ht="20.100000000000001" customHeight="1">
      <c r="A537" s="2523"/>
      <c r="B537" s="2520" t="s">
        <v>1909</v>
      </c>
      <c r="C537" s="2517"/>
      <c r="D537" s="2518"/>
      <c r="E537" s="2517"/>
      <c r="F537" s="2517"/>
      <c r="G537" s="2517"/>
      <c r="H537" s="2522"/>
      <c r="I537" s="2522"/>
      <c r="J537" s="2527"/>
    </row>
    <row r="538" spans="1:10" ht="68.25" customHeight="1">
      <c r="A538" s="2515">
        <f>A506+1</f>
        <v>17</v>
      </c>
      <c r="B538" s="3969" t="s">
        <v>1064</v>
      </c>
      <c r="C538" s="3969"/>
      <c r="D538" s="3969"/>
      <c r="E538" s="3969"/>
      <c r="F538" s="3969"/>
      <c r="G538" s="3969"/>
      <c r="H538" s="3969"/>
      <c r="I538" s="3969"/>
      <c r="J538" s="3969"/>
    </row>
    <row r="539" spans="1:10" ht="20.100000000000001" customHeight="1">
      <c r="A539" s="2517"/>
      <c r="B539" s="2505"/>
      <c r="C539" s="2517"/>
      <c r="D539" s="2518" t="s">
        <v>10</v>
      </c>
      <c r="E539" s="2517"/>
      <c r="F539" s="2530" t="s">
        <v>123</v>
      </c>
      <c r="G539" s="2517"/>
      <c r="H539" s="2517"/>
      <c r="I539" s="2517"/>
      <c r="J539" s="2517"/>
    </row>
    <row r="540" spans="1:10" ht="20.100000000000001" customHeight="1">
      <c r="A540" s="2517"/>
      <c r="B540" s="2505"/>
      <c r="C540" s="2517"/>
      <c r="D540" s="2518" t="s">
        <v>115</v>
      </c>
      <c r="E540" s="2517"/>
      <c r="F540" s="2517"/>
      <c r="G540" s="2517"/>
      <c r="H540" s="2517"/>
      <c r="I540" s="2517"/>
      <c r="J540" s="2517"/>
    </row>
    <row r="541" spans="1:10" ht="20.100000000000001" customHeight="1">
      <c r="A541" s="2517"/>
      <c r="B541" s="2520" t="s">
        <v>36</v>
      </c>
      <c r="C541" s="2521" t="s">
        <v>37</v>
      </c>
      <c r="D541" s="2517"/>
      <c r="E541" s="2517"/>
      <c r="F541" s="2517"/>
      <c r="G541" s="2517"/>
      <c r="H541" s="2517"/>
      <c r="I541" s="2517"/>
      <c r="J541" s="2517"/>
    </row>
    <row r="542" spans="1:10" ht="20.100000000000001" customHeight="1">
      <c r="A542" s="2517"/>
      <c r="B542" s="2522">
        <v>0.04</v>
      </c>
      <c r="C542" s="2523" t="s">
        <v>57</v>
      </c>
      <c r="D542" s="2518" t="s">
        <v>14</v>
      </c>
      <c r="E542" s="2517"/>
      <c r="F542" s="2517"/>
      <c r="G542" s="2517"/>
      <c r="H542" s="2522">
        <f>'SSR-rates'!K$58</f>
        <v>575</v>
      </c>
      <c r="I542" s="2505" t="s">
        <v>38</v>
      </c>
      <c r="J542" s="2522">
        <f>ROUND(B542*H542,2)</f>
        <v>23</v>
      </c>
    </row>
    <row r="543" spans="1:10" ht="20.100000000000001" customHeight="1">
      <c r="A543" s="2517"/>
      <c r="B543" s="2522">
        <v>0.35</v>
      </c>
      <c r="C543" s="2523" t="s">
        <v>57</v>
      </c>
      <c r="D543" s="2518" t="s">
        <v>58</v>
      </c>
      <c r="E543" s="2517"/>
      <c r="F543" s="2517"/>
      <c r="G543" s="2517"/>
      <c r="H543" s="2522">
        <f>+'SSR-rates'!K96</f>
        <v>645</v>
      </c>
      <c r="I543" s="2505" t="s">
        <v>38</v>
      </c>
      <c r="J543" s="2522">
        <f>ROUND(B543*H543,2)</f>
        <v>225.75</v>
      </c>
    </row>
    <row r="544" spans="1:10" ht="20.100000000000001" customHeight="1">
      <c r="A544" s="2517"/>
      <c r="B544" s="2522">
        <v>0.75</v>
      </c>
      <c r="C544" s="2523" t="s">
        <v>57</v>
      </c>
      <c r="D544" s="2518" t="s">
        <v>59</v>
      </c>
      <c r="E544" s="2517"/>
      <c r="F544" s="2517"/>
      <c r="G544" s="2517"/>
      <c r="H544" s="2522">
        <f>'SSR-rates'!K$60</f>
        <v>575</v>
      </c>
      <c r="I544" s="2505" t="s">
        <v>38</v>
      </c>
      <c r="J544" s="2522">
        <f>ROUND(B544*H544,2)</f>
        <v>431.25</v>
      </c>
    </row>
    <row r="545" spans="1:10" ht="20.100000000000001" customHeight="1">
      <c r="A545" s="2520"/>
      <c r="B545" s="2525">
        <f>'Input Data'!$D$23</f>
        <v>0</v>
      </c>
      <c r="C545" s="2526"/>
      <c r="D545" s="2517" t="s">
        <v>17</v>
      </c>
      <c r="E545" s="2517"/>
      <c r="F545" s="2523"/>
      <c r="G545" s="2523"/>
      <c r="H545" s="2522">
        <f>SUM(J542:J544)</f>
        <v>680</v>
      </c>
      <c r="I545" s="2505"/>
      <c r="J545" s="2522">
        <f>B545*H545</f>
        <v>0</v>
      </c>
    </row>
    <row r="546" spans="1:10" ht="20.100000000000001" customHeight="1">
      <c r="A546" s="2517"/>
      <c r="B546" s="2522" t="s">
        <v>85</v>
      </c>
      <c r="C546" s="2517"/>
      <c r="D546" s="2518" t="s">
        <v>60</v>
      </c>
      <c r="E546" s="2517"/>
      <c r="F546" s="2517"/>
      <c r="G546" s="2517"/>
      <c r="H546" s="2522"/>
      <c r="I546" s="2505"/>
      <c r="J546" s="2522">
        <f>SUM(J542:J545)</f>
        <v>680</v>
      </c>
    </row>
    <row r="547" spans="1:10" ht="20.100000000000001" customHeight="1">
      <c r="A547" s="2517"/>
      <c r="B547" s="2522"/>
      <c r="C547" s="2517"/>
      <c r="D547" s="2518"/>
      <c r="E547" s="2517"/>
      <c r="F547" s="2517"/>
      <c r="G547" s="2517"/>
      <c r="H547" s="2522"/>
      <c r="I547" s="2522"/>
      <c r="J547" s="2522"/>
    </row>
    <row r="548" spans="1:10" ht="20.100000000000001" customHeight="1">
      <c r="A548" s="2517"/>
      <c r="B548" s="2520" t="s">
        <v>39</v>
      </c>
      <c r="C548" s="2521" t="s">
        <v>61</v>
      </c>
      <c r="D548" s="2517"/>
      <c r="E548" s="2517"/>
      <c r="F548" s="2517"/>
      <c r="G548" s="2517"/>
      <c r="H548" s="2522"/>
      <c r="I548" s="2522"/>
      <c r="J548" s="2522"/>
    </row>
    <row r="549" spans="1:10" ht="20.100000000000001" customHeight="1">
      <c r="A549" s="2517"/>
      <c r="B549" s="2522">
        <v>1</v>
      </c>
      <c r="C549" s="2521"/>
      <c r="D549" s="2517" t="s">
        <v>1833</v>
      </c>
      <c r="E549" s="2517"/>
      <c r="F549" s="2517"/>
      <c r="G549" s="2517"/>
      <c r="H549" s="2522">
        <f>+lead!J23</f>
        <v>954.86419046780804</v>
      </c>
      <c r="I549" s="2522" t="s">
        <v>31</v>
      </c>
      <c r="J549" s="2522">
        <f>ROUND(B549*H549,2)</f>
        <v>954.86</v>
      </c>
    </row>
    <row r="550" spans="1:10" ht="20.100000000000001" customHeight="1">
      <c r="A550" s="2517"/>
      <c r="B550" s="2522">
        <v>0.2</v>
      </c>
      <c r="C550" s="2523" t="s">
        <v>31</v>
      </c>
      <c r="D550" s="2518" t="s">
        <v>86</v>
      </c>
      <c r="E550" s="2517"/>
      <c r="F550" s="2517"/>
      <c r="G550" s="2517"/>
      <c r="H550" s="2522">
        <f>lead!J$34</f>
        <v>250.09052501870349</v>
      </c>
      <c r="I550" s="2522" t="s">
        <v>31</v>
      </c>
      <c r="J550" s="2522">
        <f>ROUND(B550*H550,2)</f>
        <v>50.02</v>
      </c>
    </row>
    <row r="551" spans="1:10" ht="20.100000000000001" customHeight="1">
      <c r="A551" s="2517"/>
      <c r="B551" s="2522"/>
      <c r="C551" s="2517"/>
      <c r="D551" s="2518" t="s">
        <v>60</v>
      </c>
      <c r="E551" s="2517"/>
      <c r="F551" s="2517"/>
      <c r="G551" s="2517"/>
      <c r="H551" s="2522"/>
      <c r="I551" s="2522"/>
      <c r="J551" s="2522">
        <f>SUM(J549:J550)</f>
        <v>1004.88</v>
      </c>
    </row>
    <row r="552" spans="1:10" ht="20.100000000000001" customHeight="1">
      <c r="A552" s="2520"/>
      <c r="B552" s="2520" t="s">
        <v>45</v>
      </c>
      <c r="C552" s="2530" t="s">
        <v>1238</v>
      </c>
      <c r="D552" s="2517"/>
      <c r="E552" s="2517"/>
      <c r="F552" s="2523"/>
      <c r="G552" s="2523"/>
      <c r="H552" s="2523"/>
      <c r="I552" s="2523"/>
      <c r="J552" s="2565"/>
    </row>
    <row r="553" spans="1:10" ht="35.1" customHeight="1">
      <c r="A553" s="2520"/>
      <c r="B553" s="2531">
        <f>B530</f>
        <v>0.19614999999999999</v>
      </c>
      <c r="C553" s="2526" t="s">
        <v>1910</v>
      </c>
      <c r="D553" s="2518"/>
      <c r="E553" s="2517"/>
      <c r="F553" s="2523"/>
      <c r="G553" s="2523"/>
      <c r="H553" s="2522">
        <f>J551+J546</f>
        <v>1684.88</v>
      </c>
      <c r="I553" s="2523"/>
      <c r="J553" s="2522">
        <f>H553*B553</f>
        <v>330.48921200000001</v>
      </c>
    </row>
    <row r="554" spans="1:10" ht="20.100000000000001" customHeight="1">
      <c r="A554" s="2520"/>
      <c r="B554" s="2532">
        <f>'Input Data'!$E$24</f>
        <v>0.1</v>
      </c>
      <c r="C554" s="2533" t="s">
        <v>1220</v>
      </c>
      <c r="D554" s="2518"/>
      <c r="E554" s="2517"/>
      <c r="F554" s="2523"/>
      <c r="G554" s="2523"/>
      <c r="H554" s="2522">
        <f>J553+J551+J546</f>
        <v>2015.3692120000001</v>
      </c>
      <c r="I554" s="2523"/>
      <c r="J554" s="2522">
        <f>H554*B554</f>
        <v>201.53692120000002</v>
      </c>
    </row>
    <row r="555" spans="1:10" ht="20.100000000000001" customHeight="1">
      <c r="A555" s="2520"/>
      <c r="B555" s="2520" t="s">
        <v>47</v>
      </c>
      <c r="C555" s="2530" t="s">
        <v>89</v>
      </c>
      <c r="D555" s="2517"/>
      <c r="E555" s="2517"/>
      <c r="F555" s="2523"/>
      <c r="G555" s="2523"/>
      <c r="H555" s="2523"/>
      <c r="I555" s="2523"/>
      <c r="J555" s="2565">
        <f>J546+J551+J553+J554</f>
        <v>2216.9061332000001</v>
      </c>
    </row>
    <row r="556" spans="1:10" ht="20.100000000000001" customHeight="1">
      <c r="A556" s="2520"/>
      <c r="B556" s="2520"/>
      <c r="C556" s="2530"/>
      <c r="D556" s="2517"/>
      <c r="E556" s="2517"/>
      <c r="F556" s="2523"/>
      <c r="G556" s="2523"/>
      <c r="H556" s="2523"/>
      <c r="I556" s="2523"/>
      <c r="J556" s="2565"/>
    </row>
    <row r="557" spans="1:10" ht="20.100000000000001" customHeight="1">
      <c r="A557" s="2517"/>
      <c r="B557" s="2522"/>
      <c r="C557" s="2523"/>
      <c r="D557" s="2521" t="s">
        <v>1846</v>
      </c>
      <c r="E557" s="2517"/>
      <c r="F557" s="2517"/>
      <c r="G557" s="2517"/>
      <c r="H557" s="2522"/>
      <c r="I557" s="2522"/>
      <c r="J557" s="2565">
        <f>SUM(J555:J556)</f>
        <v>2216.9061332000001</v>
      </c>
    </row>
    <row r="558" spans="1:10" ht="20.100000000000001" customHeight="1">
      <c r="A558" s="2517"/>
      <c r="B558" s="2522"/>
      <c r="C558" s="2523"/>
      <c r="D558" s="2518" t="s">
        <v>50</v>
      </c>
      <c r="E558" s="2517"/>
      <c r="F558" s="2517"/>
      <c r="G558" s="2517"/>
      <c r="H558" s="2522"/>
      <c r="I558" s="2522"/>
      <c r="J558" s="2522">
        <f>J557</f>
        <v>2216.9061332000001</v>
      </c>
    </row>
    <row r="559" spans="1:10" ht="20.100000000000001" customHeight="1">
      <c r="A559" s="2517"/>
      <c r="B559" s="2505"/>
      <c r="C559" s="2517"/>
      <c r="D559" s="2518" t="s">
        <v>52</v>
      </c>
      <c r="E559" s="2517"/>
      <c r="F559" s="2517"/>
      <c r="G559" s="2517"/>
      <c r="H559" s="2522"/>
      <c r="I559" s="2522"/>
      <c r="J559" s="2570">
        <f>ROUND(J558,2)</f>
        <v>2216.91</v>
      </c>
    </row>
    <row r="560" spans="1:10" ht="20.100000000000001" customHeight="1">
      <c r="A560" s="2517"/>
      <c r="B560" s="2505"/>
      <c r="C560" s="2517"/>
      <c r="D560" s="2518"/>
      <c r="E560" s="2517"/>
      <c r="F560" s="2517"/>
      <c r="G560" s="2517"/>
      <c r="H560" s="2522"/>
      <c r="I560" s="2522"/>
      <c r="J560" s="2565" t="s">
        <v>53</v>
      </c>
    </row>
    <row r="561" spans="1:10" ht="78" customHeight="1">
      <c r="A561" s="2536">
        <f>A538+1</f>
        <v>18</v>
      </c>
      <c r="B561" s="3969" t="s">
        <v>116</v>
      </c>
      <c r="C561" s="3969"/>
      <c r="D561" s="3969"/>
      <c r="E561" s="3969"/>
      <c r="F561" s="3969"/>
      <c r="G561" s="3969"/>
      <c r="H561" s="3969"/>
      <c r="I561" s="3969"/>
      <c r="J561" s="3969"/>
    </row>
    <row r="562" spans="1:10" ht="20.100000000000001" customHeight="1">
      <c r="A562" s="2517"/>
      <c r="B562" s="2505"/>
      <c r="C562" s="2517"/>
      <c r="D562" s="2518" t="s">
        <v>10</v>
      </c>
      <c r="E562" s="2517"/>
      <c r="F562" s="2530" t="s">
        <v>117</v>
      </c>
      <c r="G562" s="2517"/>
      <c r="H562" s="2517"/>
      <c r="I562" s="2517"/>
      <c r="J562" s="2517"/>
    </row>
    <row r="563" spans="1:10" ht="20.100000000000001" customHeight="1">
      <c r="A563" s="2517"/>
      <c r="B563" s="2505"/>
      <c r="C563" s="2517"/>
      <c r="D563" s="2518" t="s">
        <v>115</v>
      </c>
      <c r="E563" s="2517"/>
      <c r="F563" s="2517"/>
      <c r="G563" s="2517"/>
      <c r="H563" s="2517"/>
      <c r="I563" s="2517"/>
      <c r="J563" s="2517"/>
    </row>
    <row r="564" spans="1:10" ht="20.100000000000001" customHeight="1">
      <c r="A564" s="2517"/>
      <c r="B564" s="2520" t="s">
        <v>36</v>
      </c>
      <c r="C564" s="2521" t="s">
        <v>37</v>
      </c>
      <c r="D564" s="2517"/>
      <c r="E564" s="2517"/>
      <c r="F564" s="2517"/>
      <c r="G564" s="2517"/>
      <c r="H564" s="2517"/>
      <c r="I564" s="2517"/>
      <c r="J564" s="2517"/>
    </row>
    <row r="565" spans="1:10" ht="20.100000000000001" customHeight="1">
      <c r="A565" s="2517"/>
      <c r="B565" s="2522">
        <v>0.04</v>
      </c>
      <c r="C565" s="2523" t="s">
        <v>57</v>
      </c>
      <c r="D565" s="2518" t="s">
        <v>14</v>
      </c>
      <c r="E565" s="2517"/>
      <c r="F565" s="2517"/>
      <c r="G565" s="2517"/>
      <c r="H565" s="2522">
        <f>'SSR-rates'!K$58</f>
        <v>575</v>
      </c>
      <c r="I565" s="2505" t="s">
        <v>38</v>
      </c>
      <c r="J565" s="2524">
        <f>ROUND(B565*H565,2)</f>
        <v>23</v>
      </c>
    </row>
    <row r="566" spans="1:10" ht="20.100000000000001" customHeight="1">
      <c r="A566" s="2517"/>
      <c r="B566" s="2522">
        <v>0.35</v>
      </c>
      <c r="C566" s="2523" t="s">
        <v>57</v>
      </c>
      <c r="D566" s="2518" t="s">
        <v>58</v>
      </c>
      <c r="E566" s="2517"/>
      <c r="F566" s="2517"/>
      <c r="G566" s="2517"/>
      <c r="H566" s="2522">
        <f>+'SSR-rates'!$K$96</f>
        <v>645</v>
      </c>
      <c r="I566" s="2505" t="s">
        <v>38</v>
      </c>
      <c r="J566" s="2524">
        <f>ROUND(B566*H566,2)</f>
        <v>225.75</v>
      </c>
    </row>
    <row r="567" spans="1:10" ht="20.100000000000001" customHeight="1">
      <c r="A567" s="2517"/>
      <c r="B567" s="2522">
        <v>0.75</v>
      </c>
      <c r="C567" s="2523" t="s">
        <v>57</v>
      </c>
      <c r="D567" s="2518" t="s">
        <v>59</v>
      </c>
      <c r="E567" s="2517"/>
      <c r="F567" s="2517"/>
      <c r="G567" s="2517"/>
      <c r="H567" s="2522">
        <f>'SSR-rates'!K$60</f>
        <v>575</v>
      </c>
      <c r="I567" s="2505" t="s">
        <v>38</v>
      </c>
      <c r="J567" s="2524">
        <f>ROUND(B567*H567,2)</f>
        <v>431.25</v>
      </c>
    </row>
    <row r="568" spans="1:10" ht="20.100000000000001" customHeight="1">
      <c r="A568" s="2520"/>
      <c r="B568" s="2525">
        <f>'Input Data'!$D$23</f>
        <v>0</v>
      </c>
      <c r="C568" s="2526"/>
      <c r="D568" s="2517" t="s">
        <v>17</v>
      </c>
      <c r="E568" s="2517"/>
      <c r="F568" s="2523"/>
      <c r="G568" s="2523"/>
      <c r="H568" s="2522">
        <f>SUM(J565:J567)</f>
        <v>680</v>
      </c>
      <c r="I568" s="2505"/>
      <c r="J568" s="2524">
        <f>B568*H568</f>
        <v>0</v>
      </c>
    </row>
    <row r="569" spans="1:10" ht="20.100000000000001" customHeight="1">
      <c r="A569" s="2517"/>
      <c r="B569" s="2522" t="s">
        <v>85</v>
      </c>
      <c r="C569" s="2517"/>
      <c r="D569" s="2518" t="s">
        <v>60</v>
      </c>
      <c r="E569" s="2517"/>
      <c r="F569" s="2517"/>
      <c r="G569" s="2517"/>
      <c r="H569" s="2522"/>
      <c r="I569" s="2505"/>
      <c r="J569" s="2524">
        <f>SUM(J565:J568)</f>
        <v>680</v>
      </c>
    </row>
    <row r="570" spans="1:10" ht="20.100000000000001" customHeight="1">
      <c r="A570" s="2517"/>
      <c r="B570" s="2520" t="s">
        <v>39</v>
      </c>
      <c r="C570" s="2521" t="s">
        <v>61</v>
      </c>
      <c r="D570" s="2517"/>
      <c r="E570" s="2517"/>
      <c r="F570" s="2517"/>
      <c r="G570" s="2517"/>
      <c r="H570" s="2522"/>
      <c r="I570" s="2522"/>
      <c r="J570" s="2524"/>
    </row>
    <row r="571" spans="1:10" ht="20.100000000000001" customHeight="1">
      <c r="A571" s="2517"/>
      <c r="B571" s="2522">
        <v>1</v>
      </c>
      <c r="C571" s="2523" t="s">
        <v>31</v>
      </c>
      <c r="D571" s="2518" t="s">
        <v>118</v>
      </c>
      <c r="E571" s="2517"/>
      <c r="F571" s="2517"/>
      <c r="G571" s="2517"/>
      <c r="H571" s="2522">
        <f>lead!J$23</f>
        <v>954.86419046780804</v>
      </c>
      <c r="I571" s="2522" t="s">
        <v>31</v>
      </c>
      <c r="J571" s="2524">
        <f>ROUND(B571*H571,2)</f>
        <v>954.86</v>
      </c>
    </row>
    <row r="572" spans="1:10" ht="20.100000000000001" customHeight="1">
      <c r="A572" s="2517"/>
      <c r="B572" s="2522">
        <v>0.2</v>
      </c>
      <c r="C572" s="2523" t="s">
        <v>31</v>
      </c>
      <c r="D572" s="2518" t="s">
        <v>119</v>
      </c>
      <c r="E572" s="2517"/>
      <c r="F572" s="2517"/>
      <c r="G572" s="2517"/>
      <c r="H572" s="2522">
        <f>lead!J$25</f>
        <v>725.86419046780804</v>
      </c>
      <c r="I572" s="2522" t="s">
        <v>31</v>
      </c>
      <c r="J572" s="2524">
        <f>ROUND(B572*H572,2)</f>
        <v>145.16999999999999</v>
      </c>
    </row>
    <row r="573" spans="1:10" ht="20.100000000000001" customHeight="1">
      <c r="A573" s="2517"/>
      <c r="B573" s="2522"/>
      <c r="C573" s="2517"/>
      <c r="D573" s="2518" t="s">
        <v>60</v>
      </c>
      <c r="E573" s="2517"/>
      <c r="F573" s="2517"/>
      <c r="G573" s="2517"/>
      <c r="H573" s="2522"/>
      <c r="I573" s="2522"/>
      <c r="J573" s="2524">
        <f>SUM(J571:J572)</f>
        <v>1100.03</v>
      </c>
    </row>
    <row r="574" spans="1:10" ht="20.100000000000001" customHeight="1">
      <c r="A574" s="2520"/>
      <c r="B574" s="2520" t="s">
        <v>45</v>
      </c>
      <c r="C574" s="2530" t="s">
        <v>1238</v>
      </c>
      <c r="D574" s="2517"/>
      <c r="E574" s="2517"/>
      <c r="F574" s="2523"/>
      <c r="G574" s="2523"/>
      <c r="H574" s="2523"/>
      <c r="I574" s="2523"/>
      <c r="J574" s="2527"/>
    </row>
    <row r="575" spans="1:10" ht="35.1" customHeight="1">
      <c r="A575" s="2520"/>
      <c r="B575" s="2531">
        <f>B553</f>
        <v>0.19614999999999999</v>
      </c>
      <c r="C575" s="3970" t="s">
        <v>1897</v>
      </c>
      <c r="D575" s="3970"/>
      <c r="E575" s="3970"/>
      <c r="F575" s="3970"/>
      <c r="G575" s="3970"/>
      <c r="H575" s="2522">
        <f>J573+J569</f>
        <v>1780.03</v>
      </c>
      <c r="I575" s="2523"/>
      <c r="J575" s="2524">
        <f>H575*B575</f>
        <v>349.15288449999997</v>
      </c>
    </row>
    <row r="576" spans="1:10" ht="20.100000000000001" customHeight="1">
      <c r="A576" s="2520"/>
      <c r="B576" s="2532">
        <f>'Input Data'!$E$24</f>
        <v>0.1</v>
      </c>
      <c r="C576" s="2533" t="s">
        <v>1220</v>
      </c>
      <c r="D576" s="2528"/>
      <c r="E576" s="2528"/>
      <c r="F576" s="2528"/>
      <c r="G576" s="2528"/>
      <c r="H576" s="2522">
        <f>J575+J573+J569</f>
        <v>2129.1828845</v>
      </c>
      <c r="I576" s="2523"/>
      <c r="J576" s="2524">
        <f>H576*B576</f>
        <v>212.91828845000001</v>
      </c>
    </row>
    <row r="577" spans="1:10" ht="20.100000000000001" customHeight="1">
      <c r="A577" s="2520"/>
      <c r="B577" s="2520" t="s">
        <v>47</v>
      </c>
      <c r="C577" s="2530" t="s">
        <v>89</v>
      </c>
      <c r="D577" s="2517"/>
      <c r="E577" s="2517"/>
      <c r="F577" s="2523"/>
      <c r="G577" s="2523"/>
      <c r="H577" s="2523"/>
      <c r="I577" s="2523"/>
      <c r="J577" s="2527">
        <f>J569+J573+J575+J576</f>
        <v>2342.1011729500001</v>
      </c>
    </row>
    <row r="578" spans="1:10" ht="20.100000000000001" customHeight="1">
      <c r="A578" s="2517"/>
      <c r="B578" s="2522"/>
      <c r="C578" s="2523"/>
      <c r="D578" s="2521" t="s">
        <v>120</v>
      </c>
      <c r="E578" s="2517"/>
      <c r="F578" s="2517"/>
      <c r="G578" s="2517"/>
      <c r="H578" s="2522"/>
      <c r="I578" s="2522"/>
      <c r="J578" s="2527">
        <f>SUM(J577:J577)</f>
        <v>2342.1011729500001</v>
      </c>
    </row>
    <row r="579" spans="1:10" ht="20.100000000000001" customHeight="1">
      <c r="A579" s="2517"/>
      <c r="B579" s="2505"/>
      <c r="C579" s="2517"/>
      <c r="D579" s="2518" t="s">
        <v>52</v>
      </c>
      <c r="E579" s="2517"/>
      <c r="F579" s="2517"/>
      <c r="G579" s="2517"/>
      <c r="H579" s="2522"/>
      <c r="I579" s="2522"/>
      <c r="J579" s="2535">
        <f>J577</f>
        <v>2342.1011729500001</v>
      </c>
    </row>
    <row r="580" spans="1:10" ht="48.6" customHeight="1">
      <c r="A580" s="2515">
        <f>A561+1</f>
        <v>19</v>
      </c>
      <c r="B580" s="3968" t="s">
        <v>1911</v>
      </c>
      <c r="C580" s="3968"/>
      <c r="D580" s="3968"/>
      <c r="E580" s="3968"/>
      <c r="F580" s="3968"/>
      <c r="G580" s="3968"/>
      <c r="H580" s="3968"/>
      <c r="I580" s="3968"/>
      <c r="J580" s="3968"/>
    </row>
    <row r="581" spans="1:10" ht="20.100000000000001" customHeight="1">
      <c r="A581" s="2517"/>
      <c r="B581" s="2522"/>
      <c r="C581" s="2523"/>
      <c r="D581" s="2518" t="s">
        <v>1912</v>
      </c>
      <c r="E581" s="2517"/>
      <c r="F581" s="2519" t="s">
        <v>1913</v>
      </c>
      <c r="G581" s="2517"/>
      <c r="H581" s="2522"/>
      <c r="I581" s="2522"/>
      <c r="J581" s="2524"/>
    </row>
    <row r="582" spans="1:10" s="2510" customFormat="1" ht="20.100000000000001" customHeight="1">
      <c r="A582" s="2517"/>
      <c r="B582" s="2522"/>
      <c r="C582" s="2523"/>
      <c r="D582" s="2518" t="s">
        <v>1914</v>
      </c>
      <c r="E582" s="2517"/>
      <c r="F582" s="2517"/>
      <c r="G582" s="2517"/>
      <c r="H582" s="2522"/>
      <c r="I582" s="2522"/>
      <c r="J582" s="2524"/>
    </row>
    <row r="583" spans="1:10" ht="20.100000000000001" customHeight="1">
      <c r="A583" s="2517"/>
      <c r="B583" s="2522"/>
      <c r="C583" s="2523"/>
      <c r="D583" s="2518" t="s">
        <v>1915</v>
      </c>
      <c r="E583" s="2517"/>
      <c r="F583" s="2517"/>
      <c r="G583" s="2517"/>
      <c r="H583" s="2522"/>
      <c r="I583" s="2522"/>
      <c r="J583" s="2524"/>
    </row>
    <row r="584" spans="1:10" ht="20.100000000000001" customHeight="1">
      <c r="A584" s="2517"/>
      <c r="B584" s="2522"/>
      <c r="C584" s="2523"/>
      <c r="D584" s="2518" t="s">
        <v>10</v>
      </c>
      <c r="E584" s="2517"/>
      <c r="F584" s="2517"/>
      <c r="G584" s="2517"/>
      <c r="H584" s="2517"/>
      <c r="I584" s="2522"/>
      <c r="J584" s="2524"/>
    </row>
    <row r="585" spans="1:10" ht="20.100000000000001" customHeight="1">
      <c r="A585" s="2517"/>
      <c r="B585" s="2575">
        <f>+PI()*0.25^2*0.25*0.6</f>
        <v>2.945243112740431E-2</v>
      </c>
      <c r="C585" s="2523" t="s">
        <v>31</v>
      </c>
      <c r="D585" s="2518" t="s">
        <v>1916</v>
      </c>
      <c r="E585" s="2517"/>
      <c r="F585" s="2517"/>
      <c r="G585" s="2517"/>
      <c r="H585" s="2518">
        <f>'Pipe data'!E15/240</f>
        <v>108.87583333333333</v>
      </c>
      <c r="I585" s="2522" t="s">
        <v>31</v>
      </c>
      <c r="J585" s="2524">
        <f>ROUND(B585*H585,2)</f>
        <v>3.21</v>
      </c>
    </row>
    <row r="586" spans="1:10" ht="20.100000000000001" customHeight="1">
      <c r="A586" s="2517"/>
      <c r="B586" s="2505"/>
      <c r="C586" s="2523"/>
      <c r="D586" s="2518" t="s">
        <v>1917</v>
      </c>
      <c r="E586" s="2517"/>
      <c r="F586" s="2517"/>
      <c r="G586" s="2517"/>
      <c r="H586" s="2517"/>
      <c r="I586" s="2522"/>
      <c r="J586" s="2524"/>
    </row>
    <row r="587" spans="1:10" ht="20.100000000000001" customHeight="1">
      <c r="A587" s="2517"/>
      <c r="B587" s="2522"/>
      <c r="C587" s="2523"/>
      <c r="D587" s="2518" t="s">
        <v>10</v>
      </c>
      <c r="E587" s="2517"/>
      <c r="F587" s="2517"/>
      <c r="G587" s="2517"/>
      <c r="H587" s="2517"/>
      <c r="I587" s="2522"/>
      <c r="J587" s="2524"/>
    </row>
    <row r="588" spans="1:10" ht="20.100000000000001" customHeight="1">
      <c r="A588" s="2517"/>
      <c r="B588" s="2575">
        <f>+PI()*0.25^2*0.25*0.6</f>
        <v>2.945243112740431E-2</v>
      </c>
      <c r="C588" s="2523" t="s">
        <v>31</v>
      </c>
      <c r="D588" s="2518" t="s">
        <v>1918</v>
      </c>
      <c r="E588" s="2517"/>
      <c r="F588" s="2517"/>
      <c r="G588" s="2517"/>
      <c r="H588" s="2517">
        <f>+H118/15</f>
        <v>6319.69</v>
      </c>
      <c r="I588" s="2522" t="s">
        <v>31</v>
      </c>
      <c r="J588" s="2524">
        <f>ROUND(B588*H588,2)</f>
        <v>186.13</v>
      </c>
    </row>
    <row r="589" spans="1:10" ht="20.100000000000001" customHeight="1">
      <c r="A589" s="2517"/>
      <c r="B589" s="2522"/>
      <c r="C589" s="2523"/>
      <c r="D589" s="2518" t="s">
        <v>1919</v>
      </c>
      <c r="E589" s="2517"/>
      <c r="F589" s="2517"/>
      <c r="G589" s="2517"/>
      <c r="H589" s="2517"/>
      <c r="I589" s="2522"/>
      <c r="J589" s="2524"/>
    </row>
    <row r="590" spans="1:10" ht="20.100000000000001" customHeight="1">
      <c r="A590" s="2517"/>
      <c r="B590" s="2522"/>
      <c r="C590" s="2523"/>
      <c r="D590" s="2518" t="s">
        <v>1920</v>
      </c>
      <c r="E590" s="2517"/>
      <c r="F590" s="2517"/>
      <c r="G590" s="2517"/>
      <c r="H590" s="2517"/>
      <c r="I590" s="2522"/>
      <c r="J590" s="2524"/>
    </row>
    <row r="591" spans="1:10" ht="20.100000000000001" customHeight="1">
      <c r="A591" s="2517"/>
      <c r="B591" s="2575">
        <f>+PI()*0.25^2*1%*0.6*7.85</f>
        <v>9.2480633740049528E-3</v>
      </c>
      <c r="C591" s="2523" t="s">
        <v>66</v>
      </c>
      <c r="D591" s="2518" t="s">
        <v>1921</v>
      </c>
      <c r="E591" s="2517"/>
      <c r="F591" s="2517"/>
      <c r="G591" s="2517"/>
      <c r="H591" s="2518">
        <f>+lead!J37</f>
        <v>49000</v>
      </c>
      <c r="I591" s="2522" t="s">
        <v>66</v>
      </c>
      <c r="J591" s="2524">
        <f>ROUND(B591*H591,2)</f>
        <v>453.16</v>
      </c>
    </row>
    <row r="592" spans="1:10" ht="20.100000000000001" customHeight="1">
      <c r="A592" s="2517"/>
      <c r="B592" s="2522"/>
      <c r="C592" s="2523"/>
      <c r="D592" s="2518" t="s">
        <v>1922</v>
      </c>
      <c r="E592" s="2517"/>
      <c r="F592" s="2517"/>
      <c r="G592" s="2517"/>
      <c r="H592" s="2517"/>
      <c r="I592" s="2522"/>
      <c r="J592" s="2524"/>
    </row>
    <row r="593" spans="1:10" ht="20.100000000000001" customHeight="1">
      <c r="A593" s="2517"/>
      <c r="B593" s="2522"/>
      <c r="C593" s="2523"/>
      <c r="D593" s="2518" t="s">
        <v>1112</v>
      </c>
      <c r="E593" s="2517"/>
      <c r="F593" s="2517"/>
      <c r="G593" s="2517"/>
      <c r="H593" s="2517"/>
      <c r="I593" s="2522"/>
      <c r="J593" s="2524"/>
    </row>
    <row r="594" spans="1:10" ht="20.100000000000001" customHeight="1">
      <c r="A594" s="2517"/>
      <c r="B594" s="2522">
        <f>+PI()*0.25*0.6</f>
        <v>0.47123889803846897</v>
      </c>
      <c r="C594" s="2523" t="s">
        <v>913</v>
      </c>
      <c r="D594" s="2518" t="s">
        <v>1923</v>
      </c>
      <c r="E594" s="2517"/>
      <c r="F594" s="2517"/>
      <c r="G594" s="2517"/>
      <c r="H594" s="2518">
        <f>+'Road Furniture-Data'!H210</f>
        <v>133.25</v>
      </c>
      <c r="I594" s="2522"/>
      <c r="J594" s="2524">
        <f>ROUND(B594*H594,2)</f>
        <v>62.79</v>
      </c>
    </row>
    <row r="595" spans="1:10" ht="20.100000000000001" customHeight="1">
      <c r="A595" s="2517"/>
      <c r="B595" s="2522"/>
      <c r="C595" s="2517"/>
      <c r="D595" s="2518" t="s">
        <v>60</v>
      </c>
      <c r="E595" s="2517"/>
      <c r="F595" s="2517"/>
      <c r="G595" s="2517"/>
      <c r="H595" s="2522"/>
      <c r="I595" s="2522"/>
      <c r="J595" s="2524">
        <f>SUM(J585:J594)</f>
        <v>705.29</v>
      </c>
    </row>
    <row r="596" spans="1:10" ht="20.100000000000001" customHeight="1">
      <c r="A596" s="2520"/>
      <c r="B596" s="2520" t="s">
        <v>45</v>
      </c>
      <c r="C596" s="2530" t="s">
        <v>1238</v>
      </c>
      <c r="D596" s="2517"/>
      <c r="E596" s="2517"/>
      <c r="F596" s="2523"/>
      <c r="G596" s="2523"/>
      <c r="H596" s="2523"/>
      <c r="I596" s="2523"/>
      <c r="J596" s="2527"/>
    </row>
    <row r="597" spans="1:10" ht="20.100000000000001" customHeight="1">
      <c r="A597" s="2520"/>
      <c r="B597" s="2531">
        <f>B575</f>
        <v>0.19614999999999999</v>
      </c>
      <c r="C597" s="3970" t="s">
        <v>1238</v>
      </c>
      <c r="D597" s="3970"/>
      <c r="E597" s="3970"/>
      <c r="F597" s="3970"/>
      <c r="G597" s="3970"/>
      <c r="H597" s="2522"/>
      <c r="I597" s="2523"/>
      <c r="J597" s="2524">
        <f>ROUND((J588+J594+J585+J591)*B597,2)</f>
        <v>138.34</v>
      </c>
    </row>
    <row r="598" spans="1:10" ht="20.100000000000001" customHeight="1">
      <c r="A598" s="2520"/>
      <c r="B598" s="2532">
        <f>'Input Data'!$E$24</f>
        <v>0.1</v>
      </c>
      <c r="C598" s="2533" t="s">
        <v>1220</v>
      </c>
      <c r="D598" s="2528"/>
      <c r="E598" s="2528"/>
      <c r="F598" s="2528"/>
      <c r="G598" s="2528"/>
      <c r="H598" s="2522">
        <f>J595+J597</f>
        <v>843.63</v>
      </c>
      <c r="I598" s="2523"/>
      <c r="J598" s="2524">
        <f>H598*B598</f>
        <v>84.363</v>
      </c>
    </row>
    <row r="599" spans="1:10" ht="20.100000000000001" customHeight="1">
      <c r="A599" s="2520"/>
      <c r="B599" s="2520" t="s">
        <v>47</v>
      </c>
      <c r="C599" s="2530" t="s">
        <v>89</v>
      </c>
      <c r="D599" s="2517"/>
      <c r="E599" s="2517"/>
      <c r="F599" s="2523"/>
      <c r="G599" s="2523"/>
      <c r="H599" s="2523"/>
      <c r="I599" s="2523"/>
      <c r="J599" s="2527">
        <f>+J597+J595+J598</f>
        <v>927.99299999999994</v>
      </c>
    </row>
    <row r="600" spans="1:10" ht="20.100000000000001" customHeight="1">
      <c r="A600" s="2517"/>
      <c r="B600" s="2522"/>
      <c r="C600" s="2523"/>
      <c r="D600" s="2521" t="s">
        <v>1924</v>
      </c>
      <c r="E600" s="2517"/>
      <c r="F600" s="2517"/>
      <c r="G600" s="2517"/>
      <c r="H600" s="2522"/>
      <c r="I600" s="2522"/>
      <c r="J600" s="2527">
        <f>SUM(J599:J599)</f>
        <v>927.99299999999994</v>
      </c>
    </row>
    <row r="601" spans="1:10" ht="20.100000000000001" customHeight="1">
      <c r="A601" s="2517"/>
      <c r="B601" s="2505"/>
      <c r="C601" s="2517"/>
      <c r="D601" s="2518" t="s">
        <v>52</v>
      </c>
      <c r="E601" s="2517"/>
      <c r="F601" s="2517"/>
      <c r="G601" s="2517"/>
      <c r="H601" s="2522"/>
      <c r="I601" s="2522"/>
      <c r="J601" s="2535">
        <f>ROUND(J600,2)</f>
        <v>927.99</v>
      </c>
    </row>
    <row r="602" spans="1:10" ht="20.100000000000001" customHeight="1">
      <c r="A602" s="2517"/>
      <c r="B602" s="2505"/>
      <c r="C602" s="2517"/>
      <c r="D602" s="2518"/>
      <c r="E602" s="2517"/>
      <c r="F602" s="2517"/>
      <c r="G602" s="2517"/>
      <c r="H602" s="2522"/>
      <c r="I602" s="2522"/>
      <c r="J602" s="2535" t="s">
        <v>1925</v>
      </c>
    </row>
    <row r="603" spans="1:10" ht="20.25" customHeight="1">
      <c r="A603" s="2517"/>
      <c r="B603" s="2505"/>
      <c r="C603" s="2517"/>
      <c r="D603" s="2518"/>
      <c r="E603" s="2517"/>
      <c r="F603" s="2517"/>
      <c r="G603" s="2517"/>
      <c r="H603" s="2522"/>
      <c r="I603" s="2522"/>
      <c r="J603" s="2565"/>
    </row>
    <row r="604" spans="1:10" ht="20.25" customHeight="1">
      <c r="A604" s="2505"/>
      <c r="B604" s="2505"/>
      <c r="C604" s="2517"/>
      <c r="D604" s="2517"/>
      <c r="E604" s="2517"/>
      <c r="F604" s="2517"/>
      <c r="G604" s="2517"/>
      <c r="H604" s="2517"/>
      <c r="I604" s="2517"/>
      <c r="J604" s="2576"/>
    </row>
    <row r="605" spans="1:10" ht="63.6" customHeight="1">
      <c r="A605" s="2505"/>
      <c r="B605" s="3971" t="s">
        <v>1061</v>
      </c>
      <c r="C605" s="3971"/>
      <c r="D605" s="3971"/>
      <c r="E605" s="3971"/>
      <c r="F605" s="3971"/>
      <c r="G605" s="3971"/>
      <c r="H605" s="3971"/>
      <c r="I605" s="3971"/>
      <c r="J605" s="3971"/>
    </row>
    <row r="606" spans="1:10" ht="20.100000000000001" customHeight="1">
      <c r="A606" s="2505"/>
      <c r="B606" s="2540"/>
      <c r="C606" s="2540"/>
      <c r="D606" s="3972" t="s">
        <v>83</v>
      </c>
      <c r="E606" s="3972"/>
      <c r="F606" s="3972"/>
      <c r="G606" s="3972"/>
      <c r="H606" s="2540"/>
      <c r="I606" s="2540"/>
      <c r="J606" s="2541"/>
    </row>
    <row r="607" spans="1:10" ht="20.100000000000001" customHeight="1">
      <c r="A607" s="2505"/>
      <c r="B607" s="2540"/>
      <c r="C607" s="2540"/>
      <c r="D607" s="3973" t="s">
        <v>1926</v>
      </c>
      <c r="E607" s="3973"/>
      <c r="F607" s="3973"/>
      <c r="G607" s="3973"/>
      <c r="H607" s="2540"/>
      <c r="I607" s="2540"/>
      <c r="J607" s="2541"/>
    </row>
    <row r="608" spans="1:10" ht="20.100000000000001" customHeight="1">
      <c r="A608" s="2505"/>
      <c r="B608" s="2540"/>
      <c r="C608" s="2543"/>
      <c r="D608" s="3974" t="s">
        <v>12</v>
      </c>
      <c r="E608" s="3974"/>
      <c r="F608" s="3974"/>
      <c r="G608" s="3974"/>
      <c r="H608" s="2540"/>
      <c r="I608" s="2540"/>
      <c r="J608" s="2541"/>
    </row>
    <row r="609" spans="1:10" ht="20.100000000000001" customHeight="1">
      <c r="A609" s="2505"/>
      <c r="B609" s="2542"/>
      <c r="C609" s="2544"/>
      <c r="D609" s="3975" t="s">
        <v>156</v>
      </c>
      <c r="E609" s="3975"/>
      <c r="F609" s="3975"/>
      <c r="G609" s="3975"/>
      <c r="H609" s="2522">
        <f>'SSR-rates'!K$58</f>
        <v>575</v>
      </c>
      <c r="I609" s="2542">
        <v>0.28000000000000003</v>
      </c>
      <c r="J609" s="2546">
        <f>ROUND(I609*H609,2)</f>
        <v>161</v>
      </c>
    </row>
    <row r="610" spans="1:10" ht="20.100000000000001" customHeight="1">
      <c r="A610" s="2505"/>
      <c r="B610" s="2542"/>
      <c r="C610" s="2544"/>
      <c r="D610" s="3975" t="s">
        <v>59</v>
      </c>
      <c r="E610" s="3975"/>
      <c r="F610" s="3975"/>
      <c r="G610" s="3975"/>
      <c r="H610" s="2522">
        <f>'SSR-rates'!K$60</f>
        <v>575</v>
      </c>
      <c r="I610" s="2542">
        <v>7</v>
      </c>
      <c r="J610" s="2546">
        <f>ROUND(I610*H610,2)</f>
        <v>4025</v>
      </c>
    </row>
    <row r="611" spans="1:10" ht="20.100000000000001" customHeight="1">
      <c r="A611" s="2505"/>
      <c r="B611" s="2525"/>
      <c r="C611" s="2526"/>
      <c r="D611" s="2517" t="s">
        <v>17</v>
      </c>
      <c r="E611" s="2517"/>
      <c r="F611" s="2523"/>
      <c r="G611" s="2523"/>
      <c r="H611" s="2522">
        <f>SUM(J609:J610)</f>
        <v>4186</v>
      </c>
      <c r="I611" s="2525">
        <f>'Input Data'!D23</f>
        <v>0</v>
      </c>
      <c r="J611" s="2546">
        <f>ROUND(I611*H611,2)</f>
        <v>0</v>
      </c>
    </row>
    <row r="612" spans="1:10" ht="20.100000000000001" customHeight="1">
      <c r="A612" s="2505"/>
      <c r="B612" s="2542"/>
      <c r="C612" s="2547"/>
      <c r="D612" s="3976" t="s">
        <v>18</v>
      </c>
      <c r="E612" s="3976"/>
      <c r="F612" s="3976"/>
      <c r="G612" s="3976"/>
      <c r="H612" s="2542"/>
      <c r="I612" s="2548" t="s">
        <v>19</v>
      </c>
      <c r="J612" s="2549">
        <f>SUM(J609:J611)</f>
        <v>4186</v>
      </c>
    </row>
    <row r="613" spans="1:10" ht="20.100000000000001" customHeight="1">
      <c r="A613" s="2505"/>
      <c r="B613" s="2542"/>
      <c r="C613" s="2550"/>
      <c r="D613" s="3974" t="s">
        <v>189</v>
      </c>
      <c r="E613" s="3974"/>
      <c r="F613" s="3974"/>
      <c r="G613" s="3974"/>
      <c r="H613" s="2542"/>
      <c r="I613" s="2542"/>
      <c r="J613" s="2546"/>
    </row>
    <row r="614" spans="1:10" ht="20.100000000000001" customHeight="1">
      <c r="A614" s="2505"/>
      <c r="B614" s="2574"/>
      <c r="C614" s="2563"/>
      <c r="D614" s="3981" t="s">
        <v>1927</v>
      </c>
      <c r="E614" s="3981"/>
      <c r="F614" s="3981"/>
      <c r="G614" s="3981"/>
      <c r="H614" s="2552">
        <f>lead!J35</f>
        <v>143.07604629670379</v>
      </c>
      <c r="I614" s="2545">
        <v>12</v>
      </c>
      <c r="J614" s="2555">
        <f>ROUND(I614*H614,2)</f>
        <v>1716.91</v>
      </c>
    </row>
    <row r="615" spans="1:10" ht="20.100000000000001" customHeight="1">
      <c r="A615" s="2505"/>
      <c r="B615" s="2545"/>
      <c r="C615" s="2563"/>
      <c r="D615" s="3984" t="s">
        <v>1928</v>
      </c>
      <c r="E615" s="3984"/>
      <c r="F615" s="3984"/>
      <c r="G615" s="3984"/>
      <c r="H615" s="2552"/>
      <c r="I615" s="2545"/>
      <c r="J615" s="2555"/>
    </row>
    <row r="616" spans="1:10" ht="20.100000000000001" customHeight="1">
      <c r="A616" s="2505"/>
      <c r="B616" s="2545"/>
      <c r="C616" s="2563"/>
      <c r="D616" s="3982" t="s">
        <v>1929</v>
      </c>
      <c r="E616" s="3982"/>
      <c r="F616" s="3982"/>
      <c r="G616" s="3982"/>
      <c r="H616" s="2522">
        <f>+'SSR-rates'!K91</f>
        <v>59</v>
      </c>
      <c r="I616" s="2545">
        <v>2.5</v>
      </c>
      <c r="J616" s="2555">
        <f>H616*I616</f>
        <v>147.5</v>
      </c>
    </row>
    <row r="617" spans="1:10" ht="20.100000000000001" customHeight="1">
      <c r="A617" s="2505"/>
      <c r="B617" s="2545"/>
      <c r="C617" s="2563"/>
      <c r="D617" s="3983" t="s">
        <v>1930</v>
      </c>
      <c r="E617" s="3983"/>
      <c r="F617" s="3983"/>
      <c r="G617" s="3983"/>
      <c r="H617" s="2522">
        <f>'SSR-rates'!$K$69</f>
        <v>769</v>
      </c>
      <c r="I617" s="2545">
        <v>0.05</v>
      </c>
      <c r="J617" s="2555">
        <f>I617*H617</f>
        <v>38.450000000000003</v>
      </c>
    </row>
    <row r="618" spans="1:10" ht="20.100000000000001" customHeight="1">
      <c r="A618" s="2505"/>
      <c r="B618" s="2542"/>
      <c r="C618" s="2547"/>
      <c r="D618" s="3976" t="s">
        <v>18</v>
      </c>
      <c r="E618" s="3976"/>
      <c r="F618" s="3976"/>
      <c r="G618" s="3976"/>
      <c r="H618" s="2542"/>
      <c r="I618" s="2548" t="s">
        <v>25</v>
      </c>
      <c r="J618" s="2549">
        <f>SUM(J614:J617)</f>
        <v>1902.8600000000001</v>
      </c>
    </row>
    <row r="619" spans="1:10" ht="20.100000000000001" customHeight="1">
      <c r="A619" s="2505"/>
      <c r="B619" s="2545"/>
      <c r="C619" s="2551"/>
      <c r="D619" s="3974" t="s">
        <v>26</v>
      </c>
      <c r="E619" s="3974"/>
      <c r="F619" s="3974"/>
      <c r="G619" s="3974"/>
      <c r="H619" s="2545"/>
      <c r="I619" s="2552"/>
      <c r="J619" s="2553">
        <f>J612+J618</f>
        <v>6088.8600000000006</v>
      </c>
    </row>
    <row r="620" spans="1:10" ht="20.100000000000001" customHeight="1">
      <c r="A620" s="2505"/>
      <c r="B620" s="2520" t="s">
        <v>45</v>
      </c>
      <c r="C620" s="2530" t="s">
        <v>1238</v>
      </c>
      <c r="D620" s="2517"/>
      <c r="E620" s="2517"/>
      <c r="F620" s="2523"/>
      <c r="G620" s="2523"/>
      <c r="H620" s="2545"/>
      <c r="I620" s="2554"/>
      <c r="J620" s="2555"/>
    </row>
    <row r="621" spans="1:10" ht="20.100000000000001" customHeight="1">
      <c r="A621" s="2505"/>
      <c r="B621" s="2531">
        <f>B597</f>
        <v>0.19614999999999999</v>
      </c>
      <c r="C621" s="3970" t="s">
        <v>1238</v>
      </c>
      <c r="D621" s="3970"/>
      <c r="E621" s="3970"/>
      <c r="F621" s="3970"/>
      <c r="G621" s="3970"/>
      <c r="H621" s="2545">
        <f>J619</f>
        <v>6088.8600000000006</v>
      </c>
      <c r="I621" s="2554"/>
      <c r="J621" s="2518">
        <f>H621*B621</f>
        <v>1194.3298890000001</v>
      </c>
    </row>
    <row r="622" spans="1:10" ht="20.100000000000001" customHeight="1">
      <c r="A622" s="2505"/>
      <c r="B622" s="2532">
        <f>'Input Data'!$E$24</f>
        <v>0.1</v>
      </c>
      <c r="C622" s="2533" t="s">
        <v>1220</v>
      </c>
      <c r="D622" s="2528"/>
      <c r="E622" s="2528"/>
      <c r="F622" s="2528"/>
      <c r="G622" s="2528"/>
      <c r="H622" s="2545">
        <f>H621+J621</f>
        <v>7283.1898890000011</v>
      </c>
      <c r="I622" s="2554"/>
      <c r="J622" s="2518">
        <f>H622*B622</f>
        <v>728.31898890000014</v>
      </c>
    </row>
    <row r="623" spans="1:10" ht="20.100000000000001" customHeight="1">
      <c r="A623" s="2505"/>
      <c r="B623" s="2520" t="s">
        <v>47</v>
      </c>
      <c r="C623" s="2530" t="s">
        <v>89</v>
      </c>
      <c r="D623" s="2517"/>
      <c r="E623" s="2517"/>
      <c r="F623" s="2523"/>
      <c r="G623" s="2523"/>
      <c r="H623" s="2545"/>
      <c r="I623" s="2545"/>
      <c r="J623" s="2555">
        <f>J621+H621+J622</f>
        <v>8011.5088779000016</v>
      </c>
    </row>
    <row r="624" spans="1:10" ht="20.100000000000001" customHeight="1">
      <c r="A624" s="2505"/>
      <c r="B624" s="2522"/>
      <c r="C624" s="2523"/>
      <c r="D624" s="2521" t="s">
        <v>1924</v>
      </c>
      <c r="E624" s="2517"/>
      <c r="F624" s="2517"/>
      <c r="G624" s="2517"/>
      <c r="H624" s="2545"/>
      <c r="I624" s="2545"/>
      <c r="J624" s="2546">
        <f>J623/10</f>
        <v>801.15088779000018</v>
      </c>
    </row>
    <row r="625" spans="1:10" ht="20.100000000000001" customHeight="1">
      <c r="A625" s="2505"/>
      <c r="B625" s="2505"/>
      <c r="C625" s="2517"/>
      <c r="D625" s="2518" t="s">
        <v>52</v>
      </c>
      <c r="E625" s="2517"/>
      <c r="F625" s="2517"/>
      <c r="G625" s="2517"/>
      <c r="H625" s="2545"/>
      <c r="I625" s="2545"/>
      <c r="J625" s="2549">
        <f>ROUND(J624,2)</f>
        <v>801.15</v>
      </c>
    </row>
    <row r="626" spans="1:10">
      <c r="A626" s="2505"/>
      <c r="B626" s="2505"/>
      <c r="C626" s="2517"/>
      <c r="D626" s="2517"/>
      <c r="E626" s="2517"/>
      <c r="F626" s="2517"/>
      <c r="G626" s="2517"/>
      <c r="H626" s="2517"/>
      <c r="I626" s="2517"/>
      <c r="J626" s="2576"/>
    </row>
    <row r="627" spans="1:10" ht="82.5" customHeight="1">
      <c r="A627" s="2505"/>
      <c r="B627" s="3968" t="s">
        <v>1063</v>
      </c>
      <c r="C627" s="3968"/>
      <c r="D627" s="3968"/>
      <c r="E627" s="3968"/>
      <c r="F627" s="3968"/>
      <c r="G627" s="3968"/>
      <c r="H627" s="3968"/>
      <c r="I627" s="3968"/>
      <c r="J627" s="3968"/>
    </row>
    <row r="628" spans="1:10" ht="20.100000000000001" customHeight="1">
      <c r="A628" s="2505"/>
      <c r="B628" s="2505"/>
      <c r="C628" s="2577" t="s">
        <v>1931</v>
      </c>
      <c r="D628" s="2517"/>
      <c r="E628" s="2517"/>
      <c r="F628" s="2517"/>
      <c r="G628" s="2517"/>
      <c r="H628" s="2578"/>
      <c r="I628" s="2579"/>
      <c r="J628" s="2580"/>
    </row>
    <row r="629" spans="1:10" ht="20.100000000000001" customHeight="1">
      <c r="A629" s="2505"/>
      <c r="B629" s="2505"/>
      <c r="C629" s="2577" t="s">
        <v>1932</v>
      </c>
      <c r="D629" s="2517"/>
      <c r="E629" s="2517"/>
      <c r="F629" s="2517"/>
      <c r="G629" s="2517"/>
      <c r="H629" s="2581"/>
      <c r="I629" s="2582"/>
      <c r="J629" s="2580"/>
    </row>
    <row r="630" spans="1:10" ht="20.100000000000001" customHeight="1">
      <c r="A630" s="2505"/>
      <c r="B630" s="2505"/>
      <c r="C630" s="2583" t="s">
        <v>1933</v>
      </c>
      <c r="D630" s="2517"/>
      <c r="E630" s="2517"/>
      <c r="F630" s="2517"/>
      <c r="G630" s="2517"/>
      <c r="H630" s="2581">
        <v>48</v>
      </c>
      <c r="I630" s="2582" t="s">
        <v>1934</v>
      </c>
      <c r="J630" s="2580"/>
    </row>
    <row r="631" spans="1:10" ht="20.100000000000001" customHeight="1">
      <c r="A631" s="2505"/>
      <c r="B631" s="2505"/>
      <c r="C631" s="2577" t="s">
        <v>1935</v>
      </c>
      <c r="D631" s="2517"/>
      <c r="E631" s="2517"/>
      <c r="F631" s="2517"/>
      <c r="G631" s="2517"/>
      <c r="H631" s="2578"/>
      <c r="I631" s="2579"/>
      <c r="J631" s="2580"/>
    </row>
    <row r="632" spans="1:10" ht="20.100000000000001" customHeight="1">
      <c r="A632" s="2505"/>
      <c r="B632" s="2505"/>
      <c r="C632" s="2577" t="s">
        <v>1936</v>
      </c>
      <c r="D632" s="2517"/>
      <c r="E632" s="2517"/>
      <c r="F632" s="2517"/>
      <c r="G632" s="2517"/>
      <c r="H632" s="2578"/>
      <c r="I632" s="2579"/>
      <c r="J632" s="2580"/>
    </row>
    <row r="633" spans="1:10" ht="20.100000000000001" customHeight="1">
      <c r="A633" s="2505"/>
      <c r="B633" s="2505"/>
      <c r="C633" s="2577" t="s">
        <v>2580</v>
      </c>
      <c r="D633" s="2517"/>
      <c r="E633" s="2517"/>
      <c r="F633" s="2517" t="s">
        <v>2581</v>
      </c>
      <c r="G633" s="2517"/>
      <c r="H633" s="2584">
        <f>0.069</f>
        <v>6.9000000000000006E-2</v>
      </c>
      <c r="I633" s="2585" t="s">
        <v>353</v>
      </c>
      <c r="J633" s="2580"/>
    </row>
    <row r="634" spans="1:10" ht="20.100000000000001" customHeight="1">
      <c r="A634" s="2505"/>
      <c r="B634" s="2505"/>
      <c r="C634" s="2577" t="s">
        <v>2582</v>
      </c>
      <c r="D634" s="2517"/>
      <c r="E634" s="2517"/>
      <c r="F634" s="2517" t="s">
        <v>2583</v>
      </c>
      <c r="G634" s="2517"/>
      <c r="H634" s="2586">
        <v>1.9319999999999999</v>
      </c>
      <c r="I634" s="2585" t="s">
        <v>31</v>
      </c>
      <c r="J634" s="2580"/>
    </row>
    <row r="635" spans="1:10" ht="20.100000000000001" customHeight="1">
      <c r="A635" s="2505"/>
      <c r="B635" s="2505"/>
      <c r="C635" s="2577" t="s">
        <v>2584</v>
      </c>
      <c r="D635" s="2517"/>
      <c r="E635" s="2517"/>
      <c r="F635" s="2517" t="s">
        <v>2585</v>
      </c>
      <c r="G635" s="2517"/>
      <c r="H635" s="2584">
        <v>72</v>
      </c>
      <c r="I635" s="2585" t="s">
        <v>2586</v>
      </c>
      <c r="J635" s="2580"/>
    </row>
    <row r="636" spans="1:10" ht="20.100000000000001" customHeight="1">
      <c r="A636" s="2505"/>
      <c r="B636" s="2505"/>
      <c r="C636" s="2577" t="s">
        <v>2587</v>
      </c>
      <c r="D636" s="2517"/>
      <c r="E636" s="2517"/>
      <c r="F636" s="2517" t="s">
        <v>2588</v>
      </c>
      <c r="G636" s="2517"/>
      <c r="H636" s="2584">
        <v>0.03</v>
      </c>
      <c r="I636" s="2585" t="s">
        <v>353</v>
      </c>
      <c r="J636" s="2580"/>
    </row>
    <row r="637" spans="1:10" ht="20.100000000000001" customHeight="1">
      <c r="A637" s="2505"/>
      <c r="B637" s="2505"/>
      <c r="C637" s="2577" t="s">
        <v>2589</v>
      </c>
      <c r="D637" s="2517"/>
      <c r="E637" s="2517"/>
      <c r="F637" s="2517"/>
      <c r="G637" s="2517"/>
      <c r="H637" s="2587">
        <v>2.16</v>
      </c>
      <c r="I637" s="2585" t="s">
        <v>31</v>
      </c>
      <c r="J637" s="2580"/>
    </row>
    <row r="638" spans="1:10" ht="20.100000000000001" customHeight="1">
      <c r="A638" s="2505"/>
      <c r="B638" s="2505"/>
      <c r="C638" s="2583" t="s">
        <v>1937</v>
      </c>
      <c r="D638" s="2519"/>
      <c r="E638" s="2519"/>
      <c r="F638" s="2519" t="s">
        <v>2590</v>
      </c>
      <c r="G638" s="2519"/>
      <c r="H638" s="2587">
        <v>4.0919999999999996</v>
      </c>
      <c r="I638" s="2585" t="s">
        <v>31</v>
      </c>
      <c r="J638" s="2580"/>
    </row>
    <row r="639" spans="1:10" ht="20.100000000000001" customHeight="1">
      <c r="A639" s="2505"/>
      <c r="B639" s="2505"/>
      <c r="C639" s="2577" t="s">
        <v>1938</v>
      </c>
      <c r="D639" s="2517"/>
      <c r="E639" s="2517"/>
      <c r="F639" s="2517"/>
      <c r="G639" s="2517"/>
      <c r="H639" s="2578"/>
      <c r="I639" s="2579"/>
      <c r="J639" s="2580"/>
    </row>
    <row r="640" spans="1:10" ht="20.100000000000001" customHeight="1">
      <c r="A640" s="2505"/>
      <c r="B640" s="2505"/>
      <c r="C640" s="2577" t="s">
        <v>1939</v>
      </c>
      <c r="D640" s="2517"/>
      <c r="E640" s="2517"/>
      <c r="F640" s="2517"/>
      <c r="G640" s="2517"/>
      <c r="H640" s="2578"/>
      <c r="I640" s="2579"/>
      <c r="J640" s="2580"/>
    </row>
    <row r="641" spans="1:10" ht="20.100000000000001" customHeight="1">
      <c r="A641" s="2505"/>
      <c r="B641" s="2505"/>
      <c r="C641" s="2577" t="s">
        <v>1940</v>
      </c>
      <c r="D641" s="2517"/>
      <c r="E641" s="2517"/>
      <c r="F641" s="2517"/>
      <c r="G641" s="2517"/>
      <c r="H641" s="2578"/>
      <c r="I641" s="2579"/>
      <c r="J641" s="2580"/>
    </row>
    <row r="642" spans="1:10" ht="20.100000000000001" customHeight="1">
      <c r="A642" s="2505"/>
      <c r="B642" s="2505"/>
      <c r="C642" s="2577" t="s">
        <v>1941</v>
      </c>
      <c r="D642" s="2517"/>
      <c r="E642" s="2517"/>
      <c r="F642" s="2517"/>
      <c r="G642" s="2517"/>
      <c r="H642" s="2578"/>
      <c r="I642" s="2579"/>
      <c r="J642" s="2580"/>
    </row>
    <row r="643" spans="1:10" ht="20.100000000000001" customHeight="1">
      <c r="A643" s="2505"/>
      <c r="B643" s="2588">
        <v>5.99</v>
      </c>
      <c r="C643" s="2577" t="s">
        <v>1831</v>
      </c>
      <c r="D643" s="2517"/>
      <c r="E643" s="2517"/>
      <c r="F643" s="2517"/>
      <c r="G643" s="2517"/>
      <c r="H643" s="2522">
        <f>lead!$J$36</f>
        <v>5000</v>
      </c>
      <c r="I643" s="2579" t="s">
        <v>66</v>
      </c>
      <c r="J643" s="2524">
        <f>ROUND(B643*H643,2)</f>
        <v>29950</v>
      </c>
    </row>
    <row r="644" spans="1:10" ht="45" customHeight="1">
      <c r="A644" s="2505"/>
      <c r="B644" s="2588">
        <v>3.375</v>
      </c>
      <c r="C644" s="3967" t="s">
        <v>1716</v>
      </c>
      <c r="D644" s="3967"/>
      <c r="E644" s="3967"/>
      <c r="F644" s="3967"/>
      <c r="G644" s="2528"/>
      <c r="H644" s="2528">
        <f>lead!$J$31</f>
        <v>1760.9684020595876</v>
      </c>
      <c r="I644" s="2579"/>
      <c r="J644" s="2524">
        <f t="shared" ref="J644:J647" si="9">ROUND(B644*H644,2)</f>
        <v>5943.27</v>
      </c>
    </row>
    <row r="645" spans="1:10" ht="35.1" customHeight="1">
      <c r="A645" s="2505"/>
      <c r="B645" s="2588">
        <v>3.375</v>
      </c>
      <c r="C645" s="3967" t="s">
        <v>1717</v>
      </c>
      <c r="D645" s="3967"/>
      <c r="E645" s="3967"/>
      <c r="F645" s="3967"/>
      <c r="G645" s="2528"/>
      <c r="H645" s="2528">
        <f>lead!$J$33</f>
        <v>1760.9684020595876</v>
      </c>
      <c r="I645" s="2579"/>
      <c r="J645" s="2524">
        <f t="shared" si="9"/>
        <v>5943.27</v>
      </c>
    </row>
    <row r="646" spans="1:10" ht="20.100000000000001" customHeight="1">
      <c r="A646" s="2505"/>
      <c r="B646" s="2588">
        <v>8.1</v>
      </c>
      <c r="C646" s="2577" t="s">
        <v>1942</v>
      </c>
      <c r="D646" s="2517"/>
      <c r="E646" s="2517"/>
      <c r="F646" s="2517"/>
      <c r="G646" s="2517"/>
      <c r="H646" s="2528">
        <f>lead!J17</f>
        <v>1738.8641904678079</v>
      </c>
      <c r="I646" s="2579"/>
      <c r="J646" s="2524">
        <f t="shared" si="9"/>
        <v>14084.8</v>
      </c>
    </row>
    <row r="647" spans="1:10" ht="20.100000000000001" customHeight="1">
      <c r="A647" s="2505"/>
      <c r="B647" s="2588">
        <v>5.4</v>
      </c>
      <c r="C647" s="2577" t="s">
        <v>1943</v>
      </c>
      <c r="D647" s="2517"/>
      <c r="E647" s="2517"/>
      <c r="F647" s="2517"/>
      <c r="G647" s="2517"/>
      <c r="H647" s="2522">
        <f>+lead!$J$18</f>
        <v>1638.8641904678079</v>
      </c>
      <c r="I647" s="2579"/>
      <c r="J647" s="2524">
        <f t="shared" si="9"/>
        <v>8849.8700000000008</v>
      </c>
    </row>
    <row r="648" spans="1:10" ht="20.100000000000001" customHeight="1">
      <c r="A648" s="2505"/>
      <c r="B648" s="2588"/>
      <c r="C648" s="2577"/>
      <c r="D648" s="2517"/>
      <c r="E648" s="2517"/>
      <c r="F648" s="2517"/>
      <c r="G648" s="2517"/>
      <c r="H648" s="2528"/>
      <c r="I648" s="2579"/>
      <c r="J648" s="2589">
        <f>SUM(J643:J647)</f>
        <v>64771.210000000014</v>
      </c>
    </row>
    <row r="649" spans="1:10" ht="20.100000000000001" customHeight="1">
      <c r="A649" s="2505"/>
      <c r="B649" s="2588"/>
      <c r="C649" s="2577" t="s">
        <v>1944</v>
      </c>
      <c r="D649" s="2517"/>
      <c r="E649" s="2517"/>
      <c r="F649" s="2517"/>
      <c r="G649" s="2517"/>
      <c r="H649" s="2578"/>
      <c r="I649" s="2579"/>
      <c r="J649" s="2589"/>
    </row>
    <row r="650" spans="1:10" ht="20.100000000000001" customHeight="1">
      <c r="A650" s="2505"/>
      <c r="B650" s="2584">
        <v>0.86</v>
      </c>
      <c r="C650" s="2577" t="s">
        <v>14</v>
      </c>
      <c r="D650" s="2517"/>
      <c r="E650" s="2517"/>
      <c r="F650" s="2517"/>
      <c r="G650" s="2517"/>
      <c r="H650" s="2522">
        <f>'SSR-rates'!K$58</f>
        <v>575</v>
      </c>
      <c r="I650" s="2579"/>
      <c r="J650" s="2524">
        <f t="shared" ref="J650:J653" si="10">ROUND(B650*H650,2)</f>
        <v>494.5</v>
      </c>
    </row>
    <row r="651" spans="1:10" ht="20.100000000000001" customHeight="1">
      <c r="A651" s="2505"/>
      <c r="B651" s="2584">
        <v>1.5</v>
      </c>
      <c r="C651" s="2577" t="s">
        <v>58</v>
      </c>
      <c r="D651" s="2517"/>
      <c r="E651" s="2517"/>
      <c r="F651" s="2517"/>
      <c r="G651" s="2517"/>
      <c r="H651" s="2522">
        <f>+'SSR-rates'!$K$96</f>
        <v>645</v>
      </c>
      <c r="I651" s="2579"/>
      <c r="J651" s="2524">
        <f t="shared" si="10"/>
        <v>967.5</v>
      </c>
    </row>
    <row r="652" spans="1:10" ht="20.100000000000001" customHeight="1">
      <c r="A652" s="2505"/>
      <c r="B652" s="2584">
        <v>20</v>
      </c>
      <c r="C652" s="2577" t="s">
        <v>59</v>
      </c>
      <c r="D652" s="2517"/>
      <c r="E652" s="2517"/>
      <c r="F652" s="2517"/>
      <c r="G652" s="2517"/>
      <c r="H652" s="2522">
        <f>'SSR-rates'!K$60</f>
        <v>575</v>
      </c>
      <c r="I652" s="2579"/>
      <c r="J652" s="2524">
        <f t="shared" si="10"/>
        <v>11500</v>
      </c>
    </row>
    <row r="653" spans="1:10" ht="20.100000000000001" customHeight="1">
      <c r="A653" s="2505"/>
      <c r="B653" s="2590">
        <f>'Input Data'!D23</f>
        <v>0</v>
      </c>
      <c r="C653" s="2577">
        <v>0</v>
      </c>
      <c r="D653" s="2517"/>
      <c r="E653" s="2517"/>
      <c r="F653" s="2517"/>
      <c r="G653" s="2517"/>
      <c r="H653" s="2591">
        <f>SUM(J650:J652)</f>
        <v>12962</v>
      </c>
      <c r="I653" s="2592"/>
      <c r="J653" s="2524">
        <f t="shared" si="10"/>
        <v>0</v>
      </c>
    </row>
    <row r="654" spans="1:10" ht="20.100000000000001" customHeight="1">
      <c r="A654" s="2505"/>
      <c r="B654" s="2584"/>
      <c r="C654" s="2577"/>
      <c r="D654" s="2517"/>
      <c r="E654" s="2517"/>
      <c r="F654" s="2517"/>
      <c r="G654" s="2517"/>
      <c r="H654" s="2578"/>
      <c r="I654" s="2579"/>
      <c r="J654" s="2589">
        <f>SUM(J650:J653)</f>
        <v>12962</v>
      </c>
    </row>
    <row r="655" spans="1:10" ht="20.100000000000001" customHeight="1">
      <c r="A655" s="2505"/>
      <c r="B655" s="2588"/>
      <c r="C655" s="2577" t="s">
        <v>1945</v>
      </c>
      <c r="D655" s="2517"/>
      <c r="E655" s="2517"/>
      <c r="F655" s="2517"/>
      <c r="G655" s="2517"/>
      <c r="H655" s="2578"/>
      <c r="I655" s="2579"/>
      <c r="J655" s="2589"/>
    </row>
    <row r="656" spans="1:10" ht="20.100000000000001" customHeight="1">
      <c r="A656" s="2505"/>
      <c r="B656" s="2584">
        <v>6</v>
      </c>
      <c r="C656" s="2577" t="s">
        <v>1946</v>
      </c>
      <c r="D656" s="2517"/>
      <c r="E656" s="2517"/>
      <c r="F656" s="2517"/>
      <c r="G656" s="2517"/>
      <c r="H656" s="2522">
        <f>'SSR-rates'!$K$88</f>
        <v>697.9</v>
      </c>
      <c r="I656" s="2579" t="s">
        <v>23</v>
      </c>
      <c r="J656" s="2524">
        <f t="shared" ref="J656:J657" si="11">ROUND(B656*H656,2)</f>
        <v>4187.3999999999996</v>
      </c>
    </row>
    <row r="657" spans="1:10" ht="20.100000000000001" customHeight="1">
      <c r="A657" s="2505"/>
      <c r="B657" s="2584">
        <v>6</v>
      </c>
      <c r="C657" s="2577" t="s">
        <v>1947</v>
      </c>
      <c r="D657" s="2517"/>
      <c r="E657" s="2517"/>
      <c r="F657" s="2517"/>
      <c r="G657" s="2517"/>
      <c r="H657" s="2522">
        <f>'SSR-rates'!$K$87</f>
        <v>1323.5</v>
      </c>
      <c r="I657" s="2579" t="s">
        <v>23</v>
      </c>
      <c r="J657" s="2524">
        <f t="shared" si="11"/>
        <v>7941</v>
      </c>
    </row>
    <row r="658" spans="1:10" ht="20.100000000000001" customHeight="1">
      <c r="A658" s="2505"/>
      <c r="B658" s="2584"/>
      <c r="C658" s="2577"/>
      <c r="D658" s="2517"/>
      <c r="E658" s="2517"/>
      <c r="F658" s="2517"/>
      <c r="G658" s="2517"/>
      <c r="H658" s="2578"/>
      <c r="I658" s="2593"/>
      <c r="J658" s="2589">
        <f>SUM(J656:J657)</f>
        <v>12128.4</v>
      </c>
    </row>
    <row r="659" spans="1:10" ht="20.100000000000001" customHeight="1">
      <c r="A659" s="2505"/>
      <c r="B659" s="2584"/>
      <c r="C659" s="2577" t="s">
        <v>1948</v>
      </c>
      <c r="D659" s="2517"/>
      <c r="E659" s="2517"/>
      <c r="F659" s="2517"/>
      <c r="G659" s="2517"/>
      <c r="H659" s="2578"/>
      <c r="I659" s="2579" t="s">
        <v>60</v>
      </c>
      <c r="J659" s="2589">
        <f>J648+J654+J658</f>
        <v>89861.610000000015</v>
      </c>
    </row>
    <row r="660" spans="1:10" ht="20.100000000000001" customHeight="1">
      <c r="A660" s="2505"/>
      <c r="B660" s="2588"/>
      <c r="C660" s="2577" t="s">
        <v>1949</v>
      </c>
      <c r="D660" s="2517"/>
      <c r="E660" s="2517"/>
      <c r="F660" s="2517"/>
      <c r="G660" s="2517"/>
      <c r="H660" s="2578"/>
      <c r="I660" s="2579"/>
      <c r="J660" s="2580">
        <f>J659/15</f>
        <v>5990.7740000000013</v>
      </c>
    </row>
    <row r="661" spans="1:10" ht="20.100000000000001" customHeight="1">
      <c r="A661" s="2505"/>
      <c r="B661" s="2594"/>
      <c r="C661" s="2583" t="s">
        <v>1950</v>
      </c>
      <c r="D661" s="2517"/>
      <c r="E661" s="2517"/>
      <c r="F661" s="2517"/>
      <c r="G661" s="2517"/>
      <c r="H661" s="2594"/>
      <c r="I661" s="2593"/>
      <c r="J661" s="2593"/>
    </row>
    <row r="662" spans="1:10" ht="20.100000000000001" customHeight="1">
      <c r="A662" s="2505"/>
      <c r="B662" s="2595">
        <f>H638</f>
        <v>4.0919999999999996</v>
      </c>
      <c r="C662" s="2577" t="s">
        <v>1951</v>
      </c>
      <c r="D662" s="2517"/>
      <c r="E662" s="2517"/>
      <c r="F662" s="2517"/>
      <c r="G662" s="2517"/>
      <c r="H662" s="2578">
        <f>+J660</f>
        <v>5990.7740000000013</v>
      </c>
      <c r="I662" s="2593"/>
      <c r="J662" s="2524">
        <f t="shared" ref="J662" si="12">ROUND(B662*H662,2)</f>
        <v>24514.25</v>
      </c>
    </row>
    <row r="663" spans="1:10" ht="20.100000000000001" customHeight="1">
      <c r="A663" s="2505"/>
      <c r="B663" s="2584">
        <v>5</v>
      </c>
      <c r="C663" s="2577" t="s">
        <v>1952</v>
      </c>
      <c r="D663" s="2517"/>
      <c r="E663" s="2517"/>
      <c r="F663" s="2517"/>
      <c r="G663" s="2517"/>
      <c r="H663" s="2578">
        <f>+J662</f>
        <v>24514.25</v>
      </c>
      <c r="I663" s="2579"/>
      <c r="J663" s="2580">
        <f>H663*B663/100</f>
        <v>1225.7125000000001</v>
      </c>
    </row>
    <row r="664" spans="1:10" ht="20.100000000000001" customHeight="1">
      <c r="A664" s="2505"/>
      <c r="B664" s="2578"/>
      <c r="C664" s="2577"/>
      <c r="D664" s="2517"/>
      <c r="E664" s="2517"/>
      <c r="F664" s="2517"/>
      <c r="G664" s="2517"/>
      <c r="H664" s="2578"/>
      <c r="I664" s="2579"/>
      <c r="J664" s="2580">
        <f>SUM(J662:J663)</f>
        <v>25739.962500000001</v>
      </c>
    </row>
    <row r="665" spans="1:10" ht="20.100000000000001" customHeight="1">
      <c r="A665" s="2505"/>
      <c r="B665" s="2588">
        <v>0</v>
      </c>
      <c r="C665" s="2577" t="s">
        <v>2591</v>
      </c>
      <c r="D665" s="2517"/>
      <c r="E665" s="2517"/>
      <c r="F665" s="2517"/>
      <c r="G665" s="2517"/>
      <c r="H665" s="2578">
        <f>J445</f>
        <v>58887</v>
      </c>
      <c r="I665" s="2579"/>
      <c r="J665" s="2580">
        <f>H665*B665</f>
        <v>0</v>
      </c>
    </row>
    <row r="666" spans="1:10" ht="20.100000000000001" customHeight="1">
      <c r="A666" s="2505"/>
      <c r="B666" s="2588"/>
      <c r="C666" s="2577"/>
      <c r="D666" s="2517"/>
      <c r="E666" s="2517"/>
      <c r="F666" s="2517"/>
      <c r="G666" s="2517"/>
      <c r="H666" s="2578"/>
      <c r="I666" s="2579"/>
      <c r="J666" s="2580">
        <f>SUM(J664:J665)</f>
        <v>25739.962500000001</v>
      </c>
    </row>
    <row r="667" spans="1:10" ht="20.100000000000001" customHeight="1">
      <c r="A667" s="2505"/>
      <c r="B667" s="2596">
        <f>B621</f>
        <v>0.19614999999999999</v>
      </c>
      <c r="C667" s="2577" t="s">
        <v>1953</v>
      </c>
      <c r="D667" s="2517"/>
      <c r="E667" s="2517"/>
      <c r="F667" s="2517"/>
      <c r="G667" s="2517"/>
      <c r="H667" s="2578">
        <f>+J666</f>
        <v>25739.962500000001</v>
      </c>
      <c r="I667" s="2579"/>
      <c r="J667" s="2580">
        <f>H667*B667</f>
        <v>5048.8936443749999</v>
      </c>
    </row>
    <row r="668" spans="1:10" ht="20.100000000000001" customHeight="1">
      <c r="A668" s="2505"/>
      <c r="B668" s="2588"/>
      <c r="C668" s="2577"/>
      <c r="D668" s="2517"/>
      <c r="E668" s="2517"/>
      <c r="F668" s="2517"/>
      <c r="G668" s="2517"/>
      <c r="H668" s="2578"/>
      <c r="I668" s="2579"/>
      <c r="J668" s="2580">
        <f>SUM(J666:J667)</f>
        <v>30788.856144375</v>
      </c>
    </row>
    <row r="669" spans="1:10" ht="20.100000000000001" customHeight="1">
      <c r="A669" s="2505"/>
      <c r="B669" s="2596">
        <f>B622</f>
        <v>0.1</v>
      </c>
      <c r="C669" s="2577" t="s">
        <v>1954</v>
      </c>
      <c r="D669" s="2517"/>
      <c r="E669" s="2517"/>
      <c r="F669" s="2517"/>
      <c r="G669" s="2517"/>
      <c r="H669" s="2578">
        <f>+J668</f>
        <v>30788.856144375</v>
      </c>
      <c r="I669" s="2579"/>
      <c r="J669" s="2580">
        <f>H669*B669/100</f>
        <v>30.788856144375004</v>
      </c>
    </row>
    <row r="670" spans="1:10" ht="20.100000000000001" customHeight="1">
      <c r="A670" s="2505"/>
      <c r="B670" s="2505"/>
      <c r="C670" s="2577"/>
      <c r="D670" s="2517"/>
      <c r="E670" s="2517"/>
      <c r="F670" s="2517"/>
      <c r="G670" s="2517"/>
      <c r="H670" s="2578"/>
      <c r="I670" s="2579"/>
      <c r="J670" s="2580">
        <f>SUM(J668:J669)</f>
        <v>30819.645000519376</v>
      </c>
    </row>
    <row r="671" spans="1:10" ht="20.100000000000001" customHeight="1">
      <c r="A671" s="2505"/>
      <c r="B671" s="2505"/>
      <c r="C671" s="2577" t="s">
        <v>1955</v>
      </c>
      <c r="D671" s="2517"/>
      <c r="E671" s="2517"/>
      <c r="F671" s="2517"/>
      <c r="G671" s="2517"/>
      <c r="H671" s="2578"/>
      <c r="I671" s="2579"/>
      <c r="J671" s="2580">
        <f>SUM(J670:J670)</f>
        <v>30819.645000519376</v>
      </c>
    </row>
    <row r="672" spans="1:10" ht="20.100000000000001" customHeight="1">
      <c r="A672" s="2505"/>
      <c r="B672" s="2505"/>
      <c r="C672" s="2577" t="s">
        <v>1956</v>
      </c>
      <c r="D672" s="2517"/>
      <c r="E672" s="2517"/>
      <c r="F672" s="2517"/>
      <c r="G672" s="2517"/>
      <c r="H672" s="2578"/>
      <c r="I672" s="2579"/>
      <c r="J672" s="2580">
        <f>J671/H630</f>
        <v>642.07593751082038</v>
      </c>
    </row>
    <row r="673" spans="1:10" ht="20.100000000000001" customHeight="1">
      <c r="A673" s="2505"/>
      <c r="B673" s="2505"/>
      <c r="C673" s="2577" t="s">
        <v>1957</v>
      </c>
      <c r="D673" s="2517"/>
      <c r="E673" s="2517"/>
      <c r="F673" s="2517"/>
      <c r="G673" s="2517"/>
      <c r="H673" s="2580"/>
      <c r="I673" s="2579" t="s">
        <v>1958</v>
      </c>
      <c r="J673" s="2589">
        <f>J672</f>
        <v>642.07593751082038</v>
      </c>
    </row>
    <row r="677" spans="1:10" ht="18" customHeight="1">
      <c r="C677" s="2506" t="str">
        <f>'Pipe data'!D253</f>
        <v>Assistant Engineer,</v>
      </c>
      <c r="G677" s="2506" t="str">
        <f>'Pipe data'!E253</f>
        <v>Dy. Exe. Engineer</v>
      </c>
    </row>
    <row r="678" spans="1:10" ht="18" customHeight="1">
      <c r="C678" s="2506" t="str">
        <f>'Pipe data'!D275</f>
        <v>PRSD, Maddur</v>
      </c>
      <c r="G678" s="2506" t="str">
        <f>'Pipe data'!E275</f>
        <v>PRSD, Maddur</v>
      </c>
    </row>
    <row r="681" spans="1:10" ht="18" customHeight="1">
      <c r="C681" s="2506" t="str">
        <f>'Pipe data'!D400</f>
        <v>District Panchayat Raj Engineer,</v>
      </c>
      <c r="G681" s="2506" t="str">
        <f>'Pipe data'!E400</f>
        <v>Superintending Engineer</v>
      </c>
    </row>
    <row r="682" spans="1:10" ht="18" customHeight="1">
      <c r="C682" s="2506" t="str">
        <f>'Pipe data'!D401</f>
        <v>PIU, Narayanpet</v>
      </c>
      <c r="G682" s="2599" t="str">
        <f>'Pipe data'!E401</f>
        <v>PR, Circle, Vikarabad</v>
      </c>
    </row>
  </sheetData>
  <mergeCells count="155">
    <mergeCell ref="C644:F644"/>
    <mergeCell ref="C645:F645"/>
    <mergeCell ref="D613:G613"/>
    <mergeCell ref="D614:G614"/>
    <mergeCell ref="D615:G615"/>
    <mergeCell ref="D616:G616"/>
    <mergeCell ref="D617:G617"/>
    <mergeCell ref="D618:G618"/>
    <mergeCell ref="D619:G619"/>
    <mergeCell ref="C621:G621"/>
    <mergeCell ref="B627:J627"/>
    <mergeCell ref="B580:J580"/>
    <mergeCell ref="C597:G597"/>
    <mergeCell ref="B605:J605"/>
    <mergeCell ref="D606:G606"/>
    <mergeCell ref="D607:G607"/>
    <mergeCell ref="D608:G608"/>
    <mergeCell ref="D609:G609"/>
    <mergeCell ref="D610:G610"/>
    <mergeCell ref="D612:G612"/>
    <mergeCell ref="D488:G488"/>
    <mergeCell ref="D489:G489"/>
    <mergeCell ref="C499:G499"/>
    <mergeCell ref="B506:J506"/>
    <mergeCell ref="D519:G519"/>
    <mergeCell ref="D520:G520"/>
    <mergeCell ref="B538:J538"/>
    <mergeCell ref="B561:J561"/>
    <mergeCell ref="C575:G575"/>
    <mergeCell ref="D467:G467"/>
    <mergeCell ref="D468:G468"/>
    <mergeCell ref="D469:G469"/>
    <mergeCell ref="D470:G470"/>
    <mergeCell ref="D471:G471"/>
    <mergeCell ref="D473:G473"/>
    <mergeCell ref="D474:G474"/>
    <mergeCell ref="D475:G475"/>
    <mergeCell ref="B476:J476"/>
    <mergeCell ref="D457:G457"/>
    <mergeCell ref="D458:G458"/>
    <mergeCell ref="D459:G459"/>
    <mergeCell ref="D460:G460"/>
    <mergeCell ref="D462:G462"/>
    <mergeCell ref="D463:G463"/>
    <mergeCell ref="D464:G464"/>
    <mergeCell ref="D465:G465"/>
    <mergeCell ref="D466:G466"/>
    <mergeCell ref="D447:G447"/>
    <mergeCell ref="D448:G448"/>
    <mergeCell ref="D449:G449"/>
    <mergeCell ref="D450:G450"/>
    <mergeCell ref="D451:G451"/>
    <mergeCell ref="B453:J453"/>
    <mergeCell ref="D454:G454"/>
    <mergeCell ref="D455:G455"/>
    <mergeCell ref="D456:G456"/>
    <mergeCell ref="D437:G437"/>
    <mergeCell ref="D438:G438"/>
    <mergeCell ref="D440:G440"/>
    <mergeCell ref="D441:G441"/>
    <mergeCell ref="D442:G442"/>
    <mergeCell ref="D443:G443"/>
    <mergeCell ref="D444:G444"/>
    <mergeCell ref="D445:G445"/>
    <mergeCell ref="D446:G446"/>
    <mergeCell ref="D412:G412"/>
    <mergeCell ref="D413:G413"/>
    <mergeCell ref="C423:G423"/>
    <mergeCell ref="B431:J431"/>
    <mergeCell ref="D432:G432"/>
    <mergeCell ref="D433:G433"/>
    <mergeCell ref="D434:G434"/>
    <mergeCell ref="D435:G435"/>
    <mergeCell ref="D436:G436"/>
    <mergeCell ref="D312:F312"/>
    <mergeCell ref="B313:J313"/>
    <mergeCell ref="B338:J338"/>
    <mergeCell ref="D350:G350"/>
    <mergeCell ref="D351:G351"/>
    <mergeCell ref="B369:J369"/>
    <mergeCell ref="D381:G381"/>
    <mergeCell ref="D382:G382"/>
    <mergeCell ref="B400:J400"/>
    <mergeCell ref="D283:G283"/>
    <mergeCell ref="D284:G284"/>
    <mergeCell ref="D286:G286"/>
    <mergeCell ref="D287:G287"/>
    <mergeCell ref="D288:G288"/>
    <mergeCell ref="D289:G289"/>
    <mergeCell ref="D290:G290"/>
    <mergeCell ref="B291:J291"/>
    <mergeCell ref="C307:G307"/>
    <mergeCell ref="D273:G273"/>
    <mergeCell ref="D274:G274"/>
    <mergeCell ref="D275:G275"/>
    <mergeCell ref="D276:G276"/>
    <mergeCell ref="D278:G278"/>
    <mergeCell ref="D279:G279"/>
    <mergeCell ref="D280:G280"/>
    <mergeCell ref="D281:G281"/>
    <mergeCell ref="D282:G282"/>
    <mergeCell ref="D221:G221"/>
    <mergeCell ref="D222:G222"/>
    <mergeCell ref="B239:J239"/>
    <mergeCell ref="D251:G251"/>
    <mergeCell ref="D252:G252"/>
    <mergeCell ref="B269:J269"/>
    <mergeCell ref="D270:G270"/>
    <mergeCell ref="D271:G271"/>
    <mergeCell ref="D272:G272"/>
    <mergeCell ref="D171:G171"/>
    <mergeCell ref="D172:G172"/>
    <mergeCell ref="D173:G173"/>
    <mergeCell ref="D174:G174"/>
    <mergeCell ref="D175:G175"/>
    <mergeCell ref="B177:J177"/>
    <mergeCell ref="D190:G190"/>
    <mergeCell ref="D191:G191"/>
    <mergeCell ref="B208:J208"/>
    <mergeCell ref="D161:G161"/>
    <mergeCell ref="D162:G162"/>
    <mergeCell ref="D164:G164"/>
    <mergeCell ref="D165:G165"/>
    <mergeCell ref="D166:G166"/>
    <mergeCell ref="D167:G167"/>
    <mergeCell ref="D168:G168"/>
    <mergeCell ref="D169:G169"/>
    <mergeCell ref="D170:G170"/>
    <mergeCell ref="D137:G137"/>
    <mergeCell ref="D138:G138"/>
    <mergeCell ref="C148:G148"/>
    <mergeCell ref="B155:J155"/>
    <mergeCell ref="D156:G156"/>
    <mergeCell ref="D157:G157"/>
    <mergeCell ref="D158:G158"/>
    <mergeCell ref="D159:G159"/>
    <mergeCell ref="D160:G160"/>
    <mergeCell ref="D47:G47"/>
    <mergeCell ref="B64:J64"/>
    <mergeCell ref="D77:G77"/>
    <mergeCell ref="D78:G78"/>
    <mergeCell ref="B95:J95"/>
    <mergeCell ref="D107:G107"/>
    <mergeCell ref="D108:G108"/>
    <mergeCell ref="C118:G118"/>
    <mergeCell ref="B125:J125"/>
    <mergeCell ref="B1:J1"/>
    <mergeCell ref="D2:J2"/>
    <mergeCell ref="B3:C3"/>
    <mergeCell ref="D3:G3"/>
    <mergeCell ref="B5:J5"/>
    <mergeCell ref="D16:G16"/>
    <mergeCell ref="D17:G17"/>
    <mergeCell ref="B33:J33"/>
    <mergeCell ref="D46:G46"/>
  </mergeCells>
  <conditionalFormatting sqref="A291">
    <cfRule type="cellIs" dxfId="24" priority="8" stopIfTrue="1" operator="equal">
      <formula>#REF!</formula>
    </cfRule>
  </conditionalFormatting>
  <conditionalFormatting sqref="A312">
    <cfRule type="cellIs" dxfId="23" priority="7" stopIfTrue="1" operator="equal">
      <formula>A291</formula>
    </cfRule>
  </conditionalFormatting>
  <printOptions horizontalCentered="1" gridLines="1"/>
  <pageMargins left="0.59055118110236204" right="0.196850393700787" top="0.59055118110236204" bottom="0.39370078740157499" header="7.8740157480315001E-2" footer="0.196850393700787"/>
  <pageSetup paperSize="9" scale="95" orientation="portrait" r:id="rId1"/>
  <headerFooter alignWithMargins="0">
    <oddHeader>&amp;CPage &amp;P of &amp;N</oddHead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2"/>
  <sheetViews>
    <sheetView view="pageBreakPreview" topLeftCell="A4" zoomScaleSheetLayoutView="100" workbookViewId="0">
      <selection activeCell="A101" sqref="A101:XFD113"/>
    </sheetView>
  </sheetViews>
  <sheetFormatPr defaultColWidth="9.33203125" defaultRowHeight="13.2"/>
  <cols>
    <col min="1" max="1" width="4" style="2332" customWidth="1"/>
    <col min="2" max="2" width="27.77734375" style="2332" customWidth="1"/>
    <col min="3" max="3" width="5.77734375" style="2328" customWidth="1"/>
    <col min="4" max="4" width="3.77734375" style="2328" customWidth="1"/>
    <col min="5" max="5" width="4.77734375" style="2328" customWidth="1"/>
    <col min="6" max="6" width="9.109375" style="2328" customWidth="1"/>
    <col min="7" max="7" width="7.6640625" style="2328" bestFit="1" customWidth="1"/>
    <col min="8" max="8" width="7.77734375" style="2328" customWidth="1"/>
    <col min="9" max="9" width="11.33203125" style="2328" customWidth="1"/>
    <col min="10" max="10" width="9.6640625" style="2328" bestFit="1" customWidth="1"/>
    <col min="11" max="11" width="4.109375" style="2328" bestFit="1" customWidth="1"/>
    <col min="12" max="12" width="10.77734375" style="2328" bestFit="1" customWidth="1"/>
    <col min="13" max="13" width="15.6640625" style="2332" customWidth="1"/>
    <col min="14" max="14" width="40.33203125" style="2332" bestFit="1" customWidth="1"/>
    <col min="15" max="15" width="14.109375" style="2332" bestFit="1" customWidth="1"/>
    <col min="16" max="16" width="12.6640625" style="2338" customWidth="1"/>
    <col min="17" max="17" width="10.33203125" style="2332" customWidth="1"/>
    <col min="18" max="18" width="9.33203125" style="2332"/>
    <col min="19" max="19" width="7.6640625" style="2332" bestFit="1" customWidth="1"/>
    <col min="20" max="21" width="6.44140625" style="2332" bestFit="1" customWidth="1"/>
    <col min="22" max="22" width="7.6640625" style="2332" bestFit="1" customWidth="1"/>
    <col min="23" max="23" width="15.77734375" style="2332" bestFit="1" customWidth="1"/>
    <col min="24" max="16384" width="9.33203125" style="2332"/>
  </cols>
  <sheetData>
    <row r="1" spans="1:16">
      <c r="A1" s="2327"/>
      <c r="B1" s="2327"/>
      <c r="F1" s="2329" t="s">
        <v>2925</v>
      </c>
      <c r="I1" s="2330"/>
      <c r="K1" s="2330"/>
      <c r="M1" s="2331"/>
      <c r="N1" s="2331"/>
      <c r="O1" s="2331"/>
      <c r="P1" s="2331"/>
    </row>
    <row r="2" spans="1:16">
      <c r="A2" s="2327"/>
      <c r="B2" s="2327"/>
      <c r="C2" s="2330"/>
      <c r="F2" s="2330"/>
      <c r="I2" s="2330"/>
      <c r="K2" s="2330"/>
      <c r="M2" s="2331"/>
      <c r="N2" s="2331"/>
      <c r="O2" s="2331"/>
      <c r="P2" s="2331"/>
    </row>
    <row r="3" spans="1:16">
      <c r="A3" s="2327"/>
      <c r="B3" s="2327" t="s">
        <v>2919</v>
      </c>
      <c r="C3" s="3985" t="str">
        <f>GA!B2</f>
        <v>C/o HLB on R/F Amlikunta to Gundumal of Gundumal Mandal of Narayanept District.</v>
      </c>
      <c r="D3" s="3986"/>
      <c r="E3" s="3986"/>
      <c r="F3" s="3986"/>
      <c r="G3" s="3986"/>
      <c r="H3" s="3986"/>
      <c r="I3" s="3986"/>
      <c r="J3" s="3986"/>
      <c r="K3" s="3986"/>
      <c r="L3" s="3986"/>
      <c r="M3" s="2331"/>
      <c r="N3" s="2331"/>
      <c r="O3" s="2331"/>
      <c r="P3" s="2331"/>
    </row>
    <row r="4" spans="1:16">
      <c r="A4" s="2327"/>
      <c r="B4" s="2327"/>
      <c r="C4" s="2330"/>
      <c r="F4" s="2330"/>
      <c r="I4" s="2330" t="s">
        <v>2920</v>
      </c>
      <c r="J4" s="2333">
        <f>L100/100000</f>
        <v>29.872449807118784</v>
      </c>
      <c r="K4" s="2330"/>
      <c r="L4" s="2328" t="s">
        <v>329</v>
      </c>
      <c r="M4" s="2331"/>
      <c r="N4" s="2331"/>
      <c r="O4" s="2331"/>
      <c r="P4" s="2331"/>
    </row>
    <row r="5" spans="1:16" ht="15" customHeight="1">
      <c r="A5" s="3987" t="s">
        <v>391</v>
      </c>
      <c r="B5" s="3988" t="s">
        <v>1418</v>
      </c>
      <c r="C5" s="3987" t="s">
        <v>708</v>
      </c>
      <c r="D5" s="3987"/>
      <c r="E5" s="3987"/>
      <c r="F5" s="3987" t="s">
        <v>2641</v>
      </c>
      <c r="G5" s="3987"/>
      <c r="H5" s="3987"/>
      <c r="I5" s="3987" t="s">
        <v>2921</v>
      </c>
      <c r="J5" s="3990" t="s">
        <v>968</v>
      </c>
      <c r="K5" s="3990" t="s">
        <v>2922</v>
      </c>
      <c r="L5" s="3990" t="s">
        <v>531</v>
      </c>
      <c r="M5" s="2331"/>
      <c r="N5" s="2331"/>
      <c r="O5" s="2331"/>
      <c r="P5" s="2331"/>
    </row>
    <row r="6" spans="1:16">
      <c r="A6" s="3987">
        <v>1</v>
      </c>
      <c r="B6" s="3988"/>
      <c r="C6" s="3987"/>
      <c r="D6" s="3987"/>
      <c r="E6" s="3987"/>
      <c r="F6" s="2334" t="s">
        <v>180</v>
      </c>
      <c r="G6" s="2334" t="s">
        <v>732</v>
      </c>
      <c r="H6" s="2334" t="s">
        <v>906</v>
      </c>
      <c r="I6" s="3987"/>
      <c r="J6" s="3990"/>
      <c r="K6" s="3990"/>
      <c r="L6" s="3990"/>
      <c r="M6" s="2331"/>
      <c r="N6" s="2331"/>
      <c r="O6" s="2331"/>
      <c r="P6" s="2331"/>
    </row>
    <row r="7" spans="1:16">
      <c r="A7" s="2334">
        <v>1</v>
      </c>
      <c r="B7" s="2334">
        <v>2</v>
      </c>
      <c r="C7" s="3987">
        <v>3</v>
      </c>
      <c r="D7" s="3987"/>
      <c r="E7" s="3987"/>
      <c r="F7" s="2334">
        <v>4</v>
      </c>
      <c r="G7" s="2334">
        <v>5</v>
      </c>
      <c r="H7" s="2334">
        <v>6</v>
      </c>
      <c r="I7" s="2334">
        <v>7</v>
      </c>
      <c r="J7" s="2334">
        <v>8</v>
      </c>
      <c r="K7" s="2334">
        <v>9</v>
      </c>
      <c r="L7" s="2334">
        <v>10</v>
      </c>
      <c r="M7" s="2331"/>
      <c r="N7" s="2331"/>
      <c r="O7" s="2331"/>
      <c r="P7" s="2331"/>
    </row>
    <row r="8" spans="1:16" ht="13.8">
      <c r="B8" s="2335"/>
      <c r="C8" s="3991"/>
      <c r="D8" s="3991" t="s">
        <v>2926</v>
      </c>
      <c r="E8" s="3991"/>
      <c r="F8" s="3991"/>
      <c r="G8" s="3991"/>
      <c r="H8" s="3991"/>
      <c r="I8" s="3991"/>
      <c r="J8" s="3991"/>
      <c r="K8" s="3991"/>
      <c r="L8" s="3991"/>
      <c r="M8" s="2331"/>
      <c r="N8" s="2331"/>
      <c r="O8" s="2331"/>
      <c r="P8" s="2331"/>
    </row>
    <row r="9" spans="1:16" ht="66" customHeight="1">
      <c r="A9" s="2336">
        <v>1</v>
      </c>
      <c r="B9" s="3989" t="str">
        <f>'[180]Data-Road '!C44</f>
        <v>Construction of embankment with approved material obtained from borrow pits with all lifts, transporting to site, spreading, grading to required slope and compacting to meet requirement of Tables 300.1 and 300.2 with a lead upto 1000 m as per Technical Specification Clause 301.5 MORD/ 305 MORTH including overhead charges &amp; Contractor profit ,but Excluding VAT &amp; Seignarage charges.</v>
      </c>
      <c r="C9" s="3989"/>
      <c r="D9" s="3989"/>
      <c r="E9" s="3989"/>
      <c r="F9" s="3989"/>
      <c r="G9" s="3989"/>
      <c r="H9" s="3989"/>
      <c r="I9" s="3989"/>
      <c r="L9" s="2337"/>
      <c r="M9" s="2331"/>
      <c r="N9" s="2331"/>
      <c r="O9" s="2331"/>
      <c r="P9" s="2331"/>
    </row>
    <row r="10" spans="1:16">
      <c r="A10" s="2336"/>
      <c r="B10" s="2338"/>
      <c r="E10" s="2339"/>
      <c r="F10" s="2339"/>
      <c r="G10" s="2339"/>
      <c r="H10" s="2339"/>
      <c r="I10" s="2339"/>
      <c r="J10" s="2339"/>
      <c r="M10" s="2331"/>
      <c r="N10" s="2331"/>
      <c r="O10" s="2331"/>
      <c r="P10" s="2331"/>
    </row>
    <row r="11" spans="1:16" ht="27" customHeight="1">
      <c r="A11" s="2336"/>
      <c r="B11" s="2340" t="s">
        <v>2927</v>
      </c>
      <c r="C11" s="2328">
        <v>1</v>
      </c>
      <c r="D11" s="2328" t="s">
        <v>907</v>
      </c>
      <c r="E11" s="2328">
        <v>1</v>
      </c>
      <c r="F11" s="2339">
        <v>169.38</v>
      </c>
      <c r="G11" s="2339">
        <v>10.62</v>
      </c>
      <c r="H11" s="2339">
        <v>3.12</v>
      </c>
      <c r="I11" s="2339">
        <v>5619.29</v>
      </c>
      <c r="J11" s="2339"/>
      <c r="K11" s="2329"/>
      <c r="M11" s="2331"/>
      <c r="N11" s="2331"/>
      <c r="O11" s="2331"/>
      <c r="P11" s="2331"/>
    </row>
    <row r="12" spans="1:16" ht="27" customHeight="1">
      <c r="A12" s="2336"/>
      <c r="B12" s="2341" t="s">
        <v>2928</v>
      </c>
      <c r="C12" s="2328">
        <v>1</v>
      </c>
      <c r="D12" s="2328" t="s">
        <v>907</v>
      </c>
      <c r="E12" s="2328">
        <v>1</v>
      </c>
      <c r="F12" s="2339">
        <v>139.38</v>
      </c>
      <c r="G12" s="2339">
        <v>10.62</v>
      </c>
      <c r="H12" s="2339">
        <v>2.62</v>
      </c>
      <c r="I12" s="2339">
        <v>3883.7</v>
      </c>
      <c r="J12" s="2339"/>
      <c r="M12" s="2331"/>
      <c r="N12" s="2331"/>
      <c r="O12" s="2331"/>
      <c r="P12" s="2331"/>
    </row>
    <row r="13" spans="1:16" ht="15" hidden="1">
      <c r="A13" s="2336"/>
      <c r="B13" s="2332" t="s">
        <v>2929</v>
      </c>
      <c r="C13" s="2328">
        <v>1</v>
      </c>
      <c r="D13" s="2328" t="s">
        <v>907</v>
      </c>
      <c r="E13" s="2328">
        <v>1</v>
      </c>
      <c r="F13" s="2342">
        <v>0</v>
      </c>
      <c r="G13" s="2328">
        <f>(7.5+7.5+2*H13)/2</f>
        <v>8.25</v>
      </c>
      <c r="H13" s="2328">
        <v>0.75</v>
      </c>
      <c r="I13" s="2343">
        <f>PRODUCT(C13:H13)</f>
        <v>0</v>
      </c>
      <c r="J13" s="2344"/>
      <c r="K13" s="2345"/>
      <c r="L13" s="2346"/>
      <c r="M13" s="2331"/>
      <c r="N13" s="2331"/>
      <c r="O13" s="2331"/>
      <c r="P13" s="2347"/>
    </row>
    <row r="14" spans="1:16">
      <c r="A14" s="2336"/>
      <c r="B14" s="2348"/>
      <c r="E14" s="2339"/>
      <c r="F14" s="2339"/>
      <c r="G14" s="2339"/>
      <c r="H14" s="2339"/>
      <c r="I14" s="2339"/>
      <c r="K14" s="2339"/>
      <c r="L14" s="2346"/>
      <c r="M14" s="2331"/>
      <c r="N14" s="2331"/>
      <c r="O14" s="2331"/>
      <c r="P14" s="2347"/>
    </row>
    <row r="15" spans="1:16" ht="12.75" customHeight="1">
      <c r="A15" s="2336"/>
      <c r="B15" s="2349"/>
      <c r="C15" s="2350"/>
      <c r="D15" s="2350"/>
      <c r="E15" s="2350"/>
      <c r="F15" s="2350"/>
      <c r="G15" s="2350"/>
      <c r="H15" s="2350"/>
      <c r="I15" s="2351">
        <f>SUM(I11:I14)</f>
        <v>9502.99</v>
      </c>
      <c r="J15" s="2339">
        <f>'[180]Data-Road '!G64</f>
        <v>185.83034999999995</v>
      </c>
      <c r="K15" s="2339" t="s">
        <v>2947</v>
      </c>
      <c r="L15" s="2346">
        <f>PRODUCT(J15*I15)</f>
        <v>1765943.9577464995</v>
      </c>
      <c r="M15" s="2331"/>
      <c r="N15" s="2331"/>
      <c r="O15" s="2331"/>
      <c r="P15" s="2347"/>
    </row>
    <row r="16" spans="1:16" ht="12.75" customHeight="1">
      <c r="A16" s="2336"/>
      <c r="B16" s="2349"/>
      <c r="C16" s="2350"/>
      <c r="D16" s="2350"/>
      <c r="E16" s="2350"/>
      <c r="F16" s="2350"/>
      <c r="G16" s="2350"/>
      <c r="H16" s="2350"/>
      <c r="I16" s="2352"/>
      <c r="J16" s="2339"/>
      <c r="K16" s="2339"/>
      <c r="L16" s="2346"/>
      <c r="M16" s="2331"/>
      <c r="N16" s="2331"/>
      <c r="O16" s="2331"/>
      <c r="P16" s="2347"/>
    </row>
    <row r="17" spans="1:20" ht="93.75" customHeight="1">
      <c r="A17" s="2336">
        <v>2</v>
      </c>
      <c r="B17" s="3989" t="str">
        <f>'[180]Data-Road '!C112</f>
        <v>Construction of granular sub-base  by providing well graded material(Table 400.1) with Grading III  Material  CBR Value not less than  20 and  PI Value less than 6  spreading in uniform layers with Tractor grader on prepared surface, mixing by mix in place method with rotavator  at OMC, and compacting with  Vibratory Roller to achieve the  desired density, complete as per Technical Specification Clause 401 MORD .including contractors profit &amp; Over head charges,but Excluding VAT &amp; Seignarage charges.</v>
      </c>
      <c r="C17" s="3989"/>
      <c r="D17" s="3989"/>
      <c r="E17" s="3989"/>
      <c r="F17" s="3989"/>
      <c r="G17" s="3989"/>
      <c r="H17" s="3989"/>
      <c r="I17" s="3989"/>
      <c r="J17" s="2339"/>
      <c r="K17" s="2339"/>
      <c r="L17" s="2346"/>
      <c r="M17" s="2331"/>
      <c r="N17" s="2331"/>
      <c r="O17" s="2331"/>
      <c r="P17" s="2331"/>
      <c r="T17" s="2353"/>
    </row>
    <row r="18" spans="1:20">
      <c r="A18" s="2336"/>
      <c r="B18" s="2354"/>
      <c r="F18" s="2339"/>
      <c r="G18" s="2339"/>
      <c r="H18" s="2339"/>
      <c r="I18" s="2339"/>
      <c r="J18" s="2339"/>
      <c r="K18" s="2339"/>
      <c r="L18" s="2346"/>
      <c r="M18" s="2331"/>
      <c r="N18" s="2331"/>
      <c r="O18" s="2331"/>
      <c r="P18" s="2331"/>
      <c r="T18" s="2353"/>
    </row>
    <row r="19" spans="1:20">
      <c r="A19" s="2336"/>
      <c r="B19" s="2355" t="s">
        <v>2930</v>
      </c>
      <c r="C19" s="2328">
        <v>1</v>
      </c>
      <c r="D19" s="2328" t="s">
        <v>907</v>
      </c>
      <c r="E19" s="2328">
        <v>1</v>
      </c>
      <c r="F19" s="2339">
        <f>F11</f>
        <v>169.38</v>
      </c>
      <c r="G19" s="2339">
        <v>3.75</v>
      </c>
      <c r="H19" s="2339">
        <v>0.15</v>
      </c>
      <c r="I19" s="2339">
        <f>PRODUCT(C19:H19)</f>
        <v>95.27624999999999</v>
      </c>
      <c r="J19" s="2339"/>
      <c r="K19" s="2339"/>
      <c r="L19" s="2346"/>
      <c r="M19" s="2331"/>
      <c r="N19" s="2331"/>
      <c r="O19" s="2331"/>
      <c r="P19" s="2331"/>
      <c r="T19" s="2353"/>
    </row>
    <row r="20" spans="1:20">
      <c r="A20" s="2336"/>
      <c r="B20" s="2355" t="s">
        <v>2931</v>
      </c>
      <c r="C20" s="2328">
        <v>1</v>
      </c>
      <c r="D20" s="2328" t="s">
        <v>907</v>
      </c>
      <c r="E20" s="2328">
        <v>1</v>
      </c>
      <c r="F20" s="2339">
        <v>139.38</v>
      </c>
      <c r="G20" s="2339">
        <v>3.75</v>
      </c>
      <c r="H20" s="2339">
        <v>0.15</v>
      </c>
      <c r="I20" s="2339">
        <f>PRODUCT(C20:H20)</f>
        <v>78.40124999999999</v>
      </c>
      <c r="J20" s="2339"/>
      <c r="K20" s="2339"/>
      <c r="L20" s="2346"/>
      <c r="M20" s="2331"/>
      <c r="N20" s="2331"/>
      <c r="O20" s="2331"/>
      <c r="P20" s="2331"/>
      <c r="T20" s="2353"/>
    </row>
    <row r="21" spans="1:20" hidden="1">
      <c r="A21" s="2336"/>
      <c r="B21" s="2348" t="s">
        <v>2932</v>
      </c>
      <c r="C21" s="2328">
        <v>1</v>
      </c>
      <c r="D21" s="2328" t="s">
        <v>907</v>
      </c>
      <c r="E21" s="2328">
        <v>1</v>
      </c>
      <c r="F21" s="2339">
        <f>$F$13</f>
        <v>0</v>
      </c>
      <c r="G21" s="2339">
        <v>4</v>
      </c>
      <c r="H21" s="2339">
        <v>0.15</v>
      </c>
      <c r="I21" s="2339">
        <f>PRODUCT(C21:H21)</f>
        <v>0</v>
      </c>
      <c r="J21" s="2339"/>
      <c r="K21" s="2339"/>
      <c r="L21" s="2346"/>
      <c r="M21" s="2331"/>
      <c r="N21" s="2331"/>
      <c r="O21" s="2331"/>
      <c r="P21" s="2331"/>
      <c r="T21" s="2353"/>
    </row>
    <row r="22" spans="1:20">
      <c r="A22" s="2336"/>
      <c r="B22" s="2349"/>
      <c r="C22" s="2350"/>
      <c r="D22" s="2350"/>
      <c r="E22" s="2350"/>
      <c r="F22" s="2350"/>
      <c r="G22" s="2350"/>
      <c r="H22" s="2350"/>
      <c r="I22" s="2350"/>
      <c r="K22" s="2339"/>
      <c r="L22" s="2346"/>
      <c r="M22" s="2331"/>
      <c r="N22" s="2331"/>
      <c r="O22" s="2331"/>
      <c r="P22" s="2347"/>
    </row>
    <row r="23" spans="1:20" ht="12.75" customHeight="1">
      <c r="A23" s="2336"/>
      <c r="B23" s="2349"/>
      <c r="C23" s="2350"/>
      <c r="D23" s="2350"/>
      <c r="E23" s="2350"/>
      <c r="F23" s="2350"/>
      <c r="G23" s="2350"/>
      <c r="H23" s="2350" t="s">
        <v>60</v>
      </c>
      <c r="I23" s="2351">
        <f>SUM(I19:I22)</f>
        <v>173.67749999999998</v>
      </c>
      <c r="J23" s="2339">
        <f>'[180]Data-Road '!G133</f>
        <v>984.36</v>
      </c>
      <c r="K23" s="2339" t="s">
        <v>2947</v>
      </c>
      <c r="L23" s="2346">
        <f>PRODUCT(J23*I23)</f>
        <v>170961.18389999997</v>
      </c>
      <c r="M23" s="2331"/>
      <c r="N23" s="2331"/>
      <c r="O23" s="2331"/>
      <c r="P23" s="2347"/>
    </row>
    <row r="24" spans="1:20" ht="12.75" customHeight="1">
      <c r="A24" s="2336"/>
      <c r="B24" s="2349"/>
      <c r="C24" s="2350"/>
      <c r="D24" s="2350"/>
      <c r="E24" s="2350"/>
      <c r="F24" s="2350"/>
      <c r="G24" s="2350"/>
      <c r="H24" s="2350"/>
      <c r="I24" s="2352"/>
      <c r="J24" s="2339"/>
      <c r="K24" s="2339"/>
      <c r="L24" s="2346"/>
      <c r="M24" s="2331"/>
      <c r="N24" s="2331"/>
      <c r="O24" s="2331"/>
      <c r="P24" s="2347"/>
    </row>
    <row r="25" spans="1:20" ht="102" customHeight="1">
      <c r="A25" s="2336">
        <v>3</v>
      </c>
      <c r="B25" s="3989" t="str">
        <f>'[180]Data-Road '!C183</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per Tables 400.11 &amp; 400.12 and Technical Specification Clause 406 MORD/ MORTH,including overhead charges &amp; Contractor profit ,but Excluding VAT &amp; Seignarage charges.</v>
      </c>
      <c r="C25" s="3989"/>
      <c r="D25" s="3989"/>
      <c r="E25" s="3989"/>
      <c r="F25" s="3989"/>
      <c r="G25" s="3989"/>
      <c r="H25" s="3989"/>
      <c r="I25" s="3989"/>
      <c r="K25" s="2339"/>
      <c r="L25" s="2346"/>
      <c r="M25" s="2331"/>
      <c r="N25" s="2331"/>
      <c r="O25" s="2331"/>
      <c r="P25" s="2347"/>
    </row>
    <row r="26" spans="1:20">
      <c r="A26" s="2336"/>
      <c r="F26" s="2339"/>
      <c r="G26" s="2339"/>
      <c r="H26" s="2339"/>
      <c r="I26" s="2339"/>
      <c r="K26" s="2339"/>
      <c r="L26" s="2346"/>
      <c r="M26" s="2331"/>
      <c r="N26" s="2331"/>
      <c r="O26" s="2331"/>
      <c r="P26" s="2347"/>
    </row>
    <row r="27" spans="1:20" ht="12.75" customHeight="1">
      <c r="A27" s="2336"/>
      <c r="B27" s="2332" t="s">
        <v>2930</v>
      </c>
      <c r="C27" s="2328">
        <v>1</v>
      </c>
      <c r="D27" s="2328" t="s">
        <v>907</v>
      </c>
      <c r="E27" s="2328">
        <v>1</v>
      </c>
      <c r="F27" s="2339">
        <v>169.38</v>
      </c>
      <c r="G27" s="2339">
        <v>3.75</v>
      </c>
      <c r="H27" s="2333">
        <v>0.17499999999999999</v>
      </c>
      <c r="I27" s="2339">
        <f>PRODUCT(C27:H27)</f>
        <v>111.15562499999999</v>
      </c>
      <c r="K27" s="2339"/>
      <c r="L27" s="2346"/>
      <c r="M27" s="2331"/>
      <c r="N27" s="2331"/>
      <c r="O27" s="2331"/>
      <c r="P27" s="2347"/>
    </row>
    <row r="28" spans="1:20" ht="12.75" customHeight="1">
      <c r="A28" s="2336"/>
      <c r="B28" s="2332" t="s">
        <v>2931</v>
      </c>
      <c r="C28" s="2328">
        <v>1</v>
      </c>
      <c r="D28" s="2328" t="s">
        <v>907</v>
      </c>
      <c r="E28" s="2328">
        <v>1</v>
      </c>
      <c r="F28" s="2339">
        <v>139.38</v>
      </c>
      <c r="G28" s="2339">
        <v>3.75</v>
      </c>
      <c r="H28" s="2333">
        <v>0.17499999999999999</v>
      </c>
      <c r="I28" s="2339">
        <f>PRODUCT(C28:H28)</f>
        <v>91.468124999999986</v>
      </c>
      <c r="K28" s="2339"/>
      <c r="L28" s="2346"/>
      <c r="M28" s="2331"/>
      <c r="N28" s="2331"/>
      <c r="O28" s="2331"/>
      <c r="P28" s="2347"/>
    </row>
    <row r="29" spans="1:20" ht="12.75" hidden="1" customHeight="1">
      <c r="A29" s="2336"/>
      <c r="B29" s="2348" t="str">
        <f>$B$13</f>
        <v>Extra length for approaches</v>
      </c>
      <c r="C29" s="2328">
        <v>1</v>
      </c>
      <c r="D29" s="2328" t="s">
        <v>907</v>
      </c>
      <c r="E29" s="2328">
        <v>1</v>
      </c>
      <c r="F29" s="2339">
        <f>$F$13</f>
        <v>0</v>
      </c>
      <c r="G29" s="2339">
        <v>3.75</v>
      </c>
      <c r="H29" s="2339">
        <v>0.17499999999999999</v>
      </c>
      <c r="I29" s="2339">
        <f>PRODUCT(C29:H29)</f>
        <v>0</v>
      </c>
      <c r="K29" s="2339"/>
      <c r="L29" s="2346"/>
      <c r="M29" s="2331"/>
      <c r="N29" s="2331"/>
      <c r="O29" s="2331"/>
      <c r="P29" s="2331"/>
    </row>
    <row r="30" spans="1:20" ht="12.75" customHeight="1">
      <c r="A30" s="2336"/>
      <c r="B30" s="2349"/>
      <c r="C30" s="2350"/>
      <c r="D30" s="2350"/>
      <c r="E30" s="2350"/>
      <c r="F30" s="2350"/>
      <c r="G30" s="2350"/>
      <c r="H30" s="2350"/>
      <c r="I30" s="2350"/>
      <c r="K30" s="2339"/>
      <c r="L30" s="2346"/>
      <c r="M30" s="2331"/>
      <c r="N30" s="2331"/>
      <c r="O30" s="2331"/>
      <c r="P30" s="2331"/>
    </row>
    <row r="31" spans="1:20" ht="12.75" customHeight="1">
      <c r="A31" s="2336"/>
      <c r="B31" s="2349"/>
      <c r="C31" s="2350"/>
      <c r="D31" s="2350"/>
      <c r="E31" s="2350"/>
      <c r="F31" s="2350"/>
      <c r="G31" s="2350"/>
      <c r="H31" s="2350" t="s">
        <v>60</v>
      </c>
      <c r="I31" s="2351">
        <f>SUM(I27:I30)</f>
        <v>202.62374999999997</v>
      </c>
      <c r="J31" s="2339">
        <f>'[180]Data-Road '!G207</f>
        <v>1621.6272300000001</v>
      </c>
      <c r="K31" s="2339" t="s">
        <v>2947</v>
      </c>
      <c r="L31" s="2346">
        <f>PRODUCT(J31*I31)</f>
        <v>328580.19044471247</v>
      </c>
      <c r="M31" s="2331"/>
      <c r="N31" s="2331"/>
      <c r="O31" s="2331"/>
      <c r="P31" s="2331"/>
    </row>
    <row r="32" spans="1:20" ht="12.75" customHeight="1">
      <c r="A32" s="2336"/>
      <c r="E32" s="2329"/>
      <c r="F32" s="2339"/>
      <c r="G32" s="2339"/>
      <c r="H32" s="2333"/>
      <c r="I32" s="2339"/>
      <c r="K32" s="2339"/>
      <c r="L32" s="2346"/>
      <c r="M32" s="2331"/>
      <c r="N32" s="2331"/>
      <c r="O32" s="2331"/>
      <c r="P32" s="2331"/>
    </row>
    <row r="33" spans="1:16" ht="98.25" hidden="1" customHeight="1">
      <c r="A33" s="2336">
        <v>4</v>
      </c>
      <c r="B33" s="2332" t="s">
        <v>2948</v>
      </c>
      <c r="E33" s="2329"/>
      <c r="F33" s="2339"/>
      <c r="G33" s="2339"/>
      <c r="H33" s="2333"/>
      <c r="I33" s="2339"/>
      <c r="K33" s="2339"/>
      <c r="L33" s="2346"/>
      <c r="M33" s="2331"/>
      <c r="N33" s="2331"/>
      <c r="O33" s="2331"/>
      <c r="P33" s="2331"/>
    </row>
    <row r="34" spans="1:16" ht="12.75" hidden="1" customHeight="1">
      <c r="A34" s="2336"/>
      <c r="B34" s="2332" t="s">
        <v>2930</v>
      </c>
      <c r="C34" s="2328">
        <v>1</v>
      </c>
      <c r="D34" s="2328" t="s">
        <v>907</v>
      </c>
      <c r="E34" s="2328">
        <v>0</v>
      </c>
      <c r="F34" s="2339">
        <f>[270]A1!H88</f>
        <v>60</v>
      </c>
      <c r="G34" s="2339">
        <v>3.75</v>
      </c>
      <c r="H34" s="2333">
        <v>7.4999999999999997E-2</v>
      </c>
      <c r="I34" s="2339">
        <f>PRODUCT(C34:H34)</f>
        <v>0</v>
      </c>
      <c r="K34" s="2339"/>
      <c r="L34" s="2346"/>
      <c r="M34" s="2331"/>
      <c r="N34" s="2331"/>
      <c r="O34" s="2331"/>
      <c r="P34" s="2331"/>
    </row>
    <row r="35" spans="1:16" ht="12.75" hidden="1" customHeight="1">
      <c r="A35" s="2336"/>
      <c r="B35" s="2332" t="s">
        <v>2931</v>
      </c>
      <c r="C35" s="2328">
        <v>1</v>
      </c>
      <c r="D35" s="2328" t="s">
        <v>907</v>
      </c>
      <c r="E35" s="2329">
        <v>0</v>
      </c>
      <c r="F35" s="2339">
        <f>[270]A1!H89</f>
        <v>85</v>
      </c>
      <c r="G35" s="2339">
        <v>3.75</v>
      </c>
      <c r="H35" s="2339">
        <v>7.4999999999999997E-2</v>
      </c>
      <c r="I35" s="2339">
        <f>PRODUCT(C35:H35)</f>
        <v>0</v>
      </c>
      <c r="K35" s="2339"/>
      <c r="L35" s="2346"/>
      <c r="M35" s="2331"/>
      <c r="N35" s="2331"/>
      <c r="O35" s="2331"/>
      <c r="P35" s="2331"/>
    </row>
    <row r="36" spans="1:16" ht="12.75" hidden="1" customHeight="1">
      <c r="A36" s="2336"/>
      <c r="B36" s="2332" t="str">
        <f>$B$13</f>
        <v>Extra length for approaches</v>
      </c>
      <c r="C36" s="2328">
        <v>1</v>
      </c>
      <c r="D36" s="2328" t="s">
        <v>907</v>
      </c>
      <c r="E36" s="2328">
        <v>1</v>
      </c>
      <c r="F36" s="2339">
        <f>$F$13</f>
        <v>0</v>
      </c>
      <c r="G36" s="2339">
        <v>3.75</v>
      </c>
      <c r="H36" s="2339">
        <v>7.4999999999999997E-2</v>
      </c>
      <c r="I36" s="2356">
        <f>PRODUCT(C36:H36)</f>
        <v>0</v>
      </c>
      <c r="K36" s="2339"/>
      <c r="L36" s="2346"/>
      <c r="M36" s="2331"/>
      <c r="N36" s="2331"/>
      <c r="O36" s="2331"/>
      <c r="P36" s="2331"/>
    </row>
    <row r="37" spans="1:16" ht="12.75" hidden="1" customHeight="1">
      <c r="A37" s="2336"/>
      <c r="F37" s="2339"/>
      <c r="G37" s="2339"/>
      <c r="H37" s="2339"/>
      <c r="I37" s="2339"/>
      <c r="K37" s="2339"/>
      <c r="L37" s="2346"/>
      <c r="M37" s="2331"/>
      <c r="N37" s="2331"/>
      <c r="O37" s="2331"/>
      <c r="P37" s="2331"/>
    </row>
    <row r="38" spans="1:16" ht="12.75" hidden="1" customHeight="1">
      <c r="A38" s="2336"/>
      <c r="B38" s="3989"/>
      <c r="C38" s="3989"/>
      <c r="D38" s="3989"/>
      <c r="E38" s="3989"/>
      <c r="F38" s="3989"/>
      <c r="G38" s="3989"/>
      <c r="H38" s="3989" t="s">
        <v>60</v>
      </c>
      <c r="I38" s="3989">
        <f>SUM(I34:I37)</f>
        <v>0</v>
      </c>
      <c r="K38" s="2339"/>
      <c r="L38" s="2346"/>
      <c r="M38" s="2331"/>
      <c r="N38" s="2331"/>
      <c r="O38" s="2331"/>
      <c r="P38" s="2347"/>
    </row>
    <row r="39" spans="1:16" ht="105" hidden="1" customHeight="1">
      <c r="A39" s="2336">
        <v>5</v>
      </c>
      <c r="B39" s="2332" t="s">
        <v>2949</v>
      </c>
      <c r="E39" s="2329"/>
      <c r="F39" s="2339"/>
      <c r="G39" s="2339"/>
      <c r="H39" s="2333"/>
      <c r="I39" s="2339"/>
      <c r="K39" s="2339"/>
      <c r="L39" s="2346"/>
      <c r="M39" s="2331"/>
      <c r="N39" s="2331"/>
      <c r="O39" s="2331"/>
      <c r="P39" s="2347"/>
    </row>
    <row r="40" spans="1:16" ht="12.75" hidden="1" customHeight="1">
      <c r="A40" s="2336"/>
      <c r="B40" s="2332" t="s">
        <v>2930</v>
      </c>
      <c r="C40" s="2328">
        <v>1</v>
      </c>
      <c r="D40" s="2328" t="s">
        <v>907</v>
      </c>
      <c r="E40" s="2329">
        <v>0</v>
      </c>
      <c r="F40" s="2339">
        <f>[270]A1!H88</f>
        <v>60</v>
      </c>
      <c r="G40" s="2339">
        <v>3.75</v>
      </c>
      <c r="H40" s="2333">
        <v>7.4999999999999997E-2</v>
      </c>
      <c r="I40" s="2339">
        <f>PRODUCT(C40:H40)</f>
        <v>0</v>
      </c>
      <c r="K40" s="2339"/>
      <c r="L40" s="2346"/>
      <c r="M40" s="2331"/>
      <c r="N40" s="2331"/>
      <c r="O40" s="2331"/>
      <c r="P40" s="2347"/>
    </row>
    <row r="41" spans="1:16" ht="12.75" hidden="1" customHeight="1">
      <c r="A41" s="2336"/>
      <c r="B41" s="2332" t="s">
        <v>2931</v>
      </c>
      <c r="C41" s="2328">
        <v>1</v>
      </c>
      <c r="D41" s="2328" t="s">
        <v>907</v>
      </c>
      <c r="E41" s="2328">
        <v>0</v>
      </c>
      <c r="F41" s="2339">
        <f>[270]A1!H89</f>
        <v>85</v>
      </c>
      <c r="G41" s="2339">
        <v>3.75</v>
      </c>
      <c r="H41" s="2333">
        <v>7.4999999999999997E-2</v>
      </c>
      <c r="I41" s="2339">
        <f>PRODUCT(C41:H41)</f>
        <v>0</v>
      </c>
      <c r="K41" s="2339"/>
      <c r="L41" s="2346"/>
      <c r="M41" s="2331"/>
      <c r="N41" s="2331"/>
      <c r="O41" s="2331"/>
      <c r="P41" s="2347"/>
    </row>
    <row r="42" spans="1:16" ht="12.75" hidden="1" customHeight="1">
      <c r="A42" s="2336"/>
      <c r="B42" s="2332" t="str">
        <f>$B$13</f>
        <v>Extra length for approaches</v>
      </c>
      <c r="C42" s="2328">
        <v>1</v>
      </c>
      <c r="D42" s="2328" t="s">
        <v>907</v>
      </c>
      <c r="E42" s="2329">
        <v>1</v>
      </c>
      <c r="F42" s="2339">
        <f>$F$13</f>
        <v>0</v>
      </c>
      <c r="G42" s="2339">
        <v>3.75</v>
      </c>
      <c r="H42" s="2333">
        <v>7.4999999999999997E-2</v>
      </c>
      <c r="I42" s="2339">
        <f>PRODUCT(C42:H42)</f>
        <v>0</v>
      </c>
      <c r="K42" s="2339"/>
      <c r="L42" s="2346"/>
      <c r="M42" s="2331"/>
      <c r="N42" s="2331"/>
      <c r="O42" s="2331"/>
      <c r="P42" s="2347"/>
    </row>
    <row r="43" spans="1:16" ht="12.75" hidden="1" customHeight="1">
      <c r="A43" s="2336"/>
      <c r="F43" s="2339"/>
      <c r="G43" s="2339"/>
      <c r="H43" s="2339"/>
      <c r="I43" s="2357"/>
      <c r="K43" s="2339"/>
      <c r="L43" s="2346"/>
      <c r="M43" s="2331"/>
      <c r="N43" s="2331"/>
      <c r="O43" s="2331"/>
      <c r="P43" s="2331"/>
    </row>
    <row r="44" spans="1:16" ht="12.75" hidden="1" customHeight="1">
      <c r="A44" s="2336"/>
      <c r="B44" s="3989"/>
      <c r="C44" s="3989"/>
      <c r="D44" s="3989"/>
      <c r="E44" s="3989"/>
      <c r="F44" s="3989"/>
      <c r="G44" s="3989"/>
      <c r="H44" s="3989" t="s">
        <v>60</v>
      </c>
      <c r="I44" s="3989">
        <f>SUM(I40:I43)</f>
        <v>0</v>
      </c>
      <c r="K44" s="2339"/>
      <c r="L44" s="2346"/>
      <c r="M44" s="2331"/>
      <c r="N44" s="2331"/>
      <c r="O44" s="2331"/>
      <c r="P44" s="2347"/>
    </row>
    <row r="45" spans="1:16" ht="69.75" customHeight="1">
      <c r="A45" s="2336">
        <v>4</v>
      </c>
      <c r="B45" s="3989" t="str">
        <f>'[180]Data-Road '!C256</f>
        <v>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 ,including overhead charges &amp; Contractors profit ,but Excluding VAT &amp; Seignarage charges.</v>
      </c>
      <c r="C45" s="3989"/>
      <c r="D45" s="3989"/>
      <c r="E45" s="3989"/>
      <c r="F45" s="3989"/>
      <c r="G45" s="3989"/>
      <c r="H45" s="3989"/>
      <c r="I45" s="3989"/>
      <c r="K45" s="2339"/>
      <c r="L45" s="2346"/>
      <c r="M45" s="2331"/>
      <c r="N45" s="2331"/>
      <c r="O45" s="2331"/>
      <c r="P45" s="2347"/>
    </row>
    <row r="46" spans="1:16">
      <c r="A46" s="2336"/>
      <c r="E46" s="2329"/>
      <c r="F46" s="2339"/>
      <c r="G46" s="2339"/>
      <c r="H46" s="2333"/>
      <c r="I46" s="2339"/>
      <c r="K46" s="2339"/>
      <c r="L46" s="2346"/>
      <c r="M46" s="2331"/>
      <c r="N46" s="2331"/>
      <c r="O46" s="2331"/>
      <c r="P46" s="2347"/>
    </row>
    <row r="47" spans="1:16">
      <c r="A47" s="2336"/>
      <c r="B47" s="2332" t="s">
        <v>2930</v>
      </c>
      <c r="C47" s="2328">
        <v>1</v>
      </c>
      <c r="D47" s="2328" t="s">
        <v>907</v>
      </c>
      <c r="E47" s="2328">
        <v>1</v>
      </c>
      <c r="F47" s="2339">
        <v>169.38</v>
      </c>
      <c r="G47" s="2339">
        <v>3.75</v>
      </c>
      <c r="H47" s="2339"/>
      <c r="I47" s="2339">
        <f>PRODUCT(C47:H47)</f>
        <v>635.17499999999995</v>
      </c>
      <c r="K47" s="2339"/>
      <c r="L47" s="2346"/>
      <c r="M47" s="2331"/>
      <c r="N47" s="2331"/>
      <c r="O47" s="2331"/>
      <c r="P47" s="2347"/>
    </row>
    <row r="48" spans="1:16">
      <c r="A48" s="2336"/>
      <c r="B48" s="2332" t="s">
        <v>2931</v>
      </c>
      <c r="C48" s="2328">
        <v>1</v>
      </c>
      <c r="D48" s="2328" t="s">
        <v>907</v>
      </c>
      <c r="E48" s="2328">
        <v>1</v>
      </c>
      <c r="F48" s="2339">
        <v>139.38</v>
      </c>
      <c r="G48" s="2339">
        <v>3.75</v>
      </c>
      <c r="H48" s="2339"/>
      <c r="I48" s="2339">
        <f>PRODUCT(C48:H48)</f>
        <v>522.67499999999995</v>
      </c>
      <c r="K48" s="2339"/>
      <c r="L48" s="2346"/>
      <c r="M48" s="2331"/>
      <c r="N48" s="2331"/>
      <c r="O48" s="2331"/>
      <c r="P48" s="2347"/>
    </row>
    <row r="49" spans="1:16" hidden="1">
      <c r="A49" s="2336"/>
      <c r="B49" s="2348" t="str">
        <f>$B$13</f>
        <v>Extra length for approaches</v>
      </c>
      <c r="C49" s="2328">
        <v>1</v>
      </c>
      <c r="D49" s="2328" t="s">
        <v>907</v>
      </c>
      <c r="E49" s="2328">
        <v>1</v>
      </c>
      <c r="F49" s="2339">
        <f>$F$13</f>
        <v>0</v>
      </c>
      <c r="G49" s="2339">
        <v>3.75</v>
      </c>
      <c r="H49" s="2339"/>
      <c r="I49" s="2339">
        <f>PRODUCT(C49:H49)</f>
        <v>0</v>
      </c>
      <c r="K49" s="2339"/>
      <c r="L49" s="2346"/>
      <c r="M49" s="2331"/>
      <c r="N49" s="2331"/>
      <c r="O49" s="2331"/>
      <c r="P49" s="2331"/>
    </row>
    <row r="50" spans="1:16">
      <c r="A50" s="2336"/>
      <c r="B50" s="2349"/>
      <c r="C50" s="2350"/>
      <c r="D50" s="2350"/>
      <c r="E50" s="2350"/>
      <c r="F50" s="2350"/>
      <c r="G50" s="2350"/>
      <c r="H50" s="2350"/>
      <c r="I50" s="2350"/>
      <c r="K50" s="2339"/>
      <c r="L50" s="2346"/>
      <c r="M50" s="2331"/>
      <c r="N50" s="2331"/>
      <c r="O50" s="2331"/>
      <c r="P50" s="2347"/>
    </row>
    <row r="51" spans="1:16" ht="12.75" customHeight="1">
      <c r="A51" s="2336"/>
      <c r="F51" s="2339"/>
      <c r="G51" s="2339"/>
      <c r="H51" s="2339" t="s">
        <v>60</v>
      </c>
      <c r="I51" s="2351">
        <f>SUM(I47:I50)</f>
        <v>1157.8499999999999</v>
      </c>
      <c r="J51" s="2339">
        <f>'[180]Data-Road '!G274</f>
        <v>44.81</v>
      </c>
      <c r="K51" s="2339" t="s">
        <v>2950</v>
      </c>
      <c r="L51" s="2346">
        <f>PRODUCT(J51*I51)</f>
        <v>51883.258499999996</v>
      </c>
      <c r="M51" s="2331"/>
      <c r="N51" s="2331"/>
      <c r="O51" s="2331"/>
      <c r="P51" s="2347"/>
    </row>
    <row r="52" spans="1:16" ht="67.5" customHeight="1">
      <c r="A52" s="2336">
        <v>5</v>
      </c>
      <c r="B52" s="3989" t="str">
        <f>'[180]Data-Road '!C276</f>
        <v>Providing and applying tack coat with Bitumen emulsion (RS-1)  using emulsion  distributor at the rate of 0.25 to 0.30 kg per sqm on the prepared granular surfaces treated with primer &amp; cleaned with Hydraulic broom as per Technical Specification Clause 503 MORD,including overhead charges &amp; Contractors profit ,but Excluding VAT &amp; Seignarage charges.</v>
      </c>
      <c r="C52" s="3989"/>
      <c r="D52" s="3989"/>
      <c r="E52" s="3989"/>
      <c r="F52" s="3989"/>
      <c r="G52" s="3989"/>
      <c r="H52" s="3989"/>
      <c r="I52" s="3989"/>
      <c r="J52" s="2339"/>
      <c r="K52" s="2339"/>
      <c r="L52" s="2346"/>
      <c r="M52" s="2331"/>
      <c r="N52" s="2331"/>
      <c r="O52" s="2331"/>
      <c r="P52" s="2347"/>
    </row>
    <row r="53" spans="1:16">
      <c r="A53" s="2336"/>
      <c r="F53" s="2339"/>
      <c r="G53" s="2339"/>
      <c r="H53" s="2339"/>
      <c r="I53" s="2339"/>
      <c r="J53" s="2339"/>
      <c r="K53" s="2339"/>
      <c r="L53" s="2346"/>
      <c r="M53" s="2331"/>
      <c r="N53" s="2331"/>
      <c r="O53" s="2331"/>
      <c r="P53" s="2347"/>
    </row>
    <row r="54" spans="1:16">
      <c r="A54" s="2336"/>
      <c r="B54" s="2332" t="s">
        <v>2930</v>
      </c>
      <c r="C54" s="2328">
        <v>1</v>
      </c>
      <c r="D54" s="2328" t="s">
        <v>907</v>
      </c>
      <c r="E54" s="2328">
        <v>1</v>
      </c>
      <c r="F54" s="2339">
        <f>F47</f>
        <v>169.38</v>
      </c>
      <c r="G54" s="2339">
        <v>3.75</v>
      </c>
      <c r="H54" s="2339"/>
      <c r="I54" s="2339">
        <f>PRODUCT(C54:H54)</f>
        <v>635.17499999999995</v>
      </c>
      <c r="J54" s="2339"/>
      <c r="K54" s="2339"/>
      <c r="L54" s="2346"/>
      <c r="M54" s="2331"/>
      <c r="N54" s="2331"/>
      <c r="O54" s="2331"/>
      <c r="P54" s="2347"/>
    </row>
    <row r="55" spans="1:16">
      <c r="A55" s="2336"/>
      <c r="B55" s="2348" t="s">
        <v>2931</v>
      </c>
      <c r="C55" s="2328">
        <v>1</v>
      </c>
      <c r="D55" s="2328" t="s">
        <v>907</v>
      </c>
      <c r="E55" s="2328">
        <v>1</v>
      </c>
      <c r="F55" s="2339">
        <f>F48</f>
        <v>139.38</v>
      </c>
      <c r="G55" s="2339">
        <v>3.75</v>
      </c>
      <c r="H55" s="2339"/>
      <c r="I55" s="2339">
        <f>PRODUCT(C55:H55)</f>
        <v>522.67499999999995</v>
      </c>
      <c r="J55" s="2339"/>
      <c r="K55" s="2339"/>
      <c r="L55" s="2346"/>
      <c r="M55" s="2331"/>
      <c r="N55" s="2331"/>
      <c r="O55" s="2331"/>
      <c r="P55" s="2331"/>
    </row>
    <row r="56" spans="1:16" hidden="1">
      <c r="A56" s="2336"/>
      <c r="B56" s="2349" t="str">
        <f>$B$13</f>
        <v>Extra length for approaches</v>
      </c>
      <c r="C56" s="2328">
        <v>1</v>
      </c>
      <c r="D56" s="2328" t="s">
        <v>907</v>
      </c>
      <c r="E56" s="2328">
        <v>1</v>
      </c>
      <c r="F56" s="2339">
        <f>$F$13</f>
        <v>0</v>
      </c>
      <c r="G56" s="2339">
        <v>3.75</v>
      </c>
      <c r="H56" s="2339"/>
      <c r="I56" s="2339">
        <f>PRODUCT(C56:H56)</f>
        <v>0</v>
      </c>
      <c r="J56" s="2339"/>
      <c r="K56" s="2339"/>
      <c r="L56" s="2346"/>
      <c r="M56" s="2331"/>
      <c r="N56" s="2331"/>
      <c r="O56" s="2331"/>
      <c r="P56" s="2347"/>
    </row>
    <row r="57" spans="1:16">
      <c r="A57" s="2358"/>
      <c r="B57" s="2349"/>
      <c r="C57" s="2350"/>
      <c r="D57" s="2350"/>
      <c r="E57" s="2350"/>
      <c r="F57" s="2350"/>
      <c r="G57" s="2350"/>
      <c r="H57" s="2350"/>
      <c r="I57" s="2350"/>
      <c r="J57" s="2339"/>
      <c r="K57" s="2339"/>
      <c r="L57" s="2346"/>
      <c r="M57" s="2331"/>
      <c r="N57" s="2331"/>
      <c r="O57" s="2331"/>
      <c r="P57" s="2347"/>
    </row>
    <row r="58" spans="1:16" ht="12.75" customHeight="1">
      <c r="A58" s="2358"/>
      <c r="F58" s="2339"/>
      <c r="G58" s="2339"/>
      <c r="H58" s="2339" t="s">
        <v>60</v>
      </c>
      <c r="I58" s="2351">
        <f>SUM(I54:I57)</f>
        <v>1157.8499999999999</v>
      </c>
      <c r="J58" s="2339">
        <f>'[180]Data-Road '!G292</f>
        <v>10.629999999999999</v>
      </c>
      <c r="K58" s="2339" t="s">
        <v>2950</v>
      </c>
      <c r="L58" s="2346">
        <f>PRODUCT(J58*I58)</f>
        <v>12307.945499999998</v>
      </c>
      <c r="M58" s="2331"/>
      <c r="N58" s="2331"/>
      <c r="O58" s="2331"/>
      <c r="P58" s="2347"/>
    </row>
    <row r="59" spans="1:16" ht="12.75" customHeight="1">
      <c r="A59" s="2358"/>
      <c r="F59" s="2339"/>
      <c r="G59" s="2339"/>
      <c r="H59" s="2339"/>
      <c r="I59" s="2352"/>
      <c r="J59" s="2339"/>
      <c r="K59" s="2339"/>
      <c r="L59" s="2346"/>
      <c r="M59" s="2331"/>
      <c r="N59" s="2331"/>
      <c r="O59" s="2331"/>
      <c r="P59" s="2347"/>
    </row>
    <row r="60" spans="1:16" ht="168.75" customHeight="1">
      <c r="A60" s="2358">
        <v>6</v>
      </c>
      <c r="B60" s="3989" t="str">
        <f>'[180]Data-Road '!C294</f>
        <v>Providing and laying Open Graded Premix Carpet (OGPC) surfacing material of 20 mm thick composed of 13.20 mm to 5.60 mm size machine crushed hard blasted granite chips using bitumen of VG 30 grade at the rate of 14.60 kgs per 10 sqm area of road surface over tack coat to required line, level, grade to serve as wearing course on previously prepared base including mixing in a Mixer of 6  to 10 T capacity,trasporting the mixer to point of use and rolloing with three wheeled 80-100kN capacity power roller and finishing to required level and grades including cost, conveyance, leads and lifts of all materials from approved sources,  labour charges and hire and operational charges of power road roller and all other machinery, tools and plants, providing barricading for diversion of traffic, erecting red flags other incidental and operational charges etc., complete for finished item of work as per technical specifications clause 508 (ii) of MORD. including all  over heads , and Contractors profit ,but Excluding VAT &amp; Seignarage charges.</v>
      </c>
      <c r="C60" s="3989"/>
      <c r="D60" s="3989"/>
      <c r="E60" s="3989"/>
      <c r="F60" s="3989"/>
      <c r="G60" s="3989"/>
      <c r="H60" s="3989"/>
      <c r="I60" s="3989"/>
      <c r="J60" s="2339"/>
      <c r="K60" s="2339"/>
      <c r="L60" s="2346"/>
      <c r="M60" s="2331"/>
      <c r="N60" s="2331"/>
      <c r="O60" s="2331"/>
      <c r="P60" s="2347"/>
    </row>
    <row r="61" spans="1:16">
      <c r="A61" s="2358"/>
      <c r="F61" s="2339"/>
      <c r="G61" s="2339"/>
      <c r="H61" s="2339"/>
      <c r="I61" s="2339"/>
      <c r="J61" s="2339"/>
      <c r="K61" s="2339"/>
      <c r="L61" s="2346"/>
      <c r="M61" s="2331"/>
      <c r="N61" s="2331"/>
      <c r="O61" s="2331"/>
      <c r="P61" s="2347"/>
    </row>
    <row r="62" spans="1:16">
      <c r="A62" s="2358"/>
      <c r="B62" s="2332" t="s">
        <v>2930</v>
      </c>
      <c r="C62" s="2328">
        <v>1</v>
      </c>
      <c r="D62" s="2328" t="s">
        <v>907</v>
      </c>
      <c r="E62" s="2328">
        <v>1</v>
      </c>
      <c r="F62" s="2339">
        <v>169.38</v>
      </c>
      <c r="G62" s="2339">
        <v>3.75</v>
      </c>
      <c r="H62" s="2333"/>
      <c r="I62" s="2339">
        <f>PRODUCT(C62:H62)</f>
        <v>635.17499999999995</v>
      </c>
      <c r="J62" s="2339"/>
      <c r="K62" s="2339"/>
      <c r="L62" s="2346"/>
      <c r="M62" s="2331"/>
      <c r="N62" s="2331"/>
      <c r="O62" s="2331"/>
      <c r="P62" s="2347"/>
    </row>
    <row r="63" spans="1:16">
      <c r="A63" s="2358"/>
      <c r="B63" s="2348" t="s">
        <v>2931</v>
      </c>
      <c r="C63" s="2328">
        <v>1</v>
      </c>
      <c r="D63" s="2328" t="s">
        <v>907</v>
      </c>
      <c r="E63" s="2328">
        <v>1</v>
      </c>
      <c r="F63" s="2339">
        <v>139.38</v>
      </c>
      <c r="G63" s="2339">
        <v>3.75</v>
      </c>
      <c r="H63" s="2333"/>
      <c r="I63" s="2339">
        <f>PRODUCT(C63:H63)</f>
        <v>522.67499999999995</v>
      </c>
      <c r="J63" s="2339"/>
      <c r="K63" s="2339"/>
      <c r="L63" s="2346"/>
      <c r="M63" s="2331"/>
      <c r="N63" s="2331"/>
      <c r="O63" s="2331"/>
      <c r="P63" s="2331"/>
    </row>
    <row r="64" spans="1:16" hidden="1">
      <c r="A64" s="2358"/>
      <c r="B64" s="2349" t="str">
        <f>$B$13</f>
        <v>Extra length for approaches</v>
      </c>
      <c r="C64" s="2328">
        <v>1</v>
      </c>
      <c r="D64" s="2328" t="s">
        <v>907</v>
      </c>
      <c r="E64" s="2328">
        <v>1</v>
      </c>
      <c r="F64" s="2339">
        <f>$F$13</f>
        <v>0</v>
      </c>
      <c r="G64" s="2339">
        <v>3.75</v>
      </c>
      <c r="H64" s="2339"/>
      <c r="I64" s="2339">
        <f>PRODUCT(C64:H64)</f>
        <v>0</v>
      </c>
      <c r="J64" s="2339"/>
      <c r="K64" s="2339"/>
      <c r="L64" s="2346"/>
      <c r="M64" s="2331"/>
      <c r="N64" s="2331"/>
      <c r="O64" s="2331"/>
      <c r="P64" s="2347"/>
    </row>
    <row r="65" spans="1:16">
      <c r="A65" s="2358"/>
      <c r="B65" s="2349"/>
      <c r="C65" s="2350"/>
      <c r="D65" s="2350"/>
      <c r="E65" s="2350"/>
      <c r="F65" s="2350"/>
      <c r="G65" s="2350"/>
      <c r="H65" s="2350"/>
      <c r="I65" s="2350"/>
      <c r="J65" s="2339"/>
      <c r="K65" s="2339"/>
      <c r="L65" s="2346"/>
      <c r="M65" s="2331"/>
      <c r="N65" s="2331"/>
      <c r="O65" s="2331"/>
      <c r="P65" s="2347"/>
    </row>
    <row r="66" spans="1:16" ht="12.75" customHeight="1">
      <c r="A66" s="2358"/>
      <c r="F66" s="2339"/>
      <c r="G66" s="2339"/>
      <c r="H66" s="2333" t="s">
        <v>60</v>
      </c>
      <c r="I66" s="2351">
        <f>SUM(I62:I65)</f>
        <v>1157.8499999999999</v>
      </c>
      <c r="J66" s="2339">
        <f>'[180]Data-Road '!G314</f>
        <v>123.26</v>
      </c>
      <c r="K66" s="2339" t="s">
        <v>2950</v>
      </c>
      <c r="L66" s="2346">
        <f>PRODUCT(J66*I66)</f>
        <v>142716.59099999999</v>
      </c>
      <c r="M66" s="2331"/>
      <c r="N66" s="2331"/>
      <c r="O66" s="2331"/>
      <c r="P66" s="2347"/>
    </row>
    <row r="67" spans="1:16" ht="171.6" customHeight="1">
      <c r="A67" s="2358">
        <v>7</v>
      </c>
      <c r="B67" s="3989" t="str">
        <f>'[180]Data-Road '!C462</f>
        <v>Providing and laying bituminous Premixed seal coat (Type C) comprising of stone chipping of grading as defined in table 500.16 of MOST with Crushed stone chips of 6.7 mm size 100% passing through 9.5mm seive and retained on 2.36 mm sieve applied @ 0.09 cum per 10 sqm, chips to be premixed by mechanical means with the bitumunous binder using 6.50 kgs of bitumen VG 30 grade for 10 sqm and rolling with power roller including of required line, level, grade to serve as wearing course on previously prepared surface and finishing to required level and grades including cost and conveyance of all materials from approved sources and stacking at site to departmental gauge for  premeasurements,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per technical specification clause 510 of MORD including contractors profit &amp; Over head charges, but Excluding VAT and Seigneorage etc for seal coat.Using Mechanical means</v>
      </c>
      <c r="C67" s="3989"/>
      <c r="D67" s="3989"/>
      <c r="E67" s="3989"/>
      <c r="F67" s="3989"/>
      <c r="G67" s="3989"/>
      <c r="H67" s="3989"/>
      <c r="I67" s="3989"/>
      <c r="J67" s="2339"/>
      <c r="K67" s="2339"/>
      <c r="L67" s="2346"/>
      <c r="M67" s="2331"/>
      <c r="N67" s="2331"/>
      <c r="O67" s="2331"/>
      <c r="P67" s="2347"/>
    </row>
    <row r="68" spans="1:16">
      <c r="A68" s="2358"/>
      <c r="F68" s="2339"/>
      <c r="G68" s="2339"/>
      <c r="H68" s="2339"/>
      <c r="I68" s="2339"/>
      <c r="J68" s="2339"/>
      <c r="K68" s="2339"/>
      <c r="L68" s="2346"/>
      <c r="M68" s="2331"/>
      <c r="N68" s="2331"/>
      <c r="O68" s="2331"/>
      <c r="P68" s="2347"/>
    </row>
    <row r="69" spans="1:16" ht="15" customHeight="1">
      <c r="A69" s="2358"/>
      <c r="B69" s="2332" t="s">
        <v>2930</v>
      </c>
      <c r="C69" s="2328">
        <v>1</v>
      </c>
      <c r="D69" s="2328" t="s">
        <v>907</v>
      </c>
      <c r="E69" s="2328">
        <v>1</v>
      </c>
      <c r="F69" s="2339">
        <v>169.38</v>
      </c>
      <c r="G69" s="2339">
        <v>3.75</v>
      </c>
      <c r="H69" s="2339"/>
      <c r="I69" s="2339">
        <f>PRODUCT(C69:H69)</f>
        <v>635.17499999999995</v>
      </c>
      <c r="J69" s="2339"/>
      <c r="K69" s="2339"/>
      <c r="L69" s="2346"/>
      <c r="M69" s="2331"/>
      <c r="N69" s="2331"/>
      <c r="O69" s="2331"/>
      <c r="P69" s="2347"/>
    </row>
    <row r="70" spans="1:16" ht="15" customHeight="1">
      <c r="A70" s="2358"/>
      <c r="B70" s="2348" t="s">
        <v>2931</v>
      </c>
      <c r="C70" s="2328">
        <v>1</v>
      </c>
      <c r="D70" s="2328" t="s">
        <v>907</v>
      </c>
      <c r="E70" s="2328">
        <v>1</v>
      </c>
      <c r="F70" s="2339">
        <v>139.38</v>
      </c>
      <c r="G70" s="2339">
        <v>3.75</v>
      </c>
      <c r="H70" s="2339"/>
      <c r="I70" s="2339">
        <f>PRODUCT(C70:H70)</f>
        <v>522.67499999999995</v>
      </c>
      <c r="J70" s="2339"/>
      <c r="K70" s="2339"/>
      <c r="L70" s="2346"/>
      <c r="M70" s="2331"/>
      <c r="N70" s="2331"/>
      <c r="O70" s="2331"/>
      <c r="P70" s="2331"/>
    </row>
    <row r="71" spans="1:16" ht="12.75" hidden="1" customHeight="1">
      <c r="A71" s="2358"/>
      <c r="B71" s="2349" t="str">
        <f>$B$13</f>
        <v>Extra length for approaches</v>
      </c>
      <c r="C71" s="2328">
        <v>1</v>
      </c>
      <c r="D71" s="2328" t="s">
        <v>907</v>
      </c>
      <c r="E71" s="2328">
        <v>1</v>
      </c>
      <c r="F71" s="2339">
        <f>$F$13</f>
        <v>0</v>
      </c>
      <c r="G71" s="2339">
        <v>3.75</v>
      </c>
      <c r="H71" s="2339"/>
      <c r="I71" s="2339">
        <f>PRODUCT(C71:H71)</f>
        <v>0</v>
      </c>
      <c r="J71" s="2339"/>
      <c r="K71" s="2339"/>
      <c r="L71" s="2346"/>
      <c r="M71" s="2331"/>
      <c r="N71" s="2331"/>
      <c r="O71" s="2331"/>
      <c r="P71" s="2331"/>
    </row>
    <row r="72" spans="1:16" ht="12.75" customHeight="1">
      <c r="A72" s="2358"/>
      <c r="B72" s="2359"/>
      <c r="C72" s="2350"/>
      <c r="D72" s="2350"/>
      <c r="E72" s="2350"/>
      <c r="F72" s="2350"/>
      <c r="G72" s="2350"/>
      <c r="H72" s="2350"/>
      <c r="I72" s="2350"/>
      <c r="J72" s="2339"/>
      <c r="K72" s="2339"/>
      <c r="L72" s="2346"/>
      <c r="M72" s="2331"/>
      <c r="N72" s="2331"/>
      <c r="O72" s="2331"/>
      <c r="P72" s="2331"/>
    </row>
    <row r="73" spans="1:16" ht="12.75" customHeight="1">
      <c r="A73" s="2358"/>
      <c r="F73" s="2339"/>
      <c r="G73" s="2339"/>
      <c r="H73" s="2333" t="s">
        <v>60</v>
      </c>
      <c r="I73" s="2351">
        <f>SUM(I69:I72)</f>
        <v>1157.8499999999999</v>
      </c>
      <c r="J73" s="2339">
        <f>'[180]Data-Road '!G484</f>
        <v>42.1</v>
      </c>
      <c r="K73" s="2339" t="s">
        <v>2950</v>
      </c>
      <c r="L73" s="2346">
        <f>PRODUCT(J73*I73)</f>
        <v>48745.485000000001</v>
      </c>
      <c r="M73" s="2331"/>
      <c r="N73" s="2331"/>
      <c r="O73" s="2331"/>
      <c r="P73" s="2331"/>
    </row>
    <row r="74" spans="1:16" ht="12.75" customHeight="1">
      <c r="A74" s="2358"/>
      <c r="F74" s="2339"/>
      <c r="G74" s="2339"/>
      <c r="H74" s="2333"/>
      <c r="I74" s="2352"/>
      <c r="J74" s="2339"/>
      <c r="K74" s="2339"/>
      <c r="L74" s="2346"/>
      <c r="M74" s="2331"/>
      <c r="N74" s="2331"/>
      <c r="O74" s="2331"/>
      <c r="P74" s="2331"/>
    </row>
    <row r="75" spans="1:16" ht="91.5" customHeight="1">
      <c r="A75" s="2358">
        <v>8</v>
      </c>
      <c r="B75" s="3989" t="str">
        <f>'[180]Data-Road '!C89</f>
        <v>Construction of Improved Subgrade /Shoulders by providing  Selected earth having MDD not less than 1.85g/cc with LL &amp; PI not exceeding  40% and 20 respectively and and spreading  in uniform layers with tractor grader on prepared surface and copacted  to OMC  with Vibratory  roller of 80 to 100kN capacity to achieve the desired density, complete as per IRC technical specification clause 303 MoRD,305 MoRT&amp;H by using machinery including all  over heads , and Contractors profit ,but Excluding VAT &amp; Seignarage charges, etc, complete.</v>
      </c>
      <c r="C75" s="3989"/>
      <c r="D75" s="3989"/>
      <c r="E75" s="3989"/>
      <c r="F75" s="3989"/>
      <c r="G75" s="3989"/>
      <c r="H75" s="3989"/>
      <c r="I75" s="3989"/>
      <c r="J75" s="2339"/>
      <c r="K75" s="2339"/>
      <c r="L75" s="2346"/>
      <c r="M75" s="2331"/>
      <c r="N75" s="2331"/>
      <c r="O75" s="2331"/>
      <c r="P75" s="2331"/>
    </row>
    <row r="76" spans="1:16">
      <c r="A76" s="2358"/>
      <c r="F76" s="2339"/>
      <c r="G76" s="2339"/>
      <c r="H76" s="2339"/>
      <c r="I76" s="2339"/>
      <c r="J76" s="2339"/>
      <c r="K76" s="2339"/>
      <c r="L76" s="2346"/>
      <c r="M76" s="2331"/>
      <c r="N76" s="2331"/>
      <c r="O76" s="2331"/>
      <c r="P76" s="2331"/>
    </row>
    <row r="77" spans="1:16">
      <c r="A77" s="2358"/>
      <c r="B77" s="2332" t="s">
        <v>2930</v>
      </c>
      <c r="C77" s="2328">
        <v>1</v>
      </c>
      <c r="D77" s="2328" t="s">
        <v>907</v>
      </c>
      <c r="E77" s="2328">
        <v>2</v>
      </c>
      <c r="F77" s="2339">
        <v>169.38</v>
      </c>
      <c r="G77" s="2339">
        <v>1.5</v>
      </c>
      <c r="H77" s="2339">
        <v>0.2</v>
      </c>
      <c r="I77" s="2339">
        <f>PRODUCT(C77:H77)</f>
        <v>101.628</v>
      </c>
      <c r="J77" s="2339"/>
      <c r="K77" s="2339"/>
      <c r="L77" s="2346"/>
      <c r="M77" s="2331"/>
      <c r="N77" s="2331"/>
      <c r="O77" s="2331"/>
      <c r="P77" s="2331"/>
    </row>
    <row r="78" spans="1:16">
      <c r="A78" s="2358"/>
      <c r="B78" s="2348" t="s">
        <v>2931</v>
      </c>
      <c r="C78" s="2328">
        <v>1</v>
      </c>
      <c r="D78" s="2328" t="s">
        <v>907</v>
      </c>
      <c r="E78" s="2328">
        <v>2</v>
      </c>
      <c r="F78" s="2339">
        <v>139.38</v>
      </c>
      <c r="G78" s="2339">
        <v>1.5</v>
      </c>
      <c r="H78" s="2339">
        <v>0.2</v>
      </c>
      <c r="I78" s="2339">
        <f>PRODUCT(C78:H78)</f>
        <v>83.628</v>
      </c>
      <c r="J78" s="2339"/>
      <c r="K78" s="2339"/>
      <c r="L78" s="2346"/>
      <c r="M78" s="2331"/>
      <c r="N78" s="2331"/>
      <c r="O78" s="2331"/>
      <c r="P78" s="2331"/>
    </row>
    <row r="79" spans="1:16" hidden="1">
      <c r="A79" s="2358"/>
      <c r="B79" s="2349" t="str">
        <f>$B$13</f>
        <v>Extra length for approaches</v>
      </c>
      <c r="C79" s="2328">
        <v>1</v>
      </c>
      <c r="D79" s="2328" t="s">
        <v>907</v>
      </c>
      <c r="E79" s="2328">
        <v>2</v>
      </c>
      <c r="F79" s="2339">
        <f>$F$13</f>
        <v>0</v>
      </c>
      <c r="G79" s="2339">
        <v>1.5</v>
      </c>
      <c r="H79" s="2339">
        <v>0.2</v>
      </c>
      <c r="I79" s="2339">
        <f>PRODUCT(C79:H79)</f>
        <v>0</v>
      </c>
      <c r="J79" s="2339"/>
      <c r="K79" s="2339"/>
      <c r="L79" s="2346"/>
      <c r="M79" s="2331"/>
      <c r="N79" s="2331"/>
      <c r="O79" s="2331"/>
      <c r="P79" s="2347"/>
    </row>
    <row r="80" spans="1:16">
      <c r="A80" s="2358"/>
      <c r="B80" s="2349"/>
      <c r="C80" s="2350"/>
      <c r="D80" s="2350"/>
      <c r="E80" s="2350"/>
      <c r="F80" s="2350"/>
      <c r="G80" s="2350"/>
      <c r="H80" s="2350"/>
      <c r="I80" s="2350"/>
      <c r="J80" s="2339"/>
      <c r="K80" s="2339"/>
      <c r="L80" s="2346"/>
      <c r="M80" s="2331"/>
      <c r="N80" s="2331"/>
      <c r="O80" s="2331"/>
      <c r="P80" s="2347"/>
    </row>
    <row r="81" spans="1:17" ht="12.75" customHeight="1">
      <c r="A81" s="2358"/>
      <c r="F81" s="2339"/>
      <c r="G81" s="2339"/>
      <c r="H81" s="2339" t="s">
        <v>60</v>
      </c>
      <c r="I81" s="2351">
        <f>SUM(I77:I80)</f>
        <v>185.256</v>
      </c>
      <c r="J81" s="2339">
        <f>'[180]Data-Road '!G110</f>
        <v>221.64</v>
      </c>
      <c r="K81" s="2339" t="s">
        <v>2947</v>
      </c>
      <c r="L81" s="2346">
        <f>PRODUCT(J81*I81)</f>
        <v>41060.139839999996</v>
      </c>
      <c r="M81" s="2331"/>
      <c r="N81" s="2331"/>
      <c r="O81" s="2331"/>
      <c r="P81" s="2347"/>
    </row>
    <row r="82" spans="1:17" ht="12.75" customHeight="1">
      <c r="A82" s="2358"/>
      <c r="F82" s="2339"/>
      <c r="G82" s="2339"/>
      <c r="H82" s="2339"/>
      <c r="I82" s="2352"/>
      <c r="J82" s="2339"/>
      <c r="K82" s="2339"/>
      <c r="L82" s="2346"/>
      <c r="M82" s="2331"/>
      <c r="N82" s="2331"/>
      <c r="O82" s="2331"/>
      <c r="P82" s="2347"/>
    </row>
    <row r="83" spans="1:17" ht="41.25" customHeight="1">
      <c r="A83" s="2358">
        <v>9</v>
      </c>
      <c r="B83" s="3989" t="str">
        <f>'[180]Girder-Bridge-Data'!C701</f>
        <v>Jeddy Stone Dry Packing for Aprons and Revetments Section 1300 MORD  ,including overhead charges and contractors profit ,but excluding VAT &amp; Seignarage charges.</v>
      </c>
      <c r="C83" s="3989"/>
      <c r="D83" s="3989"/>
      <c r="E83" s="3989"/>
      <c r="F83" s="3989"/>
      <c r="G83" s="3989"/>
      <c r="H83" s="3989"/>
      <c r="I83" s="3989"/>
      <c r="J83" s="2339"/>
      <c r="K83" s="2339"/>
      <c r="L83" s="2346"/>
      <c r="M83" s="2331"/>
      <c r="N83" s="2360" t="s">
        <v>2933</v>
      </c>
      <c r="O83" s="2361" t="s">
        <v>1419</v>
      </c>
      <c r="P83" s="2362" t="s">
        <v>2934</v>
      </c>
      <c r="Q83" s="2363" t="s">
        <v>2746</v>
      </c>
    </row>
    <row r="84" spans="1:17">
      <c r="A84" s="2358"/>
      <c r="F84" s="2339"/>
      <c r="G84" s="2339"/>
      <c r="H84" s="2339"/>
      <c r="I84" s="2339"/>
      <c r="J84" s="2339"/>
      <c r="K84" s="2339"/>
      <c r="L84" s="2346"/>
      <c r="M84" s="2331"/>
      <c r="N84" s="2360" t="s">
        <v>2935</v>
      </c>
      <c r="O84" s="2361" t="e">
        <f>#REF!+#REF!+#REF!+#REF!+#REF!</f>
        <v>#REF!</v>
      </c>
      <c r="P84" s="2364" t="e">
        <f>#REF!+#REF!+#REF!+#REF!+#REF!</f>
        <v>#REF!</v>
      </c>
      <c r="Q84" s="2362"/>
    </row>
    <row r="85" spans="1:17" ht="28.5" customHeight="1">
      <c r="A85" s="2358"/>
      <c r="B85" s="2365" t="s">
        <v>2936</v>
      </c>
      <c r="C85" s="2328">
        <v>1</v>
      </c>
      <c r="D85" s="2328" t="s">
        <v>907</v>
      </c>
      <c r="E85" s="2328">
        <v>2</v>
      </c>
      <c r="F85" s="2339">
        <v>169.38</v>
      </c>
      <c r="G85" s="2339">
        <v>2.2400000000000002</v>
      </c>
      <c r="H85" s="2339">
        <v>0.3</v>
      </c>
      <c r="I85" s="2339">
        <v>227.95</v>
      </c>
      <c r="J85" s="2339"/>
      <c r="K85" s="2339"/>
      <c r="L85" s="2346"/>
      <c r="M85" s="2331"/>
      <c r="N85" s="2360" t="s">
        <v>1403</v>
      </c>
      <c r="O85" s="2361" t="e">
        <f>#REF!+#REF!+#REF!</f>
        <v>#REF!</v>
      </c>
      <c r="P85" s="2364" t="e">
        <f>#REF!+#REF!+#REF!+#REF!</f>
        <v>#REF!</v>
      </c>
      <c r="Q85" s="2362"/>
    </row>
    <row r="86" spans="1:17" ht="24.75" customHeight="1">
      <c r="A86" s="2358"/>
      <c r="B86" s="2365" t="s">
        <v>2937</v>
      </c>
      <c r="C86" s="2328">
        <v>1</v>
      </c>
      <c r="D86" s="2328" t="s">
        <v>907</v>
      </c>
      <c r="E86" s="2328">
        <v>2</v>
      </c>
      <c r="F86" s="2339">
        <v>139.38</v>
      </c>
      <c r="G86" s="2339">
        <v>2.2400000000000002</v>
      </c>
      <c r="H86" s="2339">
        <v>0.3</v>
      </c>
      <c r="I86" s="2339">
        <v>187.58</v>
      </c>
      <c r="J86" s="2339"/>
      <c r="K86" s="2339"/>
      <c r="L86" s="2346"/>
      <c r="M86" s="2331"/>
      <c r="N86" s="2360" t="s">
        <v>2938</v>
      </c>
      <c r="O86" s="2361" t="e">
        <f>#REF!+#REF!+#REF!</f>
        <v>#REF!</v>
      </c>
      <c r="P86" s="2364" t="e">
        <f>#REF!+#REF!+#REF!+#REF!+#REF!+#REF!</f>
        <v>#REF!</v>
      </c>
      <c r="Q86" s="2362"/>
    </row>
    <row r="87" spans="1:17">
      <c r="A87" s="2358"/>
      <c r="B87" s="2349" t="s">
        <v>2939</v>
      </c>
      <c r="C87" s="2328">
        <f>PI()/4/8</f>
        <v>9.8174770424681035E-2</v>
      </c>
      <c r="D87" s="2328" t="s">
        <v>907</v>
      </c>
      <c r="E87" s="2328">
        <v>4</v>
      </c>
      <c r="F87" s="2339">
        <f>3.5</f>
        <v>3.5</v>
      </c>
      <c r="G87" s="2339">
        <v>3.5</v>
      </c>
      <c r="H87" s="2339">
        <v>0.3</v>
      </c>
      <c r="I87" s="2339">
        <f>PRODUCT(C87:H87)</f>
        <v>1.4431691252428112</v>
      </c>
      <c r="J87" s="2339"/>
      <c r="L87" s="2346"/>
      <c r="M87" s="2331"/>
      <c r="N87" s="2366" t="s">
        <v>2940</v>
      </c>
      <c r="O87" s="2362" t="e">
        <f>#REF!</f>
        <v>#REF!</v>
      </c>
      <c r="P87" s="2364" t="e">
        <f>#REF!+#REF!+#REF!+#REF!</f>
        <v>#REF!</v>
      </c>
      <c r="Q87" s="2362"/>
    </row>
    <row r="88" spans="1:17">
      <c r="A88" s="2358"/>
      <c r="B88" s="2367" t="s">
        <v>2941</v>
      </c>
      <c r="C88" s="2328">
        <f>0.5/2</f>
        <v>0.25</v>
      </c>
      <c r="D88" s="2328" t="s">
        <v>907</v>
      </c>
      <c r="E88" s="2328">
        <v>4</v>
      </c>
      <c r="F88" s="2339">
        <f>3.5/2</f>
        <v>1.75</v>
      </c>
      <c r="G88" s="2339">
        <f>3.5/2</f>
        <v>1.75</v>
      </c>
      <c r="H88" s="2339">
        <v>0.3</v>
      </c>
      <c r="I88" s="2339">
        <f>PRODUCT(C88:H88)</f>
        <v>0.91874999999999996</v>
      </c>
      <c r="J88" s="2339"/>
      <c r="L88" s="2346"/>
      <c r="M88" s="2331"/>
      <c r="N88" s="2366" t="s">
        <v>2942</v>
      </c>
      <c r="O88" s="2362" t="e">
        <f>#REF!+#REF!+I91</f>
        <v>#REF!</v>
      </c>
      <c r="P88" s="2364" t="e">
        <f>#REF!+L91</f>
        <v>#REF!</v>
      </c>
      <c r="Q88" s="2362"/>
    </row>
    <row r="89" spans="1:17">
      <c r="A89" s="2358"/>
      <c r="B89" s="2354"/>
      <c r="C89" s="2346"/>
      <c r="D89" s="2339"/>
      <c r="E89" s="2346"/>
      <c r="F89" s="2339"/>
      <c r="G89" s="2368"/>
      <c r="H89" s="2339"/>
      <c r="I89" s="2339"/>
      <c r="J89" s="2339"/>
      <c r="L89" s="2346"/>
      <c r="M89" s="2331"/>
      <c r="N89" s="2366" t="s">
        <v>2943</v>
      </c>
      <c r="O89" s="2362">
        <f>I15+I23+I31+I51+I58+I66+I73+I81</f>
        <v>14695.947250000001</v>
      </c>
      <c r="P89" s="2364" t="e">
        <f>L15+#REF!+L23+L31+L51+L58+L66+L73+L81</f>
        <v>#REF!</v>
      </c>
      <c r="Q89" s="2362">
        <f>F85+F86</f>
        <v>308.76</v>
      </c>
    </row>
    <row r="90" spans="1:17">
      <c r="A90" s="2358"/>
      <c r="B90" s="2354"/>
      <c r="C90" s="2346"/>
      <c r="D90" s="2339"/>
      <c r="E90" s="2346"/>
      <c r="F90" s="2339"/>
      <c r="G90" s="2368"/>
      <c r="H90" s="2339"/>
      <c r="I90" s="2339"/>
      <c r="J90" s="2339"/>
      <c r="L90" s="2346"/>
      <c r="M90" s="2331"/>
      <c r="N90" s="2363"/>
      <c r="O90" s="2362"/>
      <c r="P90" s="2362"/>
      <c r="Q90" s="2362"/>
    </row>
    <row r="91" spans="1:17" ht="14.4">
      <c r="A91" s="2358"/>
      <c r="C91" s="2369"/>
      <c r="F91" s="2339"/>
      <c r="G91" s="2339"/>
      <c r="H91" s="2339" t="s">
        <v>60</v>
      </c>
      <c r="I91" s="2351">
        <f>SUM(I85:I90)</f>
        <v>417.89191912524279</v>
      </c>
      <c r="J91" s="2339">
        <f>'[180]Girder-Bridge-Data'!G714</f>
        <v>1017.12</v>
      </c>
      <c r="K91" s="2328" t="s">
        <v>2947</v>
      </c>
      <c r="L91" s="2370">
        <f>PRODUCT(J91*I91)</f>
        <v>425046.22878066695</v>
      </c>
      <c r="M91" s="2331"/>
      <c r="N91" s="2363" t="s">
        <v>1025</v>
      </c>
      <c r="O91" s="2364"/>
      <c r="P91" s="2364" t="e">
        <f>SUM(P84:P89)</f>
        <v>#REF!</v>
      </c>
      <c r="Q91" s="2362">
        <f>SUM(Q84:Q89)</f>
        <v>308.76</v>
      </c>
    </row>
    <row r="92" spans="1:17" ht="166.5" hidden="1" customHeight="1">
      <c r="A92" s="2358">
        <v>27</v>
      </c>
      <c r="B92" s="3989" t="s">
        <v>2951</v>
      </c>
      <c r="C92" s="3989"/>
      <c r="D92" s="3989"/>
      <c r="E92" s="3989"/>
      <c r="F92" s="3989"/>
      <c r="G92" s="3989"/>
      <c r="H92" s="3989"/>
      <c r="I92" s="3989"/>
      <c r="L92" s="2370"/>
      <c r="M92" s="2331"/>
    </row>
    <row r="93" spans="1:17" ht="12.75" hidden="1" customHeight="1">
      <c r="A93" s="2358"/>
      <c r="B93" s="2332" t="s">
        <v>2944</v>
      </c>
      <c r="C93" s="2369">
        <v>1</v>
      </c>
      <c r="D93" s="2328" t="s">
        <v>907</v>
      </c>
      <c r="E93" s="2328">
        <v>0</v>
      </c>
      <c r="F93" s="2339">
        <f>[270]A1!$H$88</f>
        <v>60</v>
      </c>
      <c r="G93" s="2339">
        <v>3.75</v>
      </c>
      <c r="H93" s="2339">
        <v>0.2</v>
      </c>
      <c r="I93" s="2339">
        <f>PRODUCT(C93:H93)</f>
        <v>0</v>
      </c>
      <c r="L93" s="2370"/>
      <c r="M93" s="2331"/>
    </row>
    <row r="94" spans="1:17" ht="12.75" hidden="1" customHeight="1">
      <c r="A94" s="2358"/>
      <c r="B94" s="2332" t="s">
        <v>2945</v>
      </c>
      <c r="C94" s="2369">
        <v>1</v>
      </c>
      <c r="D94" s="2328" t="s">
        <v>907</v>
      </c>
      <c r="E94" s="2328">
        <v>0</v>
      </c>
      <c r="F94" s="2339">
        <f>[270]A2!$H$88</f>
        <v>60</v>
      </c>
      <c r="G94" s="2339">
        <v>3.75</v>
      </c>
      <c r="H94" s="2339">
        <v>0.2</v>
      </c>
      <c r="I94" s="2339">
        <f>PRODUCT(C94:H94)</f>
        <v>0</v>
      </c>
      <c r="L94" s="2370"/>
      <c r="M94" s="2331"/>
    </row>
    <row r="95" spans="1:17" ht="12.75" hidden="1" customHeight="1">
      <c r="A95" s="2358"/>
      <c r="C95" s="2369"/>
      <c r="F95" s="2339"/>
      <c r="G95" s="2339"/>
      <c r="H95" s="2339"/>
      <c r="I95" s="2339"/>
      <c r="J95" s="2339"/>
      <c r="K95" s="2339"/>
      <c r="L95" s="2370"/>
      <c r="M95" s="2331"/>
    </row>
    <row r="96" spans="1:17" ht="12.75" hidden="1" customHeight="1">
      <c r="A96" s="2358"/>
      <c r="C96" s="2369"/>
      <c r="F96" s="2339"/>
      <c r="G96" s="2339"/>
      <c r="H96" s="2339"/>
      <c r="I96" s="2339"/>
      <c r="L96" s="2370"/>
      <c r="M96" s="2331"/>
      <c r="N96" s="2371"/>
      <c r="O96" s="2331"/>
      <c r="P96" s="2372"/>
    </row>
    <row r="97" spans="1:18" ht="12.75" hidden="1" customHeight="1">
      <c r="A97" s="2358"/>
      <c r="C97" s="2369"/>
      <c r="F97" s="2339"/>
      <c r="G97" s="2339"/>
      <c r="H97" s="2339" t="s">
        <v>60</v>
      </c>
      <c r="I97" s="2351">
        <f>SUM(I93:I96)</f>
        <v>0</v>
      </c>
      <c r="J97" s="2330">
        <f>[270]SOR!C22</f>
        <v>6975.51</v>
      </c>
      <c r="K97" s="2339" t="s">
        <v>2947</v>
      </c>
      <c r="L97" s="2346">
        <f>PRODUCT(J97*I97)</f>
        <v>0</v>
      </c>
      <c r="M97" s="2331"/>
      <c r="N97" s="2371"/>
      <c r="O97" s="2331"/>
      <c r="P97" s="2347"/>
      <c r="Q97" s="2347"/>
    </row>
    <row r="98" spans="1:18">
      <c r="B98" s="2373"/>
      <c r="C98" s="2330"/>
      <c r="D98" s="2330"/>
      <c r="E98" s="2330"/>
      <c r="F98" s="2370"/>
      <c r="L98" s="2370"/>
      <c r="M98" s="2373"/>
      <c r="N98" s="2371"/>
      <c r="O98" s="2331"/>
      <c r="P98" s="2372"/>
      <c r="Q98" s="2372"/>
      <c r="R98" s="2373"/>
    </row>
    <row r="99" spans="1:18">
      <c r="L99" s="2370"/>
      <c r="M99" s="2373"/>
      <c r="N99" s="2373"/>
      <c r="O99" s="2371"/>
      <c r="P99" s="2374"/>
      <c r="Q99" s="2373"/>
      <c r="R99" s="2373"/>
    </row>
    <row r="100" spans="1:18">
      <c r="I100" s="2328" t="s">
        <v>60</v>
      </c>
      <c r="L100" s="2375">
        <f>SUM(L9:L99)</f>
        <v>2987244.9807118783</v>
      </c>
      <c r="M100" s="2373"/>
      <c r="R100" s="2373"/>
    </row>
    <row r="101" spans="1:18" hidden="1">
      <c r="A101" s="2327"/>
      <c r="B101" s="2327"/>
      <c r="C101" s="2330"/>
      <c r="I101" s="2330"/>
      <c r="K101" s="2330"/>
      <c r="M101" s="2373"/>
      <c r="N101" s="2373"/>
      <c r="O101" s="2371"/>
      <c r="P101" s="2374"/>
      <c r="Q101" s="2373"/>
      <c r="R101" s="2373"/>
    </row>
    <row r="102" spans="1:18" hidden="1">
      <c r="A102" s="2327"/>
      <c r="B102" s="2327"/>
      <c r="C102" s="2330"/>
      <c r="F102" s="2330"/>
      <c r="I102" s="2330"/>
      <c r="K102" s="2330"/>
      <c r="N102" s="2373"/>
      <c r="O102" s="2373"/>
      <c r="P102" s="2374"/>
    </row>
    <row r="103" spans="1:18" hidden="1">
      <c r="A103" s="2327"/>
      <c r="B103" s="2327"/>
      <c r="I103" s="2330"/>
      <c r="K103" s="2330"/>
      <c r="N103" s="2373"/>
      <c r="O103" s="2373"/>
      <c r="P103" s="2374"/>
    </row>
    <row r="104" spans="1:18" hidden="1">
      <c r="N104" s="2373"/>
      <c r="O104" s="2373"/>
      <c r="P104" s="2374"/>
    </row>
    <row r="105" spans="1:18" hidden="1">
      <c r="N105" s="2373"/>
      <c r="O105" s="2373"/>
      <c r="P105" s="2374"/>
    </row>
    <row r="106" spans="1:18" hidden="1">
      <c r="N106" s="2373"/>
      <c r="O106" s="2373"/>
      <c r="P106" s="2347"/>
    </row>
    <row r="107" spans="1:18" hidden="1">
      <c r="N107" s="2373"/>
      <c r="O107" s="2373"/>
      <c r="P107" s="2347"/>
    </row>
    <row r="108" spans="1:18" hidden="1">
      <c r="N108" s="2373"/>
      <c r="O108" s="2373"/>
      <c r="P108" s="2347"/>
    </row>
    <row r="109" spans="1:18" hidden="1">
      <c r="N109" s="2373"/>
      <c r="O109" s="2373"/>
      <c r="P109" s="2347"/>
    </row>
    <row r="110" spans="1:18" hidden="1">
      <c r="N110" s="2373"/>
      <c r="O110" s="2373"/>
      <c r="P110" s="2347"/>
    </row>
    <row r="111" spans="1:18" hidden="1">
      <c r="A111" s="2376"/>
    </row>
    <row r="112" spans="1:18" hidden="1">
      <c r="A112" s="2376"/>
    </row>
    <row r="113" spans="1:16" hidden="1">
      <c r="A113" s="2376"/>
    </row>
    <row r="114" spans="1:16">
      <c r="A114" s="2376"/>
    </row>
    <row r="115" spans="1:16">
      <c r="A115" s="2376"/>
    </row>
    <row r="116" spans="1:16">
      <c r="A116" s="2376"/>
    </row>
    <row r="117" spans="1:16" ht="17.399999999999999">
      <c r="B117" s="2377" t="s">
        <v>2923</v>
      </c>
      <c r="C117" s="2378"/>
      <c r="I117" s="2378" t="s">
        <v>814</v>
      </c>
      <c r="J117" s="2379"/>
      <c r="K117" s="2339"/>
    </row>
    <row r="118" spans="1:16" ht="17.399999999999999">
      <c r="B118" s="2377" t="str">
        <f>CONCATENATE("PR",[271]INPUT!$D$12)</f>
        <v>PRSD Makthal</v>
      </c>
      <c r="C118" s="2378"/>
      <c r="I118" s="2378" t="str">
        <f>CONCATENATE("PRSD:",[271]INPUT!$D$11)</f>
        <v>PRSD:Makthal</v>
      </c>
      <c r="J118" s="2379"/>
      <c r="K118" s="2339"/>
      <c r="L118" s="2346"/>
    </row>
    <row r="119" spans="1:16">
      <c r="L119" s="2346"/>
    </row>
    <row r="120" spans="1:16">
      <c r="K120" s="2339"/>
      <c r="L120" s="2346"/>
    </row>
    <row r="121" spans="1:16" ht="17.399999999999999">
      <c r="A121" s="2377"/>
      <c r="B121" s="2377"/>
      <c r="C121" s="2378"/>
      <c r="F121" s="2339"/>
      <c r="G121" s="2339"/>
      <c r="H121" s="2339"/>
      <c r="I121" s="2378"/>
      <c r="J121" s="2379"/>
      <c r="K121" s="2339"/>
      <c r="L121" s="2346"/>
    </row>
    <row r="122" spans="1:16" ht="17.399999999999999">
      <c r="B122" s="2377" t="s">
        <v>761</v>
      </c>
      <c r="C122" s="2378"/>
      <c r="F122" s="2339"/>
      <c r="G122" s="2339"/>
      <c r="H122" s="2339"/>
      <c r="I122" s="2378" t="s">
        <v>684</v>
      </c>
      <c r="J122" s="2379"/>
      <c r="K122" s="2339"/>
      <c r="L122" s="2346"/>
    </row>
    <row r="123" spans="1:16" ht="17.399999999999999">
      <c r="B123" s="2377" t="s">
        <v>2924</v>
      </c>
      <c r="C123" s="2378"/>
      <c r="F123" s="2339"/>
      <c r="G123" s="2339"/>
      <c r="H123" s="2339"/>
      <c r="I123" s="2378" t="str">
        <f>CONCATENATE("PR Circle:",[271]INPUT!$D$10)</f>
        <v>PR Circle:Mahabubnagar</v>
      </c>
      <c r="J123" s="2379"/>
      <c r="K123" s="2339"/>
      <c r="L123" s="2346"/>
    </row>
    <row r="124" spans="1:16" hidden="1">
      <c r="A124" s="2358"/>
    </row>
    <row r="125" spans="1:16" hidden="1">
      <c r="A125" s="2358"/>
      <c r="B125" s="2358"/>
    </row>
    <row r="126" spans="1:16" ht="15" hidden="1" customHeight="1">
      <c r="A126" s="2358"/>
      <c r="B126" s="2358"/>
      <c r="C126" s="2332"/>
      <c r="E126" s="2329" t="s">
        <v>2946</v>
      </c>
      <c r="I126" s="3993"/>
      <c r="J126" s="3992"/>
      <c r="K126" s="3992"/>
      <c r="L126" s="3992"/>
    </row>
    <row r="127" spans="1:16" hidden="1">
      <c r="A127" s="2358"/>
      <c r="B127" s="2358"/>
      <c r="F127" s="2380"/>
      <c r="G127" s="2380"/>
      <c r="H127" s="2380"/>
      <c r="I127" s="3993"/>
      <c r="J127" s="3992"/>
      <c r="K127" s="3992"/>
      <c r="L127" s="3992"/>
      <c r="P127" s="2332"/>
    </row>
    <row r="128" spans="1:16" ht="12.75" hidden="1" customHeight="1">
      <c r="A128" s="2380"/>
      <c r="B128" s="2358" t="str">
        <f>'[180]INPUT-SHEET'!C3</f>
        <v>Constn.of HLB on R/F Gudeballur to Mandipally (via) Mudumal at 9/0 to 9/2 km of Maganoor(M)</v>
      </c>
      <c r="J128" s="2380"/>
      <c r="K128" s="2380"/>
      <c r="L128" s="2380"/>
    </row>
    <row r="129" spans="1:16" ht="15" hidden="1" customHeight="1">
      <c r="A129" s="3987" t="s">
        <v>391</v>
      </c>
      <c r="B129" s="3987" t="s">
        <v>1418</v>
      </c>
      <c r="C129" s="3987" t="s">
        <v>708</v>
      </c>
      <c r="D129" s="3987"/>
      <c r="E129" s="3987"/>
      <c r="F129" s="3987" t="s">
        <v>2641</v>
      </c>
      <c r="G129" s="3987"/>
      <c r="H129" s="3987"/>
      <c r="I129" s="3987" t="s">
        <v>2921</v>
      </c>
      <c r="J129" s="3990" t="s">
        <v>968</v>
      </c>
      <c r="K129" s="3990" t="s">
        <v>2922</v>
      </c>
      <c r="L129" s="3990" t="s">
        <v>531</v>
      </c>
    </row>
    <row r="130" spans="1:16" hidden="1">
      <c r="A130" s="3987">
        <v>1</v>
      </c>
      <c r="B130" s="3987"/>
      <c r="C130" s="3987"/>
      <c r="D130" s="3987"/>
      <c r="E130" s="3987"/>
      <c r="F130" s="2334" t="s">
        <v>180</v>
      </c>
      <c r="G130" s="2334" t="s">
        <v>732</v>
      </c>
      <c r="H130" s="2334" t="s">
        <v>906</v>
      </c>
      <c r="I130" s="3987"/>
      <c r="J130" s="3990">
        <v>5</v>
      </c>
      <c r="K130" s="3990"/>
      <c r="L130" s="3990">
        <v>7</v>
      </c>
    </row>
    <row r="131" spans="1:16" hidden="1">
      <c r="A131" s="2334">
        <v>1</v>
      </c>
      <c r="B131" s="2334">
        <v>2</v>
      </c>
      <c r="C131" s="3987">
        <v>3</v>
      </c>
      <c r="D131" s="3987"/>
      <c r="E131" s="3987"/>
      <c r="F131" s="2334">
        <v>4</v>
      </c>
      <c r="G131" s="2334">
        <v>5</v>
      </c>
      <c r="H131" s="2334">
        <v>6</v>
      </c>
      <c r="I131" s="2334">
        <v>7</v>
      </c>
      <c r="J131" s="2334">
        <v>8</v>
      </c>
      <c r="K131" s="2334">
        <v>9</v>
      </c>
      <c r="L131" s="2334">
        <v>10</v>
      </c>
    </row>
    <row r="132" spans="1:16" ht="181.5" hidden="1" customHeight="1">
      <c r="A132" s="2381">
        <v>1</v>
      </c>
      <c r="B132" s="3989" t="str">
        <f>'[180]Road Furniture-Data'!D283</f>
        <v>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VAT &amp; Seignarage charges.</v>
      </c>
      <c r="C132" s="3989"/>
      <c r="D132" s="3989"/>
      <c r="E132" s="3989"/>
      <c r="F132" s="3989"/>
      <c r="G132" s="3989"/>
      <c r="H132" s="3989"/>
      <c r="I132" s="3989"/>
      <c r="L132" s="2346"/>
    </row>
    <row r="133" spans="1:16" hidden="1">
      <c r="A133" s="2381"/>
      <c r="C133" s="2382">
        <v>1</v>
      </c>
      <c r="D133" s="2382" t="s">
        <v>907</v>
      </c>
      <c r="E133" s="2382">
        <v>2</v>
      </c>
      <c r="F133" s="2383"/>
      <c r="G133" s="2382"/>
      <c r="H133" s="2330"/>
      <c r="I133" s="2328">
        <f>PRODUCT(C133:H133)</f>
        <v>2</v>
      </c>
      <c r="J133" s="2339">
        <f>'[180]Road Furniture-Data'!H318</f>
        <v>8701.7132249999995</v>
      </c>
      <c r="L133" s="2346">
        <f>J133*I133</f>
        <v>17403.426449999999</v>
      </c>
    </row>
    <row r="134" spans="1:16" ht="146.25" hidden="1" customHeight="1">
      <c r="A134" s="2381">
        <v>2</v>
      </c>
      <c r="B134" s="3989" t="str">
        <f>'[180]Road Furniture-Data'!D149</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VAT &amp; Seignarage charges.</v>
      </c>
      <c r="C134" s="3989"/>
      <c r="D134" s="3989"/>
      <c r="E134" s="3989"/>
      <c r="F134" s="3989"/>
      <c r="G134" s="3989"/>
      <c r="H134" s="3989"/>
      <c r="I134" s="3989"/>
      <c r="J134" s="2339"/>
      <c r="L134" s="2346"/>
    </row>
    <row r="135" spans="1:16" hidden="1">
      <c r="A135" s="2384"/>
      <c r="C135" s="2382">
        <v>1</v>
      </c>
      <c r="D135" s="2382" t="s">
        <v>907</v>
      </c>
      <c r="E135" s="2382">
        <v>2</v>
      </c>
      <c r="F135" s="2383"/>
      <c r="G135" s="2382"/>
      <c r="H135" s="2330"/>
      <c r="I135" s="2328">
        <f>PRODUCT(C135:H135)</f>
        <v>2</v>
      </c>
      <c r="J135" s="2339">
        <f>'[180]Road Furniture-Data'!H173</f>
        <v>1949.049225</v>
      </c>
      <c r="L135" s="2370">
        <f>J135*I135</f>
        <v>3898.09845</v>
      </c>
    </row>
    <row r="136" spans="1:16" ht="128.25" hidden="1" customHeight="1">
      <c r="A136" s="2327">
        <v>3</v>
      </c>
      <c r="B136" s="3989" t="str">
        <f>'[180]Road Furniture-Data'!D106</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VAT &amp; Seignarage charges.</v>
      </c>
      <c r="C136" s="3989"/>
      <c r="D136" s="3989"/>
      <c r="E136" s="3989"/>
      <c r="F136" s="3989"/>
      <c r="G136" s="3989"/>
      <c r="H136" s="3989"/>
      <c r="I136" s="3989"/>
      <c r="J136" s="2339"/>
      <c r="L136" s="2370"/>
    </row>
    <row r="137" spans="1:16" hidden="1">
      <c r="A137" s="2358"/>
      <c r="C137" s="2382">
        <v>1</v>
      </c>
      <c r="D137" s="2382" t="s">
        <v>907</v>
      </c>
      <c r="E137" s="2382">
        <v>2</v>
      </c>
      <c r="F137" s="2383"/>
      <c r="G137" s="2382"/>
      <c r="H137" s="2330"/>
      <c r="I137" s="2328">
        <f>PRODUCT(C137:H137)</f>
        <v>2</v>
      </c>
      <c r="J137" s="2339">
        <f>'[180]Road Furniture-Data'!H142</f>
        <v>1511.8136999999999</v>
      </c>
      <c r="L137" s="2370">
        <f>J137*I137</f>
        <v>3023.6273999999999</v>
      </c>
      <c r="O137" s="2385"/>
      <c r="P137" s="2386"/>
    </row>
    <row r="138" spans="1:16" hidden="1">
      <c r="A138" s="2358"/>
    </row>
    <row r="139" spans="1:16" hidden="1">
      <c r="A139" s="2327"/>
      <c r="B139" s="2327" t="s">
        <v>60</v>
      </c>
      <c r="C139" s="2330"/>
      <c r="I139" s="2330"/>
      <c r="K139" s="2330"/>
    </row>
    <row r="140" spans="1:16" hidden="1">
      <c r="A140" s="2327"/>
      <c r="B140" s="2327"/>
      <c r="C140" s="2330"/>
      <c r="I140" s="2330"/>
      <c r="J140" s="2328" t="s">
        <v>60</v>
      </c>
      <c r="K140" s="2330"/>
      <c r="L140" s="2375">
        <f>SUM(L132:L138)</f>
        <v>24325.152300000002</v>
      </c>
      <c r="N140" s="2385" t="e">
        <f>#REF!</f>
        <v>#REF!</v>
      </c>
    </row>
    <row r="141" spans="1:16" hidden="1">
      <c r="A141" s="2327"/>
      <c r="B141" s="2327"/>
      <c r="C141" s="2330"/>
      <c r="I141" s="2330"/>
      <c r="K141" s="2330"/>
      <c r="L141" s="2370"/>
      <c r="N141" s="2385"/>
    </row>
    <row r="142" spans="1:16" hidden="1">
      <c r="A142" s="2327"/>
      <c r="B142" s="2327"/>
      <c r="C142" s="2330"/>
      <c r="I142" s="2330"/>
      <c r="K142" s="2330"/>
      <c r="L142" s="2370"/>
      <c r="N142" s="2385"/>
    </row>
    <row r="143" spans="1:16" hidden="1">
      <c r="A143" s="2327"/>
      <c r="B143" s="2327"/>
      <c r="C143" s="2330"/>
      <c r="I143" s="2330"/>
      <c r="K143" s="2330"/>
      <c r="L143" s="2370"/>
      <c r="N143" s="2385"/>
    </row>
    <row r="144" spans="1:16" hidden="1">
      <c r="A144" s="2327"/>
      <c r="B144" s="2327"/>
      <c r="C144" s="2330"/>
      <c r="I144" s="2330"/>
      <c r="K144" s="2330"/>
      <c r="N144" s="2385">
        <f>L100</f>
        <v>2987244.9807118783</v>
      </c>
    </row>
    <row r="145" spans="1:16" ht="17.399999999999999" hidden="1">
      <c r="B145" s="2377" t="s">
        <v>2923</v>
      </c>
      <c r="C145" s="2378"/>
      <c r="I145" s="2378" t="s">
        <v>814</v>
      </c>
      <c r="J145" s="2379"/>
      <c r="K145" s="2339"/>
      <c r="N145" s="2385">
        <f>L140</f>
        <v>24325.152300000002</v>
      </c>
    </row>
    <row r="146" spans="1:16" ht="17.399999999999999" hidden="1">
      <c r="B146" s="2377" t="str">
        <f>CONCATENATE("PR",[271]INPUT!$D$12)</f>
        <v>PRSD Makthal</v>
      </c>
      <c r="C146" s="2378"/>
      <c r="I146" s="2378" t="str">
        <f>CONCATENATE("PRSD:",[271]INPUT!$D$11)</f>
        <v>PRSD:Makthal</v>
      </c>
      <c r="J146" s="2379"/>
      <c r="K146" s="2339"/>
      <c r="L146" s="2346"/>
      <c r="N146" s="2385" t="e">
        <f>SUM(N140:N145)</f>
        <v>#REF!</v>
      </c>
    </row>
    <row r="147" spans="1:16" hidden="1">
      <c r="L147" s="2346"/>
      <c r="N147" s="2385"/>
    </row>
    <row r="148" spans="1:16" hidden="1">
      <c r="K148" s="2339"/>
      <c r="L148" s="2346"/>
    </row>
    <row r="149" spans="1:16" ht="17.399999999999999" hidden="1">
      <c r="B149" s="2377"/>
      <c r="C149" s="2378"/>
      <c r="F149" s="2339"/>
      <c r="G149" s="2339"/>
      <c r="H149" s="2339"/>
      <c r="I149" s="2378"/>
      <c r="J149" s="2379"/>
      <c r="K149" s="2339"/>
      <c r="L149" s="2346"/>
    </row>
    <row r="150" spans="1:16" ht="17.399999999999999" hidden="1">
      <c r="B150" s="2377" t="s">
        <v>761</v>
      </c>
      <c r="C150" s="2378"/>
      <c r="F150" s="2339"/>
      <c r="G150" s="2339"/>
      <c r="H150" s="2339"/>
      <c r="I150" s="2378" t="s">
        <v>684</v>
      </c>
      <c r="J150" s="2379"/>
      <c r="K150" s="2339"/>
      <c r="L150" s="2346"/>
    </row>
    <row r="151" spans="1:16" ht="17.399999999999999" hidden="1">
      <c r="B151" s="2377" t="s">
        <v>2924</v>
      </c>
      <c r="C151" s="2378"/>
      <c r="F151" s="2339"/>
      <c r="G151" s="2339"/>
      <c r="H151" s="2339"/>
      <c r="I151" s="2378" t="str">
        <f>CONCATENATE("PR Circle:",[271]INPUT!$D$10)</f>
        <v>PR Circle:Mahabubnagar</v>
      </c>
      <c r="J151" s="2379"/>
      <c r="K151" s="2339"/>
      <c r="L151" s="2346"/>
      <c r="P151" s="2332"/>
    </row>
    <row r="152" spans="1:16" ht="17.399999999999999">
      <c r="A152" s="2377"/>
      <c r="B152" s="2377"/>
      <c r="C152" s="2378"/>
      <c r="F152" s="2387"/>
      <c r="I152" s="2378"/>
      <c r="J152" s="2379"/>
      <c r="P152" s="2332"/>
    </row>
    <row r="154" spans="1:16">
      <c r="A154" s="2358"/>
      <c r="P154" s="2332"/>
    </row>
    <row r="155" spans="1:16">
      <c r="A155" s="2358"/>
      <c r="P155" s="2332"/>
    </row>
    <row r="156" spans="1:16">
      <c r="A156" s="2358"/>
      <c r="P156" s="2332"/>
    </row>
    <row r="157" spans="1:16">
      <c r="A157" s="2358"/>
      <c r="P157" s="2332"/>
    </row>
    <row r="158" spans="1:16">
      <c r="A158" s="2358"/>
      <c r="P158" s="2332"/>
    </row>
    <row r="159" spans="1:16">
      <c r="A159" s="2358"/>
      <c r="P159" s="2332"/>
    </row>
    <row r="160" spans="1:16">
      <c r="A160" s="2358"/>
      <c r="P160" s="2332"/>
    </row>
    <row r="161" spans="1:12" s="2332" customFormat="1">
      <c r="A161" s="2358"/>
      <c r="C161" s="2328"/>
      <c r="D161" s="2328"/>
      <c r="E161" s="2328"/>
      <c r="F161" s="2328"/>
      <c r="G161" s="2328"/>
      <c r="H161" s="2328"/>
      <c r="I161" s="2328"/>
      <c r="J161" s="2328"/>
      <c r="K161" s="2328"/>
      <c r="L161" s="2328"/>
    </row>
    <row r="162" spans="1:12" s="2332" customFormat="1">
      <c r="A162" s="2358"/>
      <c r="C162" s="2328"/>
      <c r="D162" s="2328"/>
      <c r="E162" s="2328"/>
      <c r="F162" s="2328"/>
      <c r="G162" s="2328"/>
      <c r="H162" s="2328"/>
      <c r="I162" s="2328"/>
      <c r="J162" s="2328"/>
      <c r="K162" s="2328"/>
      <c r="L162" s="2328"/>
    </row>
    <row r="163" spans="1:12" s="2332" customFormat="1">
      <c r="A163" s="2358"/>
      <c r="C163" s="2328"/>
      <c r="D163" s="2328"/>
      <c r="E163" s="2328"/>
      <c r="F163" s="2328"/>
      <c r="G163" s="2328"/>
      <c r="H163" s="2328"/>
      <c r="I163" s="2328"/>
      <c r="J163" s="2328"/>
      <c r="K163" s="2328"/>
      <c r="L163" s="2328"/>
    </row>
    <row r="164" spans="1:12" s="2332" customFormat="1">
      <c r="A164" s="2358"/>
      <c r="C164" s="2328"/>
      <c r="D164" s="2328"/>
      <c r="E164" s="2328"/>
      <c r="F164" s="2328"/>
      <c r="G164" s="2328"/>
      <c r="H164" s="2328"/>
      <c r="I164" s="2328"/>
      <c r="J164" s="2328"/>
      <c r="K164" s="2328"/>
      <c r="L164" s="2328"/>
    </row>
    <row r="165" spans="1:12" s="2332" customFormat="1">
      <c r="A165" s="2358"/>
      <c r="C165" s="2328"/>
      <c r="D165" s="2328"/>
      <c r="E165" s="2328"/>
      <c r="F165" s="2328"/>
      <c r="G165" s="2328"/>
      <c r="H165" s="2328"/>
      <c r="I165" s="2328"/>
      <c r="J165" s="2328"/>
      <c r="K165" s="2328"/>
      <c r="L165" s="2328"/>
    </row>
    <row r="166" spans="1:12" s="2332" customFormat="1">
      <c r="A166" s="2358"/>
      <c r="C166" s="2328"/>
      <c r="D166" s="2328"/>
      <c r="E166" s="2328"/>
      <c r="F166" s="2328"/>
      <c r="G166" s="2328"/>
      <c r="H166" s="2328"/>
      <c r="I166" s="2328"/>
      <c r="J166" s="2328"/>
      <c r="K166" s="2328"/>
      <c r="L166" s="2328"/>
    </row>
    <row r="167" spans="1:12" s="2332" customFormat="1">
      <c r="A167" s="2358"/>
    </row>
    <row r="168" spans="1:12" s="2332" customFormat="1">
      <c r="A168" s="2358"/>
    </row>
    <row r="169" spans="1:12" s="2332" customFormat="1">
      <c r="A169" s="2358"/>
    </row>
    <row r="170" spans="1:12" s="2332" customFormat="1">
      <c r="A170" s="2358"/>
    </row>
    <row r="171" spans="1:12" s="2332" customFormat="1">
      <c r="A171" s="2358"/>
    </row>
    <row r="172" spans="1:12" s="2332" customFormat="1">
      <c r="A172" s="2358"/>
    </row>
  </sheetData>
  <mergeCells count="39">
    <mergeCell ref="C131:E131"/>
    <mergeCell ref="B132:I132"/>
    <mergeCell ref="B134:I134"/>
    <mergeCell ref="B136:I136"/>
    <mergeCell ref="J126:J127"/>
    <mergeCell ref="K126:K127"/>
    <mergeCell ref="L126:L127"/>
    <mergeCell ref="A129:A130"/>
    <mergeCell ref="B129:B130"/>
    <mergeCell ref="C129:E130"/>
    <mergeCell ref="F129:H129"/>
    <mergeCell ref="I129:I130"/>
    <mergeCell ref="J129:J130"/>
    <mergeCell ref="K129:K130"/>
    <mergeCell ref="I126:I127"/>
    <mergeCell ref="L129:L130"/>
    <mergeCell ref="B60:I60"/>
    <mergeCell ref="B67:I67"/>
    <mergeCell ref="B75:I75"/>
    <mergeCell ref="B83:I83"/>
    <mergeCell ref="B92:I92"/>
    <mergeCell ref="B52:I52"/>
    <mergeCell ref="J5:J6"/>
    <mergeCell ref="K5:K6"/>
    <mergeCell ref="L5:L6"/>
    <mergeCell ref="C7:E7"/>
    <mergeCell ref="C8:L8"/>
    <mergeCell ref="B9:I9"/>
    <mergeCell ref="B17:I17"/>
    <mergeCell ref="B25:I25"/>
    <mergeCell ref="B38:I38"/>
    <mergeCell ref="B44:I44"/>
    <mergeCell ref="B45:I45"/>
    <mergeCell ref="C3:L3"/>
    <mergeCell ref="A5:A6"/>
    <mergeCell ref="B5:B6"/>
    <mergeCell ref="C5:E6"/>
    <mergeCell ref="F5:H5"/>
    <mergeCell ref="I5:I6"/>
  </mergeCells>
  <pageMargins left="0.75" right="0.31" top="0.63" bottom="0.59" header="0.35" footer="0.24"/>
  <pageSetup paperSize="9" scale="73" orientation="portrait" verticalDpi="1200" r:id="rId1"/>
  <headerFooter alignWithMargins="0">
    <oddFooter>&amp;CPage &amp;P of &amp;N</oddFooter>
  </headerFooter>
  <rowBreaks count="2" manualBreakCount="2">
    <brk id="59" max="11" man="1"/>
    <brk id="123" max="1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008000"/>
  </sheetPr>
  <dimension ref="A1:L132"/>
  <sheetViews>
    <sheetView view="pageBreakPreview" workbookViewId="0">
      <selection activeCell="H29" sqref="H29:P29"/>
    </sheetView>
  </sheetViews>
  <sheetFormatPr defaultColWidth="9.33203125" defaultRowHeight="14.4"/>
  <cols>
    <col min="1" max="1" width="5.88671875" style="495" customWidth="1"/>
    <col min="2" max="2" width="30.33203125" style="494" customWidth="1"/>
    <col min="3" max="3" width="11.6640625" style="496" customWidth="1"/>
    <col min="4" max="4" width="10.6640625" style="497" customWidth="1"/>
    <col min="5" max="5" width="13" style="497" customWidth="1"/>
    <col min="6" max="6" width="9.88671875" style="497" customWidth="1"/>
    <col min="7" max="7" width="12.6640625" style="498" customWidth="1"/>
    <col min="8" max="8" width="27.109375" style="499" customWidth="1"/>
    <col min="9" max="9" width="10.109375" style="499" customWidth="1"/>
    <col min="10" max="16384" width="9.33203125" style="499"/>
  </cols>
  <sheetData>
    <row r="1" spans="1:10" ht="21.9" customHeight="1">
      <c r="A1" s="3994" t="s">
        <v>1353</v>
      </c>
      <c r="B1" s="3994"/>
      <c r="C1" s="3994"/>
      <c r="D1" s="3994"/>
      <c r="E1" s="3994"/>
      <c r="F1" s="3994"/>
      <c r="G1" s="3994"/>
    </row>
    <row r="2" spans="1:10">
      <c r="A2" s="3995" t="str">
        <f>'Input Data'!E1</f>
        <v>C/o HLB on R/F Amlikunta to Gundumal of Gundumal Mandal of Narayanept District.</v>
      </c>
      <c r="B2" s="3995"/>
      <c r="C2" s="3995"/>
      <c r="D2" s="3995"/>
      <c r="E2" s="3995"/>
      <c r="F2" s="3995"/>
      <c r="G2" s="3995"/>
    </row>
    <row r="3" spans="1:10" s="491" customFormat="1" ht="18" customHeight="1">
      <c r="A3" s="500" t="s">
        <v>391</v>
      </c>
      <c r="B3" s="501" t="s">
        <v>529</v>
      </c>
      <c r="C3" s="3996" t="s">
        <v>3</v>
      </c>
      <c r="D3" s="3996"/>
      <c r="E3" s="3996" t="s">
        <v>5</v>
      </c>
      <c r="F3" s="3996"/>
      <c r="G3" s="501" t="s">
        <v>531</v>
      </c>
    </row>
    <row r="4" spans="1:10" s="492" customFormat="1" ht="64.5" customHeight="1">
      <c r="A4" s="502">
        <v>1</v>
      </c>
      <c r="B4" s="3997" t="str">
        <f>'Road Furniture-Data'!D231</f>
        <v>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v>
      </c>
      <c r="C4" s="3997"/>
      <c r="D4" s="3997"/>
      <c r="E4" s="3997"/>
      <c r="F4" s="3997"/>
      <c r="G4" s="503"/>
    </row>
    <row r="5" spans="1:10" s="492" customFormat="1">
      <c r="A5" s="504"/>
      <c r="B5" s="505" t="s">
        <v>1354</v>
      </c>
      <c r="C5" s="506">
        <v>2</v>
      </c>
      <c r="D5" s="507" t="s">
        <v>708</v>
      </c>
      <c r="E5" s="508">
        <f>'Road Furniture-Data'!H281</f>
        <v>3061.9873815519522</v>
      </c>
      <c r="F5" s="2070" t="s">
        <v>1355</v>
      </c>
      <c r="G5" s="510">
        <f>ROUND(+C5*E5,)</f>
        <v>6124</v>
      </c>
    </row>
    <row r="6" spans="1:10">
      <c r="A6" s="511"/>
      <c r="B6" s="512" t="s">
        <v>1356</v>
      </c>
      <c r="C6" s="506">
        <v>2</v>
      </c>
      <c r="D6" s="507" t="s">
        <v>708</v>
      </c>
      <c r="E6" s="508">
        <f>'Road Furniture-Data'!H306</f>
        <v>1009.3963435712323</v>
      </c>
      <c r="F6" s="2070" t="s">
        <v>1355</v>
      </c>
      <c r="G6" s="510">
        <f>ROUND(+C6*E6,)</f>
        <v>2019</v>
      </c>
      <c r="I6" s="538"/>
      <c r="J6" s="538"/>
    </row>
    <row r="7" spans="1:10" ht="156" customHeight="1">
      <c r="A7" s="513">
        <v>2</v>
      </c>
      <c r="B7" s="3999" t="str">
        <f>'Road Furniture-Data'!D309</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C7" s="3999"/>
      <c r="D7" s="3999"/>
      <c r="E7" s="3999"/>
      <c r="F7" s="3999"/>
      <c r="G7" s="510"/>
    </row>
    <row r="8" spans="1:10">
      <c r="A8" s="511"/>
      <c r="B8" s="514" t="s">
        <v>1357</v>
      </c>
      <c r="C8" s="515">
        <v>2</v>
      </c>
      <c r="D8" s="507" t="s">
        <v>708</v>
      </c>
      <c r="E8" s="508">
        <f>'Road Furniture-Data'!H345</f>
        <v>17444.593424758499</v>
      </c>
      <c r="F8" s="2070" t="s">
        <v>1355</v>
      </c>
      <c r="G8" s="510">
        <f>ROUND(+C8*E8,)</f>
        <v>34889</v>
      </c>
    </row>
    <row r="9" spans="1:10" ht="120" customHeight="1">
      <c r="A9" s="513">
        <v>3</v>
      </c>
      <c r="B9" s="3999" t="str">
        <f>'Road Furniture-Data'!D167</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C9" s="3999"/>
      <c r="D9" s="3999"/>
      <c r="E9" s="3999"/>
      <c r="F9" s="3999"/>
      <c r="G9" s="516"/>
    </row>
    <row r="10" spans="1:10">
      <c r="A10" s="511"/>
      <c r="B10" s="514" t="s">
        <v>1358</v>
      </c>
      <c r="C10" s="515">
        <v>2</v>
      </c>
      <c r="D10" s="507" t="s">
        <v>708</v>
      </c>
      <c r="E10" s="508">
        <f>'Road Furniture-Data'!H192</f>
        <v>2988.8674190850002</v>
      </c>
      <c r="F10" s="2070" t="s">
        <v>1355</v>
      </c>
      <c r="G10" s="510">
        <f>ROUND(+C10*E10,)</f>
        <v>5978</v>
      </c>
    </row>
    <row r="11" spans="1:10" ht="105" customHeight="1">
      <c r="A11" s="513">
        <v>4</v>
      </c>
      <c r="B11" s="3999" t="str">
        <f>'Road Furniture-Data'!D123</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C11" s="3999"/>
      <c r="D11" s="3999"/>
      <c r="E11" s="3999"/>
      <c r="F11" s="3999"/>
      <c r="G11" s="516"/>
    </row>
    <row r="12" spans="1:10">
      <c r="A12" s="511"/>
      <c r="B12" s="514" t="s">
        <v>1359</v>
      </c>
      <c r="C12" s="515">
        <v>4</v>
      </c>
      <c r="D12" s="507" t="s">
        <v>708</v>
      </c>
      <c r="E12" s="508">
        <f>'Road Furniture-Data'!H160</f>
        <v>2509.6553502269999</v>
      </c>
      <c r="F12" s="2070" t="s">
        <v>1355</v>
      </c>
      <c r="G12" s="510">
        <f>ROUND(+C12*E12,)</f>
        <v>10039</v>
      </c>
    </row>
    <row r="13" spans="1:10" hidden="1">
      <c r="A13" s="511"/>
      <c r="B13" s="4000"/>
      <c r="C13" s="4000"/>
      <c r="D13" s="4000"/>
      <c r="E13" s="508"/>
      <c r="F13" s="509"/>
      <c r="G13" s="510"/>
    </row>
    <row r="14" spans="1:10" ht="97.95" hidden="1" customHeight="1">
      <c r="A14" s="511">
        <v>5</v>
      </c>
      <c r="B14" s="3999" t="s">
        <v>1360</v>
      </c>
      <c r="C14" s="3999"/>
      <c r="D14" s="3999"/>
      <c r="E14" s="3999"/>
      <c r="F14" s="3999"/>
      <c r="G14" s="510"/>
    </row>
    <row r="15" spans="1:10" hidden="1">
      <c r="A15" s="511"/>
      <c r="B15" s="517"/>
      <c r="C15" s="517">
        <v>0</v>
      </c>
      <c r="D15" s="517">
        <v>0.1</v>
      </c>
      <c r="E15" s="508">
        <f>C15*D15</f>
        <v>0</v>
      </c>
      <c r="F15" s="509"/>
      <c r="G15" s="510"/>
    </row>
    <row r="16" spans="1:10" hidden="1">
      <c r="A16" s="511"/>
      <c r="B16" s="517"/>
      <c r="C16" s="517"/>
      <c r="D16" s="517"/>
      <c r="E16" s="508">
        <f>E15</f>
        <v>0</v>
      </c>
      <c r="F16" s="509">
        <v>663</v>
      </c>
      <c r="G16" s="510">
        <f>F16*E16</f>
        <v>0</v>
      </c>
    </row>
    <row r="17" spans="1:12">
      <c r="A17" s="511"/>
      <c r="B17" s="518"/>
      <c r="C17" s="515"/>
      <c r="D17" s="507"/>
      <c r="E17" s="519"/>
      <c r="F17" s="520"/>
      <c r="G17" s="521"/>
    </row>
    <row r="18" spans="1:12" ht="24" customHeight="1">
      <c r="A18" s="522"/>
      <c r="B18" s="523"/>
      <c r="C18" s="524"/>
      <c r="D18" s="525"/>
      <c r="E18" s="526" t="s">
        <v>60</v>
      </c>
      <c r="F18" s="525" t="s">
        <v>429</v>
      </c>
      <c r="G18" s="521">
        <f>SUM(G4:G17)</f>
        <v>59049</v>
      </c>
      <c r="H18" s="527"/>
    </row>
    <row r="19" spans="1:12" ht="17.25" customHeight="1"/>
    <row r="20" spans="1:12" ht="17.25" customHeight="1"/>
    <row r="21" spans="1:12" s="493" customFormat="1" ht="15.9" customHeight="1">
      <c r="A21" s="528"/>
      <c r="B21" s="528" t="s">
        <v>900</v>
      </c>
      <c r="D21" s="3868" t="s">
        <v>742</v>
      </c>
      <c r="E21" s="3868"/>
      <c r="G21" s="528"/>
    </row>
    <row r="22" spans="1:12" s="493" customFormat="1" ht="15.9" customHeight="1">
      <c r="A22" s="528"/>
      <c r="B22" s="528" t="str">
        <f>'Pipe data'!D275</f>
        <v>PRSD, Maddur</v>
      </c>
      <c r="D22" s="3868" t="str">
        <f>'Pipe data'!E275</f>
        <v>PRSD, Maddur</v>
      </c>
      <c r="E22" s="3868"/>
      <c r="G22" s="528"/>
    </row>
    <row r="23" spans="1:12" s="493" customFormat="1" ht="15.75" customHeight="1">
      <c r="A23" s="528"/>
      <c r="E23" s="528"/>
      <c r="G23" s="528"/>
    </row>
    <row r="24" spans="1:12" s="493" customFormat="1" ht="15.75" customHeight="1">
      <c r="A24" s="528"/>
      <c r="E24" s="528"/>
      <c r="G24" s="528"/>
    </row>
    <row r="25" spans="1:12" s="493" customFormat="1" ht="15.9" hidden="1" customHeight="1">
      <c r="A25" s="528"/>
      <c r="B25" s="528" t="str">
        <f>'Pipe data'!D400</f>
        <v>District Panchayat Raj Engineer,</v>
      </c>
      <c r="D25" s="3868" t="str">
        <f>'Pipe data'!E400</f>
        <v>Superintending Engineer</v>
      </c>
      <c r="E25" s="3868"/>
      <c r="G25" s="528"/>
    </row>
    <row r="26" spans="1:12" s="493" customFormat="1" ht="15.9" hidden="1" customHeight="1">
      <c r="A26" s="529"/>
      <c r="B26" s="528" t="str">
        <f>'Pipe data'!D401</f>
        <v>PIU, Narayanpet</v>
      </c>
      <c r="C26" s="530"/>
      <c r="D26" s="3998" t="str">
        <f>'Pipe data'!E401</f>
        <v>PR, Circle, Vikarabad</v>
      </c>
      <c r="E26" s="3998"/>
      <c r="G26" s="528"/>
    </row>
    <row r="27" spans="1:12" ht="17.25" hidden="1" customHeight="1"/>
    <row r="28" spans="1:12" ht="17.25" customHeight="1"/>
    <row r="29" spans="1:12" ht="17.25" customHeight="1">
      <c r="B29" s="494" t="str">
        <f>'1V 1m dia Pipe Culverts'!B44</f>
        <v>District Panchayat Raj Engineer,</v>
      </c>
      <c r="E29" s="497" t="str">
        <f>'1V 1m dia Pipe Culverts'!H44</f>
        <v>Superintending Engineer</v>
      </c>
    </row>
    <row r="30" spans="1:12" ht="17.25" customHeight="1">
      <c r="B30" s="494" t="str">
        <f>'1V 1m dia Pipe Culverts'!B45</f>
        <v>PIU, Narayanpet</v>
      </c>
      <c r="E30" s="497" t="str">
        <f>'1V 1m dia Pipe Culverts'!H45</f>
        <v>PR, Circle, Vikarabad</v>
      </c>
    </row>
    <row r="32" spans="1:12">
      <c r="B32" s="531"/>
      <c r="C32" s="532"/>
      <c r="D32" s="533"/>
      <c r="E32" s="534"/>
      <c r="F32" s="535"/>
      <c r="G32" s="536"/>
      <c r="H32" s="535"/>
      <c r="I32" s="535"/>
      <c r="K32" s="535"/>
      <c r="L32" s="535"/>
    </row>
    <row r="33" spans="2:12">
      <c r="B33" s="531"/>
      <c r="C33" s="532"/>
      <c r="D33" s="535"/>
      <c r="E33" s="534"/>
      <c r="F33" s="535"/>
      <c r="G33" s="536"/>
      <c r="H33" s="535"/>
      <c r="I33" s="535"/>
      <c r="K33" s="535"/>
      <c r="L33" s="535"/>
    </row>
    <row r="37" spans="2:12">
      <c r="B37" s="537"/>
    </row>
    <row r="38" spans="2:12">
      <c r="B38" s="537"/>
    </row>
    <row r="93" spans="1:12" s="494" customFormat="1">
      <c r="A93" s="491"/>
      <c r="C93" s="496"/>
      <c r="D93" s="497"/>
      <c r="E93" s="497"/>
      <c r="F93" s="497"/>
      <c r="G93" s="498"/>
      <c r="H93" s="499"/>
      <c r="I93" s="499"/>
      <c r="J93" s="499"/>
      <c r="K93" s="499"/>
      <c r="L93" s="499"/>
    </row>
    <row r="94" spans="1:12" s="494" customFormat="1">
      <c r="A94" s="491"/>
      <c r="C94" s="496"/>
      <c r="D94" s="497"/>
      <c r="E94" s="497"/>
      <c r="F94" s="497"/>
      <c r="G94" s="498"/>
      <c r="H94" s="499"/>
      <c r="I94" s="499"/>
      <c r="J94" s="499"/>
      <c r="K94" s="499"/>
      <c r="L94" s="499"/>
    </row>
    <row r="95" spans="1:12" s="494" customFormat="1">
      <c r="A95" s="491"/>
      <c r="C95" s="496"/>
      <c r="D95" s="497"/>
      <c r="E95" s="497"/>
      <c r="F95" s="497"/>
      <c r="G95" s="498"/>
      <c r="H95" s="499"/>
      <c r="I95" s="499"/>
      <c r="J95" s="499"/>
      <c r="K95" s="499"/>
      <c r="L95" s="499"/>
    </row>
    <row r="96" spans="1:12" s="494" customFormat="1">
      <c r="A96" s="491"/>
      <c r="C96" s="496"/>
      <c r="D96" s="497"/>
      <c r="E96" s="497"/>
      <c r="F96" s="497"/>
      <c r="G96" s="498"/>
      <c r="H96" s="499"/>
      <c r="I96" s="499"/>
      <c r="J96" s="499"/>
      <c r="K96" s="499"/>
      <c r="L96" s="499"/>
    </row>
    <row r="97" spans="1:12" s="494" customFormat="1">
      <c r="A97" s="491"/>
      <c r="C97" s="496"/>
      <c r="D97" s="497"/>
      <c r="E97" s="497"/>
      <c r="F97" s="497"/>
      <c r="G97" s="498"/>
      <c r="H97" s="499"/>
      <c r="I97" s="499"/>
      <c r="J97" s="499"/>
      <c r="K97" s="499"/>
      <c r="L97" s="499"/>
    </row>
    <row r="98" spans="1:12" s="494" customFormat="1">
      <c r="A98" s="491"/>
      <c r="C98" s="496"/>
      <c r="D98" s="497"/>
      <c r="E98" s="497"/>
      <c r="F98" s="497"/>
      <c r="G98" s="498"/>
      <c r="H98" s="499"/>
      <c r="I98" s="499"/>
      <c r="J98" s="499"/>
      <c r="K98" s="499"/>
      <c r="L98" s="499"/>
    </row>
    <row r="99" spans="1:12" s="494" customFormat="1">
      <c r="A99" s="491"/>
      <c r="C99" s="496"/>
      <c r="D99" s="497"/>
      <c r="E99" s="497"/>
      <c r="F99" s="497"/>
      <c r="G99" s="498"/>
      <c r="H99" s="499"/>
      <c r="I99" s="499"/>
      <c r="J99" s="499"/>
      <c r="K99" s="499"/>
      <c r="L99" s="499"/>
    </row>
    <row r="100" spans="1:12" s="494" customFormat="1">
      <c r="A100" s="491"/>
      <c r="C100" s="496"/>
      <c r="D100" s="497"/>
      <c r="E100" s="497"/>
      <c r="F100" s="497"/>
      <c r="G100" s="498"/>
      <c r="H100" s="499"/>
      <c r="I100" s="499"/>
      <c r="J100" s="499"/>
      <c r="K100" s="499"/>
      <c r="L100" s="499"/>
    </row>
    <row r="101" spans="1:12" s="494" customFormat="1">
      <c r="A101" s="491"/>
      <c r="C101" s="496"/>
      <c r="D101" s="497"/>
      <c r="E101" s="497"/>
      <c r="F101" s="497"/>
      <c r="G101" s="498"/>
      <c r="H101" s="499"/>
      <c r="I101" s="499"/>
      <c r="J101" s="499"/>
      <c r="K101" s="499"/>
      <c r="L101" s="499"/>
    </row>
    <row r="102" spans="1:12" s="494" customFormat="1">
      <c r="A102" s="491"/>
      <c r="C102" s="496"/>
      <c r="D102" s="497"/>
      <c r="E102" s="497"/>
      <c r="F102" s="497"/>
      <c r="G102" s="498"/>
      <c r="H102" s="499"/>
      <c r="I102" s="499"/>
      <c r="J102" s="499"/>
      <c r="K102" s="499"/>
      <c r="L102" s="499"/>
    </row>
    <row r="103" spans="1:12" s="494" customFormat="1">
      <c r="A103" s="491"/>
      <c r="C103" s="496"/>
      <c r="D103" s="497"/>
      <c r="E103" s="497"/>
      <c r="F103" s="497"/>
      <c r="G103" s="498"/>
      <c r="H103" s="499"/>
      <c r="I103" s="499"/>
      <c r="J103" s="499"/>
      <c r="K103" s="499"/>
      <c r="L103" s="499"/>
    </row>
    <row r="104" spans="1:12" s="494" customFormat="1">
      <c r="A104" s="491"/>
      <c r="C104" s="496"/>
      <c r="D104" s="497"/>
      <c r="E104" s="497"/>
      <c r="F104" s="497"/>
      <c r="G104" s="498"/>
      <c r="H104" s="499"/>
      <c r="I104" s="499"/>
      <c r="J104" s="499"/>
      <c r="K104" s="499"/>
      <c r="L104" s="499"/>
    </row>
    <row r="105" spans="1:12" s="494" customFormat="1">
      <c r="A105" s="491"/>
      <c r="C105" s="496"/>
      <c r="D105" s="497"/>
      <c r="E105" s="497"/>
      <c r="F105" s="497"/>
      <c r="G105" s="498"/>
      <c r="H105" s="499"/>
      <c r="I105" s="499"/>
      <c r="J105" s="499"/>
      <c r="K105" s="499"/>
      <c r="L105" s="499"/>
    </row>
    <row r="106" spans="1:12" s="494" customFormat="1">
      <c r="A106" s="491"/>
      <c r="C106" s="496"/>
      <c r="D106" s="497"/>
      <c r="E106" s="497"/>
      <c r="F106" s="497"/>
      <c r="G106" s="498"/>
      <c r="H106" s="499"/>
      <c r="I106" s="499"/>
      <c r="J106" s="499"/>
      <c r="K106" s="499"/>
      <c r="L106" s="499"/>
    </row>
    <row r="107" spans="1:12" s="494" customFormat="1">
      <c r="A107" s="491"/>
      <c r="C107" s="496"/>
      <c r="D107" s="497"/>
      <c r="E107" s="497"/>
      <c r="F107" s="497"/>
      <c r="G107" s="498"/>
      <c r="H107" s="499"/>
      <c r="I107" s="499"/>
      <c r="J107" s="499"/>
      <c r="K107" s="499"/>
      <c r="L107" s="499"/>
    </row>
    <row r="108" spans="1:12" s="494" customFormat="1">
      <c r="A108" s="491"/>
      <c r="C108" s="496"/>
      <c r="D108" s="497"/>
      <c r="E108" s="497"/>
      <c r="F108" s="497"/>
      <c r="G108" s="498"/>
      <c r="H108" s="499"/>
      <c r="I108" s="499"/>
      <c r="J108" s="499"/>
      <c r="K108" s="499"/>
      <c r="L108" s="499"/>
    </row>
    <row r="109" spans="1:12" s="494" customFormat="1">
      <c r="A109" s="491"/>
      <c r="C109" s="496"/>
      <c r="D109" s="497"/>
      <c r="E109" s="497"/>
      <c r="F109" s="497"/>
      <c r="G109" s="498"/>
      <c r="H109" s="499"/>
      <c r="I109" s="499"/>
      <c r="J109" s="499"/>
      <c r="K109" s="499"/>
      <c r="L109" s="499"/>
    </row>
    <row r="110" spans="1:12" s="494" customFormat="1">
      <c r="A110" s="491"/>
      <c r="C110" s="496"/>
      <c r="D110" s="497"/>
      <c r="E110" s="497"/>
      <c r="F110" s="497"/>
      <c r="G110" s="498"/>
      <c r="H110" s="499"/>
      <c r="I110" s="499"/>
      <c r="J110" s="499"/>
      <c r="K110" s="499"/>
      <c r="L110" s="499"/>
    </row>
    <row r="111" spans="1:12" s="494" customFormat="1">
      <c r="A111" s="491"/>
      <c r="C111" s="496"/>
      <c r="D111" s="497"/>
      <c r="E111" s="497"/>
      <c r="F111" s="497"/>
      <c r="G111" s="498"/>
      <c r="H111" s="499"/>
      <c r="I111" s="499"/>
      <c r="J111" s="499"/>
      <c r="K111" s="499"/>
      <c r="L111" s="499"/>
    </row>
    <row r="112" spans="1:12" s="494" customFormat="1">
      <c r="A112" s="491"/>
      <c r="C112" s="496"/>
      <c r="D112" s="497"/>
      <c r="E112" s="497"/>
      <c r="F112" s="497"/>
      <c r="G112" s="498"/>
      <c r="H112" s="499"/>
      <c r="I112" s="499"/>
      <c r="J112" s="499"/>
      <c r="K112" s="499"/>
      <c r="L112" s="499"/>
    </row>
    <row r="113" spans="1:12" s="494" customFormat="1">
      <c r="A113" s="491"/>
      <c r="C113" s="496"/>
      <c r="D113" s="497"/>
      <c r="E113" s="497"/>
      <c r="F113" s="497"/>
      <c r="G113" s="498"/>
      <c r="H113" s="499"/>
      <c r="I113" s="499"/>
      <c r="J113" s="499"/>
      <c r="K113" s="499"/>
      <c r="L113" s="499"/>
    </row>
    <row r="114" spans="1:12" s="494" customFormat="1">
      <c r="A114" s="491"/>
      <c r="C114" s="496"/>
      <c r="D114" s="497"/>
      <c r="E114" s="497"/>
      <c r="F114" s="497"/>
      <c r="G114" s="498"/>
      <c r="H114" s="499"/>
      <c r="I114" s="499"/>
      <c r="J114" s="499"/>
      <c r="K114" s="499"/>
      <c r="L114" s="499"/>
    </row>
    <row r="115" spans="1:12" s="494" customFormat="1">
      <c r="A115" s="491"/>
      <c r="C115" s="496"/>
      <c r="D115" s="497"/>
      <c r="E115" s="497"/>
      <c r="F115" s="497"/>
      <c r="G115" s="498"/>
      <c r="H115" s="499"/>
      <c r="I115" s="499"/>
      <c r="J115" s="499"/>
      <c r="K115" s="499"/>
      <c r="L115" s="499"/>
    </row>
    <row r="116" spans="1:12" s="494" customFormat="1">
      <c r="A116" s="491"/>
      <c r="C116" s="496"/>
      <c r="D116" s="497"/>
      <c r="E116" s="497"/>
      <c r="F116" s="497"/>
      <c r="G116" s="498"/>
      <c r="H116" s="499"/>
      <c r="I116" s="499"/>
      <c r="J116" s="499"/>
      <c r="K116" s="499"/>
      <c r="L116" s="499"/>
    </row>
    <row r="117" spans="1:12" s="494" customFormat="1">
      <c r="A117" s="491"/>
      <c r="C117" s="496"/>
      <c r="D117" s="497"/>
      <c r="E117" s="497"/>
      <c r="F117" s="497"/>
      <c r="G117" s="498"/>
      <c r="H117" s="499"/>
      <c r="I117" s="499"/>
      <c r="J117" s="499"/>
      <c r="K117" s="499"/>
      <c r="L117" s="499"/>
    </row>
    <row r="118" spans="1:12" s="494" customFormat="1">
      <c r="A118" s="491"/>
      <c r="C118" s="496"/>
      <c r="D118" s="497"/>
      <c r="E118" s="497"/>
      <c r="F118" s="497"/>
      <c r="G118" s="498"/>
      <c r="H118" s="499"/>
      <c r="I118" s="499"/>
      <c r="J118" s="499"/>
      <c r="K118" s="499"/>
      <c r="L118" s="499"/>
    </row>
    <row r="119" spans="1:12" s="494" customFormat="1">
      <c r="A119" s="491"/>
      <c r="C119" s="496"/>
      <c r="D119" s="497"/>
      <c r="E119" s="497"/>
      <c r="F119" s="497"/>
      <c r="G119" s="498"/>
      <c r="H119" s="499"/>
      <c r="I119" s="499"/>
      <c r="J119" s="499"/>
      <c r="K119" s="499"/>
      <c r="L119" s="499"/>
    </row>
    <row r="120" spans="1:12" s="494" customFormat="1">
      <c r="A120" s="491"/>
      <c r="C120" s="496"/>
      <c r="D120" s="497"/>
      <c r="E120" s="497"/>
      <c r="F120" s="497"/>
      <c r="G120" s="498"/>
      <c r="H120" s="499"/>
      <c r="I120" s="499"/>
      <c r="J120" s="499"/>
      <c r="K120" s="499"/>
      <c r="L120" s="499"/>
    </row>
    <row r="121" spans="1:12" s="494" customFormat="1">
      <c r="A121" s="491"/>
      <c r="C121" s="496"/>
      <c r="D121" s="497"/>
      <c r="E121" s="497"/>
      <c r="F121" s="497"/>
      <c r="G121" s="498"/>
      <c r="H121" s="499"/>
      <c r="I121" s="499"/>
      <c r="J121" s="499"/>
      <c r="K121" s="499"/>
      <c r="L121" s="499"/>
    </row>
    <row r="122" spans="1:12" s="494" customFormat="1">
      <c r="A122" s="491"/>
      <c r="C122" s="496"/>
      <c r="D122" s="497"/>
      <c r="E122" s="497"/>
      <c r="F122" s="497"/>
      <c r="G122" s="498"/>
      <c r="H122" s="499"/>
      <c r="I122" s="499"/>
      <c r="J122" s="499"/>
      <c r="K122" s="499"/>
      <c r="L122" s="499"/>
    </row>
    <row r="123" spans="1:12" s="494" customFormat="1">
      <c r="A123" s="491"/>
      <c r="C123" s="496"/>
      <c r="D123" s="497"/>
      <c r="E123" s="497"/>
      <c r="F123" s="497"/>
      <c r="G123" s="498"/>
      <c r="H123" s="499"/>
      <c r="I123" s="499"/>
      <c r="J123" s="499"/>
      <c r="K123" s="499"/>
      <c r="L123" s="499"/>
    </row>
    <row r="124" spans="1:12" s="494" customFormat="1">
      <c r="A124" s="491"/>
      <c r="C124" s="496"/>
      <c r="D124" s="497"/>
      <c r="E124" s="497"/>
      <c r="F124" s="497"/>
      <c r="G124" s="498"/>
      <c r="H124" s="499"/>
      <c r="I124" s="499"/>
      <c r="J124" s="499"/>
      <c r="K124" s="499"/>
      <c r="L124" s="499"/>
    </row>
    <row r="125" spans="1:12" s="494" customFormat="1">
      <c r="A125" s="491"/>
      <c r="C125" s="496"/>
      <c r="D125" s="497"/>
      <c r="E125" s="497"/>
      <c r="F125" s="497"/>
      <c r="G125" s="498"/>
      <c r="H125" s="499"/>
      <c r="I125" s="499"/>
      <c r="J125" s="499"/>
      <c r="K125" s="499"/>
      <c r="L125" s="499"/>
    </row>
    <row r="126" spans="1:12" s="494" customFormat="1">
      <c r="A126" s="491"/>
      <c r="C126" s="496"/>
      <c r="D126" s="497"/>
      <c r="E126" s="497"/>
      <c r="F126" s="497"/>
      <c r="G126" s="498"/>
      <c r="H126" s="499"/>
      <c r="I126" s="499"/>
      <c r="J126" s="499"/>
      <c r="K126" s="499"/>
      <c r="L126" s="499"/>
    </row>
    <row r="127" spans="1:12" s="494" customFormat="1">
      <c r="A127" s="491"/>
      <c r="C127" s="496"/>
      <c r="D127" s="497"/>
      <c r="E127" s="497"/>
      <c r="F127" s="497"/>
      <c r="G127" s="498"/>
      <c r="H127" s="499"/>
      <c r="I127" s="499"/>
      <c r="J127" s="499"/>
      <c r="K127" s="499"/>
      <c r="L127" s="499"/>
    </row>
    <row r="128" spans="1:12" s="494" customFormat="1">
      <c r="A128" s="491"/>
      <c r="C128" s="496"/>
      <c r="D128" s="497"/>
      <c r="E128" s="497"/>
      <c r="F128" s="497"/>
      <c r="G128" s="498"/>
      <c r="H128" s="499"/>
      <c r="I128" s="499"/>
      <c r="J128" s="499"/>
      <c r="K128" s="499"/>
      <c r="L128" s="499"/>
    </row>
    <row r="129" spans="1:12" s="494" customFormat="1">
      <c r="A129" s="491"/>
      <c r="C129" s="496"/>
      <c r="D129" s="497"/>
      <c r="E129" s="497"/>
      <c r="F129" s="497"/>
      <c r="G129" s="498"/>
      <c r="H129" s="499"/>
      <c r="I129" s="499"/>
      <c r="J129" s="499"/>
      <c r="K129" s="499"/>
      <c r="L129" s="499"/>
    </row>
    <row r="130" spans="1:12" s="494" customFormat="1">
      <c r="A130" s="491"/>
      <c r="C130" s="496"/>
      <c r="D130" s="497"/>
      <c r="E130" s="497"/>
      <c r="F130" s="497"/>
      <c r="G130" s="498"/>
      <c r="H130" s="499"/>
      <c r="I130" s="499"/>
      <c r="J130" s="499"/>
      <c r="K130" s="499"/>
      <c r="L130" s="499"/>
    </row>
    <row r="131" spans="1:12" s="494" customFormat="1">
      <c r="A131" s="491"/>
      <c r="C131" s="496"/>
      <c r="D131" s="497"/>
      <c r="E131" s="497"/>
      <c r="F131" s="497"/>
      <c r="G131" s="498"/>
      <c r="H131" s="499"/>
      <c r="I131" s="499"/>
      <c r="J131" s="499"/>
      <c r="K131" s="499"/>
      <c r="L131" s="499"/>
    </row>
    <row r="132" spans="1:12" s="494" customFormat="1">
      <c r="A132" s="491"/>
      <c r="C132" s="496"/>
      <c r="D132" s="497"/>
      <c r="E132" s="497"/>
      <c r="F132" s="497"/>
      <c r="G132" s="498"/>
      <c r="H132" s="499"/>
      <c r="I132" s="499"/>
      <c r="J132" s="499"/>
      <c r="K132" s="499"/>
      <c r="L132" s="499"/>
    </row>
  </sheetData>
  <protectedRanges>
    <protectedRange sqref="E26 A21:E25 A26:C26" name="Range4"/>
  </protectedRanges>
  <mergeCells count="14">
    <mergeCell ref="D21:E21"/>
    <mergeCell ref="D22:E22"/>
    <mergeCell ref="D25:E25"/>
    <mergeCell ref="D26:E26"/>
    <mergeCell ref="B7:F7"/>
    <mergeCell ref="B9:F9"/>
    <mergeCell ref="B11:F11"/>
    <mergeCell ref="B13:D13"/>
    <mergeCell ref="B14:F14"/>
    <mergeCell ref="A1:G1"/>
    <mergeCell ref="A2:G2"/>
    <mergeCell ref="C3:D3"/>
    <mergeCell ref="E3:F3"/>
    <mergeCell ref="B4:F4"/>
  </mergeCells>
  <pageMargins left="0.5" right="0.25138888888888899" top="0.55486111111111103" bottom="0.30277777777777798" header="0.30277777777777798" footer="0.25138888888888899"/>
  <pageSetup paperSize="9"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9" tint="-0.249977111117893"/>
  </sheetPr>
  <dimension ref="A1:L990"/>
  <sheetViews>
    <sheetView tabSelected="1" view="pageBreakPreview" zoomScaleNormal="115" zoomScaleSheetLayoutView="100" workbookViewId="0">
      <selection activeCell="L12" sqref="L12"/>
    </sheetView>
  </sheetViews>
  <sheetFormatPr defaultColWidth="9.109375" defaultRowHeight="14.4"/>
  <cols>
    <col min="1" max="1" width="4.88671875" style="3087" customWidth="1"/>
    <col min="2" max="2" width="11.44140625" style="3223" customWidth="1"/>
    <col min="3" max="3" width="6.33203125" style="3088" customWidth="1"/>
    <col min="4" max="4" width="42.6640625" style="3088" customWidth="1"/>
    <col min="5" max="5" width="11.6640625" style="3162" customWidth="1"/>
    <col min="6" max="6" width="5.5546875" style="3088" customWidth="1"/>
    <col min="7" max="7" width="14.5546875" style="3224" customWidth="1"/>
    <col min="8" max="8" width="14" style="3088" customWidth="1"/>
    <col min="9" max="14" width="9.109375" style="3088" customWidth="1"/>
    <col min="15" max="16384" width="9.109375" style="3088"/>
  </cols>
  <sheetData>
    <row r="1" spans="1:7">
      <c r="B1" s="4001" t="s">
        <v>1507</v>
      </c>
      <c r="C1" s="4002"/>
      <c r="D1" s="4002"/>
      <c r="E1" s="4002"/>
      <c r="F1" s="4002"/>
      <c r="G1" s="4002"/>
    </row>
    <row r="2" spans="1:7" s="3089" customFormat="1">
      <c r="A2" s="4003" t="s">
        <v>1</v>
      </c>
      <c r="B2" s="4003"/>
      <c r="C2" s="4003"/>
      <c r="D2" s="4020" t="str">
        <f>'Input Data'!E1</f>
        <v>C/o HLB on R/F Amlikunta to Gundumal of Gundumal Mandal of Narayanept District.</v>
      </c>
      <c r="E2" s="4021"/>
      <c r="F2" s="4021"/>
      <c r="G2" s="4021"/>
    </row>
    <row r="3" spans="1:7">
      <c r="A3" s="4004"/>
      <c r="B3" s="4004"/>
      <c r="C3" s="4004"/>
      <c r="D3" s="4022"/>
      <c r="E3" s="4022"/>
      <c r="F3" s="4022"/>
      <c r="G3" s="4022"/>
    </row>
    <row r="4" spans="1:7">
      <c r="A4" s="3090" t="s">
        <v>2</v>
      </c>
      <c r="B4" s="4005" t="s">
        <v>3</v>
      </c>
      <c r="C4" s="4005"/>
      <c r="D4" s="3090" t="s">
        <v>4</v>
      </c>
      <c r="E4" s="3091" t="s">
        <v>5</v>
      </c>
      <c r="F4" s="3092" t="s">
        <v>6</v>
      </c>
      <c r="G4" s="3093" t="s">
        <v>7</v>
      </c>
    </row>
    <row r="5" spans="1:7" ht="83.1" customHeight="1">
      <c r="A5" s="3094">
        <v>1</v>
      </c>
      <c r="B5" s="4006" t="s">
        <v>1508</v>
      </c>
      <c r="C5" s="4006"/>
      <c r="D5" s="4006"/>
      <c r="E5" s="4006"/>
      <c r="F5" s="4006"/>
      <c r="G5" s="4006"/>
    </row>
    <row r="6" spans="1:7">
      <c r="A6" s="3094"/>
      <c r="B6" s="4007" t="s">
        <v>1509</v>
      </c>
      <c r="C6" s="4007"/>
      <c r="D6" s="4007"/>
      <c r="E6" s="3091"/>
      <c r="F6" s="3092"/>
      <c r="G6" s="3092"/>
    </row>
    <row r="7" spans="1:7">
      <c r="A7" s="3094"/>
      <c r="B7" s="4008" t="s">
        <v>1510</v>
      </c>
      <c r="C7" s="4008"/>
      <c r="D7" s="4008"/>
      <c r="E7" s="3091"/>
      <c r="F7" s="3092"/>
      <c r="G7" s="3092"/>
    </row>
    <row r="8" spans="1:7">
      <c r="A8" s="3094"/>
      <c r="B8" s="3090" t="s">
        <v>36</v>
      </c>
      <c r="C8" s="3095" t="s">
        <v>37</v>
      </c>
      <c r="D8" s="3090"/>
      <c r="E8" s="3091"/>
      <c r="F8" s="3092"/>
      <c r="G8" s="3092"/>
    </row>
    <row r="9" spans="1:7">
      <c r="A9" s="3094"/>
      <c r="B9" s="3096">
        <v>0.16</v>
      </c>
      <c r="C9" s="3097" t="s">
        <v>38</v>
      </c>
      <c r="D9" s="3098" t="s">
        <v>14</v>
      </c>
      <c r="E9" s="3099">
        <f>'SSR-rates'!$K$58</f>
        <v>575</v>
      </c>
      <c r="F9" s="3100" t="s">
        <v>38</v>
      </c>
      <c r="G9" s="3101">
        <f>ROUND(B9*E9,2)</f>
        <v>92</v>
      </c>
    </row>
    <row r="10" spans="1:7">
      <c r="A10" s="3094"/>
      <c r="B10" s="3096">
        <v>4</v>
      </c>
      <c r="C10" s="3097" t="s">
        <v>38</v>
      </c>
      <c r="D10" s="3098" t="s">
        <v>16</v>
      </c>
      <c r="E10" s="3099">
        <f>'SSR-rates'!$K$60</f>
        <v>575</v>
      </c>
      <c r="F10" s="3100" t="s">
        <v>38</v>
      </c>
      <c r="G10" s="3101">
        <f>ROUND(B10*E10,2)</f>
        <v>2300</v>
      </c>
    </row>
    <row r="11" spans="1:7">
      <c r="A11" s="3094"/>
      <c r="B11" s="3102">
        <f>'Input Data'!$D$23</f>
        <v>0</v>
      </c>
      <c r="C11" s="3097"/>
      <c r="D11" s="3103" t="s">
        <v>17</v>
      </c>
      <c r="E11" s="3099">
        <f>SUM(G9:G10)</f>
        <v>2392</v>
      </c>
      <c r="F11" s="3100"/>
      <c r="G11" s="3101">
        <f>B11*E11</f>
        <v>0</v>
      </c>
    </row>
    <row r="12" spans="1:7">
      <c r="A12" s="3094"/>
      <c r="B12" s="3099"/>
      <c r="C12" s="3097"/>
      <c r="D12" s="3098"/>
      <c r="E12" s="3099"/>
      <c r="F12" s="3100"/>
      <c r="G12" s="3101">
        <f>SUM(G9:G11)</f>
        <v>2392</v>
      </c>
    </row>
    <row r="13" spans="1:7">
      <c r="A13" s="3094"/>
      <c r="B13" s="3090" t="s">
        <v>39</v>
      </c>
      <c r="C13" s="3095" t="s">
        <v>40</v>
      </c>
      <c r="D13" s="3103"/>
      <c r="E13" s="3097"/>
      <c r="F13" s="3098"/>
      <c r="G13" s="3104"/>
    </row>
    <row r="14" spans="1:7" ht="28.8">
      <c r="A14" s="3094"/>
      <c r="B14" s="3105">
        <v>10</v>
      </c>
      <c r="C14" s="3106" t="s">
        <v>1511</v>
      </c>
      <c r="D14" s="3107" t="s">
        <v>1512</v>
      </c>
      <c r="E14" s="3105">
        <f>'SSR-rates'!K62</f>
        <v>3164.8</v>
      </c>
      <c r="F14" s="3105"/>
      <c r="G14" s="3108">
        <f>ROUND(B14*E14,2)</f>
        <v>31648</v>
      </c>
    </row>
    <row r="15" spans="1:7">
      <c r="A15" s="3094"/>
      <c r="B15" s="3105">
        <v>1</v>
      </c>
      <c r="C15" s="3106" t="s">
        <v>1511</v>
      </c>
      <c r="D15" s="3107" t="s">
        <v>1513</v>
      </c>
      <c r="E15" s="3105">
        <f>'SSR-rates'!K70</f>
        <v>512</v>
      </c>
      <c r="F15" s="3105"/>
      <c r="G15" s="3108">
        <f>ROUND(B15*E15,2)</f>
        <v>512</v>
      </c>
    </row>
    <row r="16" spans="1:7">
      <c r="A16" s="3094"/>
      <c r="B16" s="3099"/>
      <c r="C16" s="3097"/>
      <c r="D16" s="3098"/>
      <c r="E16" s="3099" t="s">
        <v>60</v>
      </c>
      <c r="F16" s="3099"/>
      <c r="G16" s="3101">
        <f>SUM(G12:G15)</f>
        <v>34552</v>
      </c>
    </row>
    <row r="17" spans="1:8">
      <c r="A17" s="3094"/>
      <c r="B17" s="3090" t="s">
        <v>1514</v>
      </c>
      <c r="C17" s="3109" t="s">
        <v>1189</v>
      </c>
      <c r="D17" s="3098"/>
      <c r="E17" s="3099"/>
      <c r="F17" s="3099"/>
      <c r="G17" s="3101"/>
    </row>
    <row r="18" spans="1:8">
      <c r="A18" s="3094"/>
      <c r="B18" s="3110">
        <f>'Input Data'!$D$24</f>
        <v>0.13614999999999999</v>
      </c>
      <c r="C18" s="3111" t="s">
        <v>1515</v>
      </c>
      <c r="D18" s="3103"/>
      <c r="E18" s="3112">
        <f>G15+G14+G12</f>
        <v>34552</v>
      </c>
      <c r="F18" s="3103"/>
      <c r="G18" s="3101">
        <f>E18*B18</f>
        <v>4704.2547999999997</v>
      </c>
    </row>
    <row r="19" spans="1:8">
      <c r="A19" s="3094"/>
      <c r="B19" s="3110">
        <f>'Input Data'!$E$24</f>
        <v>0.1</v>
      </c>
      <c r="C19" s="3111" t="s">
        <v>1220</v>
      </c>
      <c r="D19" s="3103"/>
      <c r="E19" s="3113">
        <f>E18+G18</f>
        <v>39256.254800000002</v>
      </c>
      <c r="F19" s="3103"/>
      <c r="G19" s="3101">
        <f>E19*B19</f>
        <v>3925.6254800000006</v>
      </c>
    </row>
    <row r="20" spans="1:8">
      <c r="A20" s="3094"/>
      <c r="B20" s="3090" t="s">
        <v>45</v>
      </c>
      <c r="C20" s="3095" t="s">
        <v>46</v>
      </c>
      <c r="D20" s="3103"/>
      <c r="E20" s="3097"/>
      <c r="F20" s="3098"/>
      <c r="G20" s="3114">
        <f>G16+G18+G19</f>
        <v>43181.880280000005</v>
      </c>
    </row>
    <row r="21" spans="1:8">
      <c r="A21" s="3094"/>
      <c r="B21" s="3100"/>
      <c r="C21" s="3095" t="s">
        <v>1516</v>
      </c>
      <c r="D21" s="3098"/>
      <c r="E21" s="3097"/>
      <c r="F21" s="3098"/>
      <c r="G21" s="3115"/>
    </row>
    <row r="22" spans="1:8">
      <c r="A22" s="3094"/>
      <c r="B22" s="3100"/>
      <c r="C22" s="3095" t="s">
        <v>1517</v>
      </c>
      <c r="D22" s="3098"/>
      <c r="E22" s="3097"/>
      <c r="F22" s="3098"/>
      <c r="G22" s="3114">
        <f>ROUND(G20/10000,2)</f>
        <v>4.32</v>
      </c>
      <c r="H22" s="3088" t="s">
        <v>907</v>
      </c>
    </row>
    <row r="23" spans="1:8">
      <c r="A23" s="3094"/>
      <c r="B23" s="3100"/>
      <c r="C23" s="3095"/>
      <c r="D23" s="3098"/>
      <c r="E23" s="3097"/>
      <c r="F23" s="3098"/>
      <c r="G23" s="3114"/>
    </row>
    <row r="24" spans="1:8" s="3117" customFormat="1" ht="60.9" hidden="1" customHeight="1">
      <c r="A24" s="3116">
        <v>2</v>
      </c>
      <c r="B24" s="4009" t="s">
        <v>1518</v>
      </c>
      <c r="C24" s="4009"/>
      <c r="D24" s="4009"/>
      <c r="E24" s="4009"/>
      <c r="F24" s="4009"/>
      <c r="G24" s="4009"/>
    </row>
    <row r="25" spans="1:8" s="3117" customFormat="1" hidden="1">
      <c r="A25" s="3118"/>
      <c r="B25" s="3119"/>
      <c r="C25" s="3119"/>
      <c r="D25" s="3120" t="s">
        <v>1519</v>
      </c>
      <c r="E25" s="3121"/>
      <c r="F25" s="3119"/>
      <c r="G25" s="3122"/>
    </row>
    <row r="26" spans="1:8" s="3117" customFormat="1" hidden="1">
      <c r="A26" s="3118"/>
      <c r="B26" s="3123" t="s">
        <v>1520</v>
      </c>
      <c r="C26" s="3119"/>
      <c r="D26" s="3124"/>
      <c r="E26" s="3121"/>
      <c r="F26" s="3119"/>
      <c r="G26" s="3122"/>
    </row>
    <row r="27" spans="1:8" s="3117" customFormat="1" hidden="1">
      <c r="A27" s="3118"/>
      <c r="B27" s="3119"/>
      <c r="C27" s="3119"/>
      <c r="D27" s="3125" t="s">
        <v>10</v>
      </c>
      <c r="E27" s="3121"/>
      <c r="F27" s="3119"/>
      <c r="G27" s="3122"/>
    </row>
    <row r="28" spans="1:8" s="3117" customFormat="1" hidden="1">
      <c r="A28" s="3118"/>
      <c r="B28" s="3119"/>
      <c r="C28" s="3121"/>
      <c r="D28" s="3125" t="s">
        <v>115</v>
      </c>
      <c r="E28" s="3121"/>
      <c r="F28" s="3119"/>
      <c r="G28" s="3122"/>
    </row>
    <row r="29" spans="1:8" s="3117" customFormat="1" hidden="1">
      <c r="A29" s="3118"/>
      <c r="B29" s="3119"/>
      <c r="C29" s="3126"/>
      <c r="D29" s="3120" t="s">
        <v>12</v>
      </c>
      <c r="E29" s="3121"/>
      <c r="F29" s="3119"/>
      <c r="G29" s="3122"/>
    </row>
    <row r="30" spans="1:8" s="3117" customFormat="1" hidden="1">
      <c r="A30" s="3118"/>
      <c r="B30" s="3127">
        <v>0.01</v>
      </c>
      <c r="C30" s="3119" t="s">
        <v>13</v>
      </c>
      <c r="D30" s="3128" t="s">
        <v>14</v>
      </c>
      <c r="E30" s="3099">
        <f>'SSR-rates'!$K$58</f>
        <v>575</v>
      </c>
      <c r="F30" s="3129">
        <v>1</v>
      </c>
      <c r="G30" s="3130">
        <f>ROUND(B30*E30,2)</f>
        <v>5.75</v>
      </c>
    </row>
    <row r="31" spans="1:8" s="3117" customFormat="1" hidden="1">
      <c r="A31" s="3118"/>
      <c r="B31" s="3127">
        <v>0.3</v>
      </c>
      <c r="C31" s="3119" t="s">
        <v>13</v>
      </c>
      <c r="D31" s="3128" t="s">
        <v>16</v>
      </c>
      <c r="E31" s="3099">
        <f>'SSR-rates'!$K$60</f>
        <v>575</v>
      </c>
      <c r="F31" s="3129">
        <v>1</v>
      </c>
      <c r="G31" s="3130">
        <f>ROUND(B31*E31,2)</f>
        <v>172.5</v>
      </c>
    </row>
    <row r="32" spans="1:8" s="3117" customFormat="1" hidden="1">
      <c r="A32" s="3118"/>
      <c r="B32" s="3102">
        <f>'Input Data'!$D$23</f>
        <v>0</v>
      </c>
      <c r="C32" s="3097"/>
      <c r="D32" s="3103" t="s">
        <v>17</v>
      </c>
      <c r="E32" s="3099">
        <f>SUM(G30:G31)</f>
        <v>178.25</v>
      </c>
      <c r="F32" s="3100"/>
      <c r="G32" s="3108">
        <f>B32*E32</f>
        <v>0</v>
      </c>
    </row>
    <row r="33" spans="1:8" s="3117" customFormat="1" hidden="1">
      <c r="A33" s="3118"/>
      <c r="B33" s="3121"/>
      <c r="C33" s="3121"/>
      <c r="D33" s="3131" t="s">
        <v>18</v>
      </c>
      <c r="E33" s="3121"/>
      <c r="F33" s="3132" t="s">
        <v>19</v>
      </c>
      <c r="G33" s="3133">
        <f>SUM(G30:G32)</f>
        <v>178.25</v>
      </c>
    </row>
    <row r="34" spans="1:8" s="3117" customFormat="1" hidden="1">
      <c r="A34" s="3118"/>
      <c r="B34" s="3121"/>
      <c r="C34" s="3126"/>
      <c r="D34" s="3120" t="s">
        <v>20</v>
      </c>
      <c r="E34" s="3121"/>
      <c r="F34" s="3121"/>
      <c r="G34" s="3130"/>
    </row>
    <row r="35" spans="1:8" s="3117" customFormat="1" hidden="1">
      <c r="A35" s="3118"/>
      <c r="B35" s="3127">
        <v>0.38</v>
      </c>
      <c r="C35" s="3119" t="s">
        <v>23</v>
      </c>
      <c r="D35" s="3128" t="s">
        <v>24</v>
      </c>
      <c r="E35" s="3121">
        <f>'SSR-rates'!$K$70</f>
        <v>512</v>
      </c>
      <c r="F35" s="3121">
        <v>1</v>
      </c>
      <c r="G35" s="3130">
        <f>ROUND(B35*E35,2)</f>
        <v>194.56</v>
      </c>
    </row>
    <row r="36" spans="1:8" s="3117" customFormat="1" hidden="1">
      <c r="A36" s="3118"/>
      <c r="B36" s="3127">
        <v>1.7000000000000001E-2</v>
      </c>
      <c r="C36" s="3119"/>
      <c r="D36" s="3128" t="s">
        <v>1521</v>
      </c>
      <c r="E36" s="3121">
        <f>'SSR-rates'!$K$72</f>
        <v>625</v>
      </c>
      <c r="F36" s="3121">
        <v>1</v>
      </c>
      <c r="G36" s="3130">
        <f>ROUND(B36*E36,2)</f>
        <v>10.63</v>
      </c>
    </row>
    <row r="37" spans="1:8" s="3117" customFormat="1" hidden="1">
      <c r="A37" s="3118"/>
      <c r="B37" s="3121"/>
      <c r="C37" s="3121"/>
      <c r="D37" s="3131" t="s">
        <v>18</v>
      </c>
      <c r="E37" s="3121"/>
      <c r="F37" s="3132" t="s">
        <v>25</v>
      </c>
      <c r="G37" s="3133">
        <f>SUM(G35:G36)</f>
        <v>205.19</v>
      </c>
    </row>
    <row r="38" spans="1:8" s="3117" customFormat="1" hidden="1">
      <c r="A38" s="3118"/>
      <c r="B38" s="3121"/>
      <c r="C38" s="3119"/>
      <c r="D38" s="3120" t="s">
        <v>26</v>
      </c>
      <c r="E38" s="3121"/>
      <c r="F38" s="3121"/>
      <c r="G38" s="3133">
        <f>G33+G37</f>
        <v>383.44</v>
      </c>
    </row>
    <row r="39" spans="1:8" s="3117" customFormat="1" hidden="1">
      <c r="A39" s="3118"/>
      <c r="B39" s="3121"/>
      <c r="C39" s="3101" t="s">
        <v>27</v>
      </c>
      <c r="D39" s="3120" t="s">
        <v>1189</v>
      </c>
      <c r="E39" s="3121"/>
      <c r="F39" s="3121"/>
      <c r="G39" s="3130"/>
    </row>
    <row r="40" spans="1:8" s="3117" customFormat="1" hidden="1">
      <c r="A40" s="3118"/>
      <c r="B40" s="3134">
        <f>'Input Data'!$D$24</f>
        <v>0.13614999999999999</v>
      </c>
      <c r="C40" s="3129"/>
      <c r="D40" s="3120" t="str">
        <f>"Over head charges &amp; CP "&amp;'Input Data'!$D$24*100&amp;"%  on (A) + (B)"</f>
        <v>Over head charges &amp; CP 13.615%  on (A) + (B)</v>
      </c>
      <c r="E40" s="3129">
        <f>G38</f>
        <v>383.44</v>
      </c>
      <c r="F40" s="3135"/>
      <c r="G40" s="3136">
        <f>E40*B40</f>
        <v>52.205355999999995</v>
      </c>
    </row>
    <row r="41" spans="1:8" s="3117" customFormat="1" hidden="1">
      <c r="A41" s="3118"/>
      <c r="B41" s="3129"/>
      <c r="C41" s="3129"/>
      <c r="D41" s="3120"/>
      <c r="E41" s="3129"/>
      <c r="F41" s="3135"/>
      <c r="G41" s="3136"/>
    </row>
    <row r="42" spans="1:8" s="3117" customFormat="1" hidden="1">
      <c r="A42" s="3118"/>
      <c r="B42" s="3129">
        <v>1</v>
      </c>
      <c r="C42" s="3129" t="s">
        <v>31</v>
      </c>
      <c r="D42" s="3131" t="str">
        <f>CONCATENATE("TOTAL Cost for ",B42,"  ",C42,"  =  (A+B+C)",)</f>
        <v>TOTAL Cost for 1  cum  =  (A+B+C)</v>
      </c>
      <c r="E42" s="3129"/>
      <c r="F42" s="3129"/>
      <c r="G42" s="3136">
        <f>SUM(G38:G41)</f>
        <v>435.64535599999999</v>
      </c>
    </row>
    <row r="43" spans="1:8" s="3117" customFormat="1" hidden="1">
      <c r="A43" s="3118"/>
      <c r="B43" s="3129"/>
      <c r="C43" s="3129"/>
      <c r="D43" s="3131" t="str">
        <f>CONCATENATE("Rate per  1  ",C42)</f>
        <v>Rate per  1  cum</v>
      </c>
      <c r="E43" s="3129"/>
      <c r="F43" s="3129"/>
      <c r="G43" s="3130">
        <f>G42/B42</f>
        <v>435.64535599999999</v>
      </c>
    </row>
    <row r="44" spans="1:8" s="3117" customFormat="1" hidden="1">
      <c r="A44" s="3118"/>
      <c r="B44" s="3121"/>
      <c r="C44" s="3121"/>
      <c r="D44" s="3120" t="str">
        <f>D43</f>
        <v>Rate per  1  cum</v>
      </c>
      <c r="E44" s="3129"/>
      <c r="F44" s="3129"/>
      <c r="G44" s="3133">
        <f>ROUND(G43,2)</f>
        <v>435.65</v>
      </c>
      <c r="H44" s="3117" t="s">
        <v>907</v>
      </c>
    </row>
    <row r="45" spans="1:8" s="3117" customFormat="1" hidden="1">
      <c r="A45" s="3118"/>
      <c r="B45" s="3121"/>
      <c r="C45" s="3121"/>
      <c r="D45" s="3120"/>
      <c r="E45" s="3129"/>
      <c r="F45" s="3129"/>
      <c r="G45" s="3133"/>
    </row>
    <row r="46" spans="1:8" s="3117" customFormat="1" ht="45" hidden="1" customHeight="1">
      <c r="A46" s="3094">
        <v>3</v>
      </c>
      <c r="B46" s="4006" t="s">
        <v>1522</v>
      </c>
      <c r="C46" s="4006"/>
      <c r="D46" s="4006"/>
      <c r="E46" s="4006"/>
      <c r="F46" s="4006"/>
      <c r="G46" s="4006"/>
    </row>
    <row r="47" spans="1:8" s="3117" customFormat="1" hidden="1">
      <c r="A47" s="3094"/>
      <c r="B47" s="3137"/>
      <c r="C47" s="3137"/>
      <c r="D47" s="3138" t="s">
        <v>1523</v>
      </c>
      <c r="E47" s="3139"/>
      <c r="F47" s="3137"/>
      <c r="G47" s="3104"/>
    </row>
    <row r="48" spans="1:8" s="3117" customFormat="1" hidden="1">
      <c r="A48" s="3094"/>
      <c r="B48" s="4010" t="s">
        <v>1524</v>
      </c>
      <c r="C48" s="4010"/>
      <c r="D48" s="3095" t="s">
        <v>1525</v>
      </c>
      <c r="E48" s="3091"/>
      <c r="F48" s="3092"/>
      <c r="G48" s="3140"/>
    </row>
    <row r="49" spans="1:8" s="3117" customFormat="1" hidden="1">
      <c r="A49" s="3094"/>
      <c r="B49" s="4010"/>
      <c r="C49" s="4010"/>
      <c r="D49" s="4010"/>
      <c r="E49" s="3091"/>
      <c r="F49" s="3092"/>
      <c r="G49" s="3140"/>
    </row>
    <row r="50" spans="1:8" s="3117" customFormat="1" hidden="1">
      <c r="A50" s="3094"/>
      <c r="B50" s="3090" t="s">
        <v>36</v>
      </c>
      <c r="C50" s="3095" t="s">
        <v>37</v>
      </c>
      <c r="D50" s="3103"/>
      <c r="E50" s="3091"/>
      <c r="F50" s="3092"/>
      <c r="G50" s="3140"/>
    </row>
    <row r="51" spans="1:8" s="3117" customFormat="1" hidden="1">
      <c r="A51" s="3094"/>
      <c r="B51" s="3099">
        <v>0.02</v>
      </c>
      <c r="C51" s="3097" t="s">
        <v>38</v>
      </c>
      <c r="D51" s="3098" t="s">
        <v>14</v>
      </c>
      <c r="E51" s="3099">
        <f>'SSR-rates'!$K$58</f>
        <v>575</v>
      </c>
      <c r="F51" s="3100" t="s">
        <v>38</v>
      </c>
      <c r="G51" s="3101">
        <f>ROUND(B51*E51,2)</f>
        <v>11.5</v>
      </c>
    </row>
    <row r="52" spans="1:8" s="3117" customFormat="1" hidden="1">
      <c r="A52" s="3094"/>
      <c r="B52" s="3099">
        <v>0.6</v>
      </c>
      <c r="C52" s="3097" t="s">
        <v>38</v>
      </c>
      <c r="D52" s="3098" t="s">
        <v>16</v>
      </c>
      <c r="E52" s="3099">
        <f>'SSR-rates'!$K$60</f>
        <v>575</v>
      </c>
      <c r="F52" s="3100" t="s">
        <v>38</v>
      </c>
      <c r="G52" s="3101">
        <f>ROUND(B52*E52,2)</f>
        <v>345</v>
      </c>
    </row>
    <row r="53" spans="1:8" hidden="1">
      <c r="A53" s="3094"/>
      <c r="B53" s="3102">
        <f>'Input Data'!$D$23</f>
        <v>0</v>
      </c>
      <c r="C53" s="3097"/>
      <c r="D53" s="3103" t="s">
        <v>17</v>
      </c>
      <c r="E53" s="3099">
        <f>SUM(G51:G52)</f>
        <v>356.5</v>
      </c>
      <c r="F53" s="3100"/>
      <c r="G53" s="3101">
        <f>B53*E53</f>
        <v>0</v>
      </c>
    </row>
    <row r="54" spans="1:8" s="3117" customFormat="1" hidden="1">
      <c r="A54" s="3094"/>
      <c r="B54" s="3099"/>
      <c r="C54" s="3097"/>
      <c r="D54" s="3098"/>
      <c r="E54" s="3099"/>
      <c r="F54" s="3100"/>
      <c r="G54" s="3114">
        <f>SUM(G51:G53)</f>
        <v>356.5</v>
      </c>
    </row>
    <row r="55" spans="1:8" s="3117" customFormat="1" hidden="1">
      <c r="A55" s="3094"/>
      <c r="B55" s="3090" t="s">
        <v>39</v>
      </c>
      <c r="C55" s="3095" t="s">
        <v>40</v>
      </c>
      <c r="D55" s="3103"/>
      <c r="E55" s="3097"/>
      <c r="F55" s="3098"/>
      <c r="G55" s="3104"/>
    </row>
    <row r="56" spans="1:8" hidden="1">
      <c r="A56" s="3094"/>
      <c r="B56" s="3105">
        <v>0.1</v>
      </c>
      <c r="C56" s="3106" t="s">
        <v>41</v>
      </c>
      <c r="D56" s="3107" t="s">
        <v>1526</v>
      </c>
      <c r="E56" s="3105">
        <f>'SSR-rates'!$K$71</f>
        <v>520</v>
      </c>
      <c r="F56" s="3105" t="s">
        <v>41</v>
      </c>
      <c r="G56" s="3101">
        <f>ROUND(B56*E56,2)</f>
        <v>52</v>
      </c>
    </row>
    <row r="57" spans="1:8" s="3117" customFormat="1" hidden="1">
      <c r="A57" s="3094"/>
      <c r="B57" s="3099"/>
      <c r="C57" s="3097"/>
      <c r="D57" s="3098"/>
      <c r="E57" s="3099"/>
      <c r="F57" s="3099"/>
      <c r="G57" s="3101"/>
    </row>
    <row r="58" spans="1:8" s="3117" customFormat="1" hidden="1">
      <c r="A58" s="3094"/>
      <c r="B58" s="3090" t="s">
        <v>27</v>
      </c>
      <c r="C58" s="3109" t="s">
        <v>1189</v>
      </c>
      <c r="D58" s="3098"/>
      <c r="E58" s="3099"/>
      <c r="F58" s="3099"/>
      <c r="G58" s="3104"/>
    </row>
    <row r="59" spans="1:8" s="3117" customFormat="1" hidden="1">
      <c r="A59" s="3094"/>
      <c r="B59" s="3134">
        <f>'Input Data'!$D$24</f>
        <v>0.13614999999999999</v>
      </c>
      <c r="C59" s="3098" t="str">
        <f>"Over head charges &amp; CP "&amp;'Input Data'!$D$24*100&amp;"%  on (A) + (B)"</f>
        <v>Over head charges &amp; CP 13.615%  on (A) + (B)</v>
      </c>
      <c r="D59" s="3103"/>
      <c r="E59" s="3112">
        <f>G56+G54</f>
        <v>408.5</v>
      </c>
      <c r="F59" s="3103"/>
      <c r="G59" s="3101">
        <f>E59*B59</f>
        <v>55.617274999999999</v>
      </c>
    </row>
    <row r="60" spans="1:8" s="3117" customFormat="1" hidden="1">
      <c r="A60" s="3094"/>
      <c r="B60" s="3090" t="s">
        <v>45</v>
      </c>
      <c r="C60" s="3098" t="s">
        <v>46</v>
      </c>
      <c r="D60" s="3103"/>
      <c r="E60" s="3112"/>
      <c r="F60" s="3103"/>
      <c r="G60" s="3101">
        <f>G54+G56+G57+G59</f>
        <v>464.11727500000001</v>
      </c>
    </row>
    <row r="61" spans="1:8" s="3117" customFormat="1" hidden="1">
      <c r="A61" s="3094"/>
      <c r="B61" s="3100"/>
      <c r="C61" s="3098"/>
      <c r="D61" s="3095" t="s">
        <v>1527</v>
      </c>
      <c r="E61" s="3097"/>
      <c r="F61" s="3098"/>
      <c r="G61" s="3101">
        <f>SUM(G60:G60)</f>
        <v>464.11727500000001</v>
      </c>
    </row>
    <row r="62" spans="1:8" s="3117" customFormat="1" hidden="1">
      <c r="A62" s="3094"/>
      <c r="B62" s="3100"/>
      <c r="C62" s="3103"/>
      <c r="D62" s="3141" t="s">
        <v>1528</v>
      </c>
      <c r="E62" s="3099"/>
      <c r="F62" s="3100"/>
      <c r="G62" s="3114">
        <f>ROUND(G61,2)</f>
        <v>464.12</v>
      </c>
      <c r="H62" s="3117" t="s">
        <v>907</v>
      </c>
    </row>
    <row r="63" spans="1:8" s="3117" customFormat="1" hidden="1">
      <c r="A63" s="3094"/>
      <c r="B63" s="3100"/>
      <c r="C63" s="3103"/>
      <c r="D63" s="3141"/>
      <c r="E63" s="3099"/>
      <c r="F63" s="3100"/>
      <c r="G63" s="3114"/>
    </row>
    <row r="64" spans="1:8" s="3117" customFormat="1" hidden="1">
      <c r="A64" s="3094"/>
      <c r="B64" s="3137"/>
      <c r="C64" s="3137"/>
      <c r="D64" s="3138" t="s">
        <v>1529</v>
      </c>
      <c r="E64" s="3139"/>
      <c r="F64" s="3137"/>
      <c r="G64" s="3104"/>
    </row>
    <row r="65" spans="1:8" s="3117" customFormat="1" hidden="1">
      <c r="A65" s="3094"/>
      <c r="B65" s="4010" t="s">
        <v>1524</v>
      </c>
      <c r="C65" s="4010"/>
      <c r="D65" s="3095" t="s">
        <v>1525</v>
      </c>
      <c r="E65" s="3091"/>
      <c r="F65" s="3092"/>
      <c r="G65" s="3140"/>
    </row>
    <row r="66" spans="1:8" s="3117" customFormat="1" hidden="1">
      <c r="A66" s="3094"/>
      <c r="B66" s="3090" t="s">
        <v>36</v>
      </c>
      <c r="C66" s="3095" t="s">
        <v>37</v>
      </c>
      <c r="D66" s="3103"/>
      <c r="E66" s="3091"/>
      <c r="F66" s="3092"/>
      <c r="G66" s="3140"/>
    </row>
    <row r="67" spans="1:8" s="3117" customFormat="1" hidden="1">
      <c r="A67" s="3094"/>
      <c r="B67" s="3099">
        <v>0.04</v>
      </c>
      <c r="C67" s="3097" t="s">
        <v>38</v>
      </c>
      <c r="D67" s="3098" t="s">
        <v>14</v>
      </c>
      <c r="E67" s="3099">
        <f>'SSR-rates'!$K$58</f>
        <v>575</v>
      </c>
      <c r="F67" s="3100" t="s">
        <v>38</v>
      </c>
      <c r="G67" s="3101">
        <f>ROUND(B67*E67,2)</f>
        <v>23</v>
      </c>
    </row>
    <row r="68" spans="1:8" s="3117" customFormat="1" hidden="1">
      <c r="A68" s="3094"/>
      <c r="B68" s="3099">
        <v>0.9</v>
      </c>
      <c r="C68" s="3097" t="s">
        <v>38</v>
      </c>
      <c r="D68" s="3098" t="s">
        <v>16</v>
      </c>
      <c r="E68" s="3099">
        <f>'SSR-rates'!$K$60</f>
        <v>575</v>
      </c>
      <c r="F68" s="3100" t="s">
        <v>38</v>
      </c>
      <c r="G68" s="3101">
        <f>ROUND(B68*E68,2)</f>
        <v>517.5</v>
      </c>
    </row>
    <row r="69" spans="1:8" hidden="1">
      <c r="A69" s="3094"/>
      <c r="B69" s="3102">
        <f>'Input Data'!$D$23</f>
        <v>0</v>
      </c>
      <c r="C69" s="3097"/>
      <c r="D69" s="3103" t="s">
        <v>17</v>
      </c>
      <c r="E69" s="3099">
        <f>SUM(G67:G68)</f>
        <v>540.5</v>
      </c>
      <c r="F69" s="3100"/>
      <c r="G69" s="3101">
        <f>B69*E69</f>
        <v>0</v>
      </c>
    </row>
    <row r="70" spans="1:8" s="3117" customFormat="1" hidden="1">
      <c r="A70" s="3094"/>
      <c r="B70" s="3099"/>
      <c r="C70" s="3097"/>
      <c r="D70" s="3098"/>
      <c r="E70" s="3099"/>
      <c r="F70" s="3100"/>
      <c r="G70" s="3114">
        <f>SUM(G67:G69)</f>
        <v>540.5</v>
      </c>
    </row>
    <row r="71" spans="1:8" s="3117" customFormat="1" hidden="1">
      <c r="A71" s="3094"/>
      <c r="B71" s="3090" t="s">
        <v>39</v>
      </c>
      <c r="C71" s="3095" t="s">
        <v>40</v>
      </c>
      <c r="D71" s="3103"/>
      <c r="E71" s="3097"/>
      <c r="F71" s="3098"/>
      <c r="G71" s="3104"/>
    </row>
    <row r="72" spans="1:8" hidden="1">
      <c r="A72" s="3094"/>
      <c r="B72" s="3105">
        <v>0.3</v>
      </c>
      <c r="C72" s="3106" t="s">
        <v>41</v>
      </c>
      <c r="D72" s="3107" t="s">
        <v>1526</v>
      </c>
      <c r="E72" s="3105">
        <f>'SSR-rates'!$K$71</f>
        <v>520</v>
      </c>
      <c r="F72" s="3105" t="s">
        <v>41</v>
      </c>
      <c r="G72" s="3101">
        <f>ROUND(B72*E72,2)</f>
        <v>156</v>
      </c>
    </row>
    <row r="73" spans="1:8" s="3117" customFormat="1" hidden="1">
      <c r="A73" s="3094"/>
      <c r="B73" s="3099"/>
      <c r="C73" s="3097"/>
      <c r="D73" s="3098"/>
      <c r="E73" s="3099"/>
      <c r="F73" s="3099"/>
      <c r="G73" s="3101"/>
    </row>
    <row r="74" spans="1:8" s="3117" customFormat="1" hidden="1">
      <c r="A74" s="3094"/>
      <c r="B74" s="3090" t="s">
        <v>27</v>
      </c>
      <c r="C74" s="3109" t="s">
        <v>1189</v>
      </c>
      <c r="D74" s="3098"/>
      <c r="E74" s="3099"/>
      <c r="F74" s="3099"/>
      <c r="G74" s="3104"/>
    </row>
    <row r="75" spans="1:8" s="3117" customFormat="1" hidden="1">
      <c r="A75" s="3094"/>
      <c r="B75" s="3134">
        <f>'Input Data'!$D$24</f>
        <v>0.13614999999999999</v>
      </c>
      <c r="C75" s="3098" t="str">
        <f>"Over head charges &amp; CP "&amp;'Input Data'!$D$24*100&amp;"%  on (A) + (B)"</f>
        <v>Over head charges &amp; CP 13.615%  on (A) + (B)</v>
      </c>
      <c r="D75" s="3103"/>
      <c r="E75" s="3112">
        <f>G72+G70</f>
        <v>696.5</v>
      </c>
      <c r="F75" s="3103"/>
      <c r="G75" s="3101">
        <f>E75*B75</f>
        <v>94.828474999999997</v>
      </c>
    </row>
    <row r="76" spans="1:8" s="3117" customFormat="1" hidden="1">
      <c r="A76" s="3094"/>
      <c r="B76" s="3090" t="s">
        <v>45</v>
      </c>
      <c r="C76" s="3098" t="s">
        <v>46</v>
      </c>
      <c r="D76" s="3103"/>
      <c r="E76" s="3112"/>
      <c r="F76" s="3103"/>
      <c r="G76" s="3101">
        <f>G70+G72+G73+G75</f>
        <v>791.32847500000003</v>
      </c>
    </row>
    <row r="77" spans="1:8" s="3117" customFormat="1" hidden="1">
      <c r="A77" s="3094"/>
      <c r="B77" s="3100"/>
      <c r="C77" s="3098"/>
      <c r="D77" s="3095" t="s">
        <v>1527</v>
      </c>
      <c r="E77" s="3097"/>
      <c r="F77" s="3098"/>
      <c r="G77" s="3101">
        <f>SUM(G76:G76)</f>
        <v>791.32847500000003</v>
      </c>
    </row>
    <row r="78" spans="1:8" s="3117" customFormat="1" hidden="1">
      <c r="A78" s="3094"/>
      <c r="B78" s="3100"/>
      <c r="C78" s="3103"/>
      <c r="D78" s="3141" t="s">
        <v>1528</v>
      </c>
      <c r="E78" s="3099"/>
      <c r="F78" s="3100"/>
      <c r="G78" s="3114">
        <f>ROUND(G77,2)</f>
        <v>791.33</v>
      </c>
      <c r="H78" s="3117" t="s">
        <v>907</v>
      </c>
    </row>
    <row r="79" spans="1:8" s="3117" customFormat="1" hidden="1">
      <c r="A79" s="3094"/>
      <c r="B79" s="3100"/>
      <c r="C79" s="3103"/>
      <c r="D79" s="3141"/>
      <c r="E79" s="3099"/>
      <c r="F79" s="3100"/>
      <c r="G79" s="3114"/>
    </row>
    <row r="80" spans="1:8" s="3117" customFormat="1" hidden="1">
      <c r="A80" s="3094"/>
      <c r="B80" s="3137"/>
      <c r="C80" s="3137"/>
      <c r="D80" s="3138" t="s">
        <v>1530</v>
      </c>
      <c r="E80" s="3139"/>
      <c r="F80" s="3137"/>
      <c r="G80" s="3104"/>
    </row>
    <row r="81" spans="1:8" s="3117" customFormat="1" hidden="1">
      <c r="A81" s="3094"/>
      <c r="B81" s="4010" t="s">
        <v>1524</v>
      </c>
      <c r="C81" s="4010"/>
      <c r="D81" s="3095" t="s">
        <v>1525</v>
      </c>
      <c r="E81" s="3091"/>
      <c r="F81" s="3092"/>
      <c r="G81" s="3140"/>
    </row>
    <row r="82" spans="1:8" s="3117" customFormat="1" hidden="1">
      <c r="A82" s="3094"/>
      <c r="B82" s="4010"/>
      <c r="C82" s="4010"/>
      <c r="D82" s="4010"/>
      <c r="E82" s="3091"/>
      <c r="F82" s="3092"/>
      <c r="G82" s="3140"/>
    </row>
    <row r="83" spans="1:8" s="3117" customFormat="1" hidden="1">
      <c r="A83" s="3094"/>
      <c r="B83" s="3090" t="s">
        <v>36</v>
      </c>
      <c r="C83" s="3095" t="s">
        <v>37</v>
      </c>
      <c r="D83" s="3103"/>
      <c r="E83" s="3091"/>
      <c r="F83" s="3092"/>
      <c r="G83" s="3140"/>
    </row>
    <row r="84" spans="1:8" s="3117" customFormat="1" hidden="1">
      <c r="A84" s="3094"/>
      <c r="B84" s="3099">
        <v>0.08</v>
      </c>
      <c r="C84" s="3097" t="s">
        <v>38</v>
      </c>
      <c r="D84" s="3098" t="s">
        <v>14</v>
      </c>
      <c r="E84" s="3099">
        <f>'SSR-rates'!$K$58</f>
        <v>575</v>
      </c>
      <c r="F84" s="3100" t="s">
        <v>38</v>
      </c>
      <c r="G84" s="3101">
        <f>ROUND(B84*E84,2)</f>
        <v>46</v>
      </c>
    </row>
    <row r="85" spans="1:8" s="3117" customFormat="1" hidden="1">
      <c r="A85" s="3094"/>
      <c r="B85" s="3099">
        <v>2</v>
      </c>
      <c r="C85" s="3097" t="s">
        <v>38</v>
      </c>
      <c r="D85" s="3098" t="s">
        <v>16</v>
      </c>
      <c r="E85" s="3099">
        <f>'SSR-rates'!$K$60</f>
        <v>575</v>
      </c>
      <c r="F85" s="3100" t="s">
        <v>38</v>
      </c>
      <c r="G85" s="3101">
        <f>ROUND(B85*E85,2)</f>
        <v>1150</v>
      </c>
    </row>
    <row r="86" spans="1:8" hidden="1">
      <c r="A86" s="3094"/>
      <c r="B86" s="3102">
        <f>'Input Data'!$D$23</f>
        <v>0</v>
      </c>
      <c r="C86" s="3097"/>
      <c r="D86" s="3103" t="s">
        <v>17</v>
      </c>
      <c r="E86" s="3099">
        <f>SUM(G84:G85)</f>
        <v>1196</v>
      </c>
      <c r="F86" s="3100"/>
      <c r="G86" s="3101">
        <f>B86*E86</f>
        <v>0</v>
      </c>
    </row>
    <row r="87" spans="1:8" s="3117" customFormat="1" hidden="1">
      <c r="A87" s="3094"/>
      <c r="B87" s="3099"/>
      <c r="C87" s="3097"/>
      <c r="D87" s="3098"/>
      <c r="E87" s="3099"/>
      <c r="F87" s="3100"/>
      <c r="G87" s="3114">
        <f>SUM(G84:G86)</f>
        <v>1196</v>
      </c>
    </row>
    <row r="88" spans="1:8" s="3117" customFormat="1" hidden="1">
      <c r="A88" s="3094"/>
      <c r="B88" s="3090" t="s">
        <v>39</v>
      </c>
      <c r="C88" s="3095" t="s">
        <v>40</v>
      </c>
      <c r="D88" s="3103"/>
      <c r="E88" s="3097"/>
      <c r="F88" s="3098"/>
      <c r="G88" s="3104"/>
    </row>
    <row r="89" spans="1:8" hidden="1">
      <c r="A89" s="3094"/>
      <c r="B89" s="3105">
        <v>0.4</v>
      </c>
      <c r="C89" s="3106" t="s">
        <v>41</v>
      </c>
      <c r="D89" s="3107" t="s">
        <v>1526</v>
      </c>
      <c r="E89" s="3105">
        <f>'SSR-rates'!$K$71</f>
        <v>520</v>
      </c>
      <c r="F89" s="3105" t="s">
        <v>41</v>
      </c>
      <c r="G89" s="3101">
        <f>ROUND(B89*E89,2)</f>
        <v>208</v>
      </c>
    </row>
    <row r="90" spans="1:8" s="3117" customFormat="1" hidden="1">
      <c r="A90" s="3094"/>
      <c r="B90" s="3099"/>
      <c r="C90" s="3097"/>
      <c r="D90" s="3098"/>
      <c r="E90" s="3099"/>
      <c r="F90" s="3099"/>
      <c r="G90" s="3101"/>
    </row>
    <row r="91" spans="1:8" s="3117" customFormat="1" hidden="1">
      <c r="A91" s="3094"/>
      <c r="B91" s="3090" t="s">
        <v>27</v>
      </c>
      <c r="C91" s="3109" t="s">
        <v>1189</v>
      </c>
      <c r="D91" s="3098"/>
      <c r="E91" s="3099"/>
      <c r="F91" s="3099"/>
      <c r="G91" s="3104"/>
    </row>
    <row r="92" spans="1:8" s="3117" customFormat="1" hidden="1">
      <c r="A92" s="3094"/>
      <c r="B92" s="3134">
        <f>'Input Data'!$D$24</f>
        <v>0.13614999999999999</v>
      </c>
      <c r="C92" s="3098" t="str">
        <f>"Over head charges &amp; CP "&amp;'Input Data'!$D$24*100&amp;"%  on (A) + (B)"</f>
        <v>Over head charges &amp; CP 13.615%  on (A) + (B)</v>
      </c>
      <c r="D92" s="3103"/>
      <c r="E92" s="3112">
        <f>G89+G87</f>
        <v>1404</v>
      </c>
      <c r="F92" s="3103"/>
      <c r="G92" s="3101">
        <f>E92*B92</f>
        <v>191.15459999999999</v>
      </c>
    </row>
    <row r="93" spans="1:8" s="3117" customFormat="1" hidden="1">
      <c r="A93" s="3094"/>
      <c r="B93" s="3090" t="s">
        <v>45</v>
      </c>
      <c r="C93" s="3098" t="s">
        <v>46</v>
      </c>
      <c r="D93" s="3103"/>
      <c r="E93" s="3112"/>
      <c r="F93" s="3103"/>
      <c r="G93" s="3101">
        <f>G87+G89+G90+G92</f>
        <v>1595.1546000000001</v>
      </c>
    </row>
    <row r="94" spans="1:8" s="3117" customFormat="1" hidden="1">
      <c r="A94" s="3094"/>
      <c r="B94" s="3100"/>
      <c r="C94" s="3098"/>
      <c r="D94" s="3095" t="s">
        <v>1527</v>
      </c>
      <c r="E94" s="3097"/>
      <c r="F94" s="3098"/>
      <c r="G94" s="3101">
        <f>SUM(G93:G93)</f>
        <v>1595.1546000000001</v>
      </c>
    </row>
    <row r="95" spans="1:8" s="3117" customFormat="1" hidden="1">
      <c r="A95" s="3094"/>
      <c r="B95" s="3100"/>
      <c r="C95" s="3103"/>
      <c r="D95" s="3141" t="s">
        <v>1528</v>
      </c>
      <c r="E95" s="3099"/>
      <c r="F95" s="3100"/>
      <c r="G95" s="3114">
        <f>ROUND(G94,2)</f>
        <v>1595.15</v>
      </c>
      <c r="H95" s="3117" t="s">
        <v>907</v>
      </c>
    </row>
    <row r="96" spans="1:8" s="3117" customFormat="1" hidden="1">
      <c r="A96" s="3094"/>
      <c r="B96" s="3100"/>
      <c r="C96" s="3103"/>
      <c r="D96" s="3141"/>
      <c r="E96" s="3099"/>
      <c r="F96" s="3100"/>
      <c r="G96" s="3114"/>
    </row>
    <row r="97" spans="1:7" ht="60" hidden="1" customHeight="1">
      <c r="A97" s="3094">
        <v>4</v>
      </c>
      <c r="B97" s="4006" t="s">
        <v>1531</v>
      </c>
      <c r="C97" s="4006"/>
      <c r="D97" s="4006"/>
      <c r="E97" s="4006"/>
      <c r="F97" s="4006"/>
      <c r="G97" s="4006"/>
    </row>
    <row r="98" spans="1:7" hidden="1">
      <c r="A98" s="3094"/>
      <c r="B98" s="4010" t="s">
        <v>33</v>
      </c>
      <c r="C98" s="4010"/>
      <c r="D98" s="3095" t="s">
        <v>1532</v>
      </c>
      <c r="E98" s="3091"/>
      <c r="F98" s="3092"/>
      <c r="G98" s="3140"/>
    </row>
    <row r="99" spans="1:7" hidden="1">
      <c r="A99" s="3094"/>
      <c r="B99" s="4010" t="s">
        <v>1533</v>
      </c>
      <c r="C99" s="4010"/>
      <c r="D99" s="4010"/>
      <c r="E99" s="3091"/>
      <c r="F99" s="3092"/>
      <c r="G99" s="3140"/>
    </row>
    <row r="100" spans="1:7" hidden="1">
      <c r="A100" s="3094"/>
      <c r="B100" s="3090" t="s">
        <v>36</v>
      </c>
      <c r="C100" s="3095" t="s">
        <v>37</v>
      </c>
      <c r="D100" s="3090"/>
      <c r="E100" s="3091"/>
      <c r="F100" s="3092"/>
      <c r="G100" s="3140"/>
    </row>
    <row r="101" spans="1:7" hidden="1">
      <c r="A101" s="3094"/>
      <c r="B101" s="3099">
        <v>0.08</v>
      </c>
      <c r="C101" s="3097" t="s">
        <v>38</v>
      </c>
      <c r="D101" s="3098" t="s">
        <v>14</v>
      </c>
      <c r="E101" s="3099">
        <f>'SSR-rates'!$K$58</f>
        <v>575</v>
      </c>
      <c r="F101" s="3100" t="s">
        <v>38</v>
      </c>
      <c r="G101" s="3101">
        <f>ROUND(B101*E101,2)</f>
        <v>46</v>
      </c>
    </row>
    <row r="102" spans="1:7" hidden="1">
      <c r="A102" s="3094"/>
      <c r="B102" s="3099">
        <v>2</v>
      </c>
      <c r="C102" s="3097" t="s">
        <v>38</v>
      </c>
      <c r="D102" s="3098" t="s">
        <v>16</v>
      </c>
      <c r="E102" s="3099">
        <f>'SSR-rates'!$K$60</f>
        <v>575</v>
      </c>
      <c r="F102" s="3100" t="s">
        <v>38</v>
      </c>
      <c r="G102" s="3101">
        <f>ROUND(B102*E102,2)</f>
        <v>1150</v>
      </c>
    </row>
    <row r="103" spans="1:7" hidden="1">
      <c r="A103" s="3094"/>
      <c r="B103" s="3102">
        <f>'Input Data'!$D$23</f>
        <v>0</v>
      </c>
      <c r="C103" s="3097"/>
      <c r="D103" s="3103" t="s">
        <v>17</v>
      </c>
      <c r="E103" s="3099">
        <f>SUM(G101:G102)</f>
        <v>1196</v>
      </c>
      <c r="F103" s="3100"/>
      <c r="G103" s="3101">
        <f>B103*E103</f>
        <v>0</v>
      </c>
    </row>
    <row r="104" spans="1:7" hidden="1">
      <c r="A104" s="3094"/>
      <c r="B104" s="3099"/>
      <c r="C104" s="3097"/>
      <c r="D104" s="3098"/>
      <c r="E104" s="3099"/>
      <c r="F104" s="3100"/>
      <c r="G104" s="3101">
        <f>SUM(G101:G103)</f>
        <v>1196</v>
      </c>
    </row>
    <row r="105" spans="1:7" hidden="1">
      <c r="A105" s="3094"/>
      <c r="B105" s="3099"/>
      <c r="C105" s="3097"/>
      <c r="D105" s="3098"/>
      <c r="E105" s="3099"/>
      <c r="F105" s="3100"/>
      <c r="G105" s="3101"/>
    </row>
    <row r="106" spans="1:7" hidden="1">
      <c r="A106" s="3094"/>
      <c r="B106" s="3090" t="s">
        <v>39</v>
      </c>
      <c r="C106" s="3095" t="s">
        <v>40</v>
      </c>
      <c r="D106" s="3103"/>
      <c r="E106" s="3097"/>
      <c r="F106" s="3098"/>
      <c r="G106" s="3104"/>
    </row>
    <row r="107" spans="1:7" hidden="1">
      <c r="A107" s="3094"/>
      <c r="B107" s="3105">
        <v>2</v>
      </c>
      <c r="C107" s="3106" t="s">
        <v>41</v>
      </c>
      <c r="D107" s="3103" t="s">
        <v>1534</v>
      </c>
      <c r="E107" s="3105">
        <f>'SSR-rates'!$K$64</f>
        <v>3557.7</v>
      </c>
      <c r="F107" s="3105" t="s">
        <v>41</v>
      </c>
      <c r="G107" s="3101">
        <f>B107*E107</f>
        <v>7115.4</v>
      </c>
    </row>
    <row r="108" spans="1:7" hidden="1">
      <c r="A108" s="3094"/>
      <c r="B108" s="3090" t="s">
        <v>27</v>
      </c>
      <c r="C108" s="3109" t="s">
        <v>1189</v>
      </c>
      <c r="D108" s="3103"/>
      <c r="E108" s="3099"/>
      <c r="F108" s="3099"/>
      <c r="G108" s="3104"/>
    </row>
    <row r="109" spans="1:7" hidden="1">
      <c r="A109" s="3094"/>
      <c r="B109" s="3110">
        <f>'Input Data'!$D$24</f>
        <v>0.13614999999999999</v>
      </c>
      <c r="C109" s="3095" t="str">
        <f>"Over head charges &amp; CP "&amp;'Input Data'!$D$24*100&amp;"%  on (A) + (B)"</f>
        <v>Over head charges &amp; CP 13.615%  on (A) + (B)</v>
      </c>
      <c r="D109" s="3103"/>
      <c r="E109" s="3112">
        <f>G107+G104</f>
        <v>8311.4</v>
      </c>
      <c r="F109" s="3103"/>
      <c r="G109" s="3101">
        <f>E109*B109</f>
        <v>1131.5971099999999</v>
      </c>
    </row>
    <row r="110" spans="1:7" hidden="1">
      <c r="A110" s="3094"/>
      <c r="B110" s="3090" t="s">
        <v>45</v>
      </c>
      <c r="C110" s="3095" t="s">
        <v>46</v>
      </c>
      <c r="D110" s="3103"/>
      <c r="E110" s="3097"/>
      <c r="F110" s="3098"/>
      <c r="G110" s="3114">
        <f>G104+G107+G109</f>
        <v>9442.9971100000002</v>
      </c>
    </row>
    <row r="111" spans="1:7" hidden="1">
      <c r="A111" s="3094"/>
      <c r="B111" s="3100"/>
      <c r="C111" s="3095" t="s">
        <v>1535</v>
      </c>
      <c r="D111" s="3098"/>
      <c r="E111" s="3097"/>
      <c r="F111" s="3098"/>
      <c r="G111" s="3114">
        <f>SUM(G110:G110)</f>
        <v>9442.9971100000002</v>
      </c>
    </row>
    <row r="112" spans="1:7" hidden="1">
      <c r="A112" s="3094"/>
      <c r="B112" s="3100"/>
      <c r="C112" s="3098" t="s">
        <v>216</v>
      </c>
      <c r="D112" s="3098"/>
      <c r="E112" s="3097"/>
      <c r="F112" s="3098"/>
      <c r="G112" s="3101">
        <f>G111/180</f>
        <v>52.46109505555556</v>
      </c>
    </row>
    <row r="113" spans="1:8" hidden="1">
      <c r="A113" s="3094"/>
      <c r="B113" s="3099"/>
      <c r="C113" s="3097"/>
      <c r="D113" s="3142" t="s">
        <v>217</v>
      </c>
      <c r="E113" s="3101"/>
      <c r="F113" s="3112"/>
      <c r="G113" s="3143">
        <f>ROUNDUP(G112,3)</f>
        <v>52.461999999999996</v>
      </c>
    </row>
    <row r="114" spans="1:8" hidden="1">
      <c r="A114" s="3094"/>
      <c r="B114" s="3099"/>
      <c r="C114" s="3097"/>
      <c r="D114" s="3142"/>
      <c r="E114" s="3101"/>
      <c r="F114" s="3112" t="s">
        <v>1536</v>
      </c>
      <c r="G114" s="3143">
        <f>ROUND(G113,2)</f>
        <v>52.46</v>
      </c>
      <c r="H114" s="3088" t="s">
        <v>907</v>
      </c>
    </row>
    <row r="115" spans="1:8" hidden="1">
      <c r="A115" s="3094"/>
      <c r="B115" s="3099"/>
      <c r="C115" s="3097"/>
      <c r="D115" s="3144"/>
      <c r="E115" s="3101"/>
      <c r="F115" s="3112"/>
      <c r="G115" s="3115" t="s">
        <v>53</v>
      </c>
    </row>
    <row r="116" spans="1:8" hidden="1">
      <c r="A116" s="3094"/>
      <c r="B116" s="3099"/>
      <c r="C116" s="3097"/>
      <c r="D116" s="3144"/>
      <c r="E116" s="3101"/>
      <c r="F116" s="3112"/>
      <c r="G116" s="3115"/>
    </row>
    <row r="117" spans="1:8" ht="96" hidden="1" customHeight="1">
      <c r="A117" s="3145">
        <v>2</v>
      </c>
      <c r="B117" s="4006" t="s">
        <v>1537</v>
      </c>
      <c r="C117" s="4006"/>
      <c r="D117" s="4006"/>
      <c r="E117" s="4006"/>
      <c r="F117" s="4006"/>
      <c r="G117" s="4006"/>
    </row>
    <row r="118" spans="1:8" hidden="1">
      <c r="A118" s="3094"/>
      <c r="B118" s="4010" t="s">
        <v>33</v>
      </c>
      <c r="C118" s="4010"/>
      <c r="D118" s="3095" t="s">
        <v>1532</v>
      </c>
      <c r="E118" s="3091"/>
      <c r="F118" s="3092"/>
      <c r="G118" s="3140"/>
    </row>
    <row r="119" spans="1:8" hidden="1">
      <c r="A119" s="3094"/>
      <c r="B119" s="4010" t="s">
        <v>1533</v>
      </c>
      <c r="C119" s="4010"/>
      <c r="D119" s="4010"/>
      <c r="E119" s="3091"/>
      <c r="F119" s="3092"/>
      <c r="G119" s="3140"/>
    </row>
    <row r="120" spans="1:8" hidden="1">
      <c r="A120" s="3094"/>
      <c r="B120" s="3090" t="s">
        <v>36</v>
      </c>
      <c r="C120" s="3095" t="s">
        <v>37</v>
      </c>
      <c r="D120" s="3090"/>
      <c r="E120" s="3091"/>
      <c r="F120" s="3092"/>
      <c r="G120" s="3140"/>
    </row>
    <row r="121" spans="1:8" hidden="1">
      <c r="A121" s="3094"/>
      <c r="B121" s="3099"/>
      <c r="C121" s="3097" t="s">
        <v>38</v>
      </c>
      <c r="D121" s="3098" t="s">
        <v>14</v>
      </c>
      <c r="E121" s="3099">
        <f>E101</f>
        <v>575</v>
      </c>
      <c r="F121" s="3100" t="s">
        <v>38</v>
      </c>
      <c r="G121" s="3101">
        <f>ROUND(B121*E121,2)</f>
        <v>0</v>
      </c>
    </row>
    <row r="122" spans="1:8" hidden="1">
      <c r="A122" s="3094"/>
      <c r="B122" s="3099">
        <v>2.08</v>
      </c>
      <c r="C122" s="3097" t="s">
        <v>38</v>
      </c>
      <c r="D122" s="3098" t="s">
        <v>16</v>
      </c>
      <c r="E122" s="3099">
        <f>E102</f>
        <v>575</v>
      </c>
      <c r="F122" s="3100" t="s">
        <v>38</v>
      </c>
      <c r="G122" s="3101">
        <f>ROUND(B122*E122,2)</f>
        <v>1196</v>
      </c>
    </row>
    <row r="123" spans="1:8" hidden="1">
      <c r="A123" s="3094"/>
      <c r="B123" s="3102">
        <f>'Input Data'!D23</f>
        <v>0</v>
      </c>
      <c r="C123" s="3097"/>
      <c r="D123" s="3103" t="s">
        <v>1538</v>
      </c>
      <c r="E123" s="3099"/>
      <c r="F123" s="3100"/>
      <c r="G123" s="3101">
        <f>(G121+G122)*B123</f>
        <v>0</v>
      </c>
    </row>
    <row r="124" spans="1:8" hidden="1">
      <c r="A124" s="3094"/>
      <c r="B124" s="3099"/>
      <c r="C124" s="3097"/>
      <c r="D124" s="3098"/>
      <c r="E124" s="3099"/>
      <c r="F124" s="3100"/>
      <c r="G124" s="3101">
        <f>SUM(G121:G123)</f>
        <v>1196</v>
      </c>
    </row>
    <row r="125" spans="1:8" hidden="1">
      <c r="A125" s="3094"/>
      <c r="B125" s="3090" t="s">
        <v>39</v>
      </c>
      <c r="C125" s="3095" t="s">
        <v>40</v>
      </c>
      <c r="D125" s="3103"/>
      <c r="E125" s="3097"/>
      <c r="F125" s="3098"/>
      <c r="G125" s="3104"/>
    </row>
    <row r="126" spans="1:8" hidden="1">
      <c r="A126" s="3094"/>
      <c r="B126" s="3105">
        <v>6</v>
      </c>
      <c r="C126" s="3106" t="s">
        <v>41</v>
      </c>
      <c r="D126" s="3107" t="s">
        <v>1539</v>
      </c>
      <c r="E126" s="3099">
        <f>'SSR-rates'!K62</f>
        <v>3164.8</v>
      </c>
      <c r="F126" s="3105" t="s">
        <v>41</v>
      </c>
      <c r="G126" s="3101">
        <f>ROUND(B126*E126,2)</f>
        <v>18988.8</v>
      </c>
    </row>
    <row r="127" spans="1:8" hidden="1">
      <c r="A127" s="3094"/>
      <c r="B127" s="3099"/>
      <c r="C127" s="3097"/>
      <c r="D127" s="3098"/>
      <c r="E127" s="3099"/>
      <c r="F127" s="3099"/>
      <c r="G127" s="3101">
        <f>SUM(G126:G126)</f>
        <v>18988.8</v>
      </c>
    </row>
    <row r="128" spans="1:8" hidden="1">
      <c r="A128" s="3094"/>
      <c r="B128" s="3090" t="s">
        <v>45</v>
      </c>
      <c r="C128" s="3109" t="s">
        <v>1189</v>
      </c>
      <c r="D128" s="3103"/>
      <c r="E128" s="3112"/>
      <c r="F128" s="3103"/>
      <c r="G128" s="3104"/>
    </row>
    <row r="129" spans="1:8" hidden="1">
      <c r="A129" s="3094"/>
      <c r="B129" s="3110">
        <f>'Input Data'!$D$24</f>
        <v>0.13614999999999999</v>
      </c>
      <c r="C129" s="3095" t="str">
        <f>"Over head charges &amp; CP "&amp;'Input Data'!$D$24*100&amp;"%  on (A) + (B)"</f>
        <v>Over head charges &amp; CP 13.615%  on (A) + (B)</v>
      </c>
      <c r="D129" s="3103"/>
      <c r="E129" s="3112">
        <f>G127+G124</f>
        <v>20184.8</v>
      </c>
      <c r="F129" s="3103"/>
      <c r="G129" s="3101">
        <f>E129*B129</f>
        <v>2748.1605199999999</v>
      </c>
    </row>
    <row r="130" spans="1:8" hidden="1">
      <c r="A130" s="3094"/>
      <c r="B130" s="3110">
        <f>'Input Data'!$E$24</f>
        <v>0.1</v>
      </c>
      <c r="C130" s="3111" t="s">
        <v>1220</v>
      </c>
      <c r="D130" s="3103"/>
      <c r="E130" s="3113">
        <f>E129+G129</f>
        <v>22932.960520000001</v>
      </c>
      <c r="F130" s="3103"/>
      <c r="G130" s="3101">
        <f>E130*B130</f>
        <v>2293.2960520000001</v>
      </c>
    </row>
    <row r="131" spans="1:8" hidden="1">
      <c r="A131" s="3094"/>
      <c r="B131" s="3090" t="s">
        <v>47</v>
      </c>
      <c r="C131" s="3095" t="s">
        <v>89</v>
      </c>
      <c r="D131" s="3103"/>
      <c r="E131" s="3097"/>
      <c r="F131" s="3098"/>
      <c r="G131" s="3114">
        <f>G124+G127+G129+G130</f>
        <v>25226.256572000002</v>
      </c>
    </row>
    <row r="132" spans="1:8" hidden="1">
      <c r="A132" s="3094"/>
      <c r="B132" s="3100"/>
      <c r="C132" s="3095" t="s">
        <v>1540</v>
      </c>
      <c r="D132" s="3098"/>
      <c r="E132" s="3097"/>
      <c r="F132" s="3098"/>
      <c r="G132" s="3114">
        <f>SUM(G131:G131)</f>
        <v>25226.256572000002</v>
      </c>
    </row>
    <row r="133" spans="1:8" hidden="1">
      <c r="A133" s="3094"/>
      <c r="B133" s="3100"/>
      <c r="C133" s="3098" t="s">
        <v>216</v>
      </c>
      <c r="D133" s="3098"/>
      <c r="E133" s="3097"/>
      <c r="F133" s="3098"/>
      <c r="G133" s="3101">
        <f>G132/180</f>
        <v>140.14586984444446</v>
      </c>
    </row>
    <row r="134" spans="1:8" hidden="1">
      <c r="A134" s="3094"/>
      <c r="B134" s="3099"/>
      <c r="C134" s="4011" t="s">
        <v>217</v>
      </c>
      <c r="D134" s="4011"/>
      <c r="E134" s="3101"/>
      <c r="F134" s="3112"/>
      <c r="G134" s="3143">
        <f>ROUND(G133,2)</f>
        <v>140.15</v>
      </c>
      <c r="H134" s="3088" t="s">
        <v>907</v>
      </c>
    </row>
    <row r="135" spans="1:8" hidden="1">
      <c r="A135" s="3094"/>
      <c r="B135" s="3099"/>
      <c r="C135" s="3112"/>
      <c r="D135" s="3144"/>
      <c r="E135" s="3101"/>
      <c r="F135" s="3112"/>
      <c r="G135" s="3115" t="s">
        <v>53</v>
      </c>
    </row>
    <row r="136" spans="1:8" hidden="1">
      <c r="A136" s="3094"/>
      <c r="B136" s="3099"/>
      <c r="C136" s="3112"/>
      <c r="D136" s="3144"/>
      <c r="E136" s="3101"/>
      <c r="F136" s="3112"/>
      <c r="G136" s="3115"/>
    </row>
    <row r="137" spans="1:8" ht="90" hidden="1" customHeight="1">
      <c r="A137" s="3145">
        <v>2</v>
      </c>
      <c r="B137" s="4006" t="s">
        <v>1541</v>
      </c>
      <c r="C137" s="4006"/>
      <c r="D137" s="4006"/>
      <c r="E137" s="4006"/>
      <c r="F137" s="4006"/>
      <c r="G137" s="4006"/>
    </row>
    <row r="138" spans="1:8" hidden="1">
      <c r="A138" s="3094"/>
      <c r="B138" s="4010" t="s">
        <v>33</v>
      </c>
      <c r="C138" s="4010"/>
      <c r="D138" s="3095" t="s">
        <v>206</v>
      </c>
      <c r="E138" s="3091"/>
      <c r="F138" s="3092"/>
      <c r="G138" s="3140"/>
    </row>
    <row r="139" spans="1:8" hidden="1">
      <c r="A139" s="3094"/>
      <c r="B139" s="4010" t="s">
        <v>205</v>
      </c>
      <c r="C139" s="4010"/>
      <c r="D139" s="4010"/>
      <c r="E139" s="3091"/>
      <c r="F139" s="3092"/>
      <c r="G139" s="3140"/>
    </row>
    <row r="140" spans="1:8" hidden="1">
      <c r="A140" s="3094"/>
      <c r="B140" s="3090" t="s">
        <v>36</v>
      </c>
      <c r="C140" s="3095" t="s">
        <v>37</v>
      </c>
      <c r="D140" s="3090"/>
      <c r="E140" s="3091"/>
      <c r="F140" s="3092"/>
      <c r="G140" s="3140"/>
    </row>
    <row r="141" spans="1:8" hidden="1">
      <c r="A141" s="3094"/>
      <c r="B141" s="3099">
        <v>0.02</v>
      </c>
      <c r="C141" s="3097" t="s">
        <v>38</v>
      </c>
      <c r="D141" s="3098" t="s">
        <v>14</v>
      </c>
      <c r="E141" s="3099">
        <f>'SSR-rates'!$K$58</f>
        <v>575</v>
      </c>
      <c r="F141" s="3100" t="s">
        <v>38</v>
      </c>
      <c r="G141" s="3101">
        <f>ROUND(B141*E141,2)</f>
        <v>11.5</v>
      </c>
    </row>
    <row r="142" spans="1:8" hidden="1">
      <c r="A142" s="3094"/>
      <c r="B142" s="3099">
        <v>0.5</v>
      </c>
      <c r="C142" s="3097" t="s">
        <v>38</v>
      </c>
      <c r="D142" s="3098" t="s">
        <v>16</v>
      </c>
      <c r="E142" s="3099">
        <f>'SSR-rates'!$K$60</f>
        <v>575</v>
      </c>
      <c r="F142" s="3100" t="s">
        <v>38</v>
      </c>
      <c r="G142" s="3101">
        <f>ROUND(B142*E142,2)</f>
        <v>287.5</v>
      </c>
    </row>
    <row r="143" spans="1:8" hidden="1">
      <c r="A143" s="3094"/>
      <c r="B143" s="3102">
        <f>'Input Data'!$D$23</f>
        <v>0</v>
      </c>
      <c r="C143" s="3097"/>
      <c r="D143" s="3103" t="s">
        <v>17</v>
      </c>
      <c r="E143" s="3099"/>
      <c r="F143" s="3100"/>
      <c r="G143" s="3101">
        <f>(G141+G142)*B143</f>
        <v>0</v>
      </c>
    </row>
    <row r="144" spans="1:8" hidden="1">
      <c r="A144" s="3094"/>
      <c r="B144" s="3099"/>
      <c r="C144" s="3097"/>
      <c r="D144" s="3098"/>
      <c r="E144" s="3099"/>
      <c r="F144" s="3100"/>
      <c r="G144" s="3101">
        <f>SUM(G141:G143)</f>
        <v>299</v>
      </c>
    </row>
    <row r="145" spans="1:8" hidden="1">
      <c r="A145" s="3094"/>
      <c r="B145" s="3090" t="s">
        <v>39</v>
      </c>
      <c r="C145" s="3095" t="s">
        <v>40</v>
      </c>
      <c r="D145" s="3103"/>
      <c r="E145" s="3097"/>
      <c r="F145" s="3098"/>
      <c r="G145" s="3104"/>
    </row>
    <row r="146" spans="1:8" hidden="1">
      <c r="A146" s="3094"/>
      <c r="B146" s="3105">
        <v>0.5</v>
      </c>
      <c r="C146" s="3106" t="s">
        <v>41</v>
      </c>
      <c r="D146" s="3107" t="s">
        <v>211</v>
      </c>
      <c r="E146" s="3099">
        <f>+'SSR-rates'!K62</f>
        <v>3164.8</v>
      </c>
      <c r="F146" s="3105" t="s">
        <v>41</v>
      </c>
      <c r="G146" s="3101">
        <f>ROUND(B146*E146,2)</f>
        <v>1582.4</v>
      </c>
    </row>
    <row r="147" spans="1:8" hidden="1">
      <c r="A147" s="3094"/>
      <c r="B147" s="3105">
        <v>4</v>
      </c>
      <c r="C147" s="3106" t="s">
        <v>41</v>
      </c>
      <c r="D147" s="3107" t="s">
        <v>1542</v>
      </c>
      <c r="E147" s="3105">
        <f>+'SSR-rates'!K71</f>
        <v>520</v>
      </c>
      <c r="F147" s="3105" t="s">
        <v>41</v>
      </c>
      <c r="G147" s="3101">
        <f>ROUND(B147*E147,2)</f>
        <v>2080</v>
      </c>
    </row>
    <row r="148" spans="1:8" hidden="1">
      <c r="A148" s="3094"/>
      <c r="B148" s="3099">
        <v>4</v>
      </c>
      <c r="C148" s="3097" t="s">
        <v>41</v>
      </c>
      <c r="D148" s="3098" t="s">
        <v>213</v>
      </c>
      <c r="E148" s="3099">
        <f>'SSR-rates'!$K$69</f>
        <v>769</v>
      </c>
      <c r="F148" s="3099" t="s">
        <v>41</v>
      </c>
      <c r="G148" s="3101">
        <f>ROUND(B148*E148,2)</f>
        <v>3076</v>
      </c>
    </row>
    <row r="149" spans="1:8" hidden="1">
      <c r="A149" s="3094"/>
      <c r="B149" s="3099">
        <v>1</v>
      </c>
      <c r="C149" s="3097" t="s">
        <v>41</v>
      </c>
      <c r="D149" s="3098" t="s">
        <v>214</v>
      </c>
      <c r="E149" s="3099">
        <f>'SSR-rates'!$K$67</f>
        <v>3517.9</v>
      </c>
      <c r="F149" s="3099" t="s">
        <v>41</v>
      </c>
      <c r="G149" s="3101">
        <f>ROUND(B149*E149,2)</f>
        <v>3517.9</v>
      </c>
    </row>
    <row r="150" spans="1:8" hidden="1">
      <c r="A150" s="3094"/>
      <c r="B150" s="3099"/>
      <c r="C150" s="3097"/>
      <c r="D150" s="3098"/>
      <c r="E150" s="3099"/>
      <c r="F150" s="3099"/>
      <c r="G150" s="3101">
        <f>SUM(G146:G149)</f>
        <v>10256.299999999999</v>
      </c>
    </row>
    <row r="151" spans="1:8" hidden="1">
      <c r="A151" s="3094"/>
      <c r="B151" s="3090" t="s">
        <v>27</v>
      </c>
      <c r="C151" s="3095" t="s">
        <v>1543</v>
      </c>
      <c r="D151" s="3103"/>
      <c r="E151" s="3099"/>
      <c r="F151" s="3099"/>
      <c r="G151" s="3101"/>
    </row>
    <row r="152" spans="1:8" hidden="1">
      <c r="A152" s="3094"/>
      <c r="B152" s="3105">
        <v>24</v>
      </c>
      <c r="C152" s="3106" t="s">
        <v>1544</v>
      </c>
      <c r="D152" s="3107" t="s">
        <v>1545</v>
      </c>
      <c r="E152" s="3105">
        <f>IF(lead!$C$63="Y",'SSR-rates'!$K$112,0)</f>
        <v>0</v>
      </c>
      <c r="F152" s="3105" t="s">
        <v>41</v>
      </c>
      <c r="G152" s="3101">
        <f>ROUND(B152*E152,2)</f>
        <v>0</v>
      </c>
    </row>
    <row r="153" spans="1:8" hidden="1">
      <c r="A153" s="3094"/>
      <c r="B153" s="3090" t="s">
        <v>45</v>
      </c>
      <c r="C153" s="3109" t="s">
        <v>1189</v>
      </c>
      <c r="D153" s="3103"/>
      <c r="E153" s="3112"/>
      <c r="F153" s="3103"/>
      <c r="G153" s="3104"/>
    </row>
    <row r="154" spans="1:8" hidden="1">
      <c r="A154" s="3094"/>
      <c r="B154" s="3110">
        <f>'Input Data'!$D$24</f>
        <v>0.13614999999999999</v>
      </c>
      <c r="C154" s="3095" t="str">
        <f>"Over head charges &amp; CP "&amp;'Input Data'!$D$24*100&amp;"%  on (A) + (B)"</f>
        <v>Over head charges &amp; CP 13.615%  on (A) + (B)</v>
      </c>
      <c r="D154" s="3103"/>
      <c r="E154" s="3112">
        <f>G150+G144+G152</f>
        <v>10555.3</v>
      </c>
      <c r="F154" s="3103"/>
      <c r="G154" s="3101">
        <f>E154*B154</f>
        <v>1437.1040949999999</v>
      </c>
    </row>
    <row r="155" spans="1:8" hidden="1">
      <c r="A155" s="3094"/>
      <c r="B155" s="3146">
        <f>'Input Data'!$E$24</f>
        <v>0.1</v>
      </c>
      <c r="C155" s="3111" t="s">
        <v>1220</v>
      </c>
      <c r="D155" s="3103"/>
      <c r="E155" s="3113">
        <f>E154+G154</f>
        <v>11992.404095</v>
      </c>
      <c r="F155" s="3103"/>
      <c r="G155" s="3101">
        <f>E155*B155</f>
        <v>1199.2404094999999</v>
      </c>
    </row>
    <row r="156" spans="1:8" hidden="1">
      <c r="A156" s="3094"/>
      <c r="B156" s="3090" t="s">
        <v>47</v>
      </c>
      <c r="C156" s="3095" t="s">
        <v>89</v>
      </c>
      <c r="D156" s="3103"/>
      <c r="E156" s="3097"/>
      <c r="F156" s="3098"/>
      <c r="G156" s="3114">
        <f>G144+G150+G154+G152+G155</f>
        <v>13191.6445045</v>
      </c>
    </row>
    <row r="157" spans="1:8" hidden="1">
      <c r="A157" s="3094"/>
      <c r="B157" s="3100"/>
      <c r="C157" s="3095" t="s">
        <v>1540</v>
      </c>
      <c r="D157" s="3098"/>
      <c r="E157" s="3097"/>
      <c r="F157" s="3098"/>
      <c r="G157" s="3114">
        <f>SUM(G156:G156)</f>
        <v>13191.6445045</v>
      </c>
    </row>
    <row r="158" spans="1:8" hidden="1">
      <c r="A158" s="3094"/>
      <c r="B158" s="3100"/>
      <c r="C158" s="3098" t="s">
        <v>216</v>
      </c>
      <c r="D158" s="3098"/>
      <c r="E158" s="3097"/>
      <c r="F158" s="3098"/>
      <c r="G158" s="3101">
        <f>G157/100</f>
        <v>131.91644504499999</v>
      </c>
    </row>
    <row r="159" spans="1:8" hidden="1">
      <c r="A159" s="3094"/>
      <c r="B159" s="3099"/>
      <c r="C159" s="4011" t="s">
        <v>217</v>
      </c>
      <c r="D159" s="4011"/>
      <c r="E159" s="3101"/>
      <c r="F159" s="3112"/>
      <c r="G159" s="3143">
        <f>ROUND(G158,2)</f>
        <v>131.91999999999999</v>
      </c>
      <c r="H159" s="3088" t="s">
        <v>907</v>
      </c>
    </row>
    <row r="160" spans="1:8" hidden="1">
      <c r="A160" s="3094"/>
      <c r="B160" s="3099"/>
      <c r="C160" s="3112"/>
      <c r="D160" s="3144"/>
      <c r="E160" s="3101"/>
      <c r="F160" s="3112"/>
      <c r="G160" s="3115" t="s">
        <v>53</v>
      </c>
    </row>
    <row r="161" spans="1:7" ht="114.9" customHeight="1">
      <c r="A161" s="3094">
        <v>3</v>
      </c>
      <c r="B161" s="4006" t="s">
        <v>1546</v>
      </c>
      <c r="C161" s="4006"/>
      <c r="D161" s="4006"/>
      <c r="E161" s="4006"/>
      <c r="F161" s="4006"/>
      <c r="G161" s="4006"/>
    </row>
    <row r="162" spans="1:7">
      <c r="A162" s="3094"/>
      <c r="B162" s="4010" t="s">
        <v>33</v>
      </c>
      <c r="C162" s="4010"/>
      <c r="D162" s="3095" t="s">
        <v>1547</v>
      </c>
      <c r="E162" s="3091"/>
      <c r="F162" s="3092"/>
      <c r="G162" s="3140"/>
    </row>
    <row r="163" spans="1:7">
      <c r="A163" s="3094"/>
      <c r="B163" s="4010" t="s">
        <v>205</v>
      </c>
      <c r="C163" s="4010"/>
      <c r="D163" s="4010"/>
      <c r="E163" s="3091"/>
      <c r="F163" s="3092"/>
      <c r="G163" s="3140"/>
    </row>
    <row r="164" spans="1:7">
      <c r="A164" s="3094"/>
      <c r="B164" s="3090" t="s">
        <v>36</v>
      </c>
      <c r="C164" s="3095" t="s">
        <v>37</v>
      </c>
      <c r="D164" s="3090"/>
      <c r="E164" s="3091"/>
      <c r="F164" s="3092"/>
      <c r="G164" s="3140"/>
    </row>
    <row r="165" spans="1:7">
      <c r="A165" s="3094"/>
      <c r="B165" s="3099">
        <v>0.04</v>
      </c>
      <c r="C165" s="3097" t="s">
        <v>38</v>
      </c>
      <c r="D165" s="3098" t="s">
        <v>14</v>
      </c>
      <c r="E165" s="3099">
        <f>'SSR-rates'!$K$58</f>
        <v>575</v>
      </c>
      <c r="F165" s="3100" t="s">
        <v>38</v>
      </c>
      <c r="G165" s="3101">
        <f>ROUND(B165*E165,2)</f>
        <v>23</v>
      </c>
    </row>
    <row r="166" spans="1:7">
      <c r="A166" s="3094"/>
      <c r="B166" s="3099">
        <v>1</v>
      </c>
      <c r="C166" s="3097" t="s">
        <v>38</v>
      </c>
      <c r="D166" s="3098" t="s">
        <v>16</v>
      </c>
      <c r="E166" s="3099">
        <f>'SSR-rates'!$K$60</f>
        <v>575</v>
      </c>
      <c r="F166" s="3100" t="s">
        <v>38</v>
      </c>
      <c r="G166" s="3101">
        <f>ROUND(B166*E166,2)</f>
        <v>575</v>
      </c>
    </row>
    <row r="167" spans="1:7">
      <c r="A167" s="3094"/>
      <c r="B167" s="3102">
        <f>'Input Data'!D23</f>
        <v>0</v>
      </c>
      <c r="C167" s="3097"/>
      <c r="D167" s="3103" t="s">
        <v>17</v>
      </c>
      <c r="E167" s="3099"/>
      <c r="F167" s="3100"/>
      <c r="G167" s="3101">
        <f>(G165+G166)*B167</f>
        <v>0</v>
      </c>
    </row>
    <row r="168" spans="1:7">
      <c r="A168" s="3094"/>
      <c r="B168" s="3099"/>
      <c r="C168" s="3097"/>
      <c r="D168" s="3098"/>
      <c r="E168" s="3099"/>
      <c r="F168" s="3100"/>
      <c r="G168" s="3114">
        <f>SUM(G165:G167)</f>
        <v>598</v>
      </c>
    </row>
    <row r="169" spans="1:7">
      <c r="A169" s="3094"/>
      <c r="B169" s="3090" t="s">
        <v>39</v>
      </c>
      <c r="C169" s="3095" t="s">
        <v>40</v>
      </c>
      <c r="D169" s="3103"/>
      <c r="E169" s="3097"/>
      <c r="F169" s="3098"/>
      <c r="G169" s="3104"/>
    </row>
    <row r="170" spans="1:7" ht="28.8">
      <c r="A170" s="3094"/>
      <c r="B170" s="3105">
        <v>1.67</v>
      </c>
      <c r="C170" s="3106" t="s">
        <v>41</v>
      </c>
      <c r="D170" s="3107" t="s">
        <v>42</v>
      </c>
      <c r="E170" s="3105">
        <f>'SSR-rates'!$K$64</f>
        <v>3557.7</v>
      </c>
      <c r="F170" s="3105" t="s">
        <v>41</v>
      </c>
      <c r="G170" s="3101">
        <f>B170*E170</f>
        <v>5941.3589999999995</v>
      </c>
    </row>
    <row r="171" spans="1:7">
      <c r="A171" s="3094"/>
      <c r="B171" s="3099">
        <f>'Input Data'!E18*160</f>
        <v>800</v>
      </c>
      <c r="C171" s="3097" t="s">
        <v>207</v>
      </c>
      <c r="D171" s="3098" t="str">
        <f>"Tipper (for "&amp;'Input Data'!E18&amp;"Kms=160x"&amp;'Input Data'!E18&amp;"="&amp;'Input Data'!E18*160&amp;")"</f>
        <v>Tipper (for 5Kms=160x5=800)</v>
      </c>
      <c r="E171" s="3099">
        <f>G205</f>
        <v>8</v>
      </c>
      <c r="F171" s="3099" t="s">
        <v>207</v>
      </c>
      <c r="G171" s="3101">
        <f>ROUND(B171*E171,2)</f>
        <v>6400</v>
      </c>
    </row>
    <row r="172" spans="1:7" ht="28.8">
      <c r="A172" s="3094"/>
      <c r="B172" s="3099"/>
      <c r="C172" s="3097"/>
      <c r="D172" s="3107" t="s">
        <v>210</v>
      </c>
      <c r="E172" s="3105"/>
      <c r="F172" s="3099"/>
      <c r="G172" s="3101">
        <f>ROUND(G171*10/100,2)</f>
        <v>640</v>
      </c>
    </row>
    <row r="173" spans="1:7">
      <c r="A173" s="3094"/>
      <c r="B173" s="3105">
        <v>0.5</v>
      </c>
      <c r="C173" s="3106" t="s">
        <v>41</v>
      </c>
      <c r="D173" s="3107" t="s">
        <v>211</v>
      </c>
      <c r="E173" s="3105">
        <f>'SSR-rates'!$K$62</f>
        <v>3164.8</v>
      </c>
      <c r="F173" s="3105" t="s">
        <v>41</v>
      </c>
      <c r="G173" s="3101">
        <f>ROUND(B173*E173,2)</f>
        <v>1582.4</v>
      </c>
    </row>
    <row r="174" spans="1:7">
      <c r="A174" s="3094"/>
      <c r="B174" s="3105">
        <v>4</v>
      </c>
      <c r="C174" s="3106" t="s">
        <v>41</v>
      </c>
      <c r="D174" s="3107" t="s">
        <v>1542</v>
      </c>
      <c r="E174" s="3105">
        <f>+'SSR-rates'!K71</f>
        <v>520</v>
      </c>
      <c r="F174" s="3105" t="s">
        <v>41</v>
      </c>
      <c r="G174" s="3101">
        <f>ROUND(B174*E174,2)</f>
        <v>2080</v>
      </c>
    </row>
    <row r="175" spans="1:7">
      <c r="A175" s="3094"/>
      <c r="B175" s="3099">
        <v>4</v>
      </c>
      <c r="C175" s="3097" t="s">
        <v>41</v>
      </c>
      <c r="D175" s="3098" t="s">
        <v>213</v>
      </c>
      <c r="E175" s="3099">
        <f>'SSR-rates'!$K$69</f>
        <v>769</v>
      </c>
      <c r="F175" s="3099" t="s">
        <v>41</v>
      </c>
      <c r="G175" s="3101">
        <f>ROUND(B175*E175,2)</f>
        <v>3076</v>
      </c>
    </row>
    <row r="176" spans="1:7">
      <c r="A176" s="3094"/>
      <c r="B176" s="3099">
        <v>1</v>
      </c>
      <c r="C176" s="3097" t="s">
        <v>41</v>
      </c>
      <c r="D176" s="3098" t="s">
        <v>214</v>
      </c>
      <c r="E176" s="3099">
        <f>'SSR-rates'!$K$67</f>
        <v>3517.9</v>
      </c>
      <c r="F176" s="3099" t="s">
        <v>41</v>
      </c>
      <c r="G176" s="3101">
        <f>ROUND(B176*E176,2)</f>
        <v>3517.9</v>
      </c>
    </row>
    <row r="177" spans="1:8">
      <c r="A177" s="3094"/>
      <c r="B177" s="3100"/>
      <c r="C177" s="3103"/>
      <c r="D177" s="3098"/>
      <c r="E177" s="3099"/>
      <c r="F177" s="3099"/>
      <c r="G177" s="3114">
        <f>SUM(G170:G176)</f>
        <v>23237.659</v>
      </c>
    </row>
    <row r="178" spans="1:8">
      <c r="A178" s="3094"/>
      <c r="B178" s="3090" t="s">
        <v>27</v>
      </c>
      <c r="C178" s="3095" t="s">
        <v>61</v>
      </c>
      <c r="D178" s="3103"/>
      <c r="E178" s="3097"/>
      <c r="F178" s="3098"/>
      <c r="G178" s="3104"/>
    </row>
    <row r="179" spans="1:8">
      <c r="A179" s="3094"/>
      <c r="B179" s="3105">
        <v>24</v>
      </c>
      <c r="C179" s="3106" t="s">
        <v>1544</v>
      </c>
      <c r="D179" s="3107" t="s">
        <v>1545</v>
      </c>
      <c r="E179" s="3105">
        <f>IF(lead!$C$63="Y",'SSR-rates'!$K$112,0)</f>
        <v>0</v>
      </c>
      <c r="F179" s="3105" t="s">
        <v>41</v>
      </c>
      <c r="G179" s="3101">
        <f>ROUND(B179*E179,2)</f>
        <v>0</v>
      </c>
    </row>
    <row r="180" spans="1:8">
      <c r="A180" s="3094"/>
      <c r="B180" s="3105">
        <v>100</v>
      </c>
      <c r="C180" s="3106" t="s">
        <v>73</v>
      </c>
      <c r="D180" s="3107" t="s">
        <v>1548</v>
      </c>
      <c r="E180" s="3105">
        <v>0</v>
      </c>
      <c r="F180" s="3105" t="s">
        <v>41</v>
      </c>
      <c r="G180" s="3101">
        <f>ROUND(B180*E180,2)</f>
        <v>0</v>
      </c>
    </row>
    <row r="181" spans="1:8">
      <c r="A181" s="3094"/>
      <c r="B181" s="3105"/>
      <c r="C181" s="3106"/>
      <c r="D181" s="3107"/>
      <c r="E181" s="3105"/>
      <c r="F181" s="3105"/>
      <c r="G181" s="3101">
        <f>SUM(G179:G180)</f>
        <v>0</v>
      </c>
    </row>
    <row r="182" spans="1:8">
      <c r="A182" s="3094"/>
      <c r="B182" s="3090" t="s">
        <v>27</v>
      </c>
      <c r="C182" s="3109" t="s">
        <v>1189</v>
      </c>
      <c r="D182" s="3103"/>
      <c r="E182" s="3112"/>
      <c r="F182" s="3103"/>
      <c r="G182" s="3104"/>
    </row>
    <row r="183" spans="1:8">
      <c r="A183" s="3094"/>
      <c r="B183" s="3110">
        <f>'Input Data'!$D$24</f>
        <v>0.13614999999999999</v>
      </c>
      <c r="C183" s="3095" t="str">
        <f>"Over head charges &amp; CP "&amp;'Input Data'!$D$24*100&amp;"%  on (A) + (B)"</f>
        <v>Over head charges &amp; CP 13.615%  on (A) + (B)</v>
      </c>
      <c r="D183" s="3103"/>
      <c r="E183" s="3112">
        <f>G177+G168+G181</f>
        <v>23835.659</v>
      </c>
      <c r="F183" s="3103"/>
      <c r="G183" s="3114">
        <f>B183*E183</f>
        <v>3245.2249728499996</v>
      </c>
    </row>
    <row r="184" spans="1:8">
      <c r="A184" s="3094"/>
      <c r="B184" s="3146">
        <f>'Input Data'!$E$24</f>
        <v>0.1</v>
      </c>
      <c r="C184" s="3111" t="s">
        <v>1220</v>
      </c>
      <c r="D184" s="3103"/>
      <c r="E184" s="3113">
        <f>E183+G183</f>
        <v>27080.883972849999</v>
      </c>
      <c r="F184" s="3103"/>
      <c r="G184" s="3101">
        <f>E184*B184</f>
        <v>2708.0883972850002</v>
      </c>
    </row>
    <row r="185" spans="1:8">
      <c r="A185" s="3094"/>
      <c r="B185" s="3090" t="s">
        <v>45</v>
      </c>
      <c r="C185" s="3095" t="s">
        <v>46</v>
      </c>
      <c r="D185" s="3103"/>
      <c r="E185" s="3097"/>
      <c r="F185" s="3098"/>
      <c r="G185" s="3114">
        <f>G168+G177+G183+G181+G184</f>
        <v>29788.972370134998</v>
      </c>
    </row>
    <row r="186" spans="1:8">
      <c r="A186" s="3094"/>
      <c r="B186" s="3100"/>
      <c r="C186" s="3095" t="s">
        <v>1549</v>
      </c>
      <c r="D186" s="3098"/>
      <c r="E186" s="3097"/>
      <c r="F186" s="3098"/>
      <c r="G186" s="3114">
        <f>SUM(G185:G185)</f>
        <v>29788.972370134998</v>
      </c>
    </row>
    <row r="187" spans="1:8">
      <c r="A187" s="3094"/>
      <c r="B187" s="3100"/>
      <c r="C187" s="3098" t="s">
        <v>216</v>
      </c>
      <c r="D187" s="3098"/>
      <c r="E187" s="3097"/>
      <c r="F187" s="3098"/>
      <c r="G187" s="3101">
        <f>G186/100</f>
        <v>297.88972370134996</v>
      </c>
    </row>
    <row r="188" spans="1:8">
      <c r="A188" s="3094"/>
      <c r="B188" s="3099"/>
      <c r="C188" s="3112"/>
      <c r="D188" s="3142" t="s">
        <v>217</v>
      </c>
      <c r="E188" s="3101"/>
      <c r="F188" s="3112"/>
      <c r="G188" s="3143">
        <f>ROUND(G187,2)</f>
        <v>297.89</v>
      </c>
      <c r="H188" s="3088" t="s">
        <v>907</v>
      </c>
    </row>
    <row r="189" spans="1:8">
      <c r="A189" s="3094"/>
      <c r="B189" s="3099"/>
      <c r="C189" s="3112"/>
      <c r="D189" s="3144"/>
      <c r="E189" s="3101"/>
      <c r="F189" s="3112"/>
      <c r="G189" s="3115" t="s">
        <v>53</v>
      </c>
    </row>
    <row r="190" spans="1:8" s="3147" customFormat="1">
      <c r="A190" s="3094"/>
      <c r="B190" s="3099"/>
      <c r="C190" s="3112"/>
      <c r="D190" s="3144"/>
      <c r="E190" s="3101"/>
      <c r="F190" s="3112"/>
      <c r="G190" s="3115"/>
    </row>
    <row r="191" spans="1:8" s="3147" customFormat="1" hidden="1">
      <c r="A191" s="3094"/>
      <c r="B191" s="3099"/>
      <c r="C191" s="3112"/>
      <c r="D191" s="3144"/>
      <c r="E191" s="3101"/>
      <c r="F191" s="3112"/>
      <c r="G191" s="3115"/>
    </row>
    <row r="192" spans="1:8" hidden="1">
      <c r="A192" s="3090"/>
      <c r="B192" s="3098" t="s">
        <v>1550</v>
      </c>
      <c r="C192" s="3103"/>
      <c r="D192" s="3103"/>
      <c r="E192" s="3112"/>
      <c r="F192" s="3103"/>
      <c r="G192" s="3148"/>
    </row>
    <row r="193" spans="1:8" hidden="1">
      <c r="A193" s="3149"/>
      <c r="B193" s="3149" t="s">
        <v>1551</v>
      </c>
      <c r="C193" s="3149"/>
      <c r="D193" s="3149"/>
      <c r="E193" s="3149"/>
      <c r="F193" s="3149"/>
      <c r="G193" s="3149"/>
    </row>
    <row r="194" spans="1:8" hidden="1">
      <c r="A194" s="3149"/>
      <c r="B194" s="4012" t="s">
        <v>1552</v>
      </c>
      <c r="C194" s="4012"/>
      <c r="D194" s="4012"/>
      <c r="E194" s="4012"/>
      <c r="F194" s="4012"/>
      <c r="G194" s="4012"/>
    </row>
    <row r="195" spans="1:8" hidden="1">
      <c r="A195" s="3149"/>
      <c r="B195" s="3149" t="s">
        <v>1553</v>
      </c>
      <c r="C195" s="3149"/>
      <c r="D195" s="3107" t="s">
        <v>1554</v>
      </c>
      <c r="E195" s="3149"/>
      <c r="F195" s="3149"/>
      <c r="G195" s="3149"/>
    </row>
    <row r="196" spans="1:8" ht="28.8" hidden="1">
      <c r="A196" s="3149"/>
      <c r="B196" s="3149"/>
      <c r="C196" s="3149"/>
      <c r="D196" s="3107" t="s">
        <v>1555</v>
      </c>
      <c r="E196" s="3149"/>
      <c r="F196" s="3149"/>
      <c r="G196" s="3149"/>
    </row>
    <row r="197" spans="1:8" hidden="1">
      <c r="A197" s="3150"/>
      <c r="B197" s="3150" t="s">
        <v>1556</v>
      </c>
      <c r="C197" s="3150"/>
      <c r="D197" s="3107"/>
      <c r="E197" s="3150"/>
      <c r="F197" s="3150"/>
      <c r="G197" s="3150"/>
    </row>
    <row r="198" spans="1:8" hidden="1">
      <c r="A198" s="3149"/>
      <c r="B198" s="3149"/>
      <c r="C198" s="3149"/>
      <c r="D198" s="3107" t="s">
        <v>1557</v>
      </c>
      <c r="E198" s="3149"/>
      <c r="F198" s="3149"/>
      <c r="G198" s="3149"/>
    </row>
    <row r="199" spans="1:8" hidden="1">
      <c r="A199" s="3149"/>
      <c r="B199" s="3149"/>
      <c r="C199" s="3149"/>
      <c r="D199" s="3107" t="s">
        <v>1558</v>
      </c>
      <c r="E199" s="3149"/>
      <c r="F199" s="3149"/>
      <c r="G199" s="3149"/>
    </row>
    <row r="200" spans="1:8" hidden="1">
      <c r="A200" s="3149"/>
      <c r="B200" s="3149" t="s">
        <v>1559</v>
      </c>
      <c r="C200" s="3149"/>
      <c r="D200" s="3107"/>
      <c r="E200" s="3149"/>
      <c r="F200" s="3149"/>
      <c r="G200" s="3149"/>
    </row>
    <row r="201" spans="1:8" hidden="1">
      <c r="A201" s="3149"/>
      <c r="B201" s="3149"/>
      <c r="C201" s="3149" t="s">
        <v>1560</v>
      </c>
      <c r="D201" s="3107"/>
      <c r="E201" s="3149"/>
      <c r="F201" s="3149"/>
      <c r="G201" s="3149"/>
    </row>
    <row r="202" spans="1:8" hidden="1">
      <c r="A202" s="3149"/>
      <c r="B202" s="3149">
        <v>0.4</v>
      </c>
      <c r="C202" s="3149" t="s">
        <v>1561</v>
      </c>
      <c r="D202" s="3107" t="s">
        <v>1562</v>
      </c>
      <c r="E202" s="3151">
        <f>'SSR-rates'!K90</f>
        <v>1234.7</v>
      </c>
      <c r="F202" s="3149" t="s">
        <v>23</v>
      </c>
      <c r="G202" s="3149">
        <f>ROUND(B202*E202,2)</f>
        <v>493.88</v>
      </c>
    </row>
    <row r="203" spans="1:8" hidden="1">
      <c r="A203" s="3149"/>
      <c r="B203" s="3149">
        <v>0.28999999999999998</v>
      </c>
      <c r="C203" s="3149" t="s">
        <v>1561</v>
      </c>
      <c r="D203" s="3107" t="s">
        <v>1563</v>
      </c>
      <c r="E203" s="3151">
        <f>'SSR-rates'!K90</f>
        <v>1234.7</v>
      </c>
      <c r="F203" s="3149" t="s">
        <v>23</v>
      </c>
      <c r="G203" s="3149">
        <f>ROUND(B203*E203,2)</f>
        <v>358.06</v>
      </c>
    </row>
    <row r="204" spans="1:8" hidden="1">
      <c r="A204" s="3149"/>
      <c r="B204" s="3149"/>
      <c r="C204" s="3149"/>
      <c r="D204" s="3107" t="s">
        <v>1564</v>
      </c>
      <c r="E204" s="3149"/>
      <c r="F204" s="3149"/>
      <c r="G204" s="3149">
        <f>SUM(G202:G203)</f>
        <v>851.94</v>
      </c>
    </row>
    <row r="205" spans="1:8" hidden="1">
      <c r="A205" s="3149"/>
      <c r="B205" s="3149"/>
      <c r="C205" s="3149"/>
      <c r="D205" s="3107" t="s">
        <v>1565</v>
      </c>
      <c r="E205" s="3149"/>
      <c r="F205" s="3150" t="s">
        <v>429</v>
      </c>
      <c r="G205" s="3152">
        <v>8</v>
      </c>
      <c r="H205" s="3153" t="s">
        <v>1566</v>
      </c>
    </row>
    <row r="206" spans="1:8" ht="54" hidden="1" customHeight="1">
      <c r="A206" s="3094">
        <v>7</v>
      </c>
      <c r="B206" s="4006" t="s">
        <v>1567</v>
      </c>
      <c r="C206" s="4006"/>
      <c r="D206" s="4006"/>
      <c r="E206" s="4006"/>
      <c r="F206" s="4006"/>
      <c r="G206" s="4006"/>
    </row>
    <row r="207" spans="1:8" hidden="1">
      <c r="A207" s="3094"/>
      <c r="B207" s="3099" t="s">
        <v>10</v>
      </c>
      <c r="C207" s="3103"/>
      <c r="D207" s="3095" t="s">
        <v>1568</v>
      </c>
      <c r="E207" s="3097"/>
      <c r="F207" s="3098"/>
      <c r="G207" s="3154"/>
    </row>
    <row r="208" spans="1:8" hidden="1">
      <c r="A208" s="3094"/>
      <c r="B208" s="3097" t="s">
        <v>1569</v>
      </c>
      <c r="C208" s="3103"/>
      <c r="D208" s="3098"/>
      <c r="E208" s="3097"/>
      <c r="F208" s="3098"/>
      <c r="G208" s="3154"/>
    </row>
    <row r="209" spans="1:9" hidden="1">
      <c r="A209" s="3094"/>
      <c r="B209" s="3090" t="s">
        <v>36</v>
      </c>
      <c r="C209" s="3095" t="s">
        <v>37</v>
      </c>
      <c r="D209" s="3090"/>
      <c r="E209" s="3091"/>
      <c r="F209" s="3092"/>
      <c r="G209" s="3155"/>
    </row>
    <row r="210" spans="1:9" s="3156" customFormat="1" hidden="1">
      <c r="A210" s="3094"/>
      <c r="B210" s="3099">
        <v>0.12</v>
      </c>
      <c r="C210" s="3097" t="s">
        <v>38</v>
      </c>
      <c r="D210" s="3098" t="s">
        <v>14</v>
      </c>
      <c r="E210" s="3099">
        <f>'SSR-rates'!$K$58</f>
        <v>575</v>
      </c>
      <c r="F210" s="3100" t="s">
        <v>38</v>
      </c>
      <c r="G210" s="3101">
        <f>ROUND(B210*E210,2)</f>
        <v>69</v>
      </c>
    </row>
    <row r="211" spans="1:9" s="3156" customFormat="1" hidden="1">
      <c r="A211" s="3094"/>
      <c r="B211" s="3099">
        <v>3</v>
      </c>
      <c r="C211" s="3097" t="s">
        <v>38</v>
      </c>
      <c r="D211" s="3098" t="s">
        <v>16</v>
      </c>
      <c r="E211" s="3099">
        <f>'SSR-rates'!$K$60</f>
        <v>575</v>
      </c>
      <c r="F211" s="3100" t="s">
        <v>38</v>
      </c>
      <c r="G211" s="3101">
        <f>ROUND(B211*E211,2)</f>
        <v>1725</v>
      </c>
    </row>
    <row r="212" spans="1:9" s="3156" customFormat="1" hidden="1">
      <c r="A212" s="3094"/>
      <c r="B212" s="3102">
        <f>'Input Data'!$D$23</f>
        <v>0</v>
      </c>
      <c r="C212" s="3097"/>
      <c r="D212" s="3103" t="s">
        <v>17</v>
      </c>
      <c r="E212" s="3099"/>
      <c r="F212" s="3100"/>
      <c r="G212" s="3101">
        <f>(G210+G211)*B212</f>
        <v>0</v>
      </c>
    </row>
    <row r="213" spans="1:9" s="3156" customFormat="1" hidden="1">
      <c r="A213" s="3094"/>
      <c r="B213" s="3100"/>
      <c r="C213" s="3098"/>
      <c r="D213" s="3098" t="s">
        <v>60</v>
      </c>
      <c r="E213" s="3097"/>
      <c r="F213" s="3098"/>
      <c r="G213" s="3114">
        <f>SUM(G210:G212)</f>
        <v>1794</v>
      </c>
    </row>
    <row r="214" spans="1:9" s="3156" customFormat="1" hidden="1">
      <c r="A214" s="3094"/>
      <c r="B214" s="3090" t="s">
        <v>39</v>
      </c>
      <c r="C214" s="3095" t="s">
        <v>40</v>
      </c>
      <c r="D214" s="3103"/>
      <c r="E214" s="3097"/>
      <c r="F214" s="3098"/>
      <c r="G214" s="3101"/>
    </row>
    <row r="215" spans="1:9" s="3156" customFormat="1" hidden="1">
      <c r="A215" s="3094"/>
      <c r="B215" s="3099">
        <v>9</v>
      </c>
      <c r="C215" s="3097" t="s">
        <v>41</v>
      </c>
      <c r="D215" s="3107" t="s">
        <v>1570</v>
      </c>
      <c r="E215" s="3105">
        <f>'SSR-rates'!K72</f>
        <v>625</v>
      </c>
      <c r="F215" s="3099" t="s">
        <v>41</v>
      </c>
      <c r="G215" s="3101">
        <f>ROUND(B215*E215,2)</f>
        <v>5625</v>
      </c>
    </row>
    <row r="216" spans="1:9" s="3156" customFormat="1" hidden="1">
      <c r="A216" s="3094"/>
      <c r="B216" s="3099">
        <v>24</v>
      </c>
      <c r="C216" s="3097" t="s">
        <v>41</v>
      </c>
      <c r="D216" s="3107" t="s">
        <v>1542</v>
      </c>
      <c r="E216" s="3099">
        <f>'SSR-rates'!$K$71</f>
        <v>520</v>
      </c>
      <c r="F216" s="3099" t="s">
        <v>41</v>
      </c>
      <c r="G216" s="3101">
        <f>ROUND(B216*E216,2)</f>
        <v>12480</v>
      </c>
      <c r="I216" s="3156">
        <f>600/25</f>
        <v>24</v>
      </c>
    </row>
    <row r="217" spans="1:9" s="3156" customFormat="1" hidden="1">
      <c r="A217" s="3094"/>
      <c r="B217" s="3099">
        <v>7.5</v>
      </c>
      <c r="C217" s="3097" t="s">
        <v>41</v>
      </c>
      <c r="D217" s="3098" t="s">
        <v>214</v>
      </c>
      <c r="E217" s="3099">
        <f>'SSR-rates'!$K$67</f>
        <v>3517.9</v>
      </c>
      <c r="F217" s="3099" t="s">
        <v>41</v>
      </c>
      <c r="G217" s="3101">
        <f>ROUND(B217*E217,2)</f>
        <v>26384.25</v>
      </c>
    </row>
    <row r="218" spans="1:9" s="3156" customFormat="1" hidden="1">
      <c r="A218" s="3094"/>
      <c r="B218" s="3099">
        <v>4</v>
      </c>
      <c r="C218" s="3097" t="s">
        <v>41</v>
      </c>
      <c r="D218" s="3098" t="s">
        <v>213</v>
      </c>
      <c r="E218" s="3099">
        <f>'SSR-rates'!$K$69</f>
        <v>769</v>
      </c>
      <c r="F218" s="3099" t="s">
        <v>41</v>
      </c>
      <c r="G218" s="3101">
        <f>ROUND(B218*E218,2)</f>
        <v>3076</v>
      </c>
    </row>
    <row r="219" spans="1:9" s="3156" customFormat="1" hidden="1">
      <c r="A219" s="3094"/>
      <c r="B219" s="3100"/>
      <c r="C219" s="3098"/>
      <c r="D219" s="3098" t="s">
        <v>60</v>
      </c>
      <c r="E219" s="3097"/>
      <c r="F219" s="3098"/>
      <c r="G219" s="3114">
        <f>SUM(G215:G218)</f>
        <v>47565.25</v>
      </c>
    </row>
    <row r="220" spans="1:9" s="3156" customFormat="1" hidden="1">
      <c r="A220" s="3094"/>
      <c r="B220" s="3090" t="s">
        <v>27</v>
      </c>
      <c r="C220" s="3109" t="s">
        <v>1189</v>
      </c>
      <c r="D220" s="3098"/>
      <c r="E220" s="3097"/>
      <c r="F220" s="3098"/>
      <c r="G220" s="3114"/>
    </row>
    <row r="221" spans="1:9" s="3156" customFormat="1" hidden="1">
      <c r="A221" s="3094"/>
      <c r="B221" s="3134">
        <f>'Input Data'!$D$24</f>
        <v>0.13614999999999999</v>
      </c>
      <c r="C221" s="3097"/>
      <c r="D221" s="3112" t="str">
        <f>"Over head charges &amp; CP "&amp;'Input Data'!$D$24*100&amp;"%  on (A) + (B)"</f>
        <v>Over head charges &amp; CP 13.615%  on (A) + (B)</v>
      </c>
      <c r="E221" s="3097">
        <f>G219+G213</f>
        <v>49359.25</v>
      </c>
      <c r="F221" s="3098"/>
      <c r="G221" s="3101">
        <f>B221*E221</f>
        <v>6720.2618874999998</v>
      </c>
    </row>
    <row r="222" spans="1:9" s="3156" customFormat="1" hidden="1">
      <c r="A222" s="3094"/>
      <c r="B222" s="3090" t="s">
        <v>45</v>
      </c>
      <c r="C222" s="3095" t="s">
        <v>46</v>
      </c>
      <c r="D222" s="3103"/>
      <c r="E222" s="3097"/>
      <c r="F222" s="3098"/>
      <c r="G222" s="3114">
        <f>G213+G219+G221</f>
        <v>56079.511887499997</v>
      </c>
    </row>
    <row r="223" spans="1:9" s="3156" customFormat="1" hidden="1">
      <c r="A223" s="3094"/>
      <c r="B223" s="3100"/>
      <c r="C223" s="3103"/>
      <c r="D223" s="3095" t="s">
        <v>1571</v>
      </c>
      <c r="E223" s="3097"/>
      <c r="F223" s="3098"/>
      <c r="G223" s="3114">
        <f>SUM(G222)</f>
        <v>56079.511887499997</v>
      </c>
    </row>
    <row r="224" spans="1:9" s="3156" customFormat="1" hidden="1">
      <c r="A224" s="3094"/>
      <c r="B224" s="3100"/>
      <c r="C224" s="3098"/>
      <c r="D224" s="3095" t="s">
        <v>217</v>
      </c>
      <c r="E224" s="3097"/>
      <c r="F224" s="3098"/>
      <c r="G224" s="3101">
        <f>ROUND(G223/600,2)</f>
        <v>93.47</v>
      </c>
    </row>
    <row r="225" spans="1:8" s="3156" customFormat="1" hidden="1">
      <c r="A225" s="3094"/>
      <c r="B225" s="3100"/>
      <c r="C225" s="3098"/>
      <c r="D225" s="3095" t="s">
        <v>52</v>
      </c>
      <c r="E225" s="3097"/>
      <c r="F225" s="3098"/>
      <c r="G225" s="3114">
        <f>ROUND(G224,2)</f>
        <v>93.47</v>
      </c>
      <c r="H225" s="3156" t="s">
        <v>907</v>
      </c>
    </row>
    <row r="226" spans="1:8" s="3156" customFormat="1" hidden="1">
      <c r="A226" s="3094"/>
      <c r="B226" s="3100"/>
      <c r="C226" s="3098"/>
      <c r="D226" s="3098"/>
      <c r="E226" s="3097"/>
      <c r="F226" s="3098"/>
      <c r="G226" s="3155" t="s">
        <v>53</v>
      </c>
    </row>
    <row r="227" spans="1:8" s="3156" customFormat="1" hidden="1">
      <c r="A227" s="3094"/>
      <c r="B227" s="3100"/>
      <c r="C227" s="3098"/>
      <c r="D227" s="3098"/>
      <c r="E227" s="3097"/>
      <c r="F227" s="3098"/>
      <c r="G227" s="3157"/>
    </row>
    <row r="228" spans="1:8" ht="83.1" hidden="1" customHeight="1">
      <c r="A228" s="3145">
        <v>4</v>
      </c>
      <c r="B228" s="4006" t="s">
        <v>1572</v>
      </c>
      <c r="C228" s="4006"/>
      <c r="D228" s="4006"/>
      <c r="E228" s="4006"/>
      <c r="F228" s="4006"/>
      <c r="G228" s="4006"/>
    </row>
    <row r="229" spans="1:8" hidden="1">
      <c r="A229" s="3094"/>
      <c r="B229" s="4010" t="s">
        <v>33</v>
      </c>
      <c r="C229" s="4010"/>
      <c r="D229" s="3095" t="s">
        <v>1547</v>
      </c>
      <c r="E229" s="3091"/>
      <c r="F229" s="3092"/>
      <c r="G229" s="3140"/>
    </row>
    <row r="230" spans="1:8" hidden="1">
      <c r="A230" s="3094"/>
      <c r="B230" s="4010" t="s">
        <v>205</v>
      </c>
      <c r="C230" s="4010"/>
      <c r="D230" s="4010"/>
      <c r="E230" s="3091"/>
      <c r="F230" s="3092"/>
      <c r="G230" s="3140"/>
    </row>
    <row r="231" spans="1:8" hidden="1">
      <c r="A231" s="3094"/>
      <c r="B231" s="3090" t="s">
        <v>36</v>
      </c>
      <c r="C231" s="3095" t="s">
        <v>37</v>
      </c>
      <c r="D231" s="3090"/>
      <c r="E231" s="3091"/>
      <c r="F231" s="3092"/>
      <c r="G231" s="3140"/>
    </row>
    <row r="232" spans="1:8" hidden="1">
      <c r="A232" s="3094"/>
      <c r="B232" s="3099">
        <v>0.04</v>
      </c>
      <c r="C232" s="3097" t="s">
        <v>38</v>
      </c>
      <c r="D232" s="3098" t="s">
        <v>14</v>
      </c>
      <c r="E232" s="3099">
        <f>'SSR-rates'!$K$58</f>
        <v>575</v>
      </c>
      <c r="F232" s="3100" t="s">
        <v>38</v>
      </c>
      <c r="G232" s="3101">
        <f>ROUND(B232*E232,2)</f>
        <v>23</v>
      </c>
    </row>
    <row r="233" spans="1:8" hidden="1">
      <c r="A233" s="3094"/>
      <c r="B233" s="3099">
        <v>1</v>
      </c>
      <c r="C233" s="3097" t="s">
        <v>38</v>
      </c>
      <c r="D233" s="3098" t="s">
        <v>16</v>
      </c>
      <c r="E233" s="3099">
        <f>'SSR-rates'!$K$60</f>
        <v>575</v>
      </c>
      <c r="F233" s="3100" t="s">
        <v>38</v>
      </c>
      <c r="G233" s="3101">
        <f>ROUND(B233*E233,2)</f>
        <v>575</v>
      </c>
    </row>
    <row r="234" spans="1:8" hidden="1">
      <c r="A234" s="3094"/>
      <c r="B234" s="3102">
        <f>'Input Data'!$D$23</f>
        <v>0</v>
      </c>
      <c r="C234" s="3097"/>
      <c r="D234" s="3103" t="s">
        <v>17</v>
      </c>
      <c r="E234" s="3099"/>
      <c r="F234" s="3100"/>
      <c r="G234" s="3101">
        <f>(G232+G233)*B234</f>
        <v>0</v>
      </c>
    </row>
    <row r="235" spans="1:8" hidden="1">
      <c r="A235" s="3094"/>
      <c r="B235" s="3099"/>
      <c r="C235" s="3097"/>
      <c r="D235" s="3098"/>
      <c r="E235" s="3099"/>
      <c r="F235" s="3100"/>
      <c r="G235" s="3101">
        <f>SUM(G232:G234)</f>
        <v>598</v>
      </c>
    </row>
    <row r="236" spans="1:8" hidden="1">
      <c r="A236" s="3094"/>
      <c r="B236" s="3090" t="s">
        <v>39</v>
      </c>
      <c r="C236" s="3095" t="s">
        <v>40</v>
      </c>
      <c r="D236" s="3103"/>
      <c r="E236" s="3097"/>
      <c r="F236" s="3098"/>
      <c r="G236" s="3104"/>
    </row>
    <row r="237" spans="1:8" ht="28.8" hidden="1">
      <c r="A237" s="3094"/>
      <c r="B237" s="3105">
        <v>1.67</v>
      </c>
      <c r="C237" s="3106" t="s">
        <v>31</v>
      </c>
      <c r="D237" s="3107" t="s">
        <v>42</v>
      </c>
      <c r="E237" s="3105">
        <f>'SSR-rates'!$K$64</f>
        <v>3557.7</v>
      </c>
      <c r="F237" s="3105" t="s">
        <v>31</v>
      </c>
      <c r="G237" s="3101">
        <f>ROUND(B237*E237,2)</f>
        <v>5941.36</v>
      </c>
    </row>
    <row r="238" spans="1:8" hidden="1">
      <c r="A238" s="3094"/>
      <c r="B238" s="3099">
        <f>175*'Input Data'!E19</f>
        <v>875</v>
      </c>
      <c r="C238" s="3097" t="s">
        <v>207</v>
      </c>
      <c r="D238" s="3098" t="str">
        <f>"Tipper (for "&amp;'Input Data'!E19&amp;"Kms=175x"&amp;'Input Data'!E19&amp;"="&amp;'Input Data'!E19*175&amp;")"</f>
        <v>Tipper (for 5Kms=175x5=875)</v>
      </c>
      <c r="E238" s="3099">
        <f>G205</f>
        <v>8</v>
      </c>
      <c r="F238" s="3099" t="s">
        <v>207</v>
      </c>
      <c r="G238" s="3101">
        <f>ROUND(B238*E238,2)</f>
        <v>7000</v>
      </c>
    </row>
    <row r="239" spans="1:8" ht="28.8" hidden="1">
      <c r="A239" s="3094"/>
      <c r="B239" s="3099"/>
      <c r="C239" s="3097"/>
      <c r="D239" s="3107" t="s">
        <v>210</v>
      </c>
      <c r="E239" s="3105"/>
      <c r="F239" s="3099"/>
      <c r="G239" s="3101">
        <f>ROUND(G238*10/100,2)</f>
        <v>700</v>
      </c>
    </row>
    <row r="240" spans="1:8" hidden="1">
      <c r="A240" s="3094"/>
      <c r="B240" s="3105">
        <v>0.5</v>
      </c>
      <c r="C240" s="3106" t="s">
        <v>41</v>
      </c>
      <c r="D240" s="3107" t="s">
        <v>211</v>
      </c>
      <c r="E240" s="3105">
        <f>'SSR-rates'!$K$62</f>
        <v>3164.8</v>
      </c>
      <c r="F240" s="3105" t="s">
        <v>41</v>
      </c>
      <c r="G240" s="3101">
        <f>ROUND(B240*E240,2)</f>
        <v>1582.4</v>
      </c>
    </row>
    <row r="241" spans="1:8" hidden="1">
      <c r="A241" s="3094"/>
      <c r="B241" s="3105">
        <v>4</v>
      </c>
      <c r="C241" s="3106" t="s">
        <v>41</v>
      </c>
      <c r="D241" s="3107" t="s">
        <v>1542</v>
      </c>
      <c r="E241" s="3105">
        <f>+'SSR-rates'!K71</f>
        <v>520</v>
      </c>
      <c r="F241" s="3105" t="s">
        <v>41</v>
      </c>
      <c r="G241" s="3101">
        <f>ROUND(B241*E241,2)</f>
        <v>2080</v>
      </c>
    </row>
    <row r="242" spans="1:8" hidden="1">
      <c r="A242" s="3094"/>
      <c r="B242" s="3099">
        <v>4</v>
      </c>
      <c r="C242" s="3097" t="s">
        <v>41</v>
      </c>
      <c r="D242" s="3098" t="s">
        <v>213</v>
      </c>
      <c r="E242" s="3099">
        <f>'SSR-rates'!$K$69</f>
        <v>769</v>
      </c>
      <c r="F242" s="3099" t="s">
        <v>41</v>
      </c>
      <c r="G242" s="3101">
        <f>ROUND(B242*E242,2)</f>
        <v>3076</v>
      </c>
    </row>
    <row r="243" spans="1:8" hidden="1">
      <c r="A243" s="3094"/>
      <c r="B243" s="3099">
        <v>1.25</v>
      </c>
      <c r="C243" s="3097" t="s">
        <v>41</v>
      </c>
      <c r="D243" s="3098" t="s">
        <v>214</v>
      </c>
      <c r="E243" s="3099">
        <f>'SSR-rates'!$K$67</f>
        <v>3517.9</v>
      </c>
      <c r="F243" s="3099" t="s">
        <v>41</v>
      </c>
      <c r="G243" s="3101">
        <f>ROUND(B243*E243,2)</f>
        <v>4397.38</v>
      </c>
    </row>
    <row r="244" spans="1:8" hidden="1">
      <c r="A244" s="3094"/>
      <c r="B244" s="3100"/>
      <c r="C244" s="3103"/>
      <c r="D244" s="3098"/>
      <c r="E244" s="3099"/>
      <c r="F244" s="3099"/>
      <c r="G244" s="3114">
        <f>SUM(G237:G243)</f>
        <v>24777.140000000003</v>
      </c>
    </row>
    <row r="245" spans="1:8" hidden="1">
      <c r="A245" s="3094"/>
      <c r="B245" s="3090" t="s">
        <v>27</v>
      </c>
      <c r="C245" s="3095" t="s">
        <v>61</v>
      </c>
      <c r="D245" s="3103"/>
      <c r="E245" s="3097"/>
      <c r="F245" s="3098"/>
      <c r="G245" s="3104"/>
    </row>
    <row r="246" spans="1:8" hidden="1">
      <c r="A246" s="3094"/>
      <c r="B246" s="3105">
        <v>24</v>
      </c>
      <c r="C246" s="3106" t="s">
        <v>1544</v>
      </c>
      <c r="D246" s="3107" t="s">
        <v>1545</v>
      </c>
      <c r="E246" s="3105">
        <f>IF(lead!$C$63="Y",'SSR-rates'!$K$112,0)</f>
        <v>0</v>
      </c>
      <c r="F246" s="3105" t="s">
        <v>41</v>
      </c>
      <c r="G246" s="3101">
        <f>ROUND(B246*E246,2)</f>
        <v>0</v>
      </c>
    </row>
    <row r="247" spans="1:8" hidden="1">
      <c r="A247" s="3094"/>
      <c r="B247" s="3090" t="s">
        <v>45</v>
      </c>
      <c r="C247" s="3109" t="s">
        <v>1189</v>
      </c>
      <c r="D247" s="3103"/>
      <c r="E247" s="3112"/>
      <c r="F247" s="3103"/>
      <c r="G247" s="3104"/>
    </row>
    <row r="248" spans="1:8" hidden="1">
      <c r="A248" s="3094"/>
      <c r="B248" s="3110">
        <f>'Input Data'!$D$24</f>
        <v>0.13614999999999999</v>
      </c>
      <c r="C248" s="3095" t="str">
        <f>"Over head charges &amp; CP "&amp;'Input Data'!$D$24*100&amp;"%  on (A) + (B)"</f>
        <v>Over head charges &amp; CP 13.615%  on (A) + (B)</v>
      </c>
      <c r="D248" s="3103"/>
      <c r="E248" s="3112">
        <f>G244+G235+G246</f>
        <v>25375.140000000003</v>
      </c>
      <c r="F248" s="3103"/>
      <c r="G248" s="3114">
        <f>B248*E248</f>
        <v>3454.8253110000001</v>
      </c>
    </row>
    <row r="249" spans="1:8" hidden="1">
      <c r="A249" s="3094"/>
      <c r="B249" s="3146">
        <f>'Input Data'!$E$24</f>
        <v>0.1</v>
      </c>
      <c r="C249" s="3111" t="s">
        <v>1220</v>
      </c>
      <c r="D249" s="3103"/>
      <c r="E249" s="3113">
        <f>E248+G248</f>
        <v>28829.965311000004</v>
      </c>
      <c r="F249" s="3103"/>
      <c r="G249" s="3101">
        <f>E249*B249</f>
        <v>2882.9965311000005</v>
      </c>
    </row>
    <row r="250" spans="1:8" hidden="1">
      <c r="A250" s="3094"/>
      <c r="B250" s="3090" t="s">
        <v>47</v>
      </c>
      <c r="C250" s="3095" t="s">
        <v>89</v>
      </c>
      <c r="D250" s="3103"/>
      <c r="E250" s="3097"/>
      <c r="F250" s="3098"/>
      <c r="G250" s="3114">
        <f>G235+G244+G248+G246+G249</f>
        <v>31712.961842100005</v>
      </c>
    </row>
    <row r="251" spans="1:8" hidden="1">
      <c r="A251" s="3094"/>
      <c r="B251" s="3100"/>
      <c r="C251" s="3095" t="s">
        <v>1549</v>
      </c>
      <c r="D251" s="3098"/>
      <c r="E251" s="3097"/>
      <c r="F251" s="3098"/>
      <c r="G251" s="3114">
        <f>SUM(G250:G250)</f>
        <v>31712.961842100005</v>
      </c>
    </row>
    <row r="252" spans="1:8" hidden="1">
      <c r="A252" s="3094"/>
      <c r="B252" s="3100"/>
      <c r="C252" s="3098" t="s">
        <v>216</v>
      </c>
      <c r="D252" s="3098"/>
      <c r="E252" s="3097"/>
      <c r="F252" s="3098"/>
      <c r="G252" s="3101">
        <f>G251/100</f>
        <v>317.12961842100003</v>
      </c>
    </row>
    <row r="253" spans="1:8" hidden="1">
      <c r="A253" s="3094"/>
      <c r="B253" s="3099"/>
      <c r="C253" s="3112"/>
      <c r="D253" s="3142" t="s">
        <v>217</v>
      </c>
      <c r="E253" s="3101"/>
      <c r="F253" s="3112"/>
      <c r="G253" s="3143">
        <f>ROUND(G252,2)</f>
        <v>317.13</v>
      </c>
      <c r="H253" s="3088" t="s">
        <v>907</v>
      </c>
    </row>
    <row r="254" spans="1:8" hidden="1">
      <c r="A254" s="3094"/>
      <c r="B254" s="3099"/>
      <c r="C254" s="3112"/>
      <c r="D254" s="3144"/>
      <c r="E254" s="3101"/>
      <c r="F254" s="3112"/>
      <c r="G254" s="3115" t="s">
        <v>53</v>
      </c>
    </row>
    <row r="255" spans="1:8" ht="45" hidden="1" customHeight="1">
      <c r="A255" s="3094">
        <v>5</v>
      </c>
      <c r="B255" s="4013" t="s">
        <v>1573</v>
      </c>
      <c r="C255" s="4013"/>
      <c r="D255" s="4013"/>
      <c r="E255" s="4013"/>
      <c r="F255" s="4013"/>
      <c r="G255" s="4013"/>
    </row>
    <row r="256" spans="1:8" hidden="1">
      <c r="A256" s="3094"/>
      <c r="B256" s="3099" t="s">
        <v>1112</v>
      </c>
      <c r="C256" s="3098"/>
      <c r="D256" s="3095" t="s">
        <v>1574</v>
      </c>
      <c r="E256" s="3097"/>
      <c r="F256" s="3098"/>
      <c r="G256" s="3103"/>
    </row>
    <row r="257" spans="1:7" hidden="1">
      <c r="A257" s="3094"/>
      <c r="B257" s="3097" t="s">
        <v>1253</v>
      </c>
      <c r="C257" s="3098"/>
      <c r="D257" s="3098"/>
      <c r="E257" s="3097"/>
      <c r="F257" s="3098"/>
      <c r="G257" s="3103"/>
    </row>
    <row r="258" spans="1:7" hidden="1">
      <c r="A258" s="3094"/>
      <c r="B258" s="3090" t="s">
        <v>36</v>
      </c>
      <c r="C258" s="3095" t="s">
        <v>37</v>
      </c>
      <c r="D258" s="3090"/>
      <c r="E258" s="3091"/>
      <c r="F258" s="3092"/>
      <c r="G258" s="3092"/>
    </row>
    <row r="259" spans="1:7" hidden="1">
      <c r="A259" s="3094"/>
      <c r="B259" s="3099">
        <v>0.2</v>
      </c>
      <c r="C259" s="3097" t="s">
        <v>38</v>
      </c>
      <c r="D259" s="3098" t="s">
        <v>14</v>
      </c>
      <c r="E259" s="3099">
        <f>'SSR-rates'!$K$58</f>
        <v>575</v>
      </c>
      <c r="F259" s="3100" t="s">
        <v>38</v>
      </c>
      <c r="G259" s="3101">
        <f>ROUND(B259*E259,2)</f>
        <v>115</v>
      </c>
    </row>
    <row r="260" spans="1:7" hidden="1">
      <c r="A260" s="3094"/>
      <c r="B260" s="3099">
        <v>5</v>
      </c>
      <c r="C260" s="3097" t="s">
        <v>38</v>
      </c>
      <c r="D260" s="3098" t="s">
        <v>1575</v>
      </c>
      <c r="E260" s="3099">
        <f>'SSR-rates'!$K$60</f>
        <v>575</v>
      </c>
      <c r="F260" s="3100" t="s">
        <v>38</v>
      </c>
      <c r="G260" s="3101">
        <f>ROUND(B260*E260,2)</f>
        <v>2875</v>
      </c>
    </row>
    <row r="261" spans="1:7" hidden="1">
      <c r="A261" s="3094"/>
      <c r="B261" s="3102">
        <f>'Input Data'!$D$23</f>
        <v>0</v>
      </c>
      <c r="C261" s="3097"/>
      <c r="D261" s="3103" t="s">
        <v>17</v>
      </c>
      <c r="E261" s="3099"/>
      <c r="F261" s="3100"/>
      <c r="G261" s="3101">
        <f>(G259+G260)*B261</f>
        <v>0</v>
      </c>
    </row>
    <row r="262" spans="1:7" hidden="1">
      <c r="A262" s="3094"/>
      <c r="B262" s="3100"/>
      <c r="C262" s="3098"/>
      <c r="D262" s="3098" t="s">
        <v>85</v>
      </c>
      <c r="E262" s="3097"/>
      <c r="F262" s="3098"/>
      <c r="G262" s="3114">
        <f>SUM(G259:G261)</f>
        <v>2990</v>
      </c>
    </row>
    <row r="263" spans="1:7" hidden="1">
      <c r="A263" s="3094"/>
      <c r="B263" s="3090" t="s">
        <v>39</v>
      </c>
      <c r="C263" s="3095" t="s">
        <v>40</v>
      </c>
      <c r="D263" s="3103"/>
      <c r="E263" s="3097"/>
      <c r="F263" s="3098"/>
      <c r="G263" s="3104"/>
    </row>
    <row r="264" spans="1:7" hidden="1">
      <c r="A264" s="3094"/>
      <c r="B264" s="3099">
        <v>1.67</v>
      </c>
      <c r="C264" s="3097" t="s">
        <v>41</v>
      </c>
      <c r="D264" s="3158" t="s">
        <v>24</v>
      </c>
      <c r="E264" s="3099">
        <f>'SSR-rates'!K71</f>
        <v>520</v>
      </c>
      <c r="F264" s="3099" t="s">
        <v>41</v>
      </c>
      <c r="G264" s="3101">
        <f t="shared" ref="G264" si="0">ROUND(B264*E264,2)</f>
        <v>868.4</v>
      </c>
    </row>
    <row r="265" spans="1:7" hidden="1">
      <c r="A265" s="3094"/>
      <c r="B265" s="3100"/>
      <c r="C265" s="3098"/>
      <c r="D265" s="3098"/>
      <c r="E265" s="3097"/>
      <c r="F265" s="3098"/>
      <c r="G265" s="3114">
        <f>SUM(G264:G264)</f>
        <v>868.4</v>
      </c>
    </row>
    <row r="266" spans="1:7" hidden="1">
      <c r="A266" s="3094"/>
      <c r="B266" s="3090" t="s">
        <v>27</v>
      </c>
      <c r="C266" s="3109" t="s">
        <v>1189</v>
      </c>
      <c r="D266" s="3098"/>
      <c r="E266" s="3097"/>
      <c r="F266" s="3098"/>
      <c r="G266" s="3114"/>
    </row>
    <row r="267" spans="1:7" hidden="1">
      <c r="A267" s="3094"/>
      <c r="B267" s="3134">
        <f>'Input Data'!$D$24</f>
        <v>0.13614999999999999</v>
      </c>
      <c r="C267" s="3097"/>
      <c r="D267" s="3159" t="str">
        <f>"Over head charges &amp; CP "&amp;'Input Data'!$D$24*100&amp;"%  on (A) + (B)"</f>
        <v>Over head charges &amp; CP 13.615%  on (A) + (B)</v>
      </c>
      <c r="E267" s="3099">
        <f>G265+G262</f>
        <v>3858.4</v>
      </c>
      <c r="F267" s="3098"/>
      <c r="G267" s="3101">
        <f>E267*B267</f>
        <v>525.32115999999996</v>
      </c>
    </row>
    <row r="268" spans="1:7" hidden="1">
      <c r="A268" s="3094"/>
      <c r="B268" s="3100"/>
      <c r="C268" s="3098"/>
      <c r="D268" s="3098" t="s">
        <v>1576</v>
      </c>
      <c r="E268" s="3097"/>
      <c r="F268" s="3098"/>
      <c r="G268" s="3101">
        <f>G262+G265+G267</f>
        <v>4383.7211600000001</v>
      </c>
    </row>
    <row r="269" spans="1:7" hidden="1">
      <c r="A269" s="3094"/>
      <c r="B269" s="3100"/>
      <c r="C269" s="3098"/>
      <c r="D269" s="3098" t="s">
        <v>1577</v>
      </c>
      <c r="E269" s="3097"/>
      <c r="F269" s="3098"/>
      <c r="G269" s="3101">
        <f>ROUND(G268/100,2)</f>
        <v>43.84</v>
      </c>
    </row>
    <row r="270" spans="1:7" hidden="1">
      <c r="A270" s="3094"/>
      <c r="B270" s="3099"/>
      <c r="C270" s="3097"/>
      <c r="D270" s="3112" t="s">
        <v>52</v>
      </c>
      <c r="E270" s="3101"/>
      <c r="F270" s="3112"/>
      <c r="G270" s="3143">
        <f>ROUND(G269,2)</f>
        <v>43.84</v>
      </c>
    </row>
    <row r="271" spans="1:7" hidden="1">
      <c r="A271" s="3094"/>
      <c r="B271" s="3100"/>
      <c r="C271" s="3098"/>
      <c r="D271" s="3098"/>
      <c r="E271" s="3097"/>
      <c r="F271" s="3098"/>
      <c r="G271" s="3115" t="s">
        <v>137</v>
      </c>
    </row>
    <row r="272" spans="1:7" ht="44.1" hidden="1" customHeight="1">
      <c r="A272" s="3094">
        <v>5</v>
      </c>
      <c r="B272" s="4013" t="s">
        <v>1578</v>
      </c>
      <c r="C272" s="4013"/>
      <c r="D272" s="4013"/>
      <c r="E272" s="4013"/>
      <c r="F272" s="4013"/>
      <c r="G272" s="4013"/>
    </row>
    <row r="273" spans="1:7" hidden="1">
      <c r="A273" s="3094"/>
      <c r="B273" s="3099" t="s">
        <v>1112</v>
      </c>
      <c r="C273" s="3098"/>
      <c r="D273" s="3095" t="s">
        <v>1574</v>
      </c>
      <c r="E273" s="3097"/>
      <c r="F273" s="3098"/>
      <c r="G273" s="3103"/>
    </row>
    <row r="274" spans="1:7" hidden="1">
      <c r="A274" s="3094"/>
      <c r="B274" s="3097" t="s">
        <v>1253</v>
      </c>
      <c r="C274" s="3098"/>
      <c r="D274" s="3098"/>
      <c r="E274" s="3097"/>
      <c r="F274" s="3098"/>
      <c r="G274" s="3103"/>
    </row>
    <row r="275" spans="1:7" hidden="1">
      <c r="A275" s="3094"/>
      <c r="B275" s="3090" t="s">
        <v>36</v>
      </c>
      <c r="C275" s="3095" t="s">
        <v>37</v>
      </c>
      <c r="D275" s="3090"/>
      <c r="E275" s="3091"/>
      <c r="F275" s="3092"/>
      <c r="G275" s="3092"/>
    </row>
    <row r="276" spans="1:7" hidden="1">
      <c r="A276" s="3094"/>
      <c r="B276" s="3099">
        <v>0.01</v>
      </c>
      <c r="C276" s="3097" t="s">
        <v>38</v>
      </c>
      <c r="D276" s="3098" t="s">
        <v>14</v>
      </c>
      <c r="E276" s="3099">
        <f>'SSR-rates'!$K$58</f>
        <v>575</v>
      </c>
      <c r="F276" s="3100" t="s">
        <v>38</v>
      </c>
      <c r="G276" s="3101">
        <f>ROUND(B276*E276,2)</f>
        <v>5.75</v>
      </c>
    </row>
    <row r="277" spans="1:7" hidden="1">
      <c r="A277" s="3094"/>
      <c r="B277" s="3099">
        <v>0.25</v>
      </c>
      <c r="C277" s="3097" t="s">
        <v>38</v>
      </c>
      <c r="D277" s="3098" t="s">
        <v>59</v>
      </c>
      <c r="E277" s="3099">
        <f>'SSR-rates'!$K$60</f>
        <v>575</v>
      </c>
      <c r="F277" s="3100" t="s">
        <v>38</v>
      </c>
      <c r="G277" s="3101">
        <f>ROUND(B277*E277,2)</f>
        <v>143.75</v>
      </c>
    </row>
    <row r="278" spans="1:7" hidden="1">
      <c r="A278" s="3094"/>
      <c r="B278" s="3102">
        <f>'Input Data'!$D$23</f>
        <v>0</v>
      </c>
      <c r="C278" s="3097"/>
      <c r="D278" s="3103" t="s">
        <v>17</v>
      </c>
      <c r="E278" s="3099"/>
      <c r="F278" s="3100"/>
      <c r="G278" s="3101">
        <f>(G276+G277)*B278</f>
        <v>0</v>
      </c>
    </row>
    <row r="279" spans="1:7" hidden="1">
      <c r="A279" s="3094"/>
      <c r="B279" s="3100"/>
      <c r="C279" s="3098"/>
      <c r="D279" s="3098" t="s">
        <v>85</v>
      </c>
      <c r="E279" s="3097"/>
      <c r="F279" s="3098"/>
      <c r="G279" s="3114">
        <f>SUM(G276:G278)</f>
        <v>149.5</v>
      </c>
    </row>
    <row r="280" spans="1:7" hidden="1">
      <c r="A280" s="3094"/>
      <c r="B280" s="3090" t="s">
        <v>39</v>
      </c>
      <c r="C280" s="3095" t="s">
        <v>40</v>
      </c>
      <c r="D280" s="3103"/>
      <c r="E280" s="3097"/>
      <c r="F280" s="3098"/>
      <c r="G280" s="3104"/>
    </row>
    <row r="281" spans="1:7" hidden="1">
      <c r="A281" s="3094"/>
      <c r="B281" s="3099">
        <v>0.08</v>
      </c>
      <c r="C281" s="3097" t="s">
        <v>41</v>
      </c>
      <c r="D281" s="3098" t="s">
        <v>1570</v>
      </c>
      <c r="E281" s="3099">
        <f>'SSR-rates'!$K$72</f>
        <v>625</v>
      </c>
      <c r="F281" s="3099" t="s">
        <v>41</v>
      </c>
      <c r="G281" s="3101">
        <f>ROUND(B281*E281,2)</f>
        <v>50</v>
      </c>
    </row>
    <row r="282" spans="1:7" ht="28.8" hidden="1">
      <c r="A282" s="3094"/>
      <c r="B282" s="3099">
        <v>0.2</v>
      </c>
      <c r="C282" s="3097" t="s">
        <v>41</v>
      </c>
      <c r="D282" s="3160" t="s">
        <v>1579</v>
      </c>
      <c r="E282" s="3099">
        <f>'SSR-rates'!$K$65</f>
        <v>2028</v>
      </c>
      <c r="F282" s="3099" t="s">
        <v>41</v>
      </c>
      <c r="G282" s="3101">
        <f>ROUND(B282*E282,2)</f>
        <v>405.6</v>
      </c>
    </row>
    <row r="283" spans="1:7" hidden="1">
      <c r="A283" s="3094"/>
      <c r="B283" s="3099">
        <v>0.23</v>
      </c>
      <c r="C283" s="3097" t="s">
        <v>41</v>
      </c>
      <c r="D283" s="3103" t="s">
        <v>1580</v>
      </c>
      <c r="E283" s="3099">
        <f>'SSR-rates'!$K$66</f>
        <v>1280.4000000000001</v>
      </c>
      <c r="F283" s="3099" t="s">
        <v>41</v>
      </c>
      <c r="G283" s="3101">
        <f>ROUND(B283*E283,2)</f>
        <v>294.49</v>
      </c>
    </row>
    <row r="284" spans="1:7" hidden="1">
      <c r="A284" s="3094"/>
      <c r="B284" s="3100"/>
      <c r="C284" s="3098"/>
      <c r="D284" s="3098"/>
      <c r="E284" s="3097"/>
      <c r="F284" s="3098"/>
      <c r="G284" s="3114">
        <f>SUM(G281:G283)</f>
        <v>750.09</v>
      </c>
    </row>
    <row r="285" spans="1:7" hidden="1">
      <c r="A285" s="3094"/>
      <c r="B285" s="3090" t="s">
        <v>27</v>
      </c>
      <c r="C285" s="3109" t="s">
        <v>1189</v>
      </c>
      <c r="D285" s="3098"/>
      <c r="E285" s="3097"/>
      <c r="F285" s="3098"/>
      <c r="G285" s="3114"/>
    </row>
    <row r="286" spans="1:7" hidden="1">
      <c r="A286" s="3094"/>
      <c r="B286" s="3134">
        <f>'Input Data'!$D$24</f>
        <v>0.13614999999999999</v>
      </c>
      <c r="C286" s="3097"/>
      <c r="D286" s="3159" t="str">
        <f>"Over head charges &amp; CP "&amp;'Input Data'!$D$24*100&amp;"%  on (A) + (B)"</f>
        <v>Over head charges &amp; CP 13.615%  on (A) + (B)</v>
      </c>
      <c r="E286" s="3099">
        <f>G284+G279</f>
        <v>899.59</v>
      </c>
      <c r="F286" s="3098"/>
      <c r="G286" s="3101">
        <f>E286*B286</f>
        <v>122.4791785</v>
      </c>
    </row>
    <row r="287" spans="1:7" hidden="1">
      <c r="A287" s="3094"/>
      <c r="B287" s="3146">
        <f>'Input Data'!$E$24</f>
        <v>0.1</v>
      </c>
      <c r="C287" s="3111" t="s">
        <v>1220</v>
      </c>
      <c r="D287" s="3103"/>
      <c r="E287" s="3113">
        <f>E286+G286</f>
        <v>1022.0691785</v>
      </c>
      <c r="F287" s="3103"/>
      <c r="G287" s="3101">
        <f>E287*B287</f>
        <v>102.20691785000001</v>
      </c>
    </row>
    <row r="288" spans="1:7" hidden="1">
      <c r="A288" s="3094"/>
      <c r="B288" s="3100"/>
      <c r="C288" s="3098"/>
      <c r="D288" s="3098" t="s">
        <v>1576</v>
      </c>
      <c r="E288" s="3097"/>
      <c r="F288" s="3098"/>
      <c r="G288" s="3101">
        <f>G279+G284+G286+G287</f>
        <v>1124.27609635</v>
      </c>
    </row>
    <row r="289" spans="1:8" hidden="1">
      <c r="A289" s="3094"/>
      <c r="B289" s="3100"/>
      <c r="C289" s="3098"/>
      <c r="D289" s="3098" t="s">
        <v>1577</v>
      </c>
      <c r="E289" s="3097"/>
      <c r="F289" s="3098"/>
      <c r="G289" s="3101">
        <f>ROUND(G288/100,2)</f>
        <v>11.24</v>
      </c>
    </row>
    <row r="290" spans="1:8" hidden="1">
      <c r="A290" s="3094"/>
      <c r="B290" s="3099"/>
      <c r="C290" s="3097"/>
      <c r="D290" s="3112" t="s">
        <v>52</v>
      </c>
      <c r="E290" s="3101"/>
      <c r="F290" s="3112"/>
      <c r="G290" s="3143">
        <f>ROUND(G289,2)</f>
        <v>11.24</v>
      </c>
      <c r="H290" s="3088" t="s">
        <v>907</v>
      </c>
    </row>
    <row r="291" spans="1:8" hidden="1">
      <c r="A291" s="3094"/>
      <c r="B291" s="3100"/>
      <c r="C291" s="3098"/>
      <c r="D291" s="3098"/>
      <c r="E291" s="3097"/>
      <c r="F291" s="3098"/>
      <c r="G291" s="3115" t="s">
        <v>137</v>
      </c>
    </row>
    <row r="292" spans="1:8" hidden="1">
      <c r="A292" s="3094"/>
      <c r="B292" s="3100"/>
      <c r="C292" s="3098"/>
      <c r="D292" s="3098"/>
      <c r="E292" s="3097"/>
      <c r="F292" s="3098"/>
      <c r="G292" s="3115"/>
    </row>
    <row r="293" spans="1:8" hidden="1">
      <c r="A293" s="3090">
        <v>5</v>
      </c>
      <c r="B293" s="4014" t="s">
        <v>1581</v>
      </c>
      <c r="C293" s="4014"/>
      <c r="D293" s="4014"/>
      <c r="E293" s="4014"/>
      <c r="F293" s="4014"/>
      <c r="G293" s="4014"/>
    </row>
    <row r="294" spans="1:8" hidden="1">
      <c r="A294" s="3094"/>
      <c r="B294" s="4014" t="s">
        <v>1582</v>
      </c>
      <c r="C294" s="4014"/>
      <c r="D294" s="4014"/>
      <c r="E294" s="4014"/>
      <c r="F294" s="4014"/>
      <c r="G294" s="4014"/>
    </row>
    <row r="295" spans="1:8" ht="123" hidden="1" customHeight="1">
      <c r="A295" s="3094"/>
      <c r="B295" s="4006" t="s">
        <v>1583</v>
      </c>
      <c r="C295" s="4006"/>
      <c r="D295" s="4006"/>
      <c r="E295" s="4006"/>
      <c r="F295" s="4006"/>
      <c r="G295" s="4006"/>
    </row>
    <row r="296" spans="1:8" hidden="1">
      <c r="A296" s="3094"/>
      <c r="B296" s="3161" t="s">
        <v>10</v>
      </c>
      <c r="C296" s="3103"/>
      <c r="D296" s="3095" t="s">
        <v>1584</v>
      </c>
      <c r="E296" s="3097"/>
      <c r="F296" s="3098"/>
      <c r="G296" s="3154"/>
    </row>
    <row r="297" spans="1:8" hidden="1">
      <c r="A297" s="3094"/>
      <c r="B297" s="3109" t="s">
        <v>1585</v>
      </c>
      <c r="C297" s="3103"/>
      <c r="D297" s="3098"/>
      <c r="E297" s="3097"/>
      <c r="F297" s="3098"/>
      <c r="G297" s="3154"/>
    </row>
    <row r="298" spans="1:8" hidden="1">
      <c r="A298" s="3094"/>
      <c r="B298" s="3090" t="s">
        <v>36</v>
      </c>
      <c r="C298" s="3095" t="s">
        <v>37</v>
      </c>
      <c r="D298" s="3090"/>
      <c r="E298" s="3091"/>
      <c r="F298" s="3092"/>
      <c r="G298" s="3155"/>
    </row>
    <row r="299" spans="1:8" hidden="1">
      <c r="A299" s="3094"/>
      <c r="B299" s="3099">
        <v>0.48</v>
      </c>
      <c r="C299" s="3097" t="s">
        <v>38</v>
      </c>
      <c r="D299" s="3098" t="s">
        <v>14</v>
      </c>
      <c r="E299" s="3099">
        <f>'SSR-rates'!$K$58</f>
        <v>575</v>
      </c>
      <c r="F299" s="3100" t="s">
        <v>38</v>
      </c>
      <c r="G299" s="3101">
        <f>ROUND(B299*E299,2)</f>
        <v>276</v>
      </c>
    </row>
    <row r="300" spans="1:8" hidden="1">
      <c r="A300" s="3094"/>
      <c r="B300" s="3099">
        <v>2</v>
      </c>
      <c r="C300" s="3097" t="s">
        <v>38</v>
      </c>
      <c r="D300" s="3098" t="s">
        <v>15</v>
      </c>
      <c r="E300" s="3099">
        <f>'SSR-rates'!$K$59</f>
        <v>575</v>
      </c>
      <c r="F300" s="3100" t="s">
        <v>38</v>
      </c>
      <c r="G300" s="3101">
        <f>ROUND(B300*E300,2)</f>
        <v>1150</v>
      </c>
    </row>
    <row r="301" spans="1:8" hidden="1">
      <c r="A301" s="3094"/>
      <c r="B301" s="3099">
        <v>10</v>
      </c>
      <c r="C301" s="3097" t="s">
        <v>38</v>
      </c>
      <c r="D301" s="3098" t="s">
        <v>16</v>
      </c>
      <c r="E301" s="3099">
        <f>'SSR-rates'!$K$60</f>
        <v>575</v>
      </c>
      <c r="F301" s="3100" t="s">
        <v>38</v>
      </c>
      <c r="G301" s="3101">
        <f>ROUND(B301*E301,2)</f>
        <v>5750</v>
      </c>
    </row>
    <row r="302" spans="1:8" hidden="1">
      <c r="A302" s="3094"/>
      <c r="B302" s="3102">
        <f>'Input Data'!$D$23</f>
        <v>0</v>
      </c>
      <c r="C302" s="3097"/>
      <c r="D302" s="3103" t="s">
        <v>17</v>
      </c>
      <c r="E302" s="3099"/>
      <c r="F302" s="3100"/>
      <c r="G302" s="3101">
        <f>(G300+G301+G299)*B302</f>
        <v>0</v>
      </c>
    </row>
    <row r="303" spans="1:8" hidden="1">
      <c r="A303" s="3094"/>
      <c r="B303" s="3100"/>
      <c r="C303" s="3098"/>
      <c r="D303" s="3098" t="s">
        <v>60</v>
      </c>
      <c r="E303" s="3097"/>
      <c r="F303" s="3098"/>
      <c r="G303" s="3114">
        <f>SUM(G299:G302)</f>
        <v>7176</v>
      </c>
    </row>
    <row r="304" spans="1:8" hidden="1">
      <c r="A304" s="3094"/>
      <c r="B304" s="3090" t="s">
        <v>39</v>
      </c>
      <c r="C304" s="3095" t="s">
        <v>40</v>
      </c>
      <c r="D304" s="3103"/>
      <c r="E304" s="3097"/>
      <c r="F304" s="3098"/>
      <c r="G304" s="3101"/>
    </row>
    <row r="305" spans="1:7" hidden="1">
      <c r="A305" s="3094"/>
      <c r="B305" s="3099">
        <v>12</v>
      </c>
      <c r="C305" s="3097" t="s">
        <v>41</v>
      </c>
      <c r="D305" s="3107" t="s">
        <v>1542</v>
      </c>
      <c r="E305" s="3099">
        <f>'SSR-rates'!$K$71</f>
        <v>520</v>
      </c>
      <c r="F305" s="3099" t="s">
        <v>41</v>
      </c>
      <c r="G305" s="3101">
        <f>ROUND(B305*E305,2)</f>
        <v>6240</v>
      </c>
    </row>
    <row r="306" spans="1:7" hidden="1">
      <c r="A306" s="3094"/>
      <c r="B306" s="3099">
        <v>12</v>
      </c>
      <c r="C306" s="3097" t="s">
        <v>41</v>
      </c>
      <c r="D306" s="3098" t="s">
        <v>1586</v>
      </c>
      <c r="E306" s="3099">
        <f>'SSR-rates'!$K$71</f>
        <v>520</v>
      </c>
      <c r="F306" s="3099" t="s">
        <v>41</v>
      </c>
      <c r="G306" s="3101">
        <f>ROUND(B306*E306,2)</f>
        <v>6240</v>
      </c>
    </row>
    <row r="307" spans="1:7" hidden="1">
      <c r="A307" s="3094"/>
      <c r="B307" s="3099">
        <v>6</v>
      </c>
      <c r="C307" s="3097" t="s">
        <v>41</v>
      </c>
      <c r="D307" s="3098" t="s">
        <v>214</v>
      </c>
      <c r="E307" s="3099">
        <f>'SSR-rates'!$K$67</f>
        <v>3517.9</v>
      </c>
      <c r="F307" s="3099" t="s">
        <v>41</v>
      </c>
      <c r="G307" s="3101">
        <f>ROUND(B307*E307,2)</f>
        <v>21107.4</v>
      </c>
    </row>
    <row r="308" spans="1:7" hidden="1">
      <c r="A308" s="3094"/>
      <c r="B308" s="3099">
        <v>3</v>
      </c>
      <c r="C308" s="3097" t="s">
        <v>41</v>
      </c>
      <c r="D308" s="3098" t="s">
        <v>213</v>
      </c>
      <c r="E308" s="3099">
        <f>'SSR-rates'!$K$69</f>
        <v>769</v>
      </c>
      <c r="F308" s="3099" t="s">
        <v>41</v>
      </c>
      <c r="G308" s="3101">
        <f>ROUND(B308*E308,2)</f>
        <v>2307</v>
      </c>
    </row>
    <row r="309" spans="1:7" hidden="1">
      <c r="A309" s="3094"/>
      <c r="B309" s="3100"/>
      <c r="C309" s="3098"/>
      <c r="D309" s="3098" t="s">
        <v>60</v>
      </c>
      <c r="E309" s="3097"/>
      <c r="F309" s="3098"/>
      <c r="G309" s="3114">
        <f>SUM(G305:G308)</f>
        <v>35894.400000000001</v>
      </c>
    </row>
    <row r="310" spans="1:7" hidden="1">
      <c r="A310" s="3094"/>
      <c r="B310" s="3090" t="s">
        <v>27</v>
      </c>
      <c r="C310" s="3095" t="s">
        <v>61</v>
      </c>
      <c r="D310" s="3098"/>
      <c r="E310" s="3097"/>
      <c r="F310" s="3098"/>
      <c r="G310" s="3154"/>
    </row>
    <row r="311" spans="1:7" ht="28.8" hidden="1">
      <c r="A311" s="3094"/>
      <c r="B311" s="3100"/>
      <c r="C311" s="3098"/>
      <c r="D311" s="3107" t="s">
        <v>1587</v>
      </c>
      <c r="E311" s="3106"/>
      <c r="F311" s="3098"/>
      <c r="G311" s="3154"/>
    </row>
    <row r="312" spans="1:7" ht="43.2" hidden="1">
      <c r="A312" s="3094"/>
      <c r="B312" s="3099">
        <v>134.4</v>
      </c>
      <c r="C312" s="3097" t="s">
        <v>31</v>
      </c>
      <c r="D312" s="3107" t="s">
        <v>1588</v>
      </c>
      <c r="E312" s="3099">
        <f>AVERAGE(lead!$J$4:$J$9)</f>
        <v>1689.8225238011412</v>
      </c>
      <c r="F312" s="3100" t="s">
        <v>73</v>
      </c>
      <c r="G312" s="3101">
        <f>ROUND(B312*E312,2)</f>
        <v>227112.15</v>
      </c>
    </row>
    <row r="313" spans="1:7" ht="43.2" hidden="1">
      <c r="A313" s="3094"/>
      <c r="B313" s="3099">
        <v>182.4</v>
      </c>
      <c r="C313" s="3097" t="s">
        <v>31</v>
      </c>
      <c r="D313" s="3107" t="s">
        <v>1589</v>
      </c>
      <c r="E313" s="3099">
        <f>AVERAGE(lead!$J$9:$J$11)</f>
        <v>1595.1975238011412</v>
      </c>
      <c r="F313" s="3100" t="s">
        <v>73</v>
      </c>
      <c r="G313" s="3101">
        <f>ROUND(B313*E313,2)</f>
        <v>290964.03000000003</v>
      </c>
    </row>
    <row r="314" spans="1:7" ht="28.8" hidden="1">
      <c r="A314" s="3094"/>
      <c r="B314" s="3099">
        <v>67.2</v>
      </c>
      <c r="C314" s="3097" t="s">
        <v>31</v>
      </c>
      <c r="D314" s="3107" t="s">
        <v>1590</v>
      </c>
      <c r="E314" s="3099">
        <f>lead!$J$12</f>
        <v>1568.1141904678079</v>
      </c>
      <c r="F314" s="3100" t="s">
        <v>73</v>
      </c>
      <c r="G314" s="3101">
        <f>ROUND(B314*E314,2)</f>
        <v>105377.27</v>
      </c>
    </row>
    <row r="315" spans="1:7" hidden="1">
      <c r="A315" s="3094"/>
      <c r="B315" s="3105">
        <v>18</v>
      </c>
      <c r="C315" s="3106" t="s">
        <v>1544</v>
      </c>
      <c r="D315" s="3107" t="s">
        <v>1545</v>
      </c>
      <c r="E315" s="3105">
        <f>IF(lead!$C$63="Y",'SSR-rates'!$K$112,0)</f>
        <v>0</v>
      </c>
      <c r="F315" s="3105" t="s">
        <v>41</v>
      </c>
      <c r="G315" s="3101">
        <f>ROUND(B315*E315,2)</f>
        <v>0</v>
      </c>
    </row>
    <row r="316" spans="1:7" hidden="1">
      <c r="A316" s="3094"/>
      <c r="B316" s="3161">
        <f>SUM(B312:B314)</f>
        <v>384</v>
      </c>
      <c r="C316" s="3097"/>
      <c r="D316" s="3107"/>
      <c r="E316" s="3099"/>
      <c r="F316" s="3100"/>
      <c r="G316" s="3154"/>
    </row>
    <row r="317" spans="1:7" hidden="1">
      <c r="A317" s="3094"/>
      <c r="B317" s="3100"/>
      <c r="C317" s="3098"/>
      <c r="D317" s="3098" t="s">
        <v>60</v>
      </c>
      <c r="E317" s="3097"/>
      <c r="F317" s="3098"/>
      <c r="G317" s="3114">
        <f>SUM(G312:G316)</f>
        <v>623453.45000000007</v>
      </c>
    </row>
    <row r="318" spans="1:7" hidden="1">
      <c r="A318" s="3094"/>
      <c r="B318" s="3090" t="s">
        <v>45</v>
      </c>
      <c r="C318" s="3095" t="s">
        <v>1189</v>
      </c>
      <c r="D318" s="3098"/>
      <c r="E318" s="3097"/>
      <c r="F318" s="3098"/>
      <c r="G318" s="3114"/>
    </row>
    <row r="319" spans="1:7" hidden="1">
      <c r="A319" s="3094"/>
      <c r="B319" s="3134">
        <f>'Input Data'!$D$24</f>
        <v>0.13614999999999999</v>
      </c>
      <c r="C319" s="3097"/>
      <c r="D319" s="3159" t="str">
        <f>"Over head charges &amp; CP "&amp;'Input Data'!$D$24*100&amp;"%  on (A) + (B)+(C)"</f>
        <v>Over head charges &amp; CP 13.615%  on (A) + (B)+(C)</v>
      </c>
      <c r="E319" s="3101">
        <f>G317+G309+G303</f>
        <v>666523.85000000009</v>
      </c>
      <c r="F319" s="3098"/>
      <c r="G319" s="3101">
        <f>B319*E319</f>
        <v>90747.222177500007</v>
      </c>
    </row>
    <row r="320" spans="1:7" hidden="1">
      <c r="A320" s="3094"/>
      <c r="B320" s="3146">
        <f>'Input Data'!$E$24</f>
        <v>0.1</v>
      </c>
      <c r="C320" s="3111" t="s">
        <v>1220</v>
      </c>
      <c r="D320" s="3103"/>
      <c r="E320" s="3113">
        <f>E319+G319</f>
        <v>757271.07217750011</v>
      </c>
      <c r="F320" s="3103"/>
      <c r="G320" s="3101">
        <f>E320*B320</f>
        <v>75727.107217750017</v>
      </c>
    </row>
    <row r="321" spans="1:10" hidden="1">
      <c r="A321" s="3094"/>
      <c r="B321" s="3090" t="s">
        <v>47</v>
      </c>
      <c r="C321" s="3095" t="s">
        <v>89</v>
      </c>
      <c r="D321" s="3103"/>
      <c r="E321" s="3097"/>
      <c r="F321" s="3098"/>
      <c r="G321" s="3114">
        <f>G303+G309+G317+G319+G320</f>
        <v>832998.17939525016</v>
      </c>
    </row>
    <row r="322" spans="1:10" hidden="1">
      <c r="A322" s="3094"/>
      <c r="B322" s="3100"/>
      <c r="C322" s="3103"/>
      <c r="D322" s="3095" t="s">
        <v>1591</v>
      </c>
      <c r="E322" s="3097"/>
      <c r="F322" s="3098"/>
      <c r="G322" s="3114">
        <f>SUM(G321)</f>
        <v>832998.17939525016</v>
      </c>
    </row>
    <row r="323" spans="1:10" hidden="1">
      <c r="A323" s="3094"/>
      <c r="B323" s="3100"/>
      <c r="C323" s="3098"/>
      <c r="D323" s="3095" t="s">
        <v>217</v>
      </c>
      <c r="E323" s="3097"/>
      <c r="F323" s="3098"/>
      <c r="G323" s="3101">
        <f>ROUND(G322/300,2)</f>
        <v>2776.66</v>
      </c>
    </row>
    <row r="324" spans="1:10" hidden="1">
      <c r="A324" s="3094"/>
      <c r="B324" s="3100"/>
      <c r="C324" s="3098"/>
      <c r="D324" s="3095" t="s">
        <v>52</v>
      </c>
      <c r="E324" s="3097"/>
      <c r="F324" s="3098"/>
      <c r="G324" s="3114">
        <f>ROUND(G323,2)</f>
        <v>2776.66</v>
      </c>
      <c r="H324" s="3088" t="s">
        <v>907</v>
      </c>
      <c r="J324" s="3162"/>
    </row>
    <row r="325" spans="1:10" hidden="1">
      <c r="A325" s="3094"/>
      <c r="B325" s="3100"/>
      <c r="C325" s="3098"/>
      <c r="D325" s="3098"/>
      <c r="E325" s="3097"/>
      <c r="F325" s="3098"/>
      <c r="G325" s="3155" t="s">
        <v>53</v>
      </c>
    </row>
    <row r="326" spans="1:10" hidden="1">
      <c r="A326" s="3090">
        <f>A293+1</f>
        <v>6</v>
      </c>
      <c r="B326" s="3095" t="s">
        <v>1592</v>
      </c>
      <c r="C326" s="3098"/>
      <c r="D326" s="3098"/>
      <c r="E326" s="3097"/>
      <c r="F326" s="3098"/>
      <c r="G326" s="3155"/>
    </row>
    <row r="327" spans="1:10" hidden="1">
      <c r="A327" s="3094"/>
      <c r="B327" s="4006" t="s">
        <v>1593</v>
      </c>
      <c r="C327" s="4006"/>
      <c r="D327" s="4006"/>
      <c r="E327" s="4006"/>
      <c r="F327" s="4006"/>
      <c r="G327" s="4006"/>
    </row>
    <row r="328" spans="1:10" hidden="1">
      <c r="A328" s="3094"/>
      <c r="B328" s="3095" t="s">
        <v>1594</v>
      </c>
      <c r="C328" s="3137"/>
      <c r="D328" s="3095" t="s">
        <v>1595</v>
      </c>
      <c r="E328" s="3139"/>
      <c r="F328" s="3137"/>
      <c r="G328" s="3104"/>
    </row>
    <row r="329" spans="1:10" hidden="1">
      <c r="A329" s="3094"/>
      <c r="B329" s="3161" t="s">
        <v>10</v>
      </c>
      <c r="C329" s="3103"/>
      <c r="D329" s="3098"/>
      <c r="E329" s="3097"/>
      <c r="F329" s="3098"/>
      <c r="G329" s="3154"/>
    </row>
    <row r="330" spans="1:10" hidden="1">
      <c r="A330" s="3094"/>
      <c r="B330" s="3109" t="s">
        <v>1596</v>
      </c>
      <c r="C330" s="3103"/>
      <c r="D330" s="3098"/>
      <c r="E330" s="3097"/>
      <c r="F330" s="3098"/>
      <c r="G330" s="3154"/>
    </row>
    <row r="331" spans="1:10" hidden="1">
      <c r="A331" s="3094"/>
      <c r="B331" s="3090" t="s">
        <v>36</v>
      </c>
      <c r="C331" s="3095" t="s">
        <v>37</v>
      </c>
      <c r="D331" s="3090"/>
      <c r="E331" s="3091"/>
      <c r="F331" s="3092"/>
      <c r="G331" s="3155"/>
    </row>
    <row r="332" spans="1:10" hidden="1">
      <c r="A332" s="3094"/>
      <c r="B332" s="3099">
        <v>0.68</v>
      </c>
      <c r="C332" s="3097" t="s">
        <v>38</v>
      </c>
      <c r="D332" s="3098" t="s">
        <v>14</v>
      </c>
      <c r="E332" s="3099">
        <f>'SSR-rates'!$K$58</f>
        <v>575</v>
      </c>
      <c r="F332" s="3100" t="s">
        <v>38</v>
      </c>
      <c r="G332" s="3101">
        <f>ROUND(B332*E332,2)</f>
        <v>391</v>
      </c>
    </row>
    <row r="333" spans="1:10" hidden="1">
      <c r="A333" s="3094"/>
      <c r="B333" s="3099">
        <v>2</v>
      </c>
      <c r="C333" s="3097" t="s">
        <v>38</v>
      </c>
      <c r="D333" s="3098" t="s">
        <v>15</v>
      </c>
      <c r="E333" s="3099">
        <f>'SSR-rates'!$K$59</f>
        <v>575</v>
      </c>
      <c r="F333" s="3100" t="s">
        <v>38</v>
      </c>
      <c r="G333" s="3101">
        <f>ROUND(B333*E333,2)</f>
        <v>1150</v>
      </c>
    </row>
    <row r="334" spans="1:10" hidden="1">
      <c r="A334" s="3094"/>
      <c r="B334" s="3099">
        <v>15</v>
      </c>
      <c r="C334" s="3097" t="s">
        <v>38</v>
      </c>
      <c r="D334" s="3098" t="s">
        <v>59</v>
      </c>
      <c r="E334" s="3099">
        <f>'SSR-rates'!$K$60</f>
        <v>575</v>
      </c>
      <c r="F334" s="3100" t="s">
        <v>38</v>
      </c>
      <c r="G334" s="3101">
        <f>ROUND(B334*E334,2)</f>
        <v>8625</v>
      </c>
    </row>
    <row r="335" spans="1:10" hidden="1">
      <c r="A335" s="3094"/>
      <c r="B335" s="3102">
        <f>'Input Data'!$D$23</f>
        <v>0</v>
      </c>
      <c r="C335" s="3097"/>
      <c r="D335" s="3103" t="s">
        <v>17</v>
      </c>
      <c r="E335" s="3099"/>
      <c r="F335" s="3100"/>
      <c r="G335" s="3101">
        <f>(G333+G334+G332)*B335</f>
        <v>0</v>
      </c>
    </row>
    <row r="336" spans="1:10" hidden="1">
      <c r="A336" s="3094"/>
      <c r="B336" s="3100"/>
      <c r="C336" s="3098"/>
      <c r="D336" s="3098" t="s">
        <v>60</v>
      </c>
      <c r="E336" s="3097"/>
      <c r="F336" s="3098"/>
      <c r="G336" s="3114">
        <f>SUM(G332:G335)</f>
        <v>10166</v>
      </c>
    </row>
    <row r="337" spans="1:7" hidden="1">
      <c r="A337" s="3094"/>
      <c r="B337" s="3090" t="s">
        <v>39</v>
      </c>
      <c r="C337" s="3095" t="s">
        <v>40</v>
      </c>
      <c r="D337" s="3103"/>
      <c r="E337" s="3097"/>
      <c r="F337" s="3098"/>
      <c r="G337" s="3101"/>
    </row>
    <row r="338" spans="1:7" hidden="1">
      <c r="A338" s="3094"/>
      <c r="B338" s="3099">
        <v>14.4</v>
      </c>
      <c r="C338" s="3097" t="s">
        <v>41</v>
      </c>
      <c r="D338" s="3107" t="s">
        <v>1542</v>
      </c>
      <c r="E338" s="3099">
        <f>'SSR-rates'!$K$71</f>
        <v>520</v>
      </c>
      <c r="F338" s="3099" t="s">
        <v>41</v>
      </c>
      <c r="G338" s="3101">
        <f>ROUND(B338*E338,2)</f>
        <v>7488</v>
      </c>
    </row>
    <row r="339" spans="1:7" hidden="1">
      <c r="A339" s="3094"/>
      <c r="B339" s="3099">
        <v>6</v>
      </c>
      <c r="C339" s="3097" t="s">
        <v>41</v>
      </c>
      <c r="D339" s="3098" t="s">
        <v>1597</v>
      </c>
      <c r="E339" s="3099">
        <f>'SSR-rates'!$K$67</f>
        <v>3517.9</v>
      </c>
      <c r="F339" s="3099" t="s">
        <v>41</v>
      </c>
      <c r="G339" s="3101">
        <f>ROUND(B339*E339,2)</f>
        <v>21107.4</v>
      </c>
    </row>
    <row r="340" spans="1:7" hidden="1">
      <c r="A340" s="3094"/>
      <c r="B340" s="3099">
        <v>24</v>
      </c>
      <c r="C340" s="3097" t="s">
        <v>41</v>
      </c>
      <c r="D340" s="3098" t="s">
        <v>70</v>
      </c>
      <c r="E340" s="3099">
        <f>'SSR-rates'!$K$69</f>
        <v>769</v>
      </c>
      <c r="F340" s="3099" t="s">
        <v>41</v>
      </c>
      <c r="G340" s="3101">
        <f>ROUND(B340*E340,2)</f>
        <v>18456</v>
      </c>
    </row>
    <row r="341" spans="1:7" hidden="1">
      <c r="A341" s="3094"/>
      <c r="B341" s="3100"/>
      <c r="C341" s="3098"/>
      <c r="D341" s="3098" t="s">
        <v>60</v>
      </c>
      <c r="E341" s="3097"/>
      <c r="F341" s="3098"/>
      <c r="G341" s="3114">
        <f>SUM(G338:G340)</f>
        <v>47051.4</v>
      </c>
    </row>
    <row r="342" spans="1:7" hidden="1">
      <c r="A342" s="3094"/>
      <c r="B342" s="3100"/>
      <c r="C342" s="3098"/>
      <c r="D342" s="3095" t="s">
        <v>1598</v>
      </c>
      <c r="E342" s="3097"/>
      <c r="F342" s="3098"/>
      <c r="G342" s="3114"/>
    </row>
    <row r="343" spans="1:7" hidden="1">
      <c r="A343" s="3094"/>
      <c r="B343" s="3090" t="s">
        <v>27</v>
      </c>
      <c r="C343" s="3095" t="s">
        <v>61</v>
      </c>
      <c r="D343" s="3098"/>
      <c r="E343" s="3097"/>
      <c r="F343" s="3098"/>
      <c r="G343" s="3154"/>
    </row>
    <row r="344" spans="1:7" hidden="1">
      <c r="A344" s="3094"/>
      <c r="B344" s="3090"/>
      <c r="C344" s="3095"/>
      <c r="D344" s="3095" t="s">
        <v>1599</v>
      </c>
      <c r="E344" s="3097"/>
      <c r="F344" s="3098"/>
      <c r="G344" s="3154"/>
    </row>
    <row r="345" spans="1:7" ht="57.6" hidden="1">
      <c r="A345" s="3094"/>
      <c r="B345" s="3099"/>
      <c r="C345" s="3097"/>
      <c r="D345" s="3107" t="s">
        <v>1600</v>
      </c>
      <c r="E345" s="3105"/>
      <c r="F345" s="3100"/>
      <c r="G345" s="3154"/>
    </row>
    <row r="346" spans="1:7" hidden="1">
      <c r="A346" s="3094"/>
      <c r="B346" s="3099">
        <v>217.8</v>
      </c>
      <c r="C346" s="3097" t="s">
        <v>31</v>
      </c>
      <c r="D346" s="3107" t="s">
        <v>1601</v>
      </c>
      <c r="E346" s="3105">
        <f>(lead!$J$22)</f>
        <v>1361.8641904678079</v>
      </c>
      <c r="F346" s="3100" t="s">
        <v>73</v>
      </c>
      <c r="G346" s="3101">
        <f>B346*E346</f>
        <v>296614.02068388858</v>
      </c>
    </row>
    <row r="347" spans="1:7" hidden="1">
      <c r="A347" s="3094"/>
      <c r="B347" s="3099">
        <v>152.46</v>
      </c>
      <c r="C347" s="3097" t="s">
        <v>31</v>
      </c>
      <c r="D347" s="3107" t="s">
        <v>1602</v>
      </c>
      <c r="E347" s="3105">
        <f>lead!$J$21</f>
        <v>1500.6141904678079</v>
      </c>
      <c r="F347" s="3100" t="s">
        <v>73</v>
      </c>
      <c r="G347" s="3101">
        <f>B347*E347</f>
        <v>228783.63947872201</v>
      </c>
    </row>
    <row r="348" spans="1:7" hidden="1">
      <c r="A348" s="3094"/>
      <c r="B348" s="3099">
        <v>47.92</v>
      </c>
      <c r="C348" s="3097" t="s">
        <v>31</v>
      </c>
      <c r="D348" s="3107" t="s">
        <v>1603</v>
      </c>
      <c r="E348" s="3105">
        <f>lead!$J$20</f>
        <v>1590.8641904678079</v>
      </c>
      <c r="F348" s="3100" t="s">
        <v>73</v>
      </c>
      <c r="G348" s="3101">
        <f>B348*E348</f>
        <v>76234.212007217357</v>
      </c>
    </row>
    <row r="349" spans="1:7" ht="28.8" hidden="1">
      <c r="A349" s="3094"/>
      <c r="B349" s="3099">
        <v>17.420000000000002</v>
      </c>
      <c r="C349" s="3097" t="s">
        <v>31</v>
      </c>
      <c r="D349" s="3107" t="s">
        <v>1604</v>
      </c>
      <c r="E349" s="3105">
        <f>(lead!$J$7)</f>
        <v>1889.8641904678079</v>
      </c>
      <c r="F349" s="3100" t="s">
        <v>73</v>
      </c>
      <c r="G349" s="3101">
        <f>B349*E349</f>
        <v>32921.434197949216</v>
      </c>
    </row>
    <row r="350" spans="1:7" hidden="1">
      <c r="A350" s="3094"/>
      <c r="B350" s="3099"/>
      <c r="C350" s="3097"/>
      <c r="D350" s="3095" t="s">
        <v>1605</v>
      </c>
      <c r="E350" s="3105"/>
      <c r="F350" s="3100"/>
      <c r="G350" s="3101"/>
    </row>
    <row r="351" spans="1:7" ht="28.8" hidden="1">
      <c r="A351" s="3094"/>
      <c r="B351" s="3099">
        <v>96.01</v>
      </c>
      <c r="C351" s="3097" t="s">
        <v>31</v>
      </c>
      <c r="D351" s="3163" t="s">
        <v>1606</v>
      </c>
      <c r="E351" s="3105">
        <f>(lead!$J$9)</f>
        <v>1638.8641904678079</v>
      </c>
      <c r="F351" s="3100" t="s">
        <v>73</v>
      </c>
      <c r="G351" s="3101">
        <f>B351*E351</f>
        <v>157347.35092681425</v>
      </c>
    </row>
    <row r="352" spans="1:7" hidden="1">
      <c r="A352" s="3094"/>
      <c r="B352" s="3099"/>
      <c r="C352" s="3097"/>
      <c r="D352" s="3163" t="s">
        <v>1607</v>
      </c>
      <c r="E352" s="3105"/>
      <c r="F352" s="3100"/>
      <c r="G352" s="3101"/>
    </row>
    <row r="353" spans="1:8" ht="28.8" hidden="1">
      <c r="A353" s="3094"/>
      <c r="B353" s="3099">
        <v>28.8</v>
      </c>
      <c r="C353" s="3097" t="s">
        <v>31</v>
      </c>
      <c r="D353" s="3163" t="s">
        <v>1608</v>
      </c>
      <c r="E353" s="3105">
        <f>(lead!$J$34)</f>
        <v>250.09052501870349</v>
      </c>
      <c r="F353" s="3100" t="s">
        <v>73</v>
      </c>
      <c r="G353" s="3101">
        <f>B353*E353</f>
        <v>7202.6071205386606</v>
      </c>
    </row>
    <row r="354" spans="1:8" hidden="1">
      <c r="A354" s="3094"/>
      <c r="B354" s="3105">
        <v>144</v>
      </c>
      <c r="C354" s="3106" t="s">
        <v>1544</v>
      </c>
      <c r="D354" s="3107" t="s">
        <v>1545</v>
      </c>
      <c r="E354" s="3105">
        <f>IF(lead!$C$63="Y",'SSR-rates'!$K$112,0)</f>
        <v>0</v>
      </c>
      <c r="F354" s="3105" t="s">
        <v>41</v>
      </c>
      <c r="G354" s="3101">
        <f>ROUND(B354*E354,2)</f>
        <v>0</v>
      </c>
    </row>
    <row r="355" spans="1:8" hidden="1">
      <c r="A355" s="3094"/>
      <c r="B355" s="3161">
        <f>SUM(B346:B353)</f>
        <v>560.41</v>
      </c>
      <c r="C355" s="3097"/>
      <c r="D355" s="3107"/>
      <c r="E355" s="3099"/>
      <c r="F355" s="3100"/>
      <c r="G355" s="3154"/>
    </row>
    <row r="356" spans="1:8" hidden="1">
      <c r="A356" s="3094"/>
      <c r="B356" s="3100"/>
      <c r="C356" s="3098"/>
      <c r="D356" s="3098" t="s">
        <v>60</v>
      </c>
      <c r="E356" s="3097"/>
      <c r="F356" s="3098"/>
      <c r="G356" s="3114">
        <f>SUM(G346:G355)</f>
        <v>799103.26441513014</v>
      </c>
    </row>
    <row r="357" spans="1:8" hidden="1">
      <c r="A357" s="3094"/>
      <c r="B357" s="3090" t="s">
        <v>45</v>
      </c>
      <c r="C357" s="3095" t="s">
        <v>1189</v>
      </c>
      <c r="D357" s="3098"/>
      <c r="E357" s="3097"/>
      <c r="F357" s="3098"/>
      <c r="G357" s="3114"/>
    </row>
    <row r="358" spans="1:8" hidden="1">
      <c r="A358" s="3094"/>
      <c r="B358" s="3134">
        <f>'Input Data'!$D$24</f>
        <v>0.13614999999999999</v>
      </c>
      <c r="C358" s="3097"/>
      <c r="D358" s="3112" t="str">
        <f>"Over head charges &amp; CP  "&amp;'Input Data'!$D$24*100&amp;"%  on (A) + (B)+(C)"</f>
        <v>Over head charges &amp; CP  13.615%  on (A) + (B)+(C)</v>
      </c>
      <c r="E358" s="3097">
        <f>G356+G341+G336</f>
        <v>856320.66441513016</v>
      </c>
      <c r="F358" s="3098"/>
      <c r="G358" s="3101">
        <f>B358*E358</f>
        <v>116588.05846011997</v>
      </c>
    </row>
    <row r="359" spans="1:8" hidden="1">
      <c r="A359" s="3094"/>
      <c r="B359" s="3090" t="s">
        <v>47</v>
      </c>
      <c r="C359" s="3095" t="s">
        <v>89</v>
      </c>
      <c r="D359" s="3103"/>
      <c r="E359" s="3097"/>
      <c r="F359" s="3098"/>
      <c r="G359" s="3114">
        <f>G336+G341+G356+G358</f>
        <v>972908.72287525015</v>
      </c>
    </row>
    <row r="360" spans="1:8" hidden="1">
      <c r="A360" s="3094"/>
      <c r="B360" s="3100"/>
      <c r="C360" s="3103"/>
      <c r="D360" s="3095" t="s">
        <v>1609</v>
      </c>
      <c r="E360" s="3097"/>
      <c r="F360" s="3098"/>
      <c r="G360" s="3114">
        <f>SUM(G359)</f>
        <v>972908.72287525015</v>
      </c>
    </row>
    <row r="361" spans="1:8" hidden="1">
      <c r="A361" s="3094"/>
      <c r="B361" s="3100"/>
      <c r="C361" s="3098"/>
      <c r="D361" s="3095" t="s">
        <v>217</v>
      </c>
      <c r="E361" s="3097"/>
      <c r="F361" s="3098"/>
      <c r="G361" s="3101">
        <f>ROUND(G360/360,2)</f>
        <v>2702.52</v>
      </c>
    </row>
    <row r="362" spans="1:8" hidden="1">
      <c r="A362" s="3094"/>
      <c r="B362" s="3100"/>
      <c r="C362" s="3098"/>
      <c r="D362" s="3095" t="s">
        <v>52</v>
      </c>
      <c r="E362" s="3097"/>
      <c r="F362" s="3098"/>
      <c r="G362" s="3114">
        <f>ROUND(G361,2)</f>
        <v>2702.52</v>
      </c>
      <c r="H362" s="3088" t="s">
        <v>907</v>
      </c>
    </row>
    <row r="363" spans="1:8" hidden="1">
      <c r="A363" s="3094"/>
      <c r="B363" s="3100"/>
      <c r="C363" s="3098"/>
      <c r="D363" s="3098"/>
      <c r="E363" s="3097"/>
      <c r="F363" s="3098"/>
      <c r="G363" s="3155" t="s">
        <v>53</v>
      </c>
    </row>
    <row r="364" spans="1:8" hidden="1">
      <c r="A364" s="3094"/>
      <c r="B364" s="3100"/>
      <c r="C364" s="3098"/>
      <c r="D364" s="3098"/>
      <c r="E364" s="3097"/>
      <c r="F364" s="3098"/>
      <c r="G364" s="3155"/>
    </row>
    <row r="365" spans="1:8" hidden="1">
      <c r="A365" s="3094">
        <f>A326+1</f>
        <v>7</v>
      </c>
      <c r="B365" s="3095" t="s">
        <v>1610</v>
      </c>
      <c r="C365" s="3098"/>
      <c r="D365" s="3098"/>
      <c r="E365" s="3097"/>
      <c r="F365" s="3098"/>
      <c r="G365" s="3157"/>
    </row>
    <row r="366" spans="1:8" hidden="1">
      <c r="A366" s="3094"/>
      <c r="B366" s="4006" t="s">
        <v>1611</v>
      </c>
      <c r="C366" s="4006"/>
      <c r="D366" s="4006"/>
      <c r="E366" s="4006"/>
      <c r="F366" s="4006"/>
      <c r="G366" s="4006"/>
    </row>
    <row r="367" spans="1:8" hidden="1">
      <c r="A367" s="3094"/>
      <c r="B367" s="3098" t="s">
        <v>1594</v>
      </c>
      <c r="C367" s="3137"/>
      <c r="D367" s="3095"/>
      <c r="E367" s="3109" t="s">
        <v>1595</v>
      </c>
      <c r="F367" s="3137"/>
      <c r="G367" s="3104"/>
    </row>
    <row r="368" spans="1:8" hidden="1">
      <c r="A368" s="3094"/>
      <c r="B368" s="3161" t="s">
        <v>10</v>
      </c>
      <c r="C368" s="3103"/>
      <c r="D368" s="3098"/>
      <c r="E368" s="3097"/>
      <c r="F368" s="3098"/>
      <c r="G368" s="3154"/>
    </row>
    <row r="369" spans="1:7" hidden="1">
      <c r="A369" s="3094"/>
      <c r="B369" s="3109" t="s">
        <v>1596</v>
      </c>
      <c r="C369" s="3103"/>
      <c r="D369" s="3098"/>
      <c r="E369" s="3097"/>
      <c r="F369" s="3098"/>
      <c r="G369" s="3154"/>
    </row>
    <row r="370" spans="1:7" hidden="1">
      <c r="A370" s="3094"/>
      <c r="B370" s="3090" t="s">
        <v>36</v>
      </c>
      <c r="C370" s="3095" t="s">
        <v>37</v>
      </c>
      <c r="D370" s="3090"/>
      <c r="E370" s="3091"/>
      <c r="F370" s="3092"/>
      <c r="G370" s="3155"/>
    </row>
    <row r="371" spans="1:7" hidden="1">
      <c r="A371" s="3094"/>
      <c r="B371" s="3099">
        <v>0.68</v>
      </c>
      <c r="C371" s="3097" t="s">
        <v>38</v>
      </c>
      <c r="D371" s="3098" t="s">
        <v>14</v>
      </c>
      <c r="E371" s="3099">
        <f>'SSR-rates'!$K$58</f>
        <v>575</v>
      </c>
      <c r="F371" s="3100" t="s">
        <v>38</v>
      </c>
      <c r="G371" s="3101">
        <f>ROUND(B371*E371,2)</f>
        <v>391</v>
      </c>
    </row>
    <row r="372" spans="1:7" hidden="1">
      <c r="A372" s="3094"/>
      <c r="B372" s="3099">
        <v>2</v>
      </c>
      <c r="C372" s="3097" t="s">
        <v>38</v>
      </c>
      <c r="D372" s="3098" t="s">
        <v>15</v>
      </c>
      <c r="E372" s="3099">
        <f>'SSR-rates'!$K$59</f>
        <v>575</v>
      </c>
      <c r="F372" s="3100" t="s">
        <v>38</v>
      </c>
      <c r="G372" s="3101">
        <f>ROUND(B372*E372,2)</f>
        <v>1150</v>
      </c>
    </row>
    <row r="373" spans="1:7" hidden="1">
      <c r="A373" s="3094"/>
      <c r="B373" s="3099">
        <v>15</v>
      </c>
      <c r="C373" s="3097" t="s">
        <v>38</v>
      </c>
      <c r="D373" s="3098" t="s">
        <v>59</v>
      </c>
      <c r="E373" s="3099">
        <f>'SSR-rates'!$K$60</f>
        <v>575</v>
      </c>
      <c r="F373" s="3100" t="s">
        <v>38</v>
      </c>
      <c r="G373" s="3101">
        <f>ROUND(B373*E373,2)</f>
        <v>8625</v>
      </c>
    </row>
    <row r="374" spans="1:7" hidden="1">
      <c r="A374" s="3094"/>
      <c r="B374" s="3102">
        <f>'Input Data'!$D$23</f>
        <v>0</v>
      </c>
      <c r="C374" s="3097"/>
      <c r="D374" s="3103" t="s">
        <v>17</v>
      </c>
      <c r="E374" s="3099"/>
      <c r="F374" s="3100"/>
      <c r="G374" s="3101">
        <f>(G372+G373+G371)*B374</f>
        <v>0</v>
      </c>
    </row>
    <row r="375" spans="1:7" hidden="1">
      <c r="A375" s="3094"/>
      <c r="B375" s="3100"/>
      <c r="C375" s="3098"/>
      <c r="D375" s="3098" t="s">
        <v>60</v>
      </c>
      <c r="E375" s="3097"/>
      <c r="F375" s="3098"/>
      <c r="G375" s="3114">
        <f>SUM(G371:G374)</f>
        <v>10166</v>
      </c>
    </row>
    <row r="376" spans="1:7" hidden="1">
      <c r="A376" s="3094"/>
      <c r="B376" s="3090" t="s">
        <v>39</v>
      </c>
      <c r="C376" s="3095" t="s">
        <v>40</v>
      </c>
      <c r="D376" s="3103"/>
      <c r="E376" s="3097"/>
      <c r="F376" s="3098"/>
      <c r="G376" s="3101"/>
    </row>
    <row r="377" spans="1:7" hidden="1">
      <c r="A377" s="3094"/>
      <c r="B377" s="3099">
        <v>14.4</v>
      </c>
      <c r="C377" s="3097" t="s">
        <v>41</v>
      </c>
      <c r="D377" s="3107" t="s">
        <v>1542</v>
      </c>
      <c r="E377" s="3099">
        <f>'SSR-rates'!$K$71</f>
        <v>520</v>
      </c>
      <c r="F377" s="3099" t="s">
        <v>41</v>
      </c>
      <c r="G377" s="3101">
        <f>ROUND(B377*E377,2)</f>
        <v>7488</v>
      </c>
    </row>
    <row r="378" spans="1:7" hidden="1">
      <c r="A378" s="3094"/>
      <c r="B378" s="3099">
        <v>6</v>
      </c>
      <c r="C378" s="3097" t="s">
        <v>41</v>
      </c>
      <c r="D378" s="3098" t="s">
        <v>1597</v>
      </c>
      <c r="E378" s="3099">
        <f>'SSR-rates'!$K$67</f>
        <v>3517.9</v>
      </c>
      <c r="F378" s="3099" t="s">
        <v>41</v>
      </c>
      <c r="G378" s="3101">
        <f>ROUND(B378*E378,2)</f>
        <v>21107.4</v>
      </c>
    </row>
    <row r="379" spans="1:7" hidden="1">
      <c r="A379" s="3094"/>
      <c r="B379" s="3099">
        <v>24</v>
      </c>
      <c r="C379" s="3097" t="s">
        <v>41</v>
      </c>
      <c r="D379" s="3098" t="s">
        <v>70</v>
      </c>
      <c r="E379" s="3099">
        <f>'SSR-rates'!$K$69</f>
        <v>769</v>
      </c>
      <c r="F379" s="3099" t="s">
        <v>41</v>
      </c>
      <c r="G379" s="3101">
        <f>ROUND(B379*E379,2)</f>
        <v>18456</v>
      </c>
    </row>
    <row r="380" spans="1:7" hidden="1">
      <c r="A380" s="3094"/>
      <c r="B380" s="3100"/>
      <c r="C380" s="3098"/>
      <c r="D380" s="3098" t="s">
        <v>60</v>
      </c>
      <c r="E380" s="3097"/>
      <c r="F380" s="3098"/>
      <c r="G380" s="3114">
        <f>SUM(G377:G379)</f>
        <v>47051.4</v>
      </c>
    </row>
    <row r="381" spans="1:7" hidden="1">
      <c r="A381" s="3094"/>
      <c r="B381" s="3100"/>
      <c r="C381" s="3098"/>
      <c r="D381" s="3095" t="s">
        <v>1612</v>
      </c>
      <c r="E381" s="3097"/>
      <c r="F381" s="3098"/>
      <c r="G381" s="3114"/>
    </row>
    <row r="382" spans="1:7" hidden="1">
      <c r="A382" s="3094"/>
      <c r="B382" s="3090" t="s">
        <v>27</v>
      </c>
      <c r="C382" s="3095" t="s">
        <v>61</v>
      </c>
      <c r="D382" s="3098"/>
      <c r="E382" s="3097"/>
      <c r="F382" s="3098"/>
      <c r="G382" s="3154"/>
    </row>
    <row r="383" spans="1:7" hidden="1">
      <c r="A383" s="3094"/>
      <c r="B383" s="3090"/>
      <c r="C383" s="3095"/>
      <c r="D383" s="3095" t="s">
        <v>1599</v>
      </c>
      <c r="E383" s="3097"/>
      <c r="F383" s="3098"/>
      <c r="G383" s="3154"/>
    </row>
    <row r="384" spans="1:7" ht="43.2" hidden="1">
      <c r="A384" s="3094"/>
      <c r="B384" s="3099"/>
      <c r="C384" s="3097"/>
      <c r="D384" s="3107" t="s">
        <v>1613</v>
      </c>
      <c r="E384" s="3105"/>
      <c r="F384" s="3100"/>
      <c r="G384" s="3154"/>
    </row>
    <row r="385" spans="1:8" ht="28.8" hidden="1">
      <c r="A385" s="3094"/>
      <c r="B385" s="3099">
        <v>357.19</v>
      </c>
      <c r="C385" s="3097" t="s">
        <v>31</v>
      </c>
      <c r="D385" s="3107" t="s">
        <v>1614</v>
      </c>
      <c r="E385" s="3105">
        <f>(lead!$J$5)</f>
        <v>1590.8641904678079</v>
      </c>
      <c r="F385" s="3100" t="s">
        <v>73</v>
      </c>
      <c r="G385" s="3101">
        <f>B385*E385</f>
        <v>568240.78019319626</v>
      </c>
    </row>
    <row r="386" spans="1:8" ht="28.8" hidden="1">
      <c r="A386" s="3094"/>
      <c r="B386" s="3099">
        <v>78.41</v>
      </c>
      <c r="C386" s="3097" t="s">
        <v>31</v>
      </c>
      <c r="D386" s="3107" t="s">
        <v>1615</v>
      </c>
      <c r="E386" s="3105">
        <f>(lead!$J$7)</f>
        <v>1889.8641904678079</v>
      </c>
      <c r="F386" s="3100" t="s">
        <v>73</v>
      </c>
      <c r="G386" s="3101">
        <f>B386*E386</f>
        <v>148184.2511745808</v>
      </c>
    </row>
    <row r="387" spans="1:8" hidden="1">
      <c r="A387" s="3094"/>
      <c r="B387" s="3099"/>
      <c r="C387" s="3097"/>
      <c r="D387" s="3095" t="s">
        <v>1605</v>
      </c>
      <c r="E387" s="3105"/>
      <c r="F387" s="3100"/>
      <c r="G387" s="3101"/>
    </row>
    <row r="388" spans="1:8" ht="28.8" hidden="1">
      <c r="A388" s="3094"/>
      <c r="B388" s="3099">
        <v>86.4</v>
      </c>
      <c r="C388" s="3097" t="s">
        <v>31</v>
      </c>
      <c r="D388" s="3163" t="s">
        <v>1616</v>
      </c>
      <c r="E388" s="3105">
        <f>(lead!$J$9)</f>
        <v>1638.8641904678079</v>
      </c>
      <c r="F388" s="3100" t="s">
        <v>73</v>
      </c>
      <c r="G388" s="3101">
        <f>B388*E388</f>
        <v>141597.86605641863</v>
      </c>
    </row>
    <row r="389" spans="1:8" hidden="1">
      <c r="A389" s="3094"/>
      <c r="B389" s="3099"/>
      <c r="C389" s="3097"/>
      <c r="D389" s="3163" t="s">
        <v>1607</v>
      </c>
      <c r="E389" s="3105"/>
      <c r="F389" s="3100"/>
      <c r="G389" s="3101"/>
    </row>
    <row r="390" spans="1:8" ht="28.8" hidden="1">
      <c r="A390" s="3094"/>
      <c r="B390" s="3099">
        <v>0</v>
      </c>
      <c r="C390" s="3097" t="s">
        <v>31</v>
      </c>
      <c r="D390" s="3163" t="s">
        <v>1608</v>
      </c>
      <c r="E390" s="3105">
        <f>(lead!$J$34)</f>
        <v>250.09052501870349</v>
      </c>
      <c r="F390" s="3100" t="s">
        <v>73</v>
      </c>
      <c r="G390" s="3101">
        <f>B390*E390</f>
        <v>0</v>
      </c>
    </row>
    <row r="391" spans="1:8" hidden="1">
      <c r="A391" s="3094"/>
      <c r="B391" s="3099">
        <v>144</v>
      </c>
      <c r="C391" s="3097" t="s">
        <v>1544</v>
      </c>
      <c r="D391" s="3163" t="s">
        <v>1617</v>
      </c>
      <c r="E391" s="3105">
        <f>IF(lead!$C$63="Y",'SSR-rates'!$K$112,0)</f>
        <v>0</v>
      </c>
      <c r="F391" s="3105" t="s">
        <v>41</v>
      </c>
      <c r="G391" s="3101">
        <f>ROUND(B391*E391,2)</f>
        <v>0</v>
      </c>
    </row>
    <row r="392" spans="1:8" hidden="1">
      <c r="A392" s="3094"/>
      <c r="B392" s="3100"/>
      <c r="C392" s="3098"/>
      <c r="D392" s="3098" t="s">
        <v>60</v>
      </c>
      <c r="E392" s="3097"/>
      <c r="F392" s="3098"/>
      <c r="G392" s="3114">
        <f>SUM(G385:G391)</f>
        <v>858022.89742419566</v>
      </c>
    </row>
    <row r="393" spans="1:8" hidden="1">
      <c r="A393" s="3094"/>
      <c r="B393" s="3090" t="s">
        <v>45</v>
      </c>
      <c r="C393" s="3095" t="s">
        <v>1189</v>
      </c>
      <c r="D393" s="3098"/>
      <c r="E393" s="3097"/>
      <c r="F393" s="3098"/>
      <c r="G393" s="3114"/>
    </row>
    <row r="394" spans="1:8" hidden="1">
      <c r="A394" s="3094"/>
      <c r="B394" s="3134">
        <f>'Input Data'!$D$24</f>
        <v>0.13614999999999999</v>
      </c>
      <c r="C394" s="3097"/>
      <c r="D394" s="3159" t="str">
        <f>"Over head charges &amp; CP "&amp;'Input Data'!$D$24*100&amp;"%  on (A) + (B)+(C)"</f>
        <v>Over head charges &amp; CP 13.615%  on (A) + (B)+(C)</v>
      </c>
      <c r="E394" s="3097">
        <f>G392+G380+G375</f>
        <v>915240.29742419568</v>
      </c>
      <c r="F394" s="3098"/>
      <c r="G394" s="3101">
        <f>B394*E394</f>
        <v>124609.96649430423</v>
      </c>
    </row>
    <row r="395" spans="1:8" hidden="1">
      <c r="A395" s="3094"/>
      <c r="B395" s="3090" t="s">
        <v>47</v>
      </c>
      <c r="C395" s="3095" t="s">
        <v>89</v>
      </c>
      <c r="D395" s="3103"/>
      <c r="E395" s="3097"/>
      <c r="F395" s="3098"/>
      <c r="G395" s="3114">
        <f>G375+G380+G392+G394</f>
        <v>1039850.2639184999</v>
      </c>
    </row>
    <row r="396" spans="1:8" hidden="1">
      <c r="A396" s="3094"/>
      <c r="B396" s="3100"/>
      <c r="C396" s="3103"/>
      <c r="D396" s="3095" t="s">
        <v>1609</v>
      </c>
      <c r="E396" s="3097"/>
      <c r="F396" s="3098"/>
      <c r="G396" s="3114">
        <f>SUM(G395)</f>
        <v>1039850.2639184999</v>
      </c>
    </row>
    <row r="397" spans="1:8" hidden="1">
      <c r="A397" s="3094"/>
      <c r="B397" s="3100"/>
      <c r="C397" s="3098"/>
      <c r="D397" s="3095" t="s">
        <v>217</v>
      </c>
      <c r="E397" s="3097"/>
      <c r="F397" s="3098"/>
      <c r="G397" s="3101">
        <f>ROUND(G396/360,2)</f>
        <v>2888.47</v>
      </c>
    </row>
    <row r="398" spans="1:8" hidden="1">
      <c r="A398" s="3094"/>
      <c r="B398" s="3100"/>
      <c r="C398" s="3098"/>
      <c r="D398" s="3095" t="s">
        <v>52</v>
      </c>
      <c r="E398" s="3097"/>
      <c r="F398" s="3098"/>
      <c r="G398" s="3114">
        <f>ROUND(G397,2)</f>
        <v>2888.47</v>
      </c>
      <c r="H398" s="3088" t="s">
        <v>907</v>
      </c>
    </row>
    <row r="399" spans="1:8" hidden="1">
      <c r="A399" s="3094"/>
      <c r="B399" s="3100"/>
      <c r="C399" s="3098"/>
      <c r="D399" s="3098"/>
      <c r="E399" s="3097"/>
      <c r="F399" s="3098"/>
      <c r="G399" s="3155" t="s">
        <v>53</v>
      </c>
    </row>
    <row r="400" spans="1:8" ht="114.9" hidden="1" customHeight="1">
      <c r="A400" s="3094">
        <v>6</v>
      </c>
      <c r="B400" s="4006" t="s">
        <v>1618</v>
      </c>
      <c r="C400" s="4006"/>
      <c r="D400" s="4006"/>
      <c r="E400" s="4006"/>
      <c r="F400" s="4006"/>
      <c r="G400" s="4006"/>
    </row>
    <row r="401" spans="1:7" hidden="1">
      <c r="A401" s="3094"/>
      <c r="B401" s="3090" t="s">
        <v>10</v>
      </c>
      <c r="C401" s="3098"/>
      <c r="D401" s="3095" t="s">
        <v>1619</v>
      </c>
      <c r="E401" s="3097"/>
      <c r="F401" s="3098"/>
      <c r="G401" s="3104"/>
    </row>
    <row r="402" spans="1:7" hidden="1">
      <c r="A402" s="3094"/>
      <c r="B402" s="3095" t="s">
        <v>1620</v>
      </c>
      <c r="C402" s="3098"/>
      <c r="D402" s="3098"/>
      <c r="E402" s="3097"/>
      <c r="F402" s="3098"/>
      <c r="G402" s="3104"/>
    </row>
    <row r="403" spans="1:7" hidden="1">
      <c r="A403" s="3094"/>
      <c r="B403" s="3164" t="s">
        <v>36</v>
      </c>
      <c r="C403" s="3165" t="s">
        <v>37</v>
      </c>
      <c r="D403" s="3103"/>
      <c r="E403" s="3097"/>
      <c r="F403" s="3098"/>
      <c r="G403" s="3104"/>
    </row>
    <row r="404" spans="1:7" hidden="1">
      <c r="A404" s="3094"/>
      <c r="B404" s="3099">
        <v>0.48</v>
      </c>
      <c r="C404" s="3097" t="s">
        <v>1169</v>
      </c>
      <c r="D404" s="3098" t="s">
        <v>14</v>
      </c>
      <c r="E404" s="3099">
        <f>'SSR-rates'!$K$58</f>
        <v>575</v>
      </c>
      <c r="F404" s="3099" t="s">
        <v>38</v>
      </c>
      <c r="G404" s="3101">
        <f>ROUND(B404*E404,2)</f>
        <v>276</v>
      </c>
    </row>
    <row r="405" spans="1:7" hidden="1">
      <c r="A405" s="3094"/>
      <c r="B405" s="3099">
        <v>2</v>
      </c>
      <c r="C405" s="3097" t="s">
        <v>1169</v>
      </c>
      <c r="D405" s="3098" t="s">
        <v>15</v>
      </c>
      <c r="E405" s="3099">
        <f>'SSR-rates'!$K$59</f>
        <v>575</v>
      </c>
      <c r="F405" s="3099" t="s">
        <v>38</v>
      </c>
      <c r="G405" s="3101">
        <f>ROUND(B405*E405,2)</f>
        <v>1150</v>
      </c>
    </row>
    <row r="406" spans="1:7" hidden="1">
      <c r="A406" s="3094"/>
      <c r="B406" s="3099">
        <v>10</v>
      </c>
      <c r="C406" s="3097" t="s">
        <v>1169</v>
      </c>
      <c r="D406" s="3098" t="s">
        <v>312</v>
      </c>
      <c r="E406" s="3099">
        <f>'SSR-rates'!$K$60</f>
        <v>575</v>
      </c>
      <c r="F406" s="3099" t="s">
        <v>38</v>
      </c>
      <c r="G406" s="3101">
        <f>ROUND(B406*E406,2)</f>
        <v>5750</v>
      </c>
    </row>
    <row r="407" spans="1:7" hidden="1">
      <c r="A407" s="3094"/>
      <c r="B407" s="3102">
        <f>'Input Data'!$D$23</f>
        <v>0</v>
      </c>
      <c r="C407" s="3097"/>
      <c r="D407" s="3103" t="s">
        <v>17</v>
      </c>
      <c r="E407" s="3099"/>
      <c r="F407" s="3100"/>
      <c r="G407" s="3101">
        <f>(G405+G406+G404)*B407</f>
        <v>0</v>
      </c>
    </row>
    <row r="408" spans="1:7" s="3166" customFormat="1" hidden="1">
      <c r="A408" s="3094"/>
      <c r="B408" s="3161"/>
      <c r="C408" s="3161"/>
      <c r="D408" s="3095" t="s">
        <v>60</v>
      </c>
      <c r="E408" s="3161"/>
      <c r="F408" s="3095"/>
      <c r="G408" s="3114">
        <f>SUM(G404:G407)</f>
        <v>7176</v>
      </c>
    </row>
    <row r="409" spans="1:7" hidden="1">
      <c r="A409" s="3094"/>
      <c r="B409" s="3164" t="s">
        <v>39</v>
      </c>
      <c r="C409" s="3165" t="s">
        <v>40</v>
      </c>
      <c r="D409" s="3103"/>
      <c r="E409" s="3099"/>
      <c r="F409" s="3098"/>
      <c r="G409" s="3104"/>
    </row>
    <row r="410" spans="1:7" hidden="1">
      <c r="A410" s="3094"/>
      <c r="B410" s="3099">
        <v>8.25</v>
      </c>
      <c r="C410" s="3097" t="s">
        <v>41</v>
      </c>
      <c r="D410" s="3098" t="s">
        <v>1621</v>
      </c>
      <c r="E410" s="3099">
        <f>'SSR-rates'!$K$74</f>
        <v>2028</v>
      </c>
      <c r="F410" s="3099" t="s">
        <v>41</v>
      </c>
      <c r="G410" s="3101">
        <f t="shared" ref="G410:G415" si="1">ROUND(B410*E410,2)</f>
        <v>16731</v>
      </c>
    </row>
    <row r="411" spans="1:7" hidden="1">
      <c r="A411" s="3094"/>
      <c r="B411" s="3099">
        <v>6</v>
      </c>
      <c r="C411" s="3097" t="s">
        <v>41</v>
      </c>
      <c r="D411" s="3098" t="s">
        <v>1622</v>
      </c>
      <c r="E411" s="3099">
        <f>'SSR-rates'!$K$86</f>
        <v>1626</v>
      </c>
      <c r="F411" s="3099" t="s">
        <v>41</v>
      </c>
      <c r="G411" s="3101">
        <f t="shared" si="1"/>
        <v>9756</v>
      </c>
    </row>
    <row r="412" spans="1:7" hidden="1">
      <c r="A412" s="3094"/>
      <c r="B412" s="3099">
        <v>6</v>
      </c>
      <c r="C412" s="3097" t="s">
        <v>41</v>
      </c>
      <c r="D412" s="3098" t="s">
        <v>1623</v>
      </c>
      <c r="E412" s="3099">
        <f>'SSR-rates'!$K$65</f>
        <v>2028</v>
      </c>
      <c r="F412" s="3099" t="s">
        <v>41</v>
      </c>
      <c r="G412" s="3101">
        <f t="shared" si="1"/>
        <v>12168</v>
      </c>
    </row>
    <row r="413" spans="1:7" hidden="1">
      <c r="A413" s="3094"/>
      <c r="B413" s="3099">
        <v>6</v>
      </c>
      <c r="C413" s="3097" t="s">
        <v>41</v>
      </c>
      <c r="D413" s="3098" t="s">
        <v>1624</v>
      </c>
      <c r="E413" s="3099">
        <f>'SSR-rates'!$K$80</f>
        <v>2771</v>
      </c>
      <c r="F413" s="3099" t="s">
        <v>41</v>
      </c>
      <c r="G413" s="3101">
        <f t="shared" si="1"/>
        <v>16626</v>
      </c>
    </row>
    <row r="414" spans="1:7" hidden="1">
      <c r="A414" s="3094"/>
      <c r="B414" s="3099">
        <v>3.9</v>
      </c>
      <c r="C414" s="3097" t="s">
        <v>41</v>
      </c>
      <c r="D414" s="3098" t="s">
        <v>1625</v>
      </c>
      <c r="E414" s="3099">
        <f>'SSR-rates'!$K$67</f>
        <v>3517.9</v>
      </c>
      <c r="F414" s="3099" t="s">
        <v>41</v>
      </c>
      <c r="G414" s="3101">
        <f t="shared" si="1"/>
        <v>13719.81</v>
      </c>
    </row>
    <row r="415" spans="1:7" hidden="1">
      <c r="A415" s="3094"/>
      <c r="B415" s="3099">
        <v>3</v>
      </c>
      <c r="C415" s="3097" t="s">
        <v>41</v>
      </c>
      <c r="D415" s="3098" t="s">
        <v>1626</v>
      </c>
      <c r="E415" s="3099">
        <f>'SSR-rates'!$K$69</f>
        <v>769</v>
      </c>
      <c r="F415" s="3099" t="s">
        <v>41</v>
      </c>
      <c r="G415" s="3101">
        <f t="shared" si="1"/>
        <v>2307</v>
      </c>
    </row>
    <row r="416" spans="1:7" hidden="1">
      <c r="A416" s="3094"/>
      <c r="B416" s="3100"/>
      <c r="C416" s="3098"/>
      <c r="D416" s="3098" t="s">
        <v>60</v>
      </c>
      <c r="E416" s="3099"/>
      <c r="F416" s="3098"/>
      <c r="G416" s="3114">
        <f>SUM(G410:G415)</f>
        <v>71307.81</v>
      </c>
    </row>
    <row r="417" spans="1:8" hidden="1">
      <c r="A417" s="3094"/>
      <c r="B417" s="3164" t="s">
        <v>27</v>
      </c>
      <c r="C417" s="3165" t="s">
        <v>61</v>
      </c>
      <c r="D417" s="3103"/>
      <c r="E417" s="3099"/>
      <c r="F417" s="3098"/>
      <c r="G417" s="3104"/>
    </row>
    <row r="418" spans="1:8" ht="28.8" hidden="1">
      <c r="A418" s="3094"/>
      <c r="B418" s="3099">
        <v>89.1</v>
      </c>
      <c r="C418" s="3097" t="s">
        <v>31</v>
      </c>
      <c r="D418" s="3107" t="s">
        <v>1627</v>
      </c>
      <c r="E418" s="3099">
        <f>(lead!J5+lead!J6+lead!J7)/3</f>
        <v>1753.5308571344747</v>
      </c>
      <c r="F418" s="3100" t="s">
        <v>31</v>
      </c>
      <c r="G418" s="3101">
        <f>ROUND(B418*E418,2)</f>
        <v>156239.6</v>
      </c>
    </row>
    <row r="419" spans="1:8" hidden="1">
      <c r="A419" s="3094"/>
      <c r="B419" s="3099"/>
      <c r="C419" s="3097"/>
      <c r="D419" s="3098" t="s">
        <v>1628</v>
      </c>
      <c r="E419" s="3099"/>
      <c r="F419" s="3100"/>
      <c r="G419" s="3101"/>
    </row>
    <row r="420" spans="1:8" ht="28.8" hidden="1">
      <c r="A420" s="3094"/>
      <c r="B420" s="3099">
        <v>118.8</v>
      </c>
      <c r="C420" s="3097" t="s">
        <v>31</v>
      </c>
      <c r="D420" s="3107" t="s">
        <v>1629</v>
      </c>
      <c r="E420" s="3099">
        <f>(lead!J7+lead!J8+lead!J9+lead!J10+lead!J11)/5</f>
        <v>1682.8641904678079</v>
      </c>
      <c r="F420" s="3100" t="s">
        <v>31</v>
      </c>
      <c r="G420" s="3101">
        <f>ROUND(B420*E420,2)</f>
        <v>199924.27</v>
      </c>
    </row>
    <row r="421" spans="1:8" hidden="1">
      <c r="A421" s="3094"/>
      <c r="B421" s="3099"/>
      <c r="C421" s="3097"/>
      <c r="D421" s="3098" t="s">
        <v>1630</v>
      </c>
      <c r="E421" s="3099"/>
      <c r="F421" s="3100"/>
      <c r="G421" s="3101"/>
    </row>
    <row r="422" spans="1:8" hidden="1">
      <c r="A422" s="3094"/>
      <c r="B422" s="3099">
        <v>89.1</v>
      </c>
      <c r="C422" s="3097" t="s">
        <v>31</v>
      </c>
      <c r="D422" s="3167" t="s">
        <v>1631</v>
      </c>
      <c r="E422" s="3099">
        <f>lead!J12</f>
        <v>1568.1141904678079</v>
      </c>
      <c r="F422" s="3100" t="s">
        <v>31</v>
      </c>
      <c r="G422" s="3101">
        <f>ROUND(B422*E422,2)</f>
        <v>139718.97</v>
      </c>
    </row>
    <row r="423" spans="1:8" hidden="1">
      <c r="A423" s="3094"/>
      <c r="B423" s="3105">
        <v>18</v>
      </c>
      <c r="C423" s="3106" t="s">
        <v>1544</v>
      </c>
      <c r="D423" s="3107" t="s">
        <v>1545</v>
      </c>
      <c r="E423" s="3105">
        <f>IF(lead!$C$63="Y",'SSR-rates'!$K$112,0)</f>
        <v>0</v>
      </c>
      <c r="F423" s="3105" t="s">
        <v>41</v>
      </c>
      <c r="G423" s="3101">
        <f>ROUND(B423*E423,2)</f>
        <v>0</v>
      </c>
    </row>
    <row r="424" spans="1:8" hidden="1">
      <c r="A424" s="3094"/>
      <c r="B424" s="3099"/>
      <c r="C424" s="3097"/>
      <c r="D424" s="3098" t="s">
        <v>60</v>
      </c>
      <c r="E424" s="3097"/>
      <c r="F424" s="3098"/>
      <c r="G424" s="3114">
        <f>SUM(G418:G423)</f>
        <v>495882.83999999997</v>
      </c>
    </row>
    <row r="425" spans="1:8" hidden="1">
      <c r="A425" s="3094"/>
      <c r="B425" s="3090" t="s">
        <v>45</v>
      </c>
      <c r="C425" s="3095" t="s">
        <v>1189</v>
      </c>
      <c r="D425" s="3098"/>
      <c r="E425" s="3097"/>
      <c r="F425" s="3098"/>
      <c r="G425" s="3114"/>
    </row>
    <row r="426" spans="1:8" hidden="1">
      <c r="A426" s="3094"/>
      <c r="B426" s="3134">
        <f>'Input Data'!$D$24</f>
        <v>0.13614999999999999</v>
      </c>
      <c r="C426" s="3097"/>
      <c r="D426" s="3112" t="str">
        <f>"Over head charges &amp; CP "&amp;'Input Data'!$D$24*100&amp;"%  on (A) + (B)+(C)"</f>
        <v>Over head charges &amp; CP 13.615%  on (A) + (B)+(C)</v>
      </c>
      <c r="E426" s="3101">
        <f>G424+G416+G408</f>
        <v>574366.64999999991</v>
      </c>
      <c r="F426" s="3098"/>
      <c r="G426" s="3101">
        <f>E426*B426</f>
        <v>78200.019397499986</v>
      </c>
    </row>
    <row r="427" spans="1:8" hidden="1">
      <c r="A427" s="3094"/>
      <c r="B427" s="3146">
        <f>'Input Data'!$E$24</f>
        <v>0.1</v>
      </c>
      <c r="C427" s="3111" t="s">
        <v>1220</v>
      </c>
      <c r="D427" s="3103"/>
      <c r="E427" s="3113">
        <f>E426+G426</f>
        <v>652566.66939749988</v>
      </c>
      <c r="F427" s="3103"/>
      <c r="G427" s="3101">
        <f>E427*B427</f>
        <v>65256.666939749994</v>
      </c>
    </row>
    <row r="428" spans="1:8" hidden="1">
      <c r="A428" s="3094"/>
      <c r="B428" s="3090" t="s">
        <v>47</v>
      </c>
      <c r="C428" s="3095" t="s">
        <v>89</v>
      </c>
      <c r="D428" s="3103"/>
      <c r="E428" s="3097"/>
      <c r="F428" s="3098"/>
      <c r="G428" s="3114">
        <f>G408+G416+G424+G426+G427</f>
        <v>717823.33633724984</v>
      </c>
    </row>
    <row r="429" spans="1:8" hidden="1">
      <c r="A429" s="3094"/>
      <c r="B429" s="3099"/>
      <c r="C429" s="3097"/>
      <c r="D429" s="3098" t="s">
        <v>1632</v>
      </c>
      <c r="E429" s="3097"/>
      <c r="F429" s="3098"/>
      <c r="G429" s="3114">
        <f>SUM(G428)</f>
        <v>717823.33633724984</v>
      </c>
    </row>
    <row r="430" spans="1:8" hidden="1">
      <c r="A430" s="3094"/>
      <c r="B430" s="3100"/>
      <c r="C430" s="3098"/>
      <c r="D430" s="3098" t="s">
        <v>217</v>
      </c>
      <c r="E430" s="3097"/>
      <c r="F430" s="3098"/>
      <c r="G430" s="3101">
        <f>G429/225</f>
        <v>3190.3259392766658</v>
      </c>
    </row>
    <row r="431" spans="1:8" hidden="1">
      <c r="A431" s="3094"/>
      <c r="B431" s="3100"/>
      <c r="C431" s="3098"/>
      <c r="D431" s="3095" t="s">
        <v>1633</v>
      </c>
      <c r="E431" s="3097"/>
      <c r="F431" s="3098"/>
      <c r="G431" s="3143">
        <f>ROUND(G430,2)</f>
        <v>3190.33</v>
      </c>
      <c r="H431" s="3088" t="s">
        <v>907</v>
      </c>
    </row>
    <row r="432" spans="1:8" hidden="1">
      <c r="A432" s="3094"/>
      <c r="B432" s="3100"/>
      <c r="C432" s="3098"/>
      <c r="D432" s="3098"/>
      <c r="E432" s="3097"/>
      <c r="F432" s="3098"/>
      <c r="G432" s="3114" t="s">
        <v>1634</v>
      </c>
    </row>
    <row r="433" spans="1:8" s="3117" customFormat="1" ht="63.9" hidden="1" customHeight="1">
      <c r="A433" s="3094">
        <f>A400+1</f>
        <v>7</v>
      </c>
      <c r="B433" s="4006" t="s">
        <v>1635</v>
      </c>
      <c r="C433" s="4006"/>
      <c r="D433" s="4006"/>
      <c r="E433" s="4006"/>
      <c r="F433" s="4006"/>
      <c r="G433" s="4006"/>
    </row>
    <row r="434" spans="1:8" s="3117" customFormat="1" hidden="1">
      <c r="A434" s="3094"/>
      <c r="B434" s="3100" t="s">
        <v>1636</v>
      </c>
      <c r="C434" s="3103"/>
      <c r="D434" s="3095" t="s">
        <v>1637</v>
      </c>
      <c r="E434" s="3112"/>
      <c r="F434" s="3103"/>
      <c r="G434" s="3104"/>
    </row>
    <row r="435" spans="1:8" s="3117" customFormat="1" hidden="1">
      <c r="A435" s="3094"/>
      <c r="B435" s="3098" t="s">
        <v>1638</v>
      </c>
      <c r="C435" s="3103"/>
      <c r="D435" s="3103"/>
      <c r="E435" s="3112"/>
      <c r="F435" s="3103"/>
      <c r="G435" s="3104"/>
    </row>
    <row r="436" spans="1:8" hidden="1">
      <c r="A436" s="3094"/>
      <c r="B436" s="3164" t="s">
        <v>36</v>
      </c>
      <c r="C436" s="3168" t="s">
        <v>37</v>
      </c>
      <c r="D436" s="3103"/>
      <c r="E436" s="3112"/>
      <c r="F436" s="3103"/>
      <c r="G436" s="3104"/>
    </row>
    <row r="437" spans="1:8" hidden="1">
      <c r="A437" s="3094"/>
      <c r="B437" s="3099">
        <v>0.08</v>
      </c>
      <c r="C437" s="3097" t="s">
        <v>106</v>
      </c>
      <c r="D437" s="3103" t="s">
        <v>14</v>
      </c>
      <c r="E437" s="3099">
        <f>'SSR-rates'!$K$58</f>
        <v>575</v>
      </c>
      <c r="F437" s="3099" t="s">
        <v>38</v>
      </c>
      <c r="G437" s="3101">
        <f>ROUND(B437*E437,2)</f>
        <v>46</v>
      </c>
    </row>
    <row r="438" spans="1:8" hidden="1">
      <c r="A438" s="3094"/>
      <c r="B438" s="3099">
        <v>2</v>
      </c>
      <c r="C438" s="3097" t="s">
        <v>106</v>
      </c>
      <c r="D438" s="3103" t="s">
        <v>59</v>
      </c>
      <c r="E438" s="3099">
        <f>'SSR-rates'!$K$60</f>
        <v>575</v>
      </c>
      <c r="F438" s="3099" t="s">
        <v>38</v>
      </c>
      <c r="G438" s="3101">
        <f>ROUND(B438*E438,2)</f>
        <v>1150</v>
      </c>
    </row>
    <row r="439" spans="1:8" hidden="1">
      <c r="A439" s="3094"/>
      <c r="B439" s="3102">
        <f>'Input Data'!$D$23</f>
        <v>0</v>
      </c>
      <c r="C439" s="3097"/>
      <c r="D439" s="3103" t="s">
        <v>17</v>
      </c>
      <c r="E439" s="3099"/>
      <c r="F439" s="3100"/>
      <c r="G439" s="3101">
        <f>(G437+G438)*B439</f>
        <v>0</v>
      </c>
    </row>
    <row r="440" spans="1:8" hidden="1">
      <c r="A440" s="3094"/>
      <c r="B440" s="3099"/>
      <c r="C440" s="3099"/>
      <c r="D440" s="3103" t="s">
        <v>60</v>
      </c>
      <c r="E440" s="3099"/>
      <c r="F440" s="3099"/>
      <c r="G440" s="3101">
        <f>SUM(G437:G439)</f>
        <v>1196</v>
      </c>
    </row>
    <row r="441" spans="1:8" hidden="1">
      <c r="A441" s="3094"/>
      <c r="B441" s="3164" t="s">
        <v>39</v>
      </c>
      <c r="C441" s="3168" t="s">
        <v>40</v>
      </c>
      <c r="D441" s="3103"/>
      <c r="E441" s="3099"/>
      <c r="F441" s="3099"/>
      <c r="G441" s="3101"/>
    </row>
    <row r="442" spans="1:8" hidden="1">
      <c r="A442" s="3094"/>
      <c r="B442" s="3099">
        <v>2.8</v>
      </c>
      <c r="C442" s="3097" t="s">
        <v>41</v>
      </c>
      <c r="D442" s="3167" t="s">
        <v>1639</v>
      </c>
      <c r="E442" s="3099">
        <f>'SSR-rates'!$K$75</f>
        <v>440</v>
      </c>
      <c r="F442" s="3099" t="s">
        <v>41</v>
      </c>
      <c r="G442" s="3101">
        <f>ROUND(B442*E442,2)</f>
        <v>1232</v>
      </c>
    </row>
    <row r="443" spans="1:8" hidden="1">
      <c r="A443" s="3094"/>
      <c r="B443" s="3099">
        <v>2.8</v>
      </c>
      <c r="C443" s="3097" t="s">
        <v>41</v>
      </c>
      <c r="D443" s="3103" t="s">
        <v>1227</v>
      </c>
      <c r="E443" s="3099">
        <f>'SSR-rates'!$K$73</f>
        <v>727.6</v>
      </c>
      <c r="F443" s="3099" t="s">
        <v>41</v>
      </c>
      <c r="G443" s="3101">
        <f>ROUND(B443*E443,2)</f>
        <v>2037.28</v>
      </c>
    </row>
    <row r="444" spans="1:8" hidden="1">
      <c r="A444" s="3094"/>
      <c r="B444" s="3099">
        <v>2</v>
      </c>
      <c r="C444" s="3097" t="s">
        <v>41</v>
      </c>
      <c r="D444" s="3167" t="s">
        <v>1640</v>
      </c>
      <c r="E444" s="3099">
        <f>'SSR-rates'!K77</f>
        <v>1059</v>
      </c>
      <c r="F444" s="3099" t="s">
        <v>41</v>
      </c>
      <c r="G444" s="3101">
        <f>ROUND(B444*E444,2)</f>
        <v>2118</v>
      </c>
    </row>
    <row r="445" spans="1:8" hidden="1">
      <c r="A445" s="3094"/>
      <c r="B445" s="3099"/>
      <c r="C445" s="3099"/>
      <c r="D445" s="3103" t="s">
        <v>60</v>
      </c>
      <c r="E445" s="3099"/>
      <c r="F445" s="3099"/>
      <c r="G445" s="3101">
        <f>SUM(G442:G444)</f>
        <v>5387.28</v>
      </c>
    </row>
    <row r="446" spans="1:8" hidden="1">
      <c r="A446" s="3094"/>
      <c r="B446" s="3164" t="s">
        <v>27</v>
      </c>
      <c r="C446" s="3103" t="s">
        <v>61</v>
      </c>
      <c r="D446" s="3103"/>
      <c r="E446" s="3099"/>
      <c r="F446" s="3099"/>
      <c r="G446" s="3101"/>
    </row>
    <row r="447" spans="1:8" hidden="1">
      <c r="A447" s="3094"/>
      <c r="B447" s="3169">
        <v>0.96250000000000002</v>
      </c>
      <c r="C447" s="3097" t="s">
        <v>66</v>
      </c>
      <c r="D447" s="3137" t="s">
        <v>1641</v>
      </c>
      <c r="E447" s="3161">
        <f>Emution_RS</f>
        <v>45168.645337323418</v>
      </c>
      <c r="F447" s="3099" t="s">
        <v>66</v>
      </c>
      <c r="G447" s="3101">
        <f>ROUND(B447*E447,2)</f>
        <v>43474.82</v>
      </c>
      <c r="H447" s="3088">
        <f>0.275*3500</f>
        <v>962.50000000000011</v>
      </c>
    </row>
    <row r="448" spans="1:8" hidden="1">
      <c r="A448" s="3094"/>
      <c r="B448" s="3099"/>
      <c r="C448" s="3097"/>
      <c r="D448" s="3103" t="s">
        <v>60</v>
      </c>
      <c r="E448" s="3099"/>
      <c r="F448" s="3099"/>
      <c r="G448" s="3101">
        <f>SUM(G447)</f>
        <v>43474.82</v>
      </c>
    </row>
    <row r="449" spans="1:8" hidden="1">
      <c r="A449" s="3094"/>
      <c r="B449" s="3090" t="s">
        <v>45</v>
      </c>
      <c r="C449" s="3095" t="s">
        <v>1189</v>
      </c>
      <c r="D449" s="3098"/>
      <c r="E449" s="3097"/>
      <c r="F449" s="3098"/>
      <c r="G449" s="3114"/>
    </row>
    <row r="450" spans="1:8" hidden="1">
      <c r="A450" s="3094"/>
      <c r="B450" s="3134">
        <f>'Input Data'!$D$24</f>
        <v>0.13614999999999999</v>
      </c>
      <c r="C450" s="3097" t="str">
        <f>"Over head charges &amp; CP  "&amp;'Input Data'!$D$24*100&amp;"%  on (A) + (B)+(C)"</f>
        <v>Over head charges &amp; CP  13.615%  on (A) + (B)+(C)</v>
      </c>
      <c r="D450" s="3112"/>
      <c r="E450" s="3101">
        <f>G448+G445+G440</f>
        <v>50058.1</v>
      </c>
      <c r="F450" s="3098"/>
      <c r="G450" s="3101">
        <f>E450*B450</f>
        <v>6815.4103149999992</v>
      </c>
    </row>
    <row r="451" spans="1:8" hidden="1">
      <c r="A451" s="3094"/>
      <c r="B451" s="3146">
        <f>'Input Data'!$E$24</f>
        <v>0.1</v>
      </c>
      <c r="C451" s="3111" t="s">
        <v>1220</v>
      </c>
      <c r="D451" s="3103"/>
      <c r="E451" s="3113">
        <f>E450+G450</f>
        <v>56873.510315</v>
      </c>
      <c r="F451" s="3103"/>
      <c r="G451" s="3101">
        <f>E451*B451</f>
        <v>5687.3510315000003</v>
      </c>
    </row>
    <row r="452" spans="1:8" hidden="1">
      <c r="A452" s="3094"/>
      <c r="B452" s="3090" t="s">
        <v>47</v>
      </c>
      <c r="C452" s="3098" t="s">
        <v>89</v>
      </c>
      <c r="D452" s="3103"/>
      <c r="E452" s="3097"/>
      <c r="F452" s="3098"/>
      <c r="G452" s="3114">
        <f>G440+G445+G448+G450+G451</f>
        <v>62560.861346500002</v>
      </c>
    </row>
    <row r="453" spans="1:8" hidden="1">
      <c r="A453" s="3094"/>
      <c r="B453" s="3099"/>
      <c r="C453" s="3097"/>
      <c r="D453" s="3103" t="s">
        <v>1642</v>
      </c>
      <c r="E453" s="3099"/>
      <c r="F453" s="3099"/>
      <c r="G453" s="3114">
        <f>SUM(G452:G452)</f>
        <v>62560.861346500002</v>
      </c>
    </row>
    <row r="454" spans="1:8" hidden="1">
      <c r="A454" s="3094"/>
      <c r="B454" s="3099"/>
      <c r="C454" s="3097"/>
      <c r="D454" s="3103" t="s">
        <v>1577</v>
      </c>
      <c r="E454" s="3099"/>
      <c r="F454" s="3099"/>
      <c r="G454" s="3101">
        <f>ROUND(G453/3500,2)</f>
        <v>17.87</v>
      </c>
    </row>
    <row r="455" spans="1:8" hidden="1">
      <c r="A455" s="3094"/>
      <c r="B455" s="3100"/>
      <c r="C455" s="3103"/>
      <c r="D455" s="3103" t="s">
        <v>52</v>
      </c>
      <c r="E455" s="3099"/>
      <c r="F455" s="3099"/>
      <c r="G455" s="3143">
        <f>ROUND(G454,2)</f>
        <v>17.87</v>
      </c>
      <c r="H455" s="3088" t="s">
        <v>907</v>
      </c>
    </row>
    <row r="456" spans="1:8" hidden="1">
      <c r="A456" s="3094"/>
      <c r="B456" s="3100"/>
      <c r="C456" s="3103"/>
      <c r="D456" s="3103"/>
      <c r="E456" s="3112"/>
      <c r="F456" s="3103"/>
      <c r="G456" s="3115" t="s">
        <v>137</v>
      </c>
    </row>
    <row r="457" spans="1:8" ht="68.099999999999994" hidden="1" customHeight="1">
      <c r="A457" s="3094">
        <f>A433+1</f>
        <v>8</v>
      </c>
      <c r="B457" s="4016" t="s">
        <v>1643</v>
      </c>
      <c r="C457" s="4006"/>
      <c r="D457" s="4006"/>
      <c r="E457" s="4006"/>
      <c r="F457" s="4006"/>
      <c r="G457" s="4006"/>
      <c r="H457" s="3117"/>
    </row>
    <row r="458" spans="1:8" hidden="1">
      <c r="A458" s="3094"/>
      <c r="B458" s="3100" t="s">
        <v>1636</v>
      </c>
      <c r="C458" s="3103"/>
      <c r="D458" s="3095" t="s">
        <v>1637</v>
      </c>
      <c r="E458" s="3112"/>
      <c r="F458" s="3103"/>
      <c r="G458" s="3104"/>
      <c r="H458" s="3117"/>
    </row>
    <row r="459" spans="1:8" hidden="1">
      <c r="A459" s="3094"/>
      <c r="B459" s="3098" t="s">
        <v>1638</v>
      </c>
      <c r="C459" s="3103"/>
      <c r="D459" s="3103"/>
      <c r="E459" s="3112"/>
      <c r="F459" s="3103"/>
      <c r="G459" s="3104"/>
      <c r="H459" s="3117"/>
    </row>
    <row r="460" spans="1:8" hidden="1">
      <c r="A460" s="3094"/>
      <c r="B460" s="3164" t="s">
        <v>36</v>
      </c>
      <c r="C460" s="3168" t="s">
        <v>37</v>
      </c>
      <c r="D460" s="3103"/>
      <c r="E460" s="3112"/>
      <c r="F460" s="3103"/>
      <c r="G460" s="3104"/>
    </row>
    <row r="461" spans="1:8" hidden="1">
      <c r="A461" s="3094"/>
      <c r="B461" s="3099">
        <v>0.08</v>
      </c>
      <c r="C461" s="3097" t="s">
        <v>106</v>
      </c>
      <c r="D461" s="3103" t="s">
        <v>14</v>
      </c>
      <c r="E461" s="3099">
        <f>'SSR-rates'!$K$58</f>
        <v>575</v>
      </c>
      <c r="F461" s="3099" t="s">
        <v>38</v>
      </c>
      <c r="G461" s="3101">
        <f>ROUND(B461*E461,2)</f>
        <v>46</v>
      </c>
    </row>
    <row r="462" spans="1:8" hidden="1">
      <c r="A462" s="3094"/>
      <c r="B462" s="3099">
        <v>2</v>
      </c>
      <c r="C462" s="3097" t="s">
        <v>106</v>
      </c>
      <c r="D462" s="3103" t="s">
        <v>59</v>
      </c>
      <c r="E462" s="3099">
        <f>'SSR-rates'!$K$60</f>
        <v>575</v>
      </c>
      <c r="F462" s="3099" t="s">
        <v>38</v>
      </c>
      <c r="G462" s="3101">
        <f>ROUND(B462*E462,2)</f>
        <v>1150</v>
      </c>
    </row>
    <row r="463" spans="1:8" hidden="1">
      <c r="A463" s="3094"/>
      <c r="B463" s="3102">
        <f>'Input Data'!$D$23</f>
        <v>0</v>
      </c>
      <c r="C463" s="3097"/>
      <c r="D463" s="3103" t="s">
        <v>17</v>
      </c>
      <c r="E463" s="3099"/>
      <c r="F463" s="3100"/>
      <c r="G463" s="3101">
        <f>(G461+G462)*B463</f>
        <v>0</v>
      </c>
    </row>
    <row r="464" spans="1:8" hidden="1">
      <c r="A464" s="3094"/>
      <c r="B464" s="3099"/>
      <c r="C464" s="3099"/>
      <c r="D464" s="3103" t="s">
        <v>60</v>
      </c>
      <c r="E464" s="3099"/>
      <c r="F464" s="3099"/>
      <c r="G464" s="3101">
        <f>SUM(G461:G463)</f>
        <v>1196</v>
      </c>
    </row>
    <row r="465" spans="1:8" hidden="1">
      <c r="A465" s="3094"/>
      <c r="B465" s="3164" t="s">
        <v>39</v>
      </c>
      <c r="C465" s="3168" t="s">
        <v>40</v>
      </c>
      <c r="D465" s="3103"/>
      <c r="E465" s="3099"/>
      <c r="F465" s="3099"/>
      <c r="G465" s="3101"/>
    </row>
    <row r="466" spans="1:8" hidden="1">
      <c r="A466" s="3094"/>
      <c r="B466" s="3099">
        <v>2.8</v>
      </c>
      <c r="C466" s="3097" t="s">
        <v>41</v>
      </c>
      <c r="D466" s="3167" t="s">
        <v>1639</v>
      </c>
      <c r="E466" s="3099">
        <f>'SSR-rates'!$K$75</f>
        <v>440</v>
      </c>
      <c r="F466" s="3099" t="s">
        <v>41</v>
      </c>
      <c r="G466" s="3101">
        <f>ROUND(B466*E466,2)</f>
        <v>1232</v>
      </c>
    </row>
    <row r="467" spans="1:8" hidden="1">
      <c r="A467" s="3094"/>
      <c r="B467" s="3099">
        <v>2.8</v>
      </c>
      <c r="C467" s="3097" t="s">
        <v>41</v>
      </c>
      <c r="D467" s="3103" t="s">
        <v>1227</v>
      </c>
      <c r="E467" s="3099">
        <f>'SSR-rates'!$K$73</f>
        <v>727.6</v>
      </c>
      <c r="F467" s="3099" t="s">
        <v>41</v>
      </c>
      <c r="G467" s="3101">
        <f>ROUND(B467*E467,2)</f>
        <v>2037.28</v>
      </c>
    </row>
    <row r="468" spans="1:8" hidden="1">
      <c r="A468" s="3094"/>
      <c r="B468" s="3099">
        <v>2</v>
      </c>
      <c r="C468" s="3097" t="s">
        <v>41</v>
      </c>
      <c r="D468" s="3167" t="s">
        <v>1640</v>
      </c>
      <c r="E468" s="3099">
        <f>'SSR-rates'!$K$77</f>
        <v>1059</v>
      </c>
      <c r="F468" s="3099" t="s">
        <v>41</v>
      </c>
      <c r="G468" s="3101">
        <f>ROUND(B468*E468,2)</f>
        <v>2118</v>
      </c>
    </row>
    <row r="469" spans="1:8" hidden="1">
      <c r="A469" s="3094"/>
      <c r="B469" s="3099"/>
      <c r="C469" s="3099"/>
      <c r="D469" s="3103" t="s">
        <v>60</v>
      </c>
      <c r="E469" s="3099"/>
      <c r="F469" s="3099"/>
      <c r="G469" s="3101">
        <f>SUM(G466:G468)</f>
        <v>5387.28</v>
      </c>
    </row>
    <row r="470" spans="1:8" hidden="1">
      <c r="A470" s="3094"/>
      <c r="B470" s="3164" t="s">
        <v>27</v>
      </c>
      <c r="C470" s="3103" t="s">
        <v>61</v>
      </c>
      <c r="D470" s="3103"/>
      <c r="E470" s="3099"/>
      <c r="F470" s="3099"/>
      <c r="G470" s="3101"/>
    </row>
    <row r="471" spans="1:8" hidden="1">
      <c r="A471" s="3094"/>
      <c r="B471" s="3170">
        <v>0.7</v>
      </c>
      <c r="C471" s="3097" t="s">
        <v>66</v>
      </c>
      <c r="D471" s="3137" t="s">
        <v>1644</v>
      </c>
      <c r="E471" s="3161">
        <f>Emution_RS</f>
        <v>45168.645337323418</v>
      </c>
      <c r="F471" s="3099" t="s">
        <v>66</v>
      </c>
      <c r="G471" s="3101">
        <f>ROUND(B471*E471,2)</f>
        <v>31618.05</v>
      </c>
      <c r="H471" s="3088">
        <f>0.2*3500</f>
        <v>700</v>
      </c>
    </row>
    <row r="472" spans="1:8" hidden="1">
      <c r="A472" s="3094"/>
      <c r="B472" s="3105"/>
      <c r="C472" s="3106"/>
      <c r="D472" s="3107"/>
      <c r="E472" s="3105"/>
      <c r="F472" s="3105"/>
      <c r="G472" s="3101"/>
    </row>
    <row r="473" spans="1:8" hidden="1">
      <c r="A473" s="3094"/>
      <c r="B473" s="3099"/>
      <c r="C473" s="3097"/>
      <c r="D473" s="3103" t="s">
        <v>60</v>
      </c>
      <c r="E473" s="3099"/>
      <c r="F473" s="3099"/>
      <c r="G473" s="3101">
        <f>SUM(G471:G472)</f>
        <v>31618.05</v>
      </c>
    </row>
    <row r="474" spans="1:8" hidden="1">
      <c r="A474" s="3094"/>
      <c r="B474" s="3090" t="s">
        <v>45</v>
      </c>
      <c r="C474" s="3095" t="s">
        <v>1189</v>
      </c>
      <c r="D474" s="3098"/>
      <c r="E474" s="3097"/>
      <c r="F474" s="3098"/>
      <c r="G474" s="3114"/>
    </row>
    <row r="475" spans="1:8" hidden="1">
      <c r="A475" s="3094"/>
      <c r="B475" s="3134">
        <f>'Input Data'!$D$24</f>
        <v>0.13614999999999999</v>
      </c>
      <c r="C475" s="3097" t="str">
        <f>"Over head charges &amp; CP  "&amp;'Input Data'!$D$24*100&amp;"%  on (A) + (B)+(C)"</f>
        <v>Over head charges &amp; CP  13.615%  on (A) + (B)+(C)</v>
      </c>
      <c r="D475" s="3112"/>
      <c r="E475" s="3097">
        <f>G473+G469+G464</f>
        <v>38201.33</v>
      </c>
      <c r="F475" s="3098"/>
      <c r="G475" s="3101">
        <f>E475*B475</f>
        <v>5201.1110795000004</v>
      </c>
    </row>
    <row r="476" spans="1:8" hidden="1">
      <c r="A476" s="3094"/>
      <c r="B476" s="3090" t="s">
        <v>47</v>
      </c>
      <c r="C476" s="3098" t="s">
        <v>89</v>
      </c>
      <c r="D476" s="3103"/>
      <c r="E476" s="3097"/>
      <c r="F476" s="3098"/>
      <c r="G476" s="3114">
        <f>G464+G469+G473+G475</f>
        <v>43402.4410795</v>
      </c>
    </row>
    <row r="477" spans="1:8" hidden="1">
      <c r="A477" s="3094"/>
      <c r="B477" s="3099"/>
      <c r="C477" s="3097"/>
      <c r="D477" s="3103" t="s">
        <v>1642</v>
      </c>
      <c r="E477" s="3099"/>
      <c r="F477" s="3099"/>
      <c r="G477" s="3114">
        <f>SUM(G476:G476)</f>
        <v>43402.4410795</v>
      </c>
    </row>
    <row r="478" spans="1:8" hidden="1">
      <c r="A478" s="3094"/>
      <c r="B478" s="3099"/>
      <c r="C478" s="3097"/>
      <c r="D478" s="3103" t="s">
        <v>1577</v>
      </c>
      <c r="E478" s="3099"/>
      <c r="F478" s="3099"/>
      <c r="G478" s="3101">
        <f>ROUND(G477/3500,2)</f>
        <v>12.4</v>
      </c>
    </row>
    <row r="479" spans="1:8" hidden="1">
      <c r="A479" s="3094"/>
      <c r="B479" s="3100"/>
      <c r="C479" s="3103"/>
      <c r="D479" s="3103" t="s">
        <v>52</v>
      </c>
      <c r="E479" s="3099"/>
      <c r="F479" s="3099"/>
      <c r="G479" s="3143">
        <f>ROUND(G478,2)</f>
        <v>12.4</v>
      </c>
      <c r="H479" s="3088" t="s">
        <v>907</v>
      </c>
    </row>
    <row r="480" spans="1:8" hidden="1">
      <c r="A480" s="3094"/>
      <c r="B480" s="3100"/>
      <c r="C480" s="3103"/>
      <c r="D480" s="3103"/>
      <c r="E480" s="3112"/>
      <c r="F480" s="3103"/>
      <c r="G480" s="3115" t="s">
        <v>137</v>
      </c>
    </row>
    <row r="481" spans="1:8" ht="75" hidden="1" customHeight="1">
      <c r="A481" s="3094">
        <f>A457+1</f>
        <v>9</v>
      </c>
      <c r="B481" s="4006" t="s">
        <v>1645</v>
      </c>
      <c r="C481" s="4006"/>
      <c r="D481" s="4006"/>
      <c r="E481" s="4006"/>
      <c r="F481" s="4006"/>
      <c r="G481" s="4006"/>
    </row>
    <row r="482" spans="1:8" hidden="1">
      <c r="A482" s="3094"/>
      <c r="B482" s="3100" t="s">
        <v>1636</v>
      </c>
      <c r="C482" s="3103"/>
      <c r="D482" s="3095" t="s">
        <v>1646</v>
      </c>
      <c r="E482" s="3112"/>
      <c r="F482" s="3103"/>
      <c r="G482" s="3104"/>
    </row>
    <row r="483" spans="1:8" hidden="1">
      <c r="A483" s="3094"/>
      <c r="B483" s="3098" t="s">
        <v>1638</v>
      </c>
      <c r="C483" s="3103"/>
      <c r="D483" s="3103"/>
      <c r="E483" s="3112"/>
      <c r="F483" s="3103"/>
      <c r="G483" s="3104"/>
    </row>
    <row r="484" spans="1:8" hidden="1">
      <c r="A484" s="3094"/>
      <c r="B484" s="3164" t="s">
        <v>36</v>
      </c>
      <c r="C484" s="3168" t="s">
        <v>37</v>
      </c>
      <c r="D484" s="3103"/>
      <c r="E484" s="3112"/>
      <c r="F484" s="3103"/>
      <c r="G484" s="3104"/>
    </row>
    <row r="485" spans="1:8" hidden="1">
      <c r="A485" s="3094"/>
      <c r="B485" s="3099">
        <v>0.08</v>
      </c>
      <c r="C485" s="3097" t="s">
        <v>106</v>
      </c>
      <c r="D485" s="3103" t="s">
        <v>14</v>
      </c>
      <c r="E485" s="3099">
        <f>'SSR-rates'!$K$58</f>
        <v>575</v>
      </c>
      <c r="F485" s="3099" t="s">
        <v>38</v>
      </c>
      <c r="G485" s="3101">
        <f>ROUND(B485*E485,2)</f>
        <v>46</v>
      </c>
    </row>
    <row r="486" spans="1:8" hidden="1">
      <c r="A486" s="3094"/>
      <c r="B486" s="3099">
        <v>2</v>
      </c>
      <c r="C486" s="3097" t="s">
        <v>106</v>
      </c>
      <c r="D486" s="3103" t="s">
        <v>59</v>
      </c>
      <c r="E486" s="3099">
        <f>'SSR-rates'!$K$60</f>
        <v>575</v>
      </c>
      <c r="F486" s="3099" t="s">
        <v>38</v>
      </c>
      <c r="G486" s="3101">
        <f>ROUND(B486*E486,2)</f>
        <v>1150</v>
      </c>
    </row>
    <row r="487" spans="1:8" hidden="1">
      <c r="A487" s="3094"/>
      <c r="B487" s="3102">
        <f>'Input Data'!$D$23</f>
        <v>0</v>
      </c>
      <c r="C487" s="3097"/>
      <c r="D487" s="3103" t="s">
        <v>17</v>
      </c>
      <c r="E487" s="3099"/>
      <c r="F487" s="3100"/>
      <c r="G487" s="3101">
        <f>(G485+G486)*B487</f>
        <v>0</v>
      </c>
    </row>
    <row r="488" spans="1:8" hidden="1">
      <c r="A488" s="3094"/>
      <c r="B488" s="3099"/>
      <c r="C488" s="3099"/>
      <c r="D488" s="3103" t="s">
        <v>60</v>
      </c>
      <c r="E488" s="3099"/>
      <c r="F488" s="3099"/>
      <c r="G488" s="3114">
        <f>SUM(G485:G487)</f>
        <v>1196</v>
      </c>
    </row>
    <row r="489" spans="1:8" hidden="1">
      <c r="A489" s="3094"/>
      <c r="B489" s="3164" t="s">
        <v>39</v>
      </c>
      <c r="C489" s="3168" t="s">
        <v>40</v>
      </c>
      <c r="D489" s="3103"/>
      <c r="E489" s="3099"/>
      <c r="F489" s="3099"/>
      <c r="G489" s="3101"/>
    </row>
    <row r="490" spans="1:8" hidden="1">
      <c r="A490" s="3094"/>
      <c r="B490" s="3099">
        <v>2.8</v>
      </c>
      <c r="C490" s="3097" t="s">
        <v>41</v>
      </c>
      <c r="D490" s="3167" t="s">
        <v>1639</v>
      </c>
      <c r="E490" s="3099">
        <f>'SSR-rates'!K75</f>
        <v>440</v>
      </c>
      <c r="F490" s="3099" t="s">
        <v>41</v>
      </c>
      <c r="G490" s="3101">
        <f>ROUND(B490*E490,2)</f>
        <v>1232</v>
      </c>
    </row>
    <row r="491" spans="1:8" hidden="1">
      <c r="A491" s="3094"/>
      <c r="B491" s="3099">
        <v>2.8</v>
      </c>
      <c r="C491" s="3097" t="s">
        <v>41</v>
      </c>
      <c r="D491" s="3103" t="s">
        <v>1227</v>
      </c>
      <c r="E491" s="3099">
        <f>'SSR-rates'!K73</f>
        <v>727.6</v>
      </c>
      <c r="F491" s="3099" t="s">
        <v>41</v>
      </c>
      <c r="G491" s="3101">
        <f>ROUND(B491*E491,2)</f>
        <v>2037.28</v>
      </c>
    </row>
    <row r="492" spans="1:8" hidden="1">
      <c r="A492" s="3094"/>
      <c r="B492" s="3099">
        <v>1</v>
      </c>
      <c r="C492" s="3097" t="s">
        <v>41</v>
      </c>
      <c r="D492" s="3103" t="s">
        <v>1647</v>
      </c>
      <c r="E492" s="3099">
        <f>'SSR-rates'!$K$69</f>
        <v>769</v>
      </c>
      <c r="F492" s="3099" t="s">
        <v>41</v>
      </c>
      <c r="G492" s="3101">
        <f>ROUND(B492*E492,2)</f>
        <v>769</v>
      </c>
    </row>
    <row r="493" spans="1:8" hidden="1">
      <c r="A493" s="3094"/>
      <c r="B493" s="3099">
        <v>2</v>
      </c>
      <c r="C493" s="3097" t="s">
        <v>41</v>
      </c>
      <c r="D493" s="3167" t="s">
        <v>1648</v>
      </c>
      <c r="E493" s="3099">
        <f>'SSR-rates'!K76</f>
        <v>1846</v>
      </c>
      <c r="F493" s="3099" t="s">
        <v>41</v>
      </c>
      <c r="G493" s="3101">
        <f>ROUND(B493*E493,2)</f>
        <v>3692</v>
      </c>
    </row>
    <row r="494" spans="1:8" hidden="1">
      <c r="A494" s="3094"/>
      <c r="B494" s="3099"/>
      <c r="C494" s="3099"/>
      <c r="D494" s="3103" t="s">
        <v>60</v>
      </c>
      <c r="E494" s="3099"/>
      <c r="F494" s="3099"/>
      <c r="G494" s="3114">
        <f>SUM(G490:G493)</f>
        <v>7730.28</v>
      </c>
    </row>
    <row r="495" spans="1:8" hidden="1">
      <c r="A495" s="3094"/>
      <c r="B495" s="3164" t="s">
        <v>27</v>
      </c>
      <c r="C495" s="3141" t="s">
        <v>61</v>
      </c>
      <c r="D495" s="3103"/>
      <c r="E495" s="3099"/>
      <c r="F495" s="3099"/>
      <c r="G495" s="3101"/>
    </row>
    <row r="496" spans="1:8" hidden="1">
      <c r="A496" s="3094"/>
      <c r="B496" s="3170">
        <v>2.1</v>
      </c>
      <c r="C496" s="3097" t="s">
        <v>66</v>
      </c>
      <c r="D496" s="3137" t="s">
        <v>1649</v>
      </c>
      <c r="E496" s="3161">
        <f>Emultion_SS</f>
        <v>78428.645337323411</v>
      </c>
      <c r="F496" s="3099" t="s">
        <v>66</v>
      </c>
      <c r="G496" s="3101">
        <f>ROUND(B496*E496,2)</f>
        <v>164700.16</v>
      </c>
      <c r="H496" s="3162">
        <f>3500*0.6</f>
        <v>2100</v>
      </c>
    </row>
    <row r="497" spans="1:8" hidden="1">
      <c r="A497" s="3094"/>
      <c r="B497" s="3105">
        <v>6</v>
      </c>
      <c r="C497" s="3106" t="s">
        <v>1544</v>
      </c>
      <c r="D497" s="3107" t="s">
        <v>1545</v>
      </c>
      <c r="E497" s="3105">
        <f>IF(lead!$C$63="Y",'SSR-rates'!$K$112,0)</f>
        <v>0</v>
      </c>
      <c r="F497" s="3105" t="s">
        <v>41</v>
      </c>
      <c r="G497" s="3101">
        <f>ROUND(B497*E497,2)</f>
        <v>0</v>
      </c>
      <c r="H497" s="3162"/>
    </row>
    <row r="498" spans="1:8" hidden="1">
      <c r="A498" s="3094"/>
      <c r="B498" s="3099"/>
      <c r="C498" s="3097"/>
      <c r="D498" s="3103" t="s">
        <v>60</v>
      </c>
      <c r="E498" s="3099"/>
      <c r="F498" s="3099"/>
      <c r="G498" s="3101">
        <f>SUM(G496:G497)</f>
        <v>164700.16</v>
      </c>
    </row>
    <row r="499" spans="1:8" hidden="1">
      <c r="A499" s="3094"/>
      <c r="B499" s="3090" t="s">
        <v>45</v>
      </c>
      <c r="C499" s="3095" t="s">
        <v>1189</v>
      </c>
      <c r="D499" s="3098"/>
      <c r="E499" s="3097"/>
      <c r="F499" s="3098"/>
      <c r="G499" s="3114"/>
    </row>
    <row r="500" spans="1:8" hidden="1">
      <c r="A500" s="3094"/>
      <c r="B500" s="3134">
        <f>'Input Data'!$D$24</f>
        <v>0.13614999999999999</v>
      </c>
      <c r="C500" s="3097"/>
      <c r="D500" s="3112" t="str">
        <f>"Over head charges &amp; CP "&amp;'Input Data'!$D$24*100&amp;"%  on (A) + (B)+(C)"</f>
        <v>Over head charges &amp; CP 13.615%  on (A) + (B)+(C)</v>
      </c>
      <c r="E500" s="3101">
        <f>G498+G494+G488</f>
        <v>173626.44</v>
      </c>
      <c r="F500" s="3098"/>
      <c r="G500" s="3101">
        <f>E500*B500</f>
        <v>23639.239805999998</v>
      </c>
    </row>
    <row r="501" spans="1:8" hidden="1">
      <c r="A501" s="3094"/>
      <c r="B501" s="3146">
        <f>'Input Data'!$E$24</f>
        <v>0.1</v>
      </c>
      <c r="C501" s="3111" t="s">
        <v>1220</v>
      </c>
      <c r="D501" s="3103"/>
      <c r="E501" s="3113">
        <f>E500+G500</f>
        <v>197265.679806</v>
      </c>
      <c r="F501" s="3103"/>
      <c r="G501" s="3101">
        <f>E501*B501</f>
        <v>19726.567980600001</v>
      </c>
    </row>
    <row r="502" spans="1:8" hidden="1">
      <c r="A502" s="3094"/>
      <c r="B502" s="3090" t="s">
        <v>47</v>
      </c>
      <c r="C502" s="3095" t="s">
        <v>89</v>
      </c>
      <c r="D502" s="3103"/>
      <c r="E502" s="3097"/>
      <c r="F502" s="3098"/>
      <c r="G502" s="3114">
        <f>G488+G494+G498+G500+G501</f>
        <v>216992.2477866</v>
      </c>
    </row>
    <row r="503" spans="1:8" hidden="1">
      <c r="A503" s="3094"/>
      <c r="B503" s="3099"/>
      <c r="C503" s="3097"/>
      <c r="D503" s="3141" t="s">
        <v>1642</v>
      </c>
      <c r="E503" s="3099"/>
      <c r="F503" s="3099"/>
      <c r="G503" s="3114">
        <f>SUM(G502:G502)</f>
        <v>216992.2477866</v>
      </c>
    </row>
    <row r="504" spans="1:8" hidden="1">
      <c r="A504" s="3094"/>
      <c r="B504" s="3099"/>
      <c r="C504" s="3097"/>
      <c r="D504" s="3103" t="s">
        <v>1577</v>
      </c>
      <c r="E504" s="3099"/>
      <c r="F504" s="3099"/>
      <c r="G504" s="3101">
        <f>ROUND(G503/3500,2)</f>
        <v>62</v>
      </c>
    </row>
    <row r="505" spans="1:8" hidden="1">
      <c r="A505" s="3094"/>
      <c r="B505" s="3100"/>
      <c r="C505" s="3103"/>
      <c r="D505" s="3103" t="s">
        <v>52</v>
      </c>
      <c r="E505" s="3099"/>
      <c r="F505" s="3099"/>
      <c r="G505" s="3143">
        <f>ROUND(G504,2)</f>
        <v>62</v>
      </c>
      <c r="H505" s="3088" t="s">
        <v>907</v>
      </c>
    </row>
    <row r="506" spans="1:8" hidden="1">
      <c r="A506" s="3094"/>
      <c r="B506" s="3100"/>
      <c r="C506" s="3103"/>
      <c r="D506" s="3103"/>
      <c r="E506" s="3112"/>
      <c r="F506" s="3103"/>
      <c r="G506" s="3115" t="s">
        <v>137</v>
      </c>
    </row>
    <row r="507" spans="1:8" s="3156" customFormat="1" hidden="1">
      <c r="A507" s="3094">
        <f>A481+1</f>
        <v>10</v>
      </c>
      <c r="B507" s="4017" t="s">
        <v>1650</v>
      </c>
      <c r="C507" s="4017"/>
      <c r="D507" s="4017"/>
      <c r="E507" s="4017"/>
      <c r="F507" s="4017"/>
      <c r="G507" s="4017"/>
    </row>
    <row r="508" spans="1:8" s="3156" customFormat="1" hidden="1">
      <c r="A508" s="3094"/>
      <c r="B508" s="4006" t="s">
        <v>1651</v>
      </c>
      <c r="C508" s="4006"/>
      <c r="D508" s="4006"/>
      <c r="E508" s="4006"/>
      <c r="F508" s="4006"/>
      <c r="G508" s="4006"/>
    </row>
    <row r="509" spans="1:8" s="3156" customFormat="1" hidden="1">
      <c r="A509" s="3094"/>
      <c r="B509" s="3100"/>
      <c r="C509" s="3111" t="s">
        <v>10</v>
      </c>
      <c r="D509" s="3098"/>
      <c r="E509" s="3109" t="s">
        <v>1652</v>
      </c>
      <c r="F509" s="3100"/>
      <c r="G509" s="3104"/>
    </row>
    <row r="510" spans="1:8" s="3156" customFormat="1" hidden="1">
      <c r="A510" s="3094"/>
      <c r="B510" s="3100"/>
      <c r="C510" s="3098" t="s">
        <v>1653</v>
      </c>
      <c r="D510" s="3098"/>
      <c r="E510" s="3099"/>
      <c r="F510" s="3100"/>
      <c r="G510" s="3171"/>
    </row>
    <row r="511" spans="1:8" s="3156" customFormat="1" hidden="1">
      <c r="A511" s="3094"/>
      <c r="B511" s="4006" t="s">
        <v>1654</v>
      </c>
      <c r="C511" s="4006"/>
      <c r="D511" s="4006"/>
      <c r="E511" s="4006"/>
      <c r="F511" s="4006"/>
      <c r="G511" s="4006"/>
    </row>
    <row r="512" spans="1:8" s="3156" customFormat="1" hidden="1">
      <c r="A512" s="3094"/>
      <c r="B512" s="3100"/>
      <c r="C512" s="3094" t="s">
        <v>36</v>
      </c>
      <c r="D512" s="3095" t="s">
        <v>37</v>
      </c>
      <c r="E512" s="3099"/>
      <c r="F512" s="3100"/>
      <c r="G512" s="3104"/>
    </row>
    <row r="513" spans="1:7" s="3156" customFormat="1" hidden="1">
      <c r="A513" s="3094"/>
      <c r="B513" s="3099">
        <v>0.84</v>
      </c>
      <c r="C513" s="3172" t="s">
        <v>1169</v>
      </c>
      <c r="D513" s="3098" t="s">
        <v>14</v>
      </c>
      <c r="E513" s="3099">
        <f>'SSR-rates'!$K$58</f>
        <v>575</v>
      </c>
      <c r="F513" s="3099" t="s">
        <v>1169</v>
      </c>
      <c r="G513" s="3101">
        <f>ROUND(B513*E513,2)</f>
        <v>483</v>
      </c>
    </row>
    <row r="514" spans="1:7" s="3156" customFormat="1" ht="28.8" hidden="1">
      <c r="A514" s="3094"/>
      <c r="B514" s="3099">
        <v>16</v>
      </c>
      <c r="C514" s="3172" t="s">
        <v>1169</v>
      </c>
      <c r="D514" s="3107" t="s">
        <v>1655</v>
      </c>
      <c r="E514" s="3099">
        <f>'SSR-rates'!$K$60</f>
        <v>575</v>
      </c>
      <c r="F514" s="3099" t="s">
        <v>1169</v>
      </c>
      <c r="G514" s="3101">
        <f>ROUND(B514*E514,2)</f>
        <v>9200</v>
      </c>
    </row>
    <row r="515" spans="1:7" s="3156" customFormat="1" hidden="1">
      <c r="A515" s="3094"/>
      <c r="B515" s="3099">
        <v>5</v>
      </c>
      <c r="C515" s="3172" t="s">
        <v>1169</v>
      </c>
      <c r="D515" s="3103" t="s">
        <v>1656</v>
      </c>
      <c r="E515" s="3099">
        <f>'SSR-rates'!$K$59</f>
        <v>575</v>
      </c>
      <c r="F515" s="3099" t="s">
        <v>1169</v>
      </c>
      <c r="G515" s="3101">
        <f>ROUND(B515*E515,2)</f>
        <v>2875</v>
      </c>
    </row>
    <row r="516" spans="1:7" s="3156" customFormat="1" hidden="1">
      <c r="A516" s="3094"/>
      <c r="B516" s="3102">
        <f>'Input Data'!$D$23</f>
        <v>0</v>
      </c>
      <c r="C516" s="3097"/>
      <c r="D516" s="3103" t="s">
        <v>17</v>
      </c>
      <c r="E516" s="3099">
        <f>SUM(G513:G515)</f>
        <v>12558</v>
      </c>
      <c r="F516" s="3100"/>
      <c r="G516" s="3101">
        <f>B516*E516</f>
        <v>0</v>
      </c>
    </row>
    <row r="517" spans="1:7" s="3156" customFormat="1" hidden="1">
      <c r="A517" s="3094"/>
      <c r="B517" s="3099"/>
      <c r="C517" s="3172"/>
      <c r="D517" s="3098" t="s">
        <v>60</v>
      </c>
      <c r="E517" s="3099"/>
      <c r="F517" s="3100"/>
      <c r="G517" s="3114">
        <f>SUM(G513:G516)</f>
        <v>12558</v>
      </c>
    </row>
    <row r="518" spans="1:7" s="3156" customFormat="1" hidden="1">
      <c r="A518" s="3094"/>
      <c r="B518" s="3100"/>
      <c r="C518" s="3094" t="s">
        <v>39</v>
      </c>
      <c r="D518" s="3095" t="s">
        <v>40</v>
      </c>
      <c r="E518" s="3099"/>
      <c r="F518" s="3100"/>
      <c r="G518" s="3104"/>
    </row>
    <row r="519" spans="1:7" s="3156" customFormat="1" hidden="1">
      <c r="A519" s="3094"/>
      <c r="B519" s="3099">
        <v>4</v>
      </c>
      <c r="C519" s="3099" t="s">
        <v>41</v>
      </c>
      <c r="D519" s="3098" t="s">
        <v>1171</v>
      </c>
      <c r="E519" s="3099">
        <f>'SSR-rates'!$P$78</f>
        <v>33344</v>
      </c>
      <c r="F519" s="3099" t="s">
        <v>41</v>
      </c>
      <c r="G519" s="3101">
        <f>ROUND(B519*E519,2)</f>
        <v>133376</v>
      </c>
    </row>
    <row r="520" spans="1:7" s="3156" customFormat="1" hidden="1">
      <c r="A520" s="3094"/>
      <c r="B520" s="3099">
        <v>4</v>
      </c>
      <c r="C520" s="3099" t="s">
        <v>41</v>
      </c>
      <c r="D520" s="3098" t="s">
        <v>1657</v>
      </c>
      <c r="E520" s="3099">
        <f>'SSR-rates'!$K$85</f>
        <v>2279</v>
      </c>
      <c r="F520" s="3099" t="s">
        <v>41</v>
      </c>
      <c r="G520" s="3101">
        <f>ROUND(B520*E520,2)</f>
        <v>9116</v>
      </c>
    </row>
    <row r="521" spans="1:7" s="3156" customFormat="1" hidden="1">
      <c r="A521" s="3094"/>
      <c r="B521" s="3099">
        <v>4</v>
      </c>
      <c r="C521" s="3099" t="s">
        <v>41</v>
      </c>
      <c r="D521" s="3098" t="s">
        <v>1658</v>
      </c>
      <c r="E521" s="3099">
        <f>'SSR-rates'!$K$65</f>
        <v>2028</v>
      </c>
      <c r="F521" s="3099" t="s">
        <v>41</v>
      </c>
      <c r="G521" s="3101">
        <f>ROUND(B521*E521,2)</f>
        <v>8112</v>
      </c>
    </row>
    <row r="522" spans="1:7" s="3156" customFormat="1" hidden="1">
      <c r="A522" s="3094"/>
      <c r="B522" s="3099" t="s">
        <v>1659</v>
      </c>
      <c r="C522" s="3099" t="s">
        <v>1660</v>
      </c>
      <c r="D522" s="3107" t="s">
        <v>1661</v>
      </c>
      <c r="E522" s="3099">
        <v>0</v>
      </c>
      <c r="F522" s="3099" t="s">
        <v>1660</v>
      </c>
      <c r="G522" s="3101">
        <v>0</v>
      </c>
    </row>
    <row r="523" spans="1:7" s="3156" customFormat="1" ht="28.8" hidden="1">
      <c r="A523" s="3094"/>
      <c r="B523" s="3099"/>
      <c r="C523" s="3099"/>
      <c r="D523" s="3107" t="s">
        <v>1662</v>
      </c>
      <c r="E523" s="3099"/>
      <c r="F523" s="3099"/>
      <c r="G523" s="3101">
        <v>0</v>
      </c>
    </row>
    <row r="524" spans="1:7" s="3156" customFormat="1" hidden="1">
      <c r="A524" s="3094"/>
      <c r="B524" s="3099">
        <v>4</v>
      </c>
      <c r="C524" s="3099" t="s">
        <v>41</v>
      </c>
      <c r="D524" s="3107" t="s">
        <v>1663</v>
      </c>
      <c r="E524" s="3099">
        <f>+'SSR-rates'!K80</f>
        <v>2771</v>
      </c>
      <c r="F524" s="3099" t="s">
        <v>41</v>
      </c>
      <c r="G524" s="3101">
        <f>ROUND(B524*E524,2)</f>
        <v>11084</v>
      </c>
    </row>
    <row r="525" spans="1:7" s="3156" customFormat="1" ht="28.8" hidden="1">
      <c r="A525" s="3094"/>
      <c r="B525" s="3099">
        <v>4</v>
      </c>
      <c r="C525" s="3099" t="s">
        <v>41</v>
      </c>
      <c r="D525" s="3107" t="s">
        <v>1664</v>
      </c>
      <c r="E525" s="3105">
        <f>'SSR-rates'!$K$68</f>
        <v>1749.6</v>
      </c>
      <c r="F525" s="3105" t="s">
        <v>41</v>
      </c>
      <c r="G525" s="3108">
        <f>ROUND(B525*E525,2)</f>
        <v>6998.4</v>
      </c>
    </row>
    <row r="526" spans="1:7" s="3156" customFormat="1" hidden="1">
      <c r="A526" s="3094"/>
      <c r="B526" s="3099"/>
      <c r="C526" s="3172"/>
      <c r="D526" s="3098" t="s">
        <v>60</v>
      </c>
      <c r="E526" s="3099"/>
      <c r="F526" s="3100"/>
      <c r="G526" s="3114">
        <f>SUM(G519:G525)</f>
        <v>168686.4</v>
      </c>
    </row>
    <row r="527" spans="1:7" s="3156" customFormat="1" hidden="1">
      <c r="A527" s="3094"/>
      <c r="B527" s="3100"/>
      <c r="C527" s="3094" t="s">
        <v>27</v>
      </c>
      <c r="D527" s="3095" t="s">
        <v>61</v>
      </c>
      <c r="E527" s="3099"/>
      <c r="F527" s="3100"/>
      <c r="G527" s="3104"/>
    </row>
    <row r="528" spans="1:7" s="3156" customFormat="1" hidden="1">
      <c r="A528" s="3094"/>
      <c r="B528" s="3170">
        <v>14.97</v>
      </c>
      <c r="C528" s="3099" t="s">
        <v>66</v>
      </c>
      <c r="D528" s="3107" t="s">
        <v>1665</v>
      </c>
      <c r="E528" s="3161">
        <f>BT_Rate_60_70</f>
        <v>47014.645337323418</v>
      </c>
      <c r="F528" s="3100" t="s">
        <v>66</v>
      </c>
      <c r="G528" s="3108">
        <f>ROUND(B528*E528,2)</f>
        <v>703809.24</v>
      </c>
    </row>
    <row r="529" spans="1:8" s="3156" customFormat="1" ht="28.8" hidden="1">
      <c r="A529" s="3094"/>
      <c r="B529" s="3099">
        <v>276.75</v>
      </c>
      <c r="C529" s="3099" t="s">
        <v>31</v>
      </c>
      <c r="D529" s="3107" t="s">
        <v>1666</v>
      </c>
      <c r="E529" s="3105">
        <f>(lead!$J$10+lead!$J$8+lead!$J$9)/3</f>
        <v>1653.1975238011412</v>
      </c>
      <c r="F529" s="3100" t="s">
        <v>31</v>
      </c>
      <c r="G529" s="3108">
        <f>ROUND(B529*E529,2)</f>
        <v>457522.41</v>
      </c>
    </row>
    <row r="530" spans="1:8" s="3156" customFormat="1" hidden="1">
      <c r="A530" s="3094"/>
      <c r="B530" s="3099"/>
      <c r="C530" s="3172"/>
      <c r="D530" s="3098" t="s">
        <v>60</v>
      </c>
      <c r="E530" s="3099"/>
      <c r="F530" s="3100"/>
      <c r="G530" s="3114">
        <f>SUM(G528:G529)</f>
        <v>1161331.6499999999</v>
      </c>
    </row>
    <row r="531" spans="1:8" s="3156" customFormat="1" hidden="1">
      <c r="A531" s="3094"/>
      <c r="B531" s="3090" t="s">
        <v>45</v>
      </c>
      <c r="C531" s="3095" t="s">
        <v>1189</v>
      </c>
      <c r="D531" s="3098"/>
      <c r="E531" s="3099"/>
      <c r="F531" s="3100"/>
      <c r="G531" s="3101"/>
    </row>
    <row r="532" spans="1:8" s="3156" customFormat="1" hidden="1">
      <c r="A532" s="3094"/>
      <c r="B532" s="3134">
        <f>'Input Data'!$D$24</f>
        <v>0.13614999999999999</v>
      </c>
      <c r="C532" s="3173"/>
      <c r="D532" s="3174" t="str">
        <f>"Over head charges &amp; CP  "&amp;'Input Data'!$D$24*100&amp;"%  on (A) + (B)+(C)"</f>
        <v>Over head charges &amp; CP  13.615%  on (A) + (B)+(C)</v>
      </c>
      <c r="E532" s="3099">
        <f>$G$517+$G$526+$G$530</f>
        <v>1342576.0499999998</v>
      </c>
      <c r="F532" s="3100"/>
      <c r="G532" s="3101">
        <f>E532*B532</f>
        <v>182791.72920749997</v>
      </c>
    </row>
    <row r="533" spans="1:8" s="3156" customFormat="1" hidden="1">
      <c r="A533" s="3094"/>
      <c r="B533" s="3090" t="s">
        <v>47</v>
      </c>
      <c r="C533" s="3095" t="s">
        <v>89</v>
      </c>
      <c r="D533" s="3098"/>
      <c r="E533" s="3099"/>
      <c r="F533" s="3100"/>
      <c r="G533" s="3114">
        <f>G517+G526+G530+G532</f>
        <v>1525367.7792074997</v>
      </c>
    </row>
    <row r="534" spans="1:8" s="3156" customFormat="1" hidden="1">
      <c r="A534" s="3094"/>
      <c r="B534" s="3099"/>
      <c r="C534" s="3172"/>
      <c r="D534" s="3098" t="s">
        <v>1667</v>
      </c>
      <c r="E534" s="3099"/>
      <c r="F534" s="3099"/>
      <c r="G534" s="3175">
        <f>SUM(G533:G533)</f>
        <v>1525367.7792074997</v>
      </c>
    </row>
    <row r="535" spans="1:8" s="3156" customFormat="1" hidden="1">
      <c r="A535" s="3094"/>
      <c r="B535" s="3099"/>
      <c r="C535" s="3172"/>
      <c r="D535" s="3098" t="s">
        <v>1668</v>
      </c>
      <c r="E535" s="3099"/>
      <c r="F535" s="3099"/>
      <c r="G535" s="3101">
        <f>ROUND(G534/10250,2)</f>
        <v>148.82</v>
      </c>
    </row>
    <row r="536" spans="1:8" s="3156" customFormat="1" hidden="1">
      <c r="A536" s="3094"/>
      <c r="B536" s="3099"/>
      <c r="C536" s="3176"/>
      <c r="D536" s="3095" t="s">
        <v>52</v>
      </c>
      <c r="E536" s="3099"/>
      <c r="F536" s="3099"/>
      <c r="G536" s="3143">
        <f>ROUND(G535,2)</f>
        <v>148.82</v>
      </c>
      <c r="H536" s="3156" t="s">
        <v>907</v>
      </c>
    </row>
    <row r="537" spans="1:8" s="3156" customFormat="1" hidden="1">
      <c r="A537" s="3094"/>
      <c r="B537" s="3099"/>
      <c r="C537" s="3176"/>
      <c r="D537" s="3098"/>
      <c r="E537" s="3099"/>
      <c r="F537" s="3099"/>
      <c r="G537" s="3143" t="s">
        <v>137</v>
      </c>
    </row>
    <row r="538" spans="1:8" s="3156" customFormat="1" hidden="1">
      <c r="A538" s="3094" t="s">
        <v>1669</v>
      </c>
      <c r="B538" s="3099"/>
      <c r="C538" s="3176"/>
      <c r="D538" s="3098"/>
      <c r="E538" s="3099"/>
      <c r="F538" s="3099"/>
      <c r="G538" s="3143"/>
    </row>
    <row r="539" spans="1:8" s="3156" customFormat="1" hidden="1">
      <c r="A539" s="3094">
        <v>15</v>
      </c>
      <c r="B539" s="3095" t="s">
        <v>1670</v>
      </c>
      <c r="C539" s="3177"/>
      <c r="D539" s="3098"/>
      <c r="E539" s="3099"/>
      <c r="F539" s="3100"/>
      <c r="G539" s="3115"/>
    </row>
    <row r="540" spans="1:8" s="3156" customFormat="1" hidden="1">
      <c r="A540" s="3094"/>
      <c r="B540" s="4015" t="s">
        <v>1671</v>
      </c>
      <c r="C540" s="4015"/>
      <c r="D540" s="4015"/>
      <c r="E540" s="4015"/>
      <c r="F540" s="4015"/>
      <c r="G540" s="4015"/>
    </row>
    <row r="541" spans="1:8" s="3156" customFormat="1" hidden="1">
      <c r="A541" s="3094"/>
      <c r="B541" s="3178"/>
      <c r="C541" s="3163"/>
      <c r="D541" s="3171" t="s">
        <v>1112</v>
      </c>
      <c r="E541" s="3109" t="s">
        <v>1672</v>
      </c>
      <c r="F541" s="3163"/>
      <c r="G541" s="3163"/>
    </row>
    <row r="542" spans="1:8" s="3156" customFormat="1" hidden="1">
      <c r="A542" s="3094"/>
      <c r="B542" s="3100"/>
      <c r="C542" s="3177"/>
      <c r="D542" s="3107" t="s">
        <v>1673</v>
      </c>
      <c r="E542" s="3099"/>
      <c r="F542" s="3100"/>
      <c r="G542" s="3115"/>
    </row>
    <row r="543" spans="1:8" s="3156" customFormat="1" hidden="1">
      <c r="A543" s="3094"/>
      <c r="B543" s="3100"/>
      <c r="C543" s="3177" t="s">
        <v>36</v>
      </c>
      <c r="D543" s="3179" t="s">
        <v>37</v>
      </c>
      <c r="E543" s="3099"/>
      <c r="F543" s="3100"/>
      <c r="G543" s="3115"/>
    </row>
    <row r="544" spans="1:8" s="3156" customFormat="1" hidden="1">
      <c r="A544" s="3094"/>
      <c r="B544" s="3099">
        <v>0.24</v>
      </c>
      <c r="C544" s="3099" t="s">
        <v>38</v>
      </c>
      <c r="D544" s="3107" t="s">
        <v>1674</v>
      </c>
      <c r="E544" s="3099">
        <f>'SSR-rates'!$K$58</f>
        <v>575</v>
      </c>
      <c r="F544" s="3099" t="s">
        <v>1169</v>
      </c>
      <c r="G544" s="3101">
        <f>ROUND(B544*E544,2)</f>
        <v>138</v>
      </c>
    </row>
    <row r="545" spans="1:8" s="3156" customFormat="1" hidden="1">
      <c r="A545" s="3094"/>
      <c r="B545" s="3099">
        <v>6</v>
      </c>
      <c r="C545" s="3099" t="s">
        <v>38</v>
      </c>
      <c r="D545" s="3107" t="s">
        <v>1675</v>
      </c>
      <c r="E545" s="3099">
        <f>'SSR-rates'!$K$60</f>
        <v>575</v>
      </c>
      <c r="F545" s="3100" t="s">
        <v>38</v>
      </c>
      <c r="G545" s="3101">
        <f>ROUND(B545*E545,2)</f>
        <v>3450</v>
      </c>
    </row>
    <row r="546" spans="1:8" s="3156" customFormat="1" hidden="1">
      <c r="A546" s="3094"/>
      <c r="B546" s="3102">
        <f>'Input Data'!$D$23</f>
        <v>0</v>
      </c>
      <c r="C546" s="3097"/>
      <c r="D546" s="3103" t="s">
        <v>17</v>
      </c>
      <c r="E546" s="3099">
        <f>SUM(G543:G545)</f>
        <v>3588</v>
      </c>
      <c r="F546" s="3100"/>
      <c r="G546" s="3101">
        <f>B546*E546</f>
        <v>0</v>
      </c>
    </row>
    <row r="547" spans="1:8" s="3156" customFormat="1" hidden="1">
      <c r="A547" s="3094"/>
      <c r="B547" s="3102"/>
      <c r="C547" s="3099"/>
      <c r="D547" s="3107" t="s">
        <v>60</v>
      </c>
      <c r="E547" s="3099"/>
      <c r="F547" s="3100"/>
      <c r="G547" s="3114">
        <f>SUM(G544:G546)</f>
        <v>3588</v>
      </c>
    </row>
    <row r="548" spans="1:8" s="3156" customFormat="1" hidden="1">
      <c r="A548" s="3094"/>
      <c r="B548" s="3099"/>
      <c r="C548" s="3099" t="s">
        <v>39</v>
      </c>
      <c r="D548" s="3179" t="s">
        <v>40</v>
      </c>
      <c r="E548" s="3099"/>
      <c r="F548" s="3100"/>
      <c r="G548" s="3115"/>
    </row>
    <row r="549" spans="1:8" s="3156" customFormat="1" hidden="1">
      <c r="A549" s="3094"/>
      <c r="B549" s="3099">
        <v>6</v>
      </c>
      <c r="C549" s="3099" t="s">
        <v>23</v>
      </c>
      <c r="D549" s="3107" t="s">
        <v>1676</v>
      </c>
      <c r="E549" s="3105">
        <f>'SSR-rates'!$K$81</f>
        <v>3163</v>
      </c>
      <c r="F549" s="3099" t="s">
        <v>41</v>
      </c>
      <c r="G549" s="3101">
        <f>ROUND(B549*E549,2)</f>
        <v>18978</v>
      </c>
    </row>
    <row r="550" spans="1:8" s="3156" customFormat="1" hidden="1">
      <c r="A550" s="3094"/>
      <c r="B550" s="3099">
        <v>6</v>
      </c>
      <c r="C550" s="3099" t="s">
        <v>23</v>
      </c>
      <c r="D550" s="3097" t="s">
        <v>1677</v>
      </c>
      <c r="E550" s="3099">
        <f>'SSR-rates'!$K$66</f>
        <v>1280.4000000000001</v>
      </c>
      <c r="F550" s="3099" t="s">
        <v>41</v>
      </c>
      <c r="G550" s="3101">
        <f>ROUND(B550*E550,2)</f>
        <v>7682.4</v>
      </c>
    </row>
    <row r="551" spans="1:8" s="3156" customFormat="1" hidden="1">
      <c r="A551" s="3094"/>
      <c r="B551" s="3099">
        <v>6</v>
      </c>
      <c r="C551" s="3099" t="s">
        <v>23</v>
      </c>
      <c r="D551" s="3107" t="s">
        <v>1678</v>
      </c>
      <c r="E551" s="3099">
        <f>'SSR-rates'!$K$65</f>
        <v>2028</v>
      </c>
      <c r="F551" s="3099" t="s">
        <v>41</v>
      </c>
      <c r="G551" s="3101">
        <f>ROUND(B551*E551,2)</f>
        <v>12168</v>
      </c>
    </row>
    <row r="552" spans="1:8" s="3156" customFormat="1" ht="28.8" hidden="1">
      <c r="A552" s="3094"/>
      <c r="B552" s="3099">
        <v>6</v>
      </c>
      <c r="C552" s="3099" t="s">
        <v>23</v>
      </c>
      <c r="D552" s="3107" t="s">
        <v>1679</v>
      </c>
      <c r="E552" s="3099">
        <f>'SSR-rates'!$K$76</f>
        <v>1846</v>
      </c>
      <c r="F552" s="3099" t="s">
        <v>41</v>
      </c>
      <c r="G552" s="3101">
        <f>ROUND(B552*E552,2)</f>
        <v>11076</v>
      </c>
    </row>
    <row r="553" spans="1:8" s="3156" customFormat="1" hidden="1">
      <c r="A553" s="3094"/>
      <c r="B553" s="3099">
        <v>6</v>
      </c>
      <c r="C553" s="3099" t="s">
        <v>23</v>
      </c>
      <c r="D553" s="3107" t="s">
        <v>1680</v>
      </c>
      <c r="E553" s="3099">
        <f>'SSR-rates'!$K$68</f>
        <v>1749.6</v>
      </c>
      <c r="F553" s="3099" t="s">
        <v>41</v>
      </c>
      <c r="G553" s="3101">
        <f>ROUND(B553*E553,2)</f>
        <v>10497.6</v>
      </c>
    </row>
    <row r="554" spans="1:8" s="3156" customFormat="1" hidden="1">
      <c r="A554" s="3094"/>
      <c r="B554" s="3099"/>
      <c r="C554" s="3099"/>
      <c r="D554" s="3107" t="s">
        <v>60</v>
      </c>
      <c r="E554" s="3099"/>
      <c r="F554" s="3099"/>
      <c r="G554" s="3114">
        <f>SUM(G549:G553)</f>
        <v>60402</v>
      </c>
    </row>
    <row r="555" spans="1:8" s="3156" customFormat="1" hidden="1">
      <c r="A555" s="3094"/>
      <c r="B555" s="3099"/>
      <c r="C555" s="3099" t="s">
        <v>27</v>
      </c>
      <c r="D555" s="3179" t="s">
        <v>1681</v>
      </c>
      <c r="E555" s="3099"/>
      <c r="F555" s="3100"/>
      <c r="G555" s="3101"/>
    </row>
    <row r="556" spans="1:8" s="3156" customFormat="1" hidden="1">
      <c r="A556" s="3094"/>
      <c r="B556" s="3099">
        <v>10.050000000000001</v>
      </c>
      <c r="C556" s="3099" t="s">
        <v>1123</v>
      </c>
      <c r="D556" s="3107" t="s">
        <v>1682</v>
      </c>
      <c r="E556" s="3105">
        <f>lead!$J$40</f>
        <v>47014.645337323418</v>
      </c>
      <c r="F556" s="3099" t="s">
        <v>1123</v>
      </c>
      <c r="G556" s="3101">
        <f>ROUND(B556*E556,2)</f>
        <v>472497.19</v>
      </c>
    </row>
    <row r="557" spans="1:8" s="3156" customFormat="1" ht="43.2" hidden="1">
      <c r="A557" s="3094"/>
      <c r="B557" s="3099">
        <v>92.25</v>
      </c>
      <c r="C557" s="3099" t="s">
        <v>31</v>
      </c>
      <c r="D557" s="3107" t="s">
        <v>1683</v>
      </c>
      <c r="E557" s="3105">
        <f>(lead!$J$9+lead!$J$10+lead!$J$11)/3</f>
        <v>1595.1975238011412</v>
      </c>
      <c r="F557" s="3099" t="s">
        <v>31</v>
      </c>
      <c r="G557" s="3101">
        <f>ROUND(B557*E557,2)</f>
        <v>147156.97</v>
      </c>
      <c r="H557" s="3156">
        <f>0.98*10250</f>
        <v>10045</v>
      </c>
    </row>
    <row r="558" spans="1:8" s="3156" customFormat="1" hidden="1">
      <c r="A558" s="3094"/>
      <c r="B558" s="3099"/>
      <c r="C558" s="3099"/>
      <c r="D558" s="3107"/>
      <c r="E558" s="3105"/>
      <c r="F558" s="3099"/>
      <c r="G558" s="3114">
        <f>SUM(G556:G557)</f>
        <v>619654.16</v>
      </c>
    </row>
    <row r="559" spans="1:8" s="3156" customFormat="1" hidden="1">
      <c r="A559" s="3094"/>
      <c r="B559" s="3090" t="s">
        <v>45</v>
      </c>
      <c r="C559" s="3095" t="s">
        <v>1238</v>
      </c>
      <c r="D559" s="3098"/>
      <c r="E559" s="3099"/>
      <c r="F559" s="3100"/>
      <c r="G559" s="3101"/>
    </row>
    <row r="560" spans="1:8" s="3156" customFormat="1" hidden="1">
      <c r="A560" s="3094"/>
      <c r="B560" s="3134">
        <f>'Input Data'!$D$24</f>
        <v>0.13614999999999999</v>
      </c>
      <c r="C560" s="3173"/>
      <c r="D560" s="3180" t="str">
        <f>"Over head charges &amp; CP  "&amp;'Input Data'!$D$24*100&amp;"%  on (A) + (B)+(C)"</f>
        <v>Over head charges &amp; CP  13.615%  on (A) + (B)+(C)</v>
      </c>
      <c r="E560" s="3099">
        <f>$G$547+$G$554+$G$558</f>
        <v>683644.16</v>
      </c>
      <c r="F560" s="3100"/>
      <c r="G560" s="3101">
        <f>E560*B560</f>
        <v>93078.152384000001</v>
      </c>
    </row>
    <row r="561" spans="1:8" s="3156" customFormat="1" hidden="1">
      <c r="A561" s="3094"/>
      <c r="B561" s="3090" t="s">
        <v>47</v>
      </c>
      <c r="C561" s="3095" t="s">
        <v>89</v>
      </c>
      <c r="D561" s="3098"/>
      <c r="E561" s="3099"/>
      <c r="F561" s="3100"/>
      <c r="G561" s="3114">
        <f>G547+G554+G558+G560</f>
        <v>776722.31238400005</v>
      </c>
    </row>
    <row r="562" spans="1:8" s="3156" customFormat="1" hidden="1">
      <c r="A562" s="3094"/>
      <c r="B562" s="3099"/>
      <c r="C562" s="3172"/>
      <c r="D562" s="3098" t="s">
        <v>1667</v>
      </c>
      <c r="E562" s="3099"/>
      <c r="F562" s="3099"/>
      <c r="G562" s="3175">
        <f>SUM(G561:G561)</f>
        <v>776722.31238400005</v>
      </c>
    </row>
    <row r="563" spans="1:8" s="3156" customFormat="1" hidden="1">
      <c r="A563" s="3094"/>
      <c r="B563" s="3099"/>
      <c r="C563" s="3172"/>
      <c r="D563" s="3098" t="s">
        <v>1668</v>
      </c>
      <c r="E563" s="3099"/>
      <c r="F563" s="3099"/>
      <c r="G563" s="3101">
        <f>ROUND(G562/10250,2)</f>
        <v>75.78</v>
      </c>
    </row>
    <row r="564" spans="1:8" s="3156" customFormat="1" hidden="1">
      <c r="A564" s="3094"/>
      <c r="B564" s="3099"/>
      <c r="C564" s="3176"/>
      <c r="D564" s="3095" t="s">
        <v>52</v>
      </c>
      <c r="E564" s="3099"/>
      <c r="F564" s="3099"/>
      <c r="G564" s="3143">
        <f>ROUND(G563,2)</f>
        <v>75.78</v>
      </c>
      <c r="H564" s="3156" t="s">
        <v>907</v>
      </c>
    </row>
    <row r="565" spans="1:8" s="3156" customFormat="1" hidden="1">
      <c r="A565" s="3094"/>
      <c r="B565" s="3099"/>
      <c r="C565" s="3176"/>
      <c r="D565" s="3098"/>
      <c r="E565" s="3099"/>
      <c r="F565" s="3099"/>
      <c r="G565" s="3143" t="s">
        <v>137</v>
      </c>
    </row>
    <row r="566" spans="1:8" s="3156" customFormat="1" hidden="1">
      <c r="A566" s="3094">
        <f>A507+1</f>
        <v>11</v>
      </c>
      <c r="B566" s="3141" t="s">
        <v>1684</v>
      </c>
      <c r="C566" s="3177"/>
      <c r="D566" s="3098"/>
      <c r="E566" s="3099"/>
      <c r="F566" s="3100"/>
      <c r="G566" s="3115"/>
    </row>
    <row r="567" spans="1:8" s="3156" customFormat="1" hidden="1">
      <c r="A567" s="3094"/>
      <c r="B567" s="4015" t="s">
        <v>1685</v>
      </c>
      <c r="C567" s="4015"/>
      <c r="D567" s="4015"/>
      <c r="E567" s="4015"/>
      <c r="F567" s="4015"/>
      <c r="G567" s="4015"/>
    </row>
    <row r="568" spans="1:8" s="3156" customFormat="1" hidden="1">
      <c r="A568" s="3094"/>
      <c r="B568" s="3178"/>
      <c r="C568" s="3163"/>
      <c r="D568" s="3171" t="s">
        <v>1112</v>
      </c>
      <c r="E568" s="3109" t="s">
        <v>1672</v>
      </c>
      <c r="F568" s="3163"/>
      <c r="G568" s="3163"/>
    </row>
    <row r="569" spans="1:8" s="3156" customFormat="1" hidden="1">
      <c r="A569" s="3094"/>
      <c r="B569" s="3100"/>
      <c r="C569" s="3177"/>
      <c r="D569" s="3107" t="s">
        <v>1686</v>
      </c>
      <c r="E569" s="3099"/>
      <c r="F569" s="3100"/>
      <c r="G569" s="3115"/>
    </row>
    <row r="570" spans="1:8" s="3156" customFormat="1" hidden="1">
      <c r="A570" s="3094"/>
      <c r="B570" s="3100"/>
      <c r="C570" s="3177" t="s">
        <v>36</v>
      </c>
      <c r="D570" s="3179" t="s">
        <v>37</v>
      </c>
      <c r="E570" s="3099"/>
      <c r="F570" s="3100"/>
      <c r="G570" s="3115"/>
    </row>
    <row r="571" spans="1:8" s="3156" customFormat="1" hidden="1">
      <c r="A571" s="3094"/>
      <c r="B571" s="3099">
        <v>0.16</v>
      </c>
      <c r="C571" s="3099" t="s">
        <v>38</v>
      </c>
      <c r="D571" s="3107" t="s">
        <v>1674</v>
      </c>
      <c r="E571" s="3099">
        <f>'SSR-rates'!$K$58</f>
        <v>575</v>
      </c>
      <c r="F571" s="3099" t="s">
        <v>1169</v>
      </c>
      <c r="G571" s="3101">
        <f>ROUND(B571*E571,2)</f>
        <v>92</v>
      </c>
    </row>
    <row r="572" spans="1:8" s="3156" customFormat="1" hidden="1">
      <c r="A572" s="3094"/>
      <c r="B572" s="3099">
        <v>4</v>
      </c>
      <c r="C572" s="3099" t="s">
        <v>38</v>
      </c>
      <c r="D572" s="3107" t="s">
        <v>1675</v>
      </c>
      <c r="E572" s="3099">
        <f>'SSR-rates'!$K$60</f>
        <v>575</v>
      </c>
      <c r="F572" s="3100" t="s">
        <v>38</v>
      </c>
      <c r="G572" s="3101">
        <f>ROUND(B572*E572,2)</f>
        <v>2300</v>
      </c>
    </row>
    <row r="573" spans="1:8" s="3156" customFormat="1" hidden="1">
      <c r="A573" s="3094"/>
      <c r="B573" s="3102">
        <f>'Input Data'!$D$23</f>
        <v>0</v>
      </c>
      <c r="C573" s="3097"/>
      <c r="D573" s="3103" t="s">
        <v>17</v>
      </c>
      <c r="E573" s="3099">
        <f>SUM(G571:G572)</f>
        <v>2392</v>
      </c>
      <c r="F573" s="3100"/>
      <c r="G573" s="3101">
        <f>B573*E573</f>
        <v>0</v>
      </c>
    </row>
    <row r="574" spans="1:8" s="3156" customFormat="1" hidden="1">
      <c r="A574" s="3094"/>
      <c r="B574" s="3102"/>
      <c r="C574" s="3099"/>
      <c r="D574" s="3107" t="s">
        <v>60</v>
      </c>
      <c r="E574" s="3099"/>
      <c r="F574" s="3100"/>
      <c r="G574" s="3114">
        <f>SUM(G571:G573)</f>
        <v>2392</v>
      </c>
    </row>
    <row r="575" spans="1:8" s="3156" customFormat="1" hidden="1">
      <c r="A575" s="3094"/>
      <c r="B575" s="3099"/>
      <c r="C575" s="3099" t="s">
        <v>39</v>
      </c>
      <c r="D575" s="3179" t="s">
        <v>40</v>
      </c>
      <c r="E575" s="3099"/>
      <c r="F575" s="3100"/>
      <c r="G575" s="3115"/>
    </row>
    <row r="576" spans="1:8" s="3156" customFormat="1" hidden="1">
      <c r="A576" s="3094"/>
      <c r="B576" s="3099">
        <v>2</v>
      </c>
      <c r="C576" s="3099" t="s">
        <v>23</v>
      </c>
      <c r="D576" s="3098" t="s">
        <v>1171</v>
      </c>
      <c r="E576" s="3099">
        <f>'SSR-rates'!$P$78</f>
        <v>33344</v>
      </c>
      <c r="F576" s="3099" t="s">
        <v>41</v>
      </c>
      <c r="G576" s="3101">
        <f>ROUND(B576*E576,2)</f>
        <v>66688</v>
      </c>
    </row>
    <row r="577" spans="1:7" s="3156" customFormat="1" hidden="1">
      <c r="A577" s="3094"/>
      <c r="B577" s="3099">
        <v>2</v>
      </c>
      <c r="C577" s="3099" t="s">
        <v>23</v>
      </c>
      <c r="D577" s="3107" t="s">
        <v>1687</v>
      </c>
      <c r="E577" s="3099">
        <f>'SSR-rates'!$K$85</f>
        <v>2279</v>
      </c>
      <c r="F577" s="3099" t="s">
        <v>41</v>
      </c>
      <c r="G577" s="3101">
        <f>ROUND(B577*E577,2)</f>
        <v>4558</v>
      </c>
    </row>
    <row r="578" spans="1:7" s="3156" customFormat="1" hidden="1">
      <c r="A578" s="3094"/>
      <c r="B578" s="3099">
        <v>2</v>
      </c>
      <c r="C578" s="3099" t="s">
        <v>23</v>
      </c>
      <c r="D578" s="3107" t="s">
        <v>1688</v>
      </c>
      <c r="E578" s="3099">
        <f>'SSR-rates'!$K$65</f>
        <v>2028</v>
      </c>
      <c r="F578" s="3099" t="s">
        <v>41</v>
      </c>
      <c r="G578" s="3101">
        <f>ROUND(B578*E578,2)</f>
        <v>4056</v>
      </c>
    </row>
    <row r="579" spans="1:7" s="3156" customFormat="1" ht="28.8" hidden="1">
      <c r="A579" s="3094"/>
      <c r="B579" s="3099" t="s">
        <v>1689</v>
      </c>
      <c r="C579" s="3105" t="s">
        <v>1245</v>
      </c>
      <c r="D579" s="3107" t="s">
        <v>1690</v>
      </c>
      <c r="E579" s="3099">
        <v>0</v>
      </c>
      <c r="F579" s="3099" t="s">
        <v>41</v>
      </c>
      <c r="G579" s="3101">
        <v>0</v>
      </c>
    </row>
    <row r="580" spans="1:7" s="3156" customFormat="1" ht="28.8" hidden="1">
      <c r="A580" s="3094"/>
      <c r="B580" s="3099"/>
      <c r="C580" s="3099"/>
      <c r="D580" s="3107" t="s">
        <v>1662</v>
      </c>
      <c r="E580" s="3099">
        <v>0</v>
      </c>
      <c r="F580" s="3099" t="s">
        <v>41</v>
      </c>
      <c r="G580" s="3101">
        <f>ROUND(B580*E580,2)</f>
        <v>0</v>
      </c>
    </row>
    <row r="581" spans="1:7" s="3156" customFormat="1" hidden="1">
      <c r="A581" s="3094"/>
      <c r="B581" s="3099">
        <v>2</v>
      </c>
      <c r="C581" s="3099" t="s">
        <v>23</v>
      </c>
      <c r="D581" s="3107" t="s">
        <v>1691</v>
      </c>
      <c r="E581" s="3099">
        <f>'SSR-rates'!$K$80</f>
        <v>2771</v>
      </c>
      <c r="F581" s="3099" t="s">
        <v>41</v>
      </c>
      <c r="G581" s="3101">
        <f>ROUND(B581*E581,2)</f>
        <v>5542</v>
      </c>
    </row>
    <row r="582" spans="1:7" s="3156" customFormat="1" hidden="1">
      <c r="A582" s="3094"/>
      <c r="B582" s="3099">
        <v>2</v>
      </c>
      <c r="C582" s="3099" t="s">
        <v>23</v>
      </c>
      <c r="D582" s="3107" t="s">
        <v>1692</v>
      </c>
      <c r="E582" s="3099">
        <f>'SSR-rates'!$K$68</f>
        <v>1749.6</v>
      </c>
      <c r="F582" s="3099" t="s">
        <v>41</v>
      </c>
      <c r="G582" s="3101">
        <f>ROUND(B582*E582,2)</f>
        <v>3499.2</v>
      </c>
    </row>
    <row r="583" spans="1:7" s="3156" customFormat="1" hidden="1">
      <c r="A583" s="3094"/>
      <c r="B583" s="3099"/>
      <c r="C583" s="3099"/>
      <c r="D583" s="3107" t="s">
        <v>60</v>
      </c>
      <c r="E583" s="3099"/>
      <c r="F583" s="3099"/>
      <c r="G583" s="3114">
        <f>SUM(G576:G582)</f>
        <v>84343.2</v>
      </c>
    </row>
    <row r="584" spans="1:7" s="3156" customFormat="1" hidden="1">
      <c r="A584" s="3094"/>
      <c r="B584" s="3099"/>
      <c r="C584" s="3099" t="s">
        <v>27</v>
      </c>
      <c r="D584" s="3179" t="s">
        <v>1681</v>
      </c>
      <c r="E584" s="3099"/>
      <c r="F584" s="3100"/>
      <c r="G584" s="3101"/>
    </row>
    <row r="585" spans="1:7" s="3156" customFormat="1" hidden="1">
      <c r="A585" s="3094"/>
      <c r="B585" s="3099">
        <v>5.34</v>
      </c>
      <c r="C585" s="3099" t="s">
        <v>1123</v>
      </c>
      <c r="D585" s="3107" t="s">
        <v>1693</v>
      </c>
      <c r="E585" s="3161">
        <f>BT_Rate_60_70</f>
        <v>47014.645337323418</v>
      </c>
      <c r="F585" s="3099" t="s">
        <v>1123</v>
      </c>
      <c r="G585" s="3101">
        <f>ROUND(B585*E585,2)</f>
        <v>251058.21</v>
      </c>
    </row>
    <row r="586" spans="1:7" s="3156" customFormat="1" ht="43.2" hidden="1">
      <c r="A586" s="3094"/>
      <c r="B586" s="3099">
        <v>47.16</v>
      </c>
      <c r="C586" s="3099" t="s">
        <v>31</v>
      </c>
      <c r="D586" s="3107" t="s">
        <v>1694</v>
      </c>
      <c r="E586" s="3105">
        <f>(lead!$J$9+lead!$J$10+lead!$J$11)/3</f>
        <v>1595.1975238011412</v>
      </c>
      <c r="F586" s="3099" t="s">
        <v>31</v>
      </c>
      <c r="G586" s="3101">
        <f>ROUND(B586*E586,2)</f>
        <v>75229.52</v>
      </c>
    </row>
    <row r="587" spans="1:7" s="3156" customFormat="1" hidden="1">
      <c r="A587" s="3094"/>
      <c r="B587" s="3099"/>
      <c r="C587" s="3099"/>
      <c r="D587" s="3107"/>
      <c r="E587" s="3105"/>
      <c r="F587" s="3099"/>
      <c r="G587" s="3114">
        <f>SUM(G585:G586)</f>
        <v>326287.73</v>
      </c>
    </row>
    <row r="588" spans="1:7" s="3156" customFormat="1" hidden="1">
      <c r="A588" s="3094"/>
      <c r="B588" s="3090" t="s">
        <v>45</v>
      </c>
      <c r="C588" s="3095" t="s">
        <v>1238</v>
      </c>
      <c r="D588" s="3098"/>
      <c r="E588" s="3099"/>
      <c r="F588" s="3100"/>
      <c r="G588" s="3101"/>
    </row>
    <row r="589" spans="1:7" s="3156" customFormat="1" hidden="1">
      <c r="A589" s="3094"/>
      <c r="B589" s="3134">
        <f>'Input Data'!$D$24</f>
        <v>0.13614999999999999</v>
      </c>
      <c r="C589" s="3173"/>
      <c r="D589" s="3180" t="str">
        <f>"Over head charges &amp; CP  "&amp;'Input Data'!$D$24*100&amp;"%  on (A) + (B)+(C)"</f>
        <v>Over head charges &amp; CP  13.615%  on (A) + (B)+(C)</v>
      </c>
      <c r="E589" s="3099">
        <f>$G$574+$G$583+$G$587</f>
        <v>413022.93</v>
      </c>
      <c r="F589" s="3100"/>
      <c r="G589" s="3101">
        <f>E589*B589</f>
        <v>56233.071919499998</v>
      </c>
    </row>
    <row r="590" spans="1:7" s="3156" customFormat="1" hidden="1">
      <c r="A590" s="3094"/>
      <c r="B590" s="3090" t="s">
        <v>47</v>
      </c>
      <c r="C590" s="3095" t="s">
        <v>89</v>
      </c>
      <c r="D590" s="3098"/>
      <c r="E590" s="3099"/>
      <c r="F590" s="3100"/>
      <c r="G590" s="3114">
        <f>G574+G583+G587+G589</f>
        <v>469256.00191950001</v>
      </c>
    </row>
    <row r="591" spans="1:7" s="3156" customFormat="1" hidden="1">
      <c r="A591" s="3094"/>
      <c r="B591" s="3099"/>
      <c r="C591" s="3172"/>
      <c r="D591" s="3098" t="s">
        <v>1695</v>
      </c>
      <c r="E591" s="3099"/>
      <c r="F591" s="3099"/>
      <c r="G591" s="3175">
        <f>SUM(G590:G590)</f>
        <v>469256.00191950001</v>
      </c>
    </row>
    <row r="592" spans="1:7" s="3156" customFormat="1" hidden="1">
      <c r="A592" s="3094"/>
      <c r="B592" s="3099"/>
      <c r="C592" s="3172"/>
      <c r="D592" s="3098" t="s">
        <v>1668</v>
      </c>
      <c r="E592" s="3099"/>
      <c r="F592" s="3099"/>
      <c r="G592" s="3101">
        <f>ROUND(G591/7858,2)</f>
        <v>59.72</v>
      </c>
    </row>
    <row r="593" spans="1:7" s="3156" customFormat="1" hidden="1">
      <c r="A593" s="3094"/>
      <c r="B593" s="3099"/>
      <c r="C593" s="3176"/>
      <c r="D593" s="3095" t="s">
        <v>52</v>
      </c>
      <c r="E593" s="3099"/>
      <c r="F593" s="3099"/>
      <c r="G593" s="3143">
        <f>ROUND(G592,2)</f>
        <v>59.72</v>
      </c>
    </row>
    <row r="594" spans="1:7" s="3156" customFormat="1" hidden="1">
      <c r="A594" s="3094" t="s">
        <v>1669</v>
      </c>
      <c r="B594" s="3099"/>
      <c r="C594" s="3176"/>
      <c r="D594" s="3098"/>
      <c r="E594" s="3099"/>
      <c r="F594" s="3099"/>
      <c r="G594" s="3143" t="s">
        <v>137</v>
      </c>
    </row>
    <row r="595" spans="1:7" s="3156" customFormat="1" ht="192" hidden="1" customHeight="1">
      <c r="A595" s="3094">
        <v>10</v>
      </c>
      <c r="B595" s="4006" t="s">
        <v>1696</v>
      </c>
      <c r="C595" s="4006"/>
      <c r="D595" s="4006"/>
      <c r="E595" s="4006"/>
      <c r="F595" s="4006"/>
      <c r="G595" s="4006"/>
    </row>
    <row r="596" spans="1:7" s="3156" customFormat="1" hidden="1">
      <c r="A596" s="3094"/>
      <c r="B596" s="3100"/>
      <c r="C596" s="3177"/>
      <c r="D596" s="3107" t="s">
        <v>10</v>
      </c>
      <c r="E596" s="3099"/>
      <c r="F596" s="3100"/>
      <c r="G596" s="3115"/>
    </row>
    <row r="597" spans="1:7" s="3156" customFormat="1" hidden="1">
      <c r="A597" s="3094"/>
      <c r="B597" s="3100"/>
      <c r="C597" s="3177"/>
      <c r="D597" s="3107" t="s">
        <v>1697</v>
      </c>
      <c r="E597" s="3099"/>
      <c r="F597" s="3100"/>
      <c r="G597" s="3115"/>
    </row>
    <row r="598" spans="1:7" s="3156" customFormat="1" hidden="1">
      <c r="A598" s="3094"/>
      <c r="B598" s="3100"/>
      <c r="C598" s="3177"/>
      <c r="D598" s="3107" t="s">
        <v>1698</v>
      </c>
      <c r="E598" s="3099"/>
      <c r="F598" s="3100"/>
      <c r="G598" s="3115"/>
    </row>
    <row r="599" spans="1:7" s="3156" customFormat="1" hidden="1">
      <c r="A599" s="3094"/>
      <c r="B599" s="3100"/>
      <c r="C599" s="3177" t="s">
        <v>36</v>
      </c>
      <c r="D599" s="3179" t="s">
        <v>37</v>
      </c>
      <c r="E599" s="3099"/>
      <c r="F599" s="3099"/>
      <c r="G599" s="3101"/>
    </row>
    <row r="600" spans="1:7" s="3181" customFormat="1" hidden="1">
      <c r="A600" s="3094"/>
      <c r="B600" s="3099">
        <v>5</v>
      </c>
      <c r="C600" s="3099" t="s">
        <v>38</v>
      </c>
      <c r="D600" s="3107" t="s">
        <v>1699</v>
      </c>
      <c r="E600" s="3099">
        <f>'SSR-rates'!$K$53</f>
        <v>645</v>
      </c>
      <c r="F600" s="3099" t="s">
        <v>1169</v>
      </c>
      <c r="G600" s="3101">
        <f t="shared" ref="G600:G607" si="2">ROUND(B600*E600,2)</f>
        <v>3225</v>
      </c>
    </row>
    <row r="601" spans="1:7" s="3181" customFormat="1" hidden="1">
      <c r="A601" s="3094"/>
      <c r="B601" s="3099">
        <v>5</v>
      </c>
      <c r="C601" s="3099" t="s">
        <v>38</v>
      </c>
      <c r="D601" s="3107" t="s">
        <v>1700</v>
      </c>
      <c r="E601" s="3099">
        <f>'SSR-rates'!$K$54</f>
        <v>615</v>
      </c>
      <c r="F601" s="3099" t="s">
        <v>1169</v>
      </c>
      <c r="G601" s="3101">
        <f t="shared" si="2"/>
        <v>3075</v>
      </c>
    </row>
    <row r="602" spans="1:7" s="3181" customFormat="1" hidden="1">
      <c r="A602" s="3094"/>
      <c r="B602" s="3099">
        <v>150</v>
      </c>
      <c r="C602" s="3099" t="s">
        <v>38</v>
      </c>
      <c r="D602" s="3107" t="s">
        <v>1701</v>
      </c>
      <c r="E602" s="3099">
        <f>'SSR-rates'!$K$60</f>
        <v>575</v>
      </c>
      <c r="F602" s="3099" t="s">
        <v>1169</v>
      </c>
      <c r="G602" s="3101">
        <f t="shared" si="2"/>
        <v>86250</v>
      </c>
    </row>
    <row r="603" spans="1:7" s="3181" customFormat="1" hidden="1">
      <c r="A603" s="3094"/>
      <c r="B603" s="3099">
        <v>6</v>
      </c>
      <c r="C603" s="3099" t="s">
        <v>38</v>
      </c>
      <c r="D603" s="3107" t="s">
        <v>1702</v>
      </c>
      <c r="E603" s="3099">
        <f>'SSR-rates'!$K$59</f>
        <v>575</v>
      </c>
      <c r="F603" s="3099" t="s">
        <v>1169</v>
      </c>
      <c r="G603" s="3101">
        <f t="shared" si="2"/>
        <v>3450</v>
      </c>
    </row>
    <row r="604" spans="1:7" s="3181" customFormat="1" hidden="1">
      <c r="A604" s="3094"/>
      <c r="B604" s="3099">
        <v>2</v>
      </c>
      <c r="C604" s="3099" t="s">
        <v>38</v>
      </c>
      <c r="D604" s="3107" t="s">
        <v>1703</v>
      </c>
      <c r="E604" s="3099">
        <f>'SSR-rates'!$K$55</f>
        <v>1095</v>
      </c>
      <c r="F604" s="3099" t="s">
        <v>1169</v>
      </c>
      <c r="G604" s="3101">
        <f t="shared" si="2"/>
        <v>2190</v>
      </c>
    </row>
    <row r="605" spans="1:7" s="3181" customFormat="1" hidden="1">
      <c r="A605" s="3094"/>
      <c r="B605" s="3099">
        <v>6</v>
      </c>
      <c r="C605" s="3099" t="s">
        <v>38</v>
      </c>
      <c r="D605" s="3107" t="s">
        <v>1704</v>
      </c>
      <c r="E605" s="3099">
        <f>('SSR-rates'!$K$59+'SSR-rates'!$K$60)/2</f>
        <v>575</v>
      </c>
      <c r="F605" s="3099" t="s">
        <v>1169</v>
      </c>
      <c r="G605" s="3101">
        <f t="shared" si="2"/>
        <v>3450</v>
      </c>
    </row>
    <row r="606" spans="1:7" s="3181" customFormat="1" ht="43.2" hidden="1">
      <c r="A606" s="3094"/>
      <c r="B606" s="3099">
        <v>1</v>
      </c>
      <c r="C606" s="3099" t="s">
        <v>38</v>
      </c>
      <c r="D606" s="3107" t="s">
        <v>1705</v>
      </c>
      <c r="E606" s="3099">
        <f>'SSR-rates'!$K$56</f>
        <v>640</v>
      </c>
      <c r="F606" s="3099" t="s">
        <v>1169</v>
      </c>
      <c r="G606" s="3101">
        <f t="shared" si="2"/>
        <v>640</v>
      </c>
    </row>
    <row r="607" spans="1:7" s="3156" customFormat="1" hidden="1">
      <c r="A607" s="3094"/>
      <c r="B607" s="3102">
        <f>'Input Data'!$D$23</f>
        <v>0</v>
      </c>
      <c r="C607" s="3099"/>
      <c r="D607" s="3107" t="s">
        <v>1706</v>
      </c>
      <c r="E607" s="3099">
        <f>SUM(G599:G606)</f>
        <v>102280</v>
      </c>
      <c r="F607" s="3100"/>
      <c r="G607" s="3101">
        <f t="shared" si="2"/>
        <v>0</v>
      </c>
    </row>
    <row r="608" spans="1:7" s="3156" customFormat="1" hidden="1">
      <c r="A608" s="3094"/>
      <c r="B608" s="3102"/>
      <c r="C608" s="3099"/>
      <c r="D608" s="3107" t="s">
        <v>60</v>
      </c>
      <c r="E608" s="3099"/>
      <c r="F608" s="3100"/>
      <c r="G608" s="3114">
        <f>SUM(G600:G607)</f>
        <v>102280</v>
      </c>
    </row>
    <row r="609" spans="1:12" s="3156" customFormat="1" hidden="1">
      <c r="A609" s="3094"/>
      <c r="B609" s="3099"/>
      <c r="C609" s="3099" t="s">
        <v>39</v>
      </c>
      <c r="D609" s="3179" t="s">
        <v>40</v>
      </c>
      <c r="E609" s="3099"/>
      <c r="F609" s="3100"/>
      <c r="G609" s="3101"/>
    </row>
    <row r="610" spans="1:12" s="3156" customFormat="1" ht="43.2" hidden="1">
      <c r="A610" s="3094"/>
      <c r="B610" s="3099">
        <v>36</v>
      </c>
      <c r="C610" s="3099" t="s">
        <v>1707</v>
      </c>
      <c r="D610" s="3107" t="s">
        <v>1708</v>
      </c>
      <c r="E610" s="3099">
        <f>'SSR-rates'!$K$88</f>
        <v>697.9</v>
      </c>
      <c r="F610" s="3100"/>
      <c r="G610" s="3101">
        <f t="shared" ref="G610:G615" si="3">ROUND(B610*E610,2)</f>
        <v>25124.400000000001</v>
      </c>
    </row>
    <row r="611" spans="1:12" s="3156" customFormat="1" hidden="1">
      <c r="A611" s="3094"/>
      <c r="B611" s="3099">
        <v>9</v>
      </c>
      <c r="C611" s="3099" t="s">
        <v>1707</v>
      </c>
      <c r="D611" s="3107" t="s">
        <v>1709</v>
      </c>
      <c r="E611" s="3099">
        <v>246.1</v>
      </c>
      <c r="F611" s="3100"/>
      <c r="G611" s="3101">
        <f t="shared" si="3"/>
        <v>2214.9</v>
      </c>
    </row>
    <row r="612" spans="1:12" s="3156" customFormat="1" hidden="1">
      <c r="A612" s="3094"/>
      <c r="B612" s="3099">
        <v>9</v>
      </c>
      <c r="C612" s="3099" t="s">
        <v>1707</v>
      </c>
      <c r="D612" s="3107" t="s">
        <v>1710</v>
      </c>
      <c r="E612" s="3099"/>
      <c r="F612" s="3100"/>
      <c r="G612" s="3101">
        <f t="shared" si="3"/>
        <v>0</v>
      </c>
    </row>
    <row r="613" spans="1:12" s="3156" customFormat="1" hidden="1">
      <c r="A613" s="3094"/>
      <c r="B613" s="3099">
        <v>9</v>
      </c>
      <c r="C613" s="3099" t="s">
        <v>1707</v>
      </c>
      <c r="D613" s="3107" t="s">
        <v>1711</v>
      </c>
      <c r="E613" s="3099">
        <f>+'SSR-rates'!$K$91</f>
        <v>59</v>
      </c>
      <c r="F613" s="3100"/>
      <c r="G613" s="3101">
        <f t="shared" si="3"/>
        <v>531</v>
      </c>
    </row>
    <row r="614" spans="1:12" s="3156" customFormat="1" hidden="1">
      <c r="A614" s="3094"/>
      <c r="B614" s="3099">
        <v>5</v>
      </c>
      <c r="C614" s="3099" t="s">
        <v>1707</v>
      </c>
      <c r="D614" s="3107" t="s">
        <v>1712</v>
      </c>
      <c r="E614" s="3099">
        <f>'SSR-rates'!$K$69</f>
        <v>769</v>
      </c>
      <c r="F614" s="3100"/>
      <c r="G614" s="3101">
        <f t="shared" si="3"/>
        <v>3845</v>
      </c>
    </row>
    <row r="615" spans="1:12" s="3156" customFormat="1" hidden="1">
      <c r="A615" s="3094"/>
      <c r="B615" s="3099">
        <v>2</v>
      </c>
      <c r="C615" s="3099" t="s">
        <v>1707</v>
      </c>
      <c r="D615" s="3107" t="s">
        <v>1713</v>
      </c>
      <c r="E615" s="3099">
        <f>'SSR-rates'!$K$73</f>
        <v>727.6</v>
      </c>
      <c r="F615" s="3100"/>
      <c r="G615" s="3101">
        <f t="shared" si="3"/>
        <v>1455.2</v>
      </c>
    </row>
    <row r="616" spans="1:12" s="3156" customFormat="1" hidden="1">
      <c r="A616" s="3094"/>
      <c r="B616" s="3099">
        <v>90</v>
      </c>
      <c r="C616" s="3099" t="s">
        <v>2608</v>
      </c>
      <c r="D616" s="3107" t="s">
        <v>2607</v>
      </c>
      <c r="E616" s="3099">
        <v>55</v>
      </c>
      <c r="F616" s="3100"/>
      <c r="G616" s="3101">
        <f>E616*B616</f>
        <v>4950</v>
      </c>
    </row>
    <row r="617" spans="1:12" s="3156" customFormat="1" hidden="1">
      <c r="A617" s="3094"/>
      <c r="B617" s="3099"/>
      <c r="C617" s="3099"/>
      <c r="D617" s="3107" t="s">
        <v>60</v>
      </c>
      <c r="E617" s="3099"/>
      <c r="F617" s="3100"/>
      <c r="G617" s="3114">
        <f>SUM(G610:G616)</f>
        <v>38120.5</v>
      </c>
      <c r="J617" s="3156">
        <f>75*350</f>
        <v>26250</v>
      </c>
    </row>
    <row r="618" spans="1:12" s="3156" customFormat="1" hidden="1">
      <c r="A618" s="3094"/>
      <c r="B618" s="3099"/>
      <c r="C618" s="3099" t="s">
        <v>27</v>
      </c>
      <c r="D618" s="3179" t="s">
        <v>61</v>
      </c>
      <c r="E618" s="3099"/>
      <c r="F618" s="3100"/>
      <c r="G618" s="3101"/>
      <c r="J618" s="3156">
        <f>+J617*0.5%</f>
        <v>131.25</v>
      </c>
      <c r="K618" s="3156">
        <v>122</v>
      </c>
      <c r="L618" s="3156">
        <f>K618/J618</f>
        <v>0.92952380952380953</v>
      </c>
    </row>
    <row r="619" spans="1:12" s="3156" customFormat="1" ht="43.2" hidden="1">
      <c r="A619" s="3094"/>
      <c r="B619" s="3099"/>
      <c r="C619" s="3099"/>
      <c r="D619" s="3107" t="s">
        <v>1714</v>
      </c>
      <c r="E619" s="3099"/>
      <c r="F619" s="3100"/>
      <c r="G619" s="3101"/>
      <c r="J619" s="3156">
        <f>J617*0.4%</f>
        <v>105</v>
      </c>
      <c r="K619" s="3156">
        <f>J619*L618</f>
        <v>97.6</v>
      </c>
    </row>
    <row r="620" spans="1:12" s="3156" customFormat="1" hidden="1">
      <c r="A620" s="3094"/>
      <c r="B620" s="3182">
        <v>44.55</v>
      </c>
      <c r="C620" s="3099" t="s">
        <v>73</v>
      </c>
      <c r="D620" s="3107" t="s">
        <v>490</v>
      </c>
      <c r="E620" s="3105">
        <f>lead!$J$16</f>
        <v>1889.8641904678079</v>
      </c>
      <c r="F620" s="3099" t="s">
        <v>73</v>
      </c>
      <c r="G620" s="3101">
        <f t="shared" ref="G620:G625" si="4">ROUND(B620*E620,2)</f>
        <v>84193.45</v>
      </c>
      <c r="H620" s="3156">
        <v>22.95</v>
      </c>
    </row>
    <row r="621" spans="1:12" s="3156" customFormat="1" hidden="1">
      <c r="A621" s="3094"/>
      <c r="B621" s="3182">
        <v>22.95</v>
      </c>
      <c r="C621" s="3099" t="s">
        <v>73</v>
      </c>
      <c r="D621" s="3107" t="s">
        <v>1715</v>
      </c>
      <c r="E621" s="3105">
        <f>lead!$J$18</f>
        <v>1638.8641904678079</v>
      </c>
      <c r="F621" s="3099" t="s">
        <v>73</v>
      </c>
      <c r="G621" s="3101">
        <f t="shared" si="4"/>
        <v>37611.93</v>
      </c>
      <c r="H621" s="3156">
        <v>44.55</v>
      </c>
    </row>
    <row r="622" spans="1:12" s="3156" customFormat="1" ht="28.8" hidden="1">
      <c r="A622" s="3094"/>
      <c r="B622" s="3099">
        <f>33.75/2</f>
        <v>16.875</v>
      </c>
      <c r="C622" s="3099" t="s">
        <v>31</v>
      </c>
      <c r="D622" s="3183" t="s">
        <v>1716</v>
      </c>
      <c r="E622" s="3105">
        <f>lead!$J$31</f>
        <v>1760.9684020595876</v>
      </c>
      <c r="F622" s="3099" t="s">
        <v>31</v>
      </c>
      <c r="G622" s="3101">
        <f t="shared" si="4"/>
        <v>29716.34</v>
      </c>
    </row>
    <row r="623" spans="1:12" s="3156" customFormat="1" hidden="1">
      <c r="A623" s="3094"/>
      <c r="B623" s="3099">
        <f>33.75/2</f>
        <v>16.875</v>
      </c>
      <c r="C623" s="3099" t="s">
        <v>31</v>
      </c>
      <c r="D623" s="3183" t="s">
        <v>1717</v>
      </c>
      <c r="E623" s="3105">
        <f>lead!$J$33</f>
        <v>1760.9684020595876</v>
      </c>
      <c r="F623" s="3099" t="s">
        <v>31</v>
      </c>
      <c r="G623" s="3101">
        <f t="shared" si="4"/>
        <v>29716.34</v>
      </c>
    </row>
    <row r="624" spans="1:12" s="3156" customFormat="1" hidden="1">
      <c r="A624" s="3094"/>
      <c r="B624" s="3099">
        <v>26.25</v>
      </c>
      <c r="C624" s="3099" t="s">
        <v>1123</v>
      </c>
      <c r="D624" s="3107" t="s">
        <v>1718</v>
      </c>
      <c r="E624" s="3105">
        <f>lead!$J$36</f>
        <v>5000</v>
      </c>
      <c r="F624" s="3099" t="s">
        <v>1123</v>
      </c>
      <c r="G624" s="3101">
        <f t="shared" si="4"/>
        <v>131250</v>
      </c>
      <c r="H624" s="3184">
        <f>0.35*75</f>
        <v>26.25</v>
      </c>
    </row>
    <row r="625" spans="1:9" s="3156" customFormat="1" hidden="1">
      <c r="A625" s="3094"/>
      <c r="B625" s="3099">
        <v>412.5</v>
      </c>
      <c r="C625" s="3099" t="s">
        <v>913</v>
      </c>
      <c r="D625" s="3107" t="s">
        <v>1719</v>
      </c>
      <c r="E625" s="3099">
        <f>'SSR-rates'!$K$39</f>
        <v>19</v>
      </c>
      <c r="F625" s="3099" t="s">
        <v>913</v>
      </c>
      <c r="G625" s="3101">
        <f t="shared" si="4"/>
        <v>7837.5</v>
      </c>
    </row>
    <row r="626" spans="1:9" s="3156" customFormat="1" ht="43.2" hidden="1">
      <c r="A626" s="3094"/>
      <c r="B626" s="3099"/>
      <c r="C626" s="3099"/>
      <c r="D626" s="3107" t="s">
        <v>1720</v>
      </c>
      <c r="E626" s="3099"/>
      <c r="F626" s="3099"/>
      <c r="G626" s="3101"/>
      <c r="H626" s="3185" t="e">
        <f>#REF!</f>
        <v>#REF!</v>
      </c>
    </row>
    <row r="627" spans="1:9" s="3156" customFormat="1" ht="28.8" hidden="1">
      <c r="A627" s="3094"/>
      <c r="B627" s="3099">
        <v>161.91</v>
      </c>
      <c r="C627" s="3099" t="s">
        <v>191</v>
      </c>
      <c r="D627" s="3107" t="s">
        <v>1721</v>
      </c>
      <c r="E627" s="3105">
        <f>lead!$J$38/1000</f>
        <v>60</v>
      </c>
      <c r="F627" s="3099" t="s">
        <v>191</v>
      </c>
      <c r="G627" s="3101">
        <f t="shared" ref="G627:G635" si="5">ROUND(B627*E627,2)</f>
        <v>9714.6</v>
      </c>
    </row>
    <row r="628" spans="1:9" s="3156" customFormat="1" hidden="1">
      <c r="A628" s="3094"/>
      <c r="B628" s="3170">
        <v>5.0000000000000001E-3</v>
      </c>
      <c r="C628" s="3099" t="s">
        <v>1123</v>
      </c>
      <c r="D628" s="3107" t="s">
        <v>1722</v>
      </c>
      <c r="E628" s="3161">
        <f>BT_Rate_60_70</f>
        <v>47014.645337323418</v>
      </c>
      <c r="F628" s="3099" t="s">
        <v>1123</v>
      </c>
      <c r="G628" s="3101">
        <f t="shared" si="5"/>
        <v>235.07</v>
      </c>
    </row>
    <row r="629" spans="1:9" s="3156" customFormat="1" hidden="1">
      <c r="A629" s="3094"/>
      <c r="B629" s="3099">
        <v>19</v>
      </c>
      <c r="C629" s="3099" t="s">
        <v>1723</v>
      </c>
      <c r="D629" s="3107" t="s">
        <v>1724</v>
      </c>
      <c r="E629" s="3099">
        <f>'SSR-rates'!$K$40</f>
        <v>73</v>
      </c>
      <c r="F629" s="3099" t="s">
        <v>1723</v>
      </c>
      <c r="G629" s="3101">
        <f t="shared" si="5"/>
        <v>1387</v>
      </c>
    </row>
    <row r="630" spans="1:9" s="3156" customFormat="1" hidden="1">
      <c r="A630" s="3094"/>
      <c r="B630" s="3099">
        <v>90</v>
      </c>
      <c r="C630" s="3099" t="s">
        <v>1725</v>
      </c>
      <c r="D630" s="3107" t="s">
        <v>1726</v>
      </c>
      <c r="E630" s="3099">
        <f>'SSR-rates'!$K$41</f>
        <v>9</v>
      </c>
      <c r="F630" s="3099" t="s">
        <v>1725</v>
      </c>
      <c r="G630" s="3101">
        <f t="shared" si="5"/>
        <v>810</v>
      </c>
    </row>
    <row r="631" spans="1:9" s="3156" customFormat="1" ht="43.2" hidden="1">
      <c r="A631" s="3094"/>
      <c r="B631" s="3099">
        <v>90</v>
      </c>
      <c r="C631" s="3099" t="s">
        <v>1725</v>
      </c>
      <c r="D631" s="3107" t="s">
        <v>1727</v>
      </c>
      <c r="E631" s="3099">
        <f>'SSR-rates'!$K$42</f>
        <v>11</v>
      </c>
      <c r="F631" s="3099" t="s">
        <v>1725</v>
      </c>
      <c r="G631" s="3101">
        <f t="shared" si="5"/>
        <v>990</v>
      </c>
    </row>
    <row r="632" spans="1:9" s="3156" customFormat="1" ht="28.8" hidden="1">
      <c r="A632" s="3094"/>
      <c r="B632" s="3099">
        <v>483</v>
      </c>
      <c r="C632" s="3099" t="s">
        <v>554</v>
      </c>
      <c r="D632" s="3107" t="s">
        <v>1728</v>
      </c>
      <c r="E632" s="3099">
        <v>0.5</v>
      </c>
      <c r="F632" s="3099" t="s">
        <v>554</v>
      </c>
      <c r="G632" s="3101">
        <f t="shared" si="5"/>
        <v>241.5</v>
      </c>
      <c r="I632" s="3117"/>
    </row>
    <row r="633" spans="1:9" s="3156" customFormat="1" hidden="1">
      <c r="A633" s="3094"/>
      <c r="B633" s="3099">
        <v>97.6</v>
      </c>
      <c r="C633" s="3099" t="s">
        <v>1723</v>
      </c>
      <c r="D633" s="3107" t="s">
        <v>1729</v>
      </c>
      <c r="E633" s="3099">
        <f>'SSR-rates'!$K$44</f>
        <v>70</v>
      </c>
      <c r="F633" s="3099" t="s">
        <v>1723</v>
      </c>
      <c r="G633" s="3101">
        <f t="shared" si="5"/>
        <v>6832</v>
      </c>
    </row>
    <row r="634" spans="1:9" s="3156" customFormat="1" hidden="1">
      <c r="A634" s="3094"/>
      <c r="B634" s="3099">
        <v>18</v>
      </c>
      <c r="C634" s="3099" t="s">
        <v>1730</v>
      </c>
      <c r="D634" s="3107" t="s">
        <v>1731</v>
      </c>
      <c r="E634" s="3105">
        <f>IF(lead!$C$63="Y",'SSR-rates'!$K$112,0)</f>
        <v>0</v>
      </c>
      <c r="F634" s="3105" t="s">
        <v>41</v>
      </c>
      <c r="G634" s="3101">
        <f t="shared" si="5"/>
        <v>0</v>
      </c>
    </row>
    <row r="635" spans="1:9" s="3156" customFormat="1" hidden="1">
      <c r="A635" s="3094"/>
      <c r="B635" s="3099">
        <v>3</v>
      </c>
      <c r="C635" s="3099" t="s">
        <v>913</v>
      </c>
      <c r="D635" s="3107" t="s">
        <v>1732</v>
      </c>
      <c r="E635" s="3099">
        <f>'SSR-rates'!$K$43</f>
        <v>650</v>
      </c>
      <c r="F635" s="3099" t="s">
        <v>913</v>
      </c>
      <c r="G635" s="3101">
        <f t="shared" si="5"/>
        <v>1950</v>
      </c>
    </row>
    <row r="636" spans="1:9" s="3156" customFormat="1" hidden="1">
      <c r="A636" s="3094"/>
      <c r="B636" s="3100"/>
      <c r="C636" s="3177"/>
      <c r="D636" s="3107" t="s">
        <v>1733</v>
      </c>
      <c r="E636" s="3099"/>
      <c r="F636" s="3100"/>
      <c r="G636" s="3101"/>
    </row>
    <row r="637" spans="1:9" s="3156" customFormat="1" hidden="1">
      <c r="A637" s="3094"/>
      <c r="B637" s="3100"/>
      <c r="C637" s="3177"/>
      <c r="D637" s="3107" t="s">
        <v>60</v>
      </c>
      <c r="E637" s="3099"/>
      <c r="F637" s="3100"/>
      <c r="G637" s="3114">
        <f>SUM(G620:G636)</f>
        <v>342485.73</v>
      </c>
    </row>
    <row r="638" spans="1:9" s="3156" customFormat="1" hidden="1">
      <c r="A638" s="3094"/>
      <c r="B638" s="3100"/>
      <c r="C638" s="3177"/>
      <c r="D638" s="3107"/>
      <c r="E638" s="3099"/>
      <c r="F638" s="3100"/>
      <c r="G638" s="3114">
        <f>G637+G617+G608</f>
        <v>482886.23</v>
      </c>
    </row>
    <row r="639" spans="1:9" s="3156" customFormat="1" hidden="1">
      <c r="A639" s="3094"/>
      <c r="B639" s="3100" t="s">
        <v>45</v>
      </c>
      <c r="C639" s="3177"/>
      <c r="D639" s="3107" t="s">
        <v>1734</v>
      </c>
      <c r="E639" s="3099"/>
      <c r="F639" s="3100"/>
      <c r="G639" s="3114">
        <f>G638*3%</f>
        <v>14486.586899999998</v>
      </c>
    </row>
    <row r="640" spans="1:9" s="3156" customFormat="1" hidden="1">
      <c r="A640" s="3094"/>
      <c r="B640" s="3090" t="s">
        <v>47</v>
      </c>
      <c r="C640" s="3095" t="s">
        <v>1238</v>
      </c>
      <c r="D640" s="3098"/>
      <c r="E640" s="3099"/>
      <c r="F640" s="3100"/>
      <c r="G640" s="3101"/>
    </row>
    <row r="641" spans="1:7" s="3156" customFormat="1" hidden="1">
      <c r="A641" s="3094"/>
      <c r="B641" s="3134">
        <f>'Input Data'!$D$24</f>
        <v>0.13614999999999999</v>
      </c>
      <c r="C641" s="3173"/>
      <c r="D641" s="3174" t="str">
        <f>"Over head charges &amp; CP  "&amp;'Input Data'!$D$24*100&amp;"%  on (A) + (B)+(C)"</f>
        <v>Over head charges &amp; CP  13.615%  on (A) + (B)+(C)</v>
      </c>
      <c r="E641" s="3099">
        <f>G638+G639</f>
        <v>497372.81689999998</v>
      </c>
      <c r="F641" s="3100"/>
      <c r="G641" s="3101">
        <f>E641*B641</f>
        <v>67717.30902093499</v>
      </c>
    </row>
    <row r="642" spans="1:7" hidden="1">
      <c r="A642" s="3094"/>
      <c r="B642" s="3146">
        <f>'Input Data'!$E$24</f>
        <v>0.1</v>
      </c>
      <c r="C642" s="3111" t="s">
        <v>1220</v>
      </c>
      <c r="D642" s="3103"/>
      <c r="E642" s="3113">
        <f>E641+G641</f>
        <v>565090.12592093495</v>
      </c>
      <c r="F642" s="3103"/>
      <c r="G642" s="3101">
        <f>E642*B642</f>
        <v>56509.012592093495</v>
      </c>
    </row>
    <row r="643" spans="1:7" s="3156" customFormat="1" hidden="1">
      <c r="A643" s="3094"/>
      <c r="B643" s="3090" t="s">
        <v>76</v>
      </c>
      <c r="C643" s="3095" t="s">
        <v>77</v>
      </c>
      <c r="D643" s="3098"/>
      <c r="E643" s="3099"/>
      <c r="F643" s="3100"/>
      <c r="G643" s="3114">
        <f>SUM(G638:G642)</f>
        <v>621599.13851302839</v>
      </c>
    </row>
    <row r="644" spans="1:7" s="3156" customFormat="1" hidden="1">
      <c r="A644" s="3094"/>
      <c r="B644" s="3099"/>
      <c r="C644" s="3172"/>
      <c r="D644" s="3098" t="s">
        <v>1735</v>
      </c>
      <c r="E644" s="3099"/>
      <c r="F644" s="3099"/>
      <c r="G644" s="3175">
        <f>SUM(G643:G643)</f>
        <v>621599.13851302839</v>
      </c>
    </row>
    <row r="645" spans="1:7" s="3156" customFormat="1" hidden="1">
      <c r="A645" s="3094"/>
      <c r="B645" s="3099"/>
      <c r="C645" s="3172"/>
      <c r="D645" s="3098" t="s">
        <v>1736</v>
      </c>
      <c r="E645" s="3099"/>
      <c r="F645" s="3099"/>
      <c r="G645" s="3101">
        <f>ROUND(G644/75,2)</f>
        <v>8287.99</v>
      </c>
    </row>
    <row r="646" spans="1:7" s="3156" customFormat="1" hidden="1">
      <c r="A646" s="3094"/>
      <c r="B646" s="3099"/>
      <c r="C646" s="3176"/>
      <c r="D646" s="3095" t="s">
        <v>52</v>
      </c>
      <c r="E646" s="3099"/>
      <c r="F646" s="3099"/>
      <c r="G646" s="3143">
        <f>ROUND(G645,2)</f>
        <v>8287.99</v>
      </c>
    </row>
    <row r="647" spans="1:7" s="3156" customFormat="1" hidden="1">
      <c r="A647" s="3094" t="s">
        <v>1669</v>
      </c>
      <c r="B647" s="3099"/>
      <c r="C647" s="3176"/>
      <c r="D647" s="3098"/>
      <c r="E647" s="3099"/>
      <c r="F647" s="3099"/>
      <c r="G647" s="3143" t="s">
        <v>53</v>
      </c>
    </row>
    <row r="648" spans="1:7" s="3156" customFormat="1" ht="83.1" hidden="1" customHeight="1">
      <c r="A648" s="3186">
        <v>16</v>
      </c>
      <c r="B648" s="4025" t="s">
        <v>1737</v>
      </c>
      <c r="C648" s="4026"/>
      <c r="D648" s="4026"/>
      <c r="E648" s="4026"/>
      <c r="F648" s="4026"/>
      <c r="G648" s="4026"/>
    </row>
    <row r="649" spans="1:7" s="3156" customFormat="1" hidden="1">
      <c r="A649" s="3186"/>
      <c r="B649" s="3187"/>
      <c r="C649" s="3188" t="s">
        <v>130</v>
      </c>
      <c r="D649" s="3189"/>
      <c r="E649" s="3190"/>
      <c r="F649" s="3187"/>
      <c r="G649" s="3191"/>
    </row>
    <row r="650" spans="1:7" s="3156" customFormat="1" hidden="1">
      <c r="A650" s="3186"/>
      <c r="B650" s="3187"/>
      <c r="C650" s="3188"/>
      <c r="D650" s="3192" t="s">
        <v>1738</v>
      </c>
      <c r="E650" s="3190"/>
      <c r="F650" s="3187"/>
      <c r="G650" s="3191"/>
    </row>
    <row r="651" spans="1:7" s="3156" customFormat="1" hidden="1">
      <c r="A651" s="3186"/>
      <c r="B651" s="3187"/>
      <c r="C651" s="3193" t="s">
        <v>1739</v>
      </c>
      <c r="D651" s="3189"/>
      <c r="E651" s="3194"/>
      <c r="F651" s="3187"/>
      <c r="G651" s="3171"/>
    </row>
    <row r="652" spans="1:7" s="3156" customFormat="1" hidden="1">
      <c r="A652" s="3186"/>
      <c r="B652" s="3187"/>
      <c r="C652" s="3195" t="s">
        <v>36</v>
      </c>
      <c r="D652" s="3196" t="s">
        <v>37</v>
      </c>
      <c r="E652" s="3190"/>
      <c r="F652" s="3187"/>
      <c r="G652" s="3191"/>
    </row>
    <row r="653" spans="1:7" s="3156" customFormat="1" hidden="1">
      <c r="A653" s="3186"/>
      <c r="B653" s="3190">
        <v>0.44</v>
      </c>
      <c r="C653" s="3197" t="s">
        <v>1169</v>
      </c>
      <c r="D653" s="3189" t="s">
        <v>14</v>
      </c>
      <c r="E653" s="3099">
        <f>'SSR-rates'!$K$58</f>
        <v>575</v>
      </c>
      <c r="F653" s="3190" t="s">
        <v>38</v>
      </c>
      <c r="G653" s="3198">
        <f>ROUND(B653*E653,2)</f>
        <v>253</v>
      </c>
    </row>
    <row r="654" spans="1:7" s="3156" customFormat="1" ht="43.2" hidden="1">
      <c r="A654" s="3186"/>
      <c r="B654" s="3190">
        <v>9</v>
      </c>
      <c r="C654" s="3173" t="s">
        <v>1169</v>
      </c>
      <c r="D654" s="3199" t="s">
        <v>1740</v>
      </c>
      <c r="E654" s="3099">
        <f>'SSR-rates'!$K$60</f>
        <v>575</v>
      </c>
      <c r="F654" s="3190" t="s">
        <v>38</v>
      </c>
      <c r="G654" s="3198">
        <f>ROUND(B654*E654,2)</f>
        <v>5175</v>
      </c>
    </row>
    <row r="655" spans="1:7" s="3156" customFormat="1" hidden="1">
      <c r="A655" s="3186"/>
      <c r="B655" s="3190">
        <v>2</v>
      </c>
      <c r="C655" s="3173" t="s">
        <v>1169</v>
      </c>
      <c r="D655" s="3199" t="s">
        <v>1741</v>
      </c>
      <c r="E655" s="3099">
        <f>'SSR-rates'!$K$59</f>
        <v>575</v>
      </c>
      <c r="F655" s="3190" t="s">
        <v>38</v>
      </c>
      <c r="G655" s="3198">
        <f>ROUND(B655*E655,2)</f>
        <v>1150</v>
      </c>
    </row>
    <row r="656" spans="1:7" s="3156" customFormat="1" hidden="1">
      <c r="A656" s="3094"/>
      <c r="B656" s="3102">
        <f>'Input Data'!$D$23</f>
        <v>0</v>
      </c>
      <c r="C656" s="3097"/>
      <c r="D656" s="3103" t="s">
        <v>17</v>
      </c>
      <c r="E656" s="3099"/>
      <c r="F656" s="3100"/>
      <c r="G656" s="3101">
        <f>(G654+G655+G653)*B656</f>
        <v>0</v>
      </c>
    </row>
    <row r="657" spans="1:7" s="3117" customFormat="1" hidden="1">
      <c r="A657" s="3186"/>
      <c r="B657" s="3190"/>
      <c r="C657" s="3197"/>
      <c r="D657" s="3189" t="s">
        <v>60</v>
      </c>
      <c r="E657" s="3190"/>
      <c r="F657" s="3190"/>
      <c r="G657" s="3175">
        <f>SUM(G653:G656,)</f>
        <v>6578</v>
      </c>
    </row>
    <row r="658" spans="1:7" s="3117" customFormat="1" hidden="1">
      <c r="A658" s="3186"/>
      <c r="B658" s="3187"/>
      <c r="C658" s="3195" t="s">
        <v>39</v>
      </c>
      <c r="D658" s="3196" t="s">
        <v>1742</v>
      </c>
      <c r="E658" s="3190"/>
      <c r="F658" s="3190"/>
      <c r="G658" s="3198"/>
    </row>
    <row r="659" spans="1:7" s="3117" customFormat="1" hidden="1">
      <c r="A659" s="3186"/>
      <c r="B659" s="3190">
        <v>7.2</v>
      </c>
      <c r="C659" s="3173" t="s">
        <v>41</v>
      </c>
      <c r="D659" s="3189" t="s">
        <v>1743</v>
      </c>
      <c r="E659" s="3190">
        <f>'SSR-rates'!K75</f>
        <v>440</v>
      </c>
      <c r="F659" s="3190" t="s">
        <v>41</v>
      </c>
      <c r="G659" s="3198">
        <f t="shared" ref="G659:G665" si="6">(B659*E659)</f>
        <v>3168</v>
      </c>
    </row>
    <row r="660" spans="1:7" hidden="1">
      <c r="A660" s="3186"/>
      <c r="B660" s="3190">
        <v>7.2</v>
      </c>
      <c r="C660" s="3173" t="s">
        <v>41</v>
      </c>
      <c r="D660" s="3200" t="s">
        <v>1227</v>
      </c>
      <c r="E660" s="3190">
        <f>'SSR-rates'!K73</f>
        <v>727.6</v>
      </c>
      <c r="F660" s="3190" t="s">
        <v>41</v>
      </c>
      <c r="G660" s="3198">
        <f t="shared" si="6"/>
        <v>5238.72</v>
      </c>
    </row>
    <row r="661" spans="1:7" hidden="1">
      <c r="A661" s="3186"/>
      <c r="B661" s="3190">
        <v>6</v>
      </c>
      <c r="C661" s="3173" t="s">
        <v>41</v>
      </c>
      <c r="D661" s="3200" t="s">
        <v>1744</v>
      </c>
      <c r="E661" s="3190">
        <f>'SSR-rates'!K81</f>
        <v>3163</v>
      </c>
      <c r="F661" s="3190"/>
      <c r="G661" s="3198">
        <f t="shared" si="6"/>
        <v>18978</v>
      </c>
    </row>
    <row r="662" spans="1:7" s="3117" customFormat="1" ht="28.8" hidden="1">
      <c r="A662" s="3186"/>
      <c r="B662" s="3190">
        <v>6</v>
      </c>
      <c r="C662" s="3173"/>
      <c r="D662" s="3201" t="s">
        <v>1745</v>
      </c>
      <c r="E662" s="3202">
        <f>+'SSR-rates'!K66</f>
        <v>1280.4000000000001</v>
      </c>
      <c r="F662" s="3203"/>
      <c r="G662" s="3198">
        <f t="shared" si="6"/>
        <v>7682.4000000000005</v>
      </c>
    </row>
    <row r="663" spans="1:7" s="3117" customFormat="1" hidden="1">
      <c r="A663" s="3186"/>
      <c r="B663" s="3190">
        <v>6</v>
      </c>
      <c r="C663" s="3173" t="s">
        <v>41</v>
      </c>
      <c r="D663" s="3189" t="s">
        <v>1746</v>
      </c>
      <c r="E663" s="3190">
        <f>'SSR-rates'!$K$65</f>
        <v>2028</v>
      </c>
      <c r="F663" s="3190"/>
      <c r="G663" s="3198">
        <f t="shared" si="6"/>
        <v>12168</v>
      </c>
    </row>
    <row r="664" spans="1:7" s="3117" customFormat="1" hidden="1">
      <c r="A664" s="3186"/>
      <c r="B664" s="3190">
        <v>6</v>
      </c>
      <c r="C664" s="3173" t="s">
        <v>41</v>
      </c>
      <c r="D664" s="3204" t="s">
        <v>1747</v>
      </c>
      <c r="E664" s="3205">
        <f>'SSR-rates'!K76</f>
        <v>1846</v>
      </c>
      <c r="F664" s="3204"/>
      <c r="G664" s="3198">
        <f t="shared" si="6"/>
        <v>11076</v>
      </c>
    </row>
    <row r="665" spans="1:7" s="3117" customFormat="1" hidden="1">
      <c r="A665" s="3186"/>
      <c r="B665" s="3190">
        <v>6</v>
      </c>
      <c r="C665" s="3173" t="s">
        <v>41</v>
      </c>
      <c r="D665" s="3204" t="s">
        <v>1748</v>
      </c>
      <c r="E665" s="3205">
        <f>'SSR-rates'!K83</f>
        <v>1581</v>
      </c>
      <c r="F665" s="3204"/>
      <c r="G665" s="3198">
        <f t="shared" si="6"/>
        <v>9486</v>
      </c>
    </row>
    <row r="666" spans="1:7" s="3117" customFormat="1" hidden="1">
      <c r="A666" s="3186"/>
      <c r="B666" s="3190"/>
      <c r="C666" s="3197"/>
      <c r="D666" s="3189" t="s">
        <v>60</v>
      </c>
      <c r="E666" s="3190"/>
      <c r="F666" s="3190"/>
      <c r="G666" s="3175">
        <f>SUM(G659:G665)</f>
        <v>67797.119999999995</v>
      </c>
    </row>
    <row r="667" spans="1:7" hidden="1">
      <c r="A667" s="3186"/>
      <c r="B667" s="3187"/>
      <c r="C667" s="3195" t="s">
        <v>27</v>
      </c>
      <c r="D667" s="3196" t="s">
        <v>61</v>
      </c>
      <c r="E667" s="3190"/>
      <c r="F667" s="3190"/>
      <c r="G667" s="3198"/>
    </row>
    <row r="668" spans="1:7" s="3117" customFormat="1" hidden="1">
      <c r="A668" s="3186"/>
      <c r="B668" s="3190">
        <v>10.8</v>
      </c>
      <c r="C668" s="3195" t="s">
        <v>66</v>
      </c>
      <c r="D668" s="3204" t="s">
        <v>1749</v>
      </c>
      <c r="E668" s="3161">
        <f>BT_Rate_60_70</f>
        <v>47014.645337323418</v>
      </c>
      <c r="F668" s="3204"/>
      <c r="G668" s="3198">
        <f>(B668*E668)</f>
        <v>507758.16964309296</v>
      </c>
    </row>
    <row r="669" spans="1:7" s="3117" customFormat="1" hidden="1">
      <c r="A669" s="3186"/>
      <c r="B669" s="3187"/>
      <c r="C669" s="3195"/>
      <c r="D669" s="3204" t="s">
        <v>1750</v>
      </c>
      <c r="E669" s="3202"/>
      <c r="F669" s="3203"/>
      <c r="G669" s="3203"/>
    </row>
    <row r="670" spans="1:7" s="3117" customFormat="1" ht="28.8" hidden="1">
      <c r="A670" s="3186"/>
      <c r="B670" s="3190">
        <v>135</v>
      </c>
      <c r="C670" s="3195" t="s">
        <v>31</v>
      </c>
      <c r="D670" s="3203" t="s">
        <v>1751</v>
      </c>
      <c r="E670" s="3202">
        <f>+lead!J7</f>
        <v>1889.8641904678079</v>
      </c>
      <c r="F670" s="3203"/>
      <c r="G670" s="3198">
        <f>(B670*E670)</f>
        <v>255131.66571315407</v>
      </c>
    </row>
    <row r="671" spans="1:7" s="3117" customFormat="1" hidden="1">
      <c r="A671" s="3186"/>
      <c r="B671" s="3190"/>
      <c r="C671" s="3173"/>
      <c r="D671" s="3189" t="s">
        <v>60</v>
      </c>
      <c r="E671" s="3190"/>
      <c r="F671" s="3190"/>
      <c r="G671" s="3175">
        <f>SUM(G668:G670)</f>
        <v>762889.83535624703</v>
      </c>
    </row>
    <row r="672" spans="1:7" s="3117" customFormat="1" hidden="1">
      <c r="A672" s="3186"/>
      <c r="B672" s="3190"/>
      <c r="C672" s="3173"/>
      <c r="D672" s="3189"/>
      <c r="E672" s="3190"/>
      <c r="F672" s="3190"/>
      <c r="G672" s="3175">
        <f>G671+G666+G657</f>
        <v>837264.95535624702</v>
      </c>
    </row>
    <row r="673" spans="1:7" s="3117" customFormat="1" hidden="1">
      <c r="A673" s="3186"/>
      <c r="B673" s="3090" t="s">
        <v>45</v>
      </c>
      <c r="C673" s="3095" t="s">
        <v>1189</v>
      </c>
      <c r="D673" s="3098"/>
      <c r="E673" s="3190"/>
      <c r="F673" s="3190"/>
      <c r="G673" s="3198"/>
    </row>
    <row r="674" spans="1:7" s="3117" customFormat="1" hidden="1">
      <c r="A674" s="3186"/>
      <c r="B674" s="3090"/>
      <c r="C674" s="3095"/>
      <c r="D674" s="3098"/>
      <c r="E674" s="3190" t="s">
        <v>60</v>
      </c>
      <c r="F674" s="3190"/>
      <c r="G674" s="3198"/>
    </row>
    <row r="675" spans="1:7" s="3117" customFormat="1" hidden="1">
      <c r="A675" s="3186"/>
      <c r="B675" s="3134">
        <f>'Input Data'!$D$24</f>
        <v>0.13614999999999999</v>
      </c>
      <c r="C675" s="4027" t="str">
        <f>"Over head charges + CP"&amp;'Input Data'!$D$24*100&amp;"%  on (A) + (B)+(C)"</f>
        <v>Over head charges + CP13.615%  on (A) + (B)+(C)</v>
      </c>
      <c r="D675" s="4027"/>
      <c r="E675" s="3190">
        <f>+G672</f>
        <v>837264.95535624702</v>
      </c>
      <c r="F675" s="3187"/>
      <c r="G675" s="3198">
        <f>E675*B675</f>
        <v>113993.62367175303</v>
      </c>
    </row>
    <row r="676" spans="1:7" s="3117" customFormat="1" hidden="1">
      <c r="A676" s="3186"/>
      <c r="B676" s="3090" t="s">
        <v>47</v>
      </c>
      <c r="C676" s="3095" t="s">
        <v>89</v>
      </c>
      <c r="D676" s="3098"/>
      <c r="E676" s="3099"/>
      <c r="F676" s="3100"/>
      <c r="G676" s="3114">
        <f>G672+G675</f>
        <v>951258.57902800001</v>
      </c>
    </row>
    <row r="677" spans="1:7" s="3117" customFormat="1" hidden="1">
      <c r="A677" s="3186"/>
      <c r="B677" s="3190"/>
      <c r="C677" s="3173"/>
      <c r="D677" s="3189" t="s">
        <v>1752</v>
      </c>
      <c r="E677" s="3190"/>
      <c r="F677" s="3190"/>
      <c r="G677" s="3175">
        <f>SUM(G676:G676)</f>
        <v>951258.57902800001</v>
      </c>
    </row>
    <row r="678" spans="1:7" s="3117" customFormat="1" hidden="1">
      <c r="A678" s="3094"/>
      <c r="B678" s="3190"/>
      <c r="C678" s="3173"/>
      <c r="D678" s="3189" t="s">
        <v>1577</v>
      </c>
      <c r="E678" s="3190"/>
      <c r="F678" s="3190"/>
      <c r="G678" s="3175">
        <f>ROUND(G677/9000,2)</f>
        <v>105.7</v>
      </c>
    </row>
    <row r="679" spans="1:7" s="3117" customFormat="1" hidden="1">
      <c r="A679" s="3094"/>
      <c r="B679" s="3190"/>
      <c r="C679" s="3197"/>
      <c r="D679" s="3189" t="s">
        <v>52</v>
      </c>
      <c r="E679" s="3190"/>
      <c r="F679" s="3190"/>
      <c r="G679" s="3143">
        <f>ROUND(G678,2)</f>
        <v>105.7</v>
      </c>
    </row>
    <row r="680" spans="1:7" s="3117" customFormat="1" hidden="1">
      <c r="A680" s="3094"/>
      <c r="B680" s="3187"/>
      <c r="C680" s="3206"/>
      <c r="D680" s="3189"/>
      <c r="E680" s="3190"/>
      <c r="F680" s="3187"/>
      <c r="G680" s="3115" t="s">
        <v>137</v>
      </c>
    </row>
    <row r="681" spans="1:7" s="3117" customFormat="1" ht="14.1" hidden="1" customHeight="1">
      <c r="A681" s="3094"/>
      <c r="B681" s="3187"/>
      <c r="C681" s="3206"/>
      <c r="D681" s="3189"/>
      <c r="E681" s="3190"/>
      <c r="F681" s="3187"/>
      <c r="G681" s="3115"/>
    </row>
    <row r="682" spans="1:7" ht="150" hidden="1" customHeight="1">
      <c r="A682" s="3094">
        <v>17</v>
      </c>
      <c r="B682" s="4006" t="s">
        <v>1753</v>
      </c>
      <c r="C682" s="4023"/>
      <c r="D682" s="4023"/>
      <c r="E682" s="4023"/>
      <c r="F682" s="4023"/>
      <c r="G682" s="4023"/>
    </row>
    <row r="683" spans="1:7" hidden="1">
      <c r="A683" s="3094"/>
      <c r="B683" s="3100"/>
      <c r="C683" s="3111" t="s">
        <v>10</v>
      </c>
      <c r="D683" s="3207" t="s">
        <v>1754</v>
      </c>
      <c r="E683" s="3099"/>
      <c r="F683" s="3100"/>
      <c r="G683" s="3104"/>
    </row>
    <row r="684" spans="1:7" hidden="1">
      <c r="A684" s="3094"/>
      <c r="B684" s="3100"/>
      <c r="C684" s="3208" t="s">
        <v>1755</v>
      </c>
      <c r="D684" s="3098"/>
      <c r="E684" s="3099"/>
      <c r="F684" s="3100"/>
      <c r="G684" s="3103"/>
    </row>
    <row r="685" spans="1:7" hidden="1">
      <c r="A685" s="3094"/>
      <c r="B685" s="3100"/>
      <c r="C685" s="3094" t="s">
        <v>36</v>
      </c>
      <c r="D685" s="3095" t="s">
        <v>37</v>
      </c>
      <c r="E685" s="3099"/>
      <c r="F685" s="3100"/>
      <c r="G685" s="3104"/>
    </row>
    <row r="686" spans="1:7" hidden="1">
      <c r="A686" s="3094"/>
      <c r="B686" s="3099">
        <v>0.84</v>
      </c>
      <c r="C686" s="3172" t="s">
        <v>1169</v>
      </c>
      <c r="D686" s="3098" t="s">
        <v>14</v>
      </c>
      <c r="E686" s="3099">
        <f>'SSR-rates'!$K$58</f>
        <v>575</v>
      </c>
      <c r="F686" s="3099" t="s">
        <v>1169</v>
      </c>
      <c r="G686" s="3101">
        <f>ROUND(B686*E686,2)</f>
        <v>483</v>
      </c>
    </row>
    <row r="687" spans="1:7" ht="43.2" hidden="1">
      <c r="A687" s="3094"/>
      <c r="B687" s="3099">
        <v>16</v>
      </c>
      <c r="C687" s="3172" t="s">
        <v>1169</v>
      </c>
      <c r="D687" s="3209" t="s">
        <v>1756</v>
      </c>
      <c r="E687" s="3099">
        <f>'SSR-rates'!$K$60</f>
        <v>575</v>
      </c>
      <c r="F687" s="3099" t="s">
        <v>1169</v>
      </c>
      <c r="G687" s="3101">
        <f>ROUND(B687*E687,2)</f>
        <v>9200</v>
      </c>
    </row>
    <row r="688" spans="1:7" hidden="1">
      <c r="A688" s="3094"/>
      <c r="B688" s="3099">
        <v>5</v>
      </c>
      <c r="C688" s="3172" t="s">
        <v>1169</v>
      </c>
      <c r="D688" s="3098" t="s">
        <v>15</v>
      </c>
      <c r="E688" s="3099">
        <f>'SSR-rates'!$K$59</f>
        <v>575</v>
      </c>
      <c r="F688" s="3099" t="s">
        <v>1169</v>
      </c>
      <c r="G688" s="3101">
        <f>ROUND(B688*E688,2)</f>
        <v>2875</v>
      </c>
    </row>
    <row r="689" spans="1:8" hidden="1">
      <c r="A689" s="3094"/>
      <c r="B689" s="3102">
        <f>'Input Data'!$D$23</f>
        <v>0</v>
      </c>
      <c r="C689" s="3097"/>
      <c r="D689" s="3103" t="s">
        <v>17</v>
      </c>
      <c r="E689" s="3099">
        <f>SUM(G686:G688)</f>
        <v>12558</v>
      </c>
      <c r="F689" s="3100"/>
      <c r="G689" s="3101">
        <f>B689*E689</f>
        <v>0</v>
      </c>
    </row>
    <row r="690" spans="1:8" hidden="1">
      <c r="A690" s="3094"/>
      <c r="B690" s="3099"/>
      <c r="C690" s="3172"/>
      <c r="D690" s="3098" t="s">
        <v>60</v>
      </c>
      <c r="E690" s="3099"/>
      <c r="F690" s="3100"/>
      <c r="G690" s="3114">
        <f>SUM(G686:G689)</f>
        <v>12558</v>
      </c>
    </row>
    <row r="691" spans="1:8" hidden="1">
      <c r="A691" s="3094"/>
      <c r="B691" s="3100"/>
      <c r="C691" s="3094" t="s">
        <v>39</v>
      </c>
      <c r="D691" s="3095" t="s">
        <v>40</v>
      </c>
      <c r="E691" s="3099"/>
      <c r="F691" s="3100"/>
      <c r="G691" s="3104"/>
    </row>
    <row r="692" spans="1:8" hidden="1">
      <c r="A692" s="3094"/>
      <c r="B692" s="3099">
        <v>6</v>
      </c>
      <c r="C692" s="3172" t="s">
        <v>41</v>
      </c>
      <c r="D692" s="3098" t="s">
        <v>1171</v>
      </c>
      <c r="E692" s="3099">
        <f>'SSR-rates'!$P$78</f>
        <v>33344</v>
      </c>
      <c r="F692" s="3099" t="s">
        <v>41</v>
      </c>
      <c r="G692" s="3101">
        <f t="shared" ref="G692:G698" si="7">ROUND(B692*E692,2)</f>
        <v>200064</v>
      </c>
    </row>
    <row r="693" spans="1:8" hidden="1">
      <c r="A693" s="3094"/>
      <c r="B693" s="3099">
        <v>6</v>
      </c>
      <c r="C693" s="3172" t="s">
        <v>41</v>
      </c>
      <c r="D693" s="3210" t="s">
        <v>1691</v>
      </c>
      <c r="E693" s="3161">
        <f>'SSR-rates'!$K$80</f>
        <v>2771</v>
      </c>
      <c r="F693" s="3099" t="s">
        <v>41</v>
      </c>
      <c r="G693" s="3101">
        <f t="shared" si="7"/>
        <v>16626</v>
      </c>
    </row>
    <row r="694" spans="1:8" hidden="1">
      <c r="A694" s="3094"/>
      <c r="B694" s="3099">
        <v>6</v>
      </c>
      <c r="C694" s="3172" t="s">
        <v>41</v>
      </c>
      <c r="D694" s="3098" t="s">
        <v>1757</v>
      </c>
      <c r="E694" s="3099">
        <f>'SSR-rates'!$K$85</f>
        <v>2279</v>
      </c>
      <c r="F694" s="3099" t="s">
        <v>41</v>
      </c>
      <c r="G694" s="3101">
        <f t="shared" si="7"/>
        <v>13674</v>
      </c>
    </row>
    <row r="695" spans="1:8" hidden="1">
      <c r="A695" s="3094"/>
      <c r="B695" s="3099">
        <v>6</v>
      </c>
      <c r="C695" s="3172" t="s">
        <v>41</v>
      </c>
      <c r="D695" s="3098" t="s">
        <v>1688</v>
      </c>
      <c r="E695" s="3099">
        <f>'SSR-rates'!$K$65</f>
        <v>2028</v>
      </c>
      <c r="F695" s="3099" t="s">
        <v>41</v>
      </c>
      <c r="G695" s="3101">
        <f t="shared" si="7"/>
        <v>12168</v>
      </c>
    </row>
    <row r="696" spans="1:8" ht="28.8" hidden="1">
      <c r="A696" s="3094"/>
      <c r="B696" s="3099">
        <v>3.9</v>
      </c>
      <c r="C696" s="3172" t="s">
        <v>41</v>
      </c>
      <c r="D696" s="3209" t="s">
        <v>1172</v>
      </c>
      <c r="E696" s="3105">
        <f>'SSR-rates'!$K$68</f>
        <v>1749.6</v>
      </c>
      <c r="F696" s="3105" t="s">
        <v>41</v>
      </c>
      <c r="G696" s="3108">
        <f t="shared" si="7"/>
        <v>6823.44</v>
      </c>
    </row>
    <row r="697" spans="1:8" hidden="1">
      <c r="A697" s="3094"/>
      <c r="B697" s="3099">
        <v>3.9</v>
      </c>
      <c r="C697" s="3172" t="s">
        <v>41</v>
      </c>
      <c r="D697" s="3209" t="s">
        <v>1758</v>
      </c>
      <c r="E697" s="3105">
        <f>'SSR-rates'!$K$67</f>
        <v>3517.9</v>
      </c>
      <c r="F697" s="3105" t="s">
        <v>41</v>
      </c>
      <c r="G697" s="3108">
        <f t="shared" si="7"/>
        <v>13719.81</v>
      </c>
    </row>
    <row r="698" spans="1:8" ht="28.8" hidden="1">
      <c r="A698" s="3094"/>
      <c r="B698" s="3099">
        <v>3.9</v>
      </c>
      <c r="C698" s="3172" t="s">
        <v>41</v>
      </c>
      <c r="D698" s="3209" t="s">
        <v>1759</v>
      </c>
      <c r="E698" s="3105">
        <f>'SSR-rates'!$K$82</f>
        <v>2028</v>
      </c>
      <c r="F698" s="3105" t="s">
        <v>41</v>
      </c>
      <c r="G698" s="3108">
        <f t="shared" si="7"/>
        <v>7909.2</v>
      </c>
    </row>
    <row r="699" spans="1:8" hidden="1">
      <c r="A699" s="3094"/>
      <c r="B699" s="3099"/>
      <c r="C699" s="3172"/>
      <c r="D699" s="3098" t="s">
        <v>60</v>
      </c>
      <c r="E699" s="3099"/>
      <c r="F699" s="3100"/>
      <c r="G699" s="3114">
        <f>SUM(G692:G698)</f>
        <v>270984.45</v>
      </c>
    </row>
    <row r="700" spans="1:8" hidden="1">
      <c r="A700" s="3094"/>
      <c r="B700" s="3100"/>
      <c r="C700" s="3094" t="s">
        <v>27</v>
      </c>
      <c r="D700" s="3095" t="s">
        <v>61</v>
      </c>
      <c r="E700" s="3099"/>
      <c r="F700" s="3100"/>
      <c r="G700" s="3104"/>
    </row>
    <row r="701" spans="1:8" hidden="1">
      <c r="A701" s="3094"/>
      <c r="B701" s="3099">
        <v>19.13</v>
      </c>
      <c r="C701" s="3099" t="s">
        <v>66</v>
      </c>
      <c r="D701" s="3107" t="s">
        <v>1760</v>
      </c>
      <c r="E701" s="3161">
        <f>BT_Rate_60_70</f>
        <v>47014.645337323418</v>
      </c>
      <c r="F701" s="3100" t="s">
        <v>66</v>
      </c>
      <c r="G701" s="3108">
        <f>ROUND(B701*E701,2)</f>
        <v>899390.17</v>
      </c>
    </row>
    <row r="702" spans="1:8" hidden="1">
      <c r="A702" s="3094"/>
      <c r="B702" s="3099"/>
      <c r="C702" s="3172"/>
      <c r="D702" s="3209" t="s">
        <v>1176</v>
      </c>
      <c r="E702" s="3099"/>
      <c r="F702" s="3100"/>
      <c r="G702" s="3104"/>
    </row>
    <row r="703" spans="1:8" s="3156" customFormat="1" hidden="1">
      <c r="A703" s="3094"/>
      <c r="B703" s="3099"/>
      <c r="C703" s="3172"/>
      <c r="D703" s="3209" t="s">
        <v>2609</v>
      </c>
      <c r="E703" s="3099"/>
      <c r="F703" s="3100"/>
      <c r="G703" s="3104"/>
      <c r="H703" s="3156">
        <f>450*4.5%</f>
        <v>20.25</v>
      </c>
    </row>
    <row r="704" spans="1:8" s="3156" customFormat="1" hidden="1">
      <c r="A704" s="3094"/>
      <c r="B704" s="3099"/>
      <c r="C704" s="3172"/>
      <c r="D704" s="3209" t="s">
        <v>2610</v>
      </c>
      <c r="E704" s="3099"/>
      <c r="F704" s="3100"/>
      <c r="G704" s="3104"/>
      <c r="H704" s="3156">
        <f>450-20.25</f>
        <v>429.75</v>
      </c>
    </row>
    <row r="705" spans="1:9" s="3156" customFormat="1" hidden="1">
      <c r="A705" s="3094"/>
      <c r="B705" s="3099"/>
      <c r="C705" s="3172"/>
      <c r="D705" s="3209" t="s">
        <v>1179</v>
      </c>
      <c r="E705" s="3099"/>
      <c r="F705" s="3100"/>
      <c r="G705" s="3104"/>
      <c r="H705" s="3156">
        <f>H704/1.5</f>
        <v>286.5</v>
      </c>
    </row>
    <row r="706" spans="1:9" s="3156" customFormat="1" hidden="1">
      <c r="A706" s="3094"/>
      <c r="B706" s="3099"/>
      <c r="C706" s="3172"/>
      <c r="D706" s="3209" t="s">
        <v>2611</v>
      </c>
      <c r="E706" s="3099"/>
      <c r="F706" s="3100"/>
      <c r="G706" s="3104"/>
      <c r="I706" s="3211">
        <f>B709+B711+B713</f>
        <v>281.49</v>
      </c>
    </row>
    <row r="707" spans="1:9" s="3156" customFormat="1" hidden="1">
      <c r="A707" s="3094"/>
      <c r="B707" s="3099"/>
      <c r="C707" s="3172"/>
      <c r="D707" s="3209" t="s">
        <v>1761</v>
      </c>
      <c r="E707" s="3099"/>
      <c r="F707" s="3100"/>
      <c r="G707" s="3104"/>
      <c r="I707" s="3211">
        <f>H705-I706</f>
        <v>5.0099999999999909</v>
      </c>
    </row>
    <row r="708" spans="1:9" s="3156" customFormat="1" hidden="1">
      <c r="A708" s="3094"/>
      <c r="B708" s="3099"/>
      <c r="C708" s="3172"/>
      <c r="D708" s="3209" t="s">
        <v>1762</v>
      </c>
      <c r="E708" s="3099"/>
      <c r="F708" s="3100"/>
      <c r="G708" s="3104"/>
    </row>
    <row r="709" spans="1:9" s="3156" customFormat="1" ht="28.8" hidden="1">
      <c r="A709" s="3094"/>
      <c r="B709" s="3099">
        <v>86.16</v>
      </c>
      <c r="C709" s="3172" t="s">
        <v>31</v>
      </c>
      <c r="D709" s="3212" t="s">
        <v>1763</v>
      </c>
      <c r="E709" s="3105">
        <f>(lead!$J$6+lead!$J$7+lead!$J$8+lead!$J$9)/4</f>
        <v>1761.8641904678079</v>
      </c>
      <c r="F709" s="3100" t="s">
        <v>31</v>
      </c>
      <c r="G709" s="3101">
        <f>ROUND(B709*E709,2)</f>
        <v>151802.22</v>
      </c>
    </row>
    <row r="710" spans="1:9" hidden="1">
      <c r="A710" s="3094"/>
      <c r="B710" s="3099"/>
      <c r="C710" s="3172"/>
      <c r="D710" s="3209" t="s">
        <v>1764</v>
      </c>
      <c r="E710" s="3099"/>
      <c r="F710" s="3100"/>
      <c r="G710" s="3104"/>
    </row>
    <row r="711" spans="1:9" s="3156" customFormat="1" ht="28.8" hidden="1">
      <c r="A711" s="3094"/>
      <c r="B711" s="3170">
        <v>80.430000000000007</v>
      </c>
      <c r="C711" s="3172" t="s">
        <v>31</v>
      </c>
      <c r="D711" s="3212" t="s">
        <v>1765</v>
      </c>
      <c r="E711" s="3105">
        <f>(lead!$J$9+lead!$J$10)/2</f>
        <v>1610.3641904678079</v>
      </c>
      <c r="F711" s="3100" t="s">
        <v>31</v>
      </c>
      <c r="G711" s="3101">
        <f>ROUND(B711*E711,2)</f>
        <v>129521.59</v>
      </c>
    </row>
    <row r="712" spans="1:9" s="3156" customFormat="1" hidden="1">
      <c r="A712" s="3094"/>
      <c r="B712" s="3099"/>
      <c r="C712" s="3172"/>
      <c r="D712" s="3209" t="s">
        <v>1766</v>
      </c>
      <c r="E712" s="3105"/>
      <c r="F712" s="3100"/>
      <c r="G712" s="3101"/>
    </row>
    <row r="713" spans="1:9" s="3156" customFormat="1" ht="28.8" hidden="1">
      <c r="A713" s="3094"/>
      <c r="B713" s="3099">
        <v>114.9</v>
      </c>
      <c r="C713" s="3172" t="s">
        <v>31</v>
      </c>
      <c r="D713" s="3212" t="s">
        <v>1767</v>
      </c>
      <c r="E713" s="3105">
        <f>(lead!$J$11+lead!$J$12)/2</f>
        <v>1566.4891904678079</v>
      </c>
      <c r="F713" s="3100" t="s">
        <v>31</v>
      </c>
      <c r="G713" s="3101">
        <f>ROUND(B713*E713,2)</f>
        <v>179989.61</v>
      </c>
    </row>
    <row r="714" spans="1:9" s="3156" customFormat="1" hidden="1">
      <c r="A714" s="3094"/>
      <c r="B714" s="3099">
        <v>5.76</v>
      </c>
      <c r="C714" s="3172" t="s">
        <v>31</v>
      </c>
      <c r="D714" s="3209" t="s">
        <v>2612</v>
      </c>
      <c r="E714" s="3105">
        <f>lead!$J$27</f>
        <v>1390.8641904678079</v>
      </c>
      <c r="F714" s="3100" t="s">
        <v>31</v>
      </c>
      <c r="G714" s="3101">
        <f>ROUND(B714*E714,2)</f>
        <v>8011.38</v>
      </c>
      <c r="I714" s="3156">
        <f>SUM(B709:B714)/195</f>
        <v>1.4730769230769232</v>
      </c>
    </row>
    <row r="715" spans="1:9" s="3156" customFormat="1" hidden="1">
      <c r="A715" s="3094"/>
      <c r="B715" s="3099"/>
      <c r="C715" s="3172"/>
      <c r="D715" s="3098" t="s">
        <v>60</v>
      </c>
      <c r="E715" s="3099"/>
      <c r="F715" s="3100"/>
      <c r="G715" s="3114">
        <f>SUM(G701:G714)</f>
        <v>1368714.9700000002</v>
      </c>
    </row>
    <row r="716" spans="1:9" s="3156" customFormat="1" hidden="1">
      <c r="A716" s="3094"/>
      <c r="B716" s="3090" t="s">
        <v>45</v>
      </c>
      <c r="C716" s="3095" t="s">
        <v>1189</v>
      </c>
      <c r="D716" s="3098"/>
      <c r="E716" s="3099"/>
      <c r="F716" s="3100"/>
      <c r="G716" s="3101"/>
    </row>
    <row r="717" spans="1:9" s="3156" customFormat="1" hidden="1">
      <c r="A717" s="3094"/>
      <c r="B717" s="3134">
        <f>'Input Data'!$D$24</f>
        <v>0.13614999999999999</v>
      </c>
      <c r="C717" s="3173"/>
      <c r="D717" s="3174" t="str">
        <f>"Over head charges + CP "&amp;'Input Data'!$D$24*100&amp;"%  on (A) + (B)+(C)"</f>
        <v>Over head charges + CP 13.615%  on (A) + (B)+(C)</v>
      </c>
      <c r="E717" s="3099">
        <f>+G715+G699+G690</f>
        <v>1652257.4200000002</v>
      </c>
      <c r="F717" s="3100"/>
      <c r="G717" s="3101">
        <f>E717*B717</f>
        <v>224954.847733</v>
      </c>
    </row>
    <row r="718" spans="1:9" s="3156" customFormat="1" hidden="1">
      <c r="A718" s="3094"/>
      <c r="B718" s="3090" t="s">
        <v>47</v>
      </c>
      <c r="C718" s="3095" t="s">
        <v>89</v>
      </c>
      <c r="D718" s="3098"/>
      <c r="E718" s="3099"/>
      <c r="F718" s="3100"/>
      <c r="G718" s="3114">
        <f>+G717+E717</f>
        <v>1877212.2677330002</v>
      </c>
    </row>
    <row r="719" spans="1:9" s="3156" customFormat="1" hidden="1">
      <c r="A719" s="3094"/>
      <c r="B719" s="3099"/>
      <c r="C719" s="3172"/>
      <c r="D719" s="3098" t="s">
        <v>1768</v>
      </c>
      <c r="E719" s="3099"/>
      <c r="F719" s="3099"/>
      <c r="G719" s="3175">
        <f>SUM(G718:G718)</f>
        <v>1877212.2677330002</v>
      </c>
    </row>
    <row r="720" spans="1:9" s="3156" customFormat="1" hidden="1">
      <c r="A720" s="3094"/>
      <c r="B720" s="3099"/>
      <c r="C720" s="3172"/>
      <c r="D720" s="3098" t="s">
        <v>1192</v>
      </c>
      <c r="E720" s="3099"/>
      <c r="F720" s="3099"/>
      <c r="G720" s="3101">
        <f>ROUND(G719/195,2)</f>
        <v>9626.73</v>
      </c>
    </row>
    <row r="721" spans="1:7" s="3156" customFormat="1" hidden="1">
      <c r="A721" s="3094"/>
      <c r="B721" s="3099"/>
      <c r="C721" s="3176"/>
      <c r="D721" s="3098" t="s">
        <v>52</v>
      </c>
      <c r="E721" s="3099"/>
      <c r="F721" s="3099"/>
      <c r="G721" s="3143">
        <f>ROUND(G720,2)</f>
        <v>9626.73</v>
      </c>
    </row>
    <row r="722" spans="1:7" s="3156" customFormat="1" hidden="1">
      <c r="A722" s="3094"/>
      <c r="B722" s="3099"/>
      <c r="C722" s="3176"/>
      <c r="D722" s="3098"/>
      <c r="E722" s="3099"/>
      <c r="F722" s="3099"/>
      <c r="G722" s="3114" t="s">
        <v>53</v>
      </c>
    </row>
    <row r="723" spans="1:7" s="3156" customFormat="1" ht="126" hidden="1" customHeight="1">
      <c r="A723" s="3094">
        <v>17</v>
      </c>
      <c r="B723" s="4006" t="s">
        <v>1769</v>
      </c>
      <c r="C723" s="4023"/>
      <c r="D723" s="4023"/>
      <c r="E723" s="4023"/>
      <c r="F723" s="4023"/>
      <c r="G723" s="4023"/>
    </row>
    <row r="724" spans="1:7" hidden="1">
      <c r="A724" s="3094"/>
      <c r="B724" s="3100"/>
      <c r="C724" s="3111" t="s">
        <v>10</v>
      </c>
      <c r="D724" s="3207" t="s">
        <v>1770</v>
      </c>
      <c r="E724" s="3099"/>
      <c r="F724" s="3100"/>
      <c r="G724" s="3104"/>
    </row>
    <row r="725" spans="1:7" hidden="1">
      <c r="A725" s="3094"/>
      <c r="B725" s="3100"/>
      <c r="C725" s="3208" t="s">
        <v>1771</v>
      </c>
      <c r="D725" s="3098"/>
      <c r="E725" s="3099"/>
      <c r="F725" s="3100"/>
      <c r="G725" s="3103"/>
    </row>
    <row r="726" spans="1:7" hidden="1">
      <c r="A726" s="3094"/>
      <c r="B726" s="3100"/>
      <c r="C726" s="3094" t="s">
        <v>36</v>
      </c>
      <c r="D726" s="3095" t="s">
        <v>37</v>
      </c>
      <c r="E726" s="3099"/>
      <c r="F726" s="3100"/>
      <c r="G726" s="3104"/>
    </row>
    <row r="727" spans="1:7" hidden="1">
      <c r="A727" s="3094"/>
      <c r="B727" s="3099">
        <v>0.84</v>
      </c>
      <c r="C727" s="3172" t="s">
        <v>1169</v>
      </c>
      <c r="D727" s="3098" t="s">
        <v>14</v>
      </c>
      <c r="E727" s="3099">
        <f>'SSR-rates'!$K$58</f>
        <v>575</v>
      </c>
      <c r="F727" s="3099" t="s">
        <v>1169</v>
      </c>
      <c r="G727" s="3101">
        <f>ROUND(B727*E727,2)</f>
        <v>483</v>
      </c>
    </row>
    <row r="728" spans="1:7" ht="43.2" hidden="1">
      <c r="A728" s="3094"/>
      <c r="B728" s="3099">
        <v>14</v>
      </c>
      <c r="C728" s="3172" t="s">
        <v>1169</v>
      </c>
      <c r="D728" s="3209" t="s">
        <v>1772</v>
      </c>
      <c r="E728" s="3099">
        <f>'SSR-rates'!$K$60</f>
        <v>575</v>
      </c>
      <c r="F728" s="3099" t="s">
        <v>1169</v>
      </c>
      <c r="G728" s="3101">
        <f>ROUND(B728*E728,2)</f>
        <v>8050</v>
      </c>
    </row>
    <row r="729" spans="1:7" hidden="1">
      <c r="A729" s="3094"/>
      <c r="B729" s="3099">
        <v>5</v>
      </c>
      <c r="C729" s="3172" t="s">
        <v>1169</v>
      </c>
      <c r="D729" s="3098" t="s">
        <v>1773</v>
      </c>
      <c r="E729" s="3099">
        <f>'SSR-rates'!$K$59</f>
        <v>575</v>
      </c>
      <c r="F729" s="3099" t="s">
        <v>1169</v>
      </c>
      <c r="G729" s="3101">
        <f>ROUND(B729*E729,2)</f>
        <v>2875</v>
      </c>
    </row>
    <row r="730" spans="1:7" hidden="1">
      <c r="A730" s="3094"/>
      <c r="B730" s="3102">
        <f>'Input Data'!$D$23</f>
        <v>0</v>
      </c>
      <c r="C730" s="3097"/>
      <c r="D730" s="3103" t="s">
        <v>17</v>
      </c>
      <c r="E730" s="3099">
        <f>SUM(G727:G729)</f>
        <v>11408</v>
      </c>
      <c r="F730" s="3100"/>
      <c r="G730" s="3101">
        <f>B730*E730</f>
        <v>0</v>
      </c>
    </row>
    <row r="731" spans="1:7" hidden="1">
      <c r="A731" s="3094"/>
      <c r="B731" s="3099"/>
      <c r="C731" s="3172"/>
      <c r="D731" s="3098" t="s">
        <v>60</v>
      </c>
      <c r="E731" s="3099"/>
      <c r="F731" s="3100"/>
      <c r="G731" s="3114">
        <f>SUM(G727:G730)</f>
        <v>11408</v>
      </c>
    </row>
    <row r="732" spans="1:7" hidden="1">
      <c r="A732" s="3094"/>
      <c r="B732" s="3100"/>
      <c r="C732" s="3094" t="s">
        <v>39</v>
      </c>
      <c r="D732" s="3095" t="s">
        <v>40</v>
      </c>
      <c r="E732" s="3099"/>
      <c r="F732" s="3100"/>
      <c r="G732" s="3104"/>
    </row>
    <row r="733" spans="1:7" hidden="1">
      <c r="A733" s="3094"/>
      <c r="B733" s="3099">
        <v>6</v>
      </c>
      <c r="C733" s="3172" t="s">
        <v>41</v>
      </c>
      <c r="D733" s="3098" t="s">
        <v>1171</v>
      </c>
      <c r="E733" s="3099">
        <f>'SSR-rates'!$P$78</f>
        <v>33344</v>
      </c>
      <c r="F733" s="3099" t="s">
        <v>41</v>
      </c>
      <c r="G733" s="3101">
        <f t="shared" ref="G733:G741" si="8">ROUND(B733*E733,2)</f>
        <v>200064</v>
      </c>
    </row>
    <row r="734" spans="1:7" hidden="1">
      <c r="A734" s="3094"/>
      <c r="B734" s="3099">
        <v>2.2000000000000002</v>
      </c>
      <c r="C734" s="3172" t="s">
        <v>41</v>
      </c>
      <c r="D734" s="3107" t="s">
        <v>1774</v>
      </c>
      <c r="E734" s="3099">
        <f>'SSR-rates'!K75</f>
        <v>440</v>
      </c>
      <c r="F734" s="3099" t="s">
        <v>41</v>
      </c>
      <c r="G734" s="3101">
        <f t="shared" si="8"/>
        <v>968</v>
      </c>
    </row>
    <row r="735" spans="1:7" hidden="1">
      <c r="A735" s="3094"/>
      <c r="B735" s="3099">
        <v>2.2000000000000002</v>
      </c>
      <c r="C735" s="3172" t="s">
        <v>41</v>
      </c>
      <c r="D735" s="3098" t="s">
        <v>1227</v>
      </c>
      <c r="E735" s="3099">
        <f>'SSR-rates'!$K$73</f>
        <v>727.6</v>
      </c>
      <c r="F735" s="3099" t="s">
        <v>41</v>
      </c>
      <c r="G735" s="3101">
        <f t="shared" si="8"/>
        <v>1600.72</v>
      </c>
    </row>
    <row r="736" spans="1:7" hidden="1">
      <c r="A736" s="3094"/>
      <c r="B736" s="3099">
        <v>6</v>
      </c>
      <c r="C736" s="3172" t="s">
        <v>41</v>
      </c>
      <c r="D736" s="3210" t="s">
        <v>1691</v>
      </c>
      <c r="E736" s="3161">
        <f>'SSR-rates'!$K$80</f>
        <v>2771</v>
      </c>
      <c r="F736" s="3099" t="s">
        <v>41</v>
      </c>
      <c r="G736" s="3101">
        <f t="shared" si="8"/>
        <v>16626</v>
      </c>
    </row>
    <row r="737" spans="1:11" hidden="1">
      <c r="A737" s="3094"/>
      <c r="B737" s="3099">
        <v>6</v>
      </c>
      <c r="C737" s="3172" t="s">
        <v>41</v>
      </c>
      <c r="D737" s="3098" t="s">
        <v>1757</v>
      </c>
      <c r="E737" s="3099">
        <f>'SSR-rates'!$K$85</f>
        <v>2279</v>
      </c>
      <c r="F737" s="3099" t="s">
        <v>41</v>
      </c>
      <c r="G737" s="3101">
        <f t="shared" si="8"/>
        <v>13674</v>
      </c>
    </row>
    <row r="738" spans="1:11" hidden="1">
      <c r="A738" s="3094"/>
      <c r="B738" s="3099">
        <v>6</v>
      </c>
      <c r="C738" s="3172" t="s">
        <v>41</v>
      </c>
      <c r="D738" s="3098" t="s">
        <v>1688</v>
      </c>
      <c r="E738" s="3099">
        <f>'SSR-rates'!$K$65</f>
        <v>2028</v>
      </c>
      <c r="F738" s="3099" t="s">
        <v>41</v>
      </c>
      <c r="G738" s="3101">
        <f t="shared" si="8"/>
        <v>12168</v>
      </c>
    </row>
    <row r="739" spans="1:11" ht="28.8" hidden="1">
      <c r="A739" s="3094"/>
      <c r="B739" s="3099">
        <v>3.9</v>
      </c>
      <c r="C739" s="3172" t="s">
        <v>41</v>
      </c>
      <c r="D739" s="3209" t="s">
        <v>1172</v>
      </c>
      <c r="E739" s="3105">
        <f>'SSR-rates'!$K$68</f>
        <v>1749.6</v>
      </c>
      <c r="F739" s="3105" t="s">
        <v>41</v>
      </c>
      <c r="G739" s="3108">
        <f t="shared" si="8"/>
        <v>6823.44</v>
      </c>
    </row>
    <row r="740" spans="1:11" hidden="1">
      <c r="A740" s="3094"/>
      <c r="B740" s="3099">
        <v>3.9</v>
      </c>
      <c r="C740" s="3172" t="s">
        <v>41</v>
      </c>
      <c r="D740" s="3209" t="s">
        <v>1758</v>
      </c>
      <c r="E740" s="3105">
        <f>'SSR-rates'!$K$67</f>
        <v>3517.9</v>
      </c>
      <c r="F740" s="3105" t="s">
        <v>41</v>
      </c>
      <c r="G740" s="3108">
        <f t="shared" si="8"/>
        <v>13719.81</v>
      </c>
    </row>
    <row r="741" spans="1:11" ht="28.8" hidden="1">
      <c r="A741" s="3094"/>
      <c r="B741" s="3099">
        <v>3.9</v>
      </c>
      <c r="C741" s="3172" t="s">
        <v>41</v>
      </c>
      <c r="D741" s="3209" t="s">
        <v>1759</v>
      </c>
      <c r="E741" s="3105">
        <f>'SSR-rates'!$K$82</f>
        <v>2028</v>
      </c>
      <c r="F741" s="3105" t="s">
        <v>41</v>
      </c>
      <c r="G741" s="3108">
        <f t="shared" si="8"/>
        <v>7909.2</v>
      </c>
    </row>
    <row r="742" spans="1:11" hidden="1">
      <c r="A742" s="3094"/>
      <c r="B742" s="3099"/>
      <c r="C742" s="3172"/>
      <c r="D742" s="3098" t="s">
        <v>60</v>
      </c>
      <c r="E742" s="3099"/>
      <c r="F742" s="3100"/>
      <c r="G742" s="3114">
        <f>SUM(G733:G741)</f>
        <v>273553.17000000004</v>
      </c>
    </row>
    <row r="743" spans="1:11" hidden="1">
      <c r="A743" s="3094"/>
      <c r="B743" s="3100"/>
      <c r="C743" s="3094" t="s">
        <v>27</v>
      </c>
      <c r="D743" s="3095" t="s">
        <v>61</v>
      </c>
      <c r="E743" s="3099"/>
      <c r="F743" s="3100"/>
      <c r="G743" s="3104"/>
    </row>
    <row r="744" spans="1:11" hidden="1">
      <c r="A744" s="3094"/>
      <c r="B744" s="3099">
        <v>14.85</v>
      </c>
      <c r="C744" s="3099" t="s">
        <v>66</v>
      </c>
      <c r="D744" s="3107" t="s">
        <v>1775</v>
      </c>
      <c r="E744" s="3161">
        <f>BT_Rate_60_70</f>
        <v>47014.645337323418</v>
      </c>
      <c r="F744" s="3100" t="s">
        <v>66</v>
      </c>
      <c r="G744" s="3108">
        <f>ROUND(B744*E744,2)</f>
        <v>698167.48</v>
      </c>
    </row>
    <row r="745" spans="1:11" hidden="1">
      <c r="A745" s="3094"/>
      <c r="B745" s="3099"/>
      <c r="C745" s="3172"/>
      <c r="D745" s="3209" t="s">
        <v>1776</v>
      </c>
      <c r="E745" s="3099"/>
      <c r="F745" s="3100"/>
      <c r="G745" s="3104"/>
    </row>
    <row r="746" spans="1:11" hidden="1">
      <c r="A746" s="3094"/>
      <c r="B746" s="3099"/>
      <c r="C746" s="3172"/>
      <c r="D746" s="3209" t="s">
        <v>1777</v>
      </c>
      <c r="E746" s="3099"/>
      <c r="F746" s="3100"/>
      <c r="G746" s="3104"/>
    </row>
    <row r="747" spans="1:11" s="3156" customFormat="1" hidden="1">
      <c r="A747" s="3094"/>
      <c r="B747" s="3099"/>
      <c r="C747" s="3172"/>
      <c r="D747" s="3209" t="s">
        <v>1778</v>
      </c>
      <c r="E747" s="3099"/>
      <c r="F747" s="3100"/>
      <c r="G747" s="3104"/>
    </row>
    <row r="748" spans="1:11" s="3156" customFormat="1" hidden="1">
      <c r="A748" s="3094"/>
      <c r="B748" s="3099"/>
      <c r="C748" s="3172"/>
      <c r="D748" s="3209" t="s">
        <v>1179</v>
      </c>
      <c r="E748" s="3099"/>
      <c r="F748" s="3100"/>
      <c r="G748" s="3104"/>
    </row>
    <row r="749" spans="1:11" s="3156" customFormat="1" hidden="1">
      <c r="A749" s="3094"/>
      <c r="B749" s="3099"/>
      <c r="C749" s="3172"/>
      <c r="D749" s="3209" t="s">
        <v>1779</v>
      </c>
      <c r="E749" s="3099"/>
      <c r="F749" s="3100"/>
      <c r="G749" s="3104"/>
      <c r="H749" s="3185"/>
    </row>
    <row r="750" spans="1:11" s="3156" customFormat="1" hidden="1">
      <c r="A750" s="3094"/>
      <c r="B750" s="3099"/>
      <c r="C750" s="3172"/>
      <c r="D750" s="3209" t="s">
        <v>1761</v>
      </c>
      <c r="E750" s="3099"/>
      <c r="F750" s="3100"/>
      <c r="G750" s="3104"/>
    </row>
    <row r="751" spans="1:11" s="3156" customFormat="1" hidden="1">
      <c r="A751" s="3094"/>
      <c r="B751" s="3099"/>
      <c r="C751" s="3172"/>
      <c r="D751" s="3107" t="s">
        <v>1780</v>
      </c>
      <c r="E751" s="3099"/>
      <c r="F751" s="3100"/>
      <c r="G751" s="3104"/>
    </row>
    <row r="752" spans="1:11" s="3156" customFormat="1" ht="28.8" hidden="1">
      <c r="A752" s="3094"/>
      <c r="B752" s="3099">
        <v>116.04</v>
      </c>
      <c r="C752" s="3172" t="s">
        <v>31</v>
      </c>
      <c r="D752" s="3212" t="s">
        <v>1763</v>
      </c>
      <c r="E752" s="3105">
        <f>(lead!$J$6+lead!$J$7+lead!$J$8+lead!$J$9)/4</f>
        <v>1761.8641904678079</v>
      </c>
      <c r="F752" s="3100" t="s">
        <v>31</v>
      </c>
      <c r="G752" s="3101">
        <f>ROUND(B752*E752,2)</f>
        <v>204446.72</v>
      </c>
      <c r="K752" s="3156">
        <f>290.1*0.2</f>
        <v>58.02000000000001</v>
      </c>
    </row>
    <row r="753" spans="1:10" s="3156" customFormat="1" hidden="1">
      <c r="A753" s="3094"/>
      <c r="B753" s="3099"/>
      <c r="C753" s="3172"/>
      <c r="D753" s="3209" t="s">
        <v>1781</v>
      </c>
      <c r="E753" s="3099"/>
      <c r="F753" s="3100"/>
      <c r="G753" s="3104"/>
      <c r="I753" s="3156">
        <v>285</v>
      </c>
    </row>
    <row r="754" spans="1:10" ht="28.8" hidden="1">
      <c r="A754" s="3094"/>
      <c r="B754" s="3170">
        <v>116.04</v>
      </c>
      <c r="C754" s="3172" t="s">
        <v>31</v>
      </c>
      <c r="D754" s="3212" t="s">
        <v>1765</v>
      </c>
      <c r="E754" s="3105">
        <f>(lead!$J$9+lead!$J$10)/2</f>
        <v>1610.3641904678079</v>
      </c>
      <c r="F754" s="3100" t="s">
        <v>31</v>
      </c>
      <c r="G754" s="3101">
        <f>ROUND(B754*E754,2)</f>
        <v>186866.66</v>
      </c>
    </row>
    <row r="755" spans="1:10" s="3156" customFormat="1" hidden="1">
      <c r="A755" s="3094"/>
      <c r="B755" s="3099"/>
      <c r="C755" s="3172"/>
      <c r="D755" s="3209" t="s">
        <v>1782</v>
      </c>
      <c r="E755" s="3105"/>
      <c r="F755" s="3100"/>
      <c r="G755" s="3101"/>
      <c r="I755" s="3185">
        <f>+B793+B795+B797</f>
        <v>278.12</v>
      </c>
      <c r="J755" s="3184">
        <f>I753-I755</f>
        <v>6.8799999999999955</v>
      </c>
    </row>
    <row r="756" spans="1:10" s="3156" customFormat="1" ht="28.8" hidden="1">
      <c r="A756" s="3094"/>
      <c r="B756" s="3099">
        <v>58.02</v>
      </c>
      <c r="C756" s="3172" t="s">
        <v>31</v>
      </c>
      <c r="D756" s="3212" t="s">
        <v>1767</v>
      </c>
      <c r="E756" s="3105">
        <f>(lead!$J$11+lead!$J$12)/2</f>
        <v>1566.4891904678079</v>
      </c>
      <c r="F756" s="3100" t="s">
        <v>31</v>
      </c>
      <c r="G756" s="3101">
        <f>ROUND(B756*E756,2)</f>
        <v>90887.7</v>
      </c>
    </row>
    <row r="757" spans="1:10" s="3156" customFormat="1" hidden="1">
      <c r="A757" s="3094"/>
      <c r="B757" s="3099"/>
      <c r="C757" s="3172"/>
      <c r="D757" s="3098" t="s">
        <v>60</v>
      </c>
      <c r="E757" s="3099"/>
      <c r="F757" s="3100"/>
      <c r="G757" s="3114">
        <f>SUM(G744:G756)</f>
        <v>1180368.5599999998</v>
      </c>
      <c r="I757" s="3156">
        <f>SUM(B793:B798)/195</f>
        <v>1.4553641025641024</v>
      </c>
    </row>
    <row r="758" spans="1:10" s="3156" customFormat="1" hidden="1">
      <c r="A758" s="3094"/>
      <c r="B758" s="3090" t="s">
        <v>45</v>
      </c>
      <c r="C758" s="3095" t="s">
        <v>1189</v>
      </c>
      <c r="D758" s="3098"/>
      <c r="E758" s="3099"/>
      <c r="F758" s="3100"/>
      <c r="G758" s="3101"/>
    </row>
    <row r="759" spans="1:10" s="3156" customFormat="1" hidden="1">
      <c r="A759" s="3094"/>
      <c r="B759" s="3134">
        <f>'Input Data'!$D$24</f>
        <v>0.13614999999999999</v>
      </c>
      <c r="C759" s="3173"/>
      <c r="D759" s="3174" t="str">
        <f>"Over head charges + CP "&amp;'Input Data'!$D$24*100&amp;"%  on (A) + (B)+(C)"</f>
        <v>Over head charges + CP 13.615%  on (A) + (B)+(C)</v>
      </c>
      <c r="E759" s="3099">
        <f>+G757+G742+G731</f>
        <v>1465329.73</v>
      </c>
      <c r="F759" s="3100"/>
      <c r="G759" s="3101">
        <f>E759*B759</f>
        <v>199504.64273949998</v>
      </c>
    </row>
    <row r="760" spans="1:10" s="3156" customFormat="1" hidden="1">
      <c r="A760" s="3094"/>
      <c r="B760" s="3090" t="s">
        <v>47</v>
      </c>
      <c r="C760" s="3095" t="s">
        <v>89</v>
      </c>
      <c r="D760" s="3098"/>
      <c r="E760" s="3099"/>
      <c r="F760" s="3100"/>
      <c r="G760" s="3114">
        <f>+G759+E759</f>
        <v>1664834.3727394999</v>
      </c>
    </row>
    <row r="761" spans="1:10" s="3156" customFormat="1" hidden="1">
      <c r="A761" s="3094"/>
      <c r="B761" s="3099"/>
      <c r="C761" s="3172"/>
      <c r="D761" s="3098" t="s">
        <v>1783</v>
      </c>
      <c r="E761" s="3099"/>
      <c r="F761" s="3099"/>
      <c r="G761" s="3175">
        <f>SUM(G760:G760)</f>
        <v>1664834.3727394999</v>
      </c>
    </row>
    <row r="762" spans="1:10" s="3156" customFormat="1" hidden="1">
      <c r="A762" s="3094"/>
      <c r="B762" s="3099"/>
      <c r="C762" s="3172"/>
      <c r="D762" s="3098" t="s">
        <v>1192</v>
      </c>
      <c r="E762" s="3099"/>
      <c r="F762" s="3099"/>
      <c r="G762" s="3101">
        <f>ROUND(G761/205,2)</f>
        <v>8121.14</v>
      </c>
    </row>
    <row r="763" spans="1:10" s="3156" customFormat="1" hidden="1">
      <c r="A763" s="3094"/>
      <c r="B763" s="3099"/>
      <c r="C763" s="3176"/>
      <c r="D763" s="3098" t="s">
        <v>52</v>
      </c>
      <c r="E763" s="3099"/>
      <c r="F763" s="3099"/>
      <c r="G763" s="3143">
        <f>ROUND(G762,2)</f>
        <v>8121.14</v>
      </c>
    </row>
    <row r="764" spans="1:10" s="3156" customFormat="1" hidden="1">
      <c r="A764" s="3094"/>
      <c r="B764" s="3099"/>
      <c r="C764" s="3176"/>
      <c r="D764" s="3098"/>
      <c r="E764" s="3099"/>
      <c r="F764" s="3099"/>
      <c r="G764" s="3114" t="s">
        <v>53</v>
      </c>
    </row>
    <row r="765" spans="1:10" s="3156" customFormat="1" hidden="1">
      <c r="A765" s="3094"/>
      <c r="B765" s="3099"/>
      <c r="C765" s="3176"/>
      <c r="D765" s="3098"/>
      <c r="E765" s="3099"/>
      <c r="F765" s="3099"/>
      <c r="G765" s="3143"/>
    </row>
    <row r="766" spans="1:10" s="3156" customFormat="1" ht="102" hidden="1" customHeight="1">
      <c r="A766" s="3094">
        <v>11</v>
      </c>
      <c r="B766" s="4006" t="s">
        <v>1784</v>
      </c>
      <c r="C766" s="4023"/>
      <c r="D766" s="4023"/>
      <c r="E766" s="4023"/>
      <c r="F766" s="4023"/>
      <c r="G766" s="4023"/>
    </row>
    <row r="767" spans="1:10" s="3156" customFormat="1" hidden="1">
      <c r="A767" s="3094"/>
      <c r="B767" s="3100"/>
      <c r="C767" s="3111" t="s">
        <v>10</v>
      </c>
      <c r="D767" s="3207" t="s">
        <v>1785</v>
      </c>
      <c r="E767" s="3099"/>
      <c r="F767" s="3100"/>
      <c r="G767" s="3104"/>
    </row>
    <row r="768" spans="1:10" s="3156" customFormat="1" hidden="1">
      <c r="A768" s="3094"/>
      <c r="B768" s="3100"/>
      <c r="C768" s="3208" t="s">
        <v>1786</v>
      </c>
      <c r="D768" s="3098"/>
      <c r="E768" s="3099"/>
      <c r="F768" s="3100"/>
      <c r="G768" s="3103"/>
    </row>
    <row r="769" spans="1:7" s="3156" customFormat="1" hidden="1">
      <c r="A769" s="3094"/>
      <c r="B769" s="3100"/>
      <c r="C769" s="3094" t="s">
        <v>36</v>
      </c>
      <c r="D769" s="3095" t="s">
        <v>37</v>
      </c>
      <c r="E769" s="3099"/>
      <c r="F769" s="3100"/>
      <c r="G769" s="3104"/>
    </row>
    <row r="770" spans="1:7" s="3156" customFormat="1" hidden="1">
      <c r="A770" s="3094"/>
      <c r="B770" s="3099">
        <v>0.84</v>
      </c>
      <c r="C770" s="3172" t="s">
        <v>1169</v>
      </c>
      <c r="D770" s="3098" t="s">
        <v>14</v>
      </c>
      <c r="E770" s="3099">
        <f>'SSR-rates'!$K$58</f>
        <v>575</v>
      </c>
      <c r="F770" s="3099" t="s">
        <v>1169</v>
      </c>
      <c r="G770" s="3101">
        <f>ROUND(B770*E770,2)</f>
        <v>483</v>
      </c>
    </row>
    <row r="771" spans="1:7" s="3156" customFormat="1" ht="43.2" hidden="1">
      <c r="A771" s="3094"/>
      <c r="B771" s="3099">
        <v>16</v>
      </c>
      <c r="C771" s="3172" t="s">
        <v>1169</v>
      </c>
      <c r="D771" s="3209" t="s">
        <v>1756</v>
      </c>
      <c r="E771" s="3099">
        <f>'SSR-rates'!$K$60</f>
        <v>575</v>
      </c>
      <c r="F771" s="3099" t="s">
        <v>1169</v>
      </c>
      <c r="G771" s="3101">
        <f>ROUND(B771*E771,2)</f>
        <v>9200</v>
      </c>
    </row>
    <row r="772" spans="1:7" s="3156" customFormat="1" hidden="1">
      <c r="A772" s="3094"/>
      <c r="B772" s="3099">
        <v>5</v>
      </c>
      <c r="C772" s="3172" t="s">
        <v>1169</v>
      </c>
      <c r="D772" s="3098" t="s">
        <v>15</v>
      </c>
      <c r="E772" s="3099">
        <f>'SSR-rates'!$K$59</f>
        <v>575</v>
      </c>
      <c r="F772" s="3099" t="s">
        <v>1169</v>
      </c>
      <c r="G772" s="3101">
        <f>ROUND(B772*E772,2)</f>
        <v>2875</v>
      </c>
    </row>
    <row r="773" spans="1:7" s="3156" customFormat="1" hidden="1">
      <c r="A773" s="3094"/>
      <c r="B773" s="3102">
        <f>'Input Data'!$D$23</f>
        <v>0</v>
      </c>
      <c r="C773" s="3097"/>
      <c r="D773" s="3103" t="s">
        <v>17</v>
      </c>
      <c r="E773" s="3099">
        <f>SUM(G770:G772)</f>
        <v>12558</v>
      </c>
      <c r="F773" s="3100"/>
      <c r="G773" s="3101">
        <f>B773*E773</f>
        <v>0</v>
      </c>
    </row>
    <row r="774" spans="1:7" s="3156" customFormat="1" hidden="1">
      <c r="A774" s="3094"/>
      <c r="B774" s="3099"/>
      <c r="C774" s="3172"/>
      <c r="D774" s="3098" t="s">
        <v>60</v>
      </c>
      <c r="E774" s="3099"/>
      <c r="F774" s="3100"/>
      <c r="G774" s="3114">
        <f>SUM(G770:G773)</f>
        <v>12558</v>
      </c>
    </row>
    <row r="775" spans="1:7" s="3156" customFormat="1" hidden="1">
      <c r="A775" s="3094"/>
      <c r="B775" s="3100"/>
      <c r="C775" s="3094" t="s">
        <v>39</v>
      </c>
      <c r="D775" s="3095" t="s">
        <v>40</v>
      </c>
      <c r="E775" s="3099"/>
      <c r="F775" s="3100"/>
      <c r="G775" s="3104"/>
    </row>
    <row r="776" spans="1:7" s="3156" customFormat="1" hidden="1">
      <c r="A776" s="3094"/>
      <c r="B776" s="3099">
        <v>6</v>
      </c>
      <c r="C776" s="3172" t="s">
        <v>41</v>
      </c>
      <c r="D776" s="3098" t="s">
        <v>1171</v>
      </c>
      <c r="E776" s="3099">
        <f>'SSR-rates'!$P$78</f>
        <v>33344</v>
      </c>
      <c r="F776" s="3099" t="s">
        <v>41</v>
      </c>
      <c r="G776" s="3101">
        <f t="shared" ref="G776:G782" si="9">ROUND(B776*E776,2)</f>
        <v>200064</v>
      </c>
    </row>
    <row r="777" spans="1:7" s="3156" customFormat="1" hidden="1">
      <c r="A777" s="3094"/>
      <c r="B777" s="3099">
        <v>6</v>
      </c>
      <c r="C777" s="3172" t="s">
        <v>41</v>
      </c>
      <c r="D777" s="3210" t="s">
        <v>1691</v>
      </c>
      <c r="E777" s="3161">
        <f>'SSR-rates'!$K$80</f>
        <v>2771</v>
      </c>
      <c r="F777" s="3099" t="s">
        <v>41</v>
      </c>
      <c r="G777" s="3101">
        <f t="shared" si="9"/>
        <v>16626</v>
      </c>
    </row>
    <row r="778" spans="1:7" s="3156" customFormat="1" hidden="1">
      <c r="A778" s="3094"/>
      <c r="B778" s="3099">
        <v>6</v>
      </c>
      <c r="C778" s="3172" t="s">
        <v>41</v>
      </c>
      <c r="D778" s="3098" t="s">
        <v>1757</v>
      </c>
      <c r="E778" s="3099">
        <f>'SSR-rates'!$K$85</f>
        <v>2279</v>
      </c>
      <c r="F778" s="3099" t="s">
        <v>41</v>
      </c>
      <c r="G778" s="3101">
        <f t="shared" si="9"/>
        <v>13674</v>
      </c>
    </row>
    <row r="779" spans="1:7" s="3156" customFormat="1" hidden="1">
      <c r="A779" s="3094"/>
      <c r="B779" s="3099">
        <v>6</v>
      </c>
      <c r="C779" s="3172" t="s">
        <v>41</v>
      </c>
      <c r="D779" s="3098" t="s">
        <v>1688</v>
      </c>
      <c r="E779" s="3099">
        <f>'SSR-rates'!$K$65</f>
        <v>2028</v>
      </c>
      <c r="F779" s="3099" t="s">
        <v>41</v>
      </c>
      <c r="G779" s="3101">
        <f t="shared" si="9"/>
        <v>12168</v>
      </c>
    </row>
    <row r="780" spans="1:7" s="3156" customFormat="1" ht="28.8" hidden="1">
      <c r="A780" s="3094"/>
      <c r="B780" s="3099">
        <v>3.9</v>
      </c>
      <c r="C780" s="3172" t="s">
        <v>41</v>
      </c>
      <c r="D780" s="3209" t="s">
        <v>1172</v>
      </c>
      <c r="E780" s="3105">
        <f>'SSR-rates'!$K$68</f>
        <v>1749.6</v>
      </c>
      <c r="F780" s="3105" t="s">
        <v>41</v>
      </c>
      <c r="G780" s="3108">
        <f t="shared" si="9"/>
        <v>6823.44</v>
      </c>
    </row>
    <row r="781" spans="1:7" s="3156" customFormat="1" hidden="1">
      <c r="A781" s="3094"/>
      <c r="B781" s="3099">
        <v>3.9</v>
      </c>
      <c r="C781" s="3172" t="s">
        <v>41</v>
      </c>
      <c r="D781" s="3209" t="s">
        <v>1758</v>
      </c>
      <c r="E781" s="3105">
        <f>'SSR-rates'!$K$67</f>
        <v>3517.9</v>
      </c>
      <c r="F781" s="3105" t="s">
        <v>41</v>
      </c>
      <c r="G781" s="3108">
        <f t="shared" si="9"/>
        <v>13719.81</v>
      </c>
    </row>
    <row r="782" spans="1:7" s="3156" customFormat="1" ht="28.8" hidden="1">
      <c r="A782" s="3094"/>
      <c r="B782" s="3099">
        <v>3.9</v>
      </c>
      <c r="C782" s="3172" t="s">
        <v>41</v>
      </c>
      <c r="D782" s="3209" t="s">
        <v>1759</v>
      </c>
      <c r="E782" s="3105">
        <f>'SSR-rates'!$K$82</f>
        <v>2028</v>
      </c>
      <c r="F782" s="3105" t="s">
        <v>41</v>
      </c>
      <c r="G782" s="3108">
        <f t="shared" si="9"/>
        <v>7909.2</v>
      </c>
    </row>
    <row r="783" spans="1:7" s="3156" customFormat="1" hidden="1">
      <c r="A783" s="3094"/>
      <c r="B783" s="3099"/>
      <c r="C783" s="3172"/>
      <c r="D783" s="3098" t="s">
        <v>60</v>
      </c>
      <c r="E783" s="3099"/>
      <c r="F783" s="3100"/>
      <c r="G783" s="3114">
        <f>SUM(G776:G782)</f>
        <v>270984.45</v>
      </c>
    </row>
    <row r="784" spans="1:7" s="3156" customFormat="1" hidden="1">
      <c r="A784" s="3094"/>
      <c r="B784" s="3100"/>
      <c r="C784" s="3094" t="s">
        <v>27</v>
      </c>
      <c r="D784" s="3095" t="s">
        <v>61</v>
      </c>
      <c r="E784" s="3099"/>
      <c r="F784" s="3100"/>
      <c r="G784" s="3104"/>
    </row>
    <row r="785" spans="1:9" s="3156" customFormat="1" hidden="1">
      <c r="A785" s="3094"/>
      <c r="B785" s="3099">
        <v>24.3</v>
      </c>
      <c r="C785" s="3099" t="s">
        <v>66</v>
      </c>
      <c r="D785" s="3107" t="s">
        <v>2677</v>
      </c>
      <c r="E785" s="3161">
        <f>BT_Rate_60_70</f>
        <v>47014.645337323418</v>
      </c>
      <c r="F785" s="3100" t="s">
        <v>66</v>
      </c>
      <c r="G785" s="3108">
        <f>ROUND(B785*E785,2)</f>
        <v>1142455.8799999999</v>
      </c>
    </row>
    <row r="786" spans="1:9" s="3156" customFormat="1" hidden="1">
      <c r="A786" s="3094"/>
      <c r="B786" s="3099"/>
      <c r="C786" s="3172"/>
      <c r="D786" s="3209" t="s">
        <v>1176</v>
      </c>
      <c r="E786" s="3099"/>
      <c r="F786" s="3100"/>
      <c r="G786" s="3104"/>
    </row>
    <row r="787" spans="1:9" s="3156" customFormat="1" hidden="1">
      <c r="A787" s="3094"/>
      <c r="B787" s="3099"/>
      <c r="C787" s="3172"/>
      <c r="D787" s="3209" t="s">
        <v>2678</v>
      </c>
      <c r="E787" s="3099"/>
      <c r="F787" s="3100"/>
      <c r="G787" s="3104"/>
    </row>
    <row r="788" spans="1:9" s="3156" customFormat="1" hidden="1">
      <c r="A788" s="3094"/>
      <c r="B788" s="3099"/>
      <c r="C788" s="3172"/>
      <c r="D788" s="3209" t="s">
        <v>2679</v>
      </c>
      <c r="E788" s="3099"/>
      <c r="F788" s="3100"/>
      <c r="G788" s="3104"/>
    </row>
    <row r="789" spans="1:9" s="3156" customFormat="1" hidden="1">
      <c r="A789" s="3094"/>
      <c r="B789" s="3099"/>
      <c r="C789" s="3172"/>
      <c r="D789" s="3209" t="s">
        <v>1179</v>
      </c>
      <c r="E789" s="3099"/>
      <c r="F789" s="3100"/>
      <c r="G789" s="3104"/>
    </row>
    <row r="790" spans="1:9" s="3156" customFormat="1" hidden="1">
      <c r="A790" s="3094"/>
      <c r="B790" s="3099"/>
      <c r="C790" s="3172"/>
      <c r="D790" s="3209" t="s">
        <v>2680</v>
      </c>
      <c r="E790" s="3099"/>
      <c r="F790" s="3100"/>
      <c r="G790" s="3104"/>
    </row>
    <row r="791" spans="1:9" s="3156" customFormat="1" hidden="1">
      <c r="A791" s="3094"/>
      <c r="B791" s="3099"/>
      <c r="C791" s="3172"/>
      <c r="D791" s="3213" t="s">
        <v>1181</v>
      </c>
      <c r="E791" s="3099"/>
      <c r="F791" s="3100"/>
      <c r="G791" s="3104"/>
    </row>
    <row r="792" spans="1:9" s="3156" customFormat="1" hidden="1">
      <c r="A792" s="3094"/>
      <c r="B792" s="3099"/>
      <c r="C792" s="3172"/>
      <c r="D792" s="3209" t="s">
        <v>1182</v>
      </c>
      <c r="E792" s="3099"/>
      <c r="F792" s="3100"/>
      <c r="G792" s="3104"/>
    </row>
    <row r="793" spans="1:9" s="3156" customFormat="1" ht="28.8" hidden="1">
      <c r="A793" s="3094"/>
      <c r="B793" s="3099">
        <v>85.14</v>
      </c>
      <c r="C793" s="3172" t="s">
        <v>31</v>
      </c>
      <c r="D793" s="3212" t="s">
        <v>1787</v>
      </c>
      <c r="E793" s="3105">
        <f>(lead!$J$8+lead!$J$9)/2</f>
        <v>1688.8641904678079</v>
      </c>
      <c r="F793" s="3100" t="s">
        <v>31</v>
      </c>
      <c r="G793" s="3101">
        <f>ROUND(B793*E793,2)</f>
        <v>143789.9</v>
      </c>
    </row>
    <row r="794" spans="1:9" s="3156" customFormat="1" hidden="1">
      <c r="A794" s="3094"/>
      <c r="B794" s="3099"/>
      <c r="C794" s="3172"/>
      <c r="D794" s="3209" t="s">
        <v>1184</v>
      </c>
      <c r="E794" s="3099"/>
      <c r="F794" s="3100"/>
      <c r="G794" s="3104"/>
    </row>
    <row r="795" spans="1:9" s="3156" customFormat="1" ht="28.8" hidden="1">
      <c r="A795" s="3094"/>
      <c r="B795" s="3170">
        <v>70.95</v>
      </c>
      <c r="C795" s="3172" t="s">
        <v>31</v>
      </c>
      <c r="D795" s="3212" t="s">
        <v>1788</v>
      </c>
      <c r="E795" s="3105">
        <f>(lead!$J$9+lead!$J$10)/2</f>
        <v>1610.3641904678079</v>
      </c>
      <c r="F795" s="3100" t="s">
        <v>31</v>
      </c>
      <c r="G795" s="3101">
        <f>ROUND(B795*E795,2)</f>
        <v>114255.34</v>
      </c>
    </row>
    <row r="796" spans="1:9" s="3156" customFormat="1" hidden="1">
      <c r="A796" s="3094"/>
      <c r="B796" s="3099"/>
      <c r="C796" s="3172"/>
      <c r="D796" s="3209" t="s">
        <v>1186</v>
      </c>
      <c r="E796" s="3105"/>
      <c r="F796" s="3100"/>
      <c r="G796" s="3101"/>
      <c r="I796" s="3184"/>
    </row>
    <row r="797" spans="1:9" s="3156" customFormat="1" ht="28.8" hidden="1">
      <c r="A797" s="3094"/>
      <c r="B797" s="3099">
        <v>122.03</v>
      </c>
      <c r="C797" s="3172" t="s">
        <v>31</v>
      </c>
      <c r="D797" s="3212" t="s">
        <v>1767</v>
      </c>
      <c r="E797" s="3105">
        <f>(lead!$J$11+lead!$J$12)/2</f>
        <v>1566.4891904678079</v>
      </c>
      <c r="F797" s="3100" t="s">
        <v>31</v>
      </c>
      <c r="G797" s="3101">
        <f>ROUND(B797*E797,2)</f>
        <v>191158.68</v>
      </c>
      <c r="I797" s="3184"/>
    </row>
    <row r="798" spans="1:9" s="3156" customFormat="1" hidden="1">
      <c r="A798" s="3094"/>
      <c r="B798" s="3170">
        <v>5.6760000000000002</v>
      </c>
      <c r="C798" s="3172" t="s">
        <v>31</v>
      </c>
      <c r="D798" s="3209" t="s">
        <v>2613</v>
      </c>
      <c r="E798" s="3105">
        <f>lead!$J$27</f>
        <v>1390.8641904678079</v>
      </c>
      <c r="F798" s="3100" t="s">
        <v>31</v>
      </c>
      <c r="G798" s="3101">
        <f>ROUND(B798*E798,2)</f>
        <v>7894.55</v>
      </c>
    </row>
    <row r="799" spans="1:9" s="3156" customFormat="1" hidden="1">
      <c r="A799" s="3094"/>
      <c r="B799" s="3099"/>
      <c r="C799" s="3172"/>
      <c r="D799" s="3098" t="s">
        <v>60</v>
      </c>
      <c r="E799" s="3099"/>
      <c r="F799" s="3100"/>
      <c r="G799" s="3114">
        <f>SUM(G785:G798)</f>
        <v>1599554.3499999999</v>
      </c>
    </row>
    <row r="800" spans="1:9" s="3156" customFormat="1" hidden="1">
      <c r="A800" s="3094"/>
      <c r="B800" s="3090" t="s">
        <v>45</v>
      </c>
      <c r="C800" s="3095" t="s">
        <v>1189</v>
      </c>
      <c r="D800" s="3098"/>
      <c r="E800" s="3099"/>
      <c r="F800" s="3100"/>
      <c r="G800" s="3114"/>
    </row>
    <row r="801" spans="1:8" s="3156" customFormat="1" hidden="1">
      <c r="A801" s="3094"/>
      <c r="B801" s="3134">
        <f>'Input Data'!$D$24</f>
        <v>0.13614999999999999</v>
      </c>
      <c r="C801" s="3173"/>
      <c r="D801" s="3174" t="str">
        <f>"Over head charges "&amp;'Input Data'!$D$24*100&amp;"%  on (A) + (B)+(C)"</f>
        <v>Over head charges 13.615%  on (A) + (B)+(C)</v>
      </c>
      <c r="E801" s="3099">
        <f>+G799+G783+G774</f>
        <v>1883096.7999999998</v>
      </c>
      <c r="F801" s="3100"/>
      <c r="G801" s="3101">
        <f>E801*B801</f>
        <v>256383.62931999995</v>
      </c>
    </row>
    <row r="802" spans="1:8" hidden="1">
      <c r="A802" s="3094"/>
      <c r="B802" s="3146">
        <f>'Input Data'!$E$24</f>
        <v>0.1</v>
      </c>
      <c r="C802" s="3111" t="s">
        <v>1220</v>
      </c>
      <c r="D802" s="3103"/>
      <c r="E802" s="3113">
        <f>E801+G801</f>
        <v>2139480.4293199996</v>
      </c>
      <c r="F802" s="3103"/>
      <c r="G802" s="3101">
        <f>E802*B802</f>
        <v>213948.04293199998</v>
      </c>
    </row>
    <row r="803" spans="1:8" s="3156" customFormat="1" hidden="1">
      <c r="A803" s="3094"/>
      <c r="B803" s="3090" t="s">
        <v>47</v>
      </c>
      <c r="C803" s="3095" t="s">
        <v>89</v>
      </c>
      <c r="D803" s="3098"/>
      <c r="E803" s="3099"/>
      <c r="F803" s="3100"/>
      <c r="G803" s="3114">
        <f>G774+G783+G799+G801+G802</f>
        <v>2353428.4722519997</v>
      </c>
    </row>
    <row r="804" spans="1:8" s="3156" customFormat="1" hidden="1">
      <c r="A804" s="3094"/>
      <c r="B804" s="3099"/>
      <c r="C804" s="3172"/>
      <c r="D804" s="3098" t="s">
        <v>1789</v>
      </c>
      <c r="E804" s="3099"/>
      <c r="F804" s="3099"/>
      <c r="G804" s="3175">
        <f>SUM(G803:G803)</f>
        <v>2353428.4722519997</v>
      </c>
    </row>
    <row r="805" spans="1:8" s="3156" customFormat="1" hidden="1">
      <c r="A805" s="3094"/>
      <c r="B805" s="3099"/>
      <c r="C805" s="3172"/>
      <c r="D805" s="3098" t="s">
        <v>1192</v>
      </c>
      <c r="E805" s="3099"/>
      <c r="F805" s="3099"/>
      <c r="G805" s="3101">
        <f>ROUND(G804/191,2)</f>
        <v>12321.62</v>
      </c>
    </row>
    <row r="806" spans="1:8" s="3156" customFormat="1" hidden="1">
      <c r="A806" s="3094"/>
      <c r="B806" s="3099"/>
      <c r="C806" s="3176"/>
      <c r="D806" s="3098" t="s">
        <v>52</v>
      </c>
      <c r="E806" s="3099"/>
      <c r="F806" s="3099"/>
      <c r="G806" s="3143">
        <f>ROUND(G805,2)</f>
        <v>12321.62</v>
      </c>
    </row>
    <row r="807" spans="1:8" hidden="1">
      <c r="A807" s="3094"/>
      <c r="B807" s="3099"/>
      <c r="C807" s="3176"/>
      <c r="D807" s="3098"/>
      <c r="E807" s="3099"/>
      <c r="F807" s="3099"/>
      <c r="G807" s="3143" t="s">
        <v>53</v>
      </c>
    </row>
    <row r="808" spans="1:8" ht="96" hidden="1" customHeight="1">
      <c r="A808" s="3094">
        <v>19</v>
      </c>
      <c r="B808" s="4006" t="s">
        <v>2603</v>
      </c>
      <c r="C808" s="4023"/>
      <c r="D808" s="4023"/>
      <c r="E808" s="4023"/>
      <c r="F808" s="4023"/>
      <c r="G808" s="4023"/>
    </row>
    <row r="809" spans="1:8" hidden="1">
      <c r="A809" s="3094"/>
      <c r="B809" s="3099"/>
      <c r="C809" s="3176"/>
      <c r="D809" s="3176" t="s">
        <v>10</v>
      </c>
      <c r="E809" s="3099"/>
      <c r="F809" s="3099"/>
      <c r="G809" s="3143"/>
    </row>
    <row r="810" spans="1:8" hidden="1">
      <c r="A810" s="3094"/>
      <c r="B810" s="3099"/>
      <c r="C810" s="3176"/>
      <c r="D810" s="3176" t="s">
        <v>1790</v>
      </c>
      <c r="E810" s="3099"/>
      <c r="F810" s="3099"/>
      <c r="G810" s="3143"/>
    </row>
    <row r="811" spans="1:8" hidden="1">
      <c r="A811" s="3094"/>
      <c r="B811" s="3099"/>
      <c r="C811" s="3176"/>
      <c r="D811" s="3176" t="s">
        <v>1791</v>
      </c>
      <c r="E811" s="3099"/>
      <c r="F811" s="3099"/>
      <c r="G811" s="3143"/>
      <c r="H811" s="3162"/>
    </row>
    <row r="812" spans="1:8" hidden="1">
      <c r="A812" s="3094"/>
      <c r="B812" s="3170">
        <v>0.84</v>
      </c>
      <c r="C812" s="3099" t="s">
        <v>38</v>
      </c>
      <c r="D812" s="3098" t="s">
        <v>14</v>
      </c>
      <c r="E812" s="3099">
        <f>'SSR-rates'!$K$58</f>
        <v>575</v>
      </c>
      <c r="F812" s="3099" t="s">
        <v>38</v>
      </c>
      <c r="G812" s="3101">
        <f t="shared" ref="G812:G814" si="10">ROUND(B812*E812,2)</f>
        <v>483</v>
      </c>
    </row>
    <row r="813" spans="1:8" ht="43.2" hidden="1">
      <c r="A813" s="3094"/>
      <c r="B813" s="3170">
        <v>16</v>
      </c>
      <c r="C813" s="3099" t="s">
        <v>38</v>
      </c>
      <c r="D813" s="3107" t="s">
        <v>1792</v>
      </c>
      <c r="E813" s="3099">
        <f>'SSR-rates'!$K$60</f>
        <v>575</v>
      </c>
      <c r="F813" s="3099" t="s">
        <v>38</v>
      </c>
      <c r="G813" s="3101">
        <f t="shared" si="10"/>
        <v>9200</v>
      </c>
    </row>
    <row r="814" spans="1:8" hidden="1">
      <c r="A814" s="3094"/>
      <c r="B814" s="3170">
        <v>5</v>
      </c>
      <c r="C814" s="3099" t="s">
        <v>38</v>
      </c>
      <c r="D814" s="3098" t="s">
        <v>1656</v>
      </c>
      <c r="E814" s="3099">
        <f>'SSR-rates'!$K$59</f>
        <v>575</v>
      </c>
      <c r="F814" s="3099" t="s">
        <v>38</v>
      </c>
      <c r="G814" s="3101">
        <f t="shared" si="10"/>
        <v>2875</v>
      </c>
    </row>
    <row r="815" spans="1:8" hidden="1">
      <c r="A815" s="3094"/>
      <c r="B815" s="3102">
        <f>'Input Data'!$D$23</f>
        <v>0</v>
      </c>
      <c r="C815" s="3097"/>
      <c r="D815" s="3103" t="s">
        <v>17</v>
      </c>
      <c r="E815" s="3099">
        <f>SUM(G812:G814)</f>
        <v>12558</v>
      </c>
      <c r="F815" s="3100"/>
      <c r="G815" s="3101">
        <f>B815*E815</f>
        <v>0</v>
      </c>
    </row>
    <row r="816" spans="1:8" hidden="1">
      <c r="A816" s="3094"/>
      <c r="B816" s="3170"/>
      <c r="C816" s="3099"/>
      <c r="D816" s="3098" t="s">
        <v>60</v>
      </c>
      <c r="E816" s="3099"/>
      <c r="F816" s="3099"/>
      <c r="G816" s="3114">
        <f>SUM(G812:G815)</f>
        <v>12558</v>
      </c>
    </row>
    <row r="817" spans="1:7" hidden="1">
      <c r="A817" s="3094"/>
      <c r="B817" s="3170"/>
      <c r="C817" s="3099"/>
      <c r="D817" s="3095" t="s">
        <v>1793</v>
      </c>
      <c r="E817" s="3099"/>
      <c r="F817" s="3099"/>
      <c r="G817" s="3143"/>
    </row>
    <row r="818" spans="1:7" hidden="1">
      <c r="A818" s="3094"/>
      <c r="B818" s="3170">
        <v>6</v>
      </c>
      <c r="C818" s="3099" t="s">
        <v>23</v>
      </c>
      <c r="D818" s="3107" t="s">
        <v>1794</v>
      </c>
      <c r="E818" s="3099">
        <f>'SSR-rates'!$P$78</f>
        <v>33344</v>
      </c>
      <c r="F818" s="3099" t="s">
        <v>23</v>
      </c>
      <c r="G818" s="3101">
        <f t="shared" ref="G818:G824" si="11">ROUND(B818*E818,2)</f>
        <v>200064</v>
      </c>
    </row>
    <row r="819" spans="1:7" hidden="1">
      <c r="A819" s="3094"/>
      <c r="B819" s="3170">
        <v>6</v>
      </c>
      <c r="C819" s="3099" t="s">
        <v>23</v>
      </c>
      <c r="D819" s="3214" t="s">
        <v>1691</v>
      </c>
      <c r="E819" s="3161">
        <f>'SSR-rates'!$K$80</f>
        <v>2771</v>
      </c>
      <c r="F819" s="3099" t="s">
        <v>23</v>
      </c>
      <c r="G819" s="3101">
        <f t="shared" si="11"/>
        <v>16626</v>
      </c>
    </row>
    <row r="820" spans="1:7" hidden="1">
      <c r="A820" s="3094"/>
      <c r="B820" s="3170">
        <v>6</v>
      </c>
      <c r="C820" s="3099" t="s">
        <v>23</v>
      </c>
      <c r="D820" s="3107" t="s">
        <v>1757</v>
      </c>
      <c r="E820" s="3099">
        <f>'SSR-rates'!$K$85</f>
        <v>2279</v>
      </c>
      <c r="F820" s="3099" t="s">
        <v>23</v>
      </c>
      <c r="G820" s="3101">
        <f t="shared" si="11"/>
        <v>13674</v>
      </c>
    </row>
    <row r="821" spans="1:7" hidden="1">
      <c r="A821" s="3094"/>
      <c r="B821" s="3170">
        <v>6</v>
      </c>
      <c r="C821" s="3099" t="s">
        <v>23</v>
      </c>
      <c r="D821" s="3107" t="s">
        <v>1688</v>
      </c>
      <c r="E821" s="3099">
        <f>'SSR-rates'!$K$65</f>
        <v>2028</v>
      </c>
      <c r="F821" s="3099" t="s">
        <v>23</v>
      </c>
      <c r="G821" s="3101">
        <f t="shared" si="11"/>
        <v>12168</v>
      </c>
    </row>
    <row r="822" spans="1:7" ht="28.8" hidden="1">
      <c r="A822" s="3094"/>
      <c r="B822" s="3099">
        <v>3.9</v>
      </c>
      <c r="C822" s="3099" t="s">
        <v>23</v>
      </c>
      <c r="D822" s="3107" t="s">
        <v>1795</v>
      </c>
      <c r="E822" s="3105">
        <f>'SSR-rates'!$K$68</f>
        <v>1749.6</v>
      </c>
      <c r="F822" s="3099" t="s">
        <v>23</v>
      </c>
      <c r="G822" s="3101">
        <f t="shared" si="11"/>
        <v>6823.44</v>
      </c>
    </row>
    <row r="823" spans="1:7" hidden="1">
      <c r="A823" s="3094"/>
      <c r="B823" s="3099">
        <v>3.9</v>
      </c>
      <c r="C823" s="3099" t="s">
        <v>23</v>
      </c>
      <c r="D823" s="3107" t="s">
        <v>1796</v>
      </c>
      <c r="E823" s="3105">
        <f>'SSR-rates'!$K$67</f>
        <v>3517.9</v>
      </c>
      <c r="F823" s="3099" t="s">
        <v>23</v>
      </c>
      <c r="G823" s="3101">
        <f t="shared" si="11"/>
        <v>13719.81</v>
      </c>
    </row>
    <row r="824" spans="1:7" ht="28.8" hidden="1">
      <c r="A824" s="3094"/>
      <c r="B824" s="3099">
        <v>3.9</v>
      </c>
      <c r="C824" s="3099" t="s">
        <v>23</v>
      </c>
      <c r="D824" s="3107" t="s">
        <v>1797</v>
      </c>
      <c r="E824" s="3105">
        <f>'SSR-rates'!$K$82</f>
        <v>2028</v>
      </c>
      <c r="F824" s="3099" t="s">
        <v>23</v>
      </c>
      <c r="G824" s="3101">
        <f t="shared" si="11"/>
        <v>7909.2</v>
      </c>
    </row>
    <row r="825" spans="1:7" hidden="1">
      <c r="A825" s="3094"/>
      <c r="B825" s="3099"/>
      <c r="C825" s="3099"/>
      <c r="D825" s="3098" t="s">
        <v>60</v>
      </c>
      <c r="E825" s="3099"/>
      <c r="F825" s="3100"/>
      <c r="G825" s="3114">
        <f>SUM(G818:G824)</f>
        <v>270984.45</v>
      </c>
    </row>
    <row r="826" spans="1:7" hidden="1">
      <c r="A826" s="3094"/>
      <c r="B826" s="3170"/>
      <c r="C826" s="3099"/>
      <c r="D826" s="3179" t="s">
        <v>1798</v>
      </c>
      <c r="E826" s="3099"/>
      <c r="F826" s="3099"/>
      <c r="G826" s="3143"/>
    </row>
    <row r="827" spans="1:7" hidden="1">
      <c r="A827" s="3094"/>
      <c r="B827" s="3170"/>
      <c r="C827" s="3099"/>
      <c r="D827" s="3107" t="s">
        <v>1799</v>
      </c>
      <c r="E827" s="3099"/>
      <c r="F827" s="3099"/>
      <c r="G827" s="3143"/>
    </row>
    <row r="828" spans="1:7" ht="28.8" hidden="1">
      <c r="A828" s="3094"/>
      <c r="B828" s="3170">
        <v>22.5</v>
      </c>
      <c r="C828" s="3099" t="s">
        <v>66</v>
      </c>
      <c r="D828" s="3107" t="s">
        <v>1800</v>
      </c>
      <c r="E828" s="3161">
        <f>BT_Rate_60_70</f>
        <v>47014.645337323418</v>
      </c>
      <c r="F828" s="3100" t="s">
        <v>66</v>
      </c>
      <c r="G828" s="3108">
        <f>ROUND(B828*E828,2)</f>
        <v>1057829.52</v>
      </c>
    </row>
    <row r="829" spans="1:7" hidden="1">
      <c r="A829" s="3094"/>
      <c r="B829" s="3170"/>
      <c r="C829" s="3099"/>
      <c r="D829" s="3107" t="s">
        <v>1801</v>
      </c>
      <c r="E829" s="3099"/>
      <c r="F829" s="3099"/>
      <c r="G829" s="3143"/>
    </row>
    <row r="830" spans="1:7" hidden="1">
      <c r="A830" s="3094"/>
      <c r="B830" s="3170"/>
      <c r="C830" s="3099"/>
      <c r="D830" s="3107" t="s">
        <v>1802</v>
      </c>
      <c r="E830" s="3099"/>
      <c r="F830" s="3099"/>
      <c r="G830" s="3143"/>
    </row>
    <row r="831" spans="1:7" hidden="1">
      <c r="A831" s="3094"/>
      <c r="B831" s="3170"/>
      <c r="C831" s="3099"/>
      <c r="D831" s="3107" t="s">
        <v>1176</v>
      </c>
      <c r="E831" s="3099"/>
      <c r="F831" s="3099"/>
      <c r="G831" s="3143"/>
    </row>
    <row r="832" spans="1:7" hidden="1">
      <c r="A832" s="3094"/>
      <c r="B832" s="3170"/>
      <c r="C832" s="3099"/>
      <c r="D832" s="3107" t="s">
        <v>1803</v>
      </c>
      <c r="E832" s="3099"/>
      <c r="F832" s="3099"/>
      <c r="G832" s="3143"/>
    </row>
    <row r="833" spans="1:8" hidden="1">
      <c r="A833" s="3094"/>
      <c r="B833" s="3170"/>
      <c r="C833" s="3099"/>
      <c r="D833" s="3107" t="s">
        <v>1804</v>
      </c>
      <c r="E833" s="3099"/>
      <c r="F833" s="3099"/>
      <c r="G833" s="3143"/>
    </row>
    <row r="834" spans="1:8" hidden="1">
      <c r="A834" s="3094"/>
      <c r="B834" s="3170"/>
      <c r="C834" s="3099"/>
      <c r="D834" s="3107" t="s">
        <v>1805</v>
      </c>
      <c r="E834" s="3099"/>
      <c r="F834" s="3099"/>
      <c r="G834" s="3143"/>
    </row>
    <row r="835" spans="1:8" hidden="1">
      <c r="A835" s="3094"/>
      <c r="B835" s="3170"/>
      <c r="C835" s="3099"/>
      <c r="D835" s="3107" t="s">
        <v>1806</v>
      </c>
      <c r="E835" s="3099"/>
      <c r="F835" s="3099"/>
      <c r="G835" s="3143"/>
    </row>
    <row r="836" spans="1:8" hidden="1">
      <c r="A836" s="3094"/>
      <c r="B836" s="3170">
        <v>162.44999999999999</v>
      </c>
      <c r="C836" s="3099" t="s">
        <v>31</v>
      </c>
      <c r="D836" s="3107" t="s">
        <v>1807</v>
      </c>
      <c r="E836" s="3099">
        <f>+(lead!J9+lead!J10)/2</f>
        <v>1610.3641904678079</v>
      </c>
      <c r="F836" s="3099" t="s">
        <v>31</v>
      </c>
      <c r="G836" s="3101">
        <f t="shared" ref="G836:G838" si="12">ROUND(B836*E836,2)</f>
        <v>261603.66</v>
      </c>
    </row>
    <row r="837" spans="1:8" hidden="1">
      <c r="A837" s="3094"/>
      <c r="B837" s="3170">
        <v>116.85</v>
      </c>
      <c r="C837" s="3099" t="s">
        <v>31</v>
      </c>
      <c r="D837" s="3107" t="s">
        <v>1808</v>
      </c>
      <c r="E837" s="3099">
        <f>(lead!J11+lead!J12)/2</f>
        <v>1566.4891904678079</v>
      </c>
      <c r="F837" s="3099" t="s">
        <v>31</v>
      </c>
      <c r="G837" s="3101">
        <f t="shared" si="12"/>
        <v>183044.26</v>
      </c>
    </row>
    <row r="838" spans="1:8" hidden="1">
      <c r="A838" s="3094"/>
      <c r="B838" s="3170">
        <v>5.7</v>
      </c>
      <c r="C838" s="3099" t="s">
        <v>31</v>
      </c>
      <c r="D838" s="3107" t="s">
        <v>1809</v>
      </c>
      <c r="E838" s="3099">
        <f>lead!J12</f>
        <v>1568.1141904678079</v>
      </c>
      <c r="F838" s="3099" t="s">
        <v>31</v>
      </c>
      <c r="G838" s="3101">
        <f t="shared" si="12"/>
        <v>8938.25</v>
      </c>
    </row>
    <row r="839" spans="1:8" hidden="1">
      <c r="A839" s="3094"/>
      <c r="B839" s="3099"/>
      <c r="C839" s="3176"/>
      <c r="D839" s="3098" t="s">
        <v>60</v>
      </c>
      <c r="E839" s="3099"/>
      <c r="F839" s="3100"/>
      <c r="G839" s="3114">
        <f>SUM(G828:G838)</f>
        <v>1511415.69</v>
      </c>
    </row>
    <row r="840" spans="1:8" hidden="1">
      <c r="A840" s="3094"/>
      <c r="B840" s="3090" t="s">
        <v>45</v>
      </c>
      <c r="C840" s="3095" t="s">
        <v>1189</v>
      </c>
      <c r="D840" s="3098"/>
      <c r="E840" s="3099"/>
      <c r="F840" s="3100"/>
      <c r="G840" s="3101"/>
    </row>
    <row r="841" spans="1:8" hidden="1">
      <c r="A841" s="3094"/>
      <c r="B841" s="3134">
        <f>'Input Data'!$D$24</f>
        <v>0.13614999999999999</v>
      </c>
      <c r="C841" s="3173"/>
      <c r="D841" s="3174" t="str">
        <f>"Over head charges "&amp;'Input Data'!$D$24*100&amp;"%  on (A) + (B)+(C)"</f>
        <v>Over head charges 13.615%  on (A) + (B)+(C)</v>
      </c>
      <c r="E841" s="3099">
        <f>+G839+G825+G816</f>
        <v>1794958.14</v>
      </c>
      <c r="F841" s="3100"/>
      <c r="G841" s="3101">
        <f>E841*B841</f>
        <v>244383.55076099996</v>
      </c>
    </row>
    <row r="842" spans="1:8" hidden="1">
      <c r="A842" s="3094"/>
      <c r="B842" s="3090" t="s">
        <v>47</v>
      </c>
      <c r="C842" s="3095" t="s">
        <v>89</v>
      </c>
      <c r="D842" s="3098"/>
      <c r="E842" s="3099"/>
      <c r="F842" s="3100"/>
      <c r="G842" s="3114">
        <f>G816+G825+G839+G841</f>
        <v>2039341.6907609999</v>
      </c>
      <c r="H842" s="3162"/>
    </row>
    <row r="843" spans="1:8" hidden="1">
      <c r="A843" s="3094"/>
      <c r="B843" s="3099"/>
      <c r="C843" s="3172"/>
      <c r="D843" s="3098" t="s">
        <v>1768</v>
      </c>
      <c r="E843" s="3099"/>
      <c r="F843" s="3099"/>
      <c r="G843" s="3175">
        <f>SUM(G842:G842)</f>
        <v>2039341.6907609999</v>
      </c>
    </row>
    <row r="844" spans="1:8" hidden="1">
      <c r="A844" s="3094"/>
      <c r="B844" s="3099"/>
      <c r="C844" s="3172"/>
      <c r="D844" s="3098" t="s">
        <v>1192</v>
      </c>
      <c r="E844" s="3099"/>
      <c r="F844" s="3099"/>
      <c r="G844" s="3101">
        <f>ROUND(G843/195,2)</f>
        <v>10458.16</v>
      </c>
    </row>
    <row r="845" spans="1:8" hidden="1">
      <c r="A845" s="3094"/>
      <c r="B845" s="3099"/>
      <c r="C845" s="3176"/>
      <c r="D845" s="3098" t="s">
        <v>52</v>
      </c>
      <c r="E845" s="3099"/>
      <c r="F845" s="3099"/>
      <c r="G845" s="3143">
        <f>ROUND(G844,2)</f>
        <v>10458.16</v>
      </c>
    </row>
    <row r="846" spans="1:8" hidden="1">
      <c r="A846" s="3094"/>
      <c r="B846" s="3099"/>
      <c r="C846" s="3176"/>
      <c r="D846" s="3098"/>
      <c r="E846" s="3099"/>
      <c r="F846" s="3099"/>
      <c r="G846" s="3143" t="s">
        <v>53</v>
      </c>
    </row>
    <row r="847" spans="1:8" ht="119.1" hidden="1" customHeight="1">
      <c r="A847" s="3094">
        <v>23</v>
      </c>
      <c r="B847" s="4006" t="s">
        <v>1810</v>
      </c>
      <c r="C847" s="4006"/>
      <c r="D847" s="4006"/>
      <c r="E847" s="4006"/>
      <c r="F847" s="4006"/>
      <c r="G847" s="4006"/>
    </row>
    <row r="848" spans="1:8" hidden="1">
      <c r="A848" s="3094"/>
      <c r="B848" s="3100"/>
      <c r="C848" s="3103"/>
      <c r="D848" s="3112" t="s">
        <v>10</v>
      </c>
      <c r="E848" s="3112"/>
      <c r="F848" s="3103"/>
      <c r="G848" s="3103"/>
    </row>
    <row r="849" spans="1:7" hidden="1">
      <c r="A849" s="3094"/>
      <c r="B849" s="3100"/>
      <c r="C849" s="3103"/>
      <c r="D849" s="3095" t="s">
        <v>55</v>
      </c>
      <c r="E849" s="3112"/>
      <c r="F849" s="3103"/>
      <c r="G849" s="3103"/>
    </row>
    <row r="850" spans="1:7" hidden="1">
      <c r="A850" s="3094"/>
      <c r="B850" s="3100"/>
      <c r="C850" s="3103"/>
      <c r="D850" s="3112" t="s">
        <v>56</v>
      </c>
      <c r="E850" s="3112"/>
      <c r="F850" s="3103"/>
      <c r="G850" s="3103"/>
    </row>
    <row r="851" spans="1:7" hidden="1">
      <c r="A851" s="3094"/>
      <c r="B851" s="3090" t="s">
        <v>36</v>
      </c>
      <c r="C851" s="3215" t="s">
        <v>37</v>
      </c>
      <c r="D851" s="3103"/>
      <c r="E851" s="3112"/>
      <c r="F851" s="3103"/>
      <c r="G851" s="3104"/>
    </row>
    <row r="852" spans="1:7" hidden="1">
      <c r="A852" s="3094"/>
      <c r="B852" s="3099">
        <v>0.86</v>
      </c>
      <c r="C852" s="3098" t="s">
        <v>57</v>
      </c>
      <c r="D852" s="3112" t="s">
        <v>14</v>
      </c>
      <c r="E852" s="3099">
        <f>'SSR-rates'!$K$58</f>
        <v>575</v>
      </c>
      <c r="F852" s="3100" t="s">
        <v>38</v>
      </c>
      <c r="G852" s="3101">
        <f>ROUND(B852*E852,2)</f>
        <v>494.5</v>
      </c>
    </row>
    <row r="853" spans="1:7" hidden="1">
      <c r="A853" s="3094"/>
      <c r="B853" s="3099">
        <v>1.5</v>
      </c>
      <c r="C853" s="3098" t="s">
        <v>57</v>
      </c>
      <c r="D853" s="3112" t="s">
        <v>58</v>
      </c>
      <c r="E853" s="3099">
        <f>+'SSR-rates'!$K$96</f>
        <v>645</v>
      </c>
      <c r="F853" s="3100" t="s">
        <v>38</v>
      </c>
      <c r="G853" s="3101">
        <f>ROUND(B853*E853,2)</f>
        <v>967.5</v>
      </c>
    </row>
    <row r="854" spans="1:7" hidden="1">
      <c r="A854" s="3094"/>
      <c r="B854" s="3099">
        <v>20</v>
      </c>
      <c r="C854" s="3098" t="s">
        <v>57</v>
      </c>
      <c r="D854" s="3112" t="s">
        <v>59</v>
      </c>
      <c r="E854" s="3099">
        <f>'SSR-rates'!$K$60</f>
        <v>575</v>
      </c>
      <c r="F854" s="3100" t="s">
        <v>38</v>
      </c>
      <c r="G854" s="3101">
        <f>ROUND(B854*E854,2)</f>
        <v>11500</v>
      </c>
    </row>
    <row r="855" spans="1:7" hidden="1">
      <c r="A855" s="3094"/>
      <c r="B855" s="3102">
        <f>+'Input Data'!D23</f>
        <v>0</v>
      </c>
      <c r="C855" s="3097"/>
      <c r="D855" s="3103" t="s">
        <v>17</v>
      </c>
      <c r="E855" s="3099">
        <f>SUM(G852:G854)</f>
        <v>12962</v>
      </c>
      <c r="F855" s="3100"/>
      <c r="G855" s="3101">
        <f>B855*E855</f>
        <v>0</v>
      </c>
    </row>
    <row r="856" spans="1:7" hidden="1">
      <c r="A856" s="3094"/>
      <c r="B856" s="3099"/>
      <c r="C856" s="3103"/>
      <c r="D856" s="3112" t="s">
        <v>60</v>
      </c>
      <c r="E856" s="3099"/>
      <c r="F856" s="3099"/>
      <c r="G856" s="3101">
        <f>SUM(G852:G855)</f>
        <v>12962</v>
      </c>
    </row>
    <row r="857" spans="1:7" hidden="1">
      <c r="A857" s="3094"/>
      <c r="B857" s="3090" t="s">
        <v>39</v>
      </c>
      <c r="C857" s="3215" t="s">
        <v>61</v>
      </c>
      <c r="D857" s="3103"/>
      <c r="E857" s="3099"/>
      <c r="F857" s="3099"/>
      <c r="G857" s="3101"/>
    </row>
    <row r="858" spans="1:7" hidden="1">
      <c r="A858" s="3094"/>
      <c r="B858" s="3099">
        <v>5.4</v>
      </c>
      <c r="C858" s="3098" t="s">
        <v>31</v>
      </c>
      <c r="D858" s="3112" t="s">
        <v>62</v>
      </c>
      <c r="E858" s="3099">
        <f>lead!J14</f>
        <v>1590.8641904678079</v>
      </c>
      <c r="F858" s="3099" t="s">
        <v>31</v>
      </c>
      <c r="G858" s="3101">
        <f t="shared" ref="G858:G863" si="13">ROUND(B858*E858,2)</f>
        <v>8590.67</v>
      </c>
    </row>
    <row r="859" spans="1:7" hidden="1">
      <c r="A859" s="3094"/>
      <c r="B859" s="3099">
        <v>5.4</v>
      </c>
      <c r="C859" s="3098" t="s">
        <v>31</v>
      </c>
      <c r="D859" s="3103" t="s">
        <v>63</v>
      </c>
      <c r="E859" s="3099">
        <f>lead!J16</f>
        <v>1889.8641904678079</v>
      </c>
      <c r="F859" s="3099" t="s">
        <v>31</v>
      </c>
      <c r="G859" s="3101">
        <f t="shared" si="13"/>
        <v>10205.27</v>
      </c>
    </row>
    <row r="860" spans="1:7" hidden="1">
      <c r="A860" s="3094"/>
      <c r="B860" s="3099">
        <v>2.7</v>
      </c>
      <c r="C860" s="3098" t="s">
        <v>31</v>
      </c>
      <c r="D860" s="3103" t="s">
        <v>64</v>
      </c>
      <c r="E860" s="3099">
        <f>lead!J18</f>
        <v>1638.8641904678079</v>
      </c>
      <c r="F860" s="3099" t="s">
        <v>31</v>
      </c>
      <c r="G860" s="3101">
        <f t="shared" si="13"/>
        <v>4424.93</v>
      </c>
    </row>
    <row r="861" spans="1:7" ht="28.8" hidden="1">
      <c r="A861" s="3094"/>
      <c r="B861" s="3099">
        <f>6.75/2</f>
        <v>3.375</v>
      </c>
      <c r="C861" s="3098" t="s">
        <v>31</v>
      </c>
      <c r="D861" s="3183" t="s">
        <v>1716</v>
      </c>
      <c r="E861" s="3105">
        <f>lead!$J$31</f>
        <v>1760.9684020595876</v>
      </c>
      <c r="F861" s="3099" t="s">
        <v>31</v>
      </c>
      <c r="G861" s="3101">
        <f t="shared" si="13"/>
        <v>5943.27</v>
      </c>
    </row>
    <row r="862" spans="1:7" hidden="1">
      <c r="A862" s="3094"/>
      <c r="B862" s="3099">
        <f>6.75/2</f>
        <v>3.375</v>
      </c>
      <c r="C862" s="3098"/>
      <c r="D862" s="3183" t="s">
        <v>1717</v>
      </c>
      <c r="E862" s="3105">
        <f>lead!$J$33</f>
        <v>1760.9684020595876</v>
      </c>
      <c r="F862" s="3099"/>
      <c r="G862" s="3101">
        <f t="shared" si="13"/>
        <v>5943.27</v>
      </c>
    </row>
    <row r="863" spans="1:7" hidden="1">
      <c r="A863" s="3094"/>
      <c r="B863" s="3099">
        <v>5.16</v>
      </c>
      <c r="C863" s="3098" t="s">
        <v>66</v>
      </c>
      <c r="D863" s="3112" t="s">
        <v>67</v>
      </c>
      <c r="E863" s="3099">
        <f>lead!J36</f>
        <v>5000</v>
      </c>
      <c r="F863" s="3099" t="s">
        <v>66</v>
      </c>
      <c r="G863" s="3101">
        <f t="shared" si="13"/>
        <v>25800</v>
      </c>
    </row>
    <row r="864" spans="1:7" hidden="1">
      <c r="A864" s="3094"/>
      <c r="B864" s="3099"/>
      <c r="C864" s="3097"/>
      <c r="D864" s="3112" t="s">
        <v>60</v>
      </c>
      <c r="E864" s="3099"/>
      <c r="F864" s="3099"/>
      <c r="G864" s="3101">
        <f>SUM(G858:G863)</f>
        <v>60907.41</v>
      </c>
    </row>
    <row r="865" spans="1:7" hidden="1">
      <c r="A865" s="3094"/>
      <c r="B865" s="3090" t="s">
        <v>1811</v>
      </c>
      <c r="C865" s="3215" t="s">
        <v>40</v>
      </c>
      <c r="D865" s="3103"/>
      <c r="E865" s="3099"/>
      <c r="F865" s="3099"/>
      <c r="G865" s="3101"/>
    </row>
    <row r="866" spans="1:7" hidden="1">
      <c r="A866" s="3094"/>
      <c r="B866" s="3099">
        <v>6</v>
      </c>
      <c r="C866" s="3098" t="s">
        <v>41</v>
      </c>
      <c r="D866" s="3112" t="s">
        <v>68</v>
      </c>
      <c r="E866" s="3099">
        <f>'SSR-rates'!K88</f>
        <v>697.9</v>
      </c>
      <c r="F866" s="3099" t="s">
        <v>41</v>
      </c>
      <c r="G866" s="3101">
        <f>ROUND(B866*E866,2)</f>
        <v>4187.3999999999996</v>
      </c>
    </row>
    <row r="867" spans="1:7" hidden="1">
      <c r="A867" s="3094"/>
      <c r="B867" s="3099">
        <v>6</v>
      </c>
      <c r="C867" s="3098" t="s">
        <v>41</v>
      </c>
      <c r="D867" s="3112" t="s">
        <v>69</v>
      </c>
      <c r="E867" s="3099">
        <f>'SSR-rates'!K87</f>
        <v>1323.5</v>
      </c>
      <c r="F867" s="3099" t="s">
        <v>41</v>
      </c>
      <c r="G867" s="3101">
        <f>ROUND(B867*E867,2)</f>
        <v>7941</v>
      </c>
    </row>
    <row r="868" spans="1:7" hidden="1">
      <c r="A868" s="3094"/>
      <c r="B868" s="3099"/>
      <c r="C868" s="3097"/>
      <c r="D868" s="3112" t="s">
        <v>60</v>
      </c>
      <c r="E868" s="3099"/>
      <c r="F868" s="3099"/>
      <c r="G868" s="3101">
        <f>SUM(G866:G867)</f>
        <v>12128.4</v>
      </c>
    </row>
    <row r="869" spans="1:7" hidden="1">
      <c r="A869" s="3094"/>
      <c r="B869" s="3090" t="s">
        <v>45</v>
      </c>
      <c r="C869" s="3095" t="s">
        <v>95</v>
      </c>
      <c r="D869" s="3103"/>
      <c r="E869" s="3097"/>
      <c r="F869" s="3098"/>
      <c r="G869" s="3114"/>
    </row>
    <row r="870" spans="1:7" hidden="1">
      <c r="A870" s="3094"/>
      <c r="B870" s="3099">
        <v>4</v>
      </c>
      <c r="C870" s="3097" t="s">
        <v>29</v>
      </c>
      <c r="D870" s="3112" t="s">
        <v>1812</v>
      </c>
      <c r="E870" s="3097"/>
      <c r="F870" s="3098"/>
      <c r="G870" s="3101">
        <f>ROUND((G856+G864+G868)*B870/100,2)</f>
        <v>3439.91</v>
      </c>
    </row>
    <row r="871" spans="1:7" hidden="1">
      <c r="A871" s="3094"/>
      <c r="B871" s="3216"/>
      <c r="C871" s="3095" t="s">
        <v>1238</v>
      </c>
      <c r="D871" s="3103"/>
      <c r="E871" s="3097"/>
      <c r="F871" s="3098"/>
      <c r="G871" s="3114"/>
    </row>
    <row r="872" spans="1:7" hidden="1">
      <c r="A872" s="3094"/>
      <c r="B872" s="3134">
        <f>'Input Data'!$D$24</f>
        <v>0.13614999999999999</v>
      </c>
      <c r="C872" s="3097" t="s">
        <v>1813</v>
      </c>
      <c r="D872" s="3120"/>
      <c r="E872" s="3099">
        <f>G870+G868+G864+G856</f>
        <v>89437.72</v>
      </c>
      <c r="F872" s="3098"/>
      <c r="G872" s="3101">
        <f>E872*B872</f>
        <v>12176.945577999999</v>
      </c>
    </row>
    <row r="873" spans="1:7" hidden="1">
      <c r="A873" s="3094"/>
      <c r="B873" s="3090" t="s">
        <v>76</v>
      </c>
      <c r="C873" s="3095" t="s">
        <v>89</v>
      </c>
      <c r="D873" s="3103"/>
      <c r="E873" s="3097"/>
      <c r="F873" s="3098"/>
      <c r="G873" s="3114">
        <f>G856+G864+G868+G872+G870</f>
        <v>101614.665578</v>
      </c>
    </row>
    <row r="874" spans="1:7" hidden="1">
      <c r="A874" s="3094"/>
      <c r="B874" s="3099"/>
      <c r="C874" s="3098"/>
      <c r="D874" s="3215" t="s">
        <v>1814</v>
      </c>
      <c r="E874" s="3099"/>
      <c r="F874" s="3099"/>
      <c r="G874" s="3114">
        <f>SUM(G873:G873)</f>
        <v>101614.665578</v>
      </c>
    </row>
    <row r="875" spans="1:7" hidden="1">
      <c r="A875" s="3094"/>
      <c r="B875" s="3099"/>
      <c r="C875" s="3098"/>
      <c r="D875" s="3112" t="s">
        <v>81</v>
      </c>
      <c r="E875" s="3099"/>
      <c r="F875" s="3099"/>
      <c r="G875" s="3101">
        <f>ROUND(G874/15,2)</f>
        <v>6774.31</v>
      </c>
    </row>
    <row r="876" spans="1:7" hidden="1">
      <c r="A876" s="3094"/>
      <c r="B876" s="3100"/>
      <c r="C876" s="3103"/>
      <c r="D876" s="3112" t="s">
        <v>52</v>
      </c>
      <c r="E876" s="3099"/>
      <c r="F876" s="3099"/>
      <c r="G876" s="3143">
        <f>ROUND(G875,2)</f>
        <v>6774.31</v>
      </c>
    </row>
    <row r="877" spans="1:7" hidden="1">
      <c r="A877" s="3094"/>
      <c r="B877" s="3100"/>
      <c r="C877" s="3103"/>
      <c r="D877" s="3112"/>
      <c r="E877" s="3099"/>
      <c r="F877" s="3099"/>
      <c r="G877" s="3114" t="s">
        <v>53</v>
      </c>
    </row>
    <row r="878" spans="1:7" hidden="1">
      <c r="A878" s="3094"/>
      <c r="B878" s="3100"/>
      <c r="C878" s="3103"/>
      <c r="D878" s="3112"/>
      <c r="E878" s="3099"/>
      <c r="F878" s="3099"/>
      <c r="G878" s="3114"/>
    </row>
    <row r="879" spans="1:7" ht="105.9" hidden="1" customHeight="1">
      <c r="A879" s="3094">
        <v>24</v>
      </c>
      <c r="B879" s="4006" t="s">
        <v>1815</v>
      </c>
      <c r="C879" s="4006"/>
      <c r="D879" s="4006"/>
      <c r="E879" s="4006"/>
      <c r="F879" s="4006"/>
      <c r="G879" s="4006"/>
    </row>
    <row r="880" spans="1:7" hidden="1">
      <c r="A880" s="3094"/>
      <c r="B880" s="3100"/>
      <c r="C880" s="3103"/>
      <c r="D880" s="3112" t="s">
        <v>10</v>
      </c>
      <c r="E880" s="3112"/>
      <c r="F880" s="3103"/>
      <c r="G880" s="3103"/>
    </row>
    <row r="881" spans="1:7" hidden="1">
      <c r="A881" s="3094"/>
      <c r="B881" s="3100"/>
      <c r="C881" s="3103"/>
      <c r="D881" s="3095" t="s">
        <v>93</v>
      </c>
      <c r="E881" s="3112"/>
      <c r="F881" s="3103"/>
      <c r="G881" s="3103"/>
    </row>
    <row r="882" spans="1:7" hidden="1">
      <c r="A882" s="3094"/>
      <c r="B882" s="3100"/>
      <c r="C882" s="3103"/>
      <c r="D882" s="3112" t="s">
        <v>56</v>
      </c>
      <c r="E882" s="3112"/>
      <c r="F882" s="3103"/>
      <c r="G882" s="3103"/>
    </row>
    <row r="883" spans="1:7" hidden="1">
      <c r="A883" s="3094"/>
      <c r="B883" s="3090" t="s">
        <v>36</v>
      </c>
      <c r="C883" s="3215" t="s">
        <v>37</v>
      </c>
      <c r="D883" s="3103"/>
      <c r="E883" s="3112"/>
      <c r="F883" s="3103"/>
      <c r="G883" s="3103"/>
    </row>
    <row r="884" spans="1:7" hidden="1">
      <c r="A884" s="3094"/>
      <c r="B884" s="3099">
        <v>0.86</v>
      </c>
      <c r="C884" s="3098" t="s">
        <v>57</v>
      </c>
      <c r="D884" s="3112" t="s">
        <v>14</v>
      </c>
      <c r="E884" s="3099">
        <f>'SSR-rates'!$K$58</f>
        <v>575</v>
      </c>
      <c r="F884" s="3100" t="s">
        <v>38</v>
      </c>
      <c r="G884" s="3101">
        <f>ROUND(B884*E884,2)</f>
        <v>494.5</v>
      </c>
    </row>
    <row r="885" spans="1:7" hidden="1">
      <c r="A885" s="3094"/>
      <c r="B885" s="3099">
        <v>1.5</v>
      </c>
      <c r="C885" s="3098" t="s">
        <v>57</v>
      </c>
      <c r="D885" s="3112" t="s">
        <v>58</v>
      </c>
      <c r="E885" s="3099">
        <f>+'SSR-rates'!$K$96</f>
        <v>645</v>
      </c>
      <c r="F885" s="3100" t="s">
        <v>38</v>
      </c>
      <c r="G885" s="3112">
        <f>ROUND(B885*E885,2)</f>
        <v>967.5</v>
      </c>
    </row>
    <row r="886" spans="1:7" hidden="1">
      <c r="A886" s="3094"/>
      <c r="B886" s="3099">
        <v>20</v>
      </c>
      <c r="C886" s="3098" t="s">
        <v>57</v>
      </c>
      <c r="D886" s="3112" t="s">
        <v>59</v>
      </c>
      <c r="E886" s="3099">
        <f>'SSR-rates'!$K$60</f>
        <v>575</v>
      </c>
      <c r="F886" s="3100" t="s">
        <v>38</v>
      </c>
      <c r="G886" s="3112">
        <f>ROUND(B886*E886,2)</f>
        <v>11500</v>
      </c>
    </row>
    <row r="887" spans="1:7" hidden="1">
      <c r="A887" s="3094"/>
      <c r="B887" s="3102">
        <f>+'Input Data'!D23</f>
        <v>0</v>
      </c>
      <c r="C887" s="3097"/>
      <c r="D887" s="3103" t="s">
        <v>17</v>
      </c>
      <c r="E887" s="3099">
        <f>SUM(G884:G886)</f>
        <v>12962</v>
      </c>
      <c r="F887" s="3100"/>
      <c r="G887" s="3112">
        <f>B887*E887</f>
        <v>0</v>
      </c>
    </row>
    <row r="888" spans="1:7" hidden="1">
      <c r="A888" s="3094"/>
      <c r="B888" s="3099"/>
      <c r="C888" s="3103"/>
      <c r="D888" s="3112" t="s">
        <v>60</v>
      </c>
      <c r="E888" s="3099"/>
      <c r="F888" s="3099"/>
      <c r="G888" s="3112">
        <f>SUM(G884:G887)</f>
        <v>12962</v>
      </c>
    </row>
    <row r="889" spans="1:7" hidden="1">
      <c r="A889" s="3094"/>
      <c r="B889" s="3090" t="s">
        <v>39</v>
      </c>
      <c r="C889" s="3215" t="s">
        <v>61</v>
      </c>
      <c r="D889" s="3103"/>
      <c r="E889" s="3099"/>
      <c r="F889" s="3099"/>
      <c r="G889" s="3112"/>
    </row>
    <row r="890" spans="1:7" hidden="1">
      <c r="A890" s="3094"/>
      <c r="B890" s="3099">
        <v>8.1</v>
      </c>
      <c r="C890" s="3098" t="s">
        <v>31</v>
      </c>
      <c r="D890" s="3103" t="s">
        <v>63</v>
      </c>
      <c r="E890" s="3099">
        <f>E859</f>
        <v>1889.8641904678079</v>
      </c>
      <c r="F890" s="3099" t="s">
        <v>31</v>
      </c>
      <c r="G890" s="3112">
        <f>ROUND(B890*E890,2)</f>
        <v>15307.9</v>
      </c>
    </row>
    <row r="891" spans="1:7" hidden="1">
      <c r="A891" s="3094"/>
      <c r="B891" s="3099">
        <v>5.4</v>
      </c>
      <c r="C891" s="3098" t="s">
        <v>31</v>
      </c>
      <c r="D891" s="3103" t="s">
        <v>64</v>
      </c>
      <c r="E891" s="3099">
        <f>E860</f>
        <v>1638.8641904678079</v>
      </c>
      <c r="F891" s="3099" t="s">
        <v>31</v>
      </c>
      <c r="G891" s="3112">
        <f>ROUND(B891*E891,2)</f>
        <v>8849.8700000000008</v>
      </c>
    </row>
    <row r="892" spans="1:7" ht="28.8" hidden="1">
      <c r="A892" s="3094"/>
      <c r="B892" s="3099">
        <f t="shared" ref="B892:B893" si="14">6.75/2</f>
        <v>3.375</v>
      </c>
      <c r="C892" s="3098" t="s">
        <v>31</v>
      </c>
      <c r="D892" s="3183" t="s">
        <v>1716</v>
      </c>
      <c r="E892" s="3105">
        <f>lead!$J$31</f>
        <v>1760.9684020595876</v>
      </c>
      <c r="F892" s="3099" t="s">
        <v>31</v>
      </c>
      <c r="G892" s="3112">
        <f>ROUND(B892*E892,2)</f>
        <v>5943.27</v>
      </c>
    </row>
    <row r="893" spans="1:7" hidden="1">
      <c r="A893" s="3094"/>
      <c r="B893" s="3099">
        <f t="shared" si="14"/>
        <v>3.375</v>
      </c>
      <c r="C893" s="3098"/>
      <c r="D893" s="3183" t="s">
        <v>1717</v>
      </c>
      <c r="E893" s="3105">
        <f>lead!$J$33</f>
        <v>1760.9684020595876</v>
      </c>
      <c r="F893" s="3099"/>
      <c r="G893" s="3112">
        <f>ROUND(B893*E893,2)</f>
        <v>5943.27</v>
      </c>
    </row>
    <row r="894" spans="1:7" hidden="1">
      <c r="A894" s="3094"/>
      <c r="B894" s="3099">
        <v>5.21</v>
      </c>
      <c r="C894" s="3098" t="s">
        <v>66</v>
      </c>
      <c r="D894" s="3112" t="s">
        <v>67</v>
      </c>
      <c r="E894" s="3099">
        <f>E863</f>
        <v>5000</v>
      </c>
      <c r="F894" s="3099" t="s">
        <v>66</v>
      </c>
      <c r="G894" s="3112">
        <f>ROUND(B894*E894,2)</f>
        <v>26050</v>
      </c>
    </row>
    <row r="895" spans="1:7" hidden="1">
      <c r="A895" s="3094"/>
      <c r="B895" s="3099"/>
      <c r="C895" s="3097"/>
      <c r="D895" s="3112" t="s">
        <v>60</v>
      </c>
      <c r="E895" s="3099"/>
      <c r="F895" s="3099"/>
      <c r="G895" s="3112">
        <f>SUM(G890:G894)</f>
        <v>62094.31</v>
      </c>
    </row>
    <row r="896" spans="1:7" hidden="1">
      <c r="A896" s="3094"/>
      <c r="B896" s="3090" t="s">
        <v>94</v>
      </c>
      <c r="C896" s="3215" t="s">
        <v>40</v>
      </c>
      <c r="D896" s="3103"/>
      <c r="E896" s="3099"/>
      <c r="F896" s="3099"/>
      <c r="G896" s="3112"/>
    </row>
    <row r="897" spans="1:7" hidden="1">
      <c r="A897" s="3094"/>
      <c r="B897" s="3099">
        <v>6</v>
      </c>
      <c r="C897" s="3098" t="s">
        <v>41</v>
      </c>
      <c r="D897" s="3112" t="s">
        <v>68</v>
      </c>
      <c r="E897" s="3099">
        <v>472.6</v>
      </c>
      <c r="F897" s="3099" t="s">
        <v>41</v>
      </c>
      <c r="G897" s="3112">
        <f>ROUND(B897*E897,2)</f>
        <v>2835.6</v>
      </c>
    </row>
    <row r="898" spans="1:7" hidden="1">
      <c r="A898" s="3094"/>
      <c r="B898" s="3099">
        <v>6</v>
      </c>
      <c r="C898" s="3098" t="s">
        <v>41</v>
      </c>
      <c r="D898" s="3112" t="s">
        <v>69</v>
      </c>
      <c r="E898" s="3099">
        <v>842.2</v>
      </c>
      <c r="F898" s="3099" t="s">
        <v>41</v>
      </c>
      <c r="G898" s="3112">
        <f>ROUND(B898*E898,2)</f>
        <v>5053.2</v>
      </c>
    </row>
    <row r="899" spans="1:7" hidden="1">
      <c r="A899" s="3094"/>
      <c r="B899" s="3099"/>
      <c r="C899" s="3097"/>
      <c r="D899" s="3112" t="s">
        <v>60</v>
      </c>
      <c r="E899" s="3099"/>
      <c r="F899" s="3099"/>
      <c r="G899" s="3112">
        <f>SUM(G897:G898)</f>
        <v>7888.7999999999993</v>
      </c>
    </row>
    <row r="900" spans="1:7" hidden="1">
      <c r="A900" s="3094"/>
      <c r="B900" s="3090" t="s">
        <v>45</v>
      </c>
      <c r="C900" s="3095" t="s">
        <v>149</v>
      </c>
      <c r="D900" s="3103"/>
      <c r="E900" s="3097"/>
      <c r="F900" s="3098"/>
      <c r="G900" s="3215"/>
    </row>
    <row r="901" spans="1:7" hidden="1">
      <c r="A901" s="3094"/>
      <c r="B901" s="3099">
        <v>10</v>
      </c>
      <c r="C901" s="3097" t="s">
        <v>29</v>
      </c>
      <c r="D901" s="3112" t="s">
        <v>1816</v>
      </c>
      <c r="E901" s="3097"/>
      <c r="F901" s="3098"/>
      <c r="G901" s="3112">
        <f>ROUND((G888+G895+G899)*B901/100,2)</f>
        <v>8294.51</v>
      </c>
    </row>
    <row r="902" spans="1:7" hidden="1">
      <c r="A902" s="3094"/>
      <c r="B902" s="3090" t="s">
        <v>47</v>
      </c>
      <c r="C902" s="3095" t="s">
        <v>1238</v>
      </c>
      <c r="D902" s="3103"/>
      <c r="E902" s="3097"/>
      <c r="F902" s="3098"/>
      <c r="G902" s="3215"/>
    </row>
    <row r="903" spans="1:7" hidden="1">
      <c r="A903" s="3094"/>
      <c r="B903" s="3134">
        <f>'Input Data'!$D$24</f>
        <v>0.13614999999999999</v>
      </c>
      <c r="C903" s="4024" t="s">
        <v>1813</v>
      </c>
      <c r="D903" s="4024"/>
      <c r="E903" s="3099">
        <f>G901+G899+G895+G888</f>
        <v>91239.62</v>
      </c>
      <c r="F903" s="3098"/>
      <c r="G903" s="3112">
        <f>E903*B903</f>
        <v>12422.274262999999</v>
      </c>
    </row>
    <row r="904" spans="1:7" hidden="1">
      <c r="A904" s="3094"/>
      <c r="B904" s="3090" t="s">
        <v>76</v>
      </c>
      <c r="C904" s="3095" t="s">
        <v>89</v>
      </c>
      <c r="D904" s="3103"/>
      <c r="E904" s="3097"/>
      <c r="F904" s="3098"/>
      <c r="G904" s="3215">
        <f>G888+G895+G899+G903+G901</f>
        <v>103661.89426299999</v>
      </c>
    </row>
    <row r="905" spans="1:7" hidden="1">
      <c r="A905" s="3094"/>
      <c r="B905" s="3099"/>
      <c r="C905" s="3098"/>
      <c r="D905" s="3215" t="s">
        <v>1814</v>
      </c>
      <c r="E905" s="3099"/>
      <c r="F905" s="3099"/>
      <c r="G905" s="3215">
        <f>SUM(G904:G904)</f>
        <v>103661.89426299999</v>
      </c>
    </row>
    <row r="906" spans="1:7" hidden="1">
      <c r="A906" s="3094"/>
      <c r="B906" s="3099"/>
      <c r="C906" s="3098"/>
      <c r="D906" s="3112" t="s">
        <v>81</v>
      </c>
      <c r="E906" s="3099"/>
      <c r="F906" s="3099"/>
      <c r="G906" s="3112">
        <f>ROUND(G905/15,2)</f>
        <v>6910.79</v>
      </c>
    </row>
    <row r="907" spans="1:7" hidden="1">
      <c r="A907" s="3094"/>
      <c r="B907" s="3100"/>
      <c r="C907" s="3103"/>
      <c r="D907" s="3112" t="s">
        <v>52</v>
      </c>
      <c r="E907" s="3099"/>
      <c r="F907" s="3099"/>
      <c r="G907" s="3217">
        <f>ROUND(G906,2)</f>
        <v>6910.79</v>
      </c>
    </row>
    <row r="908" spans="1:7" hidden="1">
      <c r="A908" s="3094"/>
      <c r="B908" s="3100"/>
      <c r="C908" s="3103"/>
      <c r="D908" s="3112"/>
      <c r="E908" s="3099"/>
      <c r="F908" s="3099"/>
      <c r="G908" s="3114" t="s">
        <v>53</v>
      </c>
    </row>
    <row r="909" spans="1:7" hidden="1">
      <c r="A909" s="3094"/>
      <c r="B909" s="3100"/>
      <c r="C909" s="3103"/>
      <c r="D909" s="3112"/>
      <c r="E909" s="3099"/>
      <c r="F909" s="3099"/>
      <c r="G909" s="3114"/>
    </row>
    <row r="910" spans="1:7" ht="80.099999999999994" hidden="1" customHeight="1">
      <c r="A910" s="3094">
        <v>20</v>
      </c>
      <c r="B910" s="4006" t="s">
        <v>1817</v>
      </c>
      <c r="C910" s="4006"/>
      <c r="D910" s="4006"/>
      <c r="E910" s="4006"/>
      <c r="F910" s="4006"/>
      <c r="G910" s="4006"/>
    </row>
    <row r="911" spans="1:7" hidden="1">
      <c r="A911" s="3094"/>
      <c r="B911" s="4010" t="s">
        <v>33</v>
      </c>
      <c r="C911" s="4010"/>
      <c r="D911" s="3095" t="s">
        <v>1818</v>
      </c>
      <c r="E911" s="3091"/>
      <c r="F911" s="3092"/>
      <c r="G911" s="3092"/>
    </row>
    <row r="912" spans="1:7" hidden="1">
      <c r="A912" s="3094"/>
      <c r="B912" s="4010" t="s">
        <v>35</v>
      </c>
      <c r="C912" s="4010"/>
      <c r="D912" s="4010"/>
      <c r="E912" s="3091"/>
      <c r="F912" s="3092"/>
      <c r="G912" s="3092"/>
    </row>
    <row r="913" spans="1:7" hidden="1">
      <c r="A913" s="3094"/>
      <c r="B913" s="3090" t="s">
        <v>36</v>
      </c>
      <c r="C913" s="3095" t="s">
        <v>37</v>
      </c>
      <c r="D913" s="3090"/>
      <c r="E913" s="3091"/>
      <c r="F913" s="3092"/>
      <c r="G913" s="3092"/>
    </row>
    <row r="914" spans="1:7" hidden="1">
      <c r="A914" s="3094"/>
      <c r="B914" s="3099"/>
      <c r="C914" s="3097"/>
      <c r="D914" s="3098"/>
      <c r="E914" s="3099"/>
      <c r="F914" s="3100"/>
      <c r="G914" s="3101"/>
    </row>
    <row r="915" spans="1:7" hidden="1">
      <c r="A915" s="3094"/>
      <c r="B915" s="3099">
        <v>0.08</v>
      </c>
      <c r="C915" s="3097" t="s">
        <v>38</v>
      </c>
      <c r="D915" s="3098" t="s">
        <v>156</v>
      </c>
      <c r="E915" s="3099">
        <f>'SSR-rates'!$K$58</f>
        <v>575</v>
      </c>
      <c r="F915" s="3100" t="s">
        <v>38</v>
      </c>
      <c r="G915" s="3101">
        <f>ROUND(B915*E915,2)</f>
        <v>46</v>
      </c>
    </row>
    <row r="916" spans="1:7" hidden="1">
      <c r="A916" s="3094"/>
      <c r="B916" s="3099">
        <v>2</v>
      </c>
      <c r="C916" s="3097" t="s">
        <v>38</v>
      </c>
      <c r="D916" s="3098" t="s">
        <v>16</v>
      </c>
      <c r="E916" s="3099">
        <f>'SSR-rates'!$K$60</f>
        <v>575</v>
      </c>
      <c r="F916" s="3100" t="s">
        <v>38</v>
      </c>
      <c r="G916" s="3101">
        <f>ROUND(B916*E916,2)</f>
        <v>1150</v>
      </c>
    </row>
    <row r="917" spans="1:7" hidden="1">
      <c r="A917" s="3094"/>
      <c r="B917" s="3102">
        <f>'Input Data'!$D$23</f>
        <v>0</v>
      </c>
      <c r="C917" s="3097"/>
      <c r="D917" s="3103" t="s">
        <v>17</v>
      </c>
      <c r="E917" s="3099">
        <f>SUM(G914:G916)</f>
        <v>1196</v>
      </c>
      <c r="F917" s="3100"/>
      <c r="G917" s="3112">
        <f>B917*E917</f>
        <v>0</v>
      </c>
    </row>
    <row r="918" spans="1:7" hidden="1">
      <c r="A918" s="3094"/>
      <c r="B918" s="3099"/>
      <c r="C918" s="3097"/>
      <c r="D918" s="3098"/>
      <c r="E918" s="3099"/>
      <c r="F918" s="3100"/>
      <c r="G918" s="3114">
        <f>SUM(G915:G917)</f>
        <v>1196</v>
      </c>
    </row>
    <row r="919" spans="1:7" hidden="1">
      <c r="A919" s="3094"/>
      <c r="B919" s="3090" t="s">
        <v>39</v>
      </c>
      <c r="C919" s="3095" t="s">
        <v>40</v>
      </c>
      <c r="D919" s="3103"/>
      <c r="E919" s="3097"/>
      <c r="F919" s="3098"/>
      <c r="G919" s="3104"/>
    </row>
    <row r="920" spans="1:7" ht="28.8" hidden="1">
      <c r="A920" s="3094"/>
      <c r="B920" s="3105">
        <v>6</v>
      </c>
      <c r="C920" s="3106" t="s">
        <v>1819</v>
      </c>
      <c r="D920" s="3107" t="s">
        <v>1820</v>
      </c>
      <c r="E920" s="3105">
        <f>'SSR-rates'!K64</f>
        <v>3557.7</v>
      </c>
      <c r="F920" s="3105" t="s">
        <v>31</v>
      </c>
      <c r="G920" s="3108">
        <f>ROUND(B920*E920,2)</f>
        <v>21346.2</v>
      </c>
    </row>
    <row r="921" spans="1:7" hidden="1">
      <c r="A921" s="3094"/>
      <c r="B921" s="3105">
        <v>11</v>
      </c>
      <c r="C921" s="3106" t="s">
        <v>1819</v>
      </c>
      <c r="D921" s="3098" t="s">
        <v>1821</v>
      </c>
      <c r="E921" s="3099">
        <f>'SSR-rates'!K66</f>
        <v>1280.4000000000001</v>
      </c>
      <c r="F921" s="3099"/>
      <c r="G921" s="3108">
        <f>ROUND(B921*E921,2)</f>
        <v>14084.4</v>
      </c>
    </row>
    <row r="922" spans="1:7" hidden="1">
      <c r="A922" s="3094"/>
      <c r="B922" s="3105"/>
      <c r="C922" s="3106"/>
      <c r="D922" s="3098"/>
      <c r="E922" s="4018" t="s">
        <v>60</v>
      </c>
      <c r="F922" s="4018"/>
      <c r="G922" s="3218">
        <f>SUM(G920:G921)</f>
        <v>35430.6</v>
      </c>
    </row>
    <row r="923" spans="1:7" hidden="1">
      <c r="A923" s="3094"/>
      <c r="B923" s="3090" t="s">
        <v>27</v>
      </c>
      <c r="C923" s="3095" t="s">
        <v>44</v>
      </c>
      <c r="D923" s="3103"/>
      <c r="E923" s="3112"/>
      <c r="F923" s="3103"/>
      <c r="G923" s="3104"/>
    </row>
    <row r="924" spans="1:7" ht="28.8" hidden="1">
      <c r="A924" s="3094"/>
      <c r="B924" s="3134">
        <f>'Input Data'!$D$24</f>
        <v>0.13614999999999999</v>
      </c>
      <c r="C924" s="3097"/>
      <c r="D924" s="3106" t="s">
        <v>1813</v>
      </c>
      <c r="E924" s="3112">
        <f>G922+G918</f>
        <v>36626.6</v>
      </c>
      <c r="F924" s="3103"/>
      <c r="G924" s="3101">
        <f>E924*B924</f>
        <v>4986.7115899999999</v>
      </c>
    </row>
    <row r="925" spans="1:7" hidden="1">
      <c r="A925" s="3094"/>
      <c r="B925" s="3090" t="s">
        <v>45</v>
      </c>
      <c r="C925" s="3095" t="s">
        <v>46</v>
      </c>
      <c r="D925" s="3103"/>
      <c r="E925" s="3097"/>
      <c r="F925" s="3098"/>
      <c r="G925" s="3114">
        <f>G922+G924+G918</f>
        <v>41613.311589999998</v>
      </c>
    </row>
    <row r="926" spans="1:7" hidden="1">
      <c r="A926" s="3094"/>
      <c r="B926" s="3100"/>
      <c r="C926" s="3095" t="s">
        <v>1822</v>
      </c>
      <c r="D926" s="3098"/>
      <c r="E926" s="3097"/>
      <c r="F926" s="3098"/>
      <c r="G926" s="3114">
        <f>SUM(G925:G925)</f>
        <v>41613.311589999998</v>
      </c>
    </row>
    <row r="927" spans="1:7" hidden="1">
      <c r="A927" s="3094"/>
      <c r="B927" s="3100"/>
      <c r="C927" s="3098" t="s">
        <v>216</v>
      </c>
      <c r="D927" s="3098"/>
      <c r="E927" s="3097"/>
      <c r="F927" s="3098"/>
      <c r="G927" s="3101">
        <f>G926/240</f>
        <v>173.38879829166666</v>
      </c>
    </row>
    <row r="928" spans="1:7" hidden="1">
      <c r="A928" s="3094"/>
      <c r="B928" s="3099"/>
      <c r="C928" s="3112"/>
      <c r="D928" s="3142" t="s">
        <v>217</v>
      </c>
      <c r="E928" s="3101"/>
      <c r="F928" s="3112"/>
      <c r="G928" s="3143">
        <f>ROUND(G927,2)</f>
        <v>173.39</v>
      </c>
    </row>
    <row r="929" spans="1:7" hidden="1">
      <c r="A929" s="3094"/>
      <c r="B929" s="3099"/>
      <c r="C929" s="3112"/>
      <c r="D929" s="3144"/>
      <c r="E929" s="3101"/>
      <c r="F929" s="3112"/>
      <c r="G929" s="3115" t="s">
        <v>53</v>
      </c>
    </row>
    <row r="930" spans="1:7" ht="69.900000000000006" hidden="1" customHeight="1">
      <c r="A930" s="3094">
        <v>21</v>
      </c>
      <c r="B930" s="4006" t="s">
        <v>1823</v>
      </c>
      <c r="C930" s="4006"/>
      <c r="D930" s="4006"/>
      <c r="E930" s="4006"/>
      <c r="F930" s="4006"/>
      <c r="G930" s="4006"/>
    </row>
    <row r="931" spans="1:7" hidden="1">
      <c r="A931" s="3094"/>
      <c r="B931" s="3099" t="s">
        <v>1824</v>
      </c>
      <c r="C931" s="3098"/>
      <c r="D931" s="3095" t="s">
        <v>1532</v>
      </c>
      <c r="E931" s="3097"/>
      <c r="F931" s="3098"/>
      <c r="G931" s="3103"/>
    </row>
    <row r="932" spans="1:7" hidden="1">
      <c r="A932" s="3094"/>
      <c r="B932" s="3097" t="s">
        <v>1825</v>
      </c>
      <c r="C932" s="3098"/>
      <c r="D932" s="3098"/>
      <c r="E932" s="3097"/>
      <c r="F932" s="3098"/>
      <c r="G932" s="3103"/>
    </row>
    <row r="933" spans="1:7" hidden="1">
      <c r="A933" s="3094"/>
      <c r="B933" s="3090" t="s">
        <v>36</v>
      </c>
      <c r="C933" s="3095" t="s">
        <v>37</v>
      </c>
      <c r="D933" s="3090"/>
      <c r="E933" s="3091"/>
      <c r="F933" s="3092"/>
      <c r="G933" s="3219"/>
    </row>
    <row r="934" spans="1:7" hidden="1">
      <c r="A934" s="3094"/>
      <c r="B934" s="3099">
        <v>0.12</v>
      </c>
      <c r="C934" s="3097" t="s">
        <v>38</v>
      </c>
      <c r="D934" s="3098" t="s">
        <v>14</v>
      </c>
      <c r="E934" s="3099">
        <f>'SSR-rates'!$K$58</f>
        <v>575</v>
      </c>
      <c r="F934" s="3100" t="s">
        <v>38</v>
      </c>
      <c r="G934" s="3101">
        <f>ROUND(B934*E934,2)</f>
        <v>69</v>
      </c>
    </row>
    <row r="935" spans="1:7" hidden="1">
      <c r="A935" s="3094"/>
      <c r="B935" s="3099">
        <v>3</v>
      </c>
      <c r="C935" s="3097" t="s">
        <v>38</v>
      </c>
      <c r="D935" s="3098" t="s">
        <v>59</v>
      </c>
      <c r="E935" s="3099">
        <f>'SSR-rates'!$K$60</f>
        <v>575</v>
      </c>
      <c r="F935" s="3100" t="s">
        <v>38</v>
      </c>
      <c r="G935" s="3101">
        <f>ROUND(B935*E935,2)</f>
        <v>1725</v>
      </c>
    </row>
    <row r="936" spans="1:7" hidden="1">
      <c r="A936" s="3094"/>
      <c r="B936" s="3102">
        <f>'Input Data'!$D$23</f>
        <v>0</v>
      </c>
      <c r="C936" s="3097"/>
      <c r="D936" s="3103" t="s">
        <v>17</v>
      </c>
      <c r="E936" s="3099">
        <f>SUM(G933:G935)</f>
        <v>1794</v>
      </c>
      <c r="F936" s="3100"/>
      <c r="G936" s="3112">
        <f>B936*E936</f>
        <v>0</v>
      </c>
    </row>
    <row r="937" spans="1:7" hidden="1">
      <c r="A937" s="3094"/>
      <c r="B937" s="3100"/>
      <c r="C937" s="3098"/>
      <c r="D937" s="3098" t="s">
        <v>85</v>
      </c>
      <c r="E937" s="3097"/>
      <c r="F937" s="3098"/>
      <c r="G937" s="3114">
        <f>SUM(G934:G936)</f>
        <v>1794</v>
      </c>
    </row>
    <row r="938" spans="1:7" hidden="1">
      <c r="A938" s="3094"/>
      <c r="B938" s="3090" t="s">
        <v>39</v>
      </c>
      <c r="C938" s="3095" t="s">
        <v>40</v>
      </c>
      <c r="D938" s="3103"/>
      <c r="E938" s="3097"/>
      <c r="F938" s="3098"/>
      <c r="G938" s="3104"/>
    </row>
    <row r="939" spans="1:7" hidden="1">
      <c r="A939" s="3094"/>
      <c r="B939" s="3099">
        <v>6</v>
      </c>
      <c r="C939" s="3097" t="s">
        <v>41</v>
      </c>
      <c r="D939" s="3098" t="s">
        <v>1826</v>
      </c>
      <c r="E939" s="3099">
        <f>'SSR-rates'!$K$62</f>
        <v>3164.8</v>
      </c>
      <c r="F939" s="3099" t="s">
        <v>41</v>
      </c>
      <c r="G939" s="3101">
        <f>ROUND(B939*E939,2)</f>
        <v>18988.8</v>
      </c>
    </row>
    <row r="940" spans="1:7" hidden="1">
      <c r="A940" s="3094"/>
      <c r="B940" s="3100"/>
      <c r="C940" s="3098"/>
      <c r="D940" s="3098"/>
      <c r="E940" s="3097"/>
      <c r="F940" s="3098"/>
      <c r="G940" s="3114">
        <f>SUM(G939:G939)</f>
        <v>18988.8</v>
      </c>
    </row>
    <row r="941" spans="1:7" hidden="1">
      <c r="A941" s="3094"/>
      <c r="B941" s="3090" t="s">
        <v>27</v>
      </c>
      <c r="C941" s="3095" t="s">
        <v>1189</v>
      </c>
      <c r="D941" s="3098"/>
      <c r="E941" s="3097"/>
      <c r="F941" s="3098"/>
      <c r="G941" s="3114"/>
    </row>
    <row r="942" spans="1:7" ht="28.8" hidden="1">
      <c r="A942" s="3094"/>
      <c r="B942" s="3134">
        <f>'Input Data'!$D$24</f>
        <v>0.13614999999999999</v>
      </c>
      <c r="C942" s="3097"/>
      <c r="D942" s="3106" t="s">
        <v>1813</v>
      </c>
      <c r="E942" s="3097">
        <f>G940+G937</f>
        <v>20782.8</v>
      </c>
      <c r="F942" s="3098"/>
      <c r="G942" s="3101">
        <f>E942*B942</f>
        <v>2829.5782199999999</v>
      </c>
    </row>
    <row r="943" spans="1:7" hidden="1">
      <c r="A943" s="3094"/>
      <c r="B943" s="3100"/>
      <c r="C943" s="3098"/>
      <c r="D943" s="3098" t="s">
        <v>1827</v>
      </c>
      <c r="E943" s="3097"/>
      <c r="F943" s="3098"/>
      <c r="G943" s="3101">
        <f>G937+G940+G942</f>
        <v>23612.378219999999</v>
      </c>
    </row>
    <row r="944" spans="1:7" hidden="1">
      <c r="A944" s="3094"/>
      <c r="B944" s="3100"/>
      <c r="C944" s="3098"/>
      <c r="D944" s="3098" t="s">
        <v>1736</v>
      </c>
      <c r="E944" s="3097"/>
      <c r="F944" s="3098"/>
      <c r="G944" s="3101">
        <f>ROUND(G943/108,2)</f>
        <v>218.63</v>
      </c>
    </row>
    <row r="945" spans="1:7" hidden="1">
      <c r="A945" s="3094"/>
      <c r="B945" s="3099"/>
      <c r="C945" s="3097"/>
      <c r="D945" s="3112" t="s">
        <v>52</v>
      </c>
      <c r="E945" s="3101"/>
      <c r="F945" s="3112"/>
      <c r="G945" s="3143">
        <f>ROUND(G944,2)</f>
        <v>218.63</v>
      </c>
    </row>
    <row r="946" spans="1:7" hidden="1">
      <c r="A946" s="3094"/>
      <c r="B946" s="3100"/>
      <c r="C946" s="3098"/>
      <c r="D946" s="3098"/>
      <c r="E946" s="3097"/>
      <c r="F946" s="3098"/>
      <c r="G946" s="3115" t="s">
        <v>53</v>
      </c>
    </row>
    <row r="947" spans="1:7" hidden="1">
      <c r="A947" s="3094"/>
      <c r="B947" s="3100"/>
      <c r="C947" s="3103"/>
      <c r="D947" s="3103"/>
      <c r="E947" s="3112"/>
      <c r="F947" s="3103"/>
      <c r="G947" s="3148"/>
    </row>
    <row r="948" spans="1:7" hidden="1">
      <c r="A948" s="3094"/>
      <c r="B948" s="3100"/>
      <c r="C948" s="3103"/>
      <c r="D948" s="3103"/>
      <c r="E948" s="3112"/>
      <c r="F948" s="3103"/>
      <c r="G948" s="3148"/>
    </row>
    <row r="949" spans="1:7" ht="45" hidden="1" customHeight="1">
      <c r="A949" s="3094">
        <v>27</v>
      </c>
      <c r="B949" s="4006" t="s">
        <v>1828</v>
      </c>
      <c r="C949" s="4006"/>
      <c r="D949" s="4006"/>
      <c r="E949" s="4006"/>
      <c r="F949" s="4006"/>
      <c r="G949" s="4006"/>
    </row>
    <row r="950" spans="1:7" hidden="1">
      <c r="A950" s="3090"/>
      <c r="B950" s="3100" t="s">
        <v>1553</v>
      </c>
      <c r="C950" s="3103"/>
      <c r="D950" s="3095" t="s">
        <v>1829</v>
      </c>
      <c r="E950" s="3112"/>
      <c r="F950" s="3103"/>
      <c r="G950" s="3103"/>
    </row>
    <row r="951" spans="1:7" hidden="1">
      <c r="A951" s="3090"/>
      <c r="B951" s="3098"/>
      <c r="C951" s="3103"/>
      <c r="D951" s="3103"/>
      <c r="E951" s="3112"/>
      <c r="F951" s="3103"/>
      <c r="G951" s="3103"/>
    </row>
    <row r="952" spans="1:7" hidden="1">
      <c r="A952" s="3090"/>
      <c r="B952" s="3099"/>
      <c r="C952" s="3097"/>
      <c r="D952" s="3220" t="s">
        <v>1830</v>
      </c>
      <c r="E952" s="3161"/>
      <c r="F952" s="3099"/>
      <c r="G952" s="3101"/>
    </row>
    <row r="953" spans="1:7" hidden="1">
      <c r="A953" s="3090"/>
      <c r="B953" s="3099">
        <v>0.04</v>
      </c>
      <c r="C953" s="3101" t="s">
        <v>38</v>
      </c>
      <c r="D953" s="3103" t="s">
        <v>14</v>
      </c>
      <c r="E953" s="3099">
        <f>'SSR-rates'!$K$58</f>
        <v>575</v>
      </c>
      <c r="F953" s="3099" t="s">
        <v>38</v>
      </c>
      <c r="G953" s="3101">
        <f>ROUND(B953*E953,2)</f>
        <v>23</v>
      </c>
    </row>
    <row r="954" spans="1:7" hidden="1">
      <c r="A954" s="3090"/>
      <c r="B954" s="3099">
        <v>0.9</v>
      </c>
      <c r="C954" s="3101" t="s">
        <v>38</v>
      </c>
      <c r="D954" s="3103" t="s">
        <v>59</v>
      </c>
      <c r="E954" s="3099">
        <f>'SSR-rates'!$K$60</f>
        <v>575</v>
      </c>
      <c r="F954" s="3099" t="s">
        <v>38</v>
      </c>
      <c r="G954" s="3101">
        <f>ROUND(B954*E954,2)</f>
        <v>517.5</v>
      </c>
    </row>
    <row r="955" spans="1:7" hidden="1">
      <c r="A955" s="3090"/>
      <c r="B955" s="3102">
        <f>'Input Data'!$D$23</f>
        <v>0</v>
      </c>
      <c r="C955" s="3097"/>
      <c r="D955" s="3103" t="s">
        <v>17</v>
      </c>
      <c r="E955" s="3099">
        <f>SUM(G952:G954)</f>
        <v>540.5</v>
      </c>
      <c r="F955" s="3100"/>
      <c r="G955" s="3112">
        <f>B955*E955</f>
        <v>0</v>
      </c>
    </row>
    <row r="956" spans="1:7" hidden="1">
      <c r="A956" s="3090"/>
      <c r="B956" s="3099"/>
      <c r="C956" s="3099"/>
      <c r="D956" s="3103" t="s">
        <v>60</v>
      </c>
      <c r="E956" s="3099"/>
      <c r="F956" s="3099"/>
      <c r="G956" s="3101">
        <f>SUM(G953:G955)</f>
        <v>540.5</v>
      </c>
    </row>
    <row r="957" spans="1:7" hidden="1">
      <c r="A957" s="3090"/>
      <c r="B957" s="3164"/>
      <c r="C957" s="3141" t="s">
        <v>61</v>
      </c>
      <c r="D957" s="3103"/>
      <c r="E957" s="3099"/>
      <c r="F957" s="3099"/>
      <c r="G957" s="3101"/>
    </row>
    <row r="958" spans="1:7" hidden="1">
      <c r="A958" s="3090"/>
      <c r="B958" s="3099">
        <v>0.51</v>
      </c>
      <c r="C958" s="3097" t="s">
        <v>73</v>
      </c>
      <c r="D958" s="3221" t="s">
        <v>1831</v>
      </c>
      <c r="E958" s="3099">
        <f>+lead!J36</f>
        <v>5000</v>
      </c>
      <c r="F958" s="3099" t="s">
        <v>73</v>
      </c>
      <c r="G958" s="3101">
        <f>ROUND(B958*E958,2)</f>
        <v>2550</v>
      </c>
    </row>
    <row r="959" spans="1:7" ht="28.8" hidden="1">
      <c r="A959" s="3090"/>
      <c r="B959" s="3099">
        <f>1.05/2</f>
        <v>0.52500000000000002</v>
      </c>
      <c r="C959" s="3097" t="s">
        <v>73</v>
      </c>
      <c r="D959" s="3222" t="s">
        <v>1716</v>
      </c>
      <c r="E959" s="3099">
        <f>lead!$J$30</f>
        <v>1980.9684020595876</v>
      </c>
      <c r="F959" s="3178" t="s">
        <v>73</v>
      </c>
      <c r="G959" s="3101">
        <f t="shared" ref="G959:G960" si="15">ROUND(B959*E959,2)</f>
        <v>1040.01</v>
      </c>
    </row>
    <row r="960" spans="1:7" hidden="1">
      <c r="A960" s="3090"/>
      <c r="B960" s="3099">
        <f>1.05/2</f>
        <v>0.52500000000000002</v>
      </c>
      <c r="C960" s="3097" t="s">
        <v>73</v>
      </c>
      <c r="D960" s="3222" t="s">
        <v>1717</v>
      </c>
      <c r="E960" s="3099">
        <f>lead!$J$33</f>
        <v>1760.9684020595876</v>
      </c>
      <c r="F960" s="3178" t="s">
        <v>73</v>
      </c>
      <c r="G960" s="3101">
        <f t="shared" si="15"/>
        <v>924.51</v>
      </c>
    </row>
    <row r="961" spans="1:7" hidden="1">
      <c r="A961" s="3090"/>
      <c r="B961" s="3099"/>
      <c r="C961" s="3097"/>
      <c r="D961" s="3103" t="s">
        <v>60</v>
      </c>
      <c r="E961" s="3099"/>
      <c r="F961" s="3099"/>
      <c r="G961" s="3101">
        <f>SUM(G958:G960)</f>
        <v>4514.5200000000004</v>
      </c>
    </row>
    <row r="962" spans="1:7" hidden="1">
      <c r="A962" s="3090"/>
      <c r="B962" s="3099"/>
      <c r="C962" s="3097"/>
      <c r="D962" s="3103" t="s">
        <v>1830</v>
      </c>
      <c r="E962" s="3099"/>
      <c r="F962" s="3099"/>
      <c r="G962" s="3114">
        <f>+G961+G956</f>
        <v>5055.0200000000004</v>
      </c>
    </row>
    <row r="963" spans="1:7" hidden="1">
      <c r="A963" s="3090"/>
      <c r="B963" s="3099"/>
      <c r="C963" s="3097"/>
      <c r="D963" s="3103"/>
      <c r="E963" s="3099"/>
      <c r="F963" s="3099"/>
      <c r="G963" s="3114"/>
    </row>
    <row r="964" spans="1:7" hidden="1">
      <c r="A964" s="3090"/>
      <c r="B964" s="3098" t="s">
        <v>1832</v>
      </c>
      <c r="C964" s="3103"/>
      <c r="D964" s="3103"/>
      <c r="E964" s="3112"/>
      <c r="F964" s="3103"/>
      <c r="G964" s="3103"/>
    </row>
    <row r="965" spans="1:7" hidden="1">
      <c r="A965" s="3090"/>
      <c r="B965" s="3164" t="s">
        <v>36</v>
      </c>
      <c r="C965" s="3168" t="s">
        <v>37</v>
      </c>
      <c r="D965" s="3103"/>
      <c r="E965" s="3112"/>
      <c r="F965" s="3103"/>
      <c r="G965" s="3103"/>
    </row>
    <row r="966" spans="1:7" hidden="1">
      <c r="A966" s="3090"/>
      <c r="B966" s="3099">
        <v>0.1</v>
      </c>
      <c r="C966" s="3101" t="s">
        <v>38</v>
      </c>
      <c r="D966" s="3103" t="s">
        <v>14</v>
      </c>
      <c r="E966" s="3099">
        <f>'SSR-rates'!$K$58</f>
        <v>575</v>
      </c>
      <c r="F966" s="3099" t="s">
        <v>38</v>
      </c>
      <c r="G966" s="3101">
        <f>ROUND(B966*E966,2)</f>
        <v>57.5</v>
      </c>
    </row>
    <row r="967" spans="1:7" hidden="1">
      <c r="A967" s="3090"/>
      <c r="B967" s="3099">
        <v>1.2</v>
      </c>
      <c r="C967" s="3101" t="s">
        <v>38</v>
      </c>
      <c r="D967" s="3103" t="s">
        <v>59</v>
      </c>
      <c r="E967" s="3099">
        <f>'SSR-rates'!$K$60</f>
        <v>575</v>
      </c>
      <c r="F967" s="3099" t="s">
        <v>38</v>
      </c>
      <c r="G967" s="3101">
        <f>ROUND(B967*E967,2)</f>
        <v>690</v>
      </c>
    </row>
    <row r="968" spans="1:7" hidden="1">
      <c r="A968" s="3094"/>
      <c r="B968" s="3099">
        <v>1.2</v>
      </c>
      <c r="C968" s="3113" t="s">
        <v>38</v>
      </c>
      <c r="D968" s="3098" t="s">
        <v>15</v>
      </c>
      <c r="E968" s="3099">
        <f>'SSR-rates'!$K$59</f>
        <v>575</v>
      </c>
      <c r="F968" s="3099" t="s">
        <v>38</v>
      </c>
      <c r="G968" s="3101">
        <f>ROUND(B968*E968,2)</f>
        <v>690</v>
      </c>
    </row>
    <row r="969" spans="1:7" hidden="1">
      <c r="A969" s="3090"/>
      <c r="B969" s="3102">
        <f>'Input Data'!$D$23</f>
        <v>0</v>
      </c>
      <c r="C969" s="3097"/>
      <c r="D969" s="3103" t="s">
        <v>17</v>
      </c>
      <c r="E969" s="3099"/>
      <c r="F969" s="3100"/>
      <c r="G969" s="3101">
        <f>(G966+G967+G965)*B969</f>
        <v>0</v>
      </c>
    </row>
    <row r="970" spans="1:7" hidden="1">
      <c r="A970" s="3090"/>
      <c r="B970" s="3099"/>
      <c r="C970" s="3099"/>
      <c r="D970" s="3103" t="s">
        <v>60</v>
      </c>
      <c r="E970" s="3099"/>
      <c r="F970" s="3099"/>
      <c r="G970" s="3114">
        <f>SUM(G966:G969)</f>
        <v>1437.5</v>
      </c>
    </row>
    <row r="971" spans="1:7" hidden="1">
      <c r="A971" s="3090"/>
      <c r="B971" s="3164" t="s">
        <v>39</v>
      </c>
      <c r="C971" s="3141" t="s">
        <v>61</v>
      </c>
      <c r="D971" s="3103"/>
      <c r="E971" s="3099"/>
      <c r="F971" s="3099"/>
      <c r="G971" s="3101"/>
    </row>
    <row r="972" spans="1:7" hidden="1">
      <c r="A972" s="3090"/>
      <c r="B972" s="3099">
        <v>1</v>
      </c>
      <c r="C972" s="3097" t="s">
        <v>73</v>
      </c>
      <c r="D972" s="3221" t="s">
        <v>1833</v>
      </c>
      <c r="E972" s="3099">
        <f>lead!$J$28</f>
        <v>1057.8641904678079</v>
      </c>
      <c r="F972" s="3099" t="s">
        <v>73</v>
      </c>
      <c r="G972" s="3101">
        <f>ROUND(B972*E972,2)</f>
        <v>1057.8599999999999</v>
      </c>
    </row>
    <row r="973" spans="1:7" hidden="1">
      <c r="A973" s="3090"/>
      <c r="B973" s="3099">
        <v>7</v>
      </c>
      <c r="C973" s="3097" t="s">
        <v>554</v>
      </c>
      <c r="D973" s="3221" t="s">
        <v>1834</v>
      </c>
      <c r="E973" s="3099">
        <f>lead!$J$29</f>
        <v>2015.1975238011414</v>
      </c>
      <c r="F973" s="3099" t="s">
        <v>1169</v>
      </c>
      <c r="G973" s="3101">
        <f>ROUND(B973*E973,2)</f>
        <v>14106.38</v>
      </c>
    </row>
    <row r="974" spans="1:7" hidden="1">
      <c r="A974" s="3090"/>
      <c r="B974" s="3099">
        <v>0.33</v>
      </c>
      <c r="C974" s="3097" t="s">
        <v>73</v>
      </c>
      <c r="D974" s="3221" t="s">
        <v>1835</v>
      </c>
      <c r="E974" s="3099">
        <f>+G962</f>
        <v>5055.0200000000004</v>
      </c>
      <c r="F974" s="3099" t="s">
        <v>73</v>
      </c>
      <c r="G974" s="3101">
        <f>ROUND(B974*E974,2)</f>
        <v>1668.16</v>
      </c>
    </row>
    <row r="975" spans="1:7" hidden="1">
      <c r="A975" s="3090"/>
      <c r="B975" s="3099"/>
      <c r="C975" s="3097"/>
      <c r="D975" s="3221"/>
      <c r="E975" s="3161"/>
      <c r="F975" s="3099"/>
      <c r="G975" s="3114">
        <f>SUM(G972:G974)</f>
        <v>16832.400000000001</v>
      </c>
    </row>
    <row r="976" spans="1:7" hidden="1">
      <c r="A976" s="3090"/>
      <c r="B976" s="3090" t="s">
        <v>45</v>
      </c>
      <c r="C976" s="3095" t="s">
        <v>1189</v>
      </c>
      <c r="D976" s="3098"/>
      <c r="E976" s="3097"/>
      <c r="F976" s="3098"/>
      <c r="G976" s="3114"/>
    </row>
    <row r="977" spans="1:7" hidden="1">
      <c r="A977" s="3090"/>
      <c r="B977" s="3134">
        <f>'Input Data'!$D$24</f>
        <v>0.13614999999999999</v>
      </c>
      <c r="C977" s="3097"/>
      <c r="D977" s="3159" t="str">
        <f>"Over head charges &amp; CP "&amp;'Input Data'!$D$24*100&amp;"%  on (A) + (B)+(C)"</f>
        <v>Over head charges &amp; CP 13.615%  on (A) + (B)+(C)</v>
      </c>
      <c r="E977" s="3099">
        <f>+G975+G970</f>
        <v>18269.900000000001</v>
      </c>
      <c r="F977" s="3098"/>
      <c r="G977" s="3101">
        <f>E977*B977</f>
        <v>2487.4468850000003</v>
      </c>
    </row>
    <row r="978" spans="1:7" hidden="1">
      <c r="A978" s="3090"/>
      <c r="B978" s="3090" t="s">
        <v>47</v>
      </c>
      <c r="C978" s="3095" t="s">
        <v>89</v>
      </c>
      <c r="D978" s="3103"/>
      <c r="E978" s="3097"/>
      <c r="F978" s="3098"/>
      <c r="G978" s="3114">
        <f>+G977+G975+G970</f>
        <v>20757.346885000003</v>
      </c>
    </row>
    <row r="979" spans="1:7" hidden="1">
      <c r="A979" s="3090"/>
      <c r="B979" s="3099"/>
      <c r="C979" s="3097"/>
      <c r="D979" s="3141" t="s">
        <v>1836</v>
      </c>
      <c r="E979" s="3099"/>
      <c r="F979" s="3099"/>
      <c r="G979" s="3114">
        <f>SUM(G978:G978)</f>
        <v>20757.346885000003</v>
      </c>
    </row>
    <row r="980" spans="1:7" hidden="1">
      <c r="A980" s="3090"/>
      <c r="B980" s="3099"/>
      <c r="C980" s="3097"/>
      <c r="D980" s="3103" t="s">
        <v>1736</v>
      </c>
      <c r="E980" s="3099"/>
      <c r="F980" s="3099"/>
      <c r="G980" s="3101">
        <f>ROUND(G979/1,2)</f>
        <v>20757.349999999999</v>
      </c>
    </row>
    <row r="981" spans="1:7" hidden="1">
      <c r="A981" s="3090"/>
      <c r="B981" s="3100"/>
      <c r="C981" s="3103"/>
      <c r="D981" s="3103" t="s">
        <v>52</v>
      </c>
      <c r="E981" s="3099"/>
      <c r="F981" s="3099"/>
      <c r="G981" s="3143">
        <f>ROUND(G980,2)</f>
        <v>20757.349999999999</v>
      </c>
    </row>
    <row r="982" spans="1:7" hidden="1">
      <c r="A982" s="3090"/>
      <c r="B982" s="3100"/>
      <c r="C982" s="3103"/>
      <c r="D982" s="3103"/>
      <c r="E982" s="3112"/>
      <c r="F982" s="3103"/>
      <c r="G982" s="3115" t="s">
        <v>53</v>
      </c>
    </row>
    <row r="985" spans="1:7">
      <c r="D985" s="3223" t="str">
        <f>GA!B33</f>
        <v>Assistant Engineer,</v>
      </c>
      <c r="E985" s="4019" t="str">
        <f>GA!C33</f>
        <v>Dy. Exe. Engineer</v>
      </c>
      <c r="F985" s="4019"/>
      <c r="G985" s="4019"/>
    </row>
    <row r="986" spans="1:7">
      <c r="D986" s="3223" t="str">
        <f>GA!B34</f>
        <v>PRSD, Maddur</v>
      </c>
      <c r="E986" s="4019" t="str">
        <f>GA!C34</f>
        <v>PRSD, Maddur</v>
      </c>
      <c r="F986" s="4019"/>
      <c r="G986" s="4019"/>
    </row>
    <row r="989" spans="1:7">
      <c r="D989" s="3223" t="str">
        <f>GA!B36</f>
        <v>District Panchayat Raj Engineer,</v>
      </c>
      <c r="E989" s="4019" t="str">
        <f>GA!C36</f>
        <v>Superintending Engineer</v>
      </c>
      <c r="F989" s="4019"/>
      <c r="G989" s="4019"/>
    </row>
    <row r="990" spans="1:7">
      <c r="D990" s="3223" t="str">
        <f>GA!B37</f>
        <v>PIU, Narayanpet</v>
      </c>
      <c r="E990" s="4019" t="str">
        <f>GA!C37</f>
        <v>PR, Circle, Vikarabad</v>
      </c>
      <c r="F990" s="4019"/>
      <c r="G990" s="4019"/>
    </row>
  </sheetData>
  <mergeCells count="70">
    <mergeCell ref="E985:G985"/>
    <mergeCell ref="E986:G986"/>
    <mergeCell ref="E989:G989"/>
    <mergeCell ref="E990:G990"/>
    <mergeCell ref="D2:G3"/>
    <mergeCell ref="B808:G808"/>
    <mergeCell ref="B847:G847"/>
    <mergeCell ref="B879:G879"/>
    <mergeCell ref="C903:D903"/>
    <mergeCell ref="B910:G910"/>
    <mergeCell ref="B648:G648"/>
    <mergeCell ref="C675:D675"/>
    <mergeCell ref="B682:G682"/>
    <mergeCell ref="B723:G723"/>
    <mergeCell ref="B766:G766"/>
    <mergeCell ref="B508:G508"/>
    <mergeCell ref="B911:C911"/>
    <mergeCell ref="B912:D912"/>
    <mergeCell ref="E922:F922"/>
    <mergeCell ref="B930:G930"/>
    <mergeCell ref="B949:G949"/>
    <mergeCell ref="B511:G511"/>
    <mergeCell ref="B540:G540"/>
    <mergeCell ref="B567:G567"/>
    <mergeCell ref="B595:G595"/>
    <mergeCell ref="B400:G400"/>
    <mergeCell ref="B433:G433"/>
    <mergeCell ref="B457:G457"/>
    <mergeCell ref="B481:G481"/>
    <mergeCell ref="B507:G507"/>
    <mergeCell ref="B293:G293"/>
    <mergeCell ref="B294:G294"/>
    <mergeCell ref="B295:G295"/>
    <mergeCell ref="B327:G327"/>
    <mergeCell ref="B366:G366"/>
    <mergeCell ref="B228:G228"/>
    <mergeCell ref="B229:C229"/>
    <mergeCell ref="B230:D230"/>
    <mergeCell ref="B255:G255"/>
    <mergeCell ref="B272:G272"/>
    <mergeCell ref="B161:G161"/>
    <mergeCell ref="B162:C162"/>
    <mergeCell ref="B163:D163"/>
    <mergeCell ref="B194:G194"/>
    <mergeCell ref="B206:G206"/>
    <mergeCell ref="C134:D134"/>
    <mergeCell ref="B137:G137"/>
    <mergeCell ref="B138:C138"/>
    <mergeCell ref="B139:D139"/>
    <mergeCell ref="C159:D159"/>
    <mergeCell ref="B98:C98"/>
    <mergeCell ref="B99:D99"/>
    <mergeCell ref="B117:G117"/>
    <mergeCell ref="B118:C118"/>
    <mergeCell ref="B119:D119"/>
    <mergeCell ref="B49:D49"/>
    <mergeCell ref="B65:C65"/>
    <mergeCell ref="B81:C81"/>
    <mergeCell ref="B82:D82"/>
    <mergeCell ref="B97:G97"/>
    <mergeCell ref="B6:D6"/>
    <mergeCell ref="B7:D7"/>
    <mergeCell ref="B24:G24"/>
    <mergeCell ref="B46:G46"/>
    <mergeCell ref="B48:C48"/>
    <mergeCell ref="B1:G1"/>
    <mergeCell ref="A2:C2"/>
    <mergeCell ref="A3:C3"/>
    <mergeCell ref="B4:C4"/>
    <mergeCell ref="B5:G5"/>
  </mergeCells>
  <conditionalFormatting sqref="A24:A25">
    <cfRule type="cellIs" dxfId="22" priority="5" stopIfTrue="1" operator="equal">
      <formula>A1703</formula>
    </cfRule>
  </conditionalFormatting>
  <conditionalFormatting sqref="A24:A26 A31 A35:A36 A42 A45">
    <cfRule type="cellIs" dxfId="21" priority="21" stopIfTrue="1" operator="equal">
      <formula>#REF!</formula>
    </cfRule>
  </conditionalFormatting>
  <conditionalFormatting sqref="A25">
    <cfRule type="cellIs" dxfId="20" priority="2" stopIfTrue="1" operator="equal">
      <formula>A24</formula>
    </cfRule>
  </conditionalFormatting>
  <conditionalFormatting sqref="A26">
    <cfRule type="cellIs" dxfId="19" priority="10" stopIfTrue="1" operator="equal">
      <formula>A24</formula>
    </cfRule>
  </conditionalFormatting>
  <conditionalFormatting sqref="A32:A41 A27:A30 A43:A44">
    <cfRule type="cellIs" dxfId="18" priority="25" stopIfTrue="1" operator="equal">
      <formula>A26</formula>
    </cfRule>
  </conditionalFormatting>
  <conditionalFormatting sqref="A33:A34">
    <cfRule type="cellIs" dxfId="17" priority="4" stopIfTrue="1" operator="equal">
      <formula>A32</formula>
    </cfRule>
  </conditionalFormatting>
  <conditionalFormatting sqref="A37">
    <cfRule type="cellIs" dxfId="16" priority="6" stopIfTrue="1" operator="equal">
      <formula>A35</formula>
    </cfRule>
  </conditionalFormatting>
  <printOptions horizontalCentered="1"/>
  <pageMargins left="0.59055118110236204" right="0.196850393700787" top="0.59055118110236204" bottom="0.39370078740157499" header="0.27559055118110198" footer="0.35433070866141703"/>
  <pageSetup paperSize="9" orientation="portrait" r:id="rId1"/>
  <headerFooter scaleWithDoc="0" alignWithMargins="0">
    <oddHeader>&amp;CPage &amp;P of &amp;N</oddHead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68"/>
  <sheetViews>
    <sheetView view="pageBreakPreview" workbookViewId="0">
      <selection activeCell="H29" sqref="H29:P29"/>
    </sheetView>
  </sheetViews>
  <sheetFormatPr defaultColWidth="9.109375" defaultRowHeight="20.100000000000001" customHeight="1"/>
  <cols>
    <col min="1" max="1" width="11.33203125" style="2601" customWidth="1"/>
    <col min="2" max="2" width="47.109375" style="2601" customWidth="1"/>
    <col min="3" max="3" width="21.88671875" style="2601" customWidth="1"/>
    <col min="4" max="4" width="8.33203125" style="2601" customWidth="1"/>
    <col min="5" max="5" width="11.5546875" style="2601" customWidth="1"/>
    <col min="6" max="6" width="12" style="2601" customWidth="1"/>
    <col min="7" max="7" width="9.33203125" style="2601" customWidth="1"/>
    <col min="8" max="8" width="11.6640625" style="2601" customWidth="1"/>
    <col min="9" max="9" width="14.6640625" style="2601" customWidth="1"/>
    <col min="10" max="10" width="10.5546875" style="2601" customWidth="1"/>
    <col min="11" max="11" width="10" style="2601" customWidth="1"/>
    <col min="12" max="16384" width="9.109375" style="2601"/>
  </cols>
  <sheetData>
    <row r="1" spans="1:13" ht="17.399999999999999" customHeight="1">
      <c r="A1" s="4028" t="s">
        <v>1442</v>
      </c>
      <c r="B1" s="4028"/>
      <c r="C1" s="4028"/>
      <c r="D1" s="4028"/>
      <c r="E1" s="4028"/>
      <c r="F1" s="4028"/>
      <c r="G1" s="4028"/>
      <c r="H1" s="4028"/>
      <c r="I1" s="4028"/>
      <c r="J1" s="4028"/>
      <c r="K1" s="2600" t="s">
        <v>1443</v>
      </c>
    </row>
    <row r="2" spans="1:13" ht="15">
      <c r="A2" s="4029" t="s">
        <v>1444</v>
      </c>
      <c r="B2" s="4029"/>
      <c r="C2" s="4030" t="str">
        <f>'Input Data'!E1</f>
        <v>C/o HLB on R/F Amlikunta to Gundumal of Gundumal Mandal of Narayanept District.</v>
      </c>
      <c r="D2" s="4031"/>
      <c r="E2" s="4031"/>
      <c r="F2" s="4031"/>
      <c r="G2" s="4031"/>
      <c r="H2" s="4031"/>
      <c r="I2" s="4031"/>
      <c r="J2" s="4032"/>
    </row>
    <row r="3" spans="1:13" s="2603" customFormat="1" ht="51" customHeight="1">
      <c r="A3" s="2602" t="s">
        <v>459</v>
      </c>
      <c r="B3" s="2602" t="s">
        <v>1445</v>
      </c>
      <c r="C3" s="2602" t="s">
        <v>1446</v>
      </c>
      <c r="D3" s="2602" t="s">
        <v>1447</v>
      </c>
      <c r="E3" s="2602" t="s">
        <v>1448</v>
      </c>
      <c r="F3" s="2602" t="s">
        <v>1449</v>
      </c>
      <c r="G3" s="2602" t="s">
        <v>1450</v>
      </c>
      <c r="H3" s="2602" t="s">
        <v>1451</v>
      </c>
      <c r="I3" s="2602" t="s">
        <v>1452</v>
      </c>
      <c r="J3" s="2602" t="s">
        <v>1453</v>
      </c>
    </row>
    <row r="4" spans="1:13" s="2603" customFormat="1" ht="30">
      <c r="A4" s="2604">
        <v>1</v>
      </c>
      <c r="B4" s="2605" t="s">
        <v>1454</v>
      </c>
      <c r="C4" s="2606" t="str">
        <f>+'Input Data'!$D$11</f>
        <v>MBNR(Palkonda)</v>
      </c>
      <c r="D4" s="2607">
        <f>'Input Data'!$E$11</f>
        <v>48</v>
      </c>
      <c r="E4" s="2608">
        <f>VLOOKUP(D4,'SSR-rates'!$B$8:$D$239,3,0)</f>
        <v>681.86419046780804</v>
      </c>
      <c r="F4" s="2608">
        <f>'SSR-rates'!K5-'SSR-rates'!$D$5</f>
        <v>655</v>
      </c>
      <c r="G4" s="2608">
        <f>$G$5</f>
        <v>0</v>
      </c>
      <c r="H4" s="2608">
        <f>ROUND((0.25*F4),2)</f>
        <v>163.75</v>
      </c>
      <c r="I4" s="2608">
        <f>('SSR-rates'!D5)*-1</f>
        <v>0</v>
      </c>
      <c r="J4" s="2608">
        <f>SUM(E4:I4)</f>
        <v>1500.6141904678079</v>
      </c>
      <c r="L4" s="2609"/>
    </row>
    <row r="5" spans="1:13" s="2611" customFormat="1" ht="30">
      <c r="A5" s="2604">
        <v>2</v>
      </c>
      <c r="B5" s="2605" t="s">
        <v>1455</v>
      </c>
      <c r="C5" s="2610" t="str">
        <f>+C4</f>
        <v>MBNR(Palkonda)</v>
      </c>
      <c r="D5" s="2607">
        <f>'Input Data'!$E$11</f>
        <v>48</v>
      </c>
      <c r="E5" s="2608">
        <f>VLOOKUP(D5,'SSR-rates'!$B$8:$D$239,3,0)</f>
        <v>681.86419046780804</v>
      </c>
      <c r="F5" s="2608">
        <f>'SSR-rates'!K17-'SSR-rates'!$D$5</f>
        <v>909</v>
      </c>
      <c r="G5" s="2608">
        <v>0</v>
      </c>
      <c r="H5" s="2608">
        <v>0</v>
      </c>
      <c r="I5" s="2608">
        <f>$I$4</f>
        <v>0</v>
      </c>
      <c r="J5" s="2608">
        <f t="shared" ref="J5:J31" si="0">SUM(E5:I5)</f>
        <v>1590.8641904678079</v>
      </c>
      <c r="L5" s="2609"/>
      <c r="M5" s="2612"/>
    </row>
    <row r="6" spans="1:13" s="2611" customFormat="1" ht="30">
      <c r="A6" s="2604">
        <v>3</v>
      </c>
      <c r="B6" s="2605" t="s">
        <v>1456</v>
      </c>
      <c r="C6" s="2610" t="str">
        <f>+C5</f>
        <v>MBNR(Palkonda)</v>
      </c>
      <c r="D6" s="2607">
        <f>'Input Data'!$E$11</f>
        <v>48</v>
      </c>
      <c r="E6" s="2608">
        <f>VLOOKUP(D6,'SSR-rates'!$B$8:$D$239,3,0)</f>
        <v>681.86419046780804</v>
      </c>
      <c r="F6" s="2608">
        <f>'SSR-rates'!K18-'SSR-rates'!$D$5</f>
        <v>1098</v>
      </c>
      <c r="G6" s="2608">
        <v>0</v>
      </c>
      <c r="H6" s="2608">
        <v>0</v>
      </c>
      <c r="I6" s="2608">
        <f>$I$4</f>
        <v>0</v>
      </c>
      <c r="J6" s="2608">
        <f t="shared" si="0"/>
        <v>1779.8641904678079</v>
      </c>
      <c r="L6" s="2609"/>
    </row>
    <row r="7" spans="1:13" s="2611" customFormat="1" ht="30">
      <c r="A7" s="2604">
        <v>4</v>
      </c>
      <c r="B7" s="2605" t="s">
        <v>1457</v>
      </c>
      <c r="C7" s="2610" t="str">
        <f t="shared" ref="C7:C12" si="1">+C6</f>
        <v>MBNR(Palkonda)</v>
      </c>
      <c r="D7" s="2607">
        <f>'Input Data'!$E$11</f>
        <v>48</v>
      </c>
      <c r="E7" s="2608">
        <f>VLOOKUP(D7,'SSR-rates'!$B$8:$D$239,3,0)</f>
        <v>681.86419046780804</v>
      </c>
      <c r="F7" s="2608">
        <f>'SSR-rates'!K19-'SSR-rates'!$D$5</f>
        <v>1208</v>
      </c>
      <c r="G7" s="2608">
        <v>0</v>
      </c>
      <c r="H7" s="2608">
        <v>0</v>
      </c>
      <c r="I7" s="2608">
        <f t="shared" ref="I7:I24" si="2">$I$4</f>
        <v>0</v>
      </c>
      <c r="J7" s="2608">
        <f t="shared" si="0"/>
        <v>1889.8641904678079</v>
      </c>
      <c r="L7" s="2609"/>
    </row>
    <row r="8" spans="1:13" s="2611" customFormat="1" ht="30">
      <c r="A8" s="2604">
        <v>5</v>
      </c>
      <c r="B8" s="2605" t="s">
        <v>1458</v>
      </c>
      <c r="C8" s="2610" t="str">
        <f t="shared" si="1"/>
        <v>MBNR(Palkonda)</v>
      </c>
      <c r="D8" s="2607">
        <f>'Input Data'!$E$11</f>
        <v>48</v>
      </c>
      <c r="E8" s="2608">
        <f>VLOOKUP(D8,'SSR-rates'!$B$8:$D$239,3,0)</f>
        <v>681.86419046780804</v>
      </c>
      <c r="F8" s="2608">
        <f>'SSR-rates'!K20-'SSR-rates'!$D$5</f>
        <v>1057</v>
      </c>
      <c r="G8" s="2608">
        <v>0</v>
      </c>
      <c r="H8" s="2608">
        <v>0</v>
      </c>
      <c r="I8" s="2608">
        <f t="shared" si="2"/>
        <v>0</v>
      </c>
      <c r="J8" s="2608">
        <f t="shared" si="0"/>
        <v>1738.8641904678079</v>
      </c>
      <c r="L8" s="2609"/>
    </row>
    <row r="9" spans="1:13" s="2611" customFormat="1" ht="30">
      <c r="A9" s="2604">
        <v>6</v>
      </c>
      <c r="B9" s="2605" t="s">
        <v>1459</v>
      </c>
      <c r="C9" s="2610" t="str">
        <f t="shared" si="1"/>
        <v>MBNR(Palkonda)</v>
      </c>
      <c r="D9" s="2607">
        <f>'Input Data'!$E$11</f>
        <v>48</v>
      </c>
      <c r="E9" s="2608">
        <f>VLOOKUP(D9,'SSR-rates'!$B$8:$D$239,3,0)</f>
        <v>681.86419046780804</v>
      </c>
      <c r="F9" s="2608">
        <f>'SSR-rates'!K21-'SSR-rates'!$D$5</f>
        <v>957</v>
      </c>
      <c r="G9" s="2608">
        <v>0</v>
      </c>
      <c r="H9" s="2608">
        <v>0</v>
      </c>
      <c r="I9" s="2608">
        <f t="shared" si="2"/>
        <v>0</v>
      </c>
      <c r="J9" s="2608">
        <f t="shared" si="0"/>
        <v>1638.8641904678079</v>
      </c>
      <c r="L9" s="2609"/>
      <c r="M9" s="2612"/>
    </row>
    <row r="10" spans="1:13" s="2611" customFormat="1" ht="30">
      <c r="A10" s="2604">
        <v>7</v>
      </c>
      <c r="B10" s="2605" t="s">
        <v>1460</v>
      </c>
      <c r="C10" s="2610" t="str">
        <f t="shared" si="1"/>
        <v>MBNR(Palkonda)</v>
      </c>
      <c r="D10" s="2607">
        <f>'Input Data'!$E$11</f>
        <v>48</v>
      </c>
      <c r="E10" s="2608">
        <f>VLOOKUP(D10,'SSR-rates'!$B$8:$D$239,3,0)</f>
        <v>681.86419046780804</v>
      </c>
      <c r="F10" s="2608">
        <f>'SSR-rates'!K22-'SSR-rates'!$D$5</f>
        <v>900</v>
      </c>
      <c r="G10" s="2608">
        <f>$G$9</f>
        <v>0</v>
      </c>
      <c r="H10" s="2608">
        <v>0</v>
      </c>
      <c r="I10" s="2608">
        <f t="shared" si="2"/>
        <v>0</v>
      </c>
      <c r="J10" s="2608">
        <f t="shared" si="0"/>
        <v>1581.8641904678079</v>
      </c>
      <c r="L10" s="2609"/>
    </row>
    <row r="11" spans="1:13" s="2611" customFormat="1" ht="30">
      <c r="A11" s="2604">
        <v>8</v>
      </c>
      <c r="B11" s="2605" t="s">
        <v>1461</v>
      </c>
      <c r="C11" s="2610" t="str">
        <f t="shared" si="1"/>
        <v>MBNR(Palkonda)</v>
      </c>
      <c r="D11" s="2607">
        <f>'Input Data'!$E$11</f>
        <v>48</v>
      </c>
      <c r="E11" s="2608">
        <f>VLOOKUP(D11,'SSR-rates'!$B$8:$D$239,3,0)</f>
        <v>681.86419046780804</v>
      </c>
      <c r="F11" s="2608">
        <f>'SSR-rates'!K23-'SSR-rates'!D5</f>
        <v>883</v>
      </c>
      <c r="G11" s="2608">
        <f>$G$10</f>
        <v>0</v>
      </c>
      <c r="H11" s="2608">
        <v>0</v>
      </c>
      <c r="I11" s="2608">
        <f t="shared" si="2"/>
        <v>0</v>
      </c>
      <c r="J11" s="2608">
        <f t="shared" si="0"/>
        <v>1564.8641904678079</v>
      </c>
      <c r="L11" s="2609"/>
    </row>
    <row r="12" spans="1:13" s="2611" customFormat="1" ht="30">
      <c r="A12" s="2604">
        <v>9</v>
      </c>
      <c r="B12" s="2605" t="s">
        <v>1462</v>
      </c>
      <c r="C12" s="2610" t="str">
        <f t="shared" si="1"/>
        <v>MBNR(Palkonda)</v>
      </c>
      <c r="D12" s="2607">
        <f>'Input Data'!$E$11</f>
        <v>48</v>
      </c>
      <c r="E12" s="2608">
        <f>VLOOKUP(D12,'SSR-rates'!$B$8:$D$239,3,0)</f>
        <v>681.86419046780804</v>
      </c>
      <c r="F12" s="2608">
        <f>'SSR-rates'!K24-'SSR-rates'!D5</f>
        <v>709</v>
      </c>
      <c r="G12" s="2608">
        <v>0</v>
      </c>
      <c r="H12" s="2608">
        <f>ROUND((0.25*(F12)),2)</f>
        <v>177.25</v>
      </c>
      <c r="I12" s="2608">
        <f t="shared" si="2"/>
        <v>0</v>
      </c>
      <c r="J12" s="2608">
        <f>SUM(E12:I12)</f>
        <v>1568.1141904678079</v>
      </c>
      <c r="L12" s="2609"/>
    </row>
    <row r="13" spans="1:13" s="2611" customFormat="1" ht="17.25" customHeight="1">
      <c r="A13" s="2604"/>
      <c r="B13" s="2613" t="s">
        <v>1463</v>
      </c>
      <c r="C13" s="2604"/>
      <c r="D13" s="2607"/>
      <c r="E13" s="2608"/>
      <c r="F13" s="2614"/>
      <c r="G13" s="2614"/>
      <c r="H13" s="2614"/>
      <c r="I13" s="2614"/>
      <c r="J13" s="2608"/>
      <c r="L13" s="2609"/>
    </row>
    <row r="14" spans="1:13" s="2611" customFormat="1" ht="20.399999999999999" customHeight="1">
      <c r="A14" s="2604">
        <v>10</v>
      </c>
      <c r="B14" s="2615" t="s">
        <v>1464</v>
      </c>
      <c r="C14" s="2610" t="str">
        <f>+C4</f>
        <v>MBNR(Palkonda)</v>
      </c>
      <c r="D14" s="2607">
        <f>'Input Data'!$E$11</f>
        <v>48</v>
      </c>
      <c r="E14" s="2608">
        <f>VLOOKUP(D14,'SSR-rates'!$B$8:$D$239,3,0)</f>
        <v>681.86419046780804</v>
      </c>
      <c r="F14" s="2608">
        <f>'SSR-rates'!K26</f>
        <v>909</v>
      </c>
      <c r="G14" s="2608">
        <v>0</v>
      </c>
      <c r="H14" s="2608">
        <v>0</v>
      </c>
      <c r="I14" s="2608">
        <f t="shared" si="2"/>
        <v>0</v>
      </c>
      <c r="J14" s="2608">
        <f t="shared" si="0"/>
        <v>1590.8641904678079</v>
      </c>
      <c r="L14" s="2609"/>
    </row>
    <row r="15" spans="1:13" s="2611" customFormat="1" ht="20.399999999999999" customHeight="1">
      <c r="A15" s="2604">
        <v>11</v>
      </c>
      <c r="B15" s="2615" t="s">
        <v>1465</v>
      </c>
      <c r="C15" s="2610" t="str">
        <f>+C5</f>
        <v>MBNR(Palkonda)</v>
      </c>
      <c r="D15" s="2607">
        <f>'Input Data'!$E$11</f>
        <v>48</v>
      </c>
      <c r="E15" s="2608">
        <f>VLOOKUP(D15,'SSR-rates'!$B$8:$D$239,3,0)</f>
        <v>681.86419046780804</v>
      </c>
      <c r="F15" s="2608">
        <f>'SSR-rates'!K27</f>
        <v>1098</v>
      </c>
      <c r="G15" s="2608">
        <v>0</v>
      </c>
      <c r="H15" s="2608">
        <v>0</v>
      </c>
      <c r="I15" s="2608">
        <f t="shared" si="2"/>
        <v>0</v>
      </c>
      <c r="J15" s="2608">
        <f t="shared" si="0"/>
        <v>1779.8641904678079</v>
      </c>
      <c r="L15" s="2609"/>
    </row>
    <row r="16" spans="1:13" s="2611" customFormat="1" ht="20.399999999999999" customHeight="1">
      <c r="A16" s="2604">
        <v>12</v>
      </c>
      <c r="B16" s="2615" t="s">
        <v>1466</v>
      </c>
      <c r="C16" s="2610" t="str">
        <f t="shared" ref="C16:C29" si="3">+C14</f>
        <v>MBNR(Palkonda)</v>
      </c>
      <c r="D16" s="2607">
        <f>'Input Data'!$E$11</f>
        <v>48</v>
      </c>
      <c r="E16" s="2608">
        <f>VLOOKUP(D16,'SSR-rates'!$B$8:$D$239,3,0)</f>
        <v>681.86419046780804</v>
      </c>
      <c r="F16" s="2608">
        <f>'SSR-rates'!K28</f>
        <v>1208</v>
      </c>
      <c r="G16" s="2608">
        <v>0</v>
      </c>
      <c r="H16" s="2608">
        <v>0</v>
      </c>
      <c r="I16" s="2608">
        <f t="shared" si="2"/>
        <v>0</v>
      </c>
      <c r="J16" s="2608">
        <f t="shared" si="0"/>
        <v>1889.8641904678079</v>
      </c>
      <c r="L16" s="2609"/>
    </row>
    <row r="17" spans="1:12" s="2611" customFormat="1" ht="20.399999999999999" customHeight="1">
      <c r="A17" s="2604">
        <v>13</v>
      </c>
      <c r="B17" s="2615" t="s">
        <v>1467</v>
      </c>
      <c r="C17" s="2610" t="str">
        <f t="shared" si="3"/>
        <v>MBNR(Palkonda)</v>
      </c>
      <c r="D17" s="2607">
        <f>'Input Data'!$E$11</f>
        <v>48</v>
      </c>
      <c r="E17" s="2608">
        <f>VLOOKUP(D17,'SSR-rates'!$B$8:$D$239,3,0)</f>
        <v>681.86419046780804</v>
      </c>
      <c r="F17" s="2608">
        <f>'SSR-rates'!K29</f>
        <v>1057</v>
      </c>
      <c r="G17" s="2608">
        <v>0</v>
      </c>
      <c r="H17" s="2608">
        <v>0</v>
      </c>
      <c r="I17" s="2608">
        <f t="shared" si="2"/>
        <v>0</v>
      </c>
      <c r="J17" s="2608">
        <f t="shared" si="0"/>
        <v>1738.8641904678079</v>
      </c>
      <c r="L17" s="2609"/>
    </row>
    <row r="18" spans="1:12" s="2611" customFormat="1" ht="20.399999999999999" customHeight="1">
      <c r="A18" s="2604">
        <v>14</v>
      </c>
      <c r="B18" s="2615" t="s">
        <v>1468</v>
      </c>
      <c r="C18" s="2610" t="str">
        <f t="shared" si="3"/>
        <v>MBNR(Palkonda)</v>
      </c>
      <c r="D18" s="2607">
        <f>'Input Data'!$E$11</f>
        <v>48</v>
      </c>
      <c r="E18" s="2608">
        <f>VLOOKUP(D18,'SSR-rates'!$B$8:$D$239,3,0)</f>
        <v>681.86419046780804</v>
      </c>
      <c r="F18" s="2608">
        <f>'SSR-rates'!K30</f>
        <v>957</v>
      </c>
      <c r="G18" s="2608">
        <v>0</v>
      </c>
      <c r="H18" s="2608">
        <v>0</v>
      </c>
      <c r="I18" s="2608">
        <f t="shared" si="2"/>
        <v>0</v>
      </c>
      <c r="J18" s="2608">
        <f t="shared" si="0"/>
        <v>1638.8641904678079</v>
      </c>
      <c r="L18" s="2609"/>
    </row>
    <row r="19" spans="1:12" s="2611" customFormat="1" ht="20.399999999999999" customHeight="1">
      <c r="A19" s="2604">
        <v>15</v>
      </c>
      <c r="B19" s="2615" t="s">
        <v>1469</v>
      </c>
      <c r="C19" s="2610" t="str">
        <f t="shared" si="3"/>
        <v>MBNR(Palkonda)</v>
      </c>
      <c r="D19" s="2607">
        <f>'Input Data'!$E$11</f>
        <v>48</v>
      </c>
      <c r="E19" s="2608">
        <f>VLOOKUP(D19,'SSR-rates'!$B$8:$D$239,3,0)</f>
        <v>681.86419046780804</v>
      </c>
      <c r="F19" s="2608">
        <f>'SSR-rates'!K31</f>
        <v>910</v>
      </c>
      <c r="G19" s="2608">
        <v>0</v>
      </c>
      <c r="H19" s="2608">
        <v>0</v>
      </c>
      <c r="I19" s="2608">
        <f t="shared" si="2"/>
        <v>0</v>
      </c>
      <c r="J19" s="2608">
        <f t="shared" si="0"/>
        <v>1591.8641904678079</v>
      </c>
      <c r="L19" s="2609"/>
    </row>
    <row r="20" spans="1:12" s="2611" customFormat="1" ht="30">
      <c r="A20" s="2604">
        <v>16</v>
      </c>
      <c r="B20" s="2605" t="s">
        <v>1470</v>
      </c>
      <c r="C20" s="2616" t="str">
        <f>'Input Data'!D21</f>
        <v>MBNR(Palkonda)</v>
      </c>
      <c r="D20" s="2607">
        <f>'Input Data'!E21</f>
        <v>48</v>
      </c>
      <c r="E20" s="2608">
        <f>VLOOKUP(D20,'SSR-rates'!$B$8:$D$239,3,0)</f>
        <v>681.86419046780804</v>
      </c>
      <c r="F20" s="2608">
        <f>'SSR-rates'!K6</f>
        <v>909</v>
      </c>
      <c r="G20" s="2608">
        <v>0</v>
      </c>
      <c r="H20" s="2608">
        <v>0</v>
      </c>
      <c r="I20" s="2608">
        <f t="shared" si="2"/>
        <v>0</v>
      </c>
      <c r="J20" s="2608">
        <f t="shared" si="0"/>
        <v>1590.8641904678079</v>
      </c>
      <c r="L20" s="2609"/>
    </row>
    <row r="21" spans="1:12" s="2611" customFormat="1" ht="32.25" customHeight="1">
      <c r="A21" s="2604">
        <v>17</v>
      </c>
      <c r="B21" s="2605" t="s">
        <v>1471</v>
      </c>
      <c r="C21" s="2610" t="str">
        <f t="shared" si="3"/>
        <v>MBNR(Palkonda)</v>
      </c>
      <c r="D21" s="2607">
        <f>D20</f>
        <v>48</v>
      </c>
      <c r="E21" s="2608">
        <f>VLOOKUP(D21,'SSR-rates'!$B$8:$D$239,3,0)</f>
        <v>681.86419046780804</v>
      </c>
      <c r="F21" s="2608">
        <f>'SSR-rates'!K5</f>
        <v>655</v>
      </c>
      <c r="G21" s="2608">
        <v>0</v>
      </c>
      <c r="H21" s="2608">
        <f>ROUND((0.25*F21),2)</f>
        <v>163.75</v>
      </c>
      <c r="I21" s="2608">
        <f t="shared" si="2"/>
        <v>0</v>
      </c>
      <c r="J21" s="2608">
        <f t="shared" si="0"/>
        <v>1500.6141904678079</v>
      </c>
      <c r="L21" s="2609"/>
    </row>
    <row r="22" spans="1:12" s="2611" customFormat="1" ht="32.25" customHeight="1">
      <c r="A22" s="2604">
        <v>18</v>
      </c>
      <c r="B22" s="2605" t="s">
        <v>1472</v>
      </c>
      <c r="C22" s="2610" t="str">
        <f>C21</f>
        <v>MBNR(Palkonda)</v>
      </c>
      <c r="D22" s="2607">
        <f>D21</f>
        <v>48</v>
      </c>
      <c r="E22" s="2608">
        <f>VLOOKUP(D22,'SSR-rates'!$B$8:$D$239,3,0)</f>
        <v>681.86419046780804</v>
      </c>
      <c r="F22" s="2608">
        <f>'SSR-rates'!K4</f>
        <v>544</v>
      </c>
      <c r="G22" s="2608">
        <v>0</v>
      </c>
      <c r="H22" s="2608">
        <f>ROUND((0.25*F22),2)</f>
        <v>136</v>
      </c>
      <c r="I22" s="2608">
        <f t="shared" si="2"/>
        <v>0</v>
      </c>
      <c r="J22" s="2608">
        <f t="shared" si="0"/>
        <v>1361.8641904678079</v>
      </c>
      <c r="L22" s="2609"/>
    </row>
    <row r="23" spans="1:12" s="2611" customFormat="1" ht="17.25" customHeight="1">
      <c r="A23" s="2604">
        <v>19</v>
      </c>
      <c r="B23" s="2605" t="s">
        <v>1473</v>
      </c>
      <c r="C23" s="2610" t="str">
        <f>C22</f>
        <v>MBNR(Palkonda)</v>
      </c>
      <c r="D23" s="2607">
        <f>D22</f>
        <v>48</v>
      </c>
      <c r="E23" s="2608">
        <f>VLOOKUP(D23,'SSR-rates'!$B$8:$D$239,3,0)</f>
        <v>681.86419046780804</v>
      </c>
      <c r="F23" s="2608">
        <f>'SSR-rates'!K10</f>
        <v>173</v>
      </c>
      <c r="G23" s="2608">
        <f>'SSR-rates'!K$46</f>
        <v>100</v>
      </c>
      <c r="H23" s="2608">
        <v>0</v>
      </c>
      <c r="I23" s="2608">
        <f t="shared" si="2"/>
        <v>0</v>
      </c>
      <c r="J23" s="2608">
        <f t="shared" si="0"/>
        <v>954.86419046780804</v>
      </c>
      <c r="L23" s="2609"/>
    </row>
    <row r="24" spans="1:12" s="2619" customFormat="1" ht="18.600000000000001" customHeight="1">
      <c r="A24" s="2604">
        <v>20</v>
      </c>
      <c r="B24" s="2605" t="s">
        <v>1474</v>
      </c>
      <c r="C24" s="2610" t="str">
        <f t="shared" si="3"/>
        <v>MBNR(Palkonda)</v>
      </c>
      <c r="D24" s="2617">
        <f>D23</f>
        <v>48</v>
      </c>
      <c r="E24" s="2608">
        <f>VLOOKUP(D24,'SSR-rates'!$B$8:$D$239,3,0)</f>
        <v>681.86419046780804</v>
      </c>
      <c r="F24" s="2618">
        <f>'SSR-rates'!K11</f>
        <v>143</v>
      </c>
      <c r="G24" s="2618">
        <f>'SSR-rates'!K$46</f>
        <v>100</v>
      </c>
      <c r="H24" s="2618">
        <v>0</v>
      </c>
      <c r="I24" s="2608">
        <f t="shared" si="2"/>
        <v>0</v>
      </c>
      <c r="J24" s="2618">
        <f t="shared" si="0"/>
        <v>924.86419046780804</v>
      </c>
      <c r="L24" s="2609"/>
    </row>
    <row r="25" spans="1:12" s="2619" customFormat="1" ht="17.25" customHeight="1">
      <c r="A25" s="2604">
        <v>21</v>
      </c>
      <c r="B25" s="2620" t="s">
        <v>1475</v>
      </c>
      <c r="C25" s="2610" t="str">
        <f t="shared" si="3"/>
        <v>MBNR(Palkonda)</v>
      </c>
      <c r="D25" s="2617">
        <f t="shared" ref="D25:D26" si="4">D24</f>
        <v>48</v>
      </c>
      <c r="E25" s="2608">
        <f>VLOOKUP(D25,'SSR-rates'!$B$8:$D$239,3,0)</f>
        <v>681.86419046780804</v>
      </c>
      <c r="F25" s="2618">
        <f>'SSR-rates'!K15</f>
        <v>44</v>
      </c>
      <c r="G25" s="2618">
        <v>0</v>
      </c>
      <c r="H25" s="2618">
        <v>0</v>
      </c>
      <c r="I25" s="2618">
        <v>0</v>
      </c>
      <c r="J25" s="2618">
        <f t="shared" si="0"/>
        <v>725.86419046780804</v>
      </c>
      <c r="L25" s="2609"/>
    </row>
    <row r="26" spans="1:12" s="2611" customFormat="1" ht="17.25" customHeight="1">
      <c r="A26" s="2604">
        <v>22</v>
      </c>
      <c r="B26" s="2605" t="s">
        <v>1476</v>
      </c>
      <c r="C26" s="2610" t="str">
        <f t="shared" si="3"/>
        <v>MBNR(Palkonda)</v>
      </c>
      <c r="D26" s="2617">
        <f t="shared" si="4"/>
        <v>48</v>
      </c>
      <c r="E26" s="2608">
        <f>VLOOKUP(D26,'SSR-rates'!$B$8:$D$239,3,0)</f>
        <v>681.86419046780804</v>
      </c>
      <c r="F26" s="2608">
        <f>'SSR-rates'!K16</f>
        <v>100</v>
      </c>
      <c r="G26" s="2608">
        <f>'SSR-rates'!K$46</f>
        <v>100</v>
      </c>
      <c r="H26" s="2608">
        <v>0</v>
      </c>
      <c r="I26" s="2608">
        <v>0</v>
      </c>
      <c r="J26" s="2608">
        <f t="shared" si="0"/>
        <v>881.86419046780804</v>
      </c>
      <c r="L26" s="2609"/>
    </row>
    <row r="27" spans="1:12" s="2611" customFormat="1" ht="30">
      <c r="A27" s="2604">
        <v>23</v>
      </c>
      <c r="B27" s="2605" t="s">
        <v>1477</v>
      </c>
      <c r="C27" s="2610" t="str">
        <f t="shared" si="3"/>
        <v>MBNR(Palkonda)</v>
      </c>
      <c r="D27" s="2607">
        <f>'Input Data'!$E$11</f>
        <v>48</v>
      </c>
      <c r="E27" s="2608">
        <f>VLOOKUP(D27,'SSR-rates'!$B$8:$D$239,3,0)</f>
        <v>681.86419046780804</v>
      </c>
      <c r="F27" s="2608">
        <f>'SSR-rates'!K95</f>
        <v>709</v>
      </c>
      <c r="G27" s="2608">
        <v>0</v>
      </c>
      <c r="H27" s="2608">
        <v>0</v>
      </c>
      <c r="I27" s="2608">
        <v>0</v>
      </c>
      <c r="J27" s="2608">
        <f t="shared" si="0"/>
        <v>1390.8641904678079</v>
      </c>
      <c r="L27" s="2609"/>
    </row>
    <row r="28" spans="1:12" s="2611" customFormat="1" ht="15">
      <c r="A28" s="2604">
        <v>24</v>
      </c>
      <c r="B28" s="2605" t="s">
        <v>2631</v>
      </c>
      <c r="C28" s="2610" t="str">
        <f t="shared" si="3"/>
        <v>MBNR(Palkonda)</v>
      </c>
      <c r="D28" s="2607">
        <f>'Input Data'!$E$11</f>
        <v>48</v>
      </c>
      <c r="E28" s="2608">
        <f>VLOOKUP(D28,'SSR-rates'!$B$8:$D$239,3,0)</f>
        <v>681.86419046780804</v>
      </c>
      <c r="F28" s="2618">
        <v>276</v>
      </c>
      <c r="G28" s="2608">
        <f>G26</f>
        <v>100</v>
      </c>
      <c r="H28" s="2608">
        <v>0</v>
      </c>
      <c r="I28" s="2608">
        <v>0</v>
      </c>
      <c r="J28" s="2608">
        <f t="shared" si="0"/>
        <v>1057.8641904678079</v>
      </c>
      <c r="L28" s="2609"/>
    </row>
    <row r="29" spans="1:12" s="2611" customFormat="1" ht="18.600000000000001" customHeight="1">
      <c r="A29" s="2604">
        <v>25</v>
      </c>
      <c r="B29" s="2605" t="s">
        <v>1478</v>
      </c>
      <c r="C29" s="2610" t="str">
        <f t="shared" si="3"/>
        <v>MBNR(Palkonda)</v>
      </c>
      <c r="D29" s="2607">
        <f>'Input Data'!$E$11</f>
        <v>48</v>
      </c>
      <c r="E29" s="2608">
        <f>VLOOKUP(D29,'SSR-rates'!$B$8:$D$239,3,0)</f>
        <v>681.86419046780804</v>
      </c>
      <c r="F29" s="2608">
        <f>'SSR-rates'!K129</f>
        <v>1333.3333333333333</v>
      </c>
      <c r="G29" s="2608">
        <v>0</v>
      </c>
      <c r="H29" s="2608">
        <v>0</v>
      </c>
      <c r="I29" s="2608">
        <v>0</v>
      </c>
      <c r="J29" s="2608">
        <f t="shared" si="0"/>
        <v>2015.1975238011414</v>
      </c>
      <c r="L29" s="2609"/>
    </row>
    <row r="30" spans="1:12" s="2611" customFormat="1" ht="18.600000000000001" customHeight="1">
      <c r="A30" s="2604">
        <v>26</v>
      </c>
      <c r="B30" s="2615" t="s">
        <v>1479</v>
      </c>
      <c r="C30" s="2621" t="str">
        <f>+'Input Data'!D13</f>
        <v>Makthal(Warkur)</v>
      </c>
      <c r="D30" s="2607">
        <f>'Input Data'!E13</f>
        <v>78</v>
      </c>
      <c r="E30" s="2608">
        <f>VLOOKUP(D30,'SSR-rates'!B8:D239,2,FALSE)</f>
        <v>1065.9684020595876</v>
      </c>
      <c r="F30" s="2608">
        <f>'SSR-rates'!K32</f>
        <v>915</v>
      </c>
      <c r="G30" s="2608">
        <v>0</v>
      </c>
      <c r="H30" s="2608">
        <v>0</v>
      </c>
      <c r="I30" s="2608">
        <v>0</v>
      </c>
      <c r="J30" s="2608">
        <f t="shared" si="0"/>
        <v>1980.9684020595876</v>
      </c>
      <c r="L30" s="2609"/>
    </row>
    <row r="31" spans="1:12" s="2611" customFormat="1" ht="18.600000000000001" customHeight="1">
      <c r="A31" s="2604">
        <v>27</v>
      </c>
      <c r="B31" s="2615" t="s">
        <v>1480</v>
      </c>
      <c r="C31" s="2621" t="str">
        <f>+C30</f>
        <v>Makthal(Warkur)</v>
      </c>
      <c r="D31" s="2607">
        <f>D30</f>
        <v>78</v>
      </c>
      <c r="E31" s="2608">
        <f>VLOOKUP(D31,'SSR-rates'!B8:D239,2,FALSE)</f>
        <v>1065.9684020595876</v>
      </c>
      <c r="F31" s="2608">
        <f>'SSR-rates'!K33</f>
        <v>695</v>
      </c>
      <c r="G31" s="2608">
        <v>0</v>
      </c>
      <c r="H31" s="2608">
        <v>0</v>
      </c>
      <c r="I31" s="2608">
        <v>0</v>
      </c>
      <c r="J31" s="2622">
        <f t="shared" si="0"/>
        <v>1760.9684020595876</v>
      </c>
      <c r="L31" s="2609"/>
    </row>
    <row r="32" spans="1:12" s="2611" customFormat="1" ht="18.600000000000001" customHeight="1">
      <c r="A32" s="2604">
        <v>28</v>
      </c>
      <c r="B32" s="2615" t="s">
        <v>596</v>
      </c>
      <c r="C32" s="2604" t="str">
        <f>+'Input Data'!D14</f>
        <v>Local</v>
      </c>
      <c r="D32" s="2607">
        <f>+'Input Data'!E14</f>
        <v>5</v>
      </c>
      <c r="E32" s="2608">
        <f>VLOOKUP(D32,'SSR-rates'!B8:D237,2,FALSE)</f>
        <v>64.07604629670378</v>
      </c>
      <c r="F32" s="2608">
        <f>'SSR-rates'!K34</f>
        <v>695</v>
      </c>
      <c r="G32" s="2608">
        <v>0</v>
      </c>
      <c r="H32" s="2608">
        <v>0</v>
      </c>
      <c r="I32" s="2608">
        <v>0</v>
      </c>
      <c r="J32" s="2608">
        <f t="shared" ref="J32:J35" si="5">SUM(E32:I32)</f>
        <v>759.07604629670379</v>
      </c>
      <c r="L32" s="2609"/>
    </row>
    <row r="33" spans="1:13" s="2611" customFormat="1" ht="18.600000000000001" customHeight="1">
      <c r="A33" s="2604">
        <v>29</v>
      </c>
      <c r="B33" s="2623" t="s">
        <v>400</v>
      </c>
      <c r="C33" s="2624" t="s">
        <v>2720</v>
      </c>
      <c r="D33" s="2625">
        <f>+D14</f>
        <v>48</v>
      </c>
      <c r="E33" s="2625">
        <f>+E14</f>
        <v>681.86419046780804</v>
      </c>
      <c r="F33" s="2626">
        <v>650</v>
      </c>
      <c r="G33" s="2626">
        <v>0</v>
      </c>
      <c r="H33" s="2626">
        <v>0</v>
      </c>
      <c r="I33" s="2626">
        <v>0</v>
      </c>
      <c r="J33" s="2622">
        <f>+J31</f>
        <v>1760.9684020595876</v>
      </c>
      <c r="L33" s="2609"/>
    </row>
    <row r="34" spans="1:13" s="2611" customFormat="1" ht="18.600000000000001" customHeight="1">
      <c r="A34" s="2604">
        <v>30</v>
      </c>
      <c r="B34" s="2615" t="s">
        <v>405</v>
      </c>
      <c r="C34" s="2604" t="str">
        <f>'Input Data'!D15</f>
        <v>Local</v>
      </c>
      <c r="D34" s="2607">
        <f>'Input Data'!$E$15</f>
        <v>10</v>
      </c>
      <c r="E34" s="2608">
        <f>VLOOKUP(D34,'SSR-rates'!B8:D239,2,FALSE)</f>
        <v>141.09052501870349</v>
      </c>
      <c r="F34" s="2608">
        <f>'SSR-rates'!K25</f>
        <v>109</v>
      </c>
      <c r="G34" s="2608">
        <v>0</v>
      </c>
      <c r="H34" s="2608">
        <v>0</v>
      </c>
      <c r="I34" s="2608">
        <v>0</v>
      </c>
      <c r="J34" s="2608">
        <f t="shared" si="5"/>
        <v>250.09052501870349</v>
      </c>
      <c r="L34" s="2609"/>
    </row>
    <row r="35" spans="1:13" s="2619" customFormat="1" ht="18.600000000000001" customHeight="1">
      <c r="A35" s="2604">
        <v>31</v>
      </c>
      <c r="B35" s="2627" t="s">
        <v>583</v>
      </c>
      <c r="C35" s="2628" t="str">
        <f>'Input Data'!D19</f>
        <v>Local</v>
      </c>
      <c r="D35" s="2617">
        <f>'Input Data'!$E$19</f>
        <v>5</v>
      </c>
      <c r="E35" s="2618">
        <f>VLOOKUP(D35,'SSR-rates'!B8:D240,2,FALSE)</f>
        <v>64.07604629670378</v>
      </c>
      <c r="F35" s="2608">
        <f>'SSR-rates'!K122</f>
        <v>79</v>
      </c>
      <c r="G35" s="2618">
        <v>0</v>
      </c>
      <c r="H35" s="2618">
        <v>0</v>
      </c>
      <c r="I35" s="2618">
        <v>0</v>
      </c>
      <c r="J35" s="2618">
        <f t="shared" si="5"/>
        <v>143.07604629670379</v>
      </c>
      <c r="L35" s="2609"/>
    </row>
    <row r="36" spans="1:13" s="2611" customFormat="1" ht="18.600000000000001" customHeight="1">
      <c r="A36" s="2604">
        <v>32</v>
      </c>
      <c r="B36" s="2615" t="str">
        <f>'Input Data'!H24</f>
        <v>Cement, NOV' 2024</v>
      </c>
      <c r="C36" s="2604"/>
      <c r="D36" s="2615"/>
      <c r="E36" s="2629"/>
      <c r="F36" s="2608">
        <f>'Input Data'!I24</f>
        <v>5000</v>
      </c>
      <c r="G36" s="2608"/>
      <c r="H36" s="2608"/>
      <c r="I36" s="2608"/>
      <c r="J36" s="2608">
        <f>F36</f>
        <v>5000</v>
      </c>
      <c r="L36" s="2609"/>
    </row>
    <row r="37" spans="1:13" ht="18.600000000000001" customHeight="1">
      <c r="A37" s="2604">
        <v>33</v>
      </c>
      <c r="B37" s="2630" t="str">
        <f>'Input Data'!H25</f>
        <v>Steel HYSD-Fe-500 Bars, NOV' 2024</v>
      </c>
      <c r="C37" s="2630"/>
      <c r="D37" s="2630"/>
      <c r="E37" s="2631"/>
      <c r="F37" s="2608">
        <f>'Input Data'!I25</f>
        <v>49000</v>
      </c>
      <c r="G37" s="2631"/>
      <c r="H37" s="2631"/>
      <c r="I37" s="2631"/>
      <c r="J37" s="2608">
        <f>F37</f>
        <v>49000</v>
      </c>
      <c r="L37" s="2609"/>
    </row>
    <row r="38" spans="1:13" ht="18.600000000000001" customHeight="1">
      <c r="A38" s="2604">
        <v>34</v>
      </c>
      <c r="B38" s="2632" t="str">
        <f>'Input Data'!H26</f>
        <v>Mild Steel Bars, NOV' 2024</v>
      </c>
      <c r="C38" s="2630"/>
      <c r="D38" s="2630"/>
      <c r="E38" s="2631"/>
      <c r="F38" s="2608">
        <f>'Input Data'!I26</f>
        <v>60000</v>
      </c>
      <c r="G38" s="2631"/>
      <c r="H38" s="2631"/>
      <c r="I38" s="2631"/>
      <c r="J38" s="2608">
        <f>F38</f>
        <v>60000</v>
      </c>
      <c r="K38" s="2633">
        <v>61</v>
      </c>
      <c r="L38" s="2609"/>
    </row>
    <row r="39" spans="1:13" ht="18.600000000000001" customHeight="1">
      <c r="A39" s="2604">
        <v>35</v>
      </c>
      <c r="B39" s="2634" t="str">
        <f>'Input Data'!H27</f>
        <v>6mm M.S. Rods, NOV' 2024</v>
      </c>
      <c r="C39" s="2635"/>
      <c r="D39" s="2635"/>
      <c r="E39" s="2636"/>
      <c r="F39" s="2608">
        <f>'Input Data'!I27</f>
        <v>55000</v>
      </c>
      <c r="G39" s="2636"/>
      <c r="H39" s="2631"/>
      <c r="I39" s="2631"/>
      <c r="J39" s="2608">
        <f>F39</f>
        <v>55000</v>
      </c>
      <c r="K39" s="2633">
        <v>60</v>
      </c>
      <c r="L39" s="2609"/>
    </row>
    <row r="40" spans="1:13" s="2611" customFormat="1" ht="35.4" customHeight="1">
      <c r="A40" s="2604">
        <v>36</v>
      </c>
      <c r="B40" s="2637" t="str">
        <f>"Bulk VG30 Grade (Bulk)60/70"&amp;"- as on "&amp;'Input Data'!H14</f>
        <v>Bulk VG30 Grade (Bulk)60/70- as on 45627</v>
      </c>
      <c r="C40" s="2628" t="str">
        <f>'Input Data'!D20</f>
        <v>Chennai</v>
      </c>
      <c r="D40" s="2617">
        <f>'Input Data'!E20</f>
        <v>650</v>
      </c>
      <c r="E40" s="2618">
        <f>ROUND(2*D40*'SSR-rates'!$P$21,2)/1.13615</f>
        <v>3432.6453373234167</v>
      </c>
      <c r="F40" s="2608">
        <f>'Input Data'!J14</f>
        <v>43582</v>
      </c>
      <c r="G40" s="2638"/>
      <c r="H40" s="2629"/>
      <c r="I40" s="2629"/>
      <c r="J40" s="2608">
        <f>E40+F40</f>
        <v>47014.645337323418</v>
      </c>
      <c r="K40" s="2639"/>
      <c r="L40" s="2609"/>
      <c r="M40" s="2640"/>
    </row>
    <row r="41" spans="1:13" s="2611" customFormat="1" ht="15">
      <c r="A41" s="2604">
        <v>37</v>
      </c>
      <c r="B41" s="2641" t="s">
        <v>1481</v>
      </c>
      <c r="C41" s="2628" t="str">
        <f t="shared" ref="C41:E42" si="6">C40</f>
        <v>Chennai</v>
      </c>
      <c r="D41" s="2617">
        <f t="shared" si="6"/>
        <v>650</v>
      </c>
      <c r="E41" s="2618">
        <f t="shared" si="6"/>
        <v>3432.6453373234167</v>
      </c>
      <c r="F41" s="2608">
        <f>'Input Data'!J15</f>
        <v>74996</v>
      </c>
      <c r="G41" s="2638"/>
      <c r="H41" s="2629"/>
      <c r="I41" s="2629"/>
      <c r="J41" s="2608">
        <f t="shared" ref="J41:J42" si="7">E41+F41</f>
        <v>78428.645337323411</v>
      </c>
      <c r="L41" s="2609"/>
    </row>
    <row r="42" spans="1:13" s="2611" customFormat="1" ht="15">
      <c r="A42" s="2604">
        <v>38</v>
      </c>
      <c r="B42" s="2641" t="s">
        <v>1482</v>
      </c>
      <c r="C42" s="2628" t="str">
        <f t="shared" si="6"/>
        <v>Chennai</v>
      </c>
      <c r="D42" s="2617">
        <f t="shared" si="6"/>
        <v>650</v>
      </c>
      <c r="E42" s="2618">
        <f t="shared" si="6"/>
        <v>3432.6453373234167</v>
      </c>
      <c r="F42" s="2608">
        <f>'Input Data'!J16</f>
        <v>41736</v>
      </c>
      <c r="G42" s="2638"/>
      <c r="H42" s="2629"/>
      <c r="I42" s="2629"/>
      <c r="J42" s="2608">
        <f t="shared" si="7"/>
        <v>45168.645337323418</v>
      </c>
      <c r="L42" s="2609"/>
    </row>
    <row r="43" spans="1:13" ht="15">
      <c r="A43" s="2604">
        <v>39</v>
      </c>
      <c r="B43" s="2642" t="s">
        <v>1483</v>
      </c>
      <c r="C43" s="2643" t="str">
        <f>+'Input Data'!$D$16</f>
        <v>Kotakota</v>
      </c>
      <c r="D43" s="2644">
        <f>'Input Data'!$E$16</f>
        <v>84</v>
      </c>
      <c r="E43" s="2645">
        <f>((D43-5)*14.66+338.95)/1.13615</f>
        <v>1317.6869251419268</v>
      </c>
      <c r="F43" s="2646">
        <f>+'NP4 pipes'!L17</f>
        <v>13785.26</v>
      </c>
      <c r="G43" s="2647"/>
      <c r="H43" s="2647"/>
      <c r="I43" s="2647"/>
      <c r="J43" s="2608">
        <f>SUM(E43:I43)</f>
        <v>15102.946925141927</v>
      </c>
      <c r="L43" s="2609"/>
    </row>
    <row r="44" spans="1:13" ht="15">
      <c r="A44" s="2604">
        <v>40</v>
      </c>
      <c r="B44" s="2630" t="s">
        <v>1484</v>
      </c>
      <c r="C44" s="2644" t="str">
        <f>+$C$43</f>
        <v>Kotakota</v>
      </c>
      <c r="D44" s="2644">
        <f>'Input Data'!$E$16</f>
        <v>84</v>
      </c>
      <c r="E44" s="2648">
        <f>((D44-5)*13.47+279.47)/1.13615</f>
        <v>1182.5903269814726</v>
      </c>
      <c r="F44" s="2646">
        <f>+'NP4 pipes'!L19</f>
        <v>10147.49</v>
      </c>
      <c r="G44" s="2649"/>
      <c r="H44" s="2644"/>
      <c r="I44" s="2644"/>
      <c r="J44" s="2608">
        <f>SUM(E44:I44)</f>
        <v>11330.080326981471</v>
      </c>
      <c r="L44" s="2609"/>
    </row>
    <row r="45" spans="1:13" ht="15">
      <c r="A45" s="2604">
        <v>41</v>
      </c>
      <c r="B45" s="2630" t="s">
        <v>1485</v>
      </c>
      <c r="C45" s="2644" t="str">
        <f>+$C$44</f>
        <v>Kotakota</v>
      </c>
      <c r="D45" s="2644">
        <f>'Input Data'!$E$16</f>
        <v>84</v>
      </c>
      <c r="E45" s="2648">
        <f>((D45-5)*13.47+231.99)/1.13615</f>
        <v>1140.8000704132378</v>
      </c>
      <c r="F45" s="2646">
        <f>+'NP4 pipes'!L21</f>
        <v>7438.07</v>
      </c>
      <c r="G45" s="2649"/>
      <c r="H45" s="2644"/>
      <c r="I45" s="2644"/>
      <c r="J45" s="2608">
        <f t="shared" ref="J45:J52" si="8">SUM(E45:I45)</f>
        <v>8578.870070413237</v>
      </c>
      <c r="L45" s="2609"/>
    </row>
    <row r="46" spans="1:13" ht="15">
      <c r="A46" s="2604">
        <v>42</v>
      </c>
      <c r="B46" s="2630" t="s">
        <v>1486</v>
      </c>
      <c r="C46" s="2644" t="str">
        <f>+$C$45</f>
        <v>Kotakota</v>
      </c>
      <c r="D46" s="2644">
        <f>'Input Data'!$E$16</f>
        <v>84</v>
      </c>
      <c r="E46" s="2648">
        <f>((D46-5)*7.15+176.89)/1.13615</f>
        <v>652.85393654006953</v>
      </c>
      <c r="F46" s="2646">
        <f>+'NP4 pipes'!L23</f>
        <v>5978.15</v>
      </c>
      <c r="G46" s="2649"/>
      <c r="H46" s="2644"/>
      <c r="I46" s="2644"/>
      <c r="J46" s="2608">
        <f t="shared" si="8"/>
        <v>6631.0039365400689</v>
      </c>
      <c r="L46" s="2609"/>
    </row>
    <row r="47" spans="1:13" ht="15">
      <c r="A47" s="2604">
        <v>43</v>
      </c>
      <c r="B47" s="2630" t="s">
        <v>1487</v>
      </c>
      <c r="C47" s="2644" t="str">
        <f>+$C$46</f>
        <v>Kotakota</v>
      </c>
      <c r="D47" s="2644">
        <f>'Input Data'!$E$16</f>
        <v>84</v>
      </c>
      <c r="E47" s="2648">
        <f>((D47-5)*7.15+147.15)/1.13615</f>
        <v>626.67781542930072</v>
      </c>
      <c r="F47" s="2646">
        <f>+'NP4 pipes'!L25</f>
        <v>4558.3599999999997</v>
      </c>
      <c r="G47" s="2649"/>
      <c r="H47" s="2644"/>
      <c r="I47" s="2644"/>
      <c r="J47" s="2608">
        <f t="shared" si="8"/>
        <v>5185.0378154293003</v>
      </c>
      <c r="L47" s="2609"/>
    </row>
    <row r="48" spans="1:13" ht="15">
      <c r="A48" s="2604">
        <v>44</v>
      </c>
      <c r="B48" s="2630" t="s">
        <v>1488</v>
      </c>
      <c r="C48" s="2644" t="str">
        <f>+$C$47</f>
        <v>Kotakota</v>
      </c>
      <c r="D48" s="2644">
        <f>'Input Data'!$E$16</f>
        <v>84</v>
      </c>
      <c r="E48" s="2648">
        <f>((D48-5)*6.14+132.33)/1.13615</f>
        <v>543.40536020771901</v>
      </c>
      <c r="F48" s="2646">
        <f>+'NP4 pipes'!L27</f>
        <v>3393.24</v>
      </c>
      <c r="G48" s="2649"/>
      <c r="H48" s="2644"/>
      <c r="I48" s="2644"/>
      <c r="J48" s="2608">
        <f t="shared" si="8"/>
        <v>3936.645360207719</v>
      </c>
      <c r="L48" s="2609"/>
    </row>
    <row r="49" spans="1:12" ht="15">
      <c r="A49" s="2604">
        <v>45</v>
      </c>
      <c r="B49" s="2650" t="s">
        <v>1489</v>
      </c>
      <c r="C49" s="2644" t="str">
        <f>+$C$48</f>
        <v>Kotakota</v>
      </c>
      <c r="D49" s="2644">
        <f>'Input Data'!$E$16</f>
        <v>84</v>
      </c>
      <c r="E49" s="2648">
        <f>((D49-5)*2.76+80.32)/1.13615</f>
        <v>262.60616995995247</v>
      </c>
      <c r="F49" s="2646">
        <f>+'NP4 pipes'!L29</f>
        <v>1754.64</v>
      </c>
      <c r="G49" s="2649"/>
      <c r="H49" s="2644"/>
      <c r="I49" s="2644"/>
      <c r="J49" s="2608">
        <f t="shared" si="8"/>
        <v>2017.2461699599526</v>
      </c>
      <c r="L49" s="2609"/>
    </row>
    <row r="50" spans="1:12" ht="15">
      <c r="A50" s="2604">
        <v>46</v>
      </c>
      <c r="B50" s="2630" t="s">
        <v>1490</v>
      </c>
      <c r="C50" s="2644" t="str">
        <f>+$C$49</f>
        <v>Kotakota</v>
      </c>
      <c r="D50" s="2644">
        <f>'Input Data'!$E$16</f>
        <v>84</v>
      </c>
      <c r="E50" s="2648">
        <f>((D50-5)*1.6+57.93)/1.13615</f>
        <v>162.24090128944243</v>
      </c>
      <c r="F50" s="2646">
        <f>+'NP4 pipes'!L31</f>
        <v>1128.3900000000001</v>
      </c>
      <c r="G50" s="2649"/>
      <c r="H50" s="2644"/>
      <c r="I50" s="2644"/>
      <c r="J50" s="2608">
        <f t="shared" si="8"/>
        <v>1290.6309012894426</v>
      </c>
      <c r="L50" s="2609"/>
    </row>
    <row r="51" spans="1:12" ht="15">
      <c r="A51" s="2604">
        <v>47</v>
      </c>
      <c r="B51" s="2630" t="s">
        <v>1491</v>
      </c>
      <c r="C51" s="2643" t="str">
        <f>+'Input Data'!$D$16</f>
        <v>Kotakota</v>
      </c>
      <c r="D51" s="2644">
        <f>'Input Data'!$E$16</f>
        <v>84</v>
      </c>
      <c r="E51" s="2651"/>
      <c r="F51" s="2646">
        <f>+'NP4 pipes'!L18</f>
        <v>1982.51</v>
      </c>
      <c r="G51" s="2652"/>
      <c r="H51" s="2652"/>
      <c r="I51" s="2652"/>
      <c r="J51" s="2608">
        <f t="shared" si="8"/>
        <v>1982.51</v>
      </c>
      <c r="L51" s="2609"/>
    </row>
    <row r="52" spans="1:12" ht="15">
      <c r="A52" s="2604">
        <v>48</v>
      </c>
      <c r="B52" s="2630" t="s">
        <v>1492</v>
      </c>
      <c r="C52" s="2644" t="str">
        <f>+$C$43</f>
        <v>Kotakota</v>
      </c>
      <c r="D52" s="2644">
        <f>'Input Data'!$E$16</f>
        <v>84</v>
      </c>
      <c r="E52" s="2651"/>
      <c r="F52" s="2646">
        <f>+'NP4 pipes'!L20</f>
        <v>1252.68</v>
      </c>
      <c r="G52" s="2649"/>
      <c r="H52" s="2644"/>
      <c r="I52" s="2644"/>
      <c r="J52" s="2608">
        <f t="shared" si="8"/>
        <v>1252.68</v>
      </c>
      <c r="L52" s="2609"/>
    </row>
    <row r="53" spans="1:12" ht="15">
      <c r="A53" s="2604">
        <v>49</v>
      </c>
      <c r="B53" s="2630" t="s">
        <v>1493</v>
      </c>
      <c r="C53" s="2644" t="str">
        <f>+$C$44</f>
        <v>Kotakota</v>
      </c>
      <c r="D53" s="2644">
        <f>'Input Data'!$E$16</f>
        <v>84</v>
      </c>
      <c r="E53" s="2651"/>
      <c r="F53" s="2646">
        <f>+'NP4 pipes'!L22</f>
        <v>996.44</v>
      </c>
      <c r="G53" s="2649"/>
      <c r="H53" s="2644"/>
      <c r="I53" s="2644"/>
      <c r="J53" s="2608">
        <f t="shared" ref="J53:J58" si="9">SUM(E53:I53)</f>
        <v>996.44</v>
      </c>
      <c r="L53" s="2609"/>
    </row>
    <row r="54" spans="1:12" ht="15">
      <c r="A54" s="2604">
        <v>50</v>
      </c>
      <c r="B54" s="2630" t="s">
        <v>1494</v>
      </c>
      <c r="C54" s="2644" t="str">
        <f>+$C$45</f>
        <v>Kotakota</v>
      </c>
      <c r="D54" s="2644">
        <f>'Input Data'!$E$16</f>
        <v>84</v>
      </c>
      <c r="E54" s="2651"/>
      <c r="F54" s="2646">
        <f>+'NP4 pipes'!L24</f>
        <v>857.12</v>
      </c>
      <c r="G54" s="2649"/>
      <c r="H54" s="2644"/>
      <c r="I54" s="2644"/>
      <c r="J54" s="2608">
        <f t="shared" si="9"/>
        <v>857.12</v>
      </c>
      <c r="L54" s="2609"/>
    </row>
    <row r="55" spans="1:12" ht="15">
      <c r="A55" s="2604">
        <v>51</v>
      </c>
      <c r="B55" s="2630" t="s">
        <v>1495</v>
      </c>
      <c r="C55" s="2644" t="str">
        <f>+$C$46</f>
        <v>Kotakota</v>
      </c>
      <c r="D55" s="2644">
        <f>'Input Data'!$E$16</f>
        <v>84</v>
      </c>
      <c r="E55" s="2651"/>
      <c r="F55" s="2646">
        <f>+'NP4 pipes'!L26</f>
        <v>679.73</v>
      </c>
      <c r="G55" s="2649"/>
      <c r="H55" s="2644"/>
      <c r="I55" s="2644"/>
      <c r="J55" s="2608">
        <f t="shared" si="9"/>
        <v>679.73</v>
      </c>
      <c r="L55" s="2609"/>
    </row>
    <row r="56" spans="1:12" ht="15">
      <c r="A56" s="2604">
        <v>52</v>
      </c>
      <c r="B56" s="2630" t="s">
        <v>1496</v>
      </c>
      <c r="C56" s="2644" t="str">
        <f>+$C$47</f>
        <v>Kotakota</v>
      </c>
      <c r="D56" s="2644">
        <f>'Input Data'!$E$16</f>
        <v>84</v>
      </c>
      <c r="E56" s="2651"/>
      <c r="F56" s="2646">
        <f>+'NP4 pipes'!L28</f>
        <v>500.26</v>
      </c>
      <c r="G56" s="2649"/>
      <c r="H56" s="2644"/>
      <c r="I56" s="2644"/>
      <c r="J56" s="2608">
        <f t="shared" si="9"/>
        <v>500.26</v>
      </c>
      <c r="L56" s="2609"/>
    </row>
    <row r="57" spans="1:12" ht="15">
      <c r="A57" s="2604">
        <v>53</v>
      </c>
      <c r="B57" s="2650" t="s">
        <v>1497</v>
      </c>
      <c r="C57" s="2644" t="str">
        <f>+$C$48</f>
        <v>Kotakota</v>
      </c>
      <c r="D57" s="2644">
        <f>'Input Data'!$E$16</f>
        <v>84</v>
      </c>
      <c r="E57" s="2651"/>
      <c r="F57" s="2646">
        <f>+'NP4 pipes'!L30</f>
        <v>318.85000000000002</v>
      </c>
      <c r="G57" s="2649"/>
      <c r="H57" s="2644"/>
      <c r="I57" s="2644"/>
      <c r="J57" s="2608">
        <f t="shared" si="9"/>
        <v>318.85000000000002</v>
      </c>
      <c r="L57" s="2609"/>
    </row>
    <row r="58" spans="1:12" ht="15">
      <c r="A58" s="2604">
        <v>54</v>
      </c>
      <c r="B58" s="2630" t="s">
        <v>1498</v>
      </c>
      <c r="C58" s="2644" t="str">
        <f>+$C$49</f>
        <v>Kotakota</v>
      </c>
      <c r="D58" s="2644">
        <f>'Input Data'!$E$16</f>
        <v>84</v>
      </c>
      <c r="E58" s="2651"/>
      <c r="F58" s="2646">
        <f>+'NP4 pipes'!L32</f>
        <v>173.5</v>
      </c>
      <c r="G58" s="2649"/>
      <c r="H58" s="2644"/>
      <c r="I58" s="2644"/>
      <c r="J58" s="2608">
        <f t="shared" si="9"/>
        <v>173.5</v>
      </c>
      <c r="L58" s="2609"/>
    </row>
    <row r="59" spans="1:12" s="2660" customFormat="1" ht="15">
      <c r="A59" s="2653"/>
      <c r="B59" s="2654" t="s">
        <v>1499</v>
      </c>
      <c r="C59" s="2655"/>
      <c r="D59" s="2655"/>
      <c r="E59" s="2655"/>
      <c r="F59" s="2656"/>
      <c r="G59" s="2657"/>
      <c r="H59" s="2658"/>
      <c r="I59" s="2658"/>
      <c r="J59" s="2659"/>
    </row>
    <row r="60" spans="1:12" s="2661" customFormat="1" ht="15">
      <c r="A60" s="2661">
        <v>1</v>
      </c>
      <c r="B60" s="2661" t="s">
        <v>1500</v>
      </c>
      <c r="D60" s="2662"/>
      <c r="E60" s="2662"/>
    </row>
    <row r="61" spans="1:12" s="2661" customFormat="1" ht="15">
      <c r="A61" s="2661">
        <v>2</v>
      </c>
      <c r="B61" s="2661" t="s">
        <v>1501</v>
      </c>
      <c r="D61" s="2662"/>
      <c r="E61" s="2662"/>
    </row>
    <row r="62" spans="1:12" s="2660" customFormat="1" ht="21.6" customHeight="1">
      <c r="A62" s="2660">
        <v>3</v>
      </c>
      <c r="B62" s="2661" t="s">
        <v>1502</v>
      </c>
      <c r="C62" s="2663"/>
      <c r="D62" s="2655"/>
      <c r="E62" s="2655"/>
    </row>
    <row r="63" spans="1:12" ht="19.2" customHeight="1">
      <c r="A63" s="2660">
        <v>4</v>
      </c>
      <c r="B63" s="2664" t="s">
        <v>1503</v>
      </c>
      <c r="C63" s="2665" t="str">
        <f>'Input Data'!D26</f>
        <v>N</v>
      </c>
      <c r="D63" s="2666"/>
      <c r="E63" s="2667"/>
    </row>
    <row r="64" spans="1:12" ht="20.100000000000001" customHeight="1">
      <c r="A64" s="2660">
        <v>5</v>
      </c>
      <c r="B64" s="2664" t="s">
        <v>1504</v>
      </c>
      <c r="C64" s="2666" t="s">
        <v>1505</v>
      </c>
      <c r="D64" s="2665">
        <f>'Input Data'!D23</f>
        <v>0</v>
      </c>
      <c r="E64" s="2667"/>
    </row>
    <row r="65" spans="1:11" ht="20.100000000000001" customHeight="1">
      <c r="A65" s="2660"/>
      <c r="B65" s="2661"/>
      <c r="C65" s="2668"/>
      <c r="D65" s="2669"/>
      <c r="E65" s="2667"/>
    </row>
    <row r="66" spans="1:11" ht="39" customHeight="1">
      <c r="A66" s="2670"/>
      <c r="B66" s="2671" t="s">
        <v>1506</v>
      </c>
      <c r="D66" s="2672" t="str">
        <f>+GA!$C$33</f>
        <v>Dy. Exe. Engineer</v>
      </c>
      <c r="E66" s="2672"/>
      <c r="G66" s="2673" t="str">
        <f>+GA!$B$36</f>
        <v>District Panchayat Raj Engineer,</v>
      </c>
      <c r="I66" s="4033" t="s">
        <v>684</v>
      </c>
      <c r="J66" s="4033"/>
      <c r="K66" s="4033"/>
    </row>
    <row r="67" spans="1:11" ht="15">
      <c r="A67" s="2674"/>
      <c r="B67" s="2675" t="str">
        <f>+GA!$B$34</f>
        <v>PRSD, Maddur</v>
      </c>
      <c r="C67" s="2667"/>
      <c r="D67" s="4034" t="str">
        <f>+GA!$C$34</f>
        <v>PRSD, Maddur</v>
      </c>
      <c r="E67" s="4034"/>
      <c r="G67" s="2676" t="str">
        <f>+GA!$B$37</f>
        <v>PIU, Narayanpet</v>
      </c>
      <c r="I67" s="4035" t="str">
        <f>"PR, Circle, "&amp;'Input Data'!D3&amp;""</f>
        <v>PR, Circle, Vikarabad</v>
      </c>
      <c r="J67" s="4035"/>
      <c r="K67" s="4035"/>
    </row>
    <row r="68" spans="1:11" ht="20.100000000000001" customHeight="1">
      <c r="B68" s="2667"/>
      <c r="C68" s="2667"/>
      <c r="D68" s="2667"/>
      <c r="E68" s="2667"/>
    </row>
  </sheetData>
  <sheetProtection selectLockedCells="1" selectUnlockedCells="1"/>
  <mergeCells count="6">
    <mergeCell ref="A1:J1"/>
    <mergeCell ref="A2:B2"/>
    <mergeCell ref="C2:J2"/>
    <mergeCell ref="I66:K66"/>
    <mergeCell ref="D67:E67"/>
    <mergeCell ref="I67:K67"/>
  </mergeCells>
  <printOptions horizontalCentered="1"/>
  <pageMargins left="0.75" right="0.25" top="0.5" bottom="0.25" header="0.5" footer="0"/>
  <pageSetup paperSize="9" scale="83" orientation="landscape" r:id="rId1"/>
  <headerFooter alignWithMargins="0"/>
  <rowBreaks count="2" manualBreakCount="2">
    <brk id="25" max="9" man="1"/>
    <brk id="58" max="9"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7" tint="-0.249977111117893"/>
  </sheetPr>
  <dimension ref="A1:J401"/>
  <sheetViews>
    <sheetView view="pageBreakPreview" topLeftCell="A2" zoomScaleSheetLayoutView="100" workbookViewId="0">
      <selection activeCell="A4" sqref="A4:XFD4"/>
    </sheetView>
  </sheetViews>
  <sheetFormatPr defaultColWidth="9.109375" defaultRowHeight="13.8"/>
  <cols>
    <col min="1" max="1" width="6.88671875" style="2390" customWidth="1"/>
    <col min="2" max="2" width="11.33203125" style="2396" customWidth="1"/>
    <col min="3" max="3" width="7.88671875" style="2388" customWidth="1"/>
    <col min="4" max="4" width="41.88671875" style="2388" customWidth="1"/>
    <col min="5" max="5" width="10.44140625" style="2388" customWidth="1"/>
    <col min="6" max="6" width="6.109375" style="2388" customWidth="1"/>
    <col min="7" max="7" width="12.44140625" style="2764" customWidth="1"/>
    <col min="8" max="8" width="14" style="2388" customWidth="1"/>
    <col min="9" max="16384" width="9.109375" style="2388"/>
  </cols>
  <sheetData>
    <row r="1" spans="1:7" ht="28.2" customHeight="1">
      <c r="A1" s="4036" t="s">
        <v>1837</v>
      </c>
      <c r="B1" s="4036"/>
      <c r="C1" s="4036"/>
      <c r="D1" s="4036"/>
      <c r="E1" s="4036"/>
      <c r="F1" s="4036"/>
      <c r="G1" s="4036"/>
    </row>
    <row r="2" spans="1:7" s="2484" customFormat="1" ht="30" customHeight="1">
      <c r="A2" s="4037" t="s">
        <v>1</v>
      </c>
      <c r="B2" s="4037"/>
      <c r="C2" s="4037"/>
      <c r="D2" s="4038" t="str">
        <f>'Input Data'!E1</f>
        <v>C/o HLB on R/F Amlikunta to Gundumal of Gundumal Mandal of Narayanept District.</v>
      </c>
      <c r="E2" s="4039"/>
      <c r="F2" s="4039"/>
      <c r="G2" s="4039"/>
    </row>
    <row r="3" spans="1:7">
      <c r="A3" s="2677" t="s">
        <v>2</v>
      </c>
      <c r="B3" s="4040" t="s">
        <v>3</v>
      </c>
      <c r="C3" s="4040"/>
      <c r="D3" s="2677" t="s">
        <v>4</v>
      </c>
      <c r="E3" s="2678" t="s">
        <v>5</v>
      </c>
      <c r="F3" s="2678" t="s">
        <v>6</v>
      </c>
      <c r="G3" s="2679" t="s">
        <v>7</v>
      </c>
    </row>
    <row r="4" spans="1:7" s="2422" customFormat="1" ht="82.2" customHeight="1">
      <c r="A4" s="2680">
        <v>1</v>
      </c>
      <c r="B4" s="4041" t="s">
        <v>2966</v>
      </c>
      <c r="C4" s="4041"/>
      <c r="D4" s="4041"/>
      <c r="E4" s="4041"/>
      <c r="F4" s="4041"/>
      <c r="G4" s="4041"/>
    </row>
    <row r="5" spans="1:7" s="2422" customFormat="1" ht="18" customHeight="1">
      <c r="A5" s="2681"/>
      <c r="B5" s="4042" t="s">
        <v>33</v>
      </c>
      <c r="C5" s="4042"/>
      <c r="D5" s="2682" t="s">
        <v>34</v>
      </c>
      <c r="E5" s="2683"/>
      <c r="F5" s="2683"/>
      <c r="G5" s="2684"/>
    </row>
    <row r="6" spans="1:7" s="2422" customFormat="1" ht="18" customHeight="1">
      <c r="A6" s="2681"/>
      <c r="B6" s="2685" t="s">
        <v>712</v>
      </c>
      <c r="C6" s="2685"/>
      <c r="D6" s="2686" t="s">
        <v>1838</v>
      </c>
      <c r="E6" s="2683"/>
      <c r="F6" s="2683"/>
      <c r="G6" s="2684"/>
    </row>
    <row r="7" spans="1:7" s="2422" customFormat="1" ht="18" customHeight="1">
      <c r="A7" s="2681"/>
      <c r="B7" s="4042" t="s">
        <v>35</v>
      </c>
      <c r="C7" s="4042"/>
      <c r="D7" s="4042"/>
      <c r="E7" s="2683"/>
      <c r="F7" s="2683"/>
      <c r="G7" s="2684"/>
    </row>
    <row r="8" spans="1:7" s="2422" customFormat="1" ht="18" customHeight="1">
      <c r="A8" s="2681"/>
      <c r="B8" s="2687" t="s">
        <v>36</v>
      </c>
      <c r="C8" s="2682" t="s">
        <v>37</v>
      </c>
      <c r="D8" s="2688"/>
      <c r="E8" s="2683"/>
      <c r="F8" s="2683"/>
      <c r="G8" s="2684"/>
    </row>
    <row r="9" spans="1:7" s="2422" customFormat="1" ht="18" customHeight="1">
      <c r="A9" s="2681"/>
      <c r="B9" s="2689">
        <v>0.32</v>
      </c>
      <c r="C9" s="2689" t="s">
        <v>38</v>
      </c>
      <c r="D9" s="2690" t="s">
        <v>14</v>
      </c>
      <c r="E9" s="2689">
        <f>'SSR-rates'!K58</f>
        <v>575</v>
      </c>
      <c r="F9" s="2677" t="s">
        <v>38</v>
      </c>
      <c r="G9" s="2691">
        <f>ROUND(B9*E9,2)</f>
        <v>184</v>
      </c>
    </row>
    <row r="10" spans="1:7" s="2422" customFormat="1" ht="18" customHeight="1">
      <c r="A10" s="2681"/>
      <c r="B10" s="2689">
        <v>8</v>
      </c>
      <c r="C10" s="2689" t="s">
        <v>38</v>
      </c>
      <c r="D10" s="2690" t="s">
        <v>16</v>
      </c>
      <c r="E10" s="2689">
        <f>'SSR-rates'!K60</f>
        <v>575</v>
      </c>
      <c r="F10" s="2677" t="s">
        <v>38</v>
      </c>
      <c r="G10" s="2691">
        <f>ROUND(B10*E10,2)</f>
        <v>4600</v>
      </c>
    </row>
    <row r="11" spans="1:7" ht="18" customHeight="1">
      <c r="A11" s="2687"/>
      <c r="B11" s="2692">
        <f>'Input Data'!$D$23</f>
        <v>0</v>
      </c>
      <c r="C11" s="2689"/>
      <c r="D11" s="2688" t="s">
        <v>17</v>
      </c>
      <c r="E11" s="2689">
        <f>SUM(G9:G10)</f>
        <v>4784</v>
      </c>
      <c r="F11" s="2677"/>
      <c r="G11" s="2691">
        <f>B11*E11</f>
        <v>0</v>
      </c>
    </row>
    <row r="12" spans="1:7" s="2422" customFormat="1" ht="18" customHeight="1">
      <c r="A12" s="2681"/>
      <c r="B12" s="2687" t="s">
        <v>39</v>
      </c>
      <c r="C12" s="2682" t="s">
        <v>40</v>
      </c>
      <c r="D12" s="2690"/>
      <c r="E12" s="2689"/>
      <c r="F12" s="2677"/>
      <c r="G12" s="2693">
        <f>SUM(G9:G11)</f>
        <v>4784</v>
      </c>
    </row>
    <row r="13" spans="1:7" s="2422" customFormat="1" ht="27.6">
      <c r="A13" s="2681"/>
      <c r="B13" s="2694">
        <v>6</v>
      </c>
      <c r="C13" s="2689" t="s">
        <v>41</v>
      </c>
      <c r="D13" s="2695" t="s">
        <v>42</v>
      </c>
      <c r="E13" s="2694">
        <f>'SSR-rates'!$K$64</f>
        <v>3557.7</v>
      </c>
      <c r="F13" s="2694" t="s">
        <v>41</v>
      </c>
      <c r="G13" s="2696">
        <f>ROUND(B13*E13,2)</f>
        <v>21346.2</v>
      </c>
    </row>
    <row r="14" spans="1:7" s="2422" customFormat="1" ht="18" customHeight="1">
      <c r="A14" s="2681"/>
      <c r="B14" s="2689" t="s">
        <v>27</v>
      </c>
      <c r="C14" s="4043" t="s">
        <v>1839</v>
      </c>
      <c r="D14" s="4043"/>
      <c r="E14" s="2689"/>
      <c r="F14" s="2689"/>
      <c r="G14" s="2697"/>
    </row>
    <row r="15" spans="1:7" s="2422" customFormat="1" ht="18" customHeight="1">
      <c r="A15" s="2698"/>
      <c r="B15" s="2699">
        <f>'Input Data'!$D$24</f>
        <v>0.13614999999999999</v>
      </c>
      <c r="C15" s="2682" t="str">
        <f>"Over head charges &amp; CP "&amp;'Input Data'!$D$24*100&amp;"%  on (A) + (B)"</f>
        <v>Over head charges &amp; CP 13.615%  on (A) + (B)</v>
      </c>
      <c r="D15" s="2688"/>
      <c r="E15" s="2700">
        <f>G13+G12</f>
        <v>26130.2</v>
      </c>
      <c r="F15" s="2688"/>
      <c r="G15" s="2691">
        <f>E15*B15</f>
        <v>3557.62673</v>
      </c>
    </row>
    <row r="16" spans="1:7" s="2422" customFormat="1" ht="18" customHeight="1">
      <c r="A16" s="2698"/>
      <c r="B16" s="2701">
        <f>'Input Data'!$E$24</f>
        <v>0.1</v>
      </c>
      <c r="C16" s="2702" t="s">
        <v>1220</v>
      </c>
      <c r="D16" s="2688"/>
      <c r="E16" s="2700">
        <f>E15+G15</f>
        <v>29687.826730000001</v>
      </c>
      <c r="F16" s="2688"/>
      <c r="G16" s="2691">
        <f>E16*B16</f>
        <v>2968.7826730000002</v>
      </c>
    </row>
    <row r="17" spans="1:7" s="2422" customFormat="1" ht="18" customHeight="1">
      <c r="A17" s="2698"/>
      <c r="B17" s="2687" t="s">
        <v>45</v>
      </c>
      <c r="C17" s="2682" t="s">
        <v>46</v>
      </c>
      <c r="D17" s="2688"/>
      <c r="E17" s="2688"/>
      <c r="F17" s="2688"/>
      <c r="G17" s="2693">
        <f>G12+G13+G15+G16</f>
        <v>32656.609403000002</v>
      </c>
    </row>
    <row r="18" spans="1:7" s="2422" customFormat="1" ht="18" customHeight="1">
      <c r="A18" s="2681"/>
      <c r="B18" s="2677"/>
      <c r="C18" s="2690"/>
      <c r="D18" s="2682" t="s">
        <v>1840</v>
      </c>
      <c r="E18" s="2690"/>
      <c r="F18" s="2690"/>
      <c r="G18" s="2693">
        <f>SUM(G17:G17)</f>
        <v>32656.609403000002</v>
      </c>
    </row>
    <row r="19" spans="1:7" s="2422" customFormat="1" ht="18" customHeight="1">
      <c r="A19" s="2698"/>
      <c r="B19" s="2677"/>
      <c r="C19" s="2688"/>
      <c r="D19" s="2688" t="s">
        <v>50</v>
      </c>
      <c r="E19" s="2677"/>
      <c r="F19" s="2677"/>
      <c r="G19" s="2691">
        <f>G18/240</f>
        <v>136.06920584583335</v>
      </c>
    </row>
    <row r="20" spans="1:7" s="2422" customFormat="1" ht="18" customHeight="1">
      <c r="A20" s="2698"/>
      <c r="B20" s="2677"/>
      <c r="C20" s="2688"/>
      <c r="D20" s="2688" t="s">
        <v>52</v>
      </c>
      <c r="E20" s="2688"/>
      <c r="F20" s="2688"/>
      <c r="G20" s="2703">
        <f>G19</f>
        <v>136.06920584583335</v>
      </c>
    </row>
    <row r="21" spans="1:7" s="2422" customFormat="1">
      <c r="A21" s="2698"/>
      <c r="B21" s="2677"/>
      <c r="C21" s="2688"/>
      <c r="D21" s="2688"/>
      <c r="E21" s="2688"/>
      <c r="F21" s="2688"/>
      <c r="G21" s="2704" t="s">
        <v>53</v>
      </c>
    </row>
    <row r="22" spans="1:7" s="2422" customFormat="1">
      <c r="A22" s="2681"/>
      <c r="B22" s="2685" t="s">
        <v>714</v>
      </c>
      <c r="C22" s="2685"/>
      <c r="D22" s="2686" t="s">
        <v>1841</v>
      </c>
      <c r="E22" s="2683"/>
      <c r="F22" s="2683"/>
      <c r="G22" s="2684"/>
    </row>
    <row r="23" spans="1:7" s="2422" customFormat="1">
      <c r="A23" s="2681"/>
      <c r="B23" s="4042" t="s">
        <v>1842</v>
      </c>
      <c r="C23" s="4042"/>
      <c r="D23" s="4042"/>
      <c r="E23" s="2683"/>
      <c r="F23" s="2683"/>
      <c r="G23" s="2684"/>
    </row>
    <row r="24" spans="1:7" s="2422" customFormat="1">
      <c r="A24" s="2681"/>
      <c r="B24" s="2687" t="s">
        <v>36</v>
      </c>
      <c r="C24" s="2682" t="s">
        <v>37</v>
      </c>
      <c r="D24" s="2688"/>
      <c r="E24" s="2683"/>
      <c r="F24" s="2683"/>
      <c r="G24" s="2684"/>
    </row>
    <row r="25" spans="1:7" s="2422" customFormat="1">
      <c r="A25" s="2681"/>
      <c r="B25" s="2689">
        <v>0.32</v>
      </c>
      <c r="C25" s="2689" t="s">
        <v>38</v>
      </c>
      <c r="D25" s="2690" t="s">
        <v>14</v>
      </c>
      <c r="E25" s="2689">
        <f>+E9</f>
        <v>575</v>
      </c>
      <c r="F25" s="2677" t="s">
        <v>38</v>
      </c>
      <c r="G25" s="2691">
        <f>ROUND(B25*E25,2)</f>
        <v>184</v>
      </c>
    </row>
    <row r="26" spans="1:7" s="2422" customFormat="1">
      <c r="A26" s="2681"/>
      <c r="B26" s="2689">
        <v>8</v>
      </c>
      <c r="C26" s="2689" t="s">
        <v>38</v>
      </c>
      <c r="D26" s="2690" t="s">
        <v>16</v>
      </c>
      <c r="E26" s="2689">
        <f>+E10</f>
        <v>575</v>
      </c>
      <c r="F26" s="2677" t="s">
        <v>38</v>
      </c>
      <c r="G26" s="2691">
        <f>ROUND(B26*E26,2)</f>
        <v>4600</v>
      </c>
    </row>
    <row r="27" spans="1:7">
      <c r="A27" s="2687"/>
      <c r="B27" s="2692">
        <f>'Input Data'!$D$23</f>
        <v>0</v>
      </c>
      <c r="C27" s="2689"/>
      <c r="D27" s="2688" t="s">
        <v>17</v>
      </c>
      <c r="E27" s="2689">
        <f>SUM(G25:G26)</f>
        <v>4784</v>
      </c>
      <c r="F27" s="2677"/>
      <c r="G27" s="2691">
        <f>B27*E27</f>
        <v>0</v>
      </c>
    </row>
    <row r="28" spans="1:7" s="2422" customFormat="1">
      <c r="A28" s="2681"/>
      <c r="B28" s="2689"/>
      <c r="C28" s="2705"/>
      <c r="D28" s="2690"/>
      <c r="E28" s="2689"/>
      <c r="F28" s="2677"/>
      <c r="G28" s="2693">
        <f>SUM(G25:G27)</f>
        <v>4784</v>
      </c>
    </row>
    <row r="29" spans="1:7" s="2422" customFormat="1">
      <c r="A29" s="2681"/>
      <c r="B29" s="2687" t="s">
        <v>39</v>
      </c>
      <c r="C29" s="2682" t="s">
        <v>40</v>
      </c>
      <c r="D29" s="2688"/>
      <c r="E29" s="2690"/>
      <c r="F29" s="2690"/>
      <c r="G29" s="2697"/>
    </row>
    <row r="30" spans="1:7" s="2422" customFormat="1" ht="27.6">
      <c r="A30" s="2681"/>
      <c r="B30" s="2694">
        <v>6</v>
      </c>
      <c r="C30" s="2689" t="s">
        <v>41</v>
      </c>
      <c r="D30" s="2695" t="s">
        <v>42</v>
      </c>
      <c r="E30" s="2694">
        <f>'SSR-rates'!$K$64</f>
        <v>3557.7</v>
      </c>
      <c r="F30" s="2694" t="s">
        <v>41</v>
      </c>
      <c r="G30" s="2696">
        <f>ROUND(B30*E30,2)</f>
        <v>21346.2</v>
      </c>
    </row>
    <row r="31" spans="1:7" s="2422" customFormat="1">
      <c r="A31" s="2681"/>
      <c r="B31" s="2689" t="s">
        <v>27</v>
      </c>
      <c r="C31" s="4043" t="s">
        <v>1839</v>
      </c>
      <c r="D31" s="4043"/>
      <c r="E31" s="2689"/>
      <c r="F31" s="2689"/>
      <c r="G31" s="2697"/>
    </row>
    <row r="32" spans="1:7" s="2422" customFormat="1">
      <c r="A32" s="2698"/>
      <c r="B32" s="2699">
        <f>'Input Data'!$D$24</f>
        <v>0.13614999999999999</v>
      </c>
      <c r="C32" s="2682" t="str">
        <f>"Over head charges &amp; CP "&amp;'Input Data'!$D$24*100&amp;"%  on (A) + (B)"</f>
        <v>Over head charges &amp; CP 13.615%  on (A) + (B)</v>
      </c>
      <c r="D32" s="2688"/>
      <c r="E32" s="2700">
        <f>G30+G28</f>
        <v>26130.2</v>
      </c>
      <c r="F32" s="2688"/>
      <c r="G32" s="2691">
        <f>E32*B32</f>
        <v>3557.62673</v>
      </c>
    </row>
    <row r="33" spans="1:7" s="2422" customFormat="1">
      <c r="A33" s="2698"/>
      <c r="B33" s="2687" t="s">
        <v>45</v>
      </c>
      <c r="C33" s="2682" t="s">
        <v>46</v>
      </c>
      <c r="D33" s="2688"/>
      <c r="E33" s="2688"/>
      <c r="F33" s="2688"/>
      <c r="G33" s="2693">
        <f>G28+G30+G32</f>
        <v>29687.826730000001</v>
      </c>
    </row>
    <row r="34" spans="1:7" s="2422" customFormat="1">
      <c r="A34" s="2681"/>
      <c r="B34" s="2677"/>
      <c r="C34" s="2690"/>
      <c r="D34" s="2682" t="s">
        <v>1843</v>
      </c>
      <c r="E34" s="2690"/>
      <c r="F34" s="2690"/>
      <c r="G34" s="2693">
        <f>SUM(G33:G33)</f>
        <v>29687.826730000001</v>
      </c>
    </row>
    <row r="35" spans="1:7" s="2422" customFormat="1">
      <c r="A35" s="2698"/>
      <c r="B35" s="2677"/>
      <c r="C35" s="2688"/>
      <c r="D35" s="2688" t="s">
        <v>50</v>
      </c>
      <c r="E35" s="2677"/>
      <c r="F35" s="2677"/>
      <c r="G35" s="2691">
        <f>G34/210</f>
        <v>141.37060347619047</v>
      </c>
    </row>
    <row r="36" spans="1:7" s="2422" customFormat="1">
      <c r="A36" s="2698"/>
      <c r="B36" s="2677"/>
      <c r="C36" s="2688"/>
      <c r="D36" s="2688" t="s">
        <v>52</v>
      </c>
      <c r="E36" s="2688"/>
      <c r="F36" s="2688"/>
      <c r="G36" s="2703">
        <f>G35</f>
        <v>141.37060347619047</v>
      </c>
    </row>
    <row r="37" spans="1:7" s="2422" customFormat="1">
      <c r="A37" s="2698"/>
      <c r="B37" s="2677"/>
      <c r="C37" s="2688"/>
      <c r="D37" s="2688"/>
      <c r="E37" s="2688"/>
      <c r="F37" s="2688"/>
      <c r="G37" s="2704" t="s">
        <v>53</v>
      </c>
    </row>
    <row r="38" spans="1:7" s="2422" customFormat="1">
      <c r="A38" s="2681"/>
      <c r="B38" s="2685" t="s">
        <v>716</v>
      </c>
      <c r="C38" s="2685"/>
      <c r="D38" s="2686" t="s">
        <v>1844</v>
      </c>
      <c r="E38" s="2683"/>
      <c r="F38" s="2683"/>
      <c r="G38" s="2684"/>
    </row>
    <row r="39" spans="1:7" s="2422" customFormat="1">
      <c r="A39" s="2681"/>
      <c r="B39" s="4042" t="s">
        <v>1533</v>
      </c>
      <c r="C39" s="4042"/>
      <c r="D39" s="4042"/>
      <c r="E39" s="2683"/>
      <c r="F39" s="2683"/>
      <c r="G39" s="2684"/>
    </row>
    <row r="40" spans="1:7" s="2422" customFormat="1">
      <c r="A40" s="2681"/>
      <c r="B40" s="2687" t="s">
        <v>36</v>
      </c>
      <c r="C40" s="2682" t="s">
        <v>37</v>
      </c>
      <c r="D40" s="2688"/>
      <c r="E40" s="2683"/>
      <c r="F40" s="2683"/>
      <c r="G40" s="2684"/>
    </row>
    <row r="41" spans="1:7" s="2422" customFormat="1">
      <c r="A41" s="2681"/>
      <c r="B41" s="2706">
        <v>0.4</v>
      </c>
      <c r="C41" s="2689" t="s">
        <v>38</v>
      </c>
      <c r="D41" s="2690" t="s">
        <v>14</v>
      </c>
      <c r="E41" s="2689">
        <f>+E25</f>
        <v>575</v>
      </c>
      <c r="F41" s="2677" t="s">
        <v>38</v>
      </c>
      <c r="G41" s="2691">
        <f>ROUND(B41*E41,2)</f>
        <v>230</v>
      </c>
    </row>
    <row r="42" spans="1:7" s="2422" customFormat="1">
      <c r="A42" s="2681"/>
      <c r="B42" s="2706">
        <v>10</v>
      </c>
      <c r="C42" s="2689" t="s">
        <v>38</v>
      </c>
      <c r="D42" s="2690" t="s">
        <v>16</v>
      </c>
      <c r="E42" s="2689">
        <f>+E26</f>
        <v>575</v>
      </c>
      <c r="F42" s="2677" t="s">
        <v>38</v>
      </c>
      <c r="G42" s="2691">
        <f>ROUND(B42*E42,2)</f>
        <v>5750</v>
      </c>
    </row>
    <row r="43" spans="1:7">
      <c r="A43" s="2687"/>
      <c r="B43" s="2692">
        <f>'Input Data'!$D$23</f>
        <v>0</v>
      </c>
      <c r="C43" s="2705"/>
      <c r="D43" s="2688" t="s">
        <v>17</v>
      </c>
      <c r="E43" s="2689">
        <f>SUM(G41:G42)</f>
        <v>5980</v>
      </c>
      <c r="F43" s="2677"/>
      <c r="G43" s="2691">
        <f>B43*E43</f>
        <v>0</v>
      </c>
    </row>
    <row r="44" spans="1:7" s="2422" customFormat="1">
      <c r="A44" s="2681"/>
      <c r="B44" s="2689"/>
      <c r="C44" s="2705"/>
      <c r="D44" s="2690"/>
      <c r="E44" s="2689"/>
      <c r="F44" s="2677"/>
      <c r="G44" s="2693">
        <f>SUM(G41:G43)</f>
        <v>5980</v>
      </c>
    </row>
    <row r="45" spans="1:7" s="2422" customFormat="1">
      <c r="A45" s="2681"/>
      <c r="B45" s="2687" t="s">
        <v>39</v>
      </c>
      <c r="C45" s="2682" t="s">
        <v>40</v>
      </c>
      <c r="D45" s="2688"/>
      <c r="E45" s="2690"/>
      <c r="F45" s="2690"/>
      <c r="G45" s="2697"/>
    </row>
    <row r="46" spans="1:7" s="2422" customFormat="1" ht="27.6">
      <c r="A46" s="2681"/>
      <c r="B46" s="2694">
        <v>6</v>
      </c>
      <c r="C46" s="2689" t="s">
        <v>41</v>
      </c>
      <c r="D46" s="2695" t="s">
        <v>42</v>
      </c>
      <c r="E46" s="2694">
        <f>'SSR-rates'!$K$64</f>
        <v>3557.7</v>
      </c>
      <c r="F46" s="2694" t="s">
        <v>41</v>
      </c>
      <c r="G46" s="2696">
        <f>ROUND(B46*E46,2)</f>
        <v>21346.2</v>
      </c>
    </row>
    <row r="47" spans="1:7" s="2422" customFormat="1">
      <c r="A47" s="2681"/>
      <c r="B47" s="2689" t="s">
        <v>27</v>
      </c>
      <c r="C47" s="4043" t="s">
        <v>1839</v>
      </c>
      <c r="D47" s="4043"/>
      <c r="E47" s="2689"/>
      <c r="F47" s="2689"/>
      <c r="G47" s="2697"/>
    </row>
    <row r="48" spans="1:7" s="2422" customFormat="1">
      <c r="A48" s="2698"/>
      <c r="B48" s="2699">
        <f>'Input Data'!$D$24</f>
        <v>0.13614999999999999</v>
      </c>
      <c r="C48" s="2682" t="str">
        <f>"Over head charges &amp; CP "&amp;'Input Data'!$D$24*100&amp;"%  on (A) + (B)"</f>
        <v>Over head charges &amp; CP 13.615%  on (A) + (B)</v>
      </c>
      <c r="D48" s="2688"/>
      <c r="E48" s="2700">
        <f>G46+G44</f>
        <v>27326.2</v>
      </c>
      <c r="F48" s="2688"/>
      <c r="G48" s="2691">
        <f>E48*B48</f>
        <v>3720.4621299999999</v>
      </c>
    </row>
    <row r="49" spans="1:7" s="2422" customFormat="1">
      <c r="A49" s="2698"/>
      <c r="B49" s="2687" t="s">
        <v>45</v>
      </c>
      <c r="C49" s="2682" t="s">
        <v>46</v>
      </c>
      <c r="D49" s="2688"/>
      <c r="E49" s="2688"/>
      <c r="F49" s="2688"/>
      <c r="G49" s="2693">
        <f>G44+G46+G48</f>
        <v>31046.662130000001</v>
      </c>
    </row>
    <row r="50" spans="1:7" s="2422" customFormat="1">
      <c r="A50" s="2681"/>
      <c r="B50" s="2677"/>
      <c r="C50" s="2690"/>
      <c r="D50" s="2682" t="s">
        <v>1843</v>
      </c>
      <c r="E50" s="2690"/>
      <c r="F50" s="2690"/>
      <c r="G50" s="2693">
        <f>SUM(G49:G49)</f>
        <v>31046.662130000001</v>
      </c>
    </row>
    <row r="51" spans="1:7" s="2422" customFormat="1">
      <c r="A51" s="2698"/>
      <c r="B51" s="2677"/>
      <c r="C51" s="2688"/>
      <c r="D51" s="2688" t="s">
        <v>50</v>
      </c>
      <c r="E51" s="2677"/>
      <c r="F51" s="2677"/>
      <c r="G51" s="2691">
        <f>G50/180</f>
        <v>172.4814562777778</v>
      </c>
    </row>
    <row r="52" spans="1:7" s="2422" customFormat="1">
      <c r="A52" s="2681"/>
      <c r="B52" s="2687"/>
      <c r="C52" s="2681"/>
      <c r="D52" s="2681"/>
      <c r="E52" s="2681"/>
      <c r="F52" s="2681"/>
      <c r="G52" s="2707">
        <f>SUM(G51:G51)</f>
        <v>172.4814562777778</v>
      </c>
    </row>
    <row r="53" spans="1:7" s="2422" customFormat="1">
      <c r="A53" s="2698"/>
      <c r="B53" s="2677"/>
      <c r="C53" s="2688"/>
      <c r="D53" s="2688" t="s">
        <v>52</v>
      </c>
      <c r="E53" s="2688"/>
      <c r="F53" s="2688"/>
      <c r="G53" s="2703">
        <f>ROUND(G52,2)</f>
        <v>172.48</v>
      </c>
    </row>
    <row r="54" spans="1:7" s="2422" customFormat="1">
      <c r="A54" s="2698"/>
      <c r="B54" s="2677"/>
      <c r="C54" s="2688"/>
      <c r="D54" s="2688"/>
      <c r="E54" s="2688"/>
      <c r="F54" s="2688"/>
      <c r="G54" s="2704" t="s">
        <v>53</v>
      </c>
    </row>
    <row r="55" spans="1:7" s="2422" customFormat="1" ht="33.75" customHeight="1">
      <c r="A55" s="2680">
        <f>A4+1</f>
        <v>2</v>
      </c>
      <c r="B55" s="4041" t="s">
        <v>2687</v>
      </c>
      <c r="C55" s="4041"/>
      <c r="D55" s="4041"/>
      <c r="E55" s="4041"/>
      <c r="F55" s="4041"/>
      <c r="G55" s="4041"/>
    </row>
    <row r="56" spans="1:7" s="2422" customFormat="1">
      <c r="A56" s="2681"/>
      <c r="B56" s="4042" t="s">
        <v>33</v>
      </c>
      <c r="C56" s="4042"/>
      <c r="D56" s="2682"/>
      <c r="E56" s="2683"/>
      <c r="F56" s="2683"/>
      <c r="G56" s="2684"/>
    </row>
    <row r="57" spans="1:7" s="2422" customFormat="1">
      <c r="A57" s="2681"/>
      <c r="B57" s="4042" t="s">
        <v>1845</v>
      </c>
      <c r="C57" s="4042"/>
      <c r="D57" s="4042"/>
      <c r="E57" s="2683"/>
      <c r="F57" s="2683"/>
      <c r="G57" s="2684"/>
    </row>
    <row r="58" spans="1:7" s="2422" customFormat="1">
      <c r="A58" s="2681"/>
      <c r="B58" s="2687" t="s">
        <v>36</v>
      </c>
      <c r="C58" s="2682" t="s">
        <v>37</v>
      </c>
      <c r="D58" s="2688"/>
      <c r="E58" s="2683"/>
      <c r="F58" s="2683"/>
      <c r="G58" s="2684"/>
    </row>
    <row r="59" spans="1:7" s="2422" customFormat="1">
      <c r="A59" s="2681"/>
      <c r="B59" s="2689">
        <v>0.01</v>
      </c>
      <c r="C59" s="2689" t="s">
        <v>38</v>
      </c>
      <c r="D59" s="2690" t="s">
        <v>14</v>
      </c>
      <c r="E59" s="2689">
        <f>+E79</f>
        <v>575</v>
      </c>
      <c r="F59" s="2677" t="s">
        <v>38</v>
      </c>
      <c r="G59" s="2691">
        <f>ROUND(B59*E59,2)</f>
        <v>5.75</v>
      </c>
    </row>
    <row r="60" spans="1:7" s="2422" customFormat="1">
      <c r="A60" s="2681"/>
      <c r="B60" s="2689">
        <v>0.3</v>
      </c>
      <c r="C60" s="2689" t="s">
        <v>38</v>
      </c>
      <c r="D60" s="2690" t="s">
        <v>59</v>
      </c>
      <c r="E60" s="2689">
        <f>+E10</f>
        <v>575</v>
      </c>
      <c r="F60" s="2677" t="s">
        <v>38</v>
      </c>
      <c r="G60" s="2691">
        <f>ROUND(B60*E60,2)</f>
        <v>172.5</v>
      </c>
    </row>
    <row r="61" spans="1:7">
      <c r="A61" s="2687"/>
      <c r="B61" s="2692">
        <f>'Input Data'!$D$23</f>
        <v>0</v>
      </c>
      <c r="C61" s="2689"/>
      <c r="D61" s="2688" t="s">
        <v>17</v>
      </c>
      <c r="E61" s="2689">
        <f>SUM(G59:G60)</f>
        <v>178.25</v>
      </c>
      <c r="F61" s="2677"/>
      <c r="G61" s="2691">
        <f>B61*E61</f>
        <v>0</v>
      </c>
    </row>
    <row r="62" spans="1:7" s="2422" customFormat="1">
      <c r="A62" s="2681"/>
      <c r="B62" s="2689"/>
      <c r="C62" s="2705"/>
      <c r="D62" s="2690"/>
      <c r="E62" s="2689"/>
      <c r="F62" s="2677"/>
      <c r="G62" s="2693">
        <f>SUM(G59:G61)</f>
        <v>178.25</v>
      </c>
    </row>
    <row r="63" spans="1:7">
      <c r="A63" s="2708"/>
      <c r="B63" s="2687" t="s">
        <v>39</v>
      </c>
      <c r="C63" s="2709" t="s">
        <v>61</v>
      </c>
      <c r="D63" s="2688"/>
      <c r="E63" s="2689"/>
      <c r="F63" s="2689"/>
      <c r="G63" s="2700"/>
    </row>
    <row r="64" spans="1:7">
      <c r="A64" s="2708"/>
      <c r="B64" s="2677">
        <f>1.2/2</f>
        <v>0.6</v>
      </c>
      <c r="C64" s="2677" t="s">
        <v>31</v>
      </c>
      <c r="D64" s="2710" t="s">
        <v>2688</v>
      </c>
      <c r="E64" s="2689">
        <f>+lead!$J$32</f>
        <v>759.07604629670379</v>
      </c>
      <c r="F64" s="2689" t="s">
        <v>31</v>
      </c>
      <c r="G64" s="2700">
        <f>ROUND(B64*E64,2)</f>
        <v>455.45</v>
      </c>
    </row>
    <row r="65" spans="1:8">
      <c r="A65" s="2711"/>
      <c r="B65" s="2677">
        <f>1.2/2</f>
        <v>0.6</v>
      </c>
      <c r="C65" s="2677" t="s">
        <v>31</v>
      </c>
      <c r="D65" s="2710" t="s">
        <v>2689</v>
      </c>
      <c r="E65" s="2689">
        <f>+lead!J33</f>
        <v>1760.9684020595876</v>
      </c>
      <c r="F65" s="2689" t="s">
        <v>31</v>
      </c>
      <c r="G65" s="2700">
        <f>ROUND(B65*E65,2)</f>
        <v>1056.58</v>
      </c>
    </row>
    <row r="66" spans="1:8">
      <c r="A66" s="2708"/>
      <c r="B66" s="2689"/>
      <c r="C66" s="2705"/>
      <c r="D66" s="2700" t="s">
        <v>60</v>
      </c>
      <c r="E66" s="2689"/>
      <c r="F66" s="2689"/>
      <c r="G66" s="2709">
        <f>SUM(G64:G65)</f>
        <v>1512.03</v>
      </c>
    </row>
    <row r="67" spans="1:8" s="2422" customFormat="1">
      <c r="A67" s="2681"/>
      <c r="B67" s="2689" t="s">
        <v>27</v>
      </c>
      <c r="C67" s="4043" t="s">
        <v>1839</v>
      </c>
      <c r="D67" s="4043"/>
      <c r="E67" s="2689"/>
      <c r="F67" s="2689"/>
      <c r="G67" s="2697"/>
    </row>
    <row r="68" spans="1:8" s="2422" customFormat="1">
      <c r="A68" s="2698"/>
      <c r="B68" s="2699">
        <f>'Input Data'!$D$24</f>
        <v>0.13614999999999999</v>
      </c>
      <c r="C68" s="2682" t="str">
        <f>"Over head charges &amp; CP "&amp;'Input Data'!$D$24*100&amp;"%  on (A) + (B)"</f>
        <v>Over head charges &amp; CP 13.615%  on (A) + (B)</v>
      </c>
      <c r="D68" s="2688"/>
      <c r="E68" s="2700">
        <f>+G66+G62</f>
        <v>1690.28</v>
      </c>
      <c r="F68" s="2688"/>
      <c r="G68" s="2691">
        <f>E68*B68</f>
        <v>230.13162199999999</v>
      </c>
    </row>
    <row r="69" spans="1:8" s="2422" customFormat="1">
      <c r="A69" s="2698"/>
      <c r="B69" s="2687" t="s">
        <v>45</v>
      </c>
      <c r="C69" s="2682" t="s">
        <v>46</v>
      </c>
      <c r="D69" s="2688"/>
      <c r="E69" s="2688"/>
      <c r="F69" s="2688"/>
      <c r="G69" s="2693">
        <f>+E68+G68</f>
        <v>1920.4116220000001</v>
      </c>
    </row>
    <row r="70" spans="1:8" s="2422" customFormat="1">
      <c r="A70" s="2681"/>
      <c r="B70" s="2677"/>
      <c r="C70" s="2690"/>
      <c r="D70" s="2682" t="s">
        <v>1846</v>
      </c>
      <c r="E70" s="2690"/>
      <c r="F70" s="2690"/>
      <c r="G70" s="2693">
        <f>SUM(G69:G69)</f>
        <v>1920.4116220000001</v>
      </c>
    </row>
    <row r="71" spans="1:8" s="2422" customFormat="1">
      <c r="A71" s="2698"/>
      <c r="B71" s="2677"/>
      <c r="C71" s="2688"/>
      <c r="D71" s="2688" t="s">
        <v>50</v>
      </c>
      <c r="E71" s="2677"/>
      <c r="F71" s="2677"/>
      <c r="G71" s="2691">
        <f>G70</f>
        <v>1920.4116220000001</v>
      </c>
    </row>
    <row r="72" spans="1:8" s="2422" customFormat="1">
      <c r="A72" s="2681"/>
      <c r="B72" s="2687"/>
      <c r="C72" s="2681"/>
      <c r="D72" s="2681"/>
      <c r="E72" s="2681"/>
      <c r="F72" s="2681"/>
      <c r="G72" s="2707">
        <f>SUM(G71:G71)</f>
        <v>1920.4116220000001</v>
      </c>
    </row>
    <row r="73" spans="1:8" s="2422" customFormat="1">
      <c r="A73" s="2698"/>
      <c r="B73" s="2677"/>
      <c r="C73" s="2688"/>
      <c r="D73" s="2688" t="s">
        <v>52</v>
      </c>
      <c r="E73" s="2688"/>
      <c r="F73" s="2688"/>
      <c r="G73" s="2703">
        <f>ROUND(G72,2)</f>
        <v>1920.41</v>
      </c>
    </row>
    <row r="74" spans="1:8" s="2422" customFormat="1">
      <c r="A74" s="2698"/>
      <c r="B74" s="2677"/>
      <c r="C74" s="2688"/>
      <c r="D74" s="2688"/>
      <c r="E74" s="2688"/>
      <c r="F74" s="2688"/>
      <c r="G74" s="2704" t="s">
        <v>53</v>
      </c>
    </row>
    <row r="75" spans="1:8" ht="109.5" customHeight="1">
      <c r="A75" s="2680">
        <v>3</v>
      </c>
      <c r="B75" s="4041" t="s">
        <v>1847</v>
      </c>
      <c r="C75" s="4041"/>
      <c r="D75" s="4041"/>
      <c r="E75" s="4041"/>
      <c r="F75" s="4041"/>
      <c r="G75" s="4041"/>
    </row>
    <row r="76" spans="1:8">
      <c r="A76" s="2708"/>
      <c r="B76" s="2689" t="s">
        <v>10</v>
      </c>
      <c r="C76" s="2688"/>
      <c r="D76" s="2682" t="s">
        <v>55</v>
      </c>
      <c r="E76" s="2688"/>
      <c r="F76" s="2688"/>
      <c r="G76" s="2688"/>
    </row>
    <row r="77" spans="1:8">
      <c r="A77" s="2708"/>
      <c r="B77" s="2677"/>
      <c r="C77" s="2688"/>
      <c r="D77" s="2700" t="s">
        <v>56</v>
      </c>
      <c r="E77" s="2688"/>
      <c r="F77" s="2688"/>
      <c r="G77" s="2688"/>
    </row>
    <row r="78" spans="1:8">
      <c r="A78" s="2708"/>
      <c r="B78" s="2687" t="s">
        <v>36</v>
      </c>
      <c r="C78" s="2709" t="s">
        <v>37</v>
      </c>
      <c r="D78" s="2688"/>
      <c r="E78" s="2688"/>
      <c r="F78" s="2688"/>
      <c r="G78" s="2688"/>
    </row>
    <row r="79" spans="1:8">
      <c r="A79" s="2708"/>
      <c r="B79" s="2689">
        <v>0.86</v>
      </c>
      <c r="C79" s="2677" t="s">
        <v>57</v>
      </c>
      <c r="D79" s="2700" t="s">
        <v>14</v>
      </c>
      <c r="E79" s="2689">
        <f>'SSR-rates'!$K$58</f>
        <v>575</v>
      </c>
      <c r="F79" s="2677" t="s">
        <v>38</v>
      </c>
      <c r="G79" s="2700">
        <f>ROUND(B79*E79,2)</f>
        <v>494.5</v>
      </c>
      <c r="H79" s="2401"/>
    </row>
    <row r="80" spans="1:8">
      <c r="A80" s="2708"/>
      <c r="B80" s="2689">
        <v>1.5</v>
      </c>
      <c r="C80" s="2677" t="s">
        <v>57</v>
      </c>
      <c r="D80" s="2700" t="s">
        <v>58</v>
      </c>
      <c r="E80" s="2689">
        <f>'SSR-rates'!$K$54</f>
        <v>615</v>
      </c>
      <c r="F80" s="2677" t="s">
        <v>38</v>
      </c>
      <c r="G80" s="2700">
        <f>ROUND(B80*E80,2)</f>
        <v>922.5</v>
      </c>
    </row>
    <row r="81" spans="1:7">
      <c r="A81" s="2708"/>
      <c r="B81" s="2689">
        <v>20</v>
      </c>
      <c r="C81" s="2677" t="s">
        <v>57</v>
      </c>
      <c r="D81" s="2700" t="s">
        <v>59</v>
      </c>
      <c r="E81" s="2689">
        <f>'SSR-rates'!$K$60</f>
        <v>575</v>
      </c>
      <c r="F81" s="2677" t="s">
        <v>38</v>
      </c>
      <c r="G81" s="2700">
        <f>ROUND(B81*E81,2)</f>
        <v>11500</v>
      </c>
    </row>
    <row r="82" spans="1:7">
      <c r="A82" s="2687"/>
      <c r="B82" s="2692">
        <f>'Input Data'!$D$23</f>
        <v>0</v>
      </c>
      <c r="C82" s="2705"/>
      <c r="D82" s="2688" t="s">
        <v>17</v>
      </c>
      <c r="E82" s="2689">
        <f>SUM(G79:G81)</f>
        <v>12917</v>
      </c>
      <c r="F82" s="2677"/>
      <c r="G82" s="2700">
        <f>B82*E82</f>
        <v>0</v>
      </c>
    </row>
    <row r="83" spans="1:7">
      <c r="A83" s="2708"/>
      <c r="B83" s="2689"/>
      <c r="C83" s="2688"/>
      <c r="D83" s="2700" t="s">
        <v>60</v>
      </c>
      <c r="E83" s="2689"/>
      <c r="F83" s="2689"/>
      <c r="G83" s="2700">
        <f>SUM(G79:G82)</f>
        <v>12917</v>
      </c>
    </row>
    <row r="84" spans="1:7">
      <c r="A84" s="2708"/>
      <c r="B84" s="2687" t="s">
        <v>39</v>
      </c>
      <c r="C84" s="2709" t="s">
        <v>61</v>
      </c>
      <c r="D84" s="2688"/>
      <c r="E84" s="2689"/>
      <c r="F84" s="2689"/>
      <c r="G84" s="2700"/>
    </row>
    <row r="85" spans="1:7">
      <c r="A85" s="2708"/>
      <c r="B85" s="2689">
        <v>8.1</v>
      </c>
      <c r="C85" s="2677" t="s">
        <v>31</v>
      </c>
      <c r="D85" s="2700" t="s">
        <v>62</v>
      </c>
      <c r="E85" s="2689">
        <f>lead!$J$14</f>
        <v>1590.8641904678079</v>
      </c>
      <c r="F85" s="2689" t="s">
        <v>31</v>
      </c>
      <c r="G85" s="2700">
        <f t="shared" ref="G85:G90" si="0">ROUND(B85*E85,2)</f>
        <v>12886</v>
      </c>
    </row>
    <row r="86" spans="1:7">
      <c r="A86" s="2708"/>
      <c r="B86" s="2689">
        <v>4.05</v>
      </c>
      <c r="C86" s="2677" t="s">
        <v>31</v>
      </c>
      <c r="D86" s="2688" t="s">
        <v>63</v>
      </c>
      <c r="E86" s="2689">
        <f>lead!$J$16</f>
        <v>1889.8641904678079</v>
      </c>
      <c r="F86" s="2689" t="s">
        <v>31</v>
      </c>
      <c r="G86" s="2700">
        <f t="shared" si="0"/>
        <v>7653.95</v>
      </c>
    </row>
    <row r="87" spans="1:7">
      <c r="A87" s="2708"/>
      <c r="B87" s="2689">
        <v>1.35</v>
      </c>
      <c r="C87" s="2677" t="s">
        <v>31</v>
      </c>
      <c r="D87" s="2688" t="s">
        <v>64</v>
      </c>
      <c r="E87" s="2689">
        <f>lead!$J$18</f>
        <v>1638.8641904678079</v>
      </c>
      <c r="F87" s="2689" t="s">
        <v>31</v>
      </c>
      <c r="G87" s="2700">
        <f t="shared" si="0"/>
        <v>2212.4699999999998</v>
      </c>
    </row>
    <row r="88" spans="1:7" ht="27.6">
      <c r="A88" s="2708"/>
      <c r="B88" s="2689">
        <f>6.75/2</f>
        <v>3.375</v>
      </c>
      <c r="C88" s="2677" t="s">
        <v>31</v>
      </c>
      <c r="D88" s="2710" t="s">
        <v>1716</v>
      </c>
      <c r="E88" s="2694">
        <f>lead!$J$31</f>
        <v>1760.9684020595876</v>
      </c>
      <c r="F88" s="2689" t="s">
        <v>31</v>
      </c>
      <c r="G88" s="2691">
        <f t="shared" si="0"/>
        <v>5943.27</v>
      </c>
    </row>
    <row r="89" spans="1:7">
      <c r="A89" s="2708"/>
      <c r="B89" s="2689">
        <f>6.75/2</f>
        <v>3.375</v>
      </c>
      <c r="C89" s="2677" t="s">
        <v>31</v>
      </c>
      <c r="D89" s="2710" t="s">
        <v>1717</v>
      </c>
      <c r="E89" s="2694">
        <f>lead!$J$33</f>
        <v>1760.9684020595876</v>
      </c>
      <c r="F89" s="2689" t="s">
        <v>31</v>
      </c>
      <c r="G89" s="2691">
        <f t="shared" si="0"/>
        <v>5943.27</v>
      </c>
    </row>
    <row r="90" spans="1:7">
      <c r="A90" s="2708"/>
      <c r="B90" s="2689">
        <v>4.13</v>
      </c>
      <c r="C90" s="2677" t="s">
        <v>66</v>
      </c>
      <c r="D90" s="2700" t="s">
        <v>67</v>
      </c>
      <c r="E90" s="2689">
        <f>+lead!$J$36</f>
        <v>5000</v>
      </c>
      <c r="F90" s="2689" t="s">
        <v>66</v>
      </c>
      <c r="G90" s="2700">
        <f t="shared" si="0"/>
        <v>20650</v>
      </c>
    </row>
    <row r="91" spans="1:7">
      <c r="A91" s="2708"/>
      <c r="B91" s="2689"/>
      <c r="C91" s="2705"/>
      <c r="D91" s="2700" t="s">
        <v>60</v>
      </c>
      <c r="E91" s="2689"/>
      <c r="F91" s="2689"/>
      <c r="G91" s="2700">
        <f>SUM(G85:G90)</f>
        <v>55288.960000000006</v>
      </c>
    </row>
    <row r="92" spans="1:7">
      <c r="A92" s="2708"/>
      <c r="B92" s="2687" t="s">
        <v>94</v>
      </c>
      <c r="C92" s="2709" t="s">
        <v>40</v>
      </c>
      <c r="D92" s="2688"/>
      <c r="E92" s="2689"/>
      <c r="F92" s="2689"/>
      <c r="G92" s="2700"/>
    </row>
    <row r="93" spans="1:7">
      <c r="A93" s="2708"/>
      <c r="B93" s="2689">
        <v>6</v>
      </c>
      <c r="C93" s="2677" t="s">
        <v>41</v>
      </c>
      <c r="D93" s="2700" t="s">
        <v>68</v>
      </c>
      <c r="E93" s="2689">
        <f>'SSR-rates'!$K$88</f>
        <v>697.9</v>
      </c>
      <c r="F93" s="2689" t="s">
        <v>41</v>
      </c>
      <c r="G93" s="2700">
        <f>ROUND(B93*E93,2)</f>
        <v>4187.3999999999996</v>
      </c>
    </row>
    <row r="94" spans="1:7">
      <c r="A94" s="2708"/>
      <c r="B94" s="2689">
        <v>6</v>
      </c>
      <c r="C94" s="2677" t="s">
        <v>41</v>
      </c>
      <c r="D94" s="2700" t="s">
        <v>69</v>
      </c>
      <c r="E94" s="2689">
        <f>'SSR-rates'!$K$87</f>
        <v>1323.5</v>
      </c>
      <c r="F94" s="2689" t="s">
        <v>41</v>
      </c>
      <c r="G94" s="2700">
        <f>ROUND(B94*E94,2)</f>
        <v>7941</v>
      </c>
    </row>
    <row r="95" spans="1:7">
      <c r="A95" s="2708"/>
      <c r="B95" s="2689"/>
      <c r="C95" s="2689"/>
      <c r="D95" s="2700" t="s">
        <v>60</v>
      </c>
      <c r="E95" s="2689"/>
      <c r="F95" s="2689"/>
      <c r="G95" s="2700">
        <f>SUM(G93:G94)</f>
        <v>12128.4</v>
      </c>
    </row>
    <row r="96" spans="1:7">
      <c r="A96" s="2687"/>
      <c r="B96" s="2687" t="s">
        <v>45</v>
      </c>
      <c r="C96" s="2682" t="s">
        <v>95</v>
      </c>
      <c r="D96" s="2688"/>
      <c r="E96" s="2690"/>
      <c r="F96" s="2690"/>
      <c r="G96" s="2709"/>
    </row>
    <row r="97" spans="1:8">
      <c r="A97" s="2687"/>
      <c r="B97" s="2712">
        <v>0.04</v>
      </c>
      <c r="C97" s="2689"/>
      <c r="D97" s="2700" t="s">
        <v>146</v>
      </c>
      <c r="E97" s="2690"/>
      <c r="F97" s="2690"/>
      <c r="G97" s="2700">
        <f>ROUND((G83+G91+G95)*B97,2)</f>
        <v>3213.37</v>
      </c>
    </row>
    <row r="98" spans="1:8">
      <c r="A98" s="2687"/>
      <c r="B98" s="2687" t="s">
        <v>47</v>
      </c>
      <c r="C98" s="2682" t="s">
        <v>1238</v>
      </c>
      <c r="D98" s="2688"/>
      <c r="E98" s="2690"/>
      <c r="F98" s="2690"/>
      <c r="G98" s="2709"/>
    </row>
    <row r="99" spans="1:8">
      <c r="A99" s="2687"/>
      <c r="B99" s="2699">
        <f>'Input Data'!$D$24</f>
        <v>0.13614999999999999</v>
      </c>
      <c r="C99" s="4042" t="str">
        <f>"Over head charges &amp; CP "&amp;'Input Data'!$D$24*100&amp;"%  on (A) + (B) +(C) +(D)"</f>
        <v>Over head charges &amp; CP 13.615%  on (A) + (B) +(C) +(D)</v>
      </c>
      <c r="D99" s="4042"/>
      <c r="E99" s="2705">
        <f>G97+G95+G91+G83</f>
        <v>83547.73000000001</v>
      </c>
      <c r="F99" s="2690"/>
      <c r="G99" s="2700">
        <f>E99*B99</f>
        <v>11375.023439500001</v>
      </c>
    </row>
    <row r="100" spans="1:8">
      <c r="A100" s="2687"/>
      <c r="B100" s="2701">
        <f>'Input Data'!$E$24</f>
        <v>0.1</v>
      </c>
      <c r="C100" s="2702" t="s">
        <v>1220</v>
      </c>
      <c r="D100" s="2685"/>
      <c r="E100" s="2705">
        <f>E99+G99</f>
        <v>94922.753439500011</v>
      </c>
      <c r="F100" s="2690"/>
      <c r="G100" s="2700">
        <f>E100*B100</f>
        <v>9492.2753439500011</v>
      </c>
    </row>
    <row r="101" spans="1:8">
      <c r="A101" s="2687"/>
      <c r="B101" s="2687" t="s">
        <v>76</v>
      </c>
      <c r="C101" s="2682" t="s">
        <v>89</v>
      </c>
      <c r="D101" s="2688"/>
      <c r="E101" s="2690"/>
      <c r="F101" s="2690"/>
      <c r="G101" s="2709">
        <f>G83+G91+G95+G99+G97+G100</f>
        <v>104415.02878344999</v>
      </c>
    </row>
    <row r="102" spans="1:8">
      <c r="A102" s="2708"/>
      <c r="B102" s="2689"/>
      <c r="C102" s="2690"/>
      <c r="D102" s="2709" t="s">
        <v>1814</v>
      </c>
      <c r="E102" s="2689"/>
      <c r="F102" s="2689"/>
      <c r="G102" s="2709">
        <f>SUM(G101:G101)</f>
        <v>104415.02878344999</v>
      </c>
    </row>
    <row r="103" spans="1:8">
      <c r="A103" s="2708"/>
      <c r="B103" s="2689"/>
      <c r="C103" s="2690"/>
      <c r="D103" s="2700" t="s">
        <v>81</v>
      </c>
      <c r="E103" s="2689"/>
      <c r="F103" s="2689"/>
      <c r="G103" s="2700">
        <f>ROUND(G102/15,2)</f>
        <v>6961</v>
      </c>
    </row>
    <row r="104" spans="1:8">
      <c r="A104" s="2708"/>
      <c r="B104" s="2677"/>
      <c r="C104" s="2688"/>
      <c r="D104" s="2700" t="s">
        <v>52</v>
      </c>
      <c r="E104" s="2689"/>
      <c r="F104" s="2689"/>
      <c r="G104" s="2713">
        <f>ROUND(G103,2)</f>
        <v>6961</v>
      </c>
    </row>
    <row r="105" spans="1:8">
      <c r="A105" s="2708"/>
      <c r="B105" s="2677"/>
      <c r="C105" s="2688"/>
      <c r="D105" s="2700"/>
      <c r="E105" s="2689"/>
      <c r="F105" s="2689"/>
      <c r="G105" s="2693" t="s">
        <v>53</v>
      </c>
    </row>
    <row r="106" spans="1:8" ht="77.099999999999994" customHeight="1">
      <c r="A106" s="2680">
        <f>A75+1</f>
        <v>4</v>
      </c>
      <c r="B106" s="4041" t="s">
        <v>2967</v>
      </c>
      <c r="C106" s="4041"/>
      <c r="D106" s="4041"/>
      <c r="E106" s="4041"/>
      <c r="F106" s="4041"/>
      <c r="G106" s="4041"/>
    </row>
    <row r="107" spans="1:8">
      <c r="A107" s="2708"/>
      <c r="B107" s="2689" t="s">
        <v>102</v>
      </c>
      <c r="C107" s="2688"/>
      <c r="D107" s="2682" t="s">
        <v>103</v>
      </c>
      <c r="E107" s="2688"/>
      <c r="F107" s="2688"/>
      <c r="G107" s="2688"/>
    </row>
    <row r="108" spans="1:8">
      <c r="A108" s="2708"/>
      <c r="B108" s="2677"/>
      <c r="C108" s="2688"/>
      <c r="D108" s="2700" t="s">
        <v>104</v>
      </c>
      <c r="E108" s="2688"/>
      <c r="F108" s="2688"/>
      <c r="G108" s="2688"/>
    </row>
    <row r="109" spans="1:8">
      <c r="A109" s="2708"/>
      <c r="B109" s="2677"/>
      <c r="C109" s="2688"/>
      <c r="D109" s="2713" t="s">
        <v>105</v>
      </c>
      <c r="E109" s="2688"/>
      <c r="F109" s="2688"/>
      <c r="G109" s="2688"/>
    </row>
    <row r="110" spans="1:8">
      <c r="A110" s="2708"/>
      <c r="B110" s="2687" t="s">
        <v>36</v>
      </c>
      <c r="C110" s="2709" t="s">
        <v>37</v>
      </c>
      <c r="D110" s="2688"/>
      <c r="E110" s="2688"/>
      <c r="F110" s="2688"/>
      <c r="G110" s="2688"/>
    </row>
    <row r="111" spans="1:8">
      <c r="A111" s="2708"/>
      <c r="B111" s="2689">
        <v>0.18</v>
      </c>
      <c r="C111" s="2677" t="s">
        <v>106</v>
      </c>
      <c r="D111" s="2700" t="s">
        <v>14</v>
      </c>
      <c r="E111" s="2689">
        <f>'SSR-rates'!$K$58</f>
        <v>575</v>
      </c>
      <c r="F111" s="2677" t="s">
        <v>38</v>
      </c>
      <c r="G111" s="2691">
        <f>ROUND(B111*E111,2)</f>
        <v>103.5</v>
      </c>
      <c r="H111" s="2401"/>
    </row>
    <row r="112" spans="1:8">
      <c r="A112" s="2708"/>
      <c r="B112" s="2689">
        <v>0.5</v>
      </c>
      <c r="C112" s="2677" t="s">
        <v>106</v>
      </c>
      <c r="D112" s="2700" t="s">
        <v>58</v>
      </c>
      <c r="E112" s="2689">
        <f>'SSR-rates'!$K$54</f>
        <v>615</v>
      </c>
      <c r="F112" s="2677" t="s">
        <v>38</v>
      </c>
      <c r="G112" s="2691">
        <f t="shared" ref="G112:G113" si="1">ROUND(B112*E112,2)</f>
        <v>307.5</v>
      </c>
    </row>
    <row r="113" spans="1:7">
      <c r="A113" s="2708"/>
      <c r="B113" s="2689">
        <v>4</v>
      </c>
      <c r="C113" s="2677" t="s">
        <v>106</v>
      </c>
      <c r="D113" s="2700" t="s">
        <v>59</v>
      </c>
      <c r="E113" s="2689">
        <f>'SSR-rates'!$K$60</f>
        <v>575</v>
      </c>
      <c r="F113" s="2677" t="s">
        <v>38</v>
      </c>
      <c r="G113" s="2691">
        <f t="shared" si="1"/>
        <v>2300</v>
      </c>
    </row>
    <row r="114" spans="1:7">
      <c r="A114" s="2687"/>
      <c r="B114" s="2692">
        <f>'Input Data'!$D$23</f>
        <v>0</v>
      </c>
      <c r="C114" s="2705"/>
      <c r="D114" s="2688" t="s">
        <v>17</v>
      </c>
      <c r="E114" s="2689">
        <f>SUM(G111:G113)</f>
        <v>2711</v>
      </c>
      <c r="F114" s="2677"/>
      <c r="G114" s="2691">
        <f>B114*E114</f>
        <v>0</v>
      </c>
    </row>
    <row r="115" spans="1:7">
      <c r="A115" s="2708"/>
      <c r="B115" s="2689"/>
      <c r="C115" s="2688"/>
      <c r="D115" s="2700" t="s">
        <v>60</v>
      </c>
      <c r="E115" s="2689"/>
      <c r="F115" s="2689"/>
      <c r="G115" s="2693">
        <f>SUM(G111:G114)</f>
        <v>2711</v>
      </c>
    </row>
    <row r="116" spans="1:7">
      <c r="A116" s="2708"/>
      <c r="B116" s="2687" t="s">
        <v>39</v>
      </c>
      <c r="C116" s="2709" t="s">
        <v>61</v>
      </c>
      <c r="D116" s="2688"/>
      <c r="E116" s="2689"/>
      <c r="F116" s="2689"/>
      <c r="G116" s="2691"/>
    </row>
    <row r="117" spans="1:7" ht="27.6">
      <c r="A117" s="2688"/>
      <c r="B117" s="2677">
        <f>0.07/2</f>
        <v>3.5000000000000003E-2</v>
      </c>
      <c r="C117" s="2689" t="s">
        <v>31</v>
      </c>
      <c r="D117" s="2710" t="s">
        <v>1716</v>
      </c>
      <c r="E117" s="2694">
        <f>lead!$J$31</f>
        <v>1760.9684020595876</v>
      </c>
      <c r="F117" s="2689" t="s">
        <v>31</v>
      </c>
      <c r="G117" s="2691">
        <f>ROUND(B117*E117,2)</f>
        <v>61.63</v>
      </c>
    </row>
    <row r="118" spans="1:7">
      <c r="A118" s="2688"/>
      <c r="B118" s="2677">
        <f>0.07/2</f>
        <v>3.5000000000000003E-2</v>
      </c>
      <c r="C118" s="2689" t="s">
        <v>31</v>
      </c>
      <c r="D118" s="2710" t="s">
        <v>1717</v>
      </c>
      <c r="E118" s="2694">
        <f>lead!$J$33</f>
        <v>1760.9684020595876</v>
      </c>
      <c r="F118" s="2689" t="s">
        <v>31</v>
      </c>
      <c r="G118" s="2691">
        <f>ROUND(B118*E118,2)</f>
        <v>61.63</v>
      </c>
    </row>
    <row r="119" spans="1:7">
      <c r="A119" s="2688"/>
      <c r="B119" s="2677">
        <v>0.05</v>
      </c>
      <c r="C119" s="2689" t="s">
        <v>66</v>
      </c>
      <c r="D119" s="2688" t="s">
        <v>67</v>
      </c>
      <c r="E119" s="2689">
        <f>+lead!$J$36</f>
        <v>5000</v>
      </c>
      <c r="F119" s="2700" t="s">
        <v>66</v>
      </c>
      <c r="G119" s="2691">
        <f t="shared" ref="G119:G121" si="2">ROUND(B119*E119,2)</f>
        <v>250</v>
      </c>
    </row>
    <row r="120" spans="1:7">
      <c r="A120" s="2708"/>
      <c r="B120" s="2689">
        <v>12.5</v>
      </c>
      <c r="C120" s="2677" t="s">
        <v>107</v>
      </c>
      <c r="D120" s="2700" t="s">
        <v>108</v>
      </c>
      <c r="E120" s="2689">
        <f>+lead!J44</f>
        <v>11330.080326981471</v>
      </c>
      <c r="F120" s="2689" t="s">
        <v>107</v>
      </c>
      <c r="G120" s="2691">
        <f t="shared" si="2"/>
        <v>141626</v>
      </c>
    </row>
    <row r="121" spans="1:7">
      <c r="A121" s="2708"/>
      <c r="B121" s="2689">
        <v>4</v>
      </c>
      <c r="C121" s="2677" t="s">
        <v>106</v>
      </c>
      <c r="D121" s="2700" t="s">
        <v>108</v>
      </c>
      <c r="E121" s="2689">
        <f>+lead!J52</f>
        <v>1252.68</v>
      </c>
      <c r="F121" s="2689" t="s">
        <v>241</v>
      </c>
      <c r="G121" s="2691">
        <f t="shared" si="2"/>
        <v>5010.72</v>
      </c>
    </row>
    <row r="122" spans="1:7">
      <c r="A122" s="2708"/>
      <c r="B122" s="2689"/>
      <c r="C122" s="2705"/>
      <c r="D122" s="2700" t="s">
        <v>60</v>
      </c>
      <c r="E122" s="2689"/>
      <c r="F122" s="2689"/>
      <c r="G122" s="2693">
        <f>SUM(G117:G121)</f>
        <v>147009.98000000001</v>
      </c>
    </row>
    <row r="123" spans="1:7">
      <c r="A123" s="2687"/>
      <c r="B123" s="2687" t="s">
        <v>27</v>
      </c>
      <c r="C123" s="2682" t="s">
        <v>1238</v>
      </c>
      <c r="D123" s="2688"/>
      <c r="E123" s="2690"/>
      <c r="F123" s="2690"/>
      <c r="G123" s="2714"/>
    </row>
    <row r="124" spans="1:7">
      <c r="A124" s="2687"/>
      <c r="B124" s="2699">
        <f>'Input Data'!$D$24</f>
        <v>0.13614999999999999</v>
      </c>
      <c r="C124" s="2705"/>
      <c r="D124" s="2700" t="str">
        <f>"Over head charges "&amp;'Input Data'!$D$24*100&amp;"%  on (A) + (B)"</f>
        <v>Over head charges 13.615%  on (A) + (B)</v>
      </c>
      <c r="E124" s="2705">
        <f>G122+G115</f>
        <v>149720.98000000001</v>
      </c>
      <c r="F124" s="2690"/>
      <c r="G124" s="2691">
        <f>E124*B124</f>
        <v>20384.511427000001</v>
      </c>
    </row>
    <row r="125" spans="1:7">
      <c r="A125" s="2687"/>
      <c r="B125" s="2701">
        <f>'Input Data'!$E$24</f>
        <v>0.1</v>
      </c>
      <c r="C125" s="2702" t="s">
        <v>1220</v>
      </c>
      <c r="D125" s="2700"/>
      <c r="E125" s="2705">
        <f>E124+G124</f>
        <v>170105.491427</v>
      </c>
      <c r="F125" s="2690"/>
      <c r="G125" s="2691">
        <f>E125*B125</f>
        <v>17010.549142700002</v>
      </c>
    </row>
    <row r="126" spans="1:7">
      <c r="A126" s="2687"/>
      <c r="B126" s="2687" t="s">
        <v>45</v>
      </c>
      <c r="C126" s="2682" t="s">
        <v>46</v>
      </c>
      <c r="D126" s="2688"/>
      <c r="E126" s="2690"/>
      <c r="F126" s="2690"/>
      <c r="G126" s="2693">
        <f>G115+G122+G124+G125</f>
        <v>187116.04056970001</v>
      </c>
    </row>
    <row r="127" spans="1:7">
      <c r="A127" s="2708"/>
      <c r="B127" s="2689"/>
      <c r="C127" s="2690"/>
      <c r="D127" s="2709" t="s">
        <v>1848</v>
      </c>
      <c r="E127" s="2689"/>
      <c r="F127" s="2689"/>
      <c r="G127" s="2693">
        <f>SUM(G126:G126)</f>
        <v>187116.04056970001</v>
      </c>
    </row>
    <row r="128" spans="1:7">
      <c r="A128" s="2708"/>
      <c r="B128" s="2689"/>
      <c r="C128" s="2690"/>
      <c r="D128" s="2700" t="s">
        <v>111</v>
      </c>
      <c r="E128" s="2689"/>
      <c r="F128" s="2689"/>
      <c r="G128" s="2691">
        <f>ROUND(G127/12.5,2)</f>
        <v>14969.28</v>
      </c>
    </row>
    <row r="129" spans="1:8">
      <c r="A129" s="2708"/>
      <c r="B129" s="2677"/>
      <c r="C129" s="2688"/>
      <c r="D129" s="2700" t="s">
        <v>52</v>
      </c>
      <c r="E129" s="2689"/>
      <c r="F129" s="2689"/>
      <c r="G129" s="2703">
        <f>ROUND(G128,2)</f>
        <v>14969.28</v>
      </c>
    </row>
    <row r="130" spans="1:8">
      <c r="A130" s="2708"/>
      <c r="B130" s="2677"/>
      <c r="C130" s="2688"/>
      <c r="D130" s="2700"/>
      <c r="E130" s="2689"/>
      <c r="F130" s="2689"/>
      <c r="G130" s="2693" t="s">
        <v>112</v>
      </c>
    </row>
    <row r="131" spans="1:8">
      <c r="A131" s="2708"/>
      <c r="B131" s="2677"/>
      <c r="C131" s="2688"/>
      <c r="D131" s="2700"/>
      <c r="E131" s="2689"/>
      <c r="F131" s="2689"/>
      <c r="G131" s="2693"/>
    </row>
    <row r="132" spans="1:8" ht="90.9" customHeight="1">
      <c r="A132" s="2715">
        <f>A106+1</f>
        <v>5</v>
      </c>
      <c r="B132" s="4041" t="s">
        <v>2968</v>
      </c>
      <c r="C132" s="4041"/>
      <c r="D132" s="4041"/>
      <c r="E132" s="4041"/>
      <c r="F132" s="4041"/>
      <c r="G132" s="4041"/>
    </row>
    <row r="133" spans="1:8">
      <c r="A133" s="2708"/>
      <c r="B133" s="2689" t="s">
        <v>102</v>
      </c>
      <c r="C133" s="2688"/>
      <c r="D133" s="2682" t="s">
        <v>1849</v>
      </c>
      <c r="E133" s="2688"/>
      <c r="F133" s="2688"/>
      <c r="G133" s="2688"/>
    </row>
    <row r="134" spans="1:8">
      <c r="A134" s="2708"/>
      <c r="B134" s="2677"/>
      <c r="C134" s="2688"/>
      <c r="D134" s="2700" t="s">
        <v>104</v>
      </c>
      <c r="E134" s="2688"/>
      <c r="F134" s="2688"/>
      <c r="G134" s="2688"/>
    </row>
    <row r="135" spans="1:8">
      <c r="A135" s="2708"/>
      <c r="B135" s="2677"/>
      <c r="C135" s="2688"/>
      <c r="D135" s="2713" t="s">
        <v>1850</v>
      </c>
      <c r="E135" s="2688"/>
      <c r="F135" s="2688"/>
      <c r="G135" s="2688"/>
    </row>
    <row r="136" spans="1:8">
      <c r="A136" s="2708"/>
      <c r="B136" s="2687" t="s">
        <v>36</v>
      </c>
      <c r="C136" s="2709" t="s">
        <v>37</v>
      </c>
      <c r="D136" s="2688"/>
      <c r="E136" s="2688"/>
      <c r="F136" s="2688"/>
      <c r="G136" s="2688"/>
    </row>
    <row r="137" spans="1:8">
      <c r="A137" s="2708"/>
      <c r="B137" s="2689">
        <v>0.08</v>
      </c>
      <c r="C137" s="2677" t="s">
        <v>106</v>
      </c>
      <c r="D137" s="2700" t="s">
        <v>14</v>
      </c>
      <c r="E137" s="2689">
        <f>'SSR-rates'!$K$58</f>
        <v>575</v>
      </c>
      <c r="F137" s="2677" t="s">
        <v>38</v>
      </c>
      <c r="G137" s="2691">
        <f>ROUND(B137*E137,2)</f>
        <v>46</v>
      </c>
      <c r="H137" s="2401"/>
    </row>
    <row r="138" spans="1:8">
      <c r="A138" s="2708"/>
      <c r="B138" s="2689">
        <v>0.25</v>
      </c>
      <c r="C138" s="2677" t="s">
        <v>106</v>
      </c>
      <c r="D138" s="2700" t="s">
        <v>58</v>
      </c>
      <c r="E138" s="2689">
        <f>'SSR-rates'!$K$54</f>
        <v>615</v>
      </c>
      <c r="F138" s="2677" t="s">
        <v>38</v>
      </c>
      <c r="G138" s="2691">
        <f>ROUND(B138*E138,2)</f>
        <v>153.75</v>
      </c>
    </row>
    <row r="139" spans="1:8">
      <c r="A139" s="2708"/>
      <c r="B139" s="2689">
        <v>2</v>
      </c>
      <c r="C139" s="2677" t="s">
        <v>106</v>
      </c>
      <c r="D139" s="2700" t="s">
        <v>59</v>
      </c>
      <c r="E139" s="2689">
        <f>'SSR-rates'!$K$60</f>
        <v>575</v>
      </c>
      <c r="F139" s="2677" t="s">
        <v>38</v>
      </c>
      <c r="G139" s="2691">
        <f>ROUND(B139*E139,2)</f>
        <v>1150</v>
      </c>
    </row>
    <row r="140" spans="1:8">
      <c r="A140" s="2687"/>
      <c r="B140" s="2692">
        <f>'Input Data'!$D$23</f>
        <v>0</v>
      </c>
      <c r="C140" s="2705"/>
      <c r="D140" s="2688" t="s">
        <v>17</v>
      </c>
      <c r="E140" s="2689">
        <f>SUM(G137:G139)</f>
        <v>1349.75</v>
      </c>
      <c r="F140" s="2677"/>
      <c r="G140" s="2691">
        <f>B140*E140</f>
        <v>0</v>
      </c>
    </row>
    <row r="141" spans="1:8">
      <c r="A141" s="2708"/>
      <c r="B141" s="2689"/>
      <c r="C141" s="2688"/>
      <c r="D141" s="2700" t="s">
        <v>60</v>
      </c>
      <c r="E141" s="2689"/>
      <c r="F141" s="2689"/>
      <c r="G141" s="2693">
        <f>SUM(G137:G140)</f>
        <v>1349.75</v>
      </c>
    </row>
    <row r="142" spans="1:8">
      <c r="A142" s="2708"/>
      <c r="B142" s="2687" t="s">
        <v>39</v>
      </c>
      <c r="C142" s="2709" t="s">
        <v>61</v>
      </c>
      <c r="D142" s="2688"/>
      <c r="E142" s="2689"/>
      <c r="F142" s="2689"/>
      <c r="G142" s="2691"/>
    </row>
    <row r="143" spans="1:8" ht="27.6">
      <c r="A143" s="2708"/>
      <c r="B143" s="2677">
        <f>0.03/2</f>
        <v>1.4999999999999999E-2</v>
      </c>
      <c r="C143" s="2689" t="s">
        <v>31</v>
      </c>
      <c r="D143" s="2710" t="s">
        <v>1716</v>
      </c>
      <c r="E143" s="2694">
        <f>lead!$J$31</f>
        <v>1760.9684020595876</v>
      </c>
      <c r="F143" s="2689" t="s">
        <v>31</v>
      </c>
      <c r="G143" s="2691">
        <f>ROUND(B143*E143,2)</f>
        <v>26.41</v>
      </c>
    </row>
    <row r="144" spans="1:8">
      <c r="A144" s="2708"/>
      <c r="B144" s="2677">
        <f>0.03/2</f>
        <v>1.4999999999999999E-2</v>
      </c>
      <c r="C144" s="2689" t="s">
        <v>31</v>
      </c>
      <c r="D144" s="2710" t="s">
        <v>1717</v>
      </c>
      <c r="E144" s="2694">
        <f>lead!$J$33</f>
        <v>1760.9684020595876</v>
      </c>
      <c r="F144" s="2689" t="s">
        <v>31</v>
      </c>
      <c r="G144" s="2691">
        <f>ROUND(B144*E144,2)</f>
        <v>26.41</v>
      </c>
    </row>
    <row r="145" spans="1:7">
      <c r="A145" s="2708"/>
      <c r="B145" s="2677">
        <v>0.04</v>
      </c>
      <c r="C145" s="2689" t="s">
        <v>66</v>
      </c>
      <c r="D145" s="2688" t="s">
        <v>67</v>
      </c>
      <c r="E145" s="2689">
        <f>+lead!$J$36</f>
        <v>5000</v>
      </c>
      <c r="F145" s="2677" t="s">
        <v>38</v>
      </c>
      <c r="G145" s="2691">
        <f t="shared" ref="G145:G147" si="3">ROUND(B145*E145,2)</f>
        <v>200</v>
      </c>
    </row>
    <row r="146" spans="1:7">
      <c r="A146" s="2708"/>
      <c r="B146" s="2689">
        <v>12.5</v>
      </c>
      <c r="C146" s="2677" t="s">
        <v>107</v>
      </c>
      <c r="D146" s="2700" t="s">
        <v>1851</v>
      </c>
      <c r="E146" s="2689">
        <f>+lead!J45</f>
        <v>8578.870070413237</v>
      </c>
      <c r="F146" s="2689" t="s">
        <v>107</v>
      </c>
      <c r="G146" s="2691">
        <f t="shared" si="3"/>
        <v>107235.88</v>
      </c>
    </row>
    <row r="147" spans="1:7">
      <c r="A147" s="2708"/>
      <c r="B147" s="2689">
        <v>4</v>
      </c>
      <c r="C147" s="2677" t="s">
        <v>106</v>
      </c>
      <c r="D147" s="2700" t="s">
        <v>1851</v>
      </c>
      <c r="E147" s="2689">
        <f>+lead!J53</f>
        <v>996.44</v>
      </c>
      <c r="F147" s="2689" t="s">
        <v>241</v>
      </c>
      <c r="G147" s="2691">
        <f t="shared" si="3"/>
        <v>3985.76</v>
      </c>
    </row>
    <row r="148" spans="1:7">
      <c r="A148" s="2708"/>
      <c r="B148" s="2689"/>
      <c r="C148" s="2705"/>
      <c r="D148" s="2700" t="s">
        <v>60</v>
      </c>
      <c r="E148" s="2689"/>
      <c r="F148" s="2689"/>
      <c r="G148" s="2693">
        <f>SUM(G143:G147)</f>
        <v>111474.46</v>
      </c>
    </row>
    <row r="149" spans="1:7">
      <c r="A149" s="2687"/>
      <c r="B149" s="2687" t="s">
        <v>27</v>
      </c>
      <c r="C149" s="2682" t="s">
        <v>1238</v>
      </c>
      <c r="D149" s="2688"/>
      <c r="E149" s="2690"/>
      <c r="F149" s="2690"/>
      <c r="G149" s="2693"/>
    </row>
    <row r="150" spans="1:7">
      <c r="A150" s="2687"/>
      <c r="B150" s="2699">
        <f>'Input Data'!$D$24</f>
        <v>0.13614999999999999</v>
      </c>
      <c r="C150" s="2705"/>
      <c r="D150" s="2700" t="str">
        <f>"Over head charges "&amp;'Input Data'!$D$24*100&amp;"%  on (A) + (B)"</f>
        <v>Over head charges 13.615%  on (A) + (B)</v>
      </c>
      <c r="E150" s="2705">
        <f>G148+G141</f>
        <v>112824.21</v>
      </c>
      <c r="F150" s="2690"/>
      <c r="G150" s="2691">
        <f>E150*B150</f>
        <v>15361.016191500001</v>
      </c>
    </row>
    <row r="151" spans="1:7">
      <c r="A151" s="2687"/>
      <c r="B151" s="2687" t="s">
        <v>45</v>
      </c>
      <c r="C151" s="2682" t="s">
        <v>46</v>
      </c>
      <c r="D151" s="2688"/>
      <c r="E151" s="2690"/>
      <c r="F151" s="2690"/>
      <c r="G151" s="2693">
        <f>G141+G148+G150</f>
        <v>128185.22619150001</v>
      </c>
    </row>
    <row r="152" spans="1:7">
      <c r="A152" s="2708"/>
      <c r="B152" s="2689"/>
      <c r="C152" s="2690"/>
      <c r="D152" s="2709" t="s">
        <v>1848</v>
      </c>
      <c r="E152" s="2689"/>
      <c r="F152" s="2689"/>
      <c r="G152" s="2693">
        <f>SUM(G151:G151)</f>
        <v>128185.22619150001</v>
      </c>
    </row>
    <row r="153" spans="1:7">
      <c r="A153" s="2708"/>
      <c r="B153" s="2689"/>
      <c r="C153" s="2690"/>
      <c r="D153" s="2700" t="s">
        <v>111</v>
      </c>
      <c r="E153" s="2689"/>
      <c r="F153" s="2689"/>
      <c r="G153" s="2691">
        <f>ROUND(G152/12.5,2)</f>
        <v>10254.82</v>
      </c>
    </row>
    <row r="154" spans="1:7">
      <c r="A154" s="2708"/>
      <c r="B154" s="2677"/>
      <c r="C154" s="2688"/>
      <c r="D154" s="2700" t="s">
        <v>52</v>
      </c>
      <c r="E154" s="2689"/>
      <c r="F154" s="2689"/>
      <c r="G154" s="2703">
        <f>ROUND(G153,2)</f>
        <v>10254.82</v>
      </c>
    </row>
    <row r="155" spans="1:7">
      <c r="A155" s="2708"/>
      <c r="B155" s="2677"/>
      <c r="C155" s="2688"/>
      <c r="D155" s="2700"/>
      <c r="E155" s="2689"/>
      <c r="F155" s="2689"/>
      <c r="G155" s="2693" t="s">
        <v>112</v>
      </c>
    </row>
    <row r="156" spans="1:7">
      <c r="A156" s="2708"/>
      <c r="B156" s="2689"/>
      <c r="C156" s="2690"/>
      <c r="D156" s="2716"/>
      <c r="E156" s="2689"/>
      <c r="F156" s="2689"/>
      <c r="G156" s="2714"/>
    </row>
    <row r="157" spans="1:7" ht="77.099999999999994" customHeight="1">
      <c r="A157" s="2715">
        <f>A132+1</f>
        <v>6</v>
      </c>
      <c r="B157" s="4041" t="s">
        <v>1852</v>
      </c>
      <c r="C157" s="4041"/>
      <c r="D157" s="4041"/>
      <c r="E157" s="4041"/>
      <c r="F157" s="4041"/>
      <c r="G157" s="4041"/>
    </row>
    <row r="158" spans="1:7">
      <c r="A158" s="2708"/>
      <c r="B158" s="2689" t="s">
        <v>10</v>
      </c>
      <c r="C158" s="2688"/>
      <c r="D158" s="2682" t="s">
        <v>83</v>
      </c>
      <c r="E158" s="2688"/>
      <c r="F158" s="2688"/>
      <c r="G158" s="2697"/>
    </row>
    <row r="159" spans="1:7">
      <c r="A159" s="2708"/>
      <c r="B159" s="2677"/>
      <c r="C159" s="2688"/>
      <c r="D159" s="2700" t="s">
        <v>84</v>
      </c>
      <c r="E159" s="2688"/>
      <c r="F159" s="2688"/>
      <c r="G159" s="2697"/>
    </row>
    <row r="160" spans="1:7">
      <c r="A160" s="2708"/>
      <c r="B160" s="2687" t="s">
        <v>36</v>
      </c>
      <c r="C160" s="2709" t="s">
        <v>37</v>
      </c>
      <c r="D160" s="2688"/>
      <c r="E160" s="2688"/>
      <c r="F160" s="2688"/>
      <c r="G160" s="2697"/>
    </row>
    <row r="161" spans="1:7">
      <c r="A161" s="2708"/>
      <c r="B161" s="2689">
        <v>0.28000000000000003</v>
      </c>
      <c r="C161" s="2677" t="s">
        <v>905</v>
      </c>
      <c r="D161" s="2700" t="s">
        <v>14</v>
      </c>
      <c r="E161" s="2689">
        <f>'SSR-rates'!K$58</f>
        <v>575</v>
      </c>
      <c r="F161" s="2677" t="s">
        <v>38</v>
      </c>
      <c r="G161" s="2691">
        <f>ROUND(B161*E161,2)</f>
        <v>161</v>
      </c>
    </row>
    <row r="162" spans="1:7">
      <c r="A162" s="2708"/>
      <c r="B162" s="2689">
        <v>7</v>
      </c>
      <c r="C162" s="2677" t="s">
        <v>905</v>
      </c>
      <c r="D162" s="2700" t="s">
        <v>59</v>
      </c>
      <c r="E162" s="2689">
        <f>'SSR-rates'!K$60</f>
        <v>575</v>
      </c>
      <c r="F162" s="2677" t="s">
        <v>38</v>
      </c>
      <c r="G162" s="2691">
        <f>ROUND(B162*E162,2)</f>
        <v>4025</v>
      </c>
    </row>
    <row r="163" spans="1:7">
      <c r="A163" s="2687"/>
      <c r="B163" s="2692">
        <f>'Input Data'!$D$23</f>
        <v>0</v>
      </c>
      <c r="C163" s="2705"/>
      <c r="D163" s="2688" t="s">
        <v>17</v>
      </c>
      <c r="E163" s="2689">
        <f>SUM(G161:G162)</f>
        <v>4186</v>
      </c>
      <c r="F163" s="2677"/>
      <c r="G163" s="2691">
        <f>B163*E163</f>
        <v>0</v>
      </c>
    </row>
    <row r="164" spans="1:7">
      <c r="A164" s="2708"/>
      <c r="B164" s="2689" t="s">
        <v>85</v>
      </c>
      <c r="C164" s="2688"/>
      <c r="D164" s="2700" t="s">
        <v>60</v>
      </c>
      <c r="E164" s="2689"/>
      <c r="F164" s="2677"/>
      <c r="G164" s="2691">
        <f>SUM(G161:G163)</f>
        <v>4186</v>
      </c>
    </row>
    <row r="165" spans="1:7">
      <c r="A165" s="2708"/>
      <c r="B165" s="2689"/>
      <c r="C165" s="2688"/>
      <c r="D165" s="2700"/>
      <c r="E165" s="2689"/>
      <c r="F165" s="2689"/>
      <c r="G165" s="2691"/>
    </row>
    <row r="166" spans="1:7">
      <c r="A166" s="2708"/>
      <c r="B166" s="2687" t="s">
        <v>39</v>
      </c>
      <c r="C166" s="2709" t="s">
        <v>61</v>
      </c>
      <c r="D166" s="2688"/>
      <c r="E166" s="2689"/>
      <c r="F166" s="2689"/>
      <c r="G166" s="2691"/>
    </row>
    <row r="167" spans="1:7">
      <c r="A167" s="2708"/>
      <c r="B167" s="2689">
        <v>12</v>
      </c>
      <c r="C167" s="2677" t="s">
        <v>31</v>
      </c>
      <c r="D167" s="2700" t="s">
        <v>1853</v>
      </c>
      <c r="E167" s="2689">
        <f>lead!J35</f>
        <v>143.07604629670379</v>
      </c>
      <c r="F167" s="2689" t="s">
        <v>31</v>
      </c>
      <c r="G167" s="2691">
        <f>ROUND(B167*E167,2)</f>
        <v>1716.91</v>
      </c>
    </row>
    <row r="168" spans="1:7">
      <c r="A168" s="2708"/>
      <c r="B168" s="2689"/>
      <c r="C168" s="2688"/>
      <c r="D168" s="2700" t="s">
        <v>60</v>
      </c>
      <c r="E168" s="2689"/>
      <c r="F168" s="2689"/>
      <c r="G168" s="2691">
        <f>SUM(G167:G167)</f>
        <v>1716.91</v>
      </c>
    </row>
    <row r="169" spans="1:7">
      <c r="A169" s="2708"/>
      <c r="B169" s="2687" t="s">
        <v>87</v>
      </c>
      <c r="C169" s="2709" t="s">
        <v>40</v>
      </c>
      <c r="D169" s="2688"/>
      <c r="E169" s="2689"/>
      <c r="F169" s="2689"/>
      <c r="G169" s="2691"/>
    </row>
    <row r="170" spans="1:7">
      <c r="A170" s="2708"/>
      <c r="B170" s="2689">
        <v>2.5</v>
      </c>
      <c r="C170" s="2677" t="s">
        <v>41</v>
      </c>
      <c r="D170" s="2700" t="s">
        <v>88</v>
      </c>
      <c r="E170" s="2689">
        <f>'SSR-rates'!K91</f>
        <v>59</v>
      </c>
      <c r="F170" s="2689" t="s">
        <v>41</v>
      </c>
      <c r="G170" s="2691">
        <f>ROUND(B170*E170,2)</f>
        <v>147.5</v>
      </c>
    </row>
    <row r="171" spans="1:7">
      <c r="A171" s="2708"/>
      <c r="B171" s="2689">
        <v>0.05</v>
      </c>
      <c r="C171" s="2677" t="s">
        <v>41</v>
      </c>
      <c r="D171" s="2700" t="s">
        <v>70</v>
      </c>
      <c r="E171" s="2689">
        <f>'SSR-rates'!K69</f>
        <v>769</v>
      </c>
      <c r="F171" s="2689" t="s">
        <v>41</v>
      </c>
      <c r="G171" s="2691">
        <f>ROUND(B171*E171,2)</f>
        <v>38.450000000000003</v>
      </c>
    </row>
    <row r="172" spans="1:7">
      <c r="A172" s="2708"/>
      <c r="B172" s="2689"/>
      <c r="C172" s="2690"/>
      <c r="D172" s="2700" t="s">
        <v>60</v>
      </c>
      <c r="E172" s="2689"/>
      <c r="F172" s="2689"/>
      <c r="G172" s="2691">
        <f>SUM(G170:G171)</f>
        <v>185.95</v>
      </c>
    </row>
    <row r="173" spans="1:7">
      <c r="A173" s="2687"/>
      <c r="B173" s="2687" t="s">
        <v>45</v>
      </c>
      <c r="C173" s="2682" t="s">
        <v>1854</v>
      </c>
      <c r="D173" s="2688"/>
      <c r="E173" s="2690"/>
      <c r="F173" s="2690"/>
      <c r="G173" s="2693"/>
    </row>
    <row r="174" spans="1:7" ht="15" customHeight="1">
      <c r="A174" s="2687"/>
      <c r="B174" s="2699">
        <f>'Input Data'!$D$24</f>
        <v>0.13614999999999999</v>
      </c>
      <c r="C174" s="4042" t="str">
        <f>"Over head charges &amp; CP "&amp;'Input Data'!$D$24*100&amp;"%  on (A) + (B)+(C)"</f>
        <v>Over head charges &amp; CP 13.615%  on (A) + (B)+(C)</v>
      </c>
      <c r="D174" s="4042"/>
      <c r="E174" s="2689">
        <f>G172+G168+G164</f>
        <v>6088.8600000000006</v>
      </c>
      <c r="F174" s="2690"/>
      <c r="G174" s="2691">
        <f>E174*B174</f>
        <v>828.998289</v>
      </c>
    </row>
    <row r="175" spans="1:7">
      <c r="A175" s="2687"/>
      <c r="B175" s="2687" t="s">
        <v>47</v>
      </c>
      <c r="C175" s="2682" t="s">
        <v>89</v>
      </c>
      <c r="D175" s="2688"/>
      <c r="E175" s="2690"/>
      <c r="F175" s="2690"/>
      <c r="G175" s="2693">
        <f>G164+G168+G172+G174</f>
        <v>6917.8582889999998</v>
      </c>
    </row>
    <row r="176" spans="1:7">
      <c r="A176" s="2708"/>
      <c r="B176" s="2689"/>
      <c r="C176" s="2690"/>
      <c r="D176" s="2709" t="s">
        <v>1855</v>
      </c>
      <c r="E176" s="2689"/>
      <c r="F176" s="2689"/>
      <c r="G176" s="2693">
        <f>SUM(G175:G175)</f>
        <v>6917.8582889999998</v>
      </c>
    </row>
    <row r="177" spans="1:7">
      <c r="A177" s="2708"/>
      <c r="B177" s="2689"/>
      <c r="C177" s="2690"/>
      <c r="D177" s="2700" t="s">
        <v>50</v>
      </c>
      <c r="E177" s="2689"/>
      <c r="F177" s="2689"/>
      <c r="G177" s="2691">
        <f>G176/10</f>
        <v>691.78582889999996</v>
      </c>
    </row>
    <row r="178" spans="1:7">
      <c r="A178" s="2708"/>
      <c r="B178" s="2677"/>
      <c r="C178" s="2688"/>
      <c r="D178" s="2700" t="s">
        <v>52</v>
      </c>
      <c r="E178" s="2689"/>
      <c r="F178" s="2689"/>
      <c r="G178" s="2703">
        <f>ROUND(G177,2)</f>
        <v>691.79</v>
      </c>
    </row>
    <row r="179" spans="1:7">
      <c r="A179" s="2708"/>
      <c r="B179" s="2677"/>
      <c r="C179" s="2688"/>
      <c r="D179" s="2700"/>
      <c r="E179" s="2689"/>
      <c r="F179" s="2689"/>
      <c r="G179" s="2693" t="s">
        <v>53</v>
      </c>
    </row>
    <row r="180" spans="1:7">
      <c r="A180" s="2708"/>
      <c r="B180" s="2677"/>
      <c r="C180" s="2688"/>
      <c r="D180" s="2700"/>
      <c r="E180" s="2689"/>
      <c r="F180" s="2689"/>
      <c r="G180" s="2693"/>
    </row>
    <row r="181" spans="1:7" ht="84.9" customHeight="1">
      <c r="A181" s="2717">
        <f>A157+1</f>
        <v>7</v>
      </c>
      <c r="B181" s="4041" t="s">
        <v>116</v>
      </c>
      <c r="C181" s="4041"/>
      <c r="D181" s="4041"/>
      <c r="E181" s="4041"/>
      <c r="F181" s="4041"/>
      <c r="G181" s="4041"/>
    </row>
    <row r="182" spans="1:7">
      <c r="A182" s="2708"/>
      <c r="B182" s="2689" t="s">
        <v>10</v>
      </c>
      <c r="C182" s="2688"/>
      <c r="D182" s="2682" t="s">
        <v>117</v>
      </c>
      <c r="E182" s="2688"/>
      <c r="F182" s="2688"/>
      <c r="G182" s="2688"/>
    </row>
    <row r="183" spans="1:7">
      <c r="A183" s="2708"/>
      <c r="B183" s="2677"/>
      <c r="C183" s="2688"/>
      <c r="D183" s="2700" t="s">
        <v>115</v>
      </c>
      <c r="E183" s="2688"/>
      <c r="F183" s="2688"/>
      <c r="G183" s="2688"/>
    </row>
    <row r="184" spans="1:7">
      <c r="A184" s="2708"/>
      <c r="B184" s="2687" t="s">
        <v>36</v>
      </c>
      <c r="C184" s="2709" t="s">
        <v>37</v>
      </c>
      <c r="D184" s="2688"/>
      <c r="E184" s="2688"/>
      <c r="F184" s="2688"/>
      <c r="G184" s="2688"/>
    </row>
    <row r="185" spans="1:7">
      <c r="A185" s="2708"/>
      <c r="B185" s="2689">
        <v>0.04</v>
      </c>
      <c r="C185" s="2677" t="s">
        <v>57</v>
      </c>
      <c r="D185" s="2700" t="s">
        <v>14</v>
      </c>
      <c r="E185" s="2689">
        <f>'SSR-rates'!$K$58</f>
        <v>575</v>
      </c>
      <c r="F185" s="2677" t="s">
        <v>38</v>
      </c>
      <c r="G185" s="2691">
        <f>ROUND(B185*E185,2)</f>
        <v>23</v>
      </c>
    </row>
    <row r="186" spans="1:7">
      <c r="A186" s="2708"/>
      <c r="B186" s="2689">
        <v>0.35</v>
      </c>
      <c r="C186" s="2677" t="s">
        <v>57</v>
      </c>
      <c r="D186" s="2700" t="s">
        <v>58</v>
      </c>
      <c r="E186" s="2689">
        <f>'SSR-rates'!$K$54</f>
        <v>615</v>
      </c>
      <c r="F186" s="2677" t="s">
        <v>38</v>
      </c>
      <c r="G186" s="2691">
        <f>ROUND(B186*E186,2)</f>
        <v>215.25</v>
      </c>
    </row>
    <row r="187" spans="1:7">
      <c r="A187" s="2708"/>
      <c r="B187" s="2689">
        <v>0.75</v>
      </c>
      <c r="C187" s="2677" t="s">
        <v>57</v>
      </c>
      <c r="D187" s="2700" t="s">
        <v>59</v>
      </c>
      <c r="E187" s="2689">
        <f>'SSR-rates'!$K$60</f>
        <v>575</v>
      </c>
      <c r="F187" s="2677" t="s">
        <v>38</v>
      </c>
      <c r="G187" s="2691">
        <f>ROUND(B187*E187,2)</f>
        <v>431.25</v>
      </c>
    </row>
    <row r="188" spans="1:7">
      <c r="A188" s="2687"/>
      <c r="B188" s="2692">
        <f>'Input Data'!$D$23</f>
        <v>0</v>
      </c>
      <c r="C188" s="2705"/>
      <c r="D188" s="2688" t="s">
        <v>17</v>
      </c>
      <c r="E188" s="2689">
        <f>SUM(G185:G187)</f>
        <v>669.5</v>
      </c>
      <c r="F188" s="2677"/>
      <c r="G188" s="2691">
        <f>B188*E188</f>
        <v>0</v>
      </c>
    </row>
    <row r="189" spans="1:7">
      <c r="A189" s="2708"/>
      <c r="B189" s="2689" t="s">
        <v>85</v>
      </c>
      <c r="C189" s="2688"/>
      <c r="D189" s="2700" t="s">
        <v>60</v>
      </c>
      <c r="E189" s="2689"/>
      <c r="F189" s="2677"/>
      <c r="G189" s="2691">
        <f>SUM(G185:G188)</f>
        <v>669.5</v>
      </c>
    </row>
    <row r="190" spans="1:7">
      <c r="A190" s="2708"/>
      <c r="B190" s="2689"/>
      <c r="C190" s="2688"/>
      <c r="D190" s="2700"/>
      <c r="E190" s="2689"/>
      <c r="F190" s="2689"/>
      <c r="G190" s="2691"/>
    </row>
    <row r="191" spans="1:7">
      <c r="A191" s="2708"/>
      <c r="B191" s="2687" t="s">
        <v>39</v>
      </c>
      <c r="C191" s="2709" t="s">
        <v>61</v>
      </c>
      <c r="D191" s="2688"/>
      <c r="E191" s="2689"/>
      <c r="F191" s="2689"/>
      <c r="G191" s="2691"/>
    </row>
    <row r="192" spans="1:7">
      <c r="A192" s="2708"/>
      <c r="B192" s="2689">
        <v>1</v>
      </c>
      <c r="C192" s="2677" t="s">
        <v>31</v>
      </c>
      <c r="D192" s="2700" t="s">
        <v>118</v>
      </c>
      <c r="E192" s="2689">
        <f>lead!J$23</f>
        <v>954.86419046780804</v>
      </c>
      <c r="F192" s="2689" t="s">
        <v>31</v>
      </c>
      <c r="G192" s="2691">
        <f>ROUND(B192*E192,2)</f>
        <v>954.86</v>
      </c>
    </row>
    <row r="193" spans="1:10">
      <c r="A193" s="2708"/>
      <c r="B193" s="2689">
        <v>0.2</v>
      </c>
      <c r="C193" s="2677" t="s">
        <v>31</v>
      </c>
      <c r="D193" s="2700" t="s">
        <v>119</v>
      </c>
      <c r="E193" s="2689">
        <f>lead!J$25</f>
        <v>725.86419046780804</v>
      </c>
      <c r="F193" s="2689" t="s">
        <v>31</v>
      </c>
      <c r="G193" s="2691">
        <f>ROUND(B193*E193,2)</f>
        <v>145.16999999999999</v>
      </c>
    </row>
    <row r="194" spans="1:10">
      <c r="A194" s="2708"/>
      <c r="B194" s="2689"/>
      <c r="C194" s="2688"/>
      <c r="D194" s="2700" t="s">
        <v>60</v>
      </c>
      <c r="E194" s="2689"/>
      <c r="F194" s="2689"/>
      <c r="G194" s="2691">
        <f>SUM(G192:G193)</f>
        <v>1100.03</v>
      </c>
    </row>
    <row r="195" spans="1:10">
      <c r="A195" s="2687"/>
      <c r="B195" s="2687" t="s">
        <v>27</v>
      </c>
      <c r="C195" s="2682" t="s">
        <v>1238</v>
      </c>
      <c r="D195" s="2688"/>
      <c r="E195" s="2690"/>
      <c r="F195" s="2690"/>
      <c r="G195" s="2693"/>
    </row>
    <row r="196" spans="1:10">
      <c r="A196" s="2687"/>
      <c r="B196" s="2699">
        <f>'Input Data'!$D$24</f>
        <v>0.13614999999999999</v>
      </c>
      <c r="C196" s="2705"/>
      <c r="D196" s="2700" t="str">
        <f>"Over head charges "&amp;'Input Data'!$D$24*100&amp;"%  on (A) + (B)"</f>
        <v>Over head charges 13.615%  on (A) + (B)</v>
      </c>
      <c r="E196" s="2705">
        <f>G194+G189</f>
        <v>1769.53</v>
      </c>
      <c r="F196" s="2690"/>
      <c r="G196" s="2691">
        <f>E196*B196</f>
        <v>240.92150949999998</v>
      </c>
    </row>
    <row r="197" spans="1:10">
      <c r="A197" s="2687"/>
      <c r="B197" s="2687" t="s">
        <v>45</v>
      </c>
      <c r="C197" s="2682" t="s">
        <v>46</v>
      </c>
      <c r="D197" s="2688"/>
      <c r="E197" s="2690"/>
      <c r="F197" s="2690"/>
      <c r="G197" s="2693">
        <f>G189+G194+G196</f>
        <v>2010.4515094999999</v>
      </c>
    </row>
    <row r="198" spans="1:10">
      <c r="A198" s="2708"/>
      <c r="B198" s="2689"/>
      <c r="C198" s="2690"/>
      <c r="D198" s="2709" t="s">
        <v>1846</v>
      </c>
      <c r="E198" s="2689"/>
      <c r="F198" s="2689"/>
      <c r="G198" s="2693">
        <f>SUM(G197:G197)</f>
        <v>2010.4515094999999</v>
      </c>
    </row>
    <row r="199" spans="1:10">
      <c r="A199" s="2708"/>
      <c r="B199" s="2677"/>
      <c r="C199" s="2688"/>
      <c r="D199" s="2700" t="s">
        <v>52</v>
      </c>
      <c r="E199" s="2689"/>
      <c r="F199" s="2689"/>
      <c r="G199" s="2703">
        <f>ROUND(G198,2)</f>
        <v>2010.45</v>
      </c>
    </row>
    <row r="200" spans="1:10">
      <c r="A200" s="2687"/>
      <c r="B200" s="2689"/>
      <c r="C200" s="2705"/>
      <c r="D200" s="2718"/>
      <c r="E200" s="2691"/>
      <c r="F200" s="2700"/>
      <c r="G200" s="2693" t="s">
        <v>53</v>
      </c>
    </row>
    <row r="201" spans="1:10">
      <c r="A201" s="2687"/>
      <c r="B201" s="2689"/>
      <c r="C201" s="2705"/>
      <c r="D201" s="2718"/>
      <c r="E201" s="2691"/>
      <c r="F201" s="2700"/>
      <c r="G201" s="2693"/>
    </row>
    <row r="202" spans="1:10" ht="89.1" customHeight="1">
      <c r="A202" s="2680">
        <v>5</v>
      </c>
      <c r="B202" s="4044" t="s">
        <v>1058</v>
      </c>
      <c r="C202" s="4044"/>
      <c r="D202" s="4044"/>
      <c r="E202" s="4044"/>
      <c r="F202" s="4044"/>
      <c r="G202" s="4044"/>
      <c r="H202" s="2719"/>
      <c r="I202" s="2719"/>
      <c r="J202" s="2719"/>
    </row>
    <row r="203" spans="1:10">
      <c r="A203" s="2688"/>
      <c r="B203" s="2688"/>
      <c r="C203" s="2688"/>
      <c r="D203" s="2700" t="s">
        <v>10</v>
      </c>
      <c r="E203" s="2720" t="s">
        <v>1856</v>
      </c>
      <c r="F203" s="2688"/>
      <c r="G203" s="2688"/>
    </row>
    <row r="204" spans="1:10">
      <c r="A204" s="2688"/>
      <c r="B204" s="2688"/>
      <c r="C204" s="2688"/>
      <c r="D204" s="2700" t="s">
        <v>56</v>
      </c>
      <c r="E204" s="2688"/>
      <c r="F204" s="2688"/>
      <c r="G204" s="2688"/>
    </row>
    <row r="205" spans="1:10">
      <c r="A205" s="2688"/>
      <c r="B205" s="2721" t="s">
        <v>36</v>
      </c>
      <c r="C205" s="2709" t="s">
        <v>37</v>
      </c>
      <c r="D205" s="2688"/>
      <c r="E205" s="2688"/>
      <c r="F205" s="2688"/>
      <c r="G205" s="2688"/>
    </row>
    <row r="206" spans="1:10">
      <c r="A206" s="2688"/>
      <c r="B206" s="2691">
        <v>0.86</v>
      </c>
      <c r="C206" s="2690" t="s">
        <v>57</v>
      </c>
      <c r="D206" s="2700" t="s">
        <v>14</v>
      </c>
      <c r="E206" s="2689">
        <f>+'SSR-rates'!$K$58</f>
        <v>575</v>
      </c>
      <c r="F206" s="2689" t="s">
        <v>38</v>
      </c>
      <c r="G206" s="2691">
        <f t="shared" ref="G206:G208" si="4">ROUND(B206*E206,2)</f>
        <v>494.5</v>
      </c>
    </row>
    <row r="207" spans="1:10">
      <c r="A207" s="2688"/>
      <c r="B207" s="2691">
        <v>1.5</v>
      </c>
      <c r="C207" s="2690" t="s">
        <v>57</v>
      </c>
      <c r="D207" s="2700" t="s">
        <v>58</v>
      </c>
      <c r="E207" s="2689">
        <f>+'SSR-rates'!$K$54</f>
        <v>615</v>
      </c>
      <c r="F207" s="2689" t="s">
        <v>38</v>
      </c>
      <c r="G207" s="2691">
        <f t="shared" si="4"/>
        <v>922.5</v>
      </c>
    </row>
    <row r="208" spans="1:10">
      <c r="A208" s="2688"/>
      <c r="B208" s="2691">
        <v>20</v>
      </c>
      <c r="C208" s="2690" t="s">
        <v>57</v>
      </c>
      <c r="D208" s="2700" t="s">
        <v>59</v>
      </c>
      <c r="E208" s="2689">
        <f>+'SSR-rates'!$K$60</f>
        <v>575</v>
      </c>
      <c r="F208" s="2689" t="s">
        <v>38</v>
      </c>
      <c r="G208" s="2691">
        <f t="shared" si="4"/>
        <v>11500</v>
      </c>
    </row>
    <row r="209" spans="1:7">
      <c r="A209" s="2687"/>
      <c r="B209" s="2722">
        <f>+'Input Data'!D48</f>
        <v>0</v>
      </c>
      <c r="C209" s="2705"/>
      <c r="D209" s="2688" t="s">
        <v>17</v>
      </c>
      <c r="E209" s="2689">
        <f>SUM(G206:G208)</f>
        <v>12917</v>
      </c>
      <c r="F209" s="2677"/>
      <c r="G209" s="2691">
        <f>B209*E209</f>
        <v>0</v>
      </c>
    </row>
    <row r="210" spans="1:7">
      <c r="A210" s="2688"/>
      <c r="B210" s="2691"/>
      <c r="C210" s="2688"/>
      <c r="D210" s="2700" t="s">
        <v>60</v>
      </c>
      <c r="E210" s="2689"/>
      <c r="F210" s="2689"/>
      <c r="G210" s="2693">
        <f>SUM(G206:G209)</f>
        <v>12917</v>
      </c>
    </row>
    <row r="211" spans="1:7">
      <c r="A211" s="2688"/>
      <c r="B211" s="2721" t="s">
        <v>39</v>
      </c>
      <c r="C211" s="2709" t="s">
        <v>61</v>
      </c>
      <c r="D211" s="2688"/>
      <c r="E211" s="2688"/>
      <c r="F211" s="2689"/>
      <c r="G211" s="2691"/>
    </row>
    <row r="212" spans="1:7">
      <c r="A212" s="2688"/>
      <c r="B212" s="2689">
        <v>8.1</v>
      </c>
      <c r="C212" s="2690" t="s">
        <v>31</v>
      </c>
      <c r="D212" s="2700" t="s">
        <v>1857</v>
      </c>
      <c r="E212" s="2689">
        <f>+lead!$J$14</f>
        <v>1590.8641904678079</v>
      </c>
      <c r="F212" s="2689" t="s">
        <v>31</v>
      </c>
      <c r="G212" s="2691">
        <f t="shared" ref="G212:G217" si="5">ROUND(B212*E212,2)</f>
        <v>12886</v>
      </c>
    </row>
    <row r="213" spans="1:7">
      <c r="A213" s="2690"/>
      <c r="B213" s="2689">
        <v>4.05</v>
      </c>
      <c r="C213" s="2690" t="s">
        <v>31</v>
      </c>
      <c r="D213" s="2688" t="s">
        <v>63</v>
      </c>
      <c r="E213" s="2689">
        <f>+lead!$J$16</f>
        <v>1889.8641904678079</v>
      </c>
      <c r="F213" s="2689" t="s">
        <v>31</v>
      </c>
      <c r="G213" s="2700">
        <f t="shared" si="5"/>
        <v>7653.95</v>
      </c>
    </row>
    <row r="214" spans="1:7">
      <c r="A214" s="2690"/>
      <c r="B214" s="2689">
        <v>1.35</v>
      </c>
      <c r="C214" s="2690" t="s">
        <v>31</v>
      </c>
      <c r="D214" s="2688" t="s">
        <v>64</v>
      </c>
      <c r="E214" s="2689">
        <f>+lead!$J$18</f>
        <v>1638.8641904678079</v>
      </c>
      <c r="F214" s="2689" t="s">
        <v>31</v>
      </c>
      <c r="G214" s="2700">
        <f t="shared" si="5"/>
        <v>2212.4699999999998</v>
      </c>
    </row>
    <row r="215" spans="1:7" ht="27.6">
      <c r="A215" s="2688"/>
      <c r="B215" s="2689">
        <f>6.75/2</f>
        <v>3.375</v>
      </c>
      <c r="C215" s="2690" t="s">
        <v>31</v>
      </c>
      <c r="D215" s="2723" t="s">
        <v>1716</v>
      </c>
      <c r="E215" s="2694">
        <f>lead!$J$31</f>
        <v>1760.9684020595876</v>
      </c>
      <c r="F215" s="2689" t="s">
        <v>31</v>
      </c>
      <c r="G215" s="2691">
        <f t="shared" si="5"/>
        <v>5943.27</v>
      </c>
    </row>
    <row r="216" spans="1:7">
      <c r="A216" s="2688"/>
      <c r="B216" s="2689">
        <f>6.75/2</f>
        <v>3.375</v>
      </c>
      <c r="C216" s="2690" t="s">
        <v>31</v>
      </c>
      <c r="D216" s="2723" t="s">
        <v>1717</v>
      </c>
      <c r="E216" s="2694">
        <f>lead!$J$33</f>
        <v>1760.9684020595876</v>
      </c>
      <c r="F216" s="2689" t="s">
        <v>31</v>
      </c>
      <c r="G216" s="2691">
        <f t="shared" si="5"/>
        <v>5943.27</v>
      </c>
    </row>
    <row r="217" spans="1:7">
      <c r="A217" s="2688"/>
      <c r="B217" s="2689">
        <v>4.13</v>
      </c>
      <c r="C217" s="2690" t="s">
        <v>66</v>
      </c>
      <c r="D217" s="2700" t="s">
        <v>67</v>
      </c>
      <c r="E217" s="2689">
        <f>+lead!$J$36</f>
        <v>5000</v>
      </c>
      <c r="F217" s="2689" t="s">
        <v>66</v>
      </c>
      <c r="G217" s="2691">
        <f t="shared" si="5"/>
        <v>20650</v>
      </c>
    </row>
    <row r="218" spans="1:7">
      <c r="A218" s="2688"/>
      <c r="B218" s="2724"/>
      <c r="C218" s="2705"/>
      <c r="D218" s="2700" t="s">
        <v>60</v>
      </c>
      <c r="E218" s="2689"/>
      <c r="F218" s="2689"/>
      <c r="G218" s="2693">
        <f>SUM(G212:G217)</f>
        <v>55288.960000000006</v>
      </c>
    </row>
    <row r="219" spans="1:7">
      <c r="A219" s="2688"/>
      <c r="B219" s="2721" t="s">
        <v>1858</v>
      </c>
      <c r="C219" s="2709" t="s">
        <v>40</v>
      </c>
      <c r="D219" s="2688"/>
      <c r="E219" s="2689"/>
      <c r="F219" s="2689"/>
      <c r="G219" s="2691"/>
    </row>
    <row r="220" spans="1:7">
      <c r="A220" s="2688"/>
      <c r="B220" s="2689">
        <v>6</v>
      </c>
      <c r="C220" s="2690" t="s">
        <v>41</v>
      </c>
      <c r="D220" s="2700" t="s">
        <v>68</v>
      </c>
      <c r="E220" s="2689">
        <f>+'SSR-rates'!$K$88</f>
        <v>697.9</v>
      </c>
      <c r="F220" s="2689" t="s">
        <v>41</v>
      </c>
      <c r="G220" s="2691">
        <f>ROUND(B220*E220,2)</f>
        <v>4187.3999999999996</v>
      </c>
    </row>
    <row r="221" spans="1:7">
      <c r="A221" s="2687"/>
      <c r="B221" s="2689">
        <v>6</v>
      </c>
      <c r="C221" s="2690" t="s">
        <v>41</v>
      </c>
      <c r="D221" s="2700" t="s">
        <v>1859</v>
      </c>
      <c r="E221" s="2689">
        <f>+'SSR-rates'!$K$87</f>
        <v>1323.5</v>
      </c>
      <c r="F221" s="2689" t="s">
        <v>41</v>
      </c>
      <c r="G221" s="2725">
        <f>ROUND(B221*E221,2)</f>
        <v>7941</v>
      </c>
    </row>
    <row r="222" spans="1:7">
      <c r="A222" s="2687"/>
      <c r="B222" s="2691"/>
      <c r="C222" s="2705"/>
      <c r="D222" s="2700" t="s">
        <v>60</v>
      </c>
      <c r="E222" s="2689"/>
      <c r="F222" s="2689"/>
      <c r="G222" s="2693">
        <f>SUM(G220:G221)</f>
        <v>12128.4</v>
      </c>
    </row>
    <row r="223" spans="1:7">
      <c r="A223" s="2690"/>
      <c r="B223" s="2721" t="s">
        <v>45</v>
      </c>
      <c r="C223" s="2709" t="s">
        <v>71</v>
      </c>
      <c r="D223" s="2688"/>
      <c r="E223" s="2689"/>
      <c r="F223" s="2689"/>
      <c r="G223" s="2700"/>
    </row>
    <row r="224" spans="1:7">
      <c r="A224" s="2690"/>
      <c r="B224" s="2700">
        <v>10</v>
      </c>
      <c r="C224" s="2690" t="s">
        <v>29</v>
      </c>
      <c r="D224" s="2688" t="s">
        <v>1860</v>
      </c>
      <c r="E224" s="2689">
        <f>+G222+G218+G210</f>
        <v>80334.36</v>
      </c>
      <c r="F224" s="2677" t="s">
        <v>73</v>
      </c>
      <c r="G224" s="2700">
        <f>ROUND(B224*E224/100,2)</f>
        <v>8033.44</v>
      </c>
    </row>
    <row r="225" spans="1:7">
      <c r="A225" s="2687"/>
      <c r="B225" s="2721" t="s">
        <v>45</v>
      </c>
      <c r="C225" s="2682" t="s">
        <v>1238</v>
      </c>
      <c r="D225" s="2688"/>
      <c r="E225" s="2690"/>
      <c r="F225" s="2690"/>
      <c r="G225" s="2693"/>
    </row>
    <row r="226" spans="1:7">
      <c r="A226" s="2688"/>
      <c r="B226" s="2726">
        <f>'Input Data'!$D$24</f>
        <v>0.13614999999999999</v>
      </c>
      <c r="C226" s="2682" t="s">
        <v>1238</v>
      </c>
      <c r="D226" s="2688"/>
      <c r="E226" s="2690"/>
      <c r="F226" s="2690"/>
      <c r="G226" s="2691">
        <f>ROUND((G210+G218+G222+G224)*B226,2)</f>
        <v>12031.28</v>
      </c>
    </row>
    <row r="227" spans="1:7">
      <c r="A227" s="2688"/>
      <c r="B227" s="2701">
        <f>'Input Data'!$E$24</f>
        <v>0.1</v>
      </c>
      <c r="C227" s="2702" t="s">
        <v>1220</v>
      </c>
      <c r="D227" s="2688"/>
      <c r="E227" s="2705">
        <f>G226+G224+G222+G218+G210</f>
        <v>100399.08000000002</v>
      </c>
      <c r="F227" s="2690"/>
      <c r="G227" s="2691">
        <f>E227*B227</f>
        <v>10039.908000000003</v>
      </c>
    </row>
    <row r="228" spans="1:7">
      <c r="A228" s="2688"/>
      <c r="B228" s="2721" t="s">
        <v>47</v>
      </c>
      <c r="C228" s="2682" t="s">
        <v>89</v>
      </c>
      <c r="D228" s="2688"/>
      <c r="E228" s="2690"/>
      <c r="F228" s="2690"/>
      <c r="G228" s="2693">
        <f>G210+G218+G222+G224+G226+G227</f>
        <v>110438.98800000001</v>
      </c>
    </row>
    <row r="229" spans="1:7">
      <c r="A229" s="2688"/>
      <c r="B229" s="2724"/>
      <c r="C229" s="2690"/>
      <c r="D229" s="2709" t="s">
        <v>1814</v>
      </c>
      <c r="E229" s="2689"/>
      <c r="F229" s="2689"/>
      <c r="G229" s="2693">
        <f>SUM(G228:G228)</f>
        <v>110438.98800000001</v>
      </c>
    </row>
    <row r="230" spans="1:7">
      <c r="A230" s="2688"/>
      <c r="B230" s="2691"/>
      <c r="C230" s="2690"/>
      <c r="D230" s="2700" t="s">
        <v>81</v>
      </c>
      <c r="E230" s="2689"/>
      <c r="F230" s="2689"/>
      <c r="G230" s="2691">
        <f>ROUND(G229/15,2)</f>
        <v>7362.6</v>
      </c>
    </row>
    <row r="231" spans="1:7">
      <c r="A231" s="2727"/>
      <c r="B231" s="2688"/>
      <c r="C231" s="2688"/>
      <c r="D231" s="2700" t="s">
        <v>52</v>
      </c>
      <c r="E231" s="2689"/>
      <c r="F231" s="2689"/>
      <c r="G231" s="2703">
        <f>ROUND(G230,2)</f>
        <v>7362.6</v>
      </c>
    </row>
    <row r="232" spans="1:7">
      <c r="A232" s="2688"/>
      <c r="B232" s="2688"/>
      <c r="C232" s="2688"/>
      <c r="D232" s="2700"/>
      <c r="E232" s="2689"/>
      <c r="F232" s="2689"/>
      <c r="G232" s="2693" t="s">
        <v>53</v>
      </c>
    </row>
    <row r="233" spans="1:7" s="2422" customFormat="1" ht="71.099999999999994" customHeight="1">
      <c r="A233" s="2728">
        <f>A181+1</f>
        <v>8</v>
      </c>
      <c r="B233" s="4045" t="s">
        <v>1861</v>
      </c>
      <c r="C233" s="4045"/>
      <c r="D233" s="4045"/>
      <c r="E233" s="4045"/>
      <c r="F233" s="4045"/>
      <c r="G233" s="4045"/>
    </row>
    <row r="234" spans="1:7" s="2422" customFormat="1" ht="15" customHeight="1">
      <c r="A234" s="2729"/>
      <c r="B234" s="2730"/>
      <c r="C234" s="2731"/>
      <c r="D234" s="2732" t="s">
        <v>9</v>
      </c>
      <c r="E234" s="2731"/>
      <c r="F234" s="2731"/>
      <c r="G234" s="2733"/>
    </row>
    <row r="235" spans="1:7" s="2422" customFormat="1" ht="15" customHeight="1">
      <c r="A235" s="2729"/>
      <c r="B235" s="2730"/>
      <c r="C235" s="2731"/>
      <c r="D235" s="2734" t="s">
        <v>10</v>
      </c>
      <c r="E235" s="2731"/>
      <c r="F235" s="2731"/>
      <c r="G235" s="2733"/>
    </row>
    <row r="236" spans="1:7" s="2422" customFormat="1" ht="15" customHeight="1">
      <c r="A236" s="2729"/>
      <c r="B236" s="2730"/>
      <c r="C236" s="2735"/>
      <c r="D236" s="2734" t="s">
        <v>11</v>
      </c>
      <c r="E236" s="2731"/>
      <c r="F236" s="2731"/>
      <c r="G236" s="2733"/>
    </row>
    <row r="237" spans="1:7" s="2422" customFormat="1" ht="15" customHeight="1">
      <c r="A237" s="2729"/>
      <c r="B237" s="2730"/>
      <c r="C237" s="2736"/>
      <c r="D237" s="2732" t="s">
        <v>12</v>
      </c>
      <c r="E237" s="2731"/>
      <c r="F237" s="2731"/>
      <c r="G237" s="2733"/>
    </row>
    <row r="238" spans="1:7" s="2422" customFormat="1" ht="15" customHeight="1">
      <c r="A238" s="2729"/>
      <c r="B238" s="2737">
        <v>0.15</v>
      </c>
      <c r="C238" s="2731" t="s">
        <v>13</v>
      </c>
      <c r="D238" s="2738" t="s">
        <v>14</v>
      </c>
      <c r="E238" s="2689">
        <f>'SSR-rates'!$K$58</f>
        <v>575</v>
      </c>
      <c r="F238" s="2739">
        <v>1</v>
      </c>
      <c r="G238" s="2740">
        <f>ROUND(B238*E238,2)</f>
        <v>86.25</v>
      </c>
    </row>
    <row r="239" spans="1:7" s="2422" customFormat="1" ht="15" customHeight="1">
      <c r="A239" s="2729"/>
      <c r="B239" s="2737">
        <v>0.25</v>
      </c>
      <c r="C239" s="2731" t="s">
        <v>13</v>
      </c>
      <c r="D239" s="2738" t="s">
        <v>15</v>
      </c>
      <c r="E239" s="2689">
        <f>'SSR-rates'!$K$59</f>
        <v>575</v>
      </c>
      <c r="F239" s="2739">
        <v>1</v>
      </c>
      <c r="G239" s="2740">
        <f>ROUND(B239*E239,2)</f>
        <v>143.75</v>
      </c>
    </row>
    <row r="240" spans="1:7" s="2422" customFormat="1" ht="15" customHeight="1">
      <c r="A240" s="2729"/>
      <c r="B240" s="2737">
        <v>3.5</v>
      </c>
      <c r="C240" s="2731" t="s">
        <v>13</v>
      </c>
      <c r="D240" s="2738" t="s">
        <v>16</v>
      </c>
      <c r="E240" s="2689">
        <f>'SSR-rates'!$K$60</f>
        <v>575</v>
      </c>
      <c r="F240" s="2739">
        <v>1</v>
      </c>
      <c r="G240" s="2740">
        <f>ROUND(B240*E240,2)</f>
        <v>2012.5</v>
      </c>
    </row>
    <row r="241" spans="1:7" s="2422" customFormat="1" ht="15" customHeight="1">
      <c r="A241" s="2729"/>
      <c r="B241" s="2692">
        <f>'Input Data'!$D$23</f>
        <v>0</v>
      </c>
      <c r="C241" s="2705"/>
      <c r="D241" s="2688" t="s">
        <v>17</v>
      </c>
      <c r="E241" s="2689">
        <f>SUM(G238:G240)</f>
        <v>2242.5</v>
      </c>
      <c r="F241" s="2677"/>
      <c r="G241" s="2691">
        <f>B241*E241</f>
        <v>0</v>
      </c>
    </row>
    <row r="242" spans="1:7" s="2422" customFormat="1" ht="15" customHeight="1">
      <c r="A242" s="2729"/>
      <c r="B242" s="2741"/>
      <c r="C242" s="2735"/>
      <c r="D242" s="2742" t="s">
        <v>18</v>
      </c>
      <c r="E242" s="2735"/>
      <c r="F242" s="2743" t="s">
        <v>19</v>
      </c>
      <c r="G242" s="2744">
        <f>SUM(G238:G241)</f>
        <v>2242.5</v>
      </c>
    </row>
    <row r="243" spans="1:7" s="2422" customFormat="1" ht="15" customHeight="1">
      <c r="A243" s="2729"/>
      <c r="B243" s="2741"/>
      <c r="C243" s="2736"/>
      <c r="D243" s="2732" t="s">
        <v>20</v>
      </c>
      <c r="E243" s="2735"/>
      <c r="F243" s="2735"/>
      <c r="G243" s="2740"/>
    </row>
    <row r="244" spans="1:7" s="2422" customFormat="1" ht="15" customHeight="1">
      <c r="A244" s="2729"/>
      <c r="B244" s="2737">
        <v>0.27</v>
      </c>
      <c r="C244" s="2731" t="s">
        <v>23</v>
      </c>
      <c r="D244" s="2738" t="s">
        <v>24</v>
      </c>
      <c r="E244" s="2735">
        <f>'SSR-rates'!$K$70</f>
        <v>512</v>
      </c>
      <c r="F244" s="2735">
        <v>1</v>
      </c>
      <c r="G244" s="2740">
        <f>ROUND(B244*E244,2)</f>
        <v>138.24</v>
      </c>
    </row>
    <row r="245" spans="1:7" s="2422" customFormat="1" ht="15" customHeight="1">
      <c r="A245" s="2729"/>
      <c r="B245" s="2741"/>
      <c r="C245" s="2735"/>
      <c r="D245" s="2742" t="s">
        <v>18</v>
      </c>
      <c r="E245" s="2735"/>
      <c r="F245" s="2743" t="s">
        <v>25</v>
      </c>
      <c r="G245" s="2744">
        <f>SUM(G244:G244)</f>
        <v>138.24</v>
      </c>
    </row>
    <row r="246" spans="1:7" s="2422" customFormat="1" ht="15" customHeight="1">
      <c r="A246" s="2729"/>
      <c r="B246" s="2741"/>
      <c r="C246" s="2731"/>
      <c r="D246" s="2732" t="s">
        <v>26</v>
      </c>
      <c r="E246" s="2735"/>
      <c r="F246" s="2735"/>
      <c r="G246" s="2744">
        <f>G242+G245</f>
        <v>2380.7399999999998</v>
      </c>
    </row>
    <row r="247" spans="1:7" s="2422" customFormat="1" ht="15" customHeight="1">
      <c r="A247" s="2729"/>
      <c r="B247" s="2741"/>
      <c r="C247" s="2691" t="s">
        <v>27</v>
      </c>
      <c r="D247" s="2732" t="s">
        <v>1862</v>
      </c>
      <c r="E247" s="2735"/>
      <c r="F247" s="2735"/>
      <c r="G247" s="2740"/>
    </row>
    <row r="248" spans="1:7" s="2422" customFormat="1" ht="15" customHeight="1">
      <c r="A248" s="2729"/>
      <c r="B248" s="2699">
        <f>'Input Data'!$D$24</f>
        <v>0.13614999999999999</v>
      </c>
      <c r="C248" s="2739"/>
      <c r="D248" s="2732" t="str">
        <f>"Over head charges "&amp;'Input Data'!$D$24*100&amp;"%  on (A) + (B)"</f>
        <v>Over head charges 13.615%  on (A) + (B)</v>
      </c>
      <c r="E248" s="2739">
        <f>G246</f>
        <v>2380.7399999999998</v>
      </c>
      <c r="F248" s="2745"/>
      <c r="G248" s="2746">
        <f>E248*B248</f>
        <v>324.13775099999998</v>
      </c>
    </row>
    <row r="249" spans="1:7" s="2422" customFormat="1" ht="15" customHeight="1">
      <c r="A249" s="2729"/>
      <c r="B249" s="2741"/>
      <c r="C249" s="2739"/>
      <c r="D249" s="2732"/>
      <c r="E249" s="2739"/>
      <c r="F249" s="2745"/>
      <c r="G249" s="2746"/>
    </row>
    <row r="250" spans="1:7" s="2422" customFormat="1" ht="15" customHeight="1">
      <c r="A250" s="2729"/>
      <c r="B250" s="2741">
        <v>1.25</v>
      </c>
      <c r="C250" s="2739" t="s">
        <v>31</v>
      </c>
      <c r="D250" s="2742" t="str">
        <f>CONCATENATE("TOTAL Cost for ",B250,"  ",C250,"  =  (A+B+C)",)</f>
        <v>TOTAL Cost for 1.25  cum  =  (A+B+C)</v>
      </c>
      <c r="E250" s="2739"/>
      <c r="F250" s="2739"/>
      <c r="G250" s="2746">
        <f>SUM(G246:G249)</f>
        <v>2704.877751</v>
      </c>
    </row>
    <row r="251" spans="1:7" s="2422" customFormat="1" ht="15" customHeight="1">
      <c r="A251" s="2729"/>
      <c r="B251" s="2741"/>
      <c r="C251" s="2739"/>
      <c r="D251" s="2742" t="str">
        <f>CONCATENATE("Rate per  1  ",C250)</f>
        <v>Rate per  1  cum</v>
      </c>
      <c r="E251" s="2739"/>
      <c r="F251" s="2739"/>
      <c r="G251" s="2740">
        <f>G250/B250</f>
        <v>2163.9022008000002</v>
      </c>
    </row>
    <row r="252" spans="1:7" s="2422" customFormat="1" ht="15" customHeight="1">
      <c r="A252" s="2729"/>
      <c r="B252" s="2741"/>
      <c r="C252" s="2735"/>
      <c r="D252" s="2732" t="str">
        <f>D251</f>
        <v>Rate per  1  cum</v>
      </c>
      <c r="E252" s="2739"/>
      <c r="F252" s="2739"/>
      <c r="G252" s="2744">
        <f>ROUND(G251,2)</f>
        <v>2163.9</v>
      </c>
    </row>
    <row r="253" spans="1:7" ht="15.9" customHeight="1">
      <c r="A253" s="2687"/>
      <c r="B253" s="2677"/>
      <c r="C253" s="2688"/>
      <c r="D253" s="2677" t="str">
        <f>'Road data'!D985</f>
        <v>Assistant Engineer,</v>
      </c>
      <c r="E253" s="4047" t="str">
        <f>'Drain '!I36</f>
        <v>Dy. Exe. Engineer</v>
      </c>
      <c r="F253" s="4047"/>
      <c r="G253" s="4047"/>
    </row>
    <row r="254" spans="1:7" ht="81.900000000000006" customHeight="1">
      <c r="A254" s="2747">
        <f>A233+1</f>
        <v>9</v>
      </c>
      <c r="B254" s="4048" t="s">
        <v>1863</v>
      </c>
      <c r="C254" s="4048"/>
      <c r="D254" s="4048"/>
      <c r="E254" s="4048"/>
      <c r="F254" s="4048"/>
      <c r="G254" s="4048"/>
    </row>
    <row r="255" spans="1:7" ht="15" customHeight="1">
      <c r="A255" s="2748"/>
      <c r="B255" s="2730"/>
      <c r="C255" s="2730"/>
      <c r="D255" s="2732" t="s">
        <v>9</v>
      </c>
      <c r="E255" s="2730"/>
      <c r="F255" s="2730"/>
      <c r="G255" s="2749"/>
    </row>
    <row r="256" spans="1:7" ht="15" customHeight="1">
      <c r="A256" s="2748"/>
      <c r="B256" s="2730"/>
      <c r="C256" s="2730"/>
      <c r="D256" s="2734" t="s">
        <v>10</v>
      </c>
      <c r="E256" s="2730"/>
      <c r="F256" s="2730"/>
      <c r="G256" s="2749"/>
    </row>
    <row r="257" spans="1:7" ht="15" customHeight="1">
      <c r="A257" s="2748"/>
      <c r="B257" s="2730"/>
      <c r="C257" s="2741"/>
      <c r="D257" s="2734" t="s">
        <v>11</v>
      </c>
      <c r="E257" s="2730"/>
      <c r="F257" s="2730"/>
      <c r="G257" s="2749"/>
    </row>
    <row r="258" spans="1:7" ht="15" customHeight="1">
      <c r="A258" s="2748"/>
      <c r="B258" s="2730"/>
      <c r="C258" s="2748"/>
      <c r="D258" s="2732" t="s">
        <v>12</v>
      </c>
      <c r="E258" s="2730"/>
      <c r="F258" s="2730"/>
      <c r="G258" s="2749"/>
    </row>
    <row r="259" spans="1:7" ht="15" customHeight="1">
      <c r="A259" s="2748"/>
      <c r="B259" s="2737">
        <v>0.02</v>
      </c>
      <c r="C259" s="2730" t="s">
        <v>13</v>
      </c>
      <c r="D259" s="2738" t="s">
        <v>14</v>
      </c>
      <c r="E259" s="2689">
        <f>'SSR-rates'!$K$58</f>
        <v>575</v>
      </c>
      <c r="F259" s="2741">
        <v>1</v>
      </c>
      <c r="G259" s="2750">
        <f>ROUND(B259*E259,2)</f>
        <v>11.5</v>
      </c>
    </row>
    <row r="260" spans="1:7" ht="15" customHeight="1">
      <c r="A260" s="2748"/>
      <c r="B260" s="2737">
        <v>0.25</v>
      </c>
      <c r="C260" s="2730" t="s">
        <v>13</v>
      </c>
      <c r="D260" s="2738" t="s">
        <v>15</v>
      </c>
      <c r="E260" s="2689">
        <f>'SSR-rates'!$K$59</f>
        <v>575</v>
      </c>
      <c r="F260" s="2741">
        <v>1</v>
      </c>
      <c r="G260" s="2750">
        <f>ROUND(B260*E260,2)</f>
        <v>143.75</v>
      </c>
    </row>
    <row r="261" spans="1:7" ht="15" customHeight="1">
      <c r="A261" s="2748"/>
      <c r="B261" s="2737">
        <v>0.25</v>
      </c>
      <c r="C261" s="2730" t="s">
        <v>13</v>
      </c>
      <c r="D261" s="2738" t="s">
        <v>16</v>
      </c>
      <c r="E261" s="2689">
        <f>'SSR-rates'!$K$60</f>
        <v>575</v>
      </c>
      <c r="F261" s="2741">
        <v>1</v>
      </c>
      <c r="G261" s="2750">
        <f>ROUND(B261*E261,2)</f>
        <v>143.75</v>
      </c>
    </row>
    <row r="262" spans="1:7" ht="15" customHeight="1">
      <c r="A262" s="2748"/>
      <c r="B262" s="2692">
        <f>'Input Data'!$D$23</f>
        <v>0</v>
      </c>
      <c r="C262" s="2705"/>
      <c r="D262" s="2688" t="s">
        <v>17</v>
      </c>
      <c r="E262" s="2689">
        <f>SUM(G259:G261)</f>
        <v>299</v>
      </c>
      <c r="F262" s="2677"/>
      <c r="G262" s="2691">
        <f>B262*E262</f>
        <v>0</v>
      </c>
    </row>
    <row r="263" spans="1:7" ht="15" customHeight="1">
      <c r="A263" s="2748"/>
      <c r="B263" s="2741"/>
      <c r="C263" s="2741"/>
      <c r="D263" s="2742" t="s">
        <v>18</v>
      </c>
      <c r="E263" s="2741"/>
      <c r="F263" s="2751" t="s">
        <v>19</v>
      </c>
      <c r="G263" s="2752">
        <f>SUM(G259:G262)</f>
        <v>299</v>
      </c>
    </row>
    <row r="264" spans="1:7" ht="15" customHeight="1">
      <c r="A264" s="2748"/>
      <c r="B264" s="2741"/>
      <c r="C264" s="2748"/>
      <c r="D264" s="2732" t="s">
        <v>20</v>
      </c>
      <c r="E264" s="2741"/>
      <c r="F264" s="2741"/>
      <c r="G264" s="2750"/>
    </row>
    <row r="265" spans="1:7" ht="30" customHeight="1">
      <c r="A265" s="2730"/>
      <c r="B265" s="2741">
        <v>0.67</v>
      </c>
      <c r="C265" s="2730" t="s">
        <v>23</v>
      </c>
      <c r="D265" s="2753" t="s">
        <v>1864</v>
      </c>
      <c r="E265" s="2741">
        <f>+'SSR-rates'!K73</f>
        <v>727.6</v>
      </c>
      <c r="F265" s="2741">
        <v>1</v>
      </c>
      <c r="G265" s="2750">
        <f>ROUND(B265*E265,2)</f>
        <v>487.49</v>
      </c>
    </row>
    <row r="266" spans="1:7" ht="15" customHeight="1">
      <c r="A266" s="2748"/>
      <c r="B266" s="2737">
        <v>0.27</v>
      </c>
      <c r="C266" s="2730" t="s">
        <v>23</v>
      </c>
      <c r="D266" s="2738" t="s">
        <v>24</v>
      </c>
      <c r="E266" s="2741">
        <f>'SSR-rates'!$K$70</f>
        <v>512</v>
      </c>
      <c r="F266" s="2741">
        <v>1</v>
      </c>
      <c r="G266" s="2750">
        <f>ROUND(B266*E266,2)</f>
        <v>138.24</v>
      </c>
    </row>
    <row r="267" spans="1:7" ht="15" customHeight="1">
      <c r="A267" s="2748"/>
      <c r="B267" s="2741"/>
      <c r="C267" s="2741"/>
      <c r="D267" s="2742" t="s">
        <v>18</v>
      </c>
      <c r="E267" s="2741"/>
      <c r="F267" s="2751" t="s">
        <v>25</v>
      </c>
      <c r="G267" s="2752">
        <f>SUM(G265:G266)</f>
        <v>625.73</v>
      </c>
    </row>
    <row r="268" spans="1:7" ht="15" customHeight="1">
      <c r="A268" s="2748"/>
      <c r="B268" s="2741"/>
      <c r="C268" s="2730"/>
      <c r="D268" s="2732" t="s">
        <v>26</v>
      </c>
      <c r="E268" s="2741"/>
      <c r="F268" s="2741"/>
      <c r="G268" s="2752">
        <f>G263+G267</f>
        <v>924.73</v>
      </c>
    </row>
    <row r="269" spans="1:7" ht="15" customHeight="1">
      <c r="A269" s="2748"/>
      <c r="B269" s="2741"/>
      <c r="C269" s="2691" t="s">
        <v>27</v>
      </c>
      <c r="D269" s="2732" t="s">
        <v>1862</v>
      </c>
      <c r="E269" s="2741"/>
      <c r="F269" s="2741"/>
      <c r="G269" s="2750"/>
    </row>
    <row r="270" spans="1:7" ht="15" customHeight="1">
      <c r="A270" s="2748"/>
      <c r="B270" s="2699">
        <f>'Input Data'!$D$24</f>
        <v>0.13614999999999999</v>
      </c>
      <c r="C270" s="2741"/>
      <c r="D270" s="2732" t="str">
        <f>"Over head charges "&amp;'Input Data'!$D$24*100&amp;"%  on (A) + (B)"</f>
        <v>Over head charges 13.615%  on (A) + (B)</v>
      </c>
      <c r="E270" s="2741">
        <f>G268</f>
        <v>924.73</v>
      </c>
      <c r="F270" s="2730"/>
      <c r="G270" s="2750">
        <f>E270*B270</f>
        <v>125.9019895</v>
      </c>
    </row>
    <row r="271" spans="1:7" ht="15" customHeight="1">
      <c r="A271" s="2748"/>
      <c r="B271" s="2741"/>
      <c r="C271" s="2741"/>
      <c r="D271" s="2732"/>
      <c r="E271" s="2741"/>
      <c r="F271" s="2730"/>
      <c r="G271" s="2750"/>
    </row>
    <row r="272" spans="1:7" ht="15" customHeight="1">
      <c r="A272" s="2748"/>
      <c r="B272" s="2741">
        <v>1.25</v>
      </c>
      <c r="C272" s="2741" t="s">
        <v>31</v>
      </c>
      <c r="D272" s="2742" t="str">
        <f>CONCATENATE("TOTAL Cost for ",B272,"  ",C272,"  =  (A+B+C)",)</f>
        <v>TOTAL Cost for 1.25  cum  =  (A+B+C)</v>
      </c>
      <c r="E272" s="2741"/>
      <c r="F272" s="2741"/>
      <c r="G272" s="2750">
        <f>SUM(G268:G271)</f>
        <v>1050.6319894999999</v>
      </c>
    </row>
    <row r="273" spans="1:7" ht="15" customHeight="1">
      <c r="A273" s="2748"/>
      <c r="B273" s="2741"/>
      <c r="C273" s="2741"/>
      <c r="D273" s="2742" t="str">
        <f>CONCATENATE("Rate per  1  ",C272)</f>
        <v>Rate per  1  cum</v>
      </c>
      <c r="E273" s="2741"/>
      <c r="F273" s="2741"/>
      <c r="G273" s="2750">
        <f>G272/B272</f>
        <v>840.50559159999989</v>
      </c>
    </row>
    <row r="274" spans="1:7" ht="15" customHeight="1">
      <c r="A274" s="2748"/>
      <c r="B274" s="2741"/>
      <c r="C274" s="2741"/>
      <c r="D274" s="2732" t="str">
        <f>D273</f>
        <v>Rate per  1  cum</v>
      </c>
      <c r="E274" s="2741"/>
      <c r="F274" s="2741"/>
      <c r="G274" s="2752">
        <f>ROUND(G273,2)</f>
        <v>840.51</v>
      </c>
    </row>
    <row r="275" spans="1:7" ht="15.9" customHeight="1">
      <c r="A275" s="2687"/>
      <c r="B275" s="2677"/>
      <c r="C275" s="2688"/>
      <c r="D275" s="2677" t="str">
        <f>'Drain '!F37</f>
        <v>PRSD, Maddur</v>
      </c>
      <c r="E275" s="4047" t="str">
        <f>'Drain '!I37</f>
        <v>PRSD, Maddur</v>
      </c>
      <c r="F275" s="4047"/>
      <c r="G275" s="4047"/>
    </row>
    <row r="276" spans="1:7">
      <c r="A276" s="2687"/>
      <c r="B276" s="2677"/>
      <c r="C276" s="2688"/>
      <c r="D276" s="2688"/>
      <c r="E276" s="2688"/>
      <c r="F276" s="2688"/>
      <c r="G276" s="2754"/>
    </row>
    <row r="277" spans="1:7" ht="66.900000000000006" customHeight="1">
      <c r="A277" s="2747">
        <f>A254+1</f>
        <v>10</v>
      </c>
      <c r="B277" s="4048" t="s">
        <v>1865</v>
      </c>
      <c r="C277" s="4048"/>
      <c r="D277" s="4048"/>
      <c r="E277" s="4048"/>
      <c r="F277" s="4048"/>
      <c r="G277" s="4048"/>
    </row>
    <row r="278" spans="1:7" ht="15" customHeight="1">
      <c r="A278" s="2748"/>
      <c r="B278" s="2730"/>
      <c r="C278" s="2730"/>
      <c r="D278" s="2732" t="s">
        <v>9</v>
      </c>
      <c r="E278" s="2730"/>
      <c r="F278" s="2730"/>
      <c r="G278" s="2749"/>
    </row>
    <row r="279" spans="1:7" ht="15" customHeight="1">
      <c r="A279" s="2748"/>
      <c r="B279" s="2730"/>
      <c r="C279" s="2730"/>
      <c r="D279" s="2734" t="s">
        <v>10</v>
      </c>
      <c r="E279" s="2730"/>
      <c r="F279" s="2730"/>
      <c r="G279" s="2749"/>
    </row>
    <row r="280" spans="1:7" ht="15" customHeight="1">
      <c r="A280" s="2748"/>
      <c r="B280" s="2730"/>
      <c r="C280" s="2741"/>
      <c r="D280" s="2734" t="s">
        <v>11</v>
      </c>
      <c r="E280" s="2730"/>
      <c r="F280" s="2730"/>
      <c r="G280" s="2749"/>
    </row>
    <row r="281" spans="1:7" ht="15" customHeight="1">
      <c r="A281" s="2748"/>
      <c r="B281" s="2730"/>
      <c r="C281" s="2748"/>
      <c r="D281" s="2732" t="s">
        <v>12</v>
      </c>
      <c r="E281" s="2730"/>
      <c r="F281" s="2730"/>
      <c r="G281" s="2749"/>
    </row>
    <row r="282" spans="1:7" ht="15" customHeight="1">
      <c r="A282" s="2748"/>
      <c r="B282" s="2737">
        <v>0.03</v>
      </c>
      <c r="C282" s="2730" t="s">
        <v>13</v>
      </c>
      <c r="D282" s="2738" t="s">
        <v>14</v>
      </c>
      <c r="E282" s="2689">
        <f>'SSR-rates'!$K$58</f>
        <v>575</v>
      </c>
      <c r="F282" s="2741">
        <v>1</v>
      </c>
      <c r="G282" s="2750">
        <f>ROUND(B282*E282,2)</f>
        <v>17.25</v>
      </c>
    </row>
    <row r="283" spans="1:7" ht="15" customHeight="1">
      <c r="A283" s="2748"/>
      <c r="B283" s="2737">
        <v>0</v>
      </c>
      <c r="C283" s="2730" t="s">
        <v>13</v>
      </c>
      <c r="D283" s="2738" t="s">
        <v>15</v>
      </c>
      <c r="E283" s="2689">
        <f>'SSR-rates'!$K$59</f>
        <v>575</v>
      </c>
      <c r="F283" s="2741">
        <v>1</v>
      </c>
      <c r="G283" s="2750">
        <f>ROUND(B283*E283,2)</f>
        <v>0</v>
      </c>
    </row>
    <row r="284" spans="1:7" ht="15" customHeight="1">
      <c r="A284" s="2748"/>
      <c r="B284" s="2737">
        <v>0.75</v>
      </c>
      <c r="C284" s="2730" t="s">
        <v>13</v>
      </c>
      <c r="D284" s="2738" t="s">
        <v>16</v>
      </c>
      <c r="E284" s="2689">
        <f>'SSR-rates'!$K$60</f>
        <v>575</v>
      </c>
      <c r="F284" s="2741">
        <v>1</v>
      </c>
      <c r="G284" s="2750">
        <f>ROUND(B284*E284,2)</f>
        <v>431.25</v>
      </c>
    </row>
    <row r="285" spans="1:7" ht="15" customHeight="1">
      <c r="A285" s="2748"/>
      <c r="B285" s="2692">
        <f>'Input Data'!$D$23</f>
        <v>0</v>
      </c>
      <c r="C285" s="2705"/>
      <c r="D285" s="2688" t="s">
        <v>17</v>
      </c>
      <c r="E285" s="2689">
        <f>SUM(G282:G284)</f>
        <v>448.5</v>
      </c>
      <c r="F285" s="2677"/>
      <c r="G285" s="2691">
        <f>B285*E285</f>
        <v>0</v>
      </c>
    </row>
    <row r="286" spans="1:7" ht="15" customHeight="1">
      <c r="A286" s="2748"/>
      <c r="B286" s="2741"/>
      <c r="C286" s="2741"/>
      <c r="D286" s="2742" t="s">
        <v>18</v>
      </c>
      <c r="E286" s="2741"/>
      <c r="F286" s="2751" t="s">
        <v>19</v>
      </c>
      <c r="G286" s="2752">
        <f>SUM(G282:G285)</f>
        <v>448.5</v>
      </c>
    </row>
    <row r="287" spans="1:7" ht="15" customHeight="1">
      <c r="A287" s="2748"/>
      <c r="B287" s="2741"/>
      <c r="C287" s="2748"/>
      <c r="D287" s="2732" t="s">
        <v>20</v>
      </c>
      <c r="E287" s="2741"/>
      <c r="F287" s="2741"/>
      <c r="G287" s="2750"/>
    </row>
    <row r="288" spans="1:7" ht="15" customHeight="1">
      <c r="A288" s="2748"/>
      <c r="B288" s="2737">
        <v>0.27</v>
      </c>
      <c r="C288" s="2730" t="s">
        <v>23</v>
      </c>
      <c r="D288" s="2738" t="s">
        <v>24</v>
      </c>
      <c r="E288" s="2741">
        <f>'SSR-rates'!$K$70</f>
        <v>512</v>
      </c>
      <c r="F288" s="2741">
        <v>1</v>
      </c>
      <c r="G288" s="2750">
        <f>ROUND(B288*E288,2)</f>
        <v>138.24</v>
      </c>
    </row>
    <row r="289" spans="1:7" ht="15" customHeight="1">
      <c r="A289" s="2748"/>
      <c r="B289" s="2741"/>
      <c r="C289" s="2741"/>
      <c r="D289" s="2742" t="s">
        <v>18</v>
      </c>
      <c r="E289" s="2741"/>
      <c r="F289" s="2751" t="s">
        <v>25</v>
      </c>
      <c r="G289" s="2752">
        <f>SUM(G288:G288)</f>
        <v>138.24</v>
      </c>
    </row>
    <row r="290" spans="1:7" ht="15" customHeight="1">
      <c r="A290" s="2748"/>
      <c r="B290" s="2741"/>
      <c r="C290" s="2730"/>
      <c r="D290" s="2732" t="s">
        <v>26</v>
      </c>
      <c r="E290" s="2741"/>
      <c r="F290" s="2741"/>
      <c r="G290" s="2752">
        <f>G286+G289</f>
        <v>586.74</v>
      </c>
    </row>
    <row r="291" spans="1:7" ht="15" customHeight="1">
      <c r="A291" s="2748"/>
      <c r="B291" s="2741"/>
      <c r="C291" s="2691" t="s">
        <v>27</v>
      </c>
      <c r="D291" s="2732" t="s">
        <v>1862</v>
      </c>
      <c r="E291" s="2741"/>
      <c r="F291" s="2741"/>
      <c r="G291" s="2750"/>
    </row>
    <row r="292" spans="1:7" ht="15" customHeight="1">
      <c r="A292" s="2748"/>
      <c r="B292" s="2699">
        <f>'Input Data'!$D$24</f>
        <v>0.13614999999999999</v>
      </c>
      <c r="C292" s="2741"/>
      <c r="D292" s="2732" t="str">
        <f>"Over head charges "&amp;'Input Data'!$D$24*100&amp;"%  on (A) + (B)"</f>
        <v>Over head charges 13.615%  on (A) + (B)</v>
      </c>
      <c r="E292" s="2741">
        <f>$G$290</f>
        <v>586.74</v>
      </c>
      <c r="F292" s="2730"/>
      <c r="G292" s="2750">
        <f>E292*B292</f>
        <v>79.884650999999991</v>
      </c>
    </row>
    <row r="293" spans="1:7" ht="15" customHeight="1">
      <c r="A293" s="2748"/>
      <c r="B293" s="2741"/>
      <c r="C293" s="2741"/>
      <c r="D293" s="2732"/>
      <c r="E293" s="2741"/>
      <c r="F293" s="2730"/>
      <c r="G293" s="2750"/>
    </row>
    <row r="294" spans="1:7" ht="15" customHeight="1">
      <c r="A294" s="2748"/>
      <c r="B294" s="2741">
        <v>1.25</v>
      </c>
      <c r="C294" s="2741" t="s">
        <v>31</v>
      </c>
      <c r="D294" s="2742" t="str">
        <f>CONCATENATE("TOTAL Cost for ",B294,"  ",C294,"  =  (A+B+C)",)</f>
        <v>TOTAL Cost for 1.25  cum  =  (A+B+C)</v>
      </c>
      <c r="E294" s="2741"/>
      <c r="F294" s="2741"/>
      <c r="G294" s="2750">
        <f>SUM(G290:G293)</f>
        <v>666.62465099999997</v>
      </c>
    </row>
    <row r="295" spans="1:7" ht="15" customHeight="1">
      <c r="A295" s="2748"/>
      <c r="B295" s="2741"/>
      <c r="C295" s="2741"/>
      <c r="D295" s="2742" t="str">
        <f>CONCATENATE("Rate per  1  ",C294)</f>
        <v>Rate per  1  cum</v>
      </c>
      <c r="E295" s="2741"/>
      <c r="F295" s="2741"/>
      <c r="G295" s="2750">
        <f>G294/B294</f>
        <v>533.29972079999993</v>
      </c>
    </row>
    <row r="296" spans="1:7" ht="15" customHeight="1">
      <c r="A296" s="2748"/>
      <c r="B296" s="2741"/>
      <c r="C296" s="2741"/>
      <c r="D296" s="2732" t="str">
        <f>D295</f>
        <v>Rate per  1  cum</v>
      </c>
      <c r="E296" s="2741"/>
      <c r="F296" s="2741"/>
      <c r="G296" s="2752">
        <f>ROUND(G295,2)</f>
        <v>533.29999999999995</v>
      </c>
    </row>
    <row r="297" spans="1:7">
      <c r="A297" s="2687"/>
      <c r="B297" s="2677"/>
      <c r="C297" s="2688"/>
      <c r="D297" s="2688"/>
      <c r="E297" s="2688"/>
      <c r="F297" s="2688"/>
      <c r="G297" s="2754"/>
    </row>
    <row r="298" spans="1:7">
      <c r="A298" s="2687"/>
      <c r="B298" s="2677"/>
      <c r="C298" s="2688"/>
      <c r="D298" s="2688"/>
      <c r="E298" s="2688"/>
      <c r="F298" s="2688"/>
      <c r="G298" s="2754"/>
    </row>
    <row r="299" spans="1:7" ht="57" customHeight="1">
      <c r="A299" s="2755">
        <v>12</v>
      </c>
      <c r="B299" s="4048" t="s">
        <v>1866</v>
      </c>
      <c r="C299" s="4048"/>
      <c r="D299" s="4048"/>
      <c r="E299" s="4048"/>
      <c r="F299" s="4048"/>
      <c r="G299" s="4048"/>
    </row>
    <row r="300" spans="1:7" ht="15" customHeight="1">
      <c r="A300" s="2748"/>
      <c r="B300" s="2730"/>
      <c r="C300" s="2730"/>
      <c r="D300" s="2734" t="s">
        <v>10</v>
      </c>
      <c r="E300" s="2730"/>
      <c r="F300" s="2730"/>
      <c r="G300" s="2749"/>
    </row>
    <row r="301" spans="1:7" ht="15" customHeight="1">
      <c r="A301" s="2748"/>
      <c r="B301" s="2730"/>
      <c r="C301" s="2741"/>
      <c r="D301" s="2734" t="s">
        <v>1867</v>
      </c>
      <c r="E301" s="2730"/>
      <c r="F301" s="2730"/>
      <c r="G301" s="2749"/>
    </row>
    <row r="302" spans="1:7" ht="15" customHeight="1">
      <c r="A302" s="2748"/>
      <c r="B302" s="2730"/>
      <c r="C302" s="2741"/>
      <c r="D302" s="2734" t="s">
        <v>1868</v>
      </c>
      <c r="E302" s="2730"/>
      <c r="F302" s="2730"/>
      <c r="G302" s="2749"/>
    </row>
    <row r="303" spans="1:7" ht="15" customHeight="1">
      <c r="A303" s="2748"/>
      <c r="B303" s="2730"/>
      <c r="C303" s="2748"/>
      <c r="D303" s="2732" t="s">
        <v>12</v>
      </c>
      <c r="E303" s="2730"/>
      <c r="F303" s="2730"/>
      <c r="G303" s="2749"/>
    </row>
    <row r="304" spans="1:7" ht="15" customHeight="1">
      <c r="A304" s="2748"/>
      <c r="B304" s="2737">
        <v>0.02</v>
      </c>
      <c r="C304" s="2730" t="s">
        <v>13</v>
      </c>
      <c r="D304" s="2738" t="s">
        <v>14</v>
      </c>
      <c r="E304" s="2689">
        <f>'SSR-rates'!$K$58</f>
        <v>575</v>
      </c>
      <c r="F304" s="2741">
        <v>1</v>
      </c>
      <c r="G304" s="2750">
        <f>ROUND(B304*E304,2)</f>
        <v>11.5</v>
      </c>
    </row>
    <row r="305" spans="1:7" ht="15" customHeight="1">
      <c r="A305" s="2748"/>
      <c r="B305" s="2737">
        <v>0</v>
      </c>
      <c r="C305" s="2730" t="s">
        <v>13</v>
      </c>
      <c r="D305" s="2738" t="s">
        <v>15</v>
      </c>
      <c r="E305" s="2689">
        <f>'SSR-rates'!$K$59</f>
        <v>575</v>
      </c>
      <c r="F305" s="2741">
        <v>1</v>
      </c>
      <c r="G305" s="2750">
        <f>ROUND(B305*E305,2)</f>
        <v>0</v>
      </c>
    </row>
    <row r="306" spans="1:7" ht="15" customHeight="1">
      <c r="A306" s="2748"/>
      <c r="B306" s="2737">
        <v>0.52</v>
      </c>
      <c r="C306" s="2730" t="s">
        <v>13</v>
      </c>
      <c r="D306" s="2738" t="s">
        <v>16</v>
      </c>
      <c r="E306" s="2689">
        <f>'SSR-rates'!$K$60</f>
        <v>575</v>
      </c>
      <c r="F306" s="2741">
        <v>1</v>
      </c>
      <c r="G306" s="2750">
        <f>ROUND(B306*E306,2)</f>
        <v>299</v>
      </c>
    </row>
    <row r="307" spans="1:7" ht="15" customHeight="1">
      <c r="A307" s="2748"/>
      <c r="B307" s="2692">
        <f>'Input Data'!$D$23</f>
        <v>0</v>
      </c>
      <c r="C307" s="2705"/>
      <c r="D307" s="2688" t="s">
        <v>17</v>
      </c>
      <c r="E307" s="2689">
        <f>SUM(G304:G306)</f>
        <v>310.5</v>
      </c>
      <c r="F307" s="2677"/>
      <c r="G307" s="2691">
        <f>B307*E307</f>
        <v>0</v>
      </c>
    </row>
    <row r="308" spans="1:7" ht="15" customHeight="1">
      <c r="A308" s="2748"/>
      <c r="B308" s="2741"/>
      <c r="C308" s="2741"/>
      <c r="D308" s="2742" t="s">
        <v>18</v>
      </c>
      <c r="E308" s="2741"/>
      <c r="F308" s="2751" t="s">
        <v>19</v>
      </c>
      <c r="G308" s="2752">
        <f>SUM(G304:G307)</f>
        <v>310.5</v>
      </c>
    </row>
    <row r="309" spans="1:7" ht="15" customHeight="1">
      <c r="A309" s="2748"/>
      <c r="B309" s="2741"/>
      <c r="C309" s="2691" t="s">
        <v>27</v>
      </c>
      <c r="D309" s="2732" t="s">
        <v>1839</v>
      </c>
      <c r="E309" s="2741"/>
      <c r="F309" s="2741"/>
      <c r="G309" s="2750"/>
    </row>
    <row r="310" spans="1:7" ht="15" customHeight="1">
      <c r="A310" s="2748"/>
      <c r="B310" s="2699">
        <f>'Input Data'!$D$24</f>
        <v>0.13614999999999999</v>
      </c>
      <c r="C310" s="2741"/>
      <c r="D310" s="4049" t="str">
        <f>"Over head charges &amp; CP "&amp;'Input Data'!$D$24*100&amp;"%  on (A) + (B)"</f>
        <v>Over head charges &amp; CP 13.615%  on (A) + (B)</v>
      </c>
      <c r="E310" s="2741">
        <f>G308</f>
        <v>310.5</v>
      </c>
      <c r="F310" s="2730"/>
      <c r="G310" s="2750">
        <f>E310*B310</f>
        <v>42.274574999999999</v>
      </c>
    </row>
    <row r="311" spans="1:7" ht="15" customHeight="1">
      <c r="A311" s="2748"/>
      <c r="B311" s="2741"/>
      <c r="C311" s="2741"/>
      <c r="D311" s="4049"/>
      <c r="E311" s="2741"/>
      <c r="F311" s="2730"/>
      <c r="G311" s="2750"/>
    </row>
    <row r="312" spans="1:7" ht="15" customHeight="1">
      <c r="A312" s="2748"/>
      <c r="B312" s="2741">
        <v>1</v>
      </c>
      <c r="C312" s="2741" t="s">
        <v>31</v>
      </c>
      <c r="D312" s="2742" t="str">
        <f>CONCATENATE("TOTAL Cost for ",B312,"  ",C312,"  =  (A+B+C)",)</f>
        <v>TOTAL Cost for 1  cum  =  (A+B+C)</v>
      </c>
      <c r="E312" s="2741"/>
      <c r="F312" s="2741"/>
      <c r="G312" s="2750">
        <f>SUM(G308:G311)</f>
        <v>352.77457500000003</v>
      </c>
    </row>
    <row r="313" spans="1:7" ht="15" customHeight="1">
      <c r="A313" s="2748"/>
      <c r="B313" s="2741"/>
      <c r="C313" s="2741"/>
      <c r="D313" s="2742" t="str">
        <f>CONCATENATE("Rate per  1  ",C312)</f>
        <v>Rate per  1  cum</v>
      </c>
      <c r="E313" s="2741"/>
      <c r="F313" s="2741"/>
      <c r="G313" s="2750">
        <f>G312/B312</f>
        <v>352.77457500000003</v>
      </c>
    </row>
    <row r="314" spans="1:7" ht="15" customHeight="1">
      <c r="A314" s="2748"/>
      <c r="B314" s="2741"/>
      <c r="C314" s="2741"/>
      <c r="D314" s="2732" t="str">
        <f>D313</f>
        <v>Rate per  1  cum</v>
      </c>
      <c r="E314" s="2741"/>
      <c r="F314" s="2741"/>
      <c r="G314" s="2752">
        <f>ROUND(G313,2)</f>
        <v>352.77</v>
      </c>
    </row>
    <row r="315" spans="1:7">
      <c r="A315" s="2687"/>
      <c r="B315" s="2730"/>
      <c r="C315" s="2741"/>
      <c r="D315" s="2734" t="s">
        <v>1869</v>
      </c>
      <c r="E315" s="2730"/>
      <c r="F315" s="2730"/>
      <c r="G315" s="2749"/>
    </row>
    <row r="316" spans="1:7">
      <c r="A316" s="2687"/>
      <c r="B316" s="2730"/>
      <c r="C316" s="2748"/>
      <c r="D316" s="2732" t="s">
        <v>12</v>
      </c>
      <c r="E316" s="2730"/>
      <c r="F316" s="2730"/>
      <c r="G316" s="2749"/>
    </row>
    <row r="317" spans="1:7">
      <c r="A317" s="2687"/>
      <c r="B317" s="2737">
        <v>0.03</v>
      </c>
      <c r="C317" s="2730" t="s">
        <v>13</v>
      </c>
      <c r="D317" s="2738" t="s">
        <v>14</v>
      </c>
      <c r="E317" s="2689">
        <f>'SSR-rates'!$K$58</f>
        <v>575</v>
      </c>
      <c r="F317" s="2741">
        <v>1</v>
      </c>
      <c r="G317" s="2750">
        <f>ROUND(B317*E317,2)</f>
        <v>17.25</v>
      </c>
    </row>
    <row r="318" spans="1:7">
      <c r="A318" s="2687"/>
      <c r="B318" s="2737">
        <v>0</v>
      </c>
      <c r="C318" s="2730" t="s">
        <v>13</v>
      </c>
      <c r="D318" s="2738" t="s">
        <v>15</v>
      </c>
      <c r="E318" s="2689">
        <f>'SSR-rates'!$K$59</f>
        <v>575</v>
      </c>
      <c r="F318" s="2741">
        <v>1</v>
      </c>
      <c r="G318" s="2750">
        <f>ROUND(B318*E318,2)</f>
        <v>0</v>
      </c>
    </row>
    <row r="319" spans="1:7" ht="15" customHeight="1">
      <c r="A319" s="2687"/>
      <c r="B319" s="2737">
        <v>0.7</v>
      </c>
      <c r="C319" s="2730" t="s">
        <v>13</v>
      </c>
      <c r="D319" s="2738" t="s">
        <v>16</v>
      </c>
      <c r="E319" s="2689">
        <f>'SSR-rates'!$K$60</f>
        <v>575</v>
      </c>
      <c r="F319" s="2741">
        <v>1</v>
      </c>
      <c r="G319" s="2750">
        <f>ROUND(B319*E319,2)</f>
        <v>402.5</v>
      </c>
    </row>
    <row r="320" spans="1:7" ht="15" customHeight="1">
      <c r="A320" s="2687"/>
      <c r="B320" s="2692">
        <f>'Input Data'!$D$23</f>
        <v>0</v>
      </c>
      <c r="C320" s="2705"/>
      <c r="D320" s="2688" t="s">
        <v>17</v>
      </c>
      <c r="E320" s="2689">
        <f>SUM(G317:G319)</f>
        <v>419.75</v>
      </c>
      <c r="F320" s="2677"/>
      <c r="G320" s="2691">
        <f>B320*E320</f>
        <v>0</v>
      </c>
    </row>
    <row r="321" spans="1:7">
      <c r="A321" s="2687"/>
      <c r="B321" s="2741"/>
      <c r="C321" s="2741"/>
      <c r="D321" s="2742" t="s">
        <v>18</v>
      </c>
      <c r="E321" s="2741"/>
      <c r="F321" s="2751" t="s">
        <v>19</v>
      </c>
      <c r="G321" s="2752">
        <f>SUM(G317:G320)</f>
        <v>419.75</v>
      </c>
    </row>
    <row r="322" spans="1:7">
      <c r="A322" s="2687"/>
      <c r="B322" s="2741"/>
      <c r="C322" s="2691" t="s">
        <v>27</v>
      </c>
      <c r="D322" s="2732" t="s">
        <v>1839</v>
      </c>
      <c r="E322" s="2741"/>
      <c r="F322" s="2741"/>
      <c r="G322" s="2750"/>
    </row>
    <row r="323" spans="1:7">
      <c r="A323" s="2687"/>
      <c r="B323" s="2699">
        <f>'Input Data'!$D$24</f>
        <v>0.13614999999999999</v>
      </c>
      <c r="C323" s="2741"/>
      <c r="D323" s="2732" t="str">
        <f>"Over head charges &amp; CP "&amp;'Input Data'!$D$24*100&amp;"%  on (A) + (B)"</f>
        <v>Over head charges &amp; CP 13.615%  on (A) + (B)</v>
      </c>
      <c r="E323" s="2741">
        <f>G321</f>
        <v>419.75</v>
      </c>
      <c r="F323" s="2730"/>
      <c r="G323" s="2750">
        <f>E323*B323</f>
        <v>57.148962499999996</v>
      </c>
    </row>
    <row r="324" spans="1:7">
      <c r="A324" s="2687"/>
      <c r="B324" s="2741"/>
      <c r="C324" s="2741"/>
      <c r="D324" s="2732"/>
      <c r="E324" s="2741"/>
      <c r="F324" s="2730"/>
      <c r="G324" s="2750"/>
    </row>
    <row r="325" spans="1:7">
      <c r="A325" s="2687"/>
      <c r="B325" s="2741">
        <v>1</v>
      </c>
      <c r="C325" s="2741" t="s">
        <v>31</v>
      </c>
      <c r="D325" s="2742" t="str">
        <f>CONCATENATE("TOTAL Cost for ",B325,"  ",C325,"  =  (A+B+C+D)",)</f>
        <v>TOTAL Cost for 1  cum  =  (A+B+C+D)</v>
      </c>
      <c r="E325" s="2741"/>
      <c r="F325" s="2741"/>
      <c r="G325" s="2750">
        <f>SUM(G321:G324)</f>
        <v>476.89896249999998</v>
      </c>
    </row>
    <row r="326" spans="1:7">
      <c r="A326" s="2687"/>
      <c r="B326" s="2741"/>
      <c r="C326" s="2741"/>
      <c r="D326" s="2742" t="str">
        <f>CONCATENATE("Rate per  1  ",C325)</f>
        <v>Rate per  1  cum</v>
      </c>
      <c r="E326" s="2741"/>
      <c r="F326" s="2741"/>
      <c r="G326" s="2750">
        <f>G325/B325</f>
        <v>476.89896249999998</v>
      </c>
    </row>
    <row r="327" spans="1:7">
      <c r="A327" s="2687"/>
      <c r="B327" s="2741"/>
      <c r="C327" s="2741"/>
      <c r="D327" s="2732" t="str">
        <f>D326</f>
        <v>Rate per  1  cum</v>
      </c>
      <c r="E327" s="2741"/>
      <c r="F327" s="2741"/>
      <c r="G327" s="2752">
        <f>ROUND(G326,2)</f>
        <v>476.9</v>
      </c>
    </row>
    <row r="328" spans="1:7">
      <c r="A328" s="2687"/>
      <c r="B328" s="2677"/>
      <c r="C328" s="2688"/>
      <c r="D328" s="2688"/>
      <c r="E328" s="2688"/>
      <c r="F328" s="2688"/>
      <c r="G328" s="2756"/>
    </row>
    <row r="329" spans="1:7">
      <c r="A329" s="2687"/>
      <c r="B329" s="2730"/>
      <c r="C329" s="2741"/>
      <c r="D329" s="2734" t="s">
        <v>1870</v>
      </c>
      <c r="E329" s="2730"/>
      <c r="F329" s="2730"/>
      <c r="G329" s="2749"/>
    </row>
    <row r="330" spans="1:7">
      <c r="A330" s="2687"/>
      <c r="B330" s="2730"/>
      <c r="C330" s="2748"/>
      <c r="D330" s="2732" t="s">
        <v>12</v>
      </c>
      <c r="E330" s="2730"/>
      <c r="F330" s="2730"/>
      <c r="G330" s="2749"/>
    </row>
    <row r="331" spans="1:7">
      <c r="A331" s="2687"/>
      <c r="B331" s="2737">
        <v>0.05</v>
      </c>
      <c r="C331" s="2730" t="s">
        <v>13</v>
      </c>
      <c r="D331" s="2738" t="s">
        <v>14</v>
      </c>
      <c r="E331" s="2689">
        <f>'SSR-rates'!$K$58</f>
        <v>575</v>
      </c>
      <c r="F331" s="2741">
        <v>1</v>
      </c>
      <c r="G331" s="2750">
        <f>ROUND(B331*E331,2)</f>
        <v>28.75</v>
      </c>
    </row>
    <row r="332" spans="1:7">
      <c r="A332" s="2687"/>
      <c r="B332" s="2737">
        <v>0</v>
      </c>
      <c r="C332" s="2730" t="s">
        <v>13</v>
      </c>
      <c r="D332" s="2738" t="s">
        <v>15</v>
      </c>
      <c r="E332" s="2689">
        <f>'SSR-rates'!$K$59</f>
        <v>575</v>
      </c>
      <c r="F332" s="2741">
        <v>1</v>
      </c>
      <c r="G332" s="2750">
        <f>ROUND(B332*E332,2)</f>
        <v>0</v>
      </c>
    </row>
    <row r="333" spans="1:7">
      <c r="A333" s="2687"/>
      <c r="B333" s="2737">
        <v>1.2</v>
      </c>
      <c r="C333" s="2730" t="s">
        <v>13</v>
      </c>
      <c r="D333" s="2738" t="s">
        <v>16</v>
      </c>
      <c r="E333" s="2689">
        <f>'SSR-rates'!$K$60</f>
        <v>575</v>
      </c>
      <c r="F333" s="2741">
        <v>1</v>
      </c>
      <c r="G333" s="2750">
        <f>ROUND(B333*E333,2)</f>
        <v>690</v>
      </c>
    </row>
    <row r="334" spans="1:7">
      <c r="A334" s="2687"/>
      <c r="B334" s="2692">
        <f>'Input Data'!$D$23</f>
        <v>0</v>
      </c>
      <c r="C334" s="2705"/>
      <c r="D334" s="2688" t="s">
        <v>17</v>
      </c>
      <c r="E334" s="2689">
        <f>SUM(G331:G333)</f>
        <v>718.75</v>
      </c>
      <c r="F334" s="2677"/>
      <c r="G334" s="2691">
        <f>B334*E334</f>
        <v>0</v>
      </c>
    </row>
    <row r="335" spans="1:7">
      <c r="A335" s="2687"/>
      <c r="B335" s="2741"/>
      <c r="C335" s="2741"/>
      <c r="D335" s="2742" t="s">
        <v>18</v>
      </c>
      <c r="E335" s="2741"/>
      <c r="F335" s="2751" t="s">
        <v>19</v>
      </c>
      <c r="G335" s="2752">
        <f>SUM(G331:G334)</f>
        <v>718.75</v>
      </c>
    </row>
    <row r="336" spans="1:7">
      <c r="A336" s="2687"/>
      <c r="B336" s="2741"/>
      <c r="C336" s="2691" t="s">
        <v>27</v>
      </c>
      <c r="D336" s="2732" t="s">
        <v>1839</v>
      </c>
      <c r="E336" s="2741"/>
      <c r="F336" s="2741"/>
      <c r="G336" s="2750"/>
    </row>
    <row r="337" spans="1:7">
      <c r="A337" s="2687"/>
      <c r="B337" s="2699">
        <f>'Input Data'!$D$24</f>
        <v>0.13614999999999999</v>
      </c>
      <c r="C337" s="2741"/>
      <c r="D337" s="2732" t="str">
        <f>"Over head charges &amp; CP "&amp;'Input Data'!$D$24*100&amp;"%  on (A) + (B)"</f>
        <v>Over head charges &amp; CP 13.615%  on (A) + (B)</v>
      </c>
      <c r="E337" s="2741">
        <f>G335</f>
        <v>718.75</v>
      </c>
      <c r="F337" s="2730"/>
      <c r="G337" s="2750">
        <f>E337*B337</f>
        <v>97.857812499999994</v>
      </c>
    </row>
    <row r="338" spans="1:7">
      <c r="A338" s="2687"/>
      <c r="B338" s="2741"/>
      <c r="C338" s="2741"/>
      <c r="D338" s="2732"/>
      <c r="E338" s="2741"/>
      <c r="F338" s="2730"/>
      <c r="G338" s="2750"/>
    </row>
    <row r="339" spans="1:7">
      <c r="A339" s="2687"/>
      <c r="B339" s="2741">
        <v>1</v>
      </c>
      <c r="C339" s="2741" t="s">
        <v>31</v>
      </c>
      <c r="D339" s="2742" t="str">
        <f>CONCATENATE("TOTAL Cost for ",B339,"  ",C339,"  =  (A+B+C)",)</f>
        <v>TOTAL Cost for 1  cum  =  (A+B+C)</v>
      </c>
      <c r="E339" s="2741"/>
      <c r="F339" s="2741"/>
      <c r="G339" s="2750">
        <f>SUM(G335:G338)</f>
        <v>816.60781250000002</v>
      </c>
    </row>
    <row r="340" spans="1:7">
      <c r="A340" s="2687"/>
      <c r="B340" s="2741"/>
      <c r="C340" s="2741"/>
      <c r="D340" s="2742" t="str">
        <f>CONCATENATE("Rate per  1  ",C339)</f>
        <v>Rate per  1  cum</v>
      </c>
      <c r="E340" s="2741"/>
      <c r="F340" s="2741"/>
      <c r="G340" s="2750">
        <f>G339/B339</f>
        <v>816.60781250000002</v>
      </c>
    </row>
    <row r="341" spans="1:7">
      <c r="A341" s="2687"/>
      <c r="B341" s="2741"/>
      <c r="C341" s="2741"/>
      <c r="D341" s="2732" t="str">
        <f>D340</f>
        <v>Rate per  1  cum</v>
      </c>
      <c r="E341" s="2741"/>
      <c r="F341" s="2741"/>
      <c r="G341" s="2752">
        <f>ROUND(G340,2)</f>
        <v>816.61</v>
      </c>
    </row>
    <row r="342" spans="1:7">
      <c r="A342" s="2687"/>
      <c r="B342" s="2677"/>
      <c r="C342" s="2688"/>
      <c r="D342" s="2688"/>
      <c r="E342" s="2688"/>
      <c r="F342" s="2688"/>
      <c r="G342" s="2754"/>
    </row>
    <row r="343" spans="1:7">
      <c r="A343" s="2687"/>
      <c r="B343" s="2677"/>
      <c r="C343" s="2688"/>
      <c r="D343" s="2688"/>
      <c r="E343" s="2688"/>
      <c r="F343" s="2688"/>
      <c r="G343" s="2754"/>
    </row>
    <row r="344" spans="1:7" ht="50.1" customHeight="1">
      <c r="A344" s="2755">
        <v>13</v>
      </c>
      <c r="B344" s="4048" t="s">
        <v>1871</v>
      </c>
      <c r="C344" s="4048"/>
      <c r="D344" s="4048"/>
      <c r="E344" s="4048"/>
      <c r="F344" s="4048"/>
      <c r="G344" s="4048"/>
    </row>
    <row r="345" spans="1:7" ht="15" customHeight="1">
      <c r="A345" s="2748"/>
      <c r="B345" s="2748" t="s">
        <v>1872</v>
      </c>
      <c r="C345" s="2730"/>
      <c r="D345" s="2757"/>
      <c r="E345" s="2730"/>
      <c r="F345" s="2730"/>
      <c r="G345" s="2749"/>
    </row>
    <row r="346" spans="1:7" ht="15" customHeight="1">
      <c r="A346" s="2748"/>
      <c r="B346" s="2730"/>
      <c r="C346" s="2730"/>
      <c r="D346" s="2734" t="s">
        <v>10</v>
      </c>
      <c r="E346" s="2730"/>
      <c r="F346" s="2730"/>
      <c r="G346" s="2749"/>
    </row>
    <row r="347" spans="1:7" ht="15" customHeight="1">
      <c r="A347" s="2748"/>
      <c r="B347" s="2730"/>
      <c r="C347" s="2741"/>
      <c r="D347" s="2734" t="s">
        <v>115</v>
      </c>
      <c r="E347" s="2730"/>
      <c r="F347" s="2730"/>
      <c r="G347" s="2749"/>
    </row>
    <row r="348" spans="1:7" ht="15" customHeight="1">
      <c r="A348" s="2748"/>
      <c r="B348" s="2730"/>
      <c r="C348" s="2748"/>
      <c r="D348" s="2732" t="s">
        <v>12</v>
      </c>
      <c r="E348" s="2730"/>
      <c r="F348" s="2730"/>
      <c r="G348" s="2749"/>
    </row>
    <row r="349" spans="1:7" ht="15" customHeight="1">
      <c r="A349" s="2748"/>
      <c r="B349" s="2737">
        <v>0.01</v>
      </c>
      <c r="C349" s="2730" t="s">
        <v>13</v>
      </c>
      <c r="D349" s="2738" t="s">
        <v>14</v>
      </c>
      <c r="E349" s="2689">
        <f>'SSR-rates'!$K$58</f>
        <v>575</v>
      </c>
      <c r="F349" s="2741">
        <v>1</v>
      </c>
      <c r="G349" s="2750">
        <f>ROUND(B349*E349,2)</f>
        <v>5.75</v>
      </c>
    </row>
    <row r="350" spans="1:7" ht="15" customHeight="1">
      <c r="A350" s="2748"/>
      <c r="B350" s="2737">
        <v>0</v>
      </c>
      <c r="C350" s="2730" t="s">
        <v>13</v>
      </c>
      <c r="D350" s="2738" t="s">
        <v>15</v>
      </c>
      <c r="E350" s="2689">
        <f>'SSR-rates'!$K$59</f>
        <v>575</v>
      </c>
      <c r="F350" s="2741">
        <v>1</v>
      </c>
      <c r="G350" s="2750">
        <f>ROUND(B350*E350,2)</f>
        <v>0</v>
      </c>
    </row>
    <row r="351" spans="1:7" ht="15" customHeight="1">
      <c r="A351" s="2748"/>
      <c r="B351" s="2737">
        <v>0.3</v>
      </c>
      <c r="C351" s="2730" t="s">
        <v>13</v>
      </c>
      <c r="D351" s="2738" t="s">
        <v>16</v>
      </c>
      <c r="E351" s="2689">
        <f>'SSR-rates'!$K$60</f>
        <v>575</v>
      </c>
      <c r="F351" s="2741">
        <v>1</v>
      </c>
      <c r="G351" s="2750">
        <f>ROUND(B351*E351,2)</f>
        <v>172.5</v>
      </c>
    </row>
    <row r="352" spans="1:7" ht="15" customHeight="1">
      <c r="A352" s="2748"/>
      <c r="B352" s="2692">
        <f>'Input Data'!$D$23</f>
        <v>0</v>
      </c>
      <c r="C352" s="2705"/>
      <c r="D352" s="2688" t="s">
        <v>17</v>
      </c>
      <c r="E352" s="2689">
        <f>SUM(G349:G351)</f>
        <v>178.25</v>
      </c>
      <c r="F352" s="2677"/>
      <c r="G352" s="2689">
        <f>B352*E352</f>
        <v>0</v>
      </c>
    </row>
    <row r="353" spans="1:7" ht="15" customHeight="1">
      <c r="A353" s="2748"/>
      <c r="B353" s="2741"/>
      <c r="C353" s="2741"/>
      <c r="D353" s="2742" t="s">
        <v>18</v>
      </c>
      <c r="E353" s="2741"/>
      <c r="F353" s="2751" t="s">
        <v>19</v>
      </c>
      <c r="G353" s="2752">
        <f>SUM(G349:G352)</f>
        <v>178.25</v>
      </c>
    </row>
    <row r="354" spans="1:7" ht="15" customHeight="1">
      <c r="A354" s="2748"/>
      <c r="B354" s="2741"/>
      <c r="C354" s="2748"/>
      <c r="D354" s="2732" t="s">
        <v>20</v>
      </c>
      <c r="E354" s="2741"/>
      <c r="F354" s="2741"/>
      <c r="G354" s="2750"/>
    </row>
    <row r="355" spans="1:7" ht="15" customHeight="1">
      <c r="A355" s="2748"/>
      <c r="B355" s="2737">
        <v>0.38</v>
      </c>
      <c r="C355" s="2730" t="s">
        <v>23</v>
      </c>
      <c r="D355" s="2738" t="s">
        <v>24</v>
      </c>
      <c r="E355" s="2741">
        <f>'SSR-rates'!$K$70</f>
        <v>512</v>
      </c>
      <c r="F355" s="2741">
        <v>1</v>
      </c>
      <c r="G355" s="2750">
        <f>ROUND(B355*E355,2)</f>
        <v>194.56</v>
      </c>
    </row>
    <row r="356" spans="1:7" ht="15" customHeight="1">
      <c r="A356" s="2748"/>
      <c r="B356" s="2737">
        <v>1.7000000000000001E-2</v>
      </c>
      <c r="C356" s="2730"/>
      <c r="D356" s="2738" t="s">
        <v>1521</v>
      </c>
      <c r="E356" s="2741">
        <f>'SSR-rates'!$K$72</f>
        <v>625</v>
      </c>
      <c r="F356" s="2741">
        <v>1</v>
      </c>
      <c r="G356" s="2750">
        <f>ROUND(B356*E356,2)</f>
        <v>10.63</v>
      </c>
    </row>
    <row r="357" spans="1:7" ht="15" customHeight="1">
      <c r="A357" s="2748"/>
      <c r="B357" s="2741"/>
      <c r="C357" s="2741"/>
      <c r="D357" s="2742" t="s">
        <v>18</v>
      </c>
      <c r="E357" s="2741"/>
      <c r="F357" s="2751" t="s">
        <v>25</v>
      </c>
      <c r="G357" s="2752">
        <f>SUM(G355:G356)</f>
        <v>205.19</v>
      </c>
    </row>
    <row r="358" spans="1:7" ht="15" customHeight="1">
      <c r="A358" s="2748"/>
      <c r="B358" s="2741"/>
      <c r="C358" s="2730"/>
      <c r="D358" s="2732" t="s">
        <v>26</v>
      </c>
      <c r="E358" s="2741"/>
      <c r="F358" s="2741"/>
      <c r="G358" s="2752">
        <f>G353+G357</f>
        <v>383.44</v>
      </c>
    </row>
    <row r="359" spans="1:7" ht="15" customHeight="1">
      <c r="A359" s="2748"/>
      <c r="B359" s="2741"/>
      <c r="C359" s="2691" t="s">
        <v>27</v>
      </c>
      <c r="D359" s="2732" t="s">
        <v>1873</v>
      </c>
      <c r="E359" s="2741"/>
      <c r="F359" s="2741"/>
      <c r="G359" s="2750"/>
    </row>
    <row r="360" spans="1:7" ht="15" customHeight="1">
      <c r="A360" s="2748"/>
      <c r="B360" s="2699">
        <f>'Input Data'!$D$24</f>
        <v>0.13614999999999999</v>
      </c>
      <c r="C360" s="2741"/>
      <c r="D360" s="2732" t="str">
        <f>"Over head charges &amp; CP  "&amp;'Input Data'!$D$24*100&amp;"%  on (A) + (B)"</f>
        <v>Over head charges &amp; CP  13.615%  on (A) + (B)</v>
      </c>
      <c r="E360" s="2741">
        <f>G358</f>
        <v>383.44</v>
      </c>
      <c r="F360" s="2730"/>
      <c r="G360" s="2750">
        <f>E360*B360</f>
        <v>52.205355999999995</v>
      </c>
    </row>
    <row r="361" spans="1:7" ht="15" customHeight="1">
      <c r="A361" s="2748"/>
      <c r="B361" s="2741"/>
      <c r="C361" s="2741"/>
      <c r="D361" s="2732"/>
      <c r="E361" s="2741"/>
      <c r="F361" s="2730"/>
      <c r="G361" s="2750"/>
    </row>
    <row r="362" spans="1:7" ht="15" customHeight="1">
      <c r="A362" s="2748"/>
      <c r="B362" s="2741">
        <v>1</v>
      </c>
      <c r="C362" s="2741" t="s">
        <v>31</v>
      </c>
      <c r="D362" s="2742" t="str">
        <f>CONCATENATE("TOTAL Cost for ",B362,"  ",C362,"  =  (A+B+C)",)</f>
        <v>TOTAL Cost for 1  cum  =  (A+B+C)</v>
      </c>
      <c r="E362" s="2741"/>
      <c r="F362" s="2741"/>
      <c r="G362" s="2750">
        <f>SUM(G358:G361)</f>
        <v>435.64535599999999</v>
      </c>
    </row>
    <row r="363" spans="1:7" ht="15" customHeight="1">
      <c r="A363" s="2748"/>
      <c r="B363" s="2741"/>
      <c r="C363" s="2741"/>
      <c r="D363" s="2742" t="str">
        <f>CONCATENATE("Rate per  1  ",C362)</f>
        <v>Rate per  1  cum</v>
      </c>
      <c r="E363" s="2741"/>
      <c r="F363" s="2741"/>
      <c r="G363" s="2750">
        <f>G362/B362</f>
        <v>435.64535599999999</v>
      </c>
    </row>
    <row r="364" spans="1:7" ht="15" customHeight="1">
      <c r="A364" s="2748"/>
      <c r="B364" s="2741"/>
      <c r="C364" s="2741"/>
      <c r="D364" s="2732" t="str">
        <f>D363</f>
        <v>Rate per  1  cum</v>
      </c>
      <c r="E364" s="2741"/>
      <c r="F364" s="2741"/>
      <c r="G364" s="2752">
        <f>ROUND(G363,0)</f>
        <v>436</v>
      </c>
    </row>
    <row r="365" spans="1:7">
      <c r="A365" s="2687"/>
      <c r="B365" s="2677"/>
      <c r="C365" s="2688"/>
      <c r="D365" s="2688"/>
      <c r="E365" s="2688"/>
      <c r="F365" s="2688"/>
      <c r="G365" s="2754"/>
    </row>
    <row r="366" spans="1:7" ht="87.9" customHeight="1">
      <c r="A366" s="2687">
        <v>14</v>
      </c>
      <c r="B366" s="4050" t="s">
        <v>1815</v>
      </c>
      <c r="C366" s="4050"/>
      <c r="D366" s="4050"/>
      <c r="E366" s="4050"/>
      <c r="F366" s="4050"/>
      <c r="G366" s="4050"/>
    </row>
    <row r="367" spans="1:7">
      <c r="A367" s="2708"/>
      <c r="B367" s="2677"/>
      <c r="C367" s="2688"/>
      <c r="D367" s="2700" t="s">
        <v>10</v>
      </c>
      <c r="E367" s="2688"/>
      <c r="F367" s="2688"/>
      <c r="G367" s="2688"/>
    </row>
    <row r="368" spans="1:7">
      <c r="A368" s="2708"/>
      <c r="B368" s="2677"/>
      <c r="C368" s="2688"/>
      <c r="D368" s="2700" t="s">
        <v>56</v>
      </c>
      <c r="E368" s="2688"/>
      <c r="F368" s="2688"/>
      <c r="G368" s="2688"/>
    </row>
    <row r="369" spans="1:8">
      <c r="A369" s="2708"/>
      <c r="B369" s="2687" t="s">
        <v>36</v>
      </c>
      <c r="C369" s="2709" t="s">
        <v>37</v>
      </c>
      <c r="D369" s="2688"/>
      <c r="E369" s="2688"/>
      <c r="F369" s="2688"/>
      <c r="G369" s="2688"/>
    </row>
    <row r="370" spans="1:8">
      <c r="A370" s="2708"/>
      <c r="B370" s="2689">
        <v>0.86</v>
      </c>
      <c r="C370" s="2690" t="s">
        <v>57</v>
      </c>
      <c r="D370" s="2700" t="s">
        <v>14</v>
      </c>
      <c r="E370" s="2689">
        <v>405</v>
      </c>
      <c r="F370" s="2677" t="s">
        <v>38</v>
      </c>
      <c r="G370" s="2691">
        <f>ROUND(B370*E370,2)</f>
        <v>348.3</v>
      </c>
      <c r="H370" s="2401"/>
    </row>
    <row r="371" spans="1:8">
      <c r="A371" s="2708"/>
      <c r="B371" s="2689">
        <v>1.5</v>
      </c>
      <c r="C371" s="2690" t="s">
        <v>57</v>
      </c>
      <c r="D371" s="2700" t="s">
        <v>58</v>
      </c>
      <c r="E371" s="2689">
        <v>417</v>
      </c>
      <c r="F371" s="2677" t="s">
        <v>38</v>
      </c>
      <c r="G371" s="2691">
        <f>ROUND(B371*E371,2)</f>
        <v>625.5</v>
      </c>
    </row>
    <row r="372" spans="1:8">
      <c r="A372" s="2708"/>
      <c r="B372" s="2689">
        <v>20</v>
      </c>
      <c r="C372" s="2690" t="s">
        <v>57</v>
      </c>
      <c r="D372" s="2700" t="s">
        <v>59</v>
      </c>
      <c r="E372" s="2689">
        <v>350</v>
      </c>
      <c r="F372" s="2677" t="s">
        <v>38</v>
      </c>
      <c r="G372" s="2691">
        <f>ROUND(B372*E372,2)</f>
        <v>7000</v>
      </c>
    </row>
    <row r="373" spans="1:8">
      <c r="A373" s="2687"/>
      <c r="B373" s="2692">
        <f>'Input Data'!D23</f>
        <v>0</v>
      </c>
      <c r="C373" s="2705"/>
      <c r="D373" s="2688" t="s">
        <v>17</v>
      </c>
      <c r="E373" s="2689">
        <f>SUM(G370:G372)</f>
        <v>7973.8</v>
      </c>
      <c r="F373" s="2677"/>
      <c r="G373" s="2691">
        <f>ROUND(B373*E373,2)</f>
        <v>0</v>
      </c>
    </row>
    <row r="374" spans="1:8" ht="15" customHeight="1">
      <c r="A374" s="2708"/>
      <c r="B374" s="2689"/>
      <c r="C374" s="2688"/>
      <c r="D374" s="2700" t="s">
        <v>60</v>
      </c>
      <c r="E374" s="2689"/>
      <c r="F374" s="2689"/>
      <c r="G374" s="2691">
        <f>SUM(G370:G373)</f>
        <v>7973.8</v>
      </c>
    </row>
    <row r="375" spans="1:8">
      <c r="A375" s="2708"/>
      <c r="B375" s="2687" t="s">
        <v>39</v>
      </c>
      <c r="C375" s="2709" t="s">
        <v>61</v>
      </c>
      <c r="D375" s="2688"/>
      <c r="E375" s="2689"/>
      <c r="F375" s="2689"/>
      <c r="G375" s="2689"/>
    </row>
    <row r="376" spans="1:8" ht="15" customHeight="1">
      <c r="A376" s="2708"/>
      <c r="B376" s="2689">
        <v>8.1</v>
      </c>
      <c r="C376" s="2690" t="s">
        <v>31</v>
      </c>
      <c r="D376" s="2688" t="s">
        <v>63</v>
      </c>
      <c r="E376" s="2689">
        <v>1630.8781850988</v>
      </c>
      <c r="F376" s="2689" t="s">
        <v>31</v>
      </c>
      <c r="G376" s="2689">
        <f>ROUND(B376*E376,2)</f>
        <v>13210.11</v>
      </c>
    </row>
    <row r="377" spans="1:8" ht="15" customHeight="1">
      <c r="A377" s="2708"/>
      <c r="B377" s="2689">
        <v>5.4</v>
      </c>
      <c r="C377" s="2690" t="s">
        <v>31</v>
      </c>
      <c r="D377" s="2688" t="s">
        <v>64</v>
      </c>
      <c r="E377" s="2689">
        <v>1350.8781850988</v>
      </c>
      <c r="F377" s="2689" t="s">
        <v>31</v>
      </c>
      <c r="G377" s="2689">
        <f>ROUND(B377*E377,2)</f>
        <v>7294.74</v>
      </c>
    </row>
    <row r="378" spans="1:8" ht="15" customHeight="1">
      <c r="A378" s="2708"/>
      <c r="B378" s="2689">
        <v>6.75</v>
      </c>
      <c r="C378" s="2690" t="s">
        <v>31</v>
      </c>
      <c r="D378" s="2700" t="s">
        <v>65</v>
      </c>
      <c r="E378" s="2689">
        <v>0</v>
      </c>
      <c r="F378" s="2689" t="s">
        <v>31</v>
      </c>
      <c r="G378" s="2689">
        <f>ROUND(B378*E378,2)</f>
        <v>0</v>
      </c>
    </row>
    <row r="379" spans="1:8" ht="15" customHeight="1">
      <c r="A379" s="2708"/>
      <c r="B379" s="2689">
        <v>5.21</v>
      </c>
      <c r="C379" s="2690" t="s">
        <v>66</v>
      </c>
      <c r="D379" s="2700" t="s">
        <v>67</v>
      </c>
      <c r="E379" s="2689">
        <v>5400</v>
      </c>
      <c r="F379" s="2689" t="s">
        <v>66</v>
      </c>
      <c r="G379" s="2689">
        <f>ROUND(B379*E379,2)</f>
        <v>28134</v>
      </c>
    </row>
    <row r="380" spans="1:8">
      <c r="A380" s="2708"/>
      <c r="B380" s="2689"/>
      <c r="C380" s="2705"/>
      <c r="D380" s="2700" t="s">
        <v>60</v>
      </c>
      <c r="E380" s="2689"/>
      <c r="F380" s="2689"/>
      <c r="G380" s="2689">
        <f>SUM(G376:G379)</f>
        <v>48638.85</v>
      </c>
    </row>
    <row r="381" spans="1:8">
      <c r="A381" s="2708"/>
      <c r="B381" s="2687" t="s">
        <v>94</v>
      </c>
      <c r="C381" s="2709" t="s">
        <v>40</v>
      </c>
      <c r="D381" s="2688"/>
      <c r="E381" s="2689"/>
      <c r="F381" s="2689"/>
      <c r="G381" s="2689"/>
    </row>
    <row r="382" spans="1:8">
      <c r="A382" s="2708"/>
      <c r="B382" s="2689">
        <v>6</v>
      </c>
      <c r="C382" s="2690" t="s">
        <v>41</v>
      </c>
      <c r="D382" s="2700" t="s">
        <v>68</v>
      </c>
      <c r="E382" s="2689">
        <v>472.6</v>
      </c>
      <c r="F382" s="2689" t="s">
        <v>41</v>
      </c>
      <c r="G382" s="2689">
        <f>ROUND(B382*E382,2)</f>
        <v>2835.6</v>
      </c>
    </row>
    <row r="383" spans="1:8">
      <c r="A383" s="2708"/>
      <c r="B383" s="2689">
        <v>6</v>
      </c>
      <c r="C383" s="2690" t="s">
        <v>41</v>
      </c>
      <c r="D383" s="2700" t="s">
        <v>69</v>
      </c>
      <c r="E383" s="2689">
        <v>842.2</v>
      </c>
      <c r="F383" s="2689" t="s">
        <v>41</v>
      </c>
      <c r="G383" s="2689">
        <f>ROUND(B383*E383,2)</f>
        <v>5053.2</v>
      </c>
    </row>
    <row r="384" spans="1:8">
      <c r="A384" s="2708"/>
      <c r="B384" s="2689"/>
      <c r="C384" s="2705"/>
      <c r="D384" s="2700" t="s">
        <v>60</v>
      </c>
      <c r="E384" s="2689"/>
      <c r="F384" s="2689"/>
      <c r="G384" s="2689">
        <f>SUM(G382:G383)</f>
        <v>7888.7999999999993</v>
      </c>
    </row>
    <row r="385" spans="1:7">
      <c r="A385" s="2687"/>
      <c r="B385" s="2687" t="s">
        <v>45</v>
      </c>
      <c r="C385" s="2682" t="s">
        <v>149</v>
      </c>
      <c r="D385" s="2688"/>
      <c r="E385" s="2690"/>
      <c r="F385" s="2690"/>
      <c r="G385" s="2714"/>
    </row>
    <row r="386" spans="1:7" ht="15" customHeight="1">
      <c r="A386" s="2687"/>
      <c r="B386" s="2689">
        <v>10</v>
      </c>
      <c r="C386" s="2705" t="s">
        <v>29</v>
      </c>
      <c r="D386" s="2700" t="s">
        <v>1874</v>
      </c>
      <c r="E386" s="2690"/>
      <c r="F386" s="2690"/>
      <c r="G386" s="2689">
        <f>ROUND((G374+G380+G384)*B386/100,2)</f>
        <v>6450.15</v>
      </c>
    </row>
    <row r="387" spans="1:7">
      <c r="A387" s="2687"/>
      <c r="B387" s="2687" t="s">
        <v>47</v>
      </c>
      <c r="C387" s="2682" t="s">
        <v>1189</v>
      </c>
      <c r="D387" s="2688"/>
      <c r="E387" s="2690"/>
      <c r="F387" s="2690"/>
      <c r="G387" s="2714"/>
    </row>
    <row r="388" spans="1:7" ht="15" customHeight="1">
      <c r="A388" s="2687"/>
      <c r="B388" s="2699">
        <f>'Input Data'!$D$24</f>
        <v>0.13614999999999999</v>
      </c>
      <c r="C388" s="4043" t="str">
        <f>"Over head charges &amp; CP "&amp;'Input Data'!$D$24*100&amp;"%  on (A) + (B)+(C)+(D)"</f>
        <v>Over head charges &amp; CP 13.615%  on (A) + (B)+(C)+(D)</v>
      </c>
      <c r="D388" s="4043"/>
      <c r="E388" s="2705">
        <f>G386+G384+G380+G374</f>
        <v>70951.599999999991</v>
      </c>
      <c r="F388" s="2690"/>
      <c r="G388" s="2689">
        <f>E388*B388</f>
        <v>9660.0603399999982</v>
      </c>
    </row>
    <row r="389" spans="1:7">
      <c r="A389" s="2687"/>
      <c r="B389" s="2687" t="s">
        <v>76</v>
      </c>
      <c r="C389" s="2682" t="s">
        <v>89</v>
      </c>
      <c r="D389" s="2688"/>
      <c r="E389" s="2690"/>
      <c r="F389" s="2690"/>
      <c r="G389" s="2714">
        <f>G374+G380+G384+G388+G386</f>
        <v>80611.660339999988</v>
      </c>
    </row>
    <row r="390" spans="1:7">
      <c r="A390" s="2708"/>
      <c r="B390" s="2689"/>
      <c r="C390" s="2690"/>
      <c r="D390" s="2709" t="s">
        <v>1814</v>
      </c>
      <c r="E390" s="2689"/>
      <c r="F390" s="2689"/>
      <c r="G390" s="2714">
        <f>SUM(G389:G389)</f>
        <v>80611.660339999988</v>
      </c>
    </row>
    <row r="391" spans="1:7">
      <c r="A391" s="2708"/>
      <c r="B391" s="2689"/>
      <c r="C391" s="2690"/>
      <c r="D391" s="2700" t="s">
        <v>81</v>
      </c>
      <c r="E391" s="2689"/>
      <c r="F391" s="2689"/>
      <c r="G391" s="2689">
        <f>ROUND(G390/15,2)</f>
        <v>5374.11</v>
      </c>
    </row>
    <row r="392" spans="1:7">
      <c r="A392" s="2708"/>
      <c r="B392" s="2677"/>
      <c r="C392" s="2688"/>
      <c r="D392" s="2700" t="s">
        <v>52</v>
      </c>
      <c r="E392" s="2689"/>
      <c r="F392" s="2689"/>
      <c r="G392" s="2758">
        <f>ROUND(G391,0)</f>
        <v>5374</v>
      </c>
    </row>
    <row r="393" spans="1:7">
      <c r="A393" s="2708"/>
      <c r="B393" s="2677"/>
      <c r="C393" s="2688"/>
      <c r="D393" s="2700"/>
      <c r="E393" s="2689"/>
      <c r="F393" s="2689"/>
      <c r="G393" s="2714" t="s">
        <v>53</v>
      </c>
    </row>
    <row r="394" spans="1:7">
      <c r="A394" s="2759"/>
      <c r="D394" s="2401"/>
      <c r="E394" s="2760"/>
      <c r="F394" s="2760"/>
      <c r="G394" s="2761"/>
    </row>
    <row r="395" spans="1:7">
      <c r="A395" s="2759"/>
      <c r="D395" s="2401"/>
      <c r="E395" s="2760"/>
      <c r="F395" s="2760"/>
      <c r="G395" s="2761"/>
    </row>
    <row r="396" spans="1:7">
      <c r="A396" s="2759"/>
      <c r="D396" s="2401" t="str">
        <f>'Road data'!D985</f>
        <v>Assistant Engineer,</v>
      </c>
      <c r="E396" s="2762" t="str">
        <f>'Road data'!E985</f>
        <v>Dy. Exe. Engineer</v>
      </c>
      <c r="F396" s="2760"/>
      <c r="G396" s="2761"/>
    </row>
    <row r="397" spans="1:7">
      <c r="A397" s="2759"/>
      <c r="D397" s="2401" t="str">
        <f>'Road data'!D986</f>
        <v>PRSD, Maddur</v>
      </c>
      <c r="E397" s="2762" t="str">
        <f>'Road data'!E986</f>
        <v>PRSD, Maddur</v>
      </c>
      <c r="F397" s="2760"/>
      <c r="G397" s="2761"/>
    </row>
    <row r="398" spans="1:7">
      <c r="A398" s="2759"/>
      <c r="D398" s="2401"/>
      <c r="E398" s="2760"/>
      <c r="F398" s="2760"/>
      <c r="G398" s="2761"/>
    </row>
    <row r="400" spans="1:7" ht="15.9" customHeight="1">
      <c r="D400" s="2763" t="str">
        <f>'Drain '!F40</f>
        <v>District Panchayat Raj Engineer,</v>
      </c>
      <c r="E400" s="4051" t="str">
        <f>'Drain '!I40</f>
        <v>Superintending Engineer</v>
      </c>
      <c r="F400" s="4051"/>
      <c r="G400" s="4051"/>
    </row>
    <row r="401" spans="4:7" ht="15.9" customHeight="1">
      <c r="D401" s="2763" t="str">
        <f>'Drain '!F41</f>
        <v>PIU, Narayanpet</v>
      </c>
      <c r="E401" s="4046" t="str">
        <f>GA!C37</f>
        <v>PR, Circle, Vikarabad</v>
      </c>
      <c r="F401" s="4046"/>
      <c r="G401" s="4046"/>
    </row>
  </sheetData>
  <mergeCells count="36">
    <mergeCell ref="E401:G401"/>
    <mergeCell ref="E253:G253"/>
    <mergeCell ref="B254:G254"/>
    <mergeCell ref="E275:G275"/>
    <mergeCell ref="B277:G277"/>
    <mergeCell ref="B299:G299"/>
    <mergeCell ref="D310:D311"/>
    <mergeCell ref="B344:G344"/>
    <mergeCell ref="B366:G366"/>
    <mergeCell ref="C388:D388"/>
    <mergeCell ref="E400:G400"/>
    <mergeCell ref="B157:G157"/>
    <mergeCell ref="C174:D174"/>
    <mergeCell ref="B181:G181"/>
    <mergeCell ref="B202:G202"/>
    <mergeCell ref="B233:G233"/>
    <mergeCell ref="C67:D67"/>
    <mergeCell ref="B75:G75"/>
    <mergeCell ref="C99:D99"/>
    <mergeCell ref="B106:G106"/>
    <mergeCell ref="B132:G132"/>
    <mergeCell ref="B39:D39"/>
    <mergeCell ref="C47:D47"/>
    <mergeCell ref="B55:G55"/>
    <mergeCell ref="B56:C56"/>
    <mergeCell ref="B57:D57"/>
    <mergeCell ref="B5:C5"/>
    <mergeCell ref="B7:D7"/>
    <mergeCell ref="C14:D14"/>
    <mergeCell ref="B23:D23"/>
    <mergeCell ref="C31:D31"/>
    <mergeCell ref="A1:G1"/>
    <mergeCell ref="A2:C2"/>
    <mergeCell ref="D2:G2"/>
    <mergeCell ref="B3:C3"/>
    <mergeCell ref="B4:G4"/>
  </mergeCells>
  <conditionalFormatting sqref="A233">
    <cfRule type="cellIs" dxfId="15" priority="28" stopIfTrue="1" operator="equal">
      <formula>A1879</formula>
    </cfRule>
  </conditionalFormatting>
  <conditionalFormatting sqref="A234:A240">
    <cfRule type="cellIs" dxfId="14" priority="29" stopIfTrue="1" operator="equal">
      <formula>A233</formula>
    </cfRule>
  </conditionalFormatting>
  <conditionalFormatting sqref="A242:A243 A245:A249 A251:A252 A289:A293 A295:A296 A301:A302 A304:A306 A310:A311 A313:A314 A358:A361 A363:A364">
    <cfRule type="cellIs" dxfId="13" priority="32" stopIfTrue="1" operator="equal">
      <formula>A241</formula>
    </cfRule>
  </conditionalFormatting>
  <conditionalFormatting sqref="A254">
    <cfRule type="cellIs" dxfId="12" priority="2" stopIfTrue="1" operator="equal">
      <formula>A1900</formula>
    </cfRule>
  </conditionalFormatting>
  <conditionalFormatting sqref="A255:A261">
    <cfRule type="cellIs" dxfId="11" priority="3" stopIfTrue="1" operator="equal">
      <formula>A254</formula>
    </cfRule>
  </conditionalFormatting>
  <conditionalFormatting sqref="A263:A265 A267:A271 A273:A274">
    <cfRule type="cellIs" dxfId="10" priority="5" stopIfTrue="1" operator="equal">
      <formula>A262</formula>
    </cfRule>
  </conditionalFormatting>
  <conditionalFormatting sqref="A277">
    <cfRule type="cellIs" dxfId="9" priority="23" stopIfTrue="1" operator="equal">
      <formula>A1903</formula>
    </cfRule>
  </conditionalFormatting>
  <conditionalFormatting sqref="A278:A284">
    <cfRule type="cellIs" dxfId="8" priority="24" stopIfTrue="1" operator="equal">
      <formula>A277</formula>
    </cfRule>
  </conditionalFormatting>
  <conditionalFormatting sqref="A286:A287">
    <cfRule type="cellIs" dxfId="7" priority="26" stopIfTrue="1" operator="equal">
      <formula>A285</formula>
    </cfRule>
  </conditionalFormatting>
  <conditionalFormatting sqref="A299">
    <cfRule type="cellIs" dxfId="6" priority="18" stopIfTrue="1" operator="equal">
      <formula>A1927</formula>
    </cfRule>
  </conditionalFormatting>
  <conditionalFormatting sqref="A303 A357">
    <cfRule type="cellIs" dxfId="5" priority="39" stopIfTrue="1" operator="equal">
      <formula>A301</formula>
    </cfRule>
  </conditionalFormatting>
  <conditionalFormatting sqref="A308">
    <cfRule type="cellIs" dxfId="4" priority="21" stopIfTrue="1" operator="equal">
      <formula>A307</formula>
    </cfRule>
  </conditionalFormatting>
  <conditionalFormatting sqref="A344">
    <cfRule type="cellIs" dxfId="3" priority="12" stopIfTrue="1" operator="equal">
      <formula>A1980</formula>
    </cfRule>
  </conditionalFormatting>
  <conditionalFormatting sqref="A346:A356">
    <cfRule type="cellIs" dxfId="2" priority="8" stopIfTrue="1" operator="equal">
      <formula>A345</formula>
    </cfRule>
  </conditionalFormatting>
  <conditionalFormatting sqref="A352 A241 A262 A285 A300 A307">
    <cfRule type="cellIs" dxfId="1" priority="34" stopIfTrue="1" operator="equal">
      <formula>#REF!</formula>
    </cfRule>
  </conditionalFormatting>
  <conditionalFormatting sqref="A355:A356 A244 A250 A266 A272 A288 A294 A309 A312 A345 A362">
    <cfRule type="cellIs" dxfId="0" priority="37" stopIfTrue="1" operator="equal">
      <formula>#REF!</formula>
    </cfRule>
  </conditionalFormatting>
  <printOptions horizontalCentered="1"/>
  <pageMargins left="0.59055118110236204" right="0.196850393700787" top="0.35" bottom="0.25" header="0.511811023622047" footer="0.35433070866141703"/>
  <pageSetup paperSize="9" scale="95" orientation="portrait" r:id="rId1"/>
  <headerFooter alignWithMargins="0">
    <oddFooter>&amp;CPage &amp;P of &amp;N</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FF0000"/>
  </sheetPr>
  <dimension ref="A1:J47"/>
  <sheetViews>
    <sheetView workbookViewId="0">
      <selection activeCell="H29" sqref="H29:P29"/>
    </sheetView>
  </sheetViews>
  <sheetFormatPr defaultColWidth="9.33203125" defaultRowHeight="13.2"/>
  <cols>
    <col min="1" max="1" width="6.109375" style="2765" customWidth="1"/>
    <col min="2" max="2" width="39.109375" style="2765" customWidth="1"/>
    <col min="3" max="3" width="8.6640625" style="2769" customWidth="1"/>
    <col min="4" max="4" width="7.5546875" style="2769" customWidth="1"/>
    <col min="5" max="5" width="11.44140625" style="2765" customWidth="1"/>
    <col min="6" max="6" width="12.33203125" style="2765" customWidth="1"/>
    <col min="7" max="7" width="15.6640625" style="2765" customWidth="1"/>
    <col min="8" max="257" width="9.33203125" style="2765"/>
    <col min="258" max="258" width="6.109375" style="2765" customWidth="1"/>
    <col min="259" max="259" width="36" style="2765" customWidth="1"/>
    <col min="260" max="260" width="8.6640625" style="2765" customWidth="1"/>
    <col min="261" max="261" width="12.5546875" style="2765" customWidth="1"/>
    <col min="262" max="262" width="12.44140625" style="2765" customWidth="1"/>
    <col min="263" max="263" width="17.109375" style="2765" customWidth="1"/>
    <col min="264" max="513" width="9.33203125" style="2765"/>
    <col min="514" max="514" width="6.109375" style="2765" customWidth="1"/>
    <col min="515" max="515" width="36" style="2765" customWidth="1"/>
    <col min="516" max="516" width="8.6640625" style="2765" customWidth="1"/>
    <col min="517" max="517" width="12.5546875" style="2765" customWidth="1"/>
    <col min="518" max="518" width="12.44140625" style="2765" customWidth="1"/>
    <col min="519" max="519" width="17.109375" style="2765" customWidth="1"/>
    <col min="520" max="769" width="9.33203125" style="2765"/>
    <col min="770" max="770" width="6.109375" style="2765" customWidth="1"/>
    <col min="771" max="771" width="36" style="2765" customWidth="1"/>
    <col min="772" max="772" width="8.6640625" style="2765" customWidth="1"/>
    <col min="773" max="773" width="12.5546875" style="2765" customWidth="1"/>
    <col min="774" max="774" width="12.44140625" style="2765" customWidth="1"/>
    <col min="775" max="775" width="17.109375" style="2765" customWidth="1"/>
    <col min="776" max="1025" width="9.33203125" style="2765"/>
    <col min="1026" max="1026" width="6.109375" style="2765" customWidth="1"/>
    <col min="1027" max="1027" width="36" style="2765" customWidth="1"/>
    <col min="1028" max="1028" width="8.6640625" style="2765" customWidth="1"/>
    <col min="1029" max="1029" width="12.5546875" style="2765" customWidth="1"/>
    <col min="1030" max="1030" width="12.44140625" style="2765" customWidth="1"/>
    <col min="1031" max="1031" width="17.109375" style="2765" customWidth="1"/>
    <col min="1032" max="1281" width="9.33203125" style="2765"/>
    <col min="1282" max="1282" width="6.109375" style="2765" customWidth="1"/>
    <col min="1283" max="1283" width="36" style="2765" customWidth="1"/>
    <col min="1284" max="1284" width="8.6640625" style="2765" customWidth="1"/>
    <col min="1285" max="1285" width="12.5546875" style="2765" customWidth="1"/>
    <col min="1286" max="1286" width="12.44140625" style="2765" customWidth="1"/>
    <col min="1287" max="1287" width="17.109375" style="2765" customWidth="1"/>
    <col min="1288" max="1537" width="9.33203125" style="2765"/>
    <col min="1538" max="1538" width="6.109375" style="2765" customWidth="1"/>
    <col min="1539" max="1539" width="36" style="2765" customWidth="1"/>
    <col min="1540" max="1540" width="8.6640625" style="2765" customWidth="1"/>
    <col min="1541" max="1541" width="12.5546875" style="2765" customWidth="1"/>
    <col min="1542" max="1542" width="12.44140625" style="2765" customWidth="1"/>
    <col min="1543" max="1543" width="17.109375" style="2765" customWidth="1"/>
    <col min="1544" max="1793" width="9.33203125" style="2765"/>
    <col min="1794" max="1794" width="6.109375" style="2765" customWidth="1"/>
    <col min="1795" max="1795" width="36" style="2765" customWidth="1"/>
    <col min="1796" max="1796" width="8.6640625" style="2765" customWidth="1"/>
    <col min="1797" max="1797" width="12.5546875" style="2765" customWidth="1"/>
    <col min="1798" max="1798" width="12.44140625" style="2765" customWidth="1"/>
    <col min="1799" max="1799" width="17.109375" style="2765" customWidth="1"/>
    <col min="1800" max="2049" width="9.33203125" style="2765"/>
    <col min="2050" max="2050" width="6.109375" style="2765" customWidth="1"/>
    <col min="2051" max="2051" width="36" style="2765" customWidth="1"/>
    <col min="2052" max="2052" width="8.6640625" style="2765" customWidth="1"/>
    <col min="2053" max="2053" width="12.5546875" style="2765" customWidth="1"/>
    <col min="2054" max="2054" width="12.44140625" style="2765" customWidth="1"/>
    <col min="2055" max="2055" width="17.109375" style="2765" customWidth="1"/>
    <col min="2056" max="2305" width="9.33203125" style="2765"/>
    <col min="2306" max="2306" width="6.109375" style="2765" customWidth="1"/>
    <col min="2307" max="2307" width="36" style="2765" customWidth="1"/>
    <col min="2308" max="2308" width="8.6640625" style="2765" customWidth="1"/>
    <col min="2309" max="2309" width="12.5546875" style="2765" customWidth="1"/>
    <col min="2310" max="2310" width="12.44140625" style="2765" customWidth="1"/>
    <col min="2311" max="2311" width="17.109375" style="2765" customWidth="1"/>
    <col min="2312" max="2561" width="9.33203125" style="2765"/>
    <col min="2562" max="2562" width="6.109375" style="2765" customWidth="1"/>
    <col min="2563" max="2563" width="36" style="2765" customWidth="1"/>
    <col min="2564" max="2564" width="8.6640625" style="2765" customWidth="1"/>
    <col min="2565" max="2565" width="12.5546875" style="2765" customWidth="1"/>
    <col min="2566" max="2566" width="12.44140625" style="2765" customWidth="1"/>
    <col min="2567" max="2567" width="17.109375" style="2765" customWidth="1"/>
    <col min="2568" max="2817" width="9.33203125" style="2765"/>
    <col min="2818" max="2818" width="6.109375" style="2765" customWidth="1"/>
    <col min="2819" max="2819" width="36" style="2765" customWidth="1"/>
    <col min="2820" max="2820" width="8.6640625" style="2765" customWidth="1"/>
    <col min="2821" max="2821" width="12.5546875" style="2765" customWidth="1"/>
    <col min="2822" max="2822" width="12.44140625" style="2765" customWidth="1"/>
    <col min="2823" max="2823" width="17.109375" style="2765" customWidth="1"/>
    <col min="2824" max="3073" width="9.33203125" style="2765"/>
    <col min="3074" max="3074" width="6.109375" style="2765" customWidth="1"/>
    <col min="3075" max="3075" width="36" style="2765" customWidth="1"/>
    <col min="3076" max="3076" width="8.6640625" style="2765" customWidth="1"/>
    <col min="3077" max="3077" width="12.5546875" style="2765" customWidth="1"/>
    <col min="3078" max="3078" width="12.44140625" style="2765" customWidth="1"/>
    <col min="3079" max="3079" width="17.109375" style="2765" customWidth="1"/>
    <col min="3080" max="3329" width="9.33203125" style="2765"/>
    <col min="3330" max="3330" width="6.109375" style="2765" customWidth="1"/>
    <col min="3331" max="3331" width="36" style="2765" customWidth="1"/>
    <col min="3332" max="3332" width="8.6640625" style="2765" customWidth="1"/>
    <col min="3333" max="3333" width="12.5546875" style="2765" customWidth="1"/>
    <col min="3334" max="3334" width="12.44140625" style="2765" customWidth="1"/>
    <col min="3335" max="3335" width="17.109375" style="2765" customWidth="1"/>
    <col min="3336" max="3585" width="9.33203125" style="2765"/>
    <col min="3586" max="3586" width="6.109375" style="2765" customWidth="1"/>
    <col min="3587" max="3587" width="36" style="2765" customWidth="1"/>
    <col min="3588" max="3588" width="8.6640625" style="2765" customWidth="1"/>
    <col min="3589" max="3589" width="12.5546875" style="2765" customWidth="1"/>
    <col min="3590" max="3590" width="12.44140625" style="2765" customWidth="1"/>
    <col min="3591" max="3591" width="17.109375" style="2765" customWidth="1"/>
    <col min="3592" max="3841" width="9.33203125" style="2765"/>
    <col min="3842" max="3842" width="6.109375" style="2765" customWidth="1"/>
    <col min="3843" max="3843" width="36" style="2765" customWidth="1"/>
    <col min="3844" max="3844" width="8.6640625" style="2765" customWidth="1"/>
    <col min="3845" max="3845" width="12.5546875" style="2765" customWidth="1"/>
    <col min="3846" max="3846" width="12.44140625" style="2765" customWidth="1"/>
    <col min="3847" max="3847" width="17.109375" style="2765" customWidth="1"/>
    <col min="3848" max="4097" width="9.33203125" style="2765"/>
    <col min="4098" max="4098" width="6.109375" style="2765" customWidth="1"/>
    <col min="4099" max="4099" width="36" style="2765" customWidth="1"/>
    <col min="4100" max="4100" width="8.6640625" style="2765" customWidth="1"/>
    <col min="4101" max="4101" width="12.5546875" style="2765" customWidth="1"/>
    <col min="4102" max="4102" width="12.44140625" style="2765" customWidth="1"/>
    <col min="4103" max="4103" width="17.109375" style="2765" customWidth="1"/>
    <col min="4104" max="4353" width="9.33203125" style="2765"/>
    <col min="4354" max="4354" width="6.109375" style="2765" customWidth="1"/>
    <col min="4355" max="4355" width="36" style="2765" customWidth="1"/>
    <col min="4356" max="4356" width="8.6640625" style="2765" customWidth="1"/>
    <col min="4357" max="4357" width="12.5546875" style="2765" customWidth="1"/>
    <col min="4358" max="4358" width="12.44140625" style="2765" customWidth="1"/>
    <col min="4359" max="4359" width="17.109375" style="2765" customWidth="1"/>
    <col min="4360" max="4609" width="9.33203125" style="2765"/>
    <col min="4610" max="4610" width="6.109375" style="2765" customWidth="1"/>
    <col min="4611" max="4611" width="36" style="2765" customWidth="1"/>
    <col min="4612" max="4612" width="8.6640625" style="2765" customWidth="1"/>
    <col min="4613" max="4613" width="12.5546875" style="2765" customWidth="1"/>
    <col min="4614" max="4614" width="12.44140625" style="2765" customWidth="1"/>
    <col min="4615" max="4615" width="17.109375" style="2765" customWidth="1"/>
    <col min="4616" max="4865" width="9.33203125" style="2765"/>
    <col min="4866" max="4866" width="6.109375" style="2765" customWidth="1"/>
    <col min="4867" max="4867" width="36" style="2765" customWidth="1"/>
    <col min="4868" max="4868" width="8.6640625" style="2765" customWidth="1"/>
    <col min="4869" max="4869" width="12.5546875" style="2765" customWidth="1"/>
    <col min="4870" max="4870" width="12.44140625" style="2765" customWidth="1"/>
    <col min="4871" max="4871" width="17.109375" style="2765" customWidth="1"/>
    <col min="4872" max="5121" width="9.33203125" style="2765"/>
    <col min="5122" max="5122" width="6.109375" style="2765" customWidth="1"/>
    <col min="5123" max="5123" width="36" style="2765" customWidth="1"/>
    <col min="5124" max="5124" width="8.6640625" style="2765" customWidth="1"/>
    <col min="5125" max="5125" width="12.5546875" style="2765" customWidth="1"/>
    <col min="5126" max="5126" width="12.44140625" style="2765" customWidth="1"/>
    <col min="5127" max="5127" width="17.109375" style="2765" customWidth="1"/>
    <col min="5128" max="5377" width="9.33203125" style="2765"/>
    <col min="5378" max="5378" width="6.109375" style="2765" customWidth="1"/>
    <col min="5379" max="5379" width="36" style="2765" customWidth="1"/>
    <col min="5380" max="5380" width="8.6640625" style="2765" customWidth="1"/>
    <col min="5381" max="5381" width="12.5546875" style="2765" customWidth="1"/>
    <col min="5382" max="5382" width="12.44140625" style="2765" customWidth="1"/>
    <col min="5383" max="5383" width="17.109375" style="2765" customWidth="1"/>
    <col min="5384" max="5633" width="9.33203125" style="2765"/>
    <col min="5634" max="5634" width="6.109375" style="2765" customWidth="1"/>
    <col min="5635" max="5635" width="36" style="2765" customWidth="1"/>
    <col min="5636" max="5636" width="8.6640625" style="2765" customWidth="1"/>
    <col min="5637" max="5637" width="12.5546875" style="2765" customWidth="1"/>
    <col min="5638" max="5638" width="12.44140625" style="2765" customWidth="1"/>
    <col min="5639" max="5639" width="17.109375" style="2765" customWidth="1"/>
    <col min="5640" max="5889" width="9.33203125" style="2765"/>
    <col min="5890" max="5890" width="6.109375" style="2765" customWidth="1"/>
    <col min="5891" max="5891" width="36" style="2765" customWidth="1"/>
    <col min="5892" max="5892" width="8.6640625" style="2765" customWidth="1"/>
    <col min="5893" max="5893" width="12.5546875" style="2765" customWidth="1"/>
    <col min="5894" max="5894" width="12.44140625" style="2765" customWidth="1"/>
    <col min="5895" max="5895" width="17.109375" style="2765" customWidth="1"/>
    <col min="5896" max="6145" width="9.33203125" style="2765"/>
    <col min="6146" max="6146" width="6.109375" style="2765" customWidth="1"/>
    <col min="6147" max="6147" width="36" style="2765" customWidth="1"/>
    <col min="6148" max="6148" width="8.6640625" style="2765" customWidth="1"/>
    <col min="6149" max="6149" width="12.5546875" style="2765" customWidth="1"/>
    <col min="6150" max="6150" width="12.44140625" style="2765" customWidth="1"/>
    <col min="6151" max="6151" width="17.109375" style="2765" customWidth="1"/>
    <col min="6152" max="6401" width="9.33203125" style="2765"/>
    <col min="6402" max="6402" width="6.109375" style="2765" customWidth="1"/>
    <col min="6403" max="6403" width="36" style="2765" customWidth="1"/>
    <col min="6404" max="6404" width="8.6640625" style="2765" customWidth="1"/>
    <col min="6405" max="6405" width="12.5546875" style="2765" customWidth="1"/>
    <col min="6406" max="6406" width="12.44140625" style="2765" customWidth="1"/>
    <col min="6407" max="6407" width="17.109375" style="2765" customWidth="1"/>
    <col min="6408" max="6657" width="9.33203125" style="2765"/>
    <col min="6658" max="6658" width="6.109375" style="2765" customWidth="1"/>
    <col min="6659" max="6659" width="36" style="2765" customWidth="1"/>
    <col min="6660" max="6660" width="8.6640625" style="2765" customWidth="1"/>
    <col min="6661" max="6661" width="12.5546875" style="2765" customWidth="1"/>
    <col min="6662" max="6662" width="12.44140625" style="2765" customWidth="1"/>
    <col min="6663" max="6663" width="17.109375" style="2765" customWidth="1"/>
    <col min="6664" max="6913" width="9.33203125" style="2765"/>
    <col min="6914" max="6914" width="6.109375" style="2765" customWidth="1"/>
    <col min="6915" max="6915" width="36" style="2765" customWidth="1"/>
    <col min="6916" max="6916" width="8.6640625" style="2765" customWidth="1"/>
    <col min="6917" max="6917" width="12.5546875" style="2765" customWidth="1"/>
    <col min="6918" max="6918" width="12.44140625" style="2765" customWidth="1"/>
    <col min="6919" max="6919" width="17.109375" style="2765" customWidth="1"/>
    <col min="6920" max="7169" width="9.33203125" style="2765"/>
    <col min="7170" max="7170" width="6.109375" style="2765" customWidth="1"/>
    <col min="7171" max="7171" width="36" style="2765" customWidth="1"/>
    <col min="7172" max="7172" width="8.6640625" style="2765" customWidth="1"/>
    <col min="7173" max="7173" width="12.5546875" style="2765" customWidth="1"/>
    <col min="7174" max="7174" width="12.44140625" style="2765" customWidth="1"/>
    <col min="7175" max="7175" width="17.109375" style="2765" customWidth="1"/>
    <col min="7176" max="7425" width="9.33203125" style="2765"/>
    <col min="7426" max="7426" width="6.109375" style="2765" customWidth="1"/>
    <col min="7427" max="7427" width="36" style="2765" customWidth="1"/>
    <col min="7428" max="7428" width="8.6640625" style="2765" customWidth="1"/>
    <col min="7429" max="7429" width="12.5546875" style="2765" customWidth="1"/>
    <col min="7430" max="7430" width="12.44140625" style="2765" customWidth="1"/>
    <col min="7431" max="7431" width="17.109375" style="2765" customWidth="1"/>
    <col min="7432" max="7681" width="9.33203125" style="2765"/>
    <col min="7682" max="7682" width="6.109375" style="2765" customWidth="1"/>
    <col min="7683" max="7683" width="36" style="2765" customWidth="1"/>
    <col min="7684" max="7684" width="8.6640625" style="2765" customWidth="1"/>
    <col min="7685" max="7685" width="12.5546875" style="2765" customWidth="1"/>
    <col min="7686" max="7686" width="12.44140625" style="2765" customWidth="1"/>
    <col min="7687" max="7687" width="17.109375" style="2765" customWidth="1"/>
    <col min="7688" max="7937" width="9.33203125" style="2765"/>
    <col min="7938" max="7938" width="6.109375" style="2765" customWidth="1"/>
    <col min="7939" max="7939" width="36" style="2765" customWidth="1"/>
    <col min="7940" max="7940" width="8.6640625" style="2765" customWidth="1"/>
    <col min="7941" max="7941" width="12.5546875" style="2765" customWidth="1"/>
    <col min="7942" max="7942" width="12.44140625" style="2765" customWidth="1"/>
    <col min="7943" max="7943" width="17.109375" style="2765" customWidth="1"/>
    <col min="7944" max="8193" width="9.33203125" style="2765"/>
    <col min="8194" max="8194" width="6.109375" style="2765" customWidth="1"/>
    <col min="8195" max="8195" width="36" style="2765" customWidth="1"/>
    <col min="8196" max="8196" width="8.6640625" style="2765" customWidth="1"/>
    <col min="8197" max="8197" width="12.5546875" style="2765" customWidth="1"/>
    <col min="8198" max="8198" width="12.44140625" style="2765" customWidth="1"/>
    <col min="8199" max="8199" width="17.109375" style="2765" customWidth="1"/>
    <col min="8200" max="8449" width="9.33203125" style="2765"/>
    <col min="8450" max="8450" width="6.109375" style="2765" customWidth="1"/>
    <col min="8451" max="8451" width="36" style="2765" customWidth="1"/>
    <col min="8452" max="8452" width="8.6640625" style="2765" customWidth="1"/>
    <col min="8453" max="8453" width="12.5546875" style="2765" customWidth="1"/>
    <col min="8454" max="8454" width="12.44140625" style="2765" customWidth="1"/>
    <col min="8455" max="8455" width="17.109375" style="2765" customWidth="1"/>
    <col min="8456" max="8705" width="9.33203125" style="2765"/>
    <col min="8706" max="8706" width="6.109375" style="2765" customWidth="1"/>
    <col min="8707" max="8707" width="36" style="2765" customWidth="1"/>
    <col min="8708" max="8708" width="8.6640625" style="2765" customWidth="1"/>
    <col min="8709" max="8709" width="12.5546875" style="2765" customWidth="1"/>
    <col min="8710" max="8710" width="12.44140625" style="2765" customWidth="1"/>
    <col min="8711" max="8711" width="17.109375" style="2765" customWidth="1"/>
    <col min="8712" max="8961" width="9.33203125" style="2765"/>
    <col min="8962" max="8962" width="6.109375" style="2765" customWidth="1"/>
    <col min="8963" max="8963" width="36" style="2765" customWidth="1"/>
    <col min="8964" max="8964" width="8.6640625" style="2765" customWidth="1"/>
    <col min="8965" max="8965" width="12.5546875" style="2765" customWidth="1"/>
    <col min="8966" max="8966" width="12.44140625" style="2765" customWidth="1"/>
    <col min="8967" max="8967" width="17.109375" style="2765" customWidth="1"/>
    <col min="8968" max="9217" width="9.33203125" style="2765"/>
    <col min="9218" max="9218" width="6.109375" style="2765" customWidth="1"/>
    <col min="9219" max="9219" width="36" style="2765" customWidth="1"/>
    <col min="9220" max="9220" width="8.6640625" style="2765" customWidth="1"/>
    <col min="9221" max="9221" width="12.5546875" style="2765" customWidth="1"/>
    <col min="9222" max="9222" width="12.44140625" style="2765" customWidth="1"/>
    <col min="9223" max="9223" width="17.109375" style="2765" customWidth="1"/>
    <col min="9224" max="9473" width="9.33203125" style="2765"/>
    <col min="9474" max="9474" width="6.109375" style="2765" customWidth="1"/>
    <col min="9475" max="9475" width="36" style="2765" customWidth="1"/>
    <col min="9476" max="9476" width="8.6640625" style="2765" customWidth="1"/>
    <col min="9477" max="9477" width="12.5546875" style="2765" customWidth="1"/>
    <col min="9478" max="9478" width="12.44140625" style="2765" customWidth="1"/>
    <col min="9479" max="9479" width="17.109375" style="2765" customWidth="1"/>
    <col min="9480" max="9729" width="9.33203125" style="2765"/>
    <col min="9730" max="9730" width="6.109375" style="2765" customWidth="1"/>
    <col min="9731" max="9731" width="36" style="2765" customWidth="1"/>
    <col min="9732" max="9732" width="8.6640625" style="2765" customWidth="1"/>
    <col min="9733" max="9733" width="12.5546875" style="2765" customWidth="1"/>
    <col min="9734" max="9734" width="12.44140625" style="2765" customWidth="1"/>
    <col min="9735" max="9735" width="17.109375" style="2765" customWidth="1"/>
    <col min="9736" max="9985" width="9.33203125" style="2765"/>
    <col min="9986" max="9986" width="6.109375" style="2765" customWidth="1"/>
    <col min="9987" max="9987" width="36" style="2765" customWidth="1"/>
    <col min="9988" max="9988" width="8.6640625" style="2765" customWidth="1"/>
    <col min="9989" max="9989" width="12.5546875" style="2765" customWidth="1"/>
    <col min="9990" max="9990" width="12.44140625" style="2765" customWidth="1"/>
    <col min="9991" max="9991" width="17.109375" style="2765" customWidth="1"/>
    <col min="9992" max="10241" width="9.33203125" style="2765"/>
    <col min="10242" max="10242" width="6.109375" style="2765" customWidth="1"/>
    <col min="10243" max="10243" width="36" style="2765" customWidth="1"/>
    <col min="10244" max="10244" width="8.6640625" style="2765" customWidth="1"/>
    <col min="10245" max="10245" width="12.5546875" style="2765" customWidth="1"/>
    <col min="10246" max="10246" width="12.44140625" style="2765" customWidth="1"/>
    <col min="10247" max="10247" width="17.109375" style="2765" customWidth="1"/>
    <col min="10248" max="10497" width="9.33203125" style="2765"/>
    <col min="10498" max="10498" width="6.109375" style="2765" customWidth="1"/>
    <col min="10499" max="10499" width="36" style="2765" customWidth="1"/>
    <col min="10500" max="10500" width="8.6640625" style="2765" customWidth="1"/>
    <col min="10501" max="10501" width="12.5546875" style="2765" customWidth="1"/>
    <col min="10502" max="10502" width="12.44140625" style="2765" customWidth="1"/>
    <col min="10503" max="10503" width="17.109375" style="2765" customWidth="1"/>
    <col min="10504" max="10753" width="9.33203125" style="2765"/>
    <col min="10754" max="10754" width="6.109375" style="2765" customWidth="1"/>
    <col min="10755" max="10755" width="36" style="2765" customWidth="1"/>
    <col min="10756" max="10756" width="8.6640625" style="2765" customWidth="1"/>
    <col min="10757" max="10757" width="12.5546875" style="2765" customWidth="1"/>
    <col min="10758" max="10758" width="12.44140625" style="2765" customWidth="1"/>
    <col min="10759" max="10759" width="17.109375" style="2765" customWidth="1"/>
    <col min="10760" max="11009" width="9.33203125" style="2765"/>
    <col min="11010" max="11010" width="6.109375" style="2765" customWidth="1"/>
    <col min="11011" max="11011" width="36" style="2765" customWidth="1"/>
    <col min="11012" max="11012" width="8.6640625" style="2765" customWidth="1"/>
    <col min="11013" max="11013" width="12.5546875" style="2765" customWidth="1"/>
    <col min="11014" max="11014" width="12.44140625" style="2765" customWidth="1"/>
    <col min="11015" max="11015" width="17.109375" style="2765" customWidth="1"/>
    <col min="11016" max="11265" width="9.33203125" style="2765"/>
    <col min="11266" max="11266" width="6.109375" style="2765" customWidth="1"/>
    <col min="11267" max="11267" width="36" style="2765" customWidth="1"/>
    <col min="11268" max="11268" width="8.6640625" style="2765" customWidth="1"/>
    <col min="11269" max="11269" width="12.5546875" style="2765" customWidth="1"/>
    <col min="11270" max="11270" width="12.44140625" style="2765" customWidth="1"/>
    <col min="11271" max="11271" width="17.109375" style="2765" customWidth="1"/>
    <col min="11272" max="11521" width="9.33203125" style="2765"/>
    <col min="11522" max="11522" width="6.109375" style="2765" customWidth="1"/>
    <col min="11523" max="11523" width="36" style="2765" customWidth="1"/>
    <col min="11524" max="11524" width="8.6640625" style="2765" customWidth="1"/>
    <col min="11525" max="11525" width="12.5546875" style="2765" customWidth="1"/>
    <col min="11526" max="11526" width="12.44140625" style="2765" customWidth="1"/>
    <col min="11527" max="11527" width="17.109375" style="2765" customWidth="1"/>
    <col min="11528" max="11777" width="9.33203125" style="2765"/>
    <col min="11778" max="11778" width="6.109375" style="2765" customWidth="1"/>
    <col min="11779" max="11779" width="36" style="2765" customWidth="1"/>
    <col min="11780" max="11780" width="8.6640625" style="2765" customWidth="1"/>
    <col min="11781" max="11781" width="12.5546875" style="2765" customWidth="1"/>
    <col min="11782" max="11782" width="12.44140625" style="2765" customWidth="1"/>
    <col min="11783" max="11783" width="17.109375" style="2765" customWidth="1"/>
    <col min="11784" max="12033" width="9.33203125" style="2765"/>
    <col min="12034" max="12034" width="6.109375" style="2765" customWidth="1"/>
    <col min="12035" max="12035" width="36" style="2765" customWidth="1"/>
    <col min="12036" max="12036" width="8.6640625" style="2765" customWidth="1"/>
    <col min="12037" max="12037" width="12.5546875" style="2765" customWidth="1"/>
    <col min="12038" max="12038" width="12.44140625" style="2765" customWidth="1"/>
    <col min="12039" max="12039" width="17.109375" style="2765" customWidth="1"/>
    <col min="12040" max="12289" width="9.33203125" style="2765"/>
    <col min="12290" max="12290" width="6.109375" style="2765" customWidth="1"/>
    <col min="12291" max="12291" width="36" style="2765" customWidth="1"/>
    <col min="12292" max="12292" width="8.6640625" style="2765" customWidth="1"/>
    <col min="12293" max="12293" width="12.5546875" style="2765" customWidth="1"/>
    <col min="12294" max="12294" width="12.44140625" style="2765" customWidth="1"/>
    <col min="12295" max="12295" width="17.109375" style="2765" customWidth="1"/>
    <col min="12296" max="12545" width="9.33203125" style="2765"/>
    <col min="12546" max="12546" width="6.109375" style="2765" customWidth="1"/>
    <col min="12547" max="12547" width="36" style="2765" customWidth="1"/>
    <col min="12548" max="12548" width="8.6640625" style="2765" customWidth="1"/>
    <col min="12549" max="12549" width="12.5546875" style="2765" customWidth="1"/>
    <col min="12550" max="12550" width="12.44140625" style="2765" customWidth="1"/>
    <col min="12551" max="12551" width="17.109375" style="2765" customWidth="1"/>
    <col min="12552" max="12801" width="9.33203125" style="2765"/>
    <col min="12802" max="12802" width="6.109375" style="2765" customWidth="1"/>
    <col min="12803" max="12803" width="36" style="2765" customWidth="1"/>
    <col min="12804" max="12804" width="8.6640625" style="2765" customWidth="1"/>
    <col min="12805" max="12805" width="12.5546875" style="2765" customWidth="1"/>
    <col min="12806" max="12806" width="12.44140625" style="2765" customWidth="1"/>
    <col min="12807" max="12807" width="17.109375" style="2765" customWidth="1"/>
    <col min="12808" max="13057" width="9.33203125" style="2765"/>
    <col min="13058" max="13058" width="6.109375" style="2765" customWidth="1"/>
    <col min="13059" max="13059" width="36" style="2765" customWidth="1"/>
    <col min="13060" max="13060" width="8.6640625" style="2765" customWidth="1"/>
    <col min="13061" max="13061" width="12.5546875" style="2765" customWidth="1"/>
    <col min="13062" max="13062" width="12.44140625" style="2765" customWidth="1"/>
    <col min="13063" max="13063" width="17.109375" style="2765" customWidth="1"/>
    <col min="13064" max="13313" width="9.33203125" style="2765"/>
    <col min="13314" max="13314" width="6.109375" style="2765" customWidth="1"/>
    <col min="13315" max="13315" width="36" style="2765" customWidth="1"/>
    <col min="13316" max="13316" width="8.6640625" style="2765" customWidth="1"/>
    <col min="13317" max="13317" width="12.5546875" style="2765" customWidth="1"/>
    <col min="13318" max="13318" width="12.44140625" style="2765" customWidth="1"/>
    <col min="13319" max="13319" width="17.109375" style="2765" customWidth="1"/>
    <col min="13320" max="13569" width="9.33203125" style="2765"/>
    <col min="13570" max="13570" width="6.109375" style="2765" customWidth="1"/>
    <col min="13571" max="13571" width="36" style="2765" customWidth="1"/>
    <col min="13572" max="13572" width="8.6640625" style="2765" customWidth="1"/>
    <col min="13573" max="13573" width="12.5546875" style="2765" customWidth="1"/>
    <col min="13574" max="13574" width="12.44140625" style="2765" customWidth="1"/>
    <col min="13575" max="13575" width="17.109375" style="2765" customWidth="1"/>
    <col min="13576" max="13825" width="9.33203125" style="2765"/>
    <col min="13826" max="13826" width="6.109375" style="2765" customWidth="1"/>
    <col min="13827" max="13827" width="36" style="2765" customWidth="1"/>
    <col min="13828" max="13828" width="8.6640625" style="2765" customWidth="1"/>
    <col min="13829" max="13829" width="12.5546875" style="2765" customWidth="1"/>
    <col min="13830" max="13830" width="12.44140625" style="2765" customWidth="1"/>
    <col min="13831" max="13831" width="17.109375" style="2765" customWidth="1"/>
    <col min="13832" max="14081" width="9.33203125" style="2765"/>
    <col min="14082" max="14082" width="6.109375" style="2765" customWidth="1"/>
    <col min="14083" max="14083" width="36" style="2765" customWidth="1"/>
    <col min="14084" max="14084" width="8.6640625" style="2765" customWidth="1"/>
    <col min="14085" max="14085" width="12.5546875" style="2765" customWidth="1"/>
    <col min="14086" max="14086" width="12.44140625" style="2765" customWidth="1"/>
    <col min="14087" max="14087" width="17.109375" style="2765" customWidth="1"/>
    <col min="14088" max="14337" width="9.33203125" style="2765"/>
    <col min="14338" max="14338" width="6.109375" style="2765" customWidth="1"/>
    <col min="14339" max="14339" width="36" style="2765" customWidth="1"/>
    <col min="14340" max="14340" width="8.6640625" style="2765" customWidth="1"/>
    <col min="14341" max="14341" width="12.5546875" style="2765" customWidth="1"/>
    <col min="14342" max="14342" width="12.44140625" style="2765" customWidth="1"/>
    <col min="14343" max="14343" width="17.109375" style="2765" customWidth="1"/>
    <col min="14344" max="14593" width="9.33203125" style="2765"/>
    <col min="14594" max="14594" width="6.109375" style="2765" customWidth="1"/>
    <col min="14595" max="14595" width="36" style="2765" customWidth="1"/>
    <col min="14596" max="14596" width="8.6640625" style="2765" customWidth="1"/>
    <col min="14597" max="14597" width="12.5546875" style="2765" customWidth="1"/>
    <col min="14598" max="14598" width="12.44140625" style="2765" customWidth="1"/>
    <col min="14599" max="14599" width="17.109375" style="2765" customWidth="1"/>
    <col min="14600" max="14849" width="9.33203125" style="2765"/>
    <col min="14850" max="14850" width="6.109375" style="2765" customWidth="1"/>
    <col min="14851" max="14851" width="36" style="2765" customWidth="1"/>
    <col min="14852" max="14852" width="8.6640625" style="2765" customWidth="1"/>
    <col min="14853" max="14853" width="12.5546875" style="2765" customWidth="1"/>
    <col min="14854" max="14854" width="12.44140625" style="2765" customWidth="1"/>
    <col min="14855" max="14855" width="17.109375" style="2765" customWidth="1"/>
    <col min="14856" max="15105" width="9.33203125" style="2765"/>
    <col min="15106" max="15106" width="6.109375" style="2765" customWidth="1"/>
    <col min="15107" max="15107" width="36" style="2765" customWidth="1"/>
    <col min="15108" max="15108" width="8.6640625" style="2765" customWidth="1"/>
    <col min="15109" max="15109" width="12.5546875" style="2765" customWidth="1"/>
    <col min="15110" max="15110" width="12.44140625" style="2765" customWidth="1"/>
    <col min="15111" max="15111" width="17.109375" style="2765" customWidth="1"/>
    <col min="15112" max="15361" width="9.33203125" style="2765"/>
    <col min="15362" max="15362" width="6.109375" style="2765" customWidth="1"/>
    <col min="15363" max="15363" width="36" style="2765" customWidth="1"/>
    <col min="15364" max="15364" width="8.6640625" style="2765" customWidth="1"/>
    <col min="15365" max="15365" width="12.5546875" style="2765" customWidth="1"/>
    <col min="15366" max="15366" width="12.44140625" style="2765" customWidth="1"/>
    <col min="15367" max="15367" width="17.109375" style="2765" customWidth="1"/>
    <col min="15368" max="15617" width="9.33203125" style="2765"/>
    <col min="15618" max="15618" width="6.109375" style="2765" customWidth="1"/>
    <col min="15619" max="15619" width="36" style="2765" customWidth="1"/>
    <col min="15620" max="15620" width="8.6640625" style="2765" customWidth="1"/>
    <col min="15621" max="15621" width="12.5546875" style="2765" customWidth="1"/>
    <col min="15622" max="15622" width="12.44140625" style="2765" customWidth="1"/>
    <col min="15623" max="15623" width="17.109375" style="2765" customWidth="1"/>
    <col min="15624" max="15873" width="9.33203125" style="2765"/>
    <col min="15874" max="15874" width="6.109375" style="2765" customWidth="1"/>
    <col min="15875" max="15875" width="36" style="2765" customWidth="1"/>
    <col min="15876" max="15876" width="8.6640625" style="2765" customWidth="1"/>
    <col min="15877" max="15877" width="12.5546875" style="2765" customWidth="1"/>
    <col min="15878" max="15878" width="12.44140625" style="2765" customWidth="1"/>
    <col min="15879" max="15879" width="17.109375" style="2765" customWidth="1"/>
    <col min="15880" max="16129" width="9.33203125" style="2765"/>
    <col min="16130" max="16130" width="6.109375" style="2765" customWidth="1"/>
    <col min="16131" max="16131" width="36" style="2765" customWidth="1"/>
    <col min="16132" max="16132" width="8.6640625" style="2765" customWidth="1"/>
    <col min="16133" max="16133" width="12.5546875" style="2765" customWidth="1"/>
    <col min="16134" max="16134" width="12.44140625" style="2765" customWidth="1"/>
    <col min="16135" max="16135" width="17.109375" style="2765" customWidth="1"/>
    <col min="16136" max="16384" width="9.33203125" style="2765"/>
  </cols>
  <sheetData>
    <row r="1" spans="1:7" ht="15">
      <c r="A1" s="4055" t="s">
        <v>1417</v>
      </c>
      <c r="B1" s="4055"/>
      <c r="C1" s="4055"/>
      <c r="D1" s="4055"/>
      <c r="E1" s="4055"/>
      <c r="F1" s="4055"/>
      <c r="G1" s="4055"/>
    </row>
    <row r="2" spans="1:7" ht="25.5" customHeight="1">
      <c r="A2" s="4056" t="str">
        <f>'Input Data'!E1</f>
        <v>C/o HLB on R/F Amlikunta to Gundumal of Gundumal Mandal of Narayanept District.</v>
      </c>
      <c r="B2" s="4057"/>
      <c r="C2" s="4057"/>
      <c r="D2" s="4057"/>
      <c r="E2" s="4057"/>
      <c r="F2" s="4057"/>
      <c r="G2" s="4057"/>
    </row>
    <row r="3" spans="1:7" s="2769" customFormat="1" ht="26.4">
      <c r="A3" s="2766" t="s">
        <v>1266</v>
      </c>
      <c r="B3" s="2766" t="s">
        <v>1418</v>
      </c>
      <c r="C3" s="2766" t="s">
        <v>965</v>
      </c>
      <c r="D3" s="2766" t="s">
        <v>708</v>
      </c>
      <c r="E3" s="2766" t="s">
        <v>1419</v>
      </c>
      <c r="F3" s="2767" t="s">
        <v>1420</v>
      </c>
      <c r="G3" s="2768" t="s">
        <v>531</v>
      </c>
    </row>
    <row r="4" spans="1:7">
      <c r="A4" s="2770">
        <v>1</v>
      </c>
      <c r="B4" s="2770">
        <v>2</v>
      </c>
      <c r="C4" s="2770">
        <v>3</v>
      </c>
      <c r="D4" s="2770"/>
      <c r="E4" s="2771">
        <v>4</v>
      </c>
      <c r="F4" s="2770">
        <v>5</v>
      </c>
      <c r="G4" s="2770">
        <v>6</v>
      </c>
    </row>
    <row r="5" spans="1:7" hidden="1">
      <c r="A5" s="2772"/>
      <c r="B5" s="2772"/>
      <c r="C5" s="2772"/>
      <c r="D5" s="2772"/>
      <c r="E5" s="2773"/>
      <c r="F5" s="2772"/>
      <c r="G5" s="2772"/>
    </row>
    <row r="6" spans="1:7" s="2776" customFormat="1" ht="28.2" customHeight="1">
      <c r="A6" s="2774"/>
      <c r="B6" s="4053" t="s">
        <v>2692</v>
      </c>
      <c r="C6" s="4053"/>
      <c r="D6" s="4053"/>
      <c r="E6" s="4053"/>
      <c r="F6" s="4053"/>
      <c r="G6" s="2775"/>
    </row>
    <row r="7" spans="1:7" s="2782" customFormat="1" ht="18" customHeight="1">
      <c r="A7" s="2777">
        <v>1</v>
      </c>
      <c r="B7" s="2778" t="s">
        <v>1421</v>
      </c>
      <c r="C7" s="2777" t="s">
        <v>73</v>
      </c>
      <c r="D7" s="2779">
        <v>1</v>
      </c>
      <c r="E7" s="2780">
        <f>('Bri estimate Final'!I9)*D7</f>
        <v>966.37999999999988</v>
      </c>
      <c r="F7" s="2781">
        <v>30</v>
      </c>
      <c r="G7" s="2781">
        <f t="shared" ref="G7:G8" si="0">ROUND(F7*E7,0)</f>
        <v>28991</v>
      </c>
    </row>
    <row r="8" spans="1:7" s="2782" customFormat="1" ht="18" customHeight="1">
      <c r="A8" s="2777">
        <f t="shared" ref="A8:A20" si="1">A7+1</f>
        <v>2</v>
      </c>
      <c r="B8" s="2778" t="s">
        <v>1422</v>
      </c>
      <c r="C8" s="2777" t="s">
        <v>73</v>
      </c>
      <c r="D8" s="2777">
        <f t="shared" ref="D8:D20" si="2">D7</f>
        <v>1</v>
      </c>
      <c r="E8" s="2780"/>
      <c r="F8" s="2781">
        <f>(0.6*97.5+0.6*40)</f>
        <v>82.5</v>
      </c>
      <c r="G8" s="2781">
        <f t="shared" si="0"/>
        <v>0</v>
      </c>
    </row>
    <row r="9" spans="1:7" s="2782" customFormat="1" ht="18" customHeight="1">
      <c r="A9" s="2777">
        <f t="shared" si="1"/>
        <v>3</v>
      </c>
      <c r="B9" s="2778" t="s">
        <v>1425</v>
      </c>
      <c r="C9" s="2777" t="s">
        <v>73</v>
      </c>
      <c r="D9" s="2777">
        <f t="shared" si="2"/>
        <v>1</v>
      </c>
      <c r="E9" s="2780">
        <f>('Bri estimate Final'!I18)*D9</f>
        <v>175.77</v>
      </c>
      <c r="F9" s="2781">
        <f>(0.92*97.5+0.23*97.5+0.23*40)</f>
        <v>121.325</v>
      </c>
      <c r="G9" s="2781">
        <f t="shared" ref="G9:G22" si="3">ROUND(F9*E9,0)</f>
        <v>21325</v>
      </c>
    </row>
    <row r="10" spans="1:7" s="2782" customFormat="1" ht="18" customHeight="1">
      <c r="A10" s="2777">
        <f t="shared" si="1"/>
        <v>4</v>
      </c>
      <c r="B10" s="2778" t="s">
        <v>1423</v>
      </c>
      <c r="C10" s="2777" t="s">
        <v>73</v>
      </c>
      <c r="D10" s="2777">
        <f t="shared" si="2"/>
        <v>1</v>
      </c>
      <c r="E10" s="2780">
        <f>('Bri estimate Final'!I23)*D10</f>
        <v>874.39</v>
      </c>
      <c r="F10" s="2781">
        <f t="shared" ref="F10:F16" si="4">(0.9*97.5+0.225*97.5+0.225*40)</f>
        <v>118.6875</v>
      </c>
      <c r="G10" s="2781">
        <f t="shared" si="3"/>
        <v>103779</v>
      </c>
    </row>
    <row r="11" spans="1:7" s="2782" customFormat="1" ht="18" customHeight="1">
      <c r="A11" s="2777">
        <f t="shared" si="1"/>
        <v>5</v>
      </c>
      <c r="B11" s="2778" t="s">
        <v>1424</v>
      </c>
      <c r="C11" s="2777" t="s">
        <v>73</v>
      </c>
      <c r="D11" s="2777">
        <f t="shared" si="2"/>
        <v>1</v>
      </c>
      <c r="E11" s="2780">
        <f>('Bri estimate Final'!I32)*D11</f>
        <v>399.15</v>
      </c>
      <c r="F11" s="2781">
        <f t="shared" si="4"/>
        <v>118.6875</v>
      </c>
      <c r="G11" s="2781">
        <f t="shared" si="3"/>
        <v>47374</v>
      </c>
    </row>
    <row r="12" spans="1:7" s="2782" customFormat="1" ht="18" customHeight="1">
      <c r="A12" s="2777">
        <f t="shared" si="1"/>
        <v>6</v>
      </c>
      <c r="B12" s="2778" t="s">
        <v>1426</v>
      </c>
      <c r="C12" s="2777" t="s">
        <v>73</v>
      </c>
      <c r="D12" s="2777">
        <f t="shared" si="2"/>
        <v>1</v>
      </c>
      <c r="E12" s="2780">
        <f>('Bri estimate Final'!I42)*D12</f>
        <v>27.89</v>
      </c>
      <c r="F12" s="2781">
        <f t="shared" si="4"/>
        <v>118.6875</v>
      </c>
      <c r="G12" s="2781">
        <f t="shared" si="3"/>
        <v>3310</v>
      </c>
    </row>
    <row r="13" spans="1:7" s="2782" customFormat="1" ht="18" customHeight="1">
      <c r="A13" s="2777">
        <f t="shared" si="1"/>
        <v>7</v>
      </c>
      <c r="B13" s="2778" t="s">
        <v>1427</v>
      </c>
      <c r="C13" s="2777" t="s">
        <v>73</v>
      </c>
      <c r="D13" s="2777">
        <f t="shared" si="2"/>
        <v>1</v>
      </c>
      <c r="E13" s="2780">
        <f>('Bri estimate Final'!I46-'Bri estimate Final'!I42)*D13</f>
        <v>273.59000000000003</v>
      </c>
      <c r="F13" s="2781">
        <f t="shared" si="4"/>
        <v>118.6875</v>
      </c>
      <c r="G13" s="2781">
        <f t="shared" si="3"/>
        <v>32472</v>
      </c>
    </row>
    <row r="14" spans="1:7" s="2782" customFormat="1" ht="18" customHeight="1">
      <c r="A14" s="2777">
        <f t="shared" si="1"/>
        <v>8</v>
      </c>
      <c r="B14" s="2778" t="s">
        <v>1428</v>
      </c>
      <c r="C14" s="2777" t="s">
        <v>73</v>
      </c>
      <c r="D14" s="2777">
        <f t="shared" si="2"/>
        <v>1</v>
      </c>
      <c r="E14" s="2780"/>
      <c r="F14" s="2781">
        <f t="shared" si="4"/>
        <v>118.6875</v>
      </c>
      <c r="G14" s="2781">
        <f t="shared" si="3"/>
        <v>0</v>
      </c>
    </row>
    <row r="15" spans="1:7" s="2782" customFormat="1" ht="18" customHeight="1">
      <c r="A15" s="2777">
        <f t="shared" si="1"/>
        <v>9</v>
      </c>
      <c r="B15" s="2778" t="s">
        <v>1429</v>
      </c>
      <c r="C15" s="2777" t="s">
        <v>73</v>
      </c>
      <c r="D15" s="2777">
        <f t="shared" si="2"/>
        <v>1</v>
      </c>
      <c r="E15" s="2780">
        <f>('Bri estimate Final'!I60)*D15</f>
        <v>48.42</v>
      </c>
      <c r="F15" s="2781">
        <f t="shared" si="4"/>
        <v>118.6875</v>
      </c>
      <c r="G15" s="2781">
        <f t="shared" si="3"/>
        <v>5747</v>
      </c>
    </row>
    <row r="16" spans="1:7" s="2782" customFormat="1" ht="18" customHeight="1">
      <c r="A16" s="2777">
        <f t="shared" si="1"/>
        <v>10</v>
      </c>
      <c r="B16" s="2778" t="s">
        <v>1430</v>
      </c>
      <c r="C16" s="2777" t="s">
        <v>73</v>
      </c>
      <c r="D16" s="2777">
        <f t="shared" si="2"/>
        <v>1</v>
      </c>
      <c r="E16" s="2780"/>
      <c r="F16" s="2781">
        <f t="shared" si="4"/>
        <v>118.6875</v>
      </c>
      <c r="G16" s="2781">
        <f t="shared" si="3"/>
        <v>0</v>
      </c>
    </row>
    <row r="17" spans="1:7" s="2782" customFormat="1" ht="18" customHeight="1">
      <c r="A17" s="2777">
        <f t="shared" si="1"/>
        <v>11</v>
      </c>
      <c r="B17" s="2778" t="s">
        <v>1431</v>
      </c>
      <c r="C17" s="2777" t="s">
        <v>73</v>
      </c>
      <c r="D17" s="2777">
        <f t="shared" si="2"/>
        <v>1</v>
      </c>
      <c r="E17" s="2780">
        <f>('Bri estimate Final'!I56)*D17</f>
        <v>148.75</v>
      </c>
      <c r="F17" s="2781">
        <f>1.2*40</f>
        <v>48</v>
      </c>
      <c r="G17" s="2781">
        <f t="shared" si="3"/>
        <v>7140</v>
      </c>
    </row>
    <row r="18" spans="1:7" s="2782" customFormat="1" ht="18" customHeight="1">
      <c r="A18" s="2777">
        <f t="shared" si="1"/>
        <v>12</v>
      </c>
      <c r="B18" s="2778" t="s">
        <v>1432</v>
      </c>
      <c r="C18" s="2777" t="s">
        <v>73</v>
      </c>
      <c r="D18" s="2777">
        <f t="shared" si="2"/>
        <v>1</v>
      </c>
      <c r="E18" s="2780">
        <f>('Bri estimate Final'!I64)*D18</f>
        <v>6048</v>
      </c>
      <c r="F18" s="2781">
        <v>30</v>
      </c>
      <c r="G18" s="2781">
        <f t="shared" si="3"/>
        <v>181440</v>
      </c>
    </row>
    <row r="19" spans="1:7" s="2782" customFormat="1" ht="18" customHeight="1">
      <c r="A19" s="2777">
        <f t="shared" si="1"/>
        <v>13</v>
      </c>
      <c r="B19" s="2778" t="s">
        <v>1433</v>
      </c>
      <c r="C19" s="2777" t="s">
        <v>73</v>
      </c>
      <c r="D19" s="2777">
        <f t="shared" si="2"/>
        <v>1</v>
      </c>
      <c r="E19" s="2780">
        <f>('Bri estimate Final'!I72)*D19</f>
        <v>7.88</v>
      </c>
      <c r="F19" s="2781">
        <f t="shared" ref="F19:F20" si="5">(0.9*97.5+0.225*97.5+0.225*40)</f>
        <v>118.6875</v>
      </c>
      <c r="G19" s="2781">
        <f t="shared" si="3"/>
        <v>935</v>
      </c>
    </row>
    <row r="20" spans="1:7" s="2782" customFormat="1" ht="18" customHeight="1">
      <c r="A20" s="2777">
        <f t="shared" si="1"/>
        <v>14</v>
      </c>
      <c r="B20" s="2778" t="s">
        <v>1434</v>
      </c>
      <c r="C20" s="2777" t="s">
        <v>73</v>
      </c>
      <c r="D20" s="2777">
        <f t="shared" si="2"/>
        <v>1</v>
      </c>
      <c r="E20" s="2780">
        <f>('Bri estimate Final'!I72)*D20</f>
        <v>7.88</v>
      </c>
      <c r="F20" s="2781">
        <f t="shared" si="5"/>
        <v>118.6875</v>
      </c>
      <c r="G20" s="2781">
        <f t="shared" si="3"/>
        <v>935</v>
      </c>
    </row>
    <row r="21" spans="1:7" s="2782" customFormat="1" ht="18" customHeight="1">
      <c r="A21" s="2777">
        <v>15</v>
      </c>
      <c r="B21" s="2778" t="s">
        <v>1436</v>
      </c>
      <c r="C21" s="2777" t="s">
        <v>73</v>
      </c>
      <c r="D21" s="2777">
        <f>D19</f>
        <v>1</v>
      </c>
      <c r="E21" s="2780">
        <f>('Bri estimate Final'!I84)*D21</f>
        <v>26.57</v>
      </c>
      <c r="F21" s="2781">
        <f>1.2*97.5</f>
        <v>117</v>
      </c>
      <c r="G21" s="2781">
        <f t="shared" si="3"/>
        <v>3109</v>
      </c>
    </row>
    <row r="22" spans="1:7" s="2782" customFormat="1" ht="18" customHeight="1">
      <c r="A22" s="2777">
        <v>16</v>
      </c>
      <c r="B22" s="2778" t="s">
        <v>1435</v>
      </c>
      <c r="C22" s="2777" t="s">
        <v>73</v>
      </c>
      <c r="D22" s="2777">
        <f>D20</f>
        <v>1</v>
      </c>
      <c r="E22" s="2780">
        <f>('Bri estimate Final'!I90)*D22</f>
        <v>1156.71</v>
      </c>
      <c r="F22" s="2781">
        <f>1.2*97.5</f>
        <v>117</v>
      </c>
      <c r="G22" s="2781">
        <f t="shared" si="3"/>
        <v>135335</v>
      </c>
    </row>
    <row r="23" spans="1:7" s="2776" customFormat="1" ht="21" customHeight="1">
      <c r="A23" s="2774"/>
      <c r="B23" s="4053" t="s">
        <v>1437</v>
      </c>
      <c r="C23" s="4053"/>
      <c r="D23" s="4053"/>
      <c r="E23" s="4053"/>
      <c r="F23" s="4053"/>
      <c r="G23" s="2775"/>
    </row>
    <row r="24" spans="1:7" s="2782" customFormat="1" ht="18" customHeight="1">
      <c r="A24" s="2777">
        <v>1</v>
      </c>
      <c r="B24" s="2778" t="s">
        <v>1421</v>
      </c>
      <c r="C24" s="2777" t="s">
        <v>73</v>
      </c>
      <c r="D24" s="2779">
        <v>1</v>
      </c>
      <c r="E24" s="2783">
        <f>('Ret wall'!I8)*D24</f>
        <v>27</v>
      </c>
      <c r="F24" s="2781">
        <v>30</v>
      </c>
      <c r="G24" s="2781">
        <f t="shared" ref="G24:G27" si="6">ROUND(F24*E24,0)</f>
        <v>810</v>
      </c>
    </row>
    <row r="25" spans="1:7" s="2782" customFormat="1" ht="18" customHeight="1">
      <c r="A25" s="2777">
        <f>A24+1</f>
        <v>2</v>
      </c>
      <c r="B25" s="2778" t="s">
        <v>1438</v>
      </c>
      <c r="C25" s="2777" t="s">
        <v>73</v>
      </c>
      <c r="D25" s="2777">
        <f>D24</f>
        <v>1</v>
      </c>
      <c r="E25" s="2783">
        <f>('Ret wall'!I18)*D25</f>
        <v>9</v>
      </c>
      <c r="F25" s="2781">
        <f>(0.92*97.5+0.23*97.5+0.23*40)</f>
        <v>121.325</v>
      </c>
      <c r="G25" s="2781">
        <f t="shared" si="6"/>
        <v>1092</v>
      </c>
    </row>
    <row r="26" spans="1:7" s="2782" customFormat="1" ht="18" customHeight="1">
      <c r="A26" s="2777">
        <f>A25+1</f>
        <v>3</v>
      </c>
      <c r="B26" s="2778" t="s">
        <v>1423</v>
      </c>
      <c r="C26" s="2777" t="s">
        <v>73</v>
      </c>
      <c r="D26" s="2777">
        <f>D25</f>
        <v>1</v>
      </c>
      <c r="E26" s="2783">
        <f>('Ret wall'!I23)*D26</f>
        <v>13.200000000000001</v>
      </c>
      <c r="F26" s="2781">
        <f>(0.9*97.5+0.225*97.5+0.225*40)</f>
        <v>118.6875</v>
      </c>
      <c r="G26" s="2781">
        <f t="shared" si="6"/>
        <v>1567</v>
      </c>
    </row>
    <row r="27" spans="1:7" s="2782" customFormat="1" ht="18" customHeight="1">
      <c r="A27" s="2777">
        <f>A26+1</f>
        <v>4</v>
      </c>
      <c r="B27" s="2778" t="s">
        <v>1424</v>
      </c>
      <c r="C27" s="2777" t="s">
        <v>73</v>
      </c>
      <c r="D27" s="2777">
        <f>D26</f>
        <v>1</v>
      </c>
      <c r="E27" s="2783">
        <f>('Ret wall'!I27)*D27</f>
        <v>19.5</v>
      </c>
      <c r="F27" s="2781">
        <f>(0.9*97.5+0.225*97.5+0.225*40)</f>
        <v>118.6875</v>
      </c>
      <c r="G27" s="2781">
        <f t="shared" si="6"/>
        <v>2314</v>
      </c>
    </row>
    <row r="28" spans="1:7" s="2782" customFormat="1" ht="18" customHeight="1">
      <c r="A28" s="2777"/>
      <c r="B28" s="2778"/>
      <c r="C28" s="2777"/>
      <c r="D28" s="2777"/>
      <c r="E28" s="2780"/>
      <c r="F28" s="2784"/>
      <c r="G28" s="2781"/>
    </row>
    <row r="29" spans="1:7" s="2782" customFormat="1" ht="18.75" customHeight="1">
      <c r="A29" s="2777"/>
      <c r="B29" s="4054" t="s">
        <v>1439</v>
      </c>
      <c r="C29" s="4054"/>
      <c r="D29" s="4054"/>
      <c r="E29" s="4054"/>
      <c r="F29" s="4054"/>
      <c r="G29" s="2785">
        <f>SUM(G6:G27)</f>
        <v>577675</v>
      </c>
    </row>
    <row r="30" spans="1:7" s="2788" customFormat="1">
      <c r="A30" s="2786"/>
      <c r="B30" s="2787"/>
      <c r="C30" s="2786"/>
      <c r="D30" s="2786"/>
    </row>
    <row r="31" spans="1:7" s="2788" customFormat="1">
      <c r="A31" s="2786"/>
      <c r="B31" s="2789"/>
      <c r="C31" s="2790"/>
      <c r="D31" s="2790"/>
      <c r="E31" s="2791"/>
      <c r="F31" s="2792"/>
      <c r="G31" s="2792"/>
    </row>
    <row r="32" spans="1:7" s="2788" customFormat="1">
      <c r="A32" s="2786"/>
      <c r="B32" s="2787"/>
      <c r="C32" s="2786"/>
      <c r="D32" s="2786"/>
    </row>
    <row r="33" spans="1:10" s="2793" customFormat="1" hidden="1">
      <c r="A33" s="2793" t="s">
        <v>1440</v>
      </c>
      <c r="B33" s="2794"/>
      <c r="C33" s="2795"/>
      <c r="D33" s="2795"/>
      <c r="E33" s="2794"/>
      <c r="F33" s="2794"/>
      <c r="J33" s="2796"/>
    </row>
    <row r="34" spans="1:10" s="2793" customFormat="1" hidden="1">
      <c r="A34" s="2793" t="s">
        <v>1441</v>
      </c>
      <c r="B34" s="2794"/>
      <c r="C34" s="2795"/>
      <c r="D34" s="2795"/>
      <c r="E34" s="2794"/>
      <c r="F34" s="2794"/>
      <c r="J34" s="2796"/>
    </row>
    <row r="35" spans="1:10" s="2797" customFormat="1" hidden="1">
      <c r="B35" s="2789"/>
      <c r="C35" s="2790"/>
      <c r="D35" s="2790"/>
    </row>
    <row r="36" spans="1:10" s="2797" customFormat="1" hidden="1">
      <c r="B36" s="2789"/>
      <c r="C36" s="2790"/>
      <c r="D36" s="2790"/>
    </row>
    <row r="37" spans="1:10" s="2782" customFormat="1" ht="15.9" customHeight="1">
      <c r="B37" s="2798" t="str">
        <f>'Pipe data'!D253</f>
        <v>Assistant Engineer,</v>
      </c>
      <c r="C37" s="4052" t="str">
        <f>'Pipe data'!E253</f>
        <v>Dy. Exe. Engineer</v>
      </c>
      <c r="D37" s="4052"/>
      <c r="E37" s="4052"/>
      <c r="F37" s="4052"/>
    </row>
    <row r="38" spans="1:10" s="2782" customFormat="1" ht="15.9" customHeight="1">
      <c r="B38" s="2798" t="str">
        <f>'Pipe data'!D275</f>
        <v>PRSD, Maddur</v>
      </c>
      <c r="C38" s="4052" t="str">
        <f>'Pipe data'!E275</f>
        <v>PRSD, Maddur</v>
      </c>
      <c r="D38" s="4052"/>
      <c r="E38" s="4052"/>
      <c r="F38" s="4052"/>
    </row>
    <row r="39" spans="1:10" s="2782" customFormat="1">
      <c r="B39" s="2799"/>
      <c r="C39" s="2800"/>
      <c r="D39" s="2800"/>
    </row>
    <row r="40" spans="1:10" s="2782" customFormat="1">
      <c r="B40" s="2799"/>
      <c r="C40" s="2800"/>
      <c r="D40" s="2800"/>
    </row>
    <row r="41" spans="1:10" s="2782" customFormat="1">
      <c r="B41" s="2799"/>
      <c r="C41" s="2800"/>
      <c r="D41" s="2800"/>
    </row>
    <row r="42" spans="1:10" s="2782" customFormat="1" ht="15.9" customHeight="1">
      <c r="B42" s="2798" t="str">
        <f>'Pipe data'!D400</f>
        <v>District Panchayat Raj Engineer,</v>
      </c>
      <c r="C42" s="4052" t="str">
        <f>'Pipe data'!E400</f>
        <v>Superintending Engineer</v>
      </c>
      <c r="D42" s="4052"/>
      <c r="E42" s="4052"/>
      <c r="F42" s="4052"/>
    </row>
    <row r="43" spans="1:10" s="2782" customFormat="1" ht="15.9" customHeight="1">
      <c r="B43" s="2798" t="str">
        <f>'Pipe data'!D401</f>
        <v>PIU, Narayanpet</v>
      </c>
      <c r="C43" s="4052" t="str">
        <f>GA!C37</f>
        <v>PR, Circle, Vikarabad</v>
      </c>
      <c r="D43" s="4052"/>
      <c r="E43" s="4052"/>
      <c r="F43" s="4052"/>
    </row>
    <row r="44" spans="1:10">
      <c r="B44" s="2789"/>
    </row>
    <row r="45" spans="1:10">
      <c r="B45" s="2789"/>
    </row>
    <row r="46" spans="1:10">
      <c r="B46" s="2789"/>
    </row>
    <row r="47" spans="1:10">
      <c r="B47" s="2789"/>
    </row>
  </sheetData>
  <protectedRanges>
    <protectedRange sqref="G33:G34" name="Range4_1_2"/>
    <protectedRange sqref="J33:K34" name="Range4_1_1_1"/>
  </protectedRanges>
  <mergeCells count="9">
    <mergeCell ref="C43:F43"/>
    <mergeCell ref="B23:F23"/>
    <mergeCell ref="B29:F29"/>
    <mergeCell ref="C37:F37"/>
    <mergeCell ref="A1:G1"/>
    <mergeCell ref="A2:G2"/>
    <mergeCell ref="B6:F6"/>
    <mergeCell ref="C38:F38"/>
    <mergeCell ref="C42:F42"/>
  </mergeCells>
  <printOptions horizontalCentered="1"/>
  <pageMargins left="0.59055118110236204" right="0.196850393700787" top="0.59055118110236204" bottom="0.39370078740157499" header="0.511811023622047" footer="0.23622047244094499"/>
  <pageSetup paperSize="9" scale="90"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5" tint="-0.249977111117893"/>
  </sheetPr>
  <dimension ref="A1:T37"/>
  <sheetViews>
    <sheetView view="pageBreakPreview" zoomScale="60" workbookViewId="0">
      <selection activeCell="A2" sqref="A2:B2"/>
    </sheetView>
  </sheetViews>
  <sheetFormatPr defaultColWidth="9.109375" defaultRowHeight="13.8"/>
  <cols>
    <col min="1" max="1" width="4.33203125" style="365" customWidth="1"/>
    <col min="2" max="2" width="34.88671875" style="366" customWidth="1"/>
    <col min="3" max="5" width="3.109375" style="363" customWidth="1"/>
    <col min="6" max="6" width="7.44140625" style="363" customWidth="1"/>
    <col min="7" max="7" width="10.88671875" style="363" customWidth="1"/>
    <col min="8" max="8" width="6.88671875" style="363" customWidth="1"/>
    <col min="9" max="9" width="7.88671875" style="363" customWidth="1"/>
    <col min="10" max="10" width="9.6640625" style="363" customWidth="1"/>
    <col min="11" max="11" width="6.109375" style="363" customWidth="1"/>
    <col min="12" max="12" width="13.33203125" style="362" customWidth="1"/>
    <col min="13" max="13" width="9.109375" style="366"/>
    <col min="14" max="14" width="13.88671875" style="366" customWidth="1"/>
    <col min="15" max="15" width="11" style="366" customWidth="1"/>
    <col min="16" max="16" width="6.33203125" style="366" customWidth="1"/>
    <col min="17" max="20" width="9.109375" style="366" hidden="1" customWidth="1"/>
    <col min="21" max="16384" width="9.109375" style="366"/>
  </cols>
  <sheetData>
    <row r="1" spans="1:15" ht="18" customHeight="1">
      <c r="A1" s="3876" t="s">
        <v>2671</v>
      </c>
      <c r="B1" s="3877"/>
      <c r="C1" s="3877"/>
      <c r="D1" s="3877"/>
      <c r="E1" s="3877"/>
      <c r="F1" s="3877"/>
      <c r="G1" s="3877"/>
      <c r="H1" s="3877"/>
      <c r="I1" s="3877"/>
      <c r="J1" s="3877"/>
      <c r="K1" s="3877"/>
      <c r="L1" s="3877"/>
    </row>
    <row r="2" spans="1:15" ht="30" customHeight="1">
      <c r="A2" s="3878" t="s">
        <v>676</v>
      </c>
      <c r="B2" s="3878"/>
      <c r="C2" s="3894" t="str">
        <f>'Input Data'!E1</f>
        <v>C/o HLB on R/F Amlikunta to Gundumal of Gundumal Mandal of Narayanept District.</v>
      </c>
      <c r="D2" s="3894"/>
      <c r="E2" s="3894"/>
      <c r="F2" s="3894"/>
      <c r="G2" s="3894"/>
      <c r="H2" s="3894"/>
      <c r="I2" s="3894"/>
      <c r="J2" s="3894"/>
      <c r="K2" s="3894"/>
      <c r="L2" s="3894"/>
    </row>
    <row r="3" spans="1:15" s="362" customFormat="1" ht="21.75" customHeight="1">
      <c r="A3" s="3880" t="s">
        <v>2633</v>
      </c>
      <c r="B3" s="3880"/>
      <c r="C3" s="3880"/>
      <c r="D3" s="3880"/>
      <c r="E3" s="3880"/>
      <c r="F3" s="3880"/>
      <c r="G3" s="3880"/>
      <c r="H3" s="3880"/>
      <c r="I3" s="3880"/>
      <c r="J3" s="3880"/>
      <c r="K3" s="3880"/>
      <c r="L3" s="3880"/>
    </row>
    <row r="4" spans="1:15" s="363" customFormat="1" ht="33" customHeight="1">
      <c r="A4" s="367" t="s">
        <v>1285</v>
      </c>
      <c r="B4" s="368" t="s">
        <v>904</v>
      </c>
      <c r="C4" s="3895" t="s">
        <v>905</v>
      </c>
      <c r="D4" s="3896"/>
      <c r="E4" s="3897"/>
      <c r="F4" s="368" t="s">
        <v>180</v>
      </c>
      <c r="G4" s="368" t="s">
        <v>732</v>
      </c>
      <c r="H4" s="368" t="s">
        <v>906</v>
      </c>
      <c r="I4" s="402" t="s">
        <v>3</v>
      </c>
      <c r="J4" s="370" t="s">
        <v>5</v>
      </c>
      <c r="K4" s="370" t="s">
        <v>579</v>
      </c>
      <c r="L4" s="368" t="s">
        <v>7</v>
      </c>
    </row>
    <row r="5" spans="1:15" s="362" customFormat="1">
      <c r="A5" s="369">
        <v>1</v>
      </c>
      <c r="B5" s="370">
        <v>2</v>
      </c>
      <c r="C5" s="3898">
        <v>3</v>
      </c>
      <c r="D5" s="3899"/>
      <c r="E5" s="3900"/>
      <c r="F5" s="370">
        <v>4</v>
      </c>
      <c r="G5" s="370">
        <v>5</v>
      </c>
      <c r="H5" s="370">
        <v>6</v>
      </c>
      <c r="I5" s="403">
        <v>7</v>
      </c>
      <c r="J5" s="370">
        <v>8</v>
      </c>
      <c r="K5" s="370">
        <v>9</v>
      </c>
      <c r="L5" s="370">
        <v>10</v>
      </c>
    </row>
    <row r="6" spans="1:15" ht="87.75" customHeight="1">
      <c r="A6" s="371">
        <v>1</v>
      </c>
      <c r="B6" s="3883"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83"/>
      <c r="D6" s="3883"/>
      <c r="E6" s="3883"/>
      <c r="F6" s="3883"/>
      <c r="G6" s="3883"/>
      <c r="H6" s="3883"/>
      <c r="I6" s="3883"/>
      <c r="J6" s="3883"/>
      <c r="K6" s="3883"/>
      <c r="L6" s="404"/>
      <c r="O6" s="405"/>
    </row>
    <row r="7" spans="1:15" ht="22.2" customHeight="1">
      <c r="A7" s="375"/>
      <c r="B7" s="378" t="s">
        <v>1401</v>
      </c>
      <c r="C7" s="379">
        <v>1</v>
      </c>
      <c r="D7" s="379" t="s">
        <v>907</v>
      </c>
      <c r="E7" s="379">
        <v>1</v>
      </c>
      <c r="F7" s="380">
        <v>20</v>
      </c>
      <c r="G7" s="380">
        <v>1.5</v>
      </c>
      <c r="H7" s="380">
        <v>0.9</v>
      </c>
      <c r="I7" s="380">
        <f>ROUND(C7*E7*F7*G7*H7,2)</f>
        <v>27</v>
      </c>
      <c r="J7" s="379"/>
      <c r="K7" s="377"/>
      <c r="L7" s="407"/>
      <c r="O7" s="405"/>
    </row>
    <row r="8" spans="1:15" ht="15" customHeight="1">
      <c r="A8" s="375"/>
      <c r="B8" s="378"/>
      <c r="C8" s="378"/>
      <c r="D8" s="378"/>
      <c r="E8" s="378"/>
      <c r="F8" s="377"/>
      <c r="G8" s="375"/>
      <c r="H8" s="375"/>
      <c r="I8" s="408">
        <f>SUM(I7:I7)</f>
        <v>27</v>
      </c>
      <c r="J8" s="380">
        <f>'Pipe data'!G20</f>
        <v>136.06920584583335</v>
      </c>
      <c r="K8" s="379">
        <v>1</v>
      </c>
      <c r="L8" s="409">
        <f>ROUND(I8*J8,0)</f>
        <v>3674</v>
      </c>
      <c r="O8" s="405"/>
    </row>
    <row r="9" spans="1:15" ht="15" customHeight="1">
      <c r="A9" s="375"/>
      <c r="B9" s="378"/>
      <c r="C9" s="378"/>
      <c r="D9" s="378"/>
      <c r="E9" s="378"/>
      <c r="F9" s="377"/>
      <c r="G9" s="375"/>
      <c r="H9" s="375"/>
      <c r="I9" s="410" t="s">
        <v>31</v>
      </c>
      <c r="J9" s="380"/>
      <c r="K9" s="379" t="s">
        <v>31</v>
      </c>
      <c r="L9" s="409"/>
    </row>
    <row r="10" spans="1:15" ht="12.75" customHeight="1">
      <c r="A10" s="381"/>
      <c r="B10" s="382"/>
      <c r="C10" s="382"/>
      <c r="D10" s="382"/>
      <c r="E10" s="382"/>
      <c r="F10" s="383"/>
      <c r="G10" s="375"/>
      <c r="H10" s="375"/>
      <c r="I10" s="410"/>
      <c r="J10" s="380"/>
      <c r="K10" s="379"/>
      <c r="L10" s="409"/>
    </row>
    <row r="11" spans="1:15" ht="33" hidden="1" customHeight="1">
      <c r="A11" s="381">
        <v>2</v>
      </c>
      <c r="B11" s="3884" t="str">
        <f>'Pipe data'!B55:G55</f>
        <v>Sand  Filling (Natural Sand 50% + Manufactured sand 50%) in foundation trenches as per drawing and technical specification Clause 304 of MORTH including overhead charges &amp; Contractors profit etc complete.</v>
      </c>
      <c r="C11" s="3885"/>
      <c r="D11" s="3885"/>
      <c r="E11" s="3885"/>
      <c r="F11" s="3885"/>
      <c r="G11" s="3885"/>
      <c r="H11" s="3885"/>
      <c r="I11" s="3885"/>
      <c r="J11" s="3885"/>
      <c r="K11" s="3885"/>
      <c r="L11" s="411"/>
      <c r="N11" s="405"/>
    </row>
    <row r="12" spans="1:15" s="364" customFormat="1" ht="33" hidden="1" customHeight="1">
      <c r="A12" s="430"/>
      <c r="B12" s="431" t="s">
        <v>1402</v>
      </c>
      <c r="C12" s="432">
        <v>1</v>
      </c>
      <c r="D12" s="432" t="s">
        <v>907</v>
      </c>
      <c r="E12" s="432">
        <v>1</v>
      </c>
      <c r="F12" s="433">
        <f>+F7</f>
        <v>20</v>
      </c>
      <c r="G12" s="433">
        <v>1.2</v>
      </c>
      <c r="H12" s="433">
        <v>0.1</v>
      </c>
      <c r="I12" s="433"/>
      <c r="J12" s="432"/>
      <c r="K12" s="434"/>
      <c r="L12" s="435"/>
      <c r="O12" s="422"/>
    </row>
    <row r="13" spans="1:15" ht="19.5" hidden="1" customHeight="1">
      <c r="A13" s="381"/>
      <c r="B13" s="382"/>
      <c r="C13" s="382"/>
      <c r="D13" s="382"/>
      <c r="E13" s="382"/>
      <c r="F13" s="383"/>
      <c r="G13" s="375"/>
      <c r="H13" s="375"/>
      <c r="I13" s="410">
        <f>SUM(I12)</f>
        <v>0</v>
      </c>
      <c r="J13" s="380">
        <f>'Pipe data'!G73</f>
        <v>1920.41</v>
      </c>
      <c r="K13" s="379">
        <v>1</v>
      </c>
      <c r="L13" s="409">
        <f>ROUND(I13*J13,0)</f>
        <v>0</v>
      </c>
    </row>
    <row r="14" spans="1:15" ht="15" hidden="1" customHeight="1">
      <c r="A14" s="381"/>
      <c r="B14" s="382"/>
      <c r="C14" s="382"/>
      <c r="D14" s="382"/>
      <c r="E14" s="382"/>
      <c r="F14" s="383"/>
      <c r="G14" s="375"/>
      <c r="H14" s="375"/>
      <c r="I14" s="410" t="s">
        <v>31</v>
      </c>
      <c r="J14" s="380"/>
      <c r="K14" s="379" t="s">
        <v>31</v>
      </c>
      <c r="L14" s="409"/>
    </row>
    <row r="15" spans="1:15" hidden="1">
      <c r="A15" s="381"/>
      <c r="B15" s="382"/>
      <c r="C15" s="382"/>
      <c r="D15" s="382"/>
      <c r="E15" s="382"/>
      <c r="F15" s="383"/>
      <c r="G15" s="375"/>
      <c r="H15" s="375"/>
      <c r="I15" s="410"/>
      <c r="J15" s="380"/>
      <c r="K15" s="379"/>
      <c r="L15" s="409"/>
    </row>
    <row r="16" spans="1:15" ht="92.25" customHeight="1">
      <c r="A16" s="381">
        <v>2</v>
      </c>
      <c r="B16" s="3884" t="str">
        <f>'Bridge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885"/>
      <c r="D16" s="3885"/>
      <c r="E16" s="3885"/>
      <c r="F16" s="3885"/>
      <c r="G16" s="3885"/>
      <c r="H16" s="3885"/>
      <c r="I16" s="3885"/>
      <c r="J16" s="3885"/>
      <c r="K16" s="3885"/>
      <c r="L16" s="411"/>
    </row>
    <row r="17" spans="1:15" ht="17.25" customHeight="1">
      <c r="A17" s="375"/>
      <c r="B17" s="378" t="s">
        <v>1403</v>
      </c>
      <c r="C17" s="379">
        <v>1</v>
      </c>
      <c r="D17" s="379" t="s">
        <v>907</v>
      </c>
      <c r="E17" s="379">
        <v>1</v>
      </c>
      <c r="F17" s="380">
        <f>+F12</f>
        <v>20</v>
      </c>
      <c r="G17" s="380">
        <v>1.5</v>
      </c>
      <c r="H17" s="380">
        <v>0.3</v>
      </c>
      <c r="I17" s="380">
        <f>ROUND(C17*E17*F17*G17*H17,2)</f>
        <v>9</v>
      </c>
      <c r="J17" s="379"/>
      <c r="K17" s="377"/>
      <c r="L17" s="407"/>
      <c r="O17" s="405"/>
    </row>
    <row r="18" spans="1:15" ht="15" customHeight="1">
      <c r="A18" s="375"/>
      <c r="B18" s="378"/>
      <c r="C18" s="378"/>
      <c r="D18" s="378"/>
      <c r="E18" s="378"/>
      <c r="F18" s="375"/>
      <c r="G18" s="375"/>
      <c r="H18" s="375"/>
      <c r="I18" s="408">
        <f>SUM(I17)</f>
        <v>9</v>
      </c>
      <c r="J18" s="380">
        <f>'Bridge Data'!J31</f>
        <v>6547.95</v>
      </c>
      <c r="K18" s="379">
        <v>1</v>
      </c>
      <c r="L18" s="409">
        <f>ROUND(I18*J18,0)</f>
        <v>58932</v>
      </c>
    </row>
    <row r="19" spans="1:15" ht="15" customHeight="1">
      <c r="A19" s="375"/>
      <c r="B19" s="378"/>
      <c r="C19" s="378"/>
      <c r="D19" s="378"/>
      <c r="E19" s="378"/>
      <c r="F19" s="375"/>
      <c r="G19" s="375"/>
      <c r="H19" s="375"/>
      <c r="I19" s="410" t="s">
        <v>31</v>
      </c>
      <c r="J19" s="380"/>
      <c r="K19" s="379" t="s">
        <v>31</v>
      </c>
      <c r="L19" s="409"/>
    </row>
    <row r="20" spans="1:15" ht="15" customHeight="1">
      <c r="A20" s="375"/>
      <c r="B20" s="378"/>
      <c r="C20" s="378"/>
      <c r="D20" s="378"/>
      <c r="E20" s="378"/>
      <c r="F20" s="375"/>
      <c r="G20" s="375"/>
      <c r="H20" s="375"/>
      <c r="I20" s="410"/>
      <c r="J20" s="380"/>
      <c r="K20" s="379"/>
      <c r="L20" s="409"/>
    </row>
    <row r="21" spans="1:15" ht="89.25" customHeight="1">
      <c r="A21" s="381">
        <v>3</v>
      </c>
      <c r="B21" s="3884" t="str">
        <f>'Bridge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1" s="3885"/>
      <c r="D21" s="3885"/>
      <c r="E21" s="3885"/>
      <c r="F21" s="3885"/>
      <c r="G21" s="3885"/>
      <c r="H21" s="3885"/>
      <c r="I21" s="3885"/>
      <c r="J21" s="3885"/>
      <c r="K21" s="3885"/>
      <c r="L21" s="436"/>
      <c r="O21" s="405"/>
    </row>
    <row r="22" spans="1:15" ht="26.4">
      <c r="A22" s="375"/>
      <c r="B22" s="378" t="s">
        <v>1404</v>
      </c>
      <c r="C22" s="379">
        <v>1</v>
      </c>
      <c r="D22" s="379" t="s">
        <v>907</v>
      </c>
      <c r="E22" s="379">
        <v>1</v>
      </c>
      <c r="F22" s="386">
        <f>F17</f>
        <v>20</v>
      </c>
      <c r="G22" s="387" t="s">
        <v>1405</v>
      </c>
      <c r="H22" s="386">
        <v>0.6</v>
      </c>
      <c r="I22" s="437">
        <f>PRODUCT(D22:H22)*(1.3+0.9)/2</f>
        <v>13.200000000000001</v>
      </c>
      <c r="J22" s="379"/>
      <c r="K22" s="377"/>
      <c r="L22" s="407"/>
      <c r="O22" s="405"/>
    </row>
    <row r="23" spans="1:15" ht="31.5" customHeight="1">
      <c r="A23" s="375"/>
      <c r="B23" s="378"/>
      <c r="C23" s="379"/>
      <c r="D23" s="379"/>
      <c r="E23" s="379"/>
      <c r="F23" s="380"/>
      <c r="G23" s="380"/>
      <c r="H23" s="380"/>
      <c r="I23" s="408">
        <f>SUM(I22)</f>
        <v>13.200000000000001</v>
      </c>
      <c r="J23" s="380">
        <f>'Bridge Data'!J62</f>
        <v>7328.61</v>
      </c>
      <c r="K23" s="379">
        <v>1</v>
      </c>
      <c r="L23" s="409">
        <f>ROUND(I23*J23,0)</f>
        <v>96738</v>
      </c>
      <c r="O23" s="405"/>
    </row>
    <row r="24" spans="1:15">
      <c r="A24" s="375"/>
      <c r="B24" s="378"/>
      <c r="C24" s="379"/>
      <c r="D24" s="379"/>
      <c r="E24" s="379"/>
      <c r="F24" s="380"/>
      <c r="G24" s="380"/>
      <c r="H24" s="380"/>
      <c r="I24" s="410" t="s">
        <v>73</v>
      </c>
      <c r="J24" s="379"/>
      <c r="K24" s="379" t="s">
        <v>31</v>
      </c>
      <c r="L24" s="407"/>
      <c r="O24" s="405"/>
    </row>
    <row r="25" spans="1:15" ht="88.5" customHeight="1">
      <c r="A25" s="381">
        <v>4</v>
      </c>
      <c r="B25" s="3884" t="str">
        <f>'Bridge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5" s="3885"/>
      <c r="D25" s="3885"/>
      <c r="E25" s="3885"/>
      <c r="F25" s="3885"/>
      <c r="G25" s="3885"/>
      <c r="H25" s="3885"/>
      <c r="I25" s="3885"/>
      <c r="J25" s="3885"/>
      <c r="K25" s="3885"/>
      <c r="L25" s="436"/>
      <c r="O25" s="405"/>
    </row>
    <row r="26" spans="1:15" ht="26.4">
      <c r="A26" s="375"/>
      <c r="B26" s="378" t="s">
        <v>1404</v>
      </c>
      <c r="C26" s="379">
        <v>1</v>
      </c>
      <c r="D26" s="379" t="s">
        <v>907</v>
      </c>
      <c r="E26" s="379">
        <v>1</v>
      </c>
      <c r="F26" s="386">
        <f>F22</f>
        <v>20</v>
      </c>
      <c r="G26" s="387" t="s">
        <v>1406</v>
      </c>
      <c r="H26" s="386">
        <v>1.5</v>
      </c>
      <c r="I26" s="437">
        <f>PRODUCT(D26:H26)*(0.4+0.9)/2</f>
        <v>19.5</v>
      </c>
      <c r="J26" s="379"/>
      <c r="K26" s="377"/>
      <c r="L26" s="407"/>
      <c r="O26" s="405"/>
    </row>
    <row r="27" spans="1:15" ht="31.5" customHeight="1">
      <c r="A27" s="375"/>
      <c r="B27" s="378"/>
      <c r="C27" s="379"/>
      <c r="D27" s="379"/>
      <c r="E27" s="379"/>
      <c r="F27" s="380"/>
      <c r="G27" s="380"/>
      <c r="H27" s="380"/>
      <c r="I27" s="408">
        <f>SUM(I26)</f>
        <v>19.5</v>
      </c>
      <c r="J27" s="380">
        <f>'Bridge Data'!J206</f>
        <v>7751.42</v>
      </c>
      <c r="K27" s="379">
        <v>1</v>
      </c>
      <c r="L27" s="409">
        <f>ROUND(I27*J27,0)</f>
        <v>151153</v>
      </c>
      <c r="O27" s="405"/>
    </row>
    <row r="28" spans="1:15">
      <c r="A28" s="388"/>
      <c r="B28" s="389"/>
      <c r="C28" s="414"/>
      <c r="D28" s="414"/>
      <c r="E28" s="414"/>
      <c r="F28" s="413"/>
      <c r="G28" s="413"/>
      <c r="H28" s="413"/>
      <c r="I28" s="412" t="s">
        <v>73</v>
      </c>
      <c r="J28" s="414"/>
      <c r="K28" s="414" t="s">
        <v>31</v>
      </c>
      <c r="L28" s="438"/>
      <c r="O28" s="405"/>
    </row>
    <row r="29" spans="1:15" ht="23.25" customHeight="1">
      <c r="A29" s="390"/>
      <c r="B29" s="392"/>
      <c r="C29" s="392"/>
      <c r="D29" s="392"/>
      <c r="E29" s="392"/>
      <c r="F29" s="394"/>
      <c r="G29" s="394"/>
      <c r="H29" s="394"/>
      <c r="I29" s="408"/>
      <c r="J29" s="425" t="s">
        <v>1298</v>
      </c>
      <c r="K29" s="426"/>
      <c r="L29" s="427">
        <f>SUM(L6:L27)</f>
        <v>310497</v>
      </c>
    </row>
    <row r="30" spans="1:15" ht="12.75" customHeight="1">
      <c r="L30" s="428"/>
    </row>
    <row r="32" spans="1:15" ht="14.25" customHeight="1">
      <c r="B32" s="400"/>
      <c r="F32" s="400" t="str">
        <f>GA!B33</f>
        <v>Assistant Engineer,</v>
      </c>
      <c r="I32" s="3886" t="s">
        <v>742</v>
      </c>
      <c r="J32" s="3886"/>
      <c r="K32" s="3886"/>
    </row>
    <row r="33" spans="2:11" ht="14.25" customHeight="1">
      <c r="B33" s="400"/>
      <c r="F33" s="400" t="str">
        <f>'Bri estimate Final'!F108</f>
        <v>PRSD, Maddur</v>
      </c>
      <c r="I33" s="3886" t="str">
        <f>'Bri estimate Final'!I108</f>
        <v>PRSD, Maddur</v>
      </c>
      <c r="J33" s="3886"/>
      <c r="K33" s="3886"/>
    </row>
    <row r="34" spans="2:11" ht="14.25" customHeight="1">
      <c r="B34" s="400"/>
      <c r="F34" s="400"/>
      <c r="I34" s="429"/>
      <c r="J34" s="429"/>
      <c r="K34" s="429"/>
    </row>
    <row r="35" spans="2:11">
      <c r="B35" s="401"/>
      <c r="F35" s="401"/>
      <c r="J35" s="401"/>
      <c r="K35" s="429"/>
    </row>
    <row r="36" spans="2:11" ht="14.25" customHeight="1">
      <c r="B36" s="400"/>
      <c r="F36" s="400" t="s">
        <v>857</v>
      </c>
      <c r="I36" s="3886" t="s">
        <v>684</v>
      </c>
      <c r="J36" s="3886"/>
      <c r="K36" s="3886"/>
    </row>
    <row r="37" spans="2:11">
      <c r="B37" s="400"/>
      <c r="F37" s="400" t="str">
        <f>'Bri estimate Final'!F113</f>
        <v>PIU, Narayanpet</v>
      </c>
      <c r="I37" s="3887" t="str">
        <f>'2V 1m dia Pipe Culverts'!I48</f>
        <v>PR, Circle, Vikarabad</v>
      </c>
      <c r="J37" s="3887"/>
      <c r="K37" s="3887"/>
    </row>
  </sheetData>
  <protectedRanges>
    <protectedRange sqref="B32:B37 F32:F37" name="Range4"/>
    <protectedRange sqref="I36 K32:K37 I32:I34 J35" name="Range4_1"/>
  </protectedRanges>
  <mergeCells count="15">
    <mergeCell ref="B25:K25"/>
    <mergeCell ref="I32:K32"/>
    <mergeCell ref="I33:K33"/>
    <mergeCell ref="I36:K36"/>
    <mergeCell ref="I37:K37"/>
    <mergeCell ref="C5:E5"/>
    <mergeCell ref="B6:K6"/>
    <mergeCell ref="B11:K11"/>
    <mergeCell ref="B16:K16"/>
    <mergeCell ref="B21:K21"/>
    <mergeCell ref="A1:L1"/>
    <mergeCell ref="A2:B2"/>
    <mergeCell ref="C2:L2"/>
    <mergeCell ref="A3:L3"/>
    <mergeCell ref="C4:E4"/>
  </mergeCells>
  <printOptions horizontalCentered="1" headings="1"/>
  <pageMargins left="0.59055118110236204" right="0.196850393700787" top="0.59055118110236204" bottom="0.59055118110236204" header="0.31496062992126" footer="0.31496062992126"/>
  <pageSetup paperSize="9" scale="8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G1370"/>
  <sheetViews>
    <sheetView view="pageBreakPreview" topLeftCell="A22" workbookViewId="0">
      <selection activeCell="E10" sqref="E10"/>
    </sheetView>
  </sheetViews>
  <sheetFormatPr defaultColWidth="9.109375" defaultRowHeight="15"/>
  <cols>
    <col min="1" max="1" width="11" style="296" customWidth="1"/>
    <col min="2" max="2" width="9.109375" style="296"/>
    <col min="3" max="3" width="29.88671875" style="296" customWidth="1"/>
    <col min="4" max="4" width="11.5546875" style="296" customWidth="1"/>
    <col min="5" max="5" width="11.44140625" style="296" customWidth="1"/>
    <col min="6" max="6" width="14.5546875" style="296" customWidth="1"/>
    <col min="7" max="7" width="15.33203125" style="296" customWidth="1"/>
    <col min="8" max="9" width="9.109375" style="296"/>
    <col min="10" max="10" width="66.6640625" style="296" customWidth="1"/>
    <col min="11" max="16384" width="9.109375" style="296"/>
  </cols>
  <sheetData>
    <row r="1" spans="1:7" ht="17.25" customHeight="1">
      <c r="A1" s="4058" t="s">
        <v>1959</v>
      </c>
      <c r="B1" s="4059"/>
      <c r="C1" s="4059"/>
      <c r="D1" s="4059"/>
      <c r="E1" s="4059"/>
      <c r="F1" s="4059"/>
    </row>
    <row r="2" spans="1:7" ht="51" customHeight="1">
      <c r="A2" s="4060" t="s">
        <v>1960</v>
      </c>
      <c r="B2" s="4060"/>
      <c r="C2" s="4061" t="s">
        <v>1961</v>
      </c>
      <c r="D2" s="4062"/>
      <c r="E2" s="4062"/>
      <c r="F2" s="4062"/>
      <c r="G2" s="4062"/>
    </row>
    <row r="3" spans="1:7" ht="12.75" customHeight="1"/>
    <row r="4" spans="1:7" ht="29.25" customHeight="1">
      <c r="A4" s="298" t="s">
        <v>2</v>
      </c>
      <c r="B4" s="4063" t="s">
        <v>1962</v>
      </c>
      <c r="C4" s="4063"/>
      <c r="D4" s="299" t="s">
        <v>3</v>
      </c>
      <c r="E4" s="298" t="s">
        <v>5</v>
      </c>
      <c r="F4" s="298" t="s">
        <v>579</v>
      </c>
      <c r="G4" s="300" t="s">
        <v>7</v>
      </c>
    </row>
    <row r="5" spans="1:7" ht="123.75" customHeight="1">
      <c r="A5" s="301">
        <v>1</v>
      </c>
      <c r="B5" s="4064" t="s">
        <v>1963</v>
      </c>
      <c r="C5" s="4064"/>
      <c r="D5" s="4064"/>
      <c r="E5" s="4064"/>
      <c r="F5" s="4064"/>
      <c r="G5" s="302"/>
    </row>
    <row r="6" spans="1:7">
      <c r="A6" s="297"/>
      <c r="B6" s="4065"/>
      <c r="C6" s="4065"/>
      <c r="D6" s="297">
        <v>952</v>
      </c>
      <c r="E6" s="304">
        <v>702</v>
      </c>
      <c r="F6" s="297">
        <v>1</v>
      </c>
      <c r="G6" s="304">
        <f>ROUND(D6*E6,0)</f>
        <v>668304</v>
      </c>
    </row>
    <row r="7" spans="1:7">
      <c r="A7" s="297"/>
      <c r="B7" s="4065"/>
      <c r="C7" s="4065"/>
      <c r="D7" s="297" t="s">
        <v>913</v>
      </c>
      <c r="E7" s="297"/>
      <c r="F7" s="297" t="s">
        <v>913</v>
      </c>
      <c r="G7" s="297"/>
    </row>
    <row r="8" spans="1:7">
      <c r="A8" s="297"/>
    </row>
    <row r="9" spans="1:7" ht="273.75" customHeight="1">
      <c r="A9" s="301">
        <v>2</v>
      </c>
      <c r="B9" s="4064" t="s">
        <v>1964</v>
      </c>
      <c r="C9" s="4064"/>
      <c r="D9" s="4064"/>
      <c r="E9" s="4064"/>
      <c r="F9" s="4064"/>
    </row>
    <row r="10" spans="1:7">
      <c r="A10" s="297"/>
      <c r="B10" s="297"/>
      <c r="C10" s="297"/>
      <c r="D10" s="297">
        <v>20</v>
      </c>
      <c r="E10" s="304"/>
      <c r="F10" s="297">
        <v>1</v>
      </c>
      <c r="G10" s="304">
        <f>ROUND(D10*E10,0)</f>
        <v>0</v>
      </c>
    </row>
    <row r="11" spans="1:7">
      <c r="A11" s="297"/>
      <c r="B11" s="297"/>
      <c r="C11" s="297"/>
      <c r="D11" s="297" t="s">
        <v>708</v>
      </c>
      <c r="E11" s="297"/>
      <c r="F11" s="297" t="s">
        <v>708</v>
      </c>
      <c r="G11" s="297"/>
    </row>
    <row r="12" spans="1:7">
      <c r="D12" s="297"/>
      <c r="E12" s="297"/>
      <c r="F12" s="297"/>
      <c r="G12" s="297"/>
    </row>
    <row r="13" spans="1:7" ht="248.25" customHeight="1">
      <c r="A13" s="305">
        <v>3</v>
      </c>
      <c r="B13" s="4064" t="s">
        <v>1965</v>
      </c>
      <c r="C13" s="4064"/>
      <c r="D13" s="4064"/>
      <c r="E13" s="4064"/>
      <c r="F13" s="4064"/>
    </row>
    <row r="14" spans="1:7">
      <c r="D14" s="297">
        <v>1118</v>
      </c>
      <c r="E14" s="304"/>
      <c r="F14" s="297">
        <v>1</v>
      </c>
      <c r="G14" s="304">
        <f>ROUND(D14*E14,0)</f>
        <v>0</v>
      </c>
    </row>
    <row r="15" spans="1:7">
      <c r="D15" s="297" t="s">
        <v>708</v>
      </c>
      <c r="E15" s="297"/>
      <c r="F15" s="297" t="s">
        <v>708</v>
      </c>
      <c r="G15" s="297"/>
    </row>
    <row r="16" spans="1:7" ht="122.25" customHeight="1">
      <c r="A16" s="305">
        <v>4</v>
      </c>
      <c r="B16" s="4064" t="s">
        <v>1966</v>
      </c>
      <c r="C16" s="4064"/>
      <c r="D16" s="4064"/>
      <c r="E16" s="4064"/>
      <c r="F16" s="4064"/>
    </row>
    <row r="17" spans="1:7">
      <c r="D17" s="297">
        <v>1000</v>
      </c>
      <c r="E17" s="304">
        <v>2615</v>
      </c>
      <c r="F17" s="297">
        <v>1</v>
      </c>
      <c r="G17" s="304">
        <f>ROUND(D17*E17,0)</f>
        <v>2615000</v>
      </c>
    </row>
    <row r="18" spans="1:7">
      <c r="D18" s="297" t="s">
        <v>1055</v>
      </c>
      <c r="E18" s="297"/>
      <c r="F18" s="297" t="str">
        <f>D18</f>
        <v>Each</v>
      </c>
      <c r="G18" s="297"/>
    </row>
    <row r="19" spans="1:7" ht="24.75" customHeight="1">
      <c r="A19" s="305">
        <v>5</v>
      </c>
      <c r="B19" s="4064" t="s">
        <v>1967</v>
      </c>
      <c r="C19" s="4064"/>
      <c r="D19" s="4064"/>
      <c r="E19" s="4064"/>
      <c r="F19" s="4064"/>
    </row>
    <row r="20" spans="1:7">
      <c r="D20" s="297">
        <v>2000</v>
      </c>
      <c r="E20" s="304">
        <v>102</v>
      </c>
      <c r="F20" s="297">
        <v>1</v>
      </c>
      <c r="G20" s="304">
        <f>ROUND(D20*E20,0)</f>
        <v>204000</v>
      </c>
    </row>
    <row r="21" spans="1:7">
      <c r="D21" s="297" t="s">
        <v>708</v>
      </c>
      <c r="E21" s="297"/>
      <c r="F21" s="297" t="s">
        <v>708</v>
      </c>
      <c r="G21" s="297"/>
    </row>
    <row r="22" spans="1:7">
      <c r="A22" s="297"/>
    </row>
    <row r="23" spans="1:7" s="295" customFormat="1" ht="14.25" customHeight="1">
      <c r="A23" s="306"/>
      <c r="B23" s="306"/>
      <c r="C23" s="306"/>
      <c r="D23" s="4066" t="s">
        <v>1298</v>
      </c>
      <c r="E23" s="4066"/>
      <c r="F23" s="306"/>
      <c r="G23" s="308">
        <f>SUM(G5:G22)</f>
        <v>3487304</v>
      </c>
    </row>
    <row r="24" spans="1:7" s="295" customFormat="1" ht="14.25" customHeight="1">
      <c r="A24" s="306"/>
      <c r="B24" s="306"/>
      <c r="C24" s="306"/>
      <c r="D24" s="307"/>
      <c r="E24" s="307"/>
      <c r="F24" s="306"/>
      <c r="G24" s="309"/>
    </row>
    <row r="25" spans="1:7" s="295" customFormat="1" ht="14.25" customHeight="1">
      <c r="A25" s="306"/>
      <c r="B25" s="306"/>
      <c r="C25" s="306"/>
      <c r="D25" s="307"/>
      <c r="E25" s="307"/>
      <c r="F25" s="306"/>
      <c r="G25" s="309"/>
    </row>
    <row r="26" spans="1:7" ht="16.5" customHeight="1">
      <c r="A26" s="4058"/>
      <c r="B26" s="4058"/>
      <c r="C26" s="297"/>
      <c r="D26" s="4058"/>
      <c r="E26" s="4058"/>
    </row>
    <row r="27" spans="1:7" ht="25.5" customHeight="1">
      <c r="A27" s="4067" t="s">
        <v>1968</v>
      </c>
      <c r="B27" s="4067"/>
      <c r="C27" s="4067"/>
      <c r="D27" s="4067"/>
      <c r="E27" s="4067"/>
      <c r="F27" s="4067"/>
      <c r="G27" s="4067"/>
    </row>
    <row r="28" spans="1:7">
      <c r="B28" s="297"/>
      <c r="C28" s="297"/>
      <c r="D28" s="4058"/>
      <c r="E28" s="4058"/>
      <c r="F28" s="297"/>
    </row>
    <row r="29" spans="1:7">
      <c r="A29" s="310"/>
    </row>
    <row r="30" spans="1:7">
      <c r="A30" s="310"/>
      <c r="D30" s="303"/>
    </row>
    <row r="31" spans="1:7">
      <c r="A31" s="310"/>
    </row>
    <row r="32" spans="1:7">
      <c r="A32" s="310"/>
    </row>
    <row r="33" spans="1:1">
      <c r="A33" s="297"/>
    </row>
    <row r="34" spans="1:1">
      <c r="A34" s="297"/>
    </row>
    <row r="35" spans="1:1">
      <c r="A35" s="297"/>
    </row>
    <row r="36" spans="1:1">
      <c r="A36" s="297"/>
    </row>
    <row r="37" spans="1:1">
      <c r="A37" s="297"/>
    </row>
    <row r="38" spans="1:1">
      <c r="A38" s="297"/>
    </row>
    <row r="39" spans="1:1">
      <c r="A39" s="297"/>
    </row>
    <row r="40" spans="1:1">
      <c r="A40" s="297"/>
    </row>
    <row r="41" spans="1:1">
      <c r="A41" s="297"/>
    </row>
    <row r="42" spans="1:1">
      <c r="A42" s="297"/>
    </row>
    <row r="43" spans="1:1">
      <c r="A43" s="297"/>
    </row>
    <row r="44" spans="1:1">
      <c r="A44" s="297"/>
    </row>
    <row r="45" spans="1:1">
      <c r="A45" s="297"/>
    </row>
    <row r="46" spans="1:1">
      <c r="A46" s="297"/>
    </row>
    <row r="47" spans="1:1">
      <c r="A47" s="297"/>
    </row>
    <row r="48" spans="1:1">
      <c r="A48" s="297"/>
    </row>
    <row r="49" spans="1:1">
      <c r="A49" s="297"/>
    </row>
    <row r="50" spans="1:1">
      <c r="A50" s="297"/>
    </row>
    <row r="51" spans="1:1">
      <c r="A51" s="297"/>
    </row>
    <row r="52" spans="1:1">
      <c r="A52" s="297"/>
    </row>
    <row r="53" spans="1:1">
      <c r="A53" s="297"/>
    </row>
    <row r="54" spans="1:1">
      <c r="A54" s="297"/>
    </row>
    <row r="55" spans="1:1">
      <c r="A55" s="297"/>
    </row>
    <row r="56" spans="1:1">
      <c r="A56" s="297"/>
    </row>
    <row r="57" spans="1:1">
      <c r="A57" s="297"/>
    </row>
    <row r="58" spans="1:1">
      <c r="A58" s="297"/>
    </row>
    <row r="59" spans="1:1">
      <c r="A59" s="297"/>
    </row>
    <row r="60" spans="1:1">
      <c r="A60" s="297"/>
    </row>
    <row r="61" spans="1:1">
      <c r="A61" s="297"/>
    </row>
    <row r="62" spans="1:1">
      <c r="A62" s="297"/>
    </row>
    <row r="63" spans="1:1">
      <c r="A63" s="297"/>
    </row>
    <row r="64" spans="1:1">
      <c r="A64" s="297"/>
    </row>
    <row r="65" spans="1:1">
      <c r="A65" s="297"/>
    </row>
    <row r="66" spans="1:1">
      <c r="A66" s="297"/>
    </row>
    <row r="67" spans="1:1">
      <c r="A67" s="297"/>
    </row>
    <row r="68" spans="1:1">
      <c r="A68" s="297"/>
    </row>
    <row r="69" spans="1:1">
      <c r="A69" s="297"/>
    </row>
    <row r="70" spans="1:1">
      <c r="A70" s="297"/>
    </row>
    <row r="71" spans="1:1">
      <c r="A71" s="297"/>
    </row>
    <row r="72" spans="1:1">
      <c r="A72" s="297"/>
    </row>
    <row r="73" spans="1:1">
      <c r="A73" s="297"/>
    </row>
    <row r="74" spans="1:1">
      <c r="A74" s="297"/>
    </row>
    <row r="75" spans="1:1">
      <c r="A75" s="297"/>
    </row>
    <row r="76" spans="1:1">
      <c r="A76" s="297"/>
    </row>
    <row r="77" spans="1:1">
      <c r="A77" s="297"/>
    </row>
    <row r="78" spans="1:1">
      <c r="A78" s="297"/>
    </row>
    <row r="79" spans="1:1">
      <c r="A79" s="297"/>
    </row>
    <row r="80" spans="1:1">
      <c r="A80" s="297"/>
    </row>
    <row r="81" spans="1:1">
      <c r="A81" s="297"/>
    </row>
    <row r="82" spans="1:1">
      <c r="A82" s="297"/>
    </row>
    <row r="83" spans="1:1">
      <c r="A83" s="297"/>
    </row>
    <row r="84" spans="1:1">
      <c r="A84" s="297"/>
    </row>
    <row r="85" spans="1:1">
      <c r="A85" s="297"/>
    </row>
    <row r="86" spans="1:1">
      <c r="A86" s="297"/>
    </row>
    <row r="87" spans="1:1">
      <c r="A87" s="297"/>
    </row>
    <row r="88" spans="1:1">
      <c r="A88" s="297"/>
    </row>
    <row r="89" spans="1:1">
      <c r="A89" s="297"/>
    </row>
    <row r="90" spans="1:1">
      <c r="A90" s="297"/>
    </row>
    <row r="91" spans="1:1">
      <c r="A91" s="297"/>
    </row>
    <row r="92" spans="1:1">
      <c r="A92" s="297"/>
    </row>
    <row r="93" spans="1:1">
      <c r="A93" s="297"/>
    </row>
    <row r="94" spans="1:1">
      <c r="A94" s="297"/>
    </row>
    <row r="95" spans="1:1">
      <c r="A95" s="297"/>
    </row>
    <row r="96" spans="1:1">
      <c r="A96" s="297"/>
    </row>
    <row r="97" spans="1:1">
      <c r="A97" s="297"/>
    </row>
    <row r="98" spans="1:1">
      <c r="A98" s="297"/>
    </row>
    <row r="99" spans="1:1">
      <c r="A99" s="297"/>
    </row>
    <row r="100" spans="1:1">
      <c r="A100" s="297"/>
    </row>
    <row r="101" spans="1:1">
      <c r="A101" s="297"/>
    </row>
    <row r="102" spans="1:1">
      <c r="A102" s="297"/>
    </row>
    <row r="103" spans="1:1">
      <c r="A103" s="297"/>
    </row>
    <row r="104" spans="1:1">
      <c r="A104" s="297"/>
    </row>
    <row r="105" spans="1:1">
      <c r="A105" s="297"/>
    </row>
    <row r="106" spans="1:1">
      <c r="A106" s="297"/>
    </row>
    <row r="107" spans="1:1">
      <c r="A107" s="297"/>
    </row>
    <row r="108" spans="1:1">
      <c r="A108" s="297"/>
    </row>
    <row r="109" spans="1:1">
      <c r="A109" s="297"/>
    </row>
    <row r="110" spans="1:1">
      <c r="A110" s="297"/>
    </row>
    <row r="111" spans="1:1">
      <c r="A111" s="297"/>
    </row>
    <row r="112" spans="1:1">
      <c r="A112" s="297"/>
    </row>
    <row r="113" spans="1:1">
      <c r="A113" s="297"/>
    </row>
    <row r="114" spans="1:1">
      <c r="A114" s="297"/>
    </row>
    <row r="115" spans="1:1">
      <c r="A115" s="297"/>
    </row>
    <row r="116" spans="1:1">
      <c r="A116" s="297"/>
    </row>
    <row r="117" spans="1:1">
      <c r="A117" s="297"/>
    </row>
    <row r="118" spans="1:1">
      <c r="A118" s="297"/>
    </row>
    <row r="119" spans="1:1">
      <c r="A119" s="297"/>
    </row>
    <row r="120" spans="1:1">
      <c r="A120" s="297"/>
    </row>
    <row r="121" spans="1:1">
      <c r="A121" s="297"/>
    </row>
    <row r="122" spans="1:1">
      <c r="A122" s="297"/>
    </row>
    <row r="123" spans="1:1">
      <c r="A123" s="297"/>
    </row>
    <row r="124" spans="1:1">
      <c r="A124" s="297"/>
    </row>
    <row r="125" spans="1:1">
      <c r="A125" s="297"/>
    </row>
    <row r="126" spans="1:1">
      <c r="A126" s="297"/>
    </row>
    <row r="127" spans="1:1">
      <c r="A127" s="297"/>
    </row>
    <row r="128" spans="1:1">
      <c r="A128" s="297"/>
    </row>
    <row r="129" spans="1:1">
      <c r="A129" s="297"/>
    </row>
    <row r="130" spans="1:1">
      <c r="A130" s="297"/>
    </row>
    <row r="131" spans="1:1">
      <c r="A131" s="297"/>
    </row>
    <row r="132" spans="1:1">
      <c r="A132" s="297"/>
    </row>
    <row r="133" spans="1:1">
      <c r="A133" s="297"/>
    </row>
    <row r="134" spans="1:1">
      <c r="A134" s="297"/>
    </row>
    <row r="135" spans="1:1">
      <c r="A135" s="297"/>
    </row>
    <row r="136" spans="1:1">
      <c r="A136" s="297"/>
    </row>
    <row r="137" spans="1:1">
      <c r="A137" s="297"/>
    </row>
    <row r="138" spans="1:1">
      <c r="A138" s="297"/>
    </row>
    <row r="139" spans="1:1">
      <c r="A139" s="297"/>
    </row>
    <row r="140" spans="1:1">
      <c r="A140" s="297"/>
    </row>
    <row r="141" spans="1:1">
      <c r="A141" s="297"/>
    </row>
    <row r="142" spans="1:1">
      <c r="A142" s="297"/>
    </row>
    <row r="143" spans="1:1">
      <c r="A143" s="297"/>
    </row>
    <row r="144" spans="1:1">
      <c r="A144" s="297"/>
    </row>
    <row r="145" spans="1:1">
      <c r="A145" s="297"/>
    </row>
    <row r="146" spans="1:1">
      <c r="A146" s="297"/>
    </row>
    <row r="147" spans="1:1">
      <c r="A147" s="297"/>
    </row>
    <row r="148" spans="1:1">
      <c r="A148" s="297"/>
    </row>
    <row r="149" spans="1:1">
      <c r="A149" s="297"/>
    </row>
    <row r="150" spans="1:1">
      <c r="A150" s="297"/>
    </row>
    <row r="151" spans="1:1">
      <c r="A151" s="297"/>
    </row>
    <row r="152" spans="1:1">
      <c r="A152" s="297"/>
    </row>
    <row r="153" spans="1:1">
      <c r="A153" s="297"/>
    </row>
    <row r="154" spans="1:1">
      <c r="A154" s="297"/>
    </row>
    <row r="155" spans="1:1">
      <c r="A155" s="297"/>
    </row>
    <row r="156" spans="1:1">
      <c r="A156" s="297"/>
    </row>
    <row r="157" spans="1:1">
      <c r="A157" s="297"/>
    </row>
    <row r="158" spans="1:1">
      <c r="A158" s="297"/>
    </row>
    <row r="159" spans="1:1">
      <c r="A159" s="297"/>
    </row>
    <row r="160" spans="1:1">
      <c r="A160" s="297"/>
    </row>
    <row r="161" spans="1:1">
      <c r="A161" s="297"/>
    </row>
    <row r="162" spans="1:1">
      <c r="A162" s="297"/>
    </row>
    <row r="163" spans="1:1">
      <c r="A163" s="297"/>
    </row>
    <row r="164" spans="1:1">
      <c r="A164" s="297"/>
    </row>
    <row r="165" spans="1:1">
      <c r="A165" s="297"/>
    </row>
    <row r="166" spans="1:1">
      <c r="A166" s="297"/>
    </row>
    <row r="167" spans="1:1">
      <c r="A167" s="297"/>
    </row>
    <row r="168" spans="1:1">
      <c r="A168" s="297"/>
    </row>
    <row r="169" spans="1:1">
      <c r="A169" s="297"/>
    </row>
    <row r="170" spans="1:1">
      <c r="A170" s="297"/>
    </row>
    <row r="171" spans="1:1">
      <c r="A171" s="297"/>
    </row>
    <row r="172" spans="1:1">
      <c r="A172" s="297"/>
    </row>
    <row r="173" spans="1:1">
      <c r="A173" s="297"/>
    </row>
    <row r="174" spans="1:1">
      <c r="A174" s="297"/>
    </row>
    <row r="175" spans="1:1">
      <c r="A175" s="297"/>
    </row>
    <row r="176" spans="1:1">
      <c r="A176" s="297"/>
    </row>
    <row r="177" spans="1:1">
      <c r="A177" s="297"/>
    </row>
    <row r="178" spans="1:1">
      <c r="A178" s="297"/>
    </row>
    <row r="179" spans="1:1">
      <c r="A179" s="297"/>
    </row>
    <row r="180" spans="1:1">
      <c r="A180" s="297"/>
    </row>
    <row r="181" spans="1:1">
      <c r="A181" s="297"/>
    </row>
    <row r="182" spans="1:1">
      <c r="A182" s="297"/>
    </row>
    <row r="183" spans="1:1">
      <c r="A183" s="297"/>
    </row>
    <row r="184" spans="1:1">
      <c r="A184" s="297"/>
    </row>
    <row r="185" spans="1:1">
      <c r="A185" s="297"/>
    </row>
    <row r="186" spans="1:1">
      <c r="A186" s="297"/>
    </row>
    <row r="187" spans="1:1">
      <c r="A187" s="297"/>
    </row>
    <row r="188" spans="1:1">
      <c r="A188" s="297"/>
    </row>
    <row r="189" spans="1:1">
      <c r="A189" s="297"/>
    </row>
    <row r="190" spans="1:1">
      <c r="A190" s="297"/>
    </row>
    <row r="191" spans="1:1">
      <c r="A191" s="297"/>
    </row>
    <row r="192" spans="1:1">
      <c r="A192" s="297"/>
    </row>
    <row r="193" spans="1:1">
      <c r="A193" s="297"/>
    </row>
    <row r="194" spans="1:1">
      <c r="A194" s="297"/>
    </row>
    <row r="195" spans="1:1">
      <c r="A195" s="297"/>
    </row>
    <row r="196" spans="1:1">
      <c r="A196" s="297"/>
    </row>
    <row r="197" spans="1:1">
      <c r="A197" s="297"/>
    </row>
    <row r="198" spans="1:1">
      <c r="A198" s="297"/>
    </row>
    <row r="199" spans="1:1">
      <c r="A199" s="297"/>
    </row>
    <row r="200" spans="1:1">
      <c r="A200" s="297"/>
    </row>
    <row r="201" spans="1:1">
      <c r="A201" s="297"/>
    </row>
    <row r="202" spans="1:1">
      <c r="A202" s="297"/>
    </row>
    <row r="203" spans="1:1">
      <c r="A203" s="297"/>
    </row>
    <row r="204" spans="1:1">
      <c r="A204" s="297"/>
    </row>
    <row r="205" spans="1:1">
      <c r="A205" s="297"/>
    </row>
    <row r="206" spans="1:1">
      <c r="A206" s="297"/>
    </row>
    <row r="207" spans="1:1">
      <c r="A207" s="297"/>
    </row>
    <row r="208" spans="1:1">
      <c r="A208" s="297"/>
    </row>
    <row r="209" spans="1:1">
      <c r="A209" s="297"/>
    </row>
    <row r="210" spans="1:1">
      <c r="A210" s="297"/>
    </row>
    <row r="211" spans="1:1">
      <c r="A211" s="297"/>
    </row>
    <row r="212" spans="1:1">
      <c r="A212" s="297"/>
    </row>
    <row r="213" spans="1:1">
      <c r="A213" s="297"/>
    </row>
    <row r="214" spans="1:1">
      <c r="A214" s="297"/>
    </row>
    <row r="215" spans="1:1">
      <c r="A215" s="297"/>
    </row>
    <row r="216" spans="1:1">
      <c r="A216" s="297"/>
    </row>
    <row r="217" spans="1:1">
      <c r="A217" s="297"/>
    </row>
    <row r="218" spans="1:1">
      <c r="A218" s="297"/>
    </row>
    <row r="219" spans="1:1">
      <c r="A219" s="297"/>
    </row>
    <row r="220" spans="1:1">
      <c r="A220" s="297"/>
    </row>
    <row r="221" spans="1:1">
      <c r="A221" s="297"/>
    </row>
    <row r="222" spans="1:1">
      <c r="A222" s="297"/>
    </row>
    <row r="223" spans="1:1">
      <c r="A223" s="297"/>
    </row>
    <row r="224" spans="1:1">
      <c r="A224" s="297"/>
    </row>
    <row r="225" spans="1:1">
      <c r="A225" s="297"/>
    </row>
    <row r="226" spans="1:1">
      <c r="A226" s="297"/>
    </row>
    <row r="227" spans="1:1">
      <c r="A227" s="297"/>
    </row>
    <row r="228" spans="1:1">
      <c r="A228" s="297"/>
    </row>
    <row r="229" spans="1:1">
      <c r="A229" s="297"/>
    </row>
    <row r="230" spans="1:1">
      <c r="A230" s="297"/>
    </row>
    <row r="231" spans="1:1">
      <c r="A231" s="297"/>
    </row>
    <row r="232" spans="1:1">
      <c r="A232" s="297"/>
    </row>
    <row r="233" spans="1:1">
      <c r="A233" s="297"/>
    </row>
    <row r="234" spans="1:1">
      <c r="A234" s="297"/>
    </row>
    <row r="235" spans="1:1">
      <c r="A235" s="297"/>
    </row>
    <row r="236" spans="1:1">
      <c r="A236" s="297"/>
    </row>
    <row r="237" spans="1:1">
      <c r="A237" s="297"/>
    </row>
    <row r="238" spans="1:1">
      <c r="A238" s="297"/>
    </row>
    <row r="239" spans="1:1">
      <c r="A239" s="297"/>
    </row>
    <row r="240" spans="1:1">
      <c r="A240" s="297"/>
    </row>
    <row r="241" spans="1:1">
      <c r="A241" s="297"/>
    </row>
    <row r="242" spans="1:1">
      <c r="A242" s="297"/>
    </row>
    <row r="243" spans="1:1">
      <c r="A243" s="297"/>
    </row>
    <row r="244" spans="1:1">
      <c r="A244" s="297"/>
    </row>
    <row r="245" spans="1:1">
      <c r="A245" s="297"/>
    </row>
    <row r="246" spans="1:1">
      <c r="A246" s="297"/>
    </row>
    <row r="247" spans="1:1">
      <c r="A247" s="297"/>
    </row>
    <row r="248" spans="1:1">
      <c r="A248" s="297"/>
    </row>
    <row r="249" spans="1:1">
      <c r="A249" s="297"/>
    </row>
    <row r="250" spans="1:1">
      <c r="A250" s="297"/>
    </row>
    <row r="251" spans="1:1">
      <c r="A251" s="297"/>
    </row>
    <row r="252" spans="1:1">
      <c r="A252" s="297"/>
    </row>
    <row r="253" spans="1:1">
      <c r="A253" s="297"/>
    </row>
    <row r="254" spans="1:1">
      <c r="A254" s="297"/>
    </row>
    <row r="255" spans="1:1">
      <c r="A255" s="297"/>
    </row>
    <row r="256" spans="1:1">
      <c r="A256" s="297"/>
    </row>
    <row r="257" spans="1:1">
      <c r="A257" s="297"/>
    </row>
    <row r="258" spans="1:1">
      <c r="A258" s="297"/>
    </row>
    <row r="259" spans="1:1">
      <c r="A259" s="297"/>
    </row>
    <row r="260" spans="1:1">
      <c r="A260" s="297"/>
    </row>
    <row r="261" spans="1:1">
      <c r="A261" s="297"/>
    </row>
    <row r="262" spans="1:1">
      <c r="A262" s="297"/>
    </row>
    <row r="263" spans="1:1">
      <c r="A263" s="297"/>
    </row>
    <row r="264" spans="1:1">
      <c r="A264" s="297"/>
    </row>
    <row r="265" spans="1:1">
      <c r="A265" s="297"/>
    </row>
    <row r="266" spans="1:1">
      <c r="A266" s="297"/>
    </row>
    <row r="267" spans="1:1">
      <c r="A267" s="297"/>
    </row>
    <row r="268" spans="1:1">
      <c r="A268" s="297"/>
    </row>
    <row r="269" spans="1:1">
      <c r="A269" s="297"/>
    </row>
    <row r="270" spans="1:1">
      <c r="A270" s="297"/>
    </row>
    <row r="271" spans="1:1">
      <c r="A271" s="297"/>
    </row>
    <row r="272" spans="1:1">
      <c r="A272" s="297"/>
    </row>
    <row r="273" spans="1:1">
      <c r="A273" s="297"/>
    </row>
    <row r="274" spans="1:1">
      <c r="A274" s="297"/>
    </row>
    <row r="275" spans="1:1">
      <c r="A275" s="297"/>
    </row>
    <row r="276" spans="1:1">
      <c r="A276" s="297"/>
    </row>
    <row r="277" spans="1:1">
      <c r="A277" s="297"/>
    </row>
    <row r="278" spans="1:1">
      <c r="A278" s="297"/>
    </row>
    <row r="279" spans="1:1">
      <c r="A279" s="297"/>
    </row>
    <row r="280" spans="1:1">
      <c r="A280" s="297"/>
    </row>
    <row r="281" spans="1:1">
      <c r="A281" s="297"/>
    </row>
    <row r="282" spans="1:1">
      <c r="A282" s="297"/>
    </row>
    <row r="283" spans="1:1">
      <c r="A283" s="297"/>
    </row>
    <row r="284" spans="1:1">
      <c r="A284" s="297"/>
    </row>
    <row r="285" spans="1:1">
      <c r="A285" s="297"/>
    </row>
    <row r="286" spans="1:1">
      <c r="A286" s="297"/>
    </row>
    <row r="287" spans="1:1">
      <c r="A287" s="297"/>
    </row>
    <row r="288" spans="1:1">
      <c r="A288" s="297"/>
    </row>
    <row r="289" spans="1:1">
      <c r="A289" s="297"/>
    </row>
    <row r="290" spans="1:1">
      <c r="A290" s="297"/>
    </row>
    <row r="291" spans="1:1">
      <c r="A291" s="297"/>
    </row>
    <row r="292" spans="1:1">
      <c r="A292" s="297"/>
    </row>
    <row r="293" spans="1:1">
      <c r="A293" s="297"/>
    </row>
    <row r="294" spans="1:1">
      <c r="A294" s="297"/>
    </row>
    <row r="295" spans="1:1">
      <c r="A295" s="297"/>
    </row>
    <row r="296" spans="1:1">
      <c r="A296" s="297"/>
    </row>
    <row r="297" spans="1:1">
      <c r="A297" s="297"/>
    </row>
    <row r="298" spans="1:1">
      <c r="A298" s="297"/>
    </row>
    <row r="299" spans="1:1">
      <c r="A299" s="297"/>
    </row>
    <row r="300" spans="1:1">
      <c r="A300" s="297"/>
    </row>
    <row r="301" spans="1:1">
      <c r="A301" s="297"/>
    </row>
    <row r="302" spans="1:1">
      <c r="A302" s="297"/>
    </row>
    <row r="303" spans="1:1">
      <c r="A303" s="297"/>
    </row>
    <row r="304" spans="1:1">
      <c r="A304" s="297"/>
    </row>
    <row r="305" spans="1:1">
      <c r="A305" s="297"/>
    </row>
    <row r="306" spans="1:1">
      <c r="A306" s="297"/>
    </row>
    <row r="307" spans="1:1">
      <c r="A307" s="297"/>
    </row>
    <row r="308" spans="1:1">
      <c r="A308" s="297"/>
    </row>
    <row r="309" spans="1:1">
      <c r="A309" s="297"/>
    </row>
    <row r="310" spans="1:1">
      <c r="A310" s="297"/>
    </row>
    <row r="311" spans="1:1">
      <c r="A311" s="297"/>
    </row>
    <row r="312" spans="1:1">
      <c r="A312" s="297"/>
    </row>
    <row r="313" spans="1:1">
      <c r="A313" s="297"/>
    </row>
    <row r="314" spans="1:1">
      <c r="A314" s="297"/>
    </row>
    <row r="315" spans="1:1">
      <c r="A315" s="297"/>
    </row>
    <row r="316" spans="1:1">
      <c r="A316" s="297"/>
    </row>
    <row r="317" spans="1:1">
      <c r="A317" s="297"/>
    </row>
    <row r="318" spans="1:1">
      <c r="A318" s="297"/>
    </row>
    <row r="319" spans="1:1">
      <c r="A319" s="297"/>
    </row>
    <row r="320" spans="1:1">
      <c r="A320" s="297"/>
    </row>
    <row r="321" spans="1:1">
      <c r="A321" s="297"/>
    </row>
    <row r="322" spans="1:1">
      <c r="A322" s="297"/>
    </row>
    <row r="323" spans="1:1">
      <c r="A323" s="297"/>
    </row>
    <row r="324" spans="1:1">
      <c r="A324" s="297"/>
    </row>
    <row r="325" spans="1:1">
      <c r="A325" s="297"/>
    </row>
    <row r="326" spans="1:1">
      <c r="A326" s="297"/>
    </row>
    <row r="327" spans="1:1">
      <c r="A327" s="297"/>
    </row>
    <row r="328" spans="1:1">
      <c r="A328" s="297"/>
    </row>
    <row r="329" spans="1:1">
      <c r="A329" s="297"/>
    </row>
    <row r="330" spans="1:1">
      <c r="A330" s="297"/>
    </row>
    <row r="331" spans="1:1">
      <c r="A331" s="297"/>
    </row>
    <row r="332" spans="1:1">
      <c r="A332" s="297"/>
    </row>
    <row r="333" spans="1:1">
      <c r="A333" s="297"/>
    </row>
    <row r="334" spans="1:1">
      <c r="A334" s="297"/>
    </row>
    <row r="335" spans="1:1">
      <c r="A335" s="297"/>
    </row>
    <row r="336" spans="1:1">
      <c r="A336" s="297"/>
    </row>
    <row r="337" spans="1:1">
      <c r="A337" s="297"/>
    </row>
    <row r="338" spans="1:1">
      <c r="A338" s="297"/>
    </row>
    <row r="339" spans="1:1">
      <c r="A339" s="297"/>
    </row>
    <row r="340" spans="1:1">
      <c r="A340" s="297"/>
    </row>
    <row r="341" spans="1:1">
      <c r="A341" s="297"/>
    </row>
    <row r="342" spans="1:1">
      <c r="A342" s="297"/>
    </row>
    <row r="343" spans="1:1">
      <c r="A343" s="297"/>
    </row>
    <row r="344" spans="1:1">
      <c r="A344" s="297"/>
    </row>
    <row r="345" spans="1:1">
      <c r="A345" s="297"/>
    </row>
    <row r="346" spans="1:1">
      <c r="A346" s="297"/>
    </row>
    <row r="347" spans="1:1">
      <c r="A347" s="297"/>
    </row>
    <row r="348" spans="1:1">
      <c r="A348" s="297"/>
    </row>
    <row r="349" spans="1:1">
      <c r="A349" s="297"/>
    </row>
    <row r="350" spans="1:1">
      <c r="A350" s="297"/>
    </row>
    <row r="351" spans="1:1">
      <c r="A351" s="297"/>
    </row>
    <row r="352" spans="1:1">
      <c r="A352" s="297"/>
    </row>
    <row r="353" spans="1:1">
      <c r="A353" s="297"/>
    </row>
    <row r="354" spans="1:1">
      <c r="A354" s="297"/>
    </row>
    <row r="355" spans="1:1">
      <c r="A355" s="297"/>
    </row>
    <row r="356" spans="1:1">
      <c r="A356" s="297"/>
    </row>
    <row r="357" spans="1:1">
      <c r="A357" s="297"/>
    </row>
    <row r="358" spans="1:1">
      <c r="A358" s="297"/>
    </row>
    <row r="359" spans="1:1">
      <c r="A359" s="297"/>
    </row>
    <row r="360" spans="1:1">
      <c r="A360" s="297"/>
    </row>
    <row r="361" spans="1:1">
      <c r="A361" s="297"/>
    </row>
    <row r="362" spans="1:1">
      <c r="A362" s="297"/>
    </row>
    <row r="363" spans="1:1">
      <c r="A363" s="297"/>
    </row>
    <row r="364" spans="1:1">
      <c r="A364" s="297"/>
    </row>
    <row r="365" spans="1:1">
      <c r="A365" s="297"/>
    </row>
    <row r="366" spans="1:1">
      <c r="A366" s="297"/>
    </row>
    <row r="367" spans="1:1">
      <c r="A367" s="297"/>
    </row>
    <row r="368" spans="1:1">
      <c r="A368" s="297"/>
    </row>
    <row r="369" spans="1:1">
      <c r="A369" s="297"/>
    </row>
    <row r="370" spans="1:1">
      <c r="A370" s="297"/>
    </row>
    <row r="371" spans="1:1">
      <c r="A371" s="297"/>
    </row>
    <row r="372" spans="1:1">
      <c r="A372" s="297"/>
    </row>
    <row r="373" spans="1:1">
      <c r="A373" s="297"/>
    </row>
    <row r="374" spans="1:1">
      <c r="A374" s="297"/>
    </row>
    <row r="375" spans="1:1">
      <c r="A375" s="297"/>
    </row>
    <row r="376" spans="1:1">
      <c r="A376" s="297"/>
    </row>
    <row r="377" spans="1:1">
      <c r="A377" s="297"/>
    </row>
    <row r="378" spans="1:1">
      <c r="A378" s="297"/>
    </row>
    <row r="379" spans="1:1">
      <c r="A379" s="297"/>
    </row>
    <row r="380" spans="1:1">
      <c r="A380" s="297"/>
    </row>
    <row r="381" spans="1:1">
      <c r="A381" s="297"/>
    </row>
    <row r="382" spans="1:1">
      <c r="A382" s="297"/>
    </row>
    <row r="383" spans="1:1">
      <c r="A383" s="297"/>
    </row>
    <row r="384" spans="1:1">
      <c r="A384" s="297"/>
    </row>
    <row r="385" spans="1:1">
      <c r="A385" s="297"/>
    </row>
    <row r="386" spans="1:1">
      <c r="A386" s="297"/>
    </row>
    <row r="387" spans="1:1">
      <c r="A387" s="297"/>
    </row>
    <row r="388" spans="1:1">
      <c r="A388" s="297"/>
    </row>
    <row r="389" spans="1:1">
      <c r="A389" s="297"/>
    </row>
    <row r="390" spans="1:1">
      <c r="A390" s="297"/>
    </row>
    <row r="391" spans="1:1">
      <c r="A391" s="297"/>
    </row>
    <row r="392" spans="1:1">
      <c r="A392" s="297"/>
    </row>
    <row r="393" spans="1:1">
      <c r="A393" s="297"/>
    </row>
    <row r="394" spans="1:1">
      <c r="A394" s="297"/>
    </row>
    <row r="395" spans="1:1">
      <c r="A395" s="297"/>
    </row>
    <row r="396" spans="1:1">
      <c r="A396" s="297"/>
    </row>
    <row r="397" spans="1:1">
      <c r="A397" s="297"/>
    </row>
    <row r="398" spans="1:1">
      <c r="A398" s="297"/>
    </row>
    <row r="399" spans="1:1">
      <c r="A399" s="297"/>
    </row>
    <row r="400" spans="1:1">
      <c r="A400" s="297"/>
    </row>
    <row r="401" spans="1:1">
      <c r="A401" s="297"/>
    </row>
    <row r="402" spans="1:1">
      <c r="A402" s="297"/>
    </row>
    <row r="403" spans="1:1">
      <c r="A403" s="297"/>
    </row>
    <row r="404" spans="1:1">
      <c r="A404" s="297"/>
    </row>
    <row r="405" spans="1:1">
      <c r="A405" s="297"/>
    </row>
    <row r="406" spans="1:1">
      <c r="A406" s="297"/>
    </row>
    <row r="407" spans="1:1">
      <c r="A407" s="297"/>
    </row>
    <row r="408" spans="1:1">
      <c r="A408" s="297"/>
    </row>
    <row r="409" spans="1:1">
      <c r="A409" s="297"/>
    </row>
    <row r="410" spans="1:1">
      <c r="A410" s="297"/>
    </row>
    <row r="411" spans="1:1">
      <c r="A411" s="297"/>
    </row>
    <row r="412" spans="1:1">
      <c r="A412" s="297"/>
    </row>
    <row r="413" spans="1:1">
      <c r="A413" s="297"/>
    </row>
    <row r="414" spans="1:1">
      <c r="A414" s="297"/>
    </row>
    <row r="415" spans="1:1">
      <c r="A415" s="297"/>
    </row>
    <row r="416" spans="1:1">
      <c r="A416" s="297"/>
    </row>
    <row r="417" spans="1:1">
      <c r="A417" s="297"/>
    </row>
    <row r="418" spans="1:1">
      <c r="A418" s="297"/>
    </row>
    <row r="419" spans="1:1">
      <c r="A419" s="297"/>
    </row>
    <row r="420" spans="1:1">
      <c r="A420" s="297"/>
    </row>
    <row r="421" spans="1:1">
      <c r="A421" s="297"/>
    </row>
    <row r="422" spans="1:1">
      <c r="A422" s="297"/>
    </row>
    <row r="423" spans="1:1">
      <c r="A423" s="297"/>
    </row>
    <row r="424" spans="1:1">
      <c r="A424" s="297"/>
    </row>
    <row r="425" spans="1:1">
      <c r="A425" s="297"/>
    </row>
    <row r="426" spans="1:1">
      <c r="A426" s="297"/>
    </row>
    <row r="427" spans="1:1">
      <c r="A427" s="297"/>
    </row>
    <row r="428" spans="1:1">
      <c r="A428" s="297"/>
    </row>
    <row r="429" spans="1:1">
      <c r="A429" s="297"/>
    </row>
    <row r="430" spans="1:1">
      <c r="A430" s="297"/>
    </row>
    <row r="431" spans="1:1">
      <c r="A431" s="297"/>
    </row>
    <row r="432" spans="1:1">
      <c r="A432" s="297"/>
    </row>
    <row r="433" spans="1:1">
      <c r="A433" s="297"/>
    </row>
    <row r="434" spans="1:1">
      <c r="A434" s="297"/>
    </row>
    <row r="435" spans="1:1">
      <c r="A435" s="297"/>
    </row>
    <row r="436" spans="1:1">
      <c r="A436" s="297"/>
    </row>
    <row r="437" spans="1:1">
      <c r="A437" s="297"/>
    </row>
    <row r="438" spans="1:1">
      <c r="A438" s="297"/>
    </row>
    <row r="439" spans="1:1">
      <c r="A439" s="297"/>
    </row>
    <row r="440" spans="1:1">
      <c r="A440" s="297"/>
    </row>
    <row r="441" spans="1:1">
      <c r="A441" s="297"/>
    </row>
    <row r="442" spans="1:1">
      <c r="A442" s="297"/>
    </row>
    <row r="443" spans="1:1">
      <c r="A443" s="297"/>
    </row>
    <row r="444" spans="1:1">
      <c r="A444" s="297"/>
    </row>
    <row r="445" spans="1:1">
      <c r="A445" s="297"/>
    </row>
    <row r="446" spans="1:1">
      <c r="A446" s="297"/>
    </row>
    <row r="447" spans="1:1">
      <c r="A447" s="297"/>
    </row>
    <row r="448" spans="1:1">
      <c r="A448" s="297"/>
    </row>
    <row r="449" spans="1:1">
      <c r="A449" s="297"/>
    </row>
    <row r="450" spans="1:1">
      <c r="A450" s="297"/>
    </row>
    <row r="451" spans="1:1">
      <c r="A451" s="297"/>
    </row>
    <row r="452" spans="1:1">
      <c r="A452" s="297"/>
    </row>
    <row r="453" spans="1:1">
      <c r="A453" s="297"/>
    </row>
    <row r="454" spans="1:1">
      <c r="A454" s="297"/>
    </row>
    <row r="455" spans="1:1">
      <c r="A455" s="297"/>
    </row>
    <row r="456" spans="1:1">
      <c r="A456" s="297"/>
    </row>
    <row r="457" spans="1:1">
      <c r="A457" s="297"/>
    </row>
    <row r="458" spans="1:1">
      <c r="A458" s="297"/>
    </row>
    <row r="459" spans="1:1">
      <c r="A459" s="297"/>
    </row>
    <row r="460" spans="1:1">
      <c r="A460" s="297"/>
    </row>
    <row r="461" spans="1:1">
      <c r="A461" s="297"/>
    </row>
    <row r="462" spans="1:1">
      <c r="A462" s="297"/>
    </row>
    <row r="463" spans="1:1">
      <c r="A463" s="297"/>
    </row>
    <row r="464" spans="1:1">
      <c r="A464" s="297"/>
    </row>
    <row r="465" spans="1:1">
      <c r="A465" s="297"/>
    </row>
    <row r="466" spans="1:1">
      <c r="A466" s="297"/>
    </row>
    <row r="467" spans="1:1">
      <c r="A467" s="297"/>
    </row>
    <row r="468" spans="1:1">
      <c r="A468" s="297"/>
    </row>
    <row r="469" spans="1:1">
      <c r="A469" s="297"/>
    </row>
    <row r="470" spans="1:1">
      <c r="A470" s="297"/>
    </row>
    <row r="471" spans="1:1">
      <c r="A471" s="297"/>
    </row>
    <row r="472" spans="1:1">
      <c r="A472" s="297"/>
    </row>
    <row r="473" spans="1:1">
      <c r="A473" s="297"/>
    </row>
    <row r="474" spans="1:1">
      <c r="A474" s="297"/>
    </row>
    <row r="475" spans="1:1">
      <c r="A475" s="297"/>
    </row>
    <row r="476" spans="1:1">
      <c r="A476" s="297"/>
    </row>
    <row r="477" spans="1:1">
      <c r="A477" s="297"/>
    </row>
    <row r="478" spans="1:1">
      <c r="A478" s="297"/>
    </row>
    <row r="479" spans="1:1">
      <c r="A479" s="297"/>
    </row>
    <row r="480" spans="1:1">
      <c r="A480" s="297"/>
    </row>
    <row r="481" spans="1:1">
      <c r="A481" s="297"/>
    </row>
    <row r="482" spans="1:1">
      <c r="A482" s="297"/>
    </row>
    <row r="483" spans="1:1">
      <c r="A483" s="297"/>
    </row>
    <row r="484" spans="1:1">
      <c r="A484" s="297"/>
    </row>
    <row r="485" spans="1:1">
      <c r="A485" s="297"/>
    </row>
    <row r="486" spans="1:1">
      <c r="A486" s="297"/>
    </row>
    <row r="487" spans="1:1">
      <c r="A487" s="297"/>
    </row>
    <row r="488" spans="1:1">
      <c r="A488" s="297"/>
    </row>
    <row r="489" spans="1:1">
      <c r="A489" s="297"/>
    </row>
    <row r="490" spans="1:1">
      <c r="A490" s="297"/>
    </row>
    <row r="491" spans="1:1">
      <c r="A491" s="297"/>
    </row>
    <row r="492" spans="1:1">
      <c r="A492" s="297"/>
    </row>
    <row r="493" spans="1:1">
      <c r="A493" s="297"/>
    </row>
    <row r="494" spans="1:1">
      <c r="A494" s="297"/>
    </row>
    <row r="495" spans="1:1">
      <c r="A495" s="297"/>
    </row>
    <row r="496" spans="1:1">
      <c r="A496" s="297"/>
    </row>
    <row r="497" spans="1:1">
      <c r="A497" s="297"/>
    </row>
    <row r="498" spans="1:1">
      <c r="A498" s="297"/>
    </row>
    <row r="499" spans="1:1">
      <c r="A499" s="297"/>
    </row>
    <row r="500" spans="1:1">
      <c r="A500" s="297"/>
    </row>
    <row r="501" spans="1:1">
      <c r="A501" s="297"/>
    </row>
    <row r="502" spans="1:1">
      <c r="A502" s="297"/>
    </row>
    <row r="503" spans="1:1">
      <c r="A503" s="297"/>
    </row>
    <row r="504" spans="1:1">
      <c r="A504" s="297"/>
    </row>
    <row r="505" spans="1:1">
      <c r="A505" s="297"/>
    </row>
    <row r="506" spans="1:1">
      <c r="A506" s="297"/>
    </row>
    <row r="507" spans="1:1">
      <c r="A507" s="297"/>
    </row>
    <row r="508" spans="1:1">
      <c r="A508" s="297"/>
    </row>
    <row r="509" spans="1:1">
      <c r="A509" s="297"/>
    </row>
    <row r="510" spans="1:1">
      <c r="A510" s="297"/>
    </row>
    <row r="511" spans="1:1">
      <c r="A511" s="297"/>
    </row>
    <row r="512" spans="1:1">
      <c r="A512" s="297"/>
    </row>
    <row r="513" spans="1:1">
      <c r="A513" s="297"/>
    </row>
    <row r="514" spans="1:1">
      <c r="A514" s="297"/>
    </row>
    <row r="515" spans="1:1">
      <c r="A515" s="297"/>
    </row>
    <row r="516" spans="1:1">
      <c r="A516" s="297"/>
    </row>
    <row r="517" spans="1:1">
      <c r="A517" s="297"/>
    </row>
    <row r="518" spans="1:1">
      <c r="A518" s="297"/>
    </row>
    <row r="519" spans="1:1">
      <c r="A519" s="297"/>
    </row>
    <row r="520" spans="1:1">
      <c r="A520" s="297"/>
    </row>
    <row r="521" spans="1:1">
      <c r="A521" s="297"/>
    </row>
    <row r="522" spans="1:1">
      <c r="A522" s="297"/>
    </row>
    <row r="523" spans="1:1">
      <c r="A523" s="297"/>
    </row>
    <row r="524" spans="1:1">
      <c r="A524" s="297"/>
    </row>
    <row r="525" spans="1:1">
      <c r="A525" s="297"/>
    </row>
    <row r="526" spans="1:1">
      <c r="A526" s="297"/>
    </row>
    <row r="527" spans="1:1">
      <c r="A527" s="297"/>
    </row>
    <row r="528" spans="1:1">
      <c r="A528" s="297"/>
    </row>
    <row r="529" spans="1:1">
      <c r="A529" s="297"/>
    </row>
    <row r="530" spans="1:1">
      <c r="A530" s="297"/>
    </row>
    <row r="531" spans="1:1">
      <c r="A531" s="297"/>
    </row>
    <row r="532" spans="1:1">
      <c r="A532" s="297"/>
    </row>
    <row r="533" spans="1:1">
      <c r="A533" s="297"/>
    </row>
    <row r="534" spans="1:1">
      <c r="A534" s="297"/>
    </row>
    <row r="535" spans="1:1">
      <c r="A535" s="297"/>
    </row>
    <row r="536" spans="1:1">
      <c r="A536" s="297"/>
    </row>
    <row r="537" spans="1:1">
      <c r="A537" s="297"/>
    </row>
    <row r="538" spans="1:1">
      <c r="A538" s="297"/>
    </row>
    <row r="539" spans="1:1">
      <c r="A539" s="297"/>
    </row>
    <row r="540" spans="1:1">
      <c r="A540" s="297"/>
    </row>
    <row r="541" spans="1:1">
      <c r="A541" s="297"/>
    </row>
    <row r="542" spans="1:1">
      <c r="A542" s="297"/>
    </row>
    <row r="543" spans="1:1">
      <c r="A543" s="297"/>
    </row>
    <row r="544" spans="1:1">
      <c r="A544" s="297"/>
    </row>
    <row r="545" spans="1:1">
      <c r="A545" s="297"/>
    </row>
    <row r="546" spans="1:1">
      <c r="A546" s="297"/>
    </row>
    <row r="547" spans="1:1">
      <c r="A547" s="297"/>
    </row>
    <row r="548" spans="1:1">
      <c r="A548" s="297"/>
    </row>
    <row r="549" spans="1:1">
      <c r="A549" s="297"/>
    </row>
    <row r="550" spans="1:1">
      <c r="A550" s="297"/>
    </row>
    <row r="551" spans="1:1">
      <c r="A551" s="297"/>
    </row>
    <row r="552" spans="1:1">
      <c r="A552" s="297"/>
    </row>
    <row r="553" spans="1:1">
      <c r="A553" s="297"/>
    </row>
    <row r="554" spans="1:1">
      <c r="A554" s="297"/>
    </row>
    <row r="555" spans="1:1">
      <c r="A555" s="297"/>
    </row>
    <row r="556" spans="1:1">
      <c r="A556" s="297"/>
    </row>
    <row r="557" spans="1:1">
      <c r="A557" s="297"/>
    </row>
    <row r="558" spans="1:1">
      <c r="A558" s="297"/>
    </row>
    <row r="559" spans="1:1">
      <c r="A559" s="297"/>
    </row>
    <row r="560" spans="1:1">
      <c r="A560" s="297"/>
    </row>
    <row r="561" spans="1:1">
      <c r="A561" s="297"/>
    </row>
    <row r="562" spans="1:1">
      <c r="A562" s="297"/>
    </row>
    <row r="563" spans="1:1">
      <c r="A563" s="297"/>
    </row>
    <row r="564" spans="1:1">
      <c r="A564" s="297"/>
    </row>
    <row r="565" spans="1:1">
      <c r="A565" s="297"/>
    </row>
    <row r="566" spans="1:1">
      <c r="A566" s="297"/>
    </row>
    <row r="567" spans="1:1">
      <c r="A567" s="297"/>
    </row>
    <row r="568" spans="1:1">
      <c r="A568" s="297"/>
    </row>
    <row r="569" spans="1:1">
      <c r="A569" s="297"/>
    </row>
    <row r="570" spans="1:1">
      <c r="A570" s="297"/>
    </row>
    <row r="571" spans="1:1">
      <c r="A571" s="297"/>
    </row>
    <row r="572" spans="1:1">
      <c r="A572" s="297"/>
    </row>
    <row r="573" spans="1:1">
      <c r="A573" s="297"/>
    </row>
    <row r="574" spans="1:1">
      <c r="A574" s="297"/>
    </row>
    <row r="575" spans="1:1">
      <c r="A575" s="297"/>
    </row>
    <row r="576" spans="1:1">
      <c r="A576" s="297"/>
    </row>
    <row r="577" spans="1:1">
      <c r="A577" s="297"/>
    </row>
    <row r="578" spans="1:1">
      <c r="A578" s="297"/>
    </row>
    <row r="579" spans="1:1">
      <c r="A579" s="297"/>
    </row>
    <row r="580" spans="1:1">
      <c r="A580" s="297"/>
    </row>
    <row r="581" spans="1:1">
      <c r="A581" s="297"/>
    </row>
    <row r="582" spans="1:1">
      <c r="A582" s="297"/>
    </row>
    <row r="583" spans="1:1">
      <c r="A583" s="297"/>
    </row>
    <row r="584" spans="1:1">
      <c r="A584" s="297"/>
    </row>
    <row r="585" spans="1:1">
      <c r="A585" s="297"/>
    </row>
    <row r="586" spans="1:1">
      <c r="A586" s="297"/>
    </row>
    <row r="587" spans="1:1">
      <c r="A587" s="297"/>
    </row>
    <row r="588" spans="1:1">
      <c r="A588" s="297"/>
    </row>
    <row r="589" spans="1:1">
      <c r="A589" s="297"/>
    </row>
    <row r="590" spans="1:1">
      <c r="A590" s="297"/>
    </row>
    <row r="591" spans="1:1">
      <c r="A591" s="297"/>
    </row>
    <row r="592" spans="1:1">
      <c r="A592" s="297"/>
    </row>
    <row r="593" spans="1:1">
      <c r="A593" s="297"/>
    </row>
    <row r="594" spans="1:1">
      <c r="A594" s="297"/>
    </row>
    <row r="595" spans="1:1">
      <c r="A595" s="297"/>
    </row>
    <row r="596" spans="1:1">
      <c r="A596" s="297"/>
    </row>
    <row r="597" spans="1:1">
      <c r="A597" s="297"/>
    </row>
    <row r="598" spans="1:1">
      <c r="A598" s="297"/>
    </row>
    <row r="599" spans="1:1">
      <c r="A599" s="297"/>
    </row>
    <row r="600" spans="1:1">
      <c r="A600" s="297"/>
    </row>
    <row r="601" spans="1:1">
      <c r="A601" s="297"/>
    </row>
    <row r="602" spans="1:1">
      <c r="A602" s="297"/>
    </row>
    <row r="603" spans="1:1">
      <c r="A603" s="297"/>
    </row>
    <row r="604" spans="1:1">
      <c r="A604" s="297"/>
    </row>
    <row r="605" spans="1:1">
      <c r="A605" s="297"/>
    </row>
    <row r="606" spans="1:1">
      <c r="A606" s="297"/>
    </row>
    <row r="607" spans="1:1">
      <c r="A607" s="297"/>
    </row>
    <row r="608" spans="1:1">
      <c r="A608" s="297"/>
    </row>
    <row r="609" spans="1:1">
      <c r="A609" s="297"/>
    </row>
    <row r="610" spans="1:1">
      <c r="A610" s="297"/>
    </row>
    <row r="611" spans="1:1">
      <c r="A611" s="297"/>
    </row>
    <row r="612" spans="1:1">
      <c r="A612" s="297"/>
    </row>
    <row r="613" spans="1:1">
      <c r="A613" s="297"/>
    </row>
    <row r="614" spans="1:1">
      <c r="A614" s="297"/>
    </row>
    <row r="615" spans="1:1">
      <c r="A615" s="297"/>
    </row>
    <row r="616" spans="1:1">
      <c r="A616" s="297"/>
    </row>
    <row r="617" spans="1:1">
      <c r="A617" s="297"/>
    </row>
    <row r="618" spans="1:1">
      <c r="A618" s="297"/>
    </row>
    <row r="619" spans="1:1">
      <c r="A619" s="297"/>
    </row>
    <row r="620" spans="1:1">
      <c r="A620" s="297"/>
    </row>
    <row r="621" spans="1:1">
      <c r="A621" s="297"/>
    </row>
    <row r="622" spans="1:1">
      <c r="A622" s="297"/>
    </row>
    <row r="623" spans="1:1">
      <c r="A623" s="297"/>
    </row>
    <row r="624" spans="1:1">
      <c r="A624" s="297"/>
    </row>
    <row r="625" spans="1:1">
      <c r="A625" s="297"/>
    </row>
    <row r="626" spans="1:1">
      <c r="A626" s="297"/>
    </row>
    <row r="627" spans="1:1">
      <c r="A627" s="297"/>
    </row>
    <row r="628" spans="1:1">
      <c r="A628" s="297"/>
    </row>
    <row r="629" spans="1:1">
      <c r="A629" s="297"/>
    </row>
    <row r="630" spans="1:1">
      <c r="A630" s="297"/>
    </row>
    <row r="631" spans="1:1">
      <c r="A631" s="297"/>
    </row>
    <row r="632" spans="1:1">
      <c r="A632" s="297"/>
    </row>
    <row r="633" spans="1:1">
      <c r="A633" s="297"/>
    </row>
    <row r="634" spans="1:1">
      <c r="A634" s="297"/>
    </row>
    <row r="635" spans="1:1">
      <c r="A635" s="297"/>
    </row>
    <row r="636" spans="1:1">
      <c r="A636" s="297"/>
    </row>
    <row r="637" spans="1:1">
      <c r="A637" s="297"/>
    </row>
    <row r="638" spans="1:1">
      <c r="A638" s="297"/>
    </row>
    <row r="639" spans="1:1">
      <c r="A639" s="297"/>
    </row>
    <row r="640" spans="1:1">
      <c r="A640" s="297"/>
    </row>
    <row r="641" spans="1:1">
      <c r="A641" s="297"/>
    </row>
    <row r="642" spans="1:1">
      <c r="A642" s="297"/>
    </row>
    <row r="643" spans="1:1">
      <c r="A643" s="297"/>
    </row>
    <row r="644" spans="1:1">
      <c r="A644" s="297"/>
    </row>
    <row r="645" spans="1:1">
      <c r="A645" s="297"/>
    </row>
    <row r="646" spans="1:1">
      <c r="A646" s="297"/>
    </row>
    <row r="647" spans="1:1">
      <c r="A647" s="297"/>
    </row>
    <row r="648" spans="1:1">
      <c r="A648" s="297"/>
    </row>
    <row r="649" spans="1:1">
      <c r="A649" s="297"/>
    </row>
    <row r="650" spans="1:1">
      <c r="A650" s="297"/>
    </row>
    <row r="651" spans="1:1">
      <c r="A651" s="297"/>
    </row>
    <row r="652" spans="1:1">
      <c r="A652" s="297"/>
    </row>
    <row r="653" spans="1:1">
      <c r="A653" s="297"/>
    </row>
    <row r="654" spans="1:1">
      <c r="A654" s="297"/>
    </row>
    <row r="655" spans="1:1">
      <c r="A655" s="297"/>
    </row>
    <row r="656" spans="1:1">
      <c r="A656" s="297"/>
    </row>
    <row r="657" spans="1:1">
      <c r="A657" s="297"/>
    </row>
    <row r="658" spans="1:1">
      <c r="A658" s="297"/>
    </row>
    <row r="659" spans="1:1">
      <c r="A659" s="297"/>
    </row>
    <row r="660" spans="1:1">
      <c r="A660" s="297"/>
    </row>
    <row r="661" spans="1:1">
      <c r="A661" s="297"/>
    </row>
    <row r="662" spans="1:1">
      <c r="A662" s="297"/>
    </row>
    <row r="663" spans="1:1">
      <c r="A663" s="297"/>
    </row>
    <row r="664" spans="1:1">
      <c r="A664" s="297"/>
    </row>
    <row r="665" spans="1:1">
      <c r="A665" s="297"/>
    </row>
    <row r="666" spans="1:1">
      <c r="A666" s="297"/>
    </row>
    <row r="667" spans="1:1">
      <c r="A667" s="297"/>
    </row>
    <row r="668" spans="1:1">
      <c r="A668" s="297"/>
    </row>
    <row r="669" spans="1:1">
      <c r="A669" s="297"/>
    </row>
    <row r="670" spans="1:1">
      <c r="A670" s="297"/>
    </row>
    <row r="671" spans="1:1">
      <c r="A671" s="297"/>
    </row>
    <row r="672" spans="1:1">
      <c r="A672" s="297"/>
    </row>
    <row r="673" spans="1:1">
      <c r="A673" s="297"/>
    </row>
    <row r="674" spans="1:1">
      <c r="A674" s="297"/>
    </row>
    <row r="675" spans="1:1">
      <c r="A675" s="297"/>
    </row>
    <row r="676" spans="1:1">
      <c r="A676" s="297"/>
    </row>
    <row r="677" spans="1:1">
      <c r="A677" s="297"/>
    </row>
    <row r="678" spans="1:1">
      <c r="A678" s="297"/>
    </row>
    <row r="679" spans="1:1">
      <c r="A679" s="297"/>
    </row>
    <row r="680" spans="1:1">
      <c r="A680" s="297"/>
    </row>
    <row r="681" spans="1:1">
      <c r="A681" s="297"/>
    </row>
    <row r="682" spans="1:1">
      <c r="A682" s="297"/>
    </row>
    <row r="683" spans="1:1">
      <c r="A683" s="297"/>
    </row>
    <row r="684" spans="1:1">
      <c r="A684" s="297"/>
    </row>
    <row r="685" spans="1:1">
      <c r="A685" s="297"/>
    </row>
    <row r="686" spans="1:1">
      <c r="A686" s="297"/>
    </row>
    <row r="687" spans="1:1">
      <c r="A687" s="297"/>
    </row>
    <row r="688" spans="1:1">
      <c r="A688" s="297"/>
    </row>
    <row r="689" spans="1:1">
      <c r="A689" s="297"/>
    </row>
    <row r="690" spans="1:1">
      <c r="A690" s="297"/>
    </row>
    <row r="691" spans="1:1">
      <c r="A691" s="297"/>
    </row>
    <row r="692" spans="1:1">
      <c r="A692" s="297"/>
    </row>
    <row r="693" spans="1:1">
      <c r="A693" s="297"/>
    </row>
    <row r="694" spans="1:1">
      <c r="A694" s="297"/>
    </row>
    <row r="695" spans="1:1">
      <c r="A695" s="297"/>
    </row>
    <row r="696" spans="1:1">
      <c r="A696" s="297"/>
    </row>
    <row r="697" spans="1:1">
      <c r="A697" s="297"/>
    </row>
    <row r="698" spans="1:1">
      <c r="A698" s="297"/>
    </row>
    <row r="699" spans="1:1">
      <c r="A699" s="297"/>
    </row>
    <row r="700" spans="1:1">
      <c r="A700" s="297"/>
    </row>
    <row r="701" spans="1:1">
      <c r="A701" s="297"/>
    </row>
    <row r="702" spans="1:1">
      <c r="A702" s="297"/>
    </row>
    <row r="703" spans="1:1">
      <c r="A703" s="297"/>
    </row>
    <row r="704" spans="1:1">
      <c r="A704" s="297"/>
    </row>
    <row r="705" spans="1:1">
      <c r="A705" s="297"/>
    </row>
    <row r="706" spans="1:1">
      <c r="A706" s="297"/>
    </row>
    <row r="707" spans="1:1">
      <c r="A707" s="297"/>
    </row>
    <row r="708" spans="1:1">
      <c r="A708" s="297"/>
    </row>
    <row r="709" spans="1:1">
      <c r="A709" s="297"/>
    </row>
    <row r="710" spans="1:1">
      <c r="A710" s="297"/>
    </row>
    <row r="711" spans="1:1">
      <c r="A711" s="297"/>
    </row>
    <row r="712" spans="1:1">
      <c r="A712" s="297"/>
    </row>
    <row r="713" spans="1:1">
      <c r="A713" s="297"/>
    </row>
    <row r="714" spans="1:1">
      <c r="A714" s="297"/>
    </row>
    <row r="715" spans="1:1">
      <c r="A715" s="297"/>
    </row>
    <row r="716" spans="1:1">
      <c r="A716" s="297"/>
    </row>
    <row r="717" spans="1:1">
      <c r="A717" s="297"/>
    </row>
    <row r="718" spans="1:1">
      <c r="A718" s="297"/>
    </row>
    <row r="719" spans="1:1">
      <c r="A719" s="297"/>
    </row>
    <row r="720" spans="1:1">
      <c r="A720" s="297"/>
    </row>
    <row r="721" spans="1:1">
      <c r="A721" s="297"/>
    </row>
    <row r="722" spans="1:1">
      <c r="A722" s="297"/>
    </row>
    <row r="723" spans="1:1">
      <c r="A723" s="297"/>
    </row>
    <row r="724" spans="1:1">
      <c r="A724" s="297"/>
    </row>
    <row r="725" spans="1:1">
      <c r="A725" s="297"/>
    </row>
    <row r="726" spans="1:1">
      <c r="A726" s="297"/>
    </row>
    <row r="727" spans="1:1">
      <c r="A727" s="297"/>
    </row>
    <row r="728" spans="1:1">
      <c r="A728" s="297"/>
    </row>
    <row r="729" spans="1:1">
      <c r="A729" s="297"/>
    </row>
    <row r="730" spans="1:1">
      <c r="A730" s="297"/>
    </row>
    <row r="731" spans="1:1">
      <c r="A731" s="297"/>
    </row>
    <row r="732" spans="1:1">
      <c r="A732" s="297"/>
    </row>
    <row r="733" spans="1:1">
      <c r="A733" s="297"/>
    </row>
    <row r="734" spans="1:1">
      <c r="A734" s="297"/>
    </row>
    <row r="735" spans="1:1">
      <c r="A735" s="297"/>
    </row>
    <row r="736" spans="1:1">
      <c r="A736" s="297"/>
    </row>
    <row r="737" spans="1:1">
      <c r="A737" s="297"/>
    </row>
    <row r="738" spans="1:1">
      <c r="A738" s="297"/>
    </row>
    <row r="739" spans="1:1">
      <c r="A739" s="297"/>
    </row>
    <row r="740" spans="1:1">
      <c r="A740" s="297"/>
    </row>
    <row r="741" spans="1:1">
      <c r="A741" s="297"/>
    </row>
    <row r="742" spans="1:1">
      <c r="A742" s="297"/>
    </row>
    <row r="743" spans="1:1">
      <c r="A743" s="297"/>
    </row>
    <row r="744" spans="1:1">
      <c r="A744" s="297"/>
    </row>
    <row r="745" spans="1:1">
      <c r="A745" s="297"/>
    </row>
    <row r="746" spans="1:1">
      <c r="A746" s="297"/>
    </row>
    <row r="747" spans="1:1">
      <c r="A747" s="297"/>
    </row>
    <row r="748" spans="1:1">
      <c r="A748" s="297"/>
    </row>
    <row r="749" spans="1:1">
      <c r="A749" s="297"/>
    </row>
    <row r="750" spans="1:1">
      <c r="A750" s="297"/>
    </row>
    <row r="751" spans="1:1">
      <c r="A751" s="297"/>
    </row>
    <row r="752" spans="1:1">
      <c r="A752" s="297"/>
    </row>
    <row r="753" spans="1:1">
      <c r="A753" s="297"/>
    </row>
    <row r="754" spans="1:1">
      <c r="A754" s="297"/>
    </row>
    <row r="755" spans="1:1">
      <c r="A755" s="297"/>
    </row>
    <row r="756" spans="1:1">
      <c r="A756" s="297"/>
    </row>
    <row r="757" spans="1:1">
      <c r="A757" s="297"/>
    </row>
    <row r="758" spans="1:1">
      <c r="A758" s="297"/>
    </row>
    <row r="759" spans="1:1">
      <c r="A759" s="297"/>
    </row>
    <row r="760" spans="1:1">
      <c r="A760" s="297"/>
    </row>
    <row r="761" spans="1:1">
      <c r="A761" s="297"/>
    </row>
    <row r="762" spans="1:1">
      <c r="A762" s="297"/>
    </row>
    <row r="763" spans="1:1">
      <c r="A763" s="297"/>
    </row>
    <row r="764" spans="1:1">
      <c r="A764" s="297"/>
    </row>
    <row r="765" spans="1:1">
      <c r="A765" s="297"/>
    </row>
    <row r="766" spans="1:1">
      <c r="A766" s="297"/>
    </row>
    <row r="767" spans="1:1">
      <c r="A767" s="297"/>
    </row>
    <row r="768" spans="1:1">
      <c r="A768" s="297"/>
    </row>
    <row r="769" spans="1:1">
      <c r="A769" s="297"/>
    </row>
    <row r="770" spans="1:1">
      <c r="A770" s="297"/>
    </row>
    <row r="771" spans="1:1">
      <c r="A771" s="297"/>
    </row>
    <row r="772" spans="1:1">
      <c r="A772" s="297"/>
    </row>
    <row r="773" spans="1:1">
      <c r="A773" s="297"/>
    </row>
    <row r="774" spans="1:1">
      <c r="A774" s="297"/>
    </row>
    <row r="775" spans="1:1">
      <c r="A775" s="297"/>
    </row>
    <row r="776" spans="1:1">
      <c r="A776" s="297"/>
    </row>
    <row r="777" spans="1:1">
      <c r="A777" s="297"/>
    </row>
    <row r="778" spans="1:1">
      <c r="A778" s="297"/>
    </row>
    <row r="779" spans="1:1">
      <c r="A779" s="297"/>
    </row>
    <row r="780" spans="1:1">
      <c r="A780" s="297"/>
    </row>
    <row r="781" spans="1:1">
      <c r="A781" s="297"/>
    </row>
    <row r="782" spans="1:1">
      <c r="A782" s="297"/>
    </row>
    <row r="783" spans="1:1">
      <c r="A783" s="297"/>
    </row>
    <row r="784" spans="1:1">
      <c r="A784" s="297"/>
    </row>
    <row r="785" spans="1:1">
      <c r="A785" s="297"/>
    </row>
    <row r="786" spans="1:1">
      <c r="A786" s="297"/>
    </row>
    <row r="787" spans="1:1">
      <c r="A787" s="297"/>
    </row>
    <row r="788" spans="1:1">
      <c r="A788" s="297"/>
    </row>
    <row r="789" spans="1:1">
      <c r="A789" s="297"/>
    </row>
    <row r="790" spans="1:1">
      <c r="A790" s="297"/>
    </row>
    <row r="791" spans="1:1">
      <c r="A791" s="297"/>
    </row>
    <row r="792" spans="1:1">
      <c r="A792" s="297"/>
    </row>
    <row r="793" spans="1:1">
      <c r="A793" s="297"/>
    </row>
    <row r="794" spans="1:1">
      <c r="A794" s="297"/>
    </row>
    <row r="795" spans="1:1">
      <c r="A795" s="297"/>
    </row>
    <row r="796" spans="1:1">
      <c r="A796" s="297"/>
    </row>
    <row r="797" spans="1:1">
      <c r="A797" s="297"/>
    </row>
    <row r="798" spans="1:1">
      <c r="A798" s="297"/>
    </row>
    <row r="799" spans="1:1">
      <c r="A799" s="297"/>
    </row>
    <row r="800" spans="1:1">
      <c r="A800" s="297"/>
    </row>
    <row r="801" spans="1:1">
      <c r="A801" s="297"/>
    </row>
    <row r="802" spans="1:1">
      <c r="A802" s="297"/>
    </row>
    <row r="803" spans="1:1">
      <c r="A803" s="297"/>
    </row>
    <row r="804" spans="1:1">
      <c r="A804" s="297"/>
    </row>
    <row r="805" spans="1:1">
      <c r="A805" s="297"/>
    </row>
    <row r="806" spans="1:1">
      <c r="A806" s="297"/>
    </row>
    <row r="807" spans="1:1">
      <c r="A807" s="297"/>
    </row>
    <row r="808" spans="1:1">
      <c r="A808" s="297"/>
    </row>
    <row r="809" spans="1:1">
      <c r="A809" s="297"/>
    </row>
    <row r="810" spans="1:1">
      <c r="A810" s="297"/>
    </row>
    <row r="811" spans="1:1">
      <c r="A811" s="297"/>
    </row>
    <row r="812" spans="1:1">
      <c r="A812" s="297"/>
    </row>
    <row r="813" spans="1:1">
      <c r="A813" s="297"/>
    </row>
    <row r="814" spans="1:1">
      <c r="A814" s="297"/>
    </row>
    <row r="815" spans="1:1">
      <c r="A815" s="297"/>
    </row>
    <row r="816" spans="1:1">
      <c r="A816" s="297"/>
    </row>
    <row r="817" spans="1:1">
      <c r="A817" s="297"/>
    </row>
    <row r="818" spans="1:1">
      <c r="A818" s="297"/>
    </row>
    <row r="819" spans="1:1">
      <c r="A819" s="297"/>
    </row>
    <row r="820" spans="1:1">
      <c r="A820" s="297"/>
    </row>
    <row r="821" spans="1:1">
      <c r="A821" s="297"/>
    </row>
    <row r="822" spans="1:1">
      <c r="A822" s="297"/>
    </row>
    <row r="823" spans="1:1">
      <c r="A823" s="297"/>
    </row>
    <row r="824" spans="1:1">
      <c r="A824" s="297"/>
    </row>
    <row r="825" spans="1:1">
      <c r="A825" s="297"/>
    </row>
    <row r="826" spans="1:1">
      <c r="A826" s="297"/>
    </row>
    <row r="827" spans="1:1">
      <c r="A827" s="297"/>
    </row>
    <row r="828" spans="1:1">
      <c r="A828" s="297"/>
    </row>
    <row r="829" spans="1:1">
      <c r="A829" s="297"/>
    </row>
    <row r="830" spans="1:1">
      <c r="A830" s="297"/>
    </row>
    <row r="831" spans="1:1">
      <c r="A831" s="297"/>
    </row>
    <row r="832" spans="1:1">
      <c r="A832" s="297"/>
    </row>
    <row r="833" spans="1:1">
      <c r="A833" s="297"/>
    </row>
    <row r="834" spans="1:1">
      <c r="A834" s="297"/>
    </row>
    <row r="835" spans="1:1">
      <c r="A835" s="297"/>
    </row>
    <row r="836" spans="1:1">
      <c r="A836" s="297"/>
    </row>
    <row r="837" spans="1:1">
      <c r="A837" s="297"/>
    </row>
    <row r="838" spans="1:1">
      <c r="A838" s="297"/>
    </row>
    <row r="839" spans="1:1">
      <c r="A839" s="297"/>
    </row>
    <row r="840" spans="1:1">
      <c r="A840" s="297"/>
    </row>
    <row r="841" spans="1:1">
      <c r="A841" s="297"/>
    </row>
    <row r="842" spans="1:1">
      <c r="A842" s="297"/>
    </row>
    <row r="843" spans="1:1">
      <c r="A843" s="297"/>
    </row>
    <row r="844" spans="1:1">
      <c r="A844" s="297"/>
    </row>
    <row r="845" spans="1:1">
      <c r="A845" s="297"/>
    </row>
    <row r="846" spans="1:1">
      <c r="A846" s="297"/>
    </row>
    <row r="847" spans="1:1">
      <c r="A847" s="297"/>
    </row>
    <row r="848" spans="1:1">
      <c r="A848" s="297"/>
    </row>
    <row r="849" spans="1:1">
      <c r="A849" s="297"/>
    </row>
    <row r="850" spans="1:1">
      <c r="A850" s="297"/>
    </row>
    <row r="851" spans="1:1">
      <c r="A851" s="297"/>
    </row>
    <row r="852" spans="1:1">
      <c r="A852" s="297"/>
    </row>
    <row r="853" spans="1:1">
      <c r="A853" s="297"/>
    </row>
    <row r="854" spans="1:1">
      <c r="A854" s="297"/>
    </row>
    <row r="855" spans="1:1">
      <c r="A855" s="297"/>
    </row>
    <row r="856" spans="1:1">
      <c r="A856" s="297"/>
    </row>
    <row r="857" spans="1:1">
      <c r="A857" s="297"/>
    </row>
    <row r="858" spans="1:1">
      <c r="A858" s="297"/>
    </row>
    <row r="859" spans="1:1">
      <c r="A859" s="297"/>
    </row>
    <row r="860" spans="1:1">
      <c r="A860" s="297"/>
    </row>
    <row r="861" spans="1:1">
      <c r="A861" s="297"/>
    </row>
    <row r="862" spans="1:1">
      <c r="A862" s="297"/>
    </row>
    <row r="863" spans="1:1">
      <c r="A863" s="297"/>
    </row>
    <row r="864" spans="1:1">
      <c r="A864" s="297"/>
    </row>
    <row r="865" spans="1:1">
      <c r="A865" s="297"/>
    </row>
    <row r="866" spans="1:1">
      <c r="A866" s="297"/>
    </row>
    <row r="867" spans="1:1">
      <c r="A867" s="297"/>
    </row>
    <row r="868" spans="1:1">
      <c r="A868" s="297"/>
    </row>
    <row r="869" spans="1:1">
      <c r="A869" s="297"/>
    </row>
    <row r="870" spans="1:1">
      <c r="A870" s="297"/>
    </row>
    <row r="871" spans="1:1">
      <c r="A871" s="297"/>
    </row>
    <row r="872" spans="1:1">
      <c r="A872" s="297"/>
    </row>
    <row r="873" spans="1:1">
      <c r="A873" s="297"/>
    </row>
    <row r="874" spans="1:1">
      <c r="A874" s="297"/>
    </row>
    <row r="875" spans="1:1">
      <c r="A875" s="297"/>
    </row>
    <row r="876" spans="1:1">
      <c r="A876" s="297"/>
    </row>
    <row r="877" spans="1:1">
      <c r="A877" s="297"/>
    </row>
    <row r="878" spans="1:1">
      <c r="A878" s="297"/>
    </row>
    <row r="879" spans="1:1">
      <c r="A879" s="297"/>
    </row>
    <row r="880" spans="1:1">
      <c r="A880" s="297"/>
    </row>
    <row r="881" spans="1:1">
      <c r="A881" s="297"/>
    </row>
    <row r="882" spans="1:1">
      <c r="A882" s="297"/>
    </row>
    <row r="883" spans="1:1">
      <c r="A883" s="297"/>
    </row>
    <row r="884" spans="1:1">
      <c r="A884" s="297"/>
    </row>
    <row r="885" spans="1:1">
      <c r="A885" s="297"/>
    </row>
    <row r="886" spans="1:1">
      <c r="A886" s="297"/>
    </row>
    <row r="887" spans="1:1">
      <c r="A887" s="297"/>
    </row>
    <row r="888" spans="1:1">
      <c r="A888" s="297"/>
    </row>
    <row r="889" spans="1:1">
      <c r="A889" s="297"/>
    </row>
    <row r="890" spans="1:1">
      <c r="A890" s="297"/>
    </row>
    <row r="891" spans="1:1">
      <c r="A891" s="297"/>
    </row>
    <row r="892" spans="1:1">
      <c r="A892" s="297"/>
    </row>
    <row r="893" spans="1:1">
      <c r="A893" s="297"/>
    </row>
    <row r="894" spans="1:1">
      <c r="A894" s="297"/>
    </row>
    <row r="895" spans="1:1">
      <c r="A895" s="297"/>
    </row>
    <row r="896" spans="1:1">
      <c r="A896" s="297"/>
    </row>
    <row r="897" spans="1:1">
      <c r="A897" s="297"/>
    </row>
    <row r="898" spans="1:1">
      <c r="A898" s="297"/>
    </row>
    <row r="899" spans="1:1">
      <c r="A899" s="297"/>
    </row>
    <row r="900" spans="1:1">
      <c r="A900" s="297"/>
    </row>
    <row r="901" spans="1:1">
      <c r="A901" s="297"/>
    </row>
    <row r="902" spans="1:1">
      <c r="A902" s="297"/>
    </row>
    <row r="903" spans="1:1">
      <c r="A903" s="297"/>
    </row>
    <row r="904" spans="1:1">
      <c r="A904" s="297"/>
    </row>
    <row r="905" spans="1:1">
      <c r="A905" s="297"/>
    </row>
    <row r="906" spans="1:1">
      <c r="A906" s="297"/>
    </row>
    <row r="907" spans="1:1">
      <c r="A907" s="297"/>
    </row>
    <row r="908" spans="1:1">
      <c r="A908" s="297"/>
    </row>
    <row r="909" spans="1:1">
      <c r="A909" s="297"/>
    </row>
    <row r="910" spans="1:1">
      <c r="A910" s="297"/>
    </row>
    <row r="911" spans="1:1">
      <c r="A911" s="297"/>
    </row>
    <row r="912" spans="1:1">
      <c r="A912" s="297"/>
    </row>
    <row r="913" spans="1:1">
      <c r="A913" s="297"/>
    </row>
    <row r="914" spans="1:1">
      <c r="A914" s="297"/>
    </row>
    <row r="915" spans="1:1">
      <c r="A915" s="297"/>
    </row>
    <row r="916" spans="1:1">
      <c r="A916" s="297"/>
    </row>
    <row r="917" spans="1:1">
      <c r="A917" s="297"/>
    </row>
    <row r="918" spans="1:1">
      <c r="A918" s="297"/>
    </row>
    <row r="919" spans="1:1">
      <c r="A919" s="297"/>
    </row>
    <row r="920" spans="1:1">
      <c r="A920" s="297"/>
    </row>
    <row r="921" spans="1:1">
      <c r="A921" s="297"/>
    </row>
    <row r="922" spans="1:1">
      <c r="A922" s="297"/>
    </row>
    <row r="923" spans="1:1">
      <c r="A923" s="297"/>
    </row>
    <row r="924" spans="1:1">
      <c r="A924" s="297"/>
    </row>
    <row r="925" spans="1:1">
      <c r="A925" s="297"/>
    </row>
    <row r="926" spans="1:1">
      <c r="A926" s="297"/>
    </row>
    <row r="927" spans="1:1">
      <c r="A927" s="297"/>
    </row>
    <row r="928" spans="1:1">
      <c r="A928" s="297"/>
    </row>
    <row r="929" spans="1:1">
      <c r="A929" s="297"/>
    </row>
    <row r="930" spans="1:1">
      <c r="A930" s="297"/>
    </row>
    <row r="931" spans="1:1">
      <c r="A931" s="297"/>
    </row>
    <row r="932" spans="1:1">
      <c r="A932" s="297"/>
    </row>
    <row r="933" spans="1:1">
      <c r="A933" s="297"/>
    </row>
    <row r="934" spans="1:1">
      <c r="A934" s="297"/>
    </row>
    <row r="935" spans="1:1">
      <c r="A935" s="297"/>
    </row>
    <row r="936" spans="1:1">
      <c r="A936" s="297"/>
    </row>
    <row r="937" spans="1:1">
      <c r="A937" s="297"/>
    </row>
    <row r="938" spans="1:1">
      <c r="A938" s="297"/>
    </row>
    <row r="939" spans="1:1">
      <c r="A939" s="297"/>
    </row>
    <row r="940" spans="1:1">
      <c r="A940" s="297"/>
    </row>
    <row r="941" spans="1:1">
      <c r="A941" s="297"/>
    </row>
    <row r="942" spans="1:1">
      <c r="A942" s="297"/>
    </row>
    <row r="943" spans="1:1">
      <c r="A943" s="297"/>
    </row>
    <row r="944" spans="1:1">
      <c r="A944" s="297"/>
    </row>
    <row r="945" spans="1:1">
      <c r="A945" s="297"/>
    </row>
    <row r="946" spans="1:1">
      <c r="A946" s="297"/>
    </row>
    <row r="947" spans="1:1">
      <c r="A947" s="297"/>
    </row>
    <row r="948" spans="1:1">
      <c r="A948" s="297"/>
    </row>
    <row r="949" spans="1:1">
      <c r="A949" s="297"/>
    </row>
    <row r="950" spans="1:1">
      <c r="A950" s="297"/>
    </row>
    <row r="951" spans="1:1">
      <c r="A951" s="297"/>
    </row>
    <row r="952" spans="1:1">
      <c r="A952" s="297"/>
    </row>
    <row r="953" spans="1:1">
      <c r="A953" s="297"/>
    </row>
    <row r="954" spans="1:1">
      <c r="A954" s="297"/>
    </row>
    <row r="955" spans="1:1">
      <c r="A955" s="297"/>
    </row>
    <row r="956" spans="1:1">
      <c r="A956" s="297"/>
    </row>
    <row r="957" spans="1:1">
      <c r="A957" s="297"/>
    </row>
    <row r="958" spans="1:1">
      <c r="A958" s="297"/>
    </row>
    <row r="959" spans="1:1">
      <c r="A959" s="297"/>
    </row>
    <row r="960" spans="1:1">
      <c r="A960" s="297"/>
    </row>
    <row r="961" spans="1:1">
      <c r="A961" s="297"/>
    </row>
    <row r="962" spans="1:1">
      <c r="A962" s="297"/>
    </row>
    <row r="963" spans="1:1">
      <c r="A963" s="297"/>
    </row>
    <row r="964" spans="1:1">
      <c r="A964" s="297"/>
    </row>
    <row r="965" spans="1:1">
      <c r="A965" s="297"/>
    </row>
    <row r="966" spans="1:1">
      <c r="A966" s="297"/>
    </row>
    <row r="967" spans="1:1">
      <c r="A967" s="297"/>
    </row>
    <row r="968" spans="1:1">
      <c r="A968" s="297"/>
    </row>
    <row r="969" spans="1:1">
      <c r="A969" s="297"/>
    </row>
    <row r="970" spans="1:1">
      <c r="A970" s="297"/>
    </row>
    <row r="971" spans="1:1">
      <c r="A971" s="297"/>
    </row>
    <row r="972" spans="1:1">
      <c r="A972" s="297"/>
    </row>
    <row r="973" spans="1:1">
      <c r="A973" s="297"/>
    </row>
    <row r="974" spans="1:1">
      <c r="A974" s="297"/>
    </row>
    <row r="975" spans="1:1">
      <c r="A975" s="297"/>
    </row>
    <row r="976" spans="1:1">
      <c r="A976" s="297"/>
    </row>
    <row r="977" spans="1:1">
      <c r="A977" s="297"/>
    </row>
    <row r="978" spans="1:1">
      <c r="A978" s="297"/>
    </row>
    <row r="979" spans="1:1">
      <c r="A979" s="297"/>
    </row>
    <row r="980" spans="1:1">
      <c r="A980" s="297"/>
    </row>
    <row r="981" spans="1:1">
      <c r="A981" s="297"/>
    </row>
    <row r="982" spans="1:1">
      <c r="A982" s="297"/>
    </row>
    <row r="983" spans="1:1">
      <c r="A983" s="297"/>
    </row>
    <row r="984" spans="1:1">
      <c r="A984" s="297"/>
    </row>
    <row r="985" spans="1:1">
      <c r="A985" s="297"/>
    </row>
    <row r="986" spans="1:1">
      <c r="A986" s="297"/>
    </row>
    <row r="987" spans="1:1">
      <c r="A987" s="297"/>
    </row>
    <row r="988" spans="1:1">
      <c r="A988" s="297"/>
    </row>
    <row r="989" spans="1:1">
      <c r="A989" s="297"/>
    </row>
    <row r="990" spans="1:1">
      <c r="A990" s="297"/>
    </row>
    <row r="991" spans="1:1">
      <c r="A991" s="297"/>
    </row>
    <row r="992" spans="1:1">
      <c r="A992" s="297"/>
    </row>
    <row r="993" spans="1:1">
      <c r="A993" s="297"/>
    </row>
    <row r="994" spans="1:1">
      <c r="A994" s="297"/>
    </row>
    <row r="995" spans="1:1">
      <c r="A995" s="297"/>
    </row>
    <row r="996" spans="1:1">
      <c r="A996" s="297"/>
    </row>
    <row r="997" spans="1:1">
      <c r="A997" s="297"/>
    </row>
    <row r="998" spans="1:1">
      <c r="A998" s="297"/>
    </row>
    <row r="999" spans="1:1">
      <c r="A999" s="297"/>
    </row>
    <row r="1000" spans="1:1">
      <c r="A1000" s="297"/>
    </row>
    <row r="1001" spans="1:1">
      <c r="A1001" s="297"/>
    </row>
    <row r="1002" spans="1:1">
      <c r="A1002" s="297"/>
    </row>
    <row r="1003" spans="1:1">
      <c r="A1003" s="297"/>
    </row>
    <row r="1004" spans="1:1">
      <c r="A1004" s="297"/>
    </row>
    <row r="1005" spans="1:1">
      <c r="A1005" s="297"/>
    </row>
    <row r="1006" spans="1:1">
      <c r="A1006" s="297"/>
    </row>
    <row r="1007" spans="1:1">
      <c r="A1007" s="297"/>
    </row>
    <row r="1008" spans="1:1">
      <c r="A1008" s="297"/>
    </row>
    <row r="1009" spans="1:1">
      <c r="A1009" s="297"/>
    </row>
    <row r="1010" spans="1:1">
      <c r="A1010" s="297"/>
    </row>
    <row r="1011" spans="1:1">
      <c r="A1011" s="297"/>
    </row>
    <row r="1012" spans="1:1">
      <c r="A1012" s="297"/>
    </row>
    <row r="1013" spans="1:1">
      <c r="A1013" s="297"/>
    </row>
    <row r="1014" spans="1:1">
      <c r="A1014" s="297"/>
    </row>
    <row r="1015" spans="1:1">
      <c r="A1015" s="297"/>
    </row>
    <row r="1016" spans="1:1">
      <c r="A1016" s="297"/>
    </row>
    <row r="1017" spans="1:1">
      <c r="A1017" s="297"/>
    </row>
    <row r="1018" spans="1:1">
      <c r="A1018" s="297"/>
    </row>
    <row r="1019" spans="1:1">
      <c r="A1019" s="297"/>
    </row>
    <row r="1020" spans="1:1">
      <c r="A1020" s="297"/>
    </row>
    <row r="1021" spans="1:1">
      <c r="A1021" s="297"/>
    </row>
    <row r="1022" spans="1:1">
      <c r="A1022" s="297"/>
    </row>
    <row r="1023" spans="1:1">
      <c r="A1023" s="297"/>
    </row>
    <row r="1024" spans="1:1">
      <c r="A1024" s="297"/>
    </row>
    <row r="1025" spans="1:1">
      <c r="A1025" s="297"/>
    </row>
    <row r="1026" spans="1:1">
      <c r="A1026" s="297"/>
    </row>
    <row r="1027" spans="1:1">
      <c r="A1027" s="297"/>
    </row>
    <row r="1028" spans="1:1">
      <c r="A1028" s="297"/>
    </row>
    <row r="1029" spans="1:1">
      <c r="A1029" s="297"/>
    </row>
    <row r="1030" spans="1:1">
      <c r="A1030" s="297"/>
    </row>
    <row r="1031" spans="1:1">
      <c r="A1031" s="297"/>
    </row>
    <row r="1032" spans="1:1">
      <c r="A1032" s="297"/>
    </row>
    <row r="1033" spans="1:1">
      <c r="A1033" s="297"/>
    </row>
    <row r="1034" spans="1:1">
      <c r="A1034" s="297"/>
    </row>
    <row r="1035" spans="1:1">
      <c r="A1035" s="297"/>
    </row>
    <row r="1036" spans="1:1">
      <c r="A1036" s="297"/>
    </row>
    <row r="1037" spans="1:1">
      <c r="A1037" s="297"/>
    </row>
    <row r="1038" spans="1:1">
      <c r="A1038" s="297"/>
    </row>
    <row r="1039" spans="1:1">
      <c r="A1039" s="297"/>
    </row>
    <row r="1040" spans="1:1">
      <c r="A1040" s="297"/>
    </row>
    <row r="1041" spans="1:1">
      <c r="A1041" s="297"/>
    </row>
    <row r="1042" spans="1:1">
      <c r="A1042" s="297"/>
    </row>
    <row r="1043" spans="1:1">
      <c r="A1043" s="297"/>
    </row>
    <row r="1044" spans="1:1">
      <c r="A1044" s="297"/>
    </row>
    <row r="1045" spans="1:1">
      <c r="A1045" s="297"/>
    </row>
    <row r="1046" spans="1:1">
      <c r="A1046" s="297"/>
    </row>
    <row r="1047" spans="1:1">
      <c r="A1047" s="297"/>
    </row>
    <row r="1048" spans="1:1">
      <c r="A1048" s="297"/>
    </row>
    <row r="1049" spans="1:1">
      <c r="A1049" s="297"/>
    </row>
    <row r="1050" spans="1:1">
      <c r="A1050" s="297"/>
    </row>
    <row r="1051" spans="1:1">
      <c r="A1051" s="297"/>
    </row>
    <row r="1052" spans="1:1">
      <c r="A1052" s="297"/>
    </row>
    <row r="1053" spans="1:1">
      <c r="A1053" s="297"/>
    </row>
    <row r="1054" spans="1:1">
      <c r="A1054" s="297"/>
    </row>
    <row r="1055" spans="1:1">
      <c r="A1055" s="297"/>
    </row>
    <row r="1056" spans="1:1">
      <c r="A1056" s="297"/>
    </row>
    <row r="1057" spans="1:1">
      <c r="A1057" s="297"/>
    </row>
    <row r="1058" spans="1:1">
      <c r="A1058" s="297"/>
    </row>
    <row r="1059" spans="1:1">
      <c r="A1059" s="297"/>
    </row>
    <row r="1060" spans="1:1">
      <c r="A1060" s="297"/>
    </row>
    <row r="1061" spans="1:1">
      <c r="A1061" s="297"/>
    </row>
    <row r="1062" spans="1:1">
      <c r="A1062" s="297"/>
    </row>
    <row r="1063" spans="1:1">
      <c r="A1063" s="297"/>
    </row>
    <row r="1064" spans="1:1">
      <c r="A1064" s="297"/>
    </row>
    <row r="1065" spans="1:1">
      <c r="A1065" s="297"/>
    </row>
    <row r="1066" spans="1:1">
      <c r="A1066" s="297"/>
    </row>
    <row r="1067" spans="1:1">
      <c r="A1067" s="297"/>
    </row>
    <row r="1068" spans="1:1">
      <c r="A1068" s="297"/>
    </row>
    <row r="1069" spans="1:1">
      <c r="A1069" s="297"/>
    </row>
    <row r="1070" spans="1:1">
      <c r="A1070" s="297"/>
    </row>
    <row r="1071" spans="1:1">
      <c r="A1071" s="297"/>
    </row>
    <row r="1072" spans="1:1">
      <c r="A1072" s="297"/>
    </row>
    <row r="1073" spans="1:1">
      <c r="A1073" s="297"/>
    </row>
    <row r="1074" spans="1:1">
      <c r="A1074" s="297"/>
    </row>
    <row r="1075" spans="1:1">
      <c r="A1075" s="297"/>
    </row>
    <row r="1076" spans="1:1">
      <c r="A1076" s="297"/>
    </row>
    <row r="1077" spans="1:1">
      <c r="A1077" s="297"/>
    </row>
    <row r="1078" spans="1:1">
      <c r="A1078" s="297"/>
    </row>
    <row r="1079" spans="1:1">
      <c r="A1079" s="297"/>
    </row>
    <row r="1080" spans="1:1">
      <c r="A1080" s="297"/>
    </row>
    <row r="1081" spans="1:1">
      <c r="A1081" s="297"/>
    </row>
    <row r="1082" spans="1:1">
      <c r="A1082" s="297"/>
    </row>
    <row r="1083" spans="1:1">
      <c r="A1083" s="297"/>
    </row>
    <row r="1084" spans="1:1">
      <c r="A1084" s="297"/>
    </row>
    <row r="1085" spans="1:1">
      <c r="A1085" s="297"/>
    </row>
    <row r="1086" spans="1:1">
      <c r="A1086" s="297"/>
    </row>
    <row r="1087" spans="1:1">
      <c r="A1087" s="297"/>
    </row>
    <row r="1088" spans="1:1">
      <c r="A1088" s="297"/>
    </row>
    <row r="1089" spans="1:1">
      <c r="A1089" s="297"/>
    </row>
    <row r="1090" spans="1:1">
      <c r="A1090" s="297"/>
    </row>
    <row r="1091" spans="1:1">
      <c r="A1091" s="297"/>
    </row>
    <row r="1092" spans="1:1">
      <c r="A1092" s="297"/>
    </row>
    <row r="1093" spans="1:1">
      <c r="A1093" s="297"/>
    </row>
    <row r="1094" spans="1:1">
      <c r="A1094" s="297"/>
    </row>
    <row r="1095" spans="1:1">
      <c r="A1095" s="297"/>
    </row>
    <row r="1096" spans="1:1">
      <c r="A1096" s="297"/>
    </row>
    <row r="1097" spans="1:1">
      <c r="A1097" s="297"/>
    </row>
    <row r="1098" spans="1:1">
      <c r="A1098" s="297"/>
    </row>
    <row r="1099" spans="1:1">
      <c r="A1099" s="297"/>
    </row>
    <row r="1100" spans="1:1">
      <c r="A1100" s="297"/>
    </row>
    <row r="1101" spans="1:1">
      <c r="A1101" s="297"/>
    </row>
    <row r="1102" spans="1:1">
      <c r="A1102" s="297"/>
    </row>
    <row r="1103" spans="1:1">
      <c r="A1103" s="297"/>
    </row>
    <row r="1104" spans="1:1">
      <c r="A1104" s="297"/>
    </row>
    <row r="1105" spans="1:1">
      <c r="A1105" s="297"/>
    </row>
    <row r="1106" spans="1:1">
      <c r="A1106" s="297"/>
    </row>
    <row r="1107" spans="1:1">
      <c r="A1107" s="297"/>
    </row>
    <row r="1108" spans="1:1">
      <c r="A1108" s="297"/>
    </row>
    <row r="1109" spans="1:1">
      <c r="A1109" s="297"/>
    </row>
    <row r="1110" spans="1:1">
      <c r="A1110" s="297"/>
    </row>
    <row r="1111" spans="1:1">
      <c r="A1111" s="297"/>
    </row>
    <row r="1112" spans="1:1">
      <c r="A1112" s="297"/>
    </row>
    <row r="1113" spans="1:1">
      <c r="A1113" s="297"/>
    </row>
    <row r="1114" spans="1:1">
      <c r="A1114" s="297"/>
    </row>
    <row r="1115" spans="1:1">
      <c r="A1115" s="297"/>
    </row>
    <row r="1116" spans="1:1">
      <c r="A1116" s="297"/>
    </row>
    <row r="1117" spans="1:1">
      <c r="A1117" s="297"/>
    </row>
    <row r="1118" spans="1:1">
      <c r="A1118" s="297"/>
    </row>
    <row r="1119" spans="1:1">
      <c r="A1119" s="297"/>
    </row>
    <row r="1120" spans="1:1">
      <c r="A1120" s="297"/>
    </row>
    <row r="1121" spans="1:1">
      <c r="A1121" s="297"/>
    </row>
    <row r="1122" spans="1:1">
      <c r="A1122" s="297"/>
    </row>
    <row r="1123" spans="1:1">
      <c r="A1123" s="297"/>
    </row>
    <row r="1124" spans="1:1">
      <c r="A1124" s="297"/>
    </row>
    <row r="1125" spans="1:1">
      <c r="A1125" s="297"/>
    </row>
    <row r="1126" spans="1:1">
      <c r="A1126" s="297"/>
    </row>
    <row r="1127" spans="1:1">
      <c r="A1127" s="297"/>
    </row>
    <row r="1128" spans="1:1">
      <c r="A1128" s="297"/>
    </row>
    <row r="1129" spans="1:1">
      <c r="A1129" s="297"/>
    </row>
    <row r="1130" spans="1:1">
      <c r="A1130" s="297"/>
    </row>
    <row r="1131" spans="1:1">
      <c r="A1131" s="297"/>
    </row>
    <row r="1132" spans="1:1">
      <c r="A1132" s="297"/>
    </row>
    <row r="1133" spans="1:1">
      <c r="A1133" s="297"/>
    </row>
    <row r="1134" spans="1:1">
      <c r="A1134" s="297"/>
    </row>
    <row r="1135" spans="1:1">
      <c r="A1135" s="297"/>
    </row>
    <row r="1136" spans="1:1">
      <c r="A1136" s="297"/>
    </row>
    <row r="1137" spans="1:1">
      <c r="A1137" s="297"/>
    </row>
    <row r="1138" spans="1:1">
      <c r="A1138" s="297"/>
    </row>
    <row r="1139" spans="1:1">
      <c r="A1139" s="297"/>
    </row>
    <row r="1140" spans="1:1">
      <c r="A1140" s="297"/>
    </row>
    <row r="1141" spans="1:1">
      <c r="A1141" s="297"/>
    </row>
    <row r="1142" spans="1:1">
      <c r="A1142" s="297"/>
    </row>
    <row r="1143" spans="1:1">
      <c r="A1143" s="297"/>
    </row>
    <row r="1144" spans="1:1">
      <c r="A1144" s="297"/>
    </row>
    <row r="1145" spans="1:1">
      <c r="A1145" s="297"/>
    </row>
    <row r="1146" spans="1:1">
      <c r="A1146" s="297"/>
    </row>
    <row r="1147" spans="1:1">
      <c r="A1147" s="297"/>
    </row>
    <row r="1148" spans="1:1">
      <c r="A1148" s="297"/>
    </row>
    <row r="1149" spans="1:1">
      <c r="A1149" s="297"/>
    </row>
    <row r="1150" spans="1:1">
      <c r="A1150" s="297"/>
    </row>
    <row r="1151" spans="1:1">
      <c r="A1151" s="297"/>
    </row>
    <row r="1152" spans="1:1">
      <c r="A1152" s="297"/>
    </row>
    <row r="1153" spans="1:1">
      <c r="A1153" s="297"/>
    </row>
    <row r="1154" spans="1:1">
      <c r="A1154" s="297"/>
    </row>
    <row r="1155" spans="1:1">
      <c r="A1155" s="297"/>
    </row>
    <row r="1156" spans="1:1">
      <c r="A1156" s="297"/>
    </row>
    <row r="1157" spans="1:1">
      <c r="A1157" s="297"/>
    </row>
    <row r="1158" spans="1:1">
      <c r="A1158" s="297"/>
    </row>
    <row r="1159" spans="1:1">
      <c r="A1159" s="297"/>
    </row>
    <row r="1160" spans="1:1">
      <c r="A1160" s="297"/>
    </row>
    <row r="1161" spans="1:1">
      <c r="A1161" s="297"/>
    </row>
    <row r="1162" spans="1:1">
      <c r="A1162" s="297"/>
    </row>
    <row r="1163" spans="1:1">
      <c r="A1163" s="297"/>
    </row>
    <row r="1164" spans="1:1">
      <c r="A1164" s="297"/>
    </row>
    <row r="1165" spans="1:1">
      <c r="A1165" s="297"/>
    </row>
    <row r="1166" spans="1:1">
      <c r="A1166" s="297"/>
    </row>
    <row r="1167" spans="1:1">
      <c r="A1167" s="297"/>
    </row>
    <row r="1168" spans="1:1">
      <c r="A1168" s="297"/>
    </row>
    <row r="1169" spans="1:1">
      <c r="A1169" s="297"/>
    </row>
    <row r="1170" spans="1:1">
      <c r="A1170" s="297"/>
    </row>
    <row r="1171" spans="1:1">
      <c r="A1171" s="297"/>
    </row>
    <row r="1172" spans="1:1">
      <c r="A1172" s="297"/>
    </row>
    <row r="1173" spans="1:1">
      <c r="A1173" s="297"/>
    </row>
    <row r="1174" spans="1:1">
      <c r="A1174" s="297"/>
    </row>
    <row r="1175" spans="1:1">
      <c r="A1175" s="297"/>
    </row>
    <row r="1176" spans="1:1">
      <c r="A1176" s="297"/>
    </row>
    <row r="1177" spans="1:1">
      <c r="A1177" s="297"/>
    </row>
    <row r="1178" spans="1:1">
      <c r="A1178" s="297"/>
    </row>
    <row r="1179" spans="1:1">
      <c r="A1179" s="297"/>
    </row>
    <row r="1180" spans="1:1">
      <c r="A1180" s="297"/>
    </row>
    <row r="1181" spans="1:1">
      <c r="A1181" s="297"/>
    </row>
    <row r="1182" spans="1:1">
      <c r="A1182" s="297"/>
    </row>
    <row r="1183" spans="1:1">
      <c r="A1183" s="297"/>
    </row>
    <row r="1184" spans="1:1">
      <c r="A1184" s="297"/>
    </row>
    <row r="1185" spans="1:1">
      <c r="A1185" s="297"/>
    </row>
    <row r="1186" spans="1:1">
      <c r="A1186" s="297"/>
    </row>
    <row r="1187" spans="1:1">
      <c r="A1187" s="297"/>
    </row>
    <row r="1188" spans="1:1">
      <c r="A1188" s="297"/>
    </row>
    <row r="1189" spans="1:1">
      <c r="A1189" s="297"/>
    </row>
    <row r="1190" spans="1:1">
      <c r="A1190" s="297"/>
    </row>
    <row r="1191" spans="1:1">
      <c r="A1191" s="297"/>
    </row>
    <row r="1192" spans="1:1">
      <c r="A1192" s="297"/>
    </row>
    <row r="1193" spans="1:1">
      <c r="A1193" s="297"/>
    </row>
    <row r="1194" spans="1:1">
      <c r="A1194" s="297"/>
    </row>
    <row r="1195" spans="1:1">
      <c r="A1195" s="297"/>
    </row>
    <row r="1196" spans="1:1">
      <c r="A1196" s="297"/>
    </row>
    <row r="1197" spans="1:1">
      <c r="A1197" s="297"/>
    </row>
    <row r="1198" spans="1:1">
      <c r="A1198" s="297"/>
    </row>
    <row r="1199" spans="1:1">
      <c r="A1199" s="297"/>
    </row>
    <row r="1200" spans="1:1">
      <c r="A1200" s="297"/>
    </row>
    <row r="1201" spans="1:1">
      <c r="A1201" s="297"/>
    </row>
    <row r="1202" spans="1:1">
      <c r="A1202" s="297"/>
    </row>
    <row r="1203" spans="1:1">
      <c r="A1203" s="297"/>
    </row>
    <row r="1204" spans="1:1">
      <c r="A1204" s="297"/>
    </row>
    <row r="1205" spans="1:1">
      <c r="A1205" s="297"/>
    </row>
    <row r="1206" spans="1:1">
      <c r="A1206" s="297"/>
    </row>
    <row r="1207" spans="1:1">
      <c r="A1207" s="297"/>
    </row>
    <row r="1208" spans="1:1">
      <c r="A1208" s="297"/>
    </row>
    <row r="1209" spans="1:1">
      <c r="A1209" s="297"/>
    </row>
    <row r="1210" spans="1:1">
      <c r="A1210" s="297"/>
    </row>
    <row r="1211" spans="1:1">
      <c r="A1211" s="297"/>
    </row>
    <row r="1212" spans="1:1">
      <c r="A1212" s="297"/>
    </row>
    <row r="1213" spans="1:1">
      <c r="A1213" s="297"/>
    </row>
    <row r="1214" spans="1:1">
      <c r="A1214" s="297"/>
    </row>
    <row r="1215" spans="1:1">
      <c r="A1215" s="297"/>
    </row>
    <row r="1216" spans="1:1">
      <c r="A1216" s="297"/>
    </row>
    <row r="1217" spans="1:1">
      <c r="A1217" s="297"/>
    </row>
    <row r="1218" spans="1:1">
      <c r="A1218" s="297"/>
    </row>
    <row r="1219" spans="1:1">
      <c r="A1219" s="297"/>
    </row>
    <row r="1220" spans="1:1">
      <c r="A1220" s="297"/>
    </row>
    <row r="1221" spans="1:1">
      <c r="A1221" s="297"/>
    </row>
    <row r="1222" spans="1:1">
      <c r="A1222" s="297"/>
    </row>
    <row r="1223" spans="1:1">
      <c r="A1223" s="297"/>
    </row>
    <row r="1224" spans="1:1">
      <c r="A1224" s="297"/>
    </row>
    <row r="1225" spans="1:1">
      <c r="A1225" s="297"/>
    </row>
    <row r="1226" spans="1:1">
      <c r="A1226" s="297"/>
    </row>
    <row r="1227" spans="1:1">
      <c r="A1227" s="297"/>
    </row>
    <row r="1228" spans="1:1">
      <c r="A1228" s="297"/>
    </row>
    <row r="1229" spans="1:1">
      <c r="A1229" s="297"/>
    </row>
    <row r="1230" spans="1:1">
      <c r="A1230" s="297"/>
    </row>
    <row r="1231" spans="1:1">
      <c r="A1231" s="297"/>
    </row>
    <row r="1232" spans="1:1">
      <c r="A1232" s="297"/>
    </row>
    <row r="1233" spans="1:1">
      <c r="A1233" s="297"/>
    </row>
    <row r="1234" spans="1:1">
      <c r="A1234" s="297"/>
    </row>
    <row r="1235" spans="1:1">
      <c r="A1235" s="297"/>
    </row>
    <row r="1236" spans="1:1">
      <c r="A1236" s="297"/>
    </row>
    <row r="1237" spans="1:1">
      <c r="A1237" s="297"/>
    </row>
    <row r="1238" spans="1:1">
      <c r="A1238" s="297"/>
    </row>
    <row r="1239" spans="1:1">
      <c r="A1239" s="297"/>
    </row>
    <row r="1240" spans="1:1">
      <c r="A1240" s="297"/>
    </row>
    <row r="1241" spans="1:1">
      <c r="A1241" s="297"/>
    </row>
    <row r="1242" spans="1:1">
      <c r="A1242" s="297"/>
    </row>
    <row r="1243" spans="1:1">
      <c r="A1243" s="297"/>
    </row>
    <row r="1244" spans="1:1">
      <c r="A1244" s="297"/>
    </row>
    <row r="1245" spans="1:1">
      <c r="A1245" s="297"/>
    </row>
    <row r="1246" spans="1:1">
      <c r="A1246" s="297"/>
    </row>
    <row r="1247" spans="1:1">
      <c r="A1247" s="297"/>
    </row>
    <row r="1248" spans="1:1">
      <c r="A1248" s="297"/>
    </row>
    <row r="1249" spans="1:1">
      <c r="A1249" s="297"/>
    </row>
    <row r="1250" spans="1:1">
      <c r="A1250" s="297"/>
    </row>
    <row r="1251" spans="1:1">
      <c r="A1251" s="297"/>
    </row>
    <row r="1252" spans="1:1">
      <c r="A1252" s="297"/>
    </row>
    <row r="1253" spans="1:1">
      <c r="A1253" s="297"/>
    </row>
    <row r="1254" spans="1:1">
      <c r="A1254" s="297"/>
    </row>
    <row r="1255" spans="1:1">
      <c r="A1255" s="297"/>
    </row>
    <row r="1256" spans="1:1">
      <c r="A1256" s="297"/>
    </row>
    <row r="1257" spans="1:1">
      <c r="A1257" s="297"/>
    </row>
    <row r="1258" spans="1:1">
      <c r="A1258" s="297"/>
    </row>
    <row r="1259" spans="1:1">
      <c r="A1259" s="297"/>
    </row>
    <row r="1260" spans="1:1">
      <c r="A1260" s="297"/>
    </row>
    <row r="1261" spans="1:1">
      <c r="A1261" s="297"/>
    </row>
    <row r="1262" spans="1:1">
      <c r="A1262" s="297"/>
    </row>
    <row r="1263" spans="1:1">
      <c r="A1263" s="297"/>
    </row>
    <row r="1264" spans="1:1">
      <c r="A1264" s="297"/>
    </row>
    <row r="1265" spans="1:1">
      <c r="A1265" s="297"/>
    </row>
    <row r="1266" spans="1:1">
      <c r="A1266" s="297"/>
    </row>
    <row r="1267" spans="1:1">
      <c r="A1267" s="297"/>
    </row>
    <row r="1268" spans="1:1">
      <c r="A1268" s="297"/>
    </row>
    <row r="1269" spans="1:1">
      <c r="A1269" s="297"/>
    </row>
    <row r="1270" spans="1:1">
      <c r="A1270" s="297"/>
    </row>
    <row r="1271" spans="1:1">
      <c r="A1271" s="297"/>
    </row>
    <row r="1272" spans="1:1">
      <c r="A1272" s="297"/>
    </row>
    <row r="1273" spans="1:1">
      <c r="A1273" s="297"/>
    </row>
    <row r="1274" spans="1:1">
      <c r="A1274" s="297"/>
    </row>
    <row r="1275" spans="1:1">
      <c r="A1275" s="297"/>
    </row>
    <row r="1276" spans="1:1">
      <c r="A1276" s="297"/>
    </row>
    <row r="1277" spans="1:1">
      <c r="A1277" s="297"/>
    </row>
    <row r="1278" spans="1:1">
      <c r="A1278" s="297"/>
    </row>
    <row r="1279" spans="1:1">
      <c r="A1279" s="297"/>
    </row>
    <row r="1280" spans="1:1">
      <c r="A1280" s="297"/>
    </row>
    <row r="1281" spans="1:1">
      <c r="A1281" s="297"/>
    </row>
    <row r="1282" spans="1:1">
      <c r="A1282" s="297"/>
    </row>
    <row r="1283" spans="1:1">
      <c r="A1283" s="297"/>
    </row>
    <row r="1284" spans="1:1">
      <c r="A1284" s="297"/>
    </row>
    <row r="1285" spans="1:1">
      <c r="A1285" s="297"/>
    </row>
    <row r="1286" spans="1:1">
      <c r="A1286" s="297"/>
    </row>
    <row r="1287" spans="1:1">
      <c r="A1287" s="297"/>
    </row>
    <row r="1288" spans="1:1">
      <c r="A1288" s="297"/>
    </row>
    <row r="1289" spans="1:1">
      <c r="A1289" s="297"/>
    </row>
    <row r="1290" spans="1:1">
      <c r="A1290" s="297"/>
    </row>
    <row r="1291" spans="1:1">
      <c r="A1291" s="297"/>
    </row>
    <row r="1292" spans="1:1">
      <c r="A1292" s="297"/>
    </row>
    <row r="1293" spans="1:1">
      <c r="A1293" s="297"/>
    </row>
    <row r="1294" spans="1:1">
      <c r="A1294" s="297"/>
    </row>
    <row r="1295" spans="1:1">
      <c r="A1295" s="297"/>
    </row>
    <row r="1296" spans="1:1">
      <c r="A1296" s="297"/>
    </row>
    <row r="1297" spans="1:1">
      <c r="A1297" s="297"/>
    </row>
    <row r="1298" spans="1:1">
      <c r="A1298" s="297"/>
    </row>
    <row r="1299" spans="1:1">
      <c r="A1299" s="297"/>
    </row>
    <row r="1300" spans="1:1">
      <c r="A1300" s="297"/>
    </row>
    <row r="1301" spans="1:1">
      <c r="A1301" s="297"/>
    </row>
    <row r="1302" spans="1:1">
      <c r="A1302" s="297"/>
    </row>
    <row r="1303" spans="1:1">
      <c r="A1303" s="297"/>
    </row>
    <row r="1304" spans="1:1">
      <c r="A1304" s="297"/>
    </row>
    <row r="1305" spans="1:1">
      <c r="A1305" s="297"/>
    </row>
    <row r="1306" spans="1:1">
      <c r="A1306" s="297"/>
    </row>
    <row r="1307" spans="1:1">
      <c r="A1307" s="297"/>
    </row>
    <row r="1308" spans="1:1">
      <c r="A1308" s="297"/>
    </row>
    <row r="1309" spans="1:1">
      <c r="A1309" s="297"/>
    </row>
    <row r="1310" spans="1:1">
      <c r="A1310" s="297"/>
    </row>
    <row r="1311" spans="1:1">
      <c r="A1311" s="297"/>
    </row>
    <row r="1312" spans="1:1">
      <c r="A1312" s="297"/>
    </row>
    <row r="1313" spans="1:1">
      <c r="A1313" s="297"/>
    </row>
    <row r="1314" spans="1:1">
      <c r="A1314" s="297"/>
    </row>
    <row r="1315" spans="1:1">
      <c r="A1315" s="297"/>
    </row>
    <row r="1316" spans="1:1">
      <c r="A1316" s="297"/>
    </row>
    <row r="1317" spans="1:1">
      <c r="A1317" s="297"/>
    </row>
    <row r="1318" spans="1:1">
      <c r="A1318" s="297"/>
    </row>
    <row r="1319" spans="1:1">
      <c r="A1319" s="297"/>
    </row>
    <row r="1320" spans="1:1">
      <c r="A1320" s="297"/>
    </row>
    <row r="1321" spans="1:1">
      <c r="A1321" s="297"/>
    </row>
    <row r="1322" spans="1:1">
      <c r="A1322" s="297"/>
    </row>
    <row r="1323" spans="1:1">
      <c r="A1323" s="297"/>
    </row>
    <row r="1324" spans="1:1">
      <c r="A1324" s="297"/>
    </row>
    <row r="1325" spans="1:1">
      <c r="A1325" s="297"/>
    </row>
    <row r="1326" spans="1:1">
      <c r="A1326" s="297"/>
    </row>
    <row r="1327" spans="1:1">
      <c r="A1327" s="297"/>
    </row>
    <row r="1328" spans="1:1">
      <c r="A1328" s="297"/>
    </row>
    <row r="1329" spans="1:1">
      <c r="A1329" s="297"/>
    </row>
    <row r="1330" spans="1:1">
      <c r="A1330" s="297"/>
    </row>
    <row r="1331" spans="1:1">
      <c r="A1331" s="297"/>
    </row>
    <row r="1332" spans="1:1">
      <c r="A1332" s="297"/>
    </row>
    <row r="1333" spans="1:1">
      <c r="A1333" s="297"/>
    </row>
    <row r="1334" spans="1:1">
      <c r="A1334" s="297"/>
    </row>
    <row r="1335" spans="1:1">
      <c r="A1335" s="297"/>
    </row>
    <row r="1336" spans="1:1">
      <c r="A1336" s="297"/>
    </row>
    <row r="1337" spans="1:1">
      <c r="A1337" s="297"/>
    </row>
    <row r="1338" spans="1:1">
      <c r="A1338" s="297"/>
    </row>
    <row r="1339" spans="1:1">
      <c r="A1339" s="297"/>
    </row>
    <row r="1340" spans="1:1">
      <c r="A1340" s="297"/>
    </row>
    <row r="1341" spans="1:1">
      <c r="A1341" s="297"/>
    </row>
    <row r="1342" spans="1:1">
      <c r="A1342" s="297"/>
    </row>
    <row r="1343" spans="1:1">
      <c r="A1343" s="297"/>
    </row>
    <row r="1344" spans="1:1">
      <c r="A1344" s="297"/>
    </row>
    <row r="1345" spans="1:1">
      <c r="A1345" s="297"/>
    </row>
    <row r="1346" spans="1:1">
      <c r="A1346" s="297"/>
    </row>
    <row r="1347" spans="1:1">
      <c r="A1347" s="297"/>
    </row>
    <row r="1348" spans="1:1">
      <c r="A1348" s="297"/>
    </row>
    <row r="1349" spans="1:1">
      <c r="A1349" s="297"/>
    </row>
    <row r="1350" spans="1:1">
      <c r="A1350" s="297"/>
    </row>
    <row r="1351" spans="1:1">
      <c r="A1351" s="297"/>
    </row>
    <row r="1352" spans="1:1">
      <c r="A1352" s="297"/>
    </row>
    <row r="1353" spans="1:1">
      <c r="A1353" s="297"/>
    </row>
    <row r="1354" spans="1:1">
      <c r="A1354" s="297"/>
    </row>
    <row r="1355" spans="1:1">
      <c r="A1355" s="297"/>
    </row>
    <row r="1356" spans="1:1">
      <c r="A1356" s="297"/>
    </row>
    <row r="1357" spans="1:1">
      <c r="A1357" s="297"/>
    </row>
    <row r="1358" spans="1:1">
      <c r="A1358" s="297"/>
    </row>
    <row r="1359" spans="1:1">
      <c r="A1359" s="297"/>
    </row>
    <row r="1360" spans="1:1">
      <c r="A1360" s="297"/>
    </row>
    <row r="1361" spans="1:1">
      <c r="A1361" s="297"/>
    </row>
    <row r="1362" spans="1:1">
      <c r="A1362" s="297"/>
    </row>
    <row r="1363" spans="1:1">
      <c r="A1363" s="297"/>
    </row>
    <row r="1364" spans="1:1">
      <c r="A1364" s="297"/>
    </row>
    <row r="1365" spans="1:1">
      <c r="A1365" s="297"/>
    </row>
    <row r="1366" spans="1:1">
      <c r="A1366" s="297"/>
    </row>
    <row r="1367" spans="1:1">
      <c r="A1367" s="297"/>
    </row>
    <row r="1368" spans="1:1">
      <c r="A1368" s="297"/>
    </row>
    <row r="1369" spans="1:1">
      <c r="A1369" s="297"/>
    </row>
    <row r="1370" spans="1:1">
      <c r="A1370" s="297"/>
    </row>
  </sheetData>
  <mergeCells count="16">
    <mergeCell ref="D28:E28"/>
    <mergeCell ref="B19:F19"/>
    <mergeCell ref="D23:E23"/>
    <mergeCell ref="A26:B26"/>
    <mergeCell ref="D26:E26"/>
    <mergeCell ref="A27:G27"/>
    <mergeCell ref="B6:C6"/>
    <mergeCell ref="B7:C7"/>
    <mergeCell ref="B9:F9"/>
    <mergeCell ref="B13:F13"/>
    <mergeCell ref="B16:F16"/>
    <mergeCell ref="A1:F1"/>
    <mergeCell ref="A2:B2"/>
    <mergeCell ref="C2:G2"/>
    <mergeCell ref="B4:C4"/>
    <mergeCell ref="B5:F5"/>
  </mergeCells>
  <pageMargins left="0.7" right="0.7" top="0.75" bottom="0.75" header="0.3" footer="0.3"/>
  <pageSetup scale="8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indexed="14"/>
  </sheetPr>
  <dimension ref="A1:BT149"/>
  <sheetViews>
    <sheetView view="pageBreakPreview" zoomScale="115" workbookViewId="0">
      <selection activeCell="F27" sqref="F27:G27"/>
    </sheetView>
  </sheetViews>
  <sheetFormatPr defaultColWidth="8" defaultRowHeight="12.6"/>
  <cols>
    <col min="1" max="1" width="4.33203125" style="180" customWidth="1"/>
    <col min="2" max="2" width="12" style="173" customWidth="1"/>
    <col min="3" max="3" width="7" style="173" customWidth="1"/>
    <col min="4" max="4" width="8.6640625" style="173" customWidth="1"/>
    <col min="5" max="5" width="8.5546875" style="173" customWidth="1"/>
    <col min="6" max="6" width="9.5546875" style="180" customWidth="1"/>
    <col min="7" max="7" width="10.33203125" style="180" customWidth="1"/>
    <col min="8" max="8" width="9.5546875" style="173" customWidth="1"/>
    <col min="9" max="9" width="8.88671875" style="173" customWidth="1"/>
    <col min="10" max="10" width="14.5546875" style="173" customWidth="1"/>
    <col min="11" max="11" width="12.33203125" style="179" customWidth="1"/>
    <col min="12" max="12" width="15.6640625" style="173" customWidth="1"/>
    <col min="13" max="13" width="22.88671875" style="173" customWidth="1"/>
    <col min="14" max="14" width="12" style="173" customWidth="1"/>
    <col min="15" max="15" width="8" style="173"/>
    <col min="16" max="16" width="12.6640625" style="173" customWidth="1"/>
    <col min="17" max="16384" width="8" style="173"/>
  </cols>
  <sheetData>
    <row r="1" spans="1:21" ht="20.25" customHeight="1">
      <c r="A1" s="4184"/>
      <c r="B1" s="4184"/>
      <c r="C1" s="4184"/>
      <c r="D1" s="4184"/>
      <c r="E1" s="4184"/>
      <c r="F1" s="4184"/>
      <c r="G1" s="4184"/>
      <c r="H1" s="4184"/>
      <c r="I1" s="4184"/>
      <c r="J1" s="4184"/>
      <c r="L1" s="206" t="s">
        <v>1969</v>
      </c>
      <c r="M1" s="206" t="s">
        <v>1970</v>
      </c>
      <c r="P1" s="207"/>
      <c r="Q1" s="190"/>
      <c r="R1" s="207" t="s">
        <v>1971</v>
      </c>
      <c r="S1" s="190"/>
      <c r="T1" s="190"/>
    </row>
    <row r="2" spans="1:21" ht="20.25" customHeight="1">
      <c r="A2" s="4184"/>
      <c r="B2" s="4184"/>
      <c r="C2" s="4184"/>
      <c r="D2" s="4184"/>
      <c r="E2" s="4184"/>
      <c r="F2" s="4184"/>
      <c r="G2" s="4184"/>
      <c r="H2" s="4184"/>
      <c r="I2" s="4184"/>
      <c r="J2" s="4184"/>
      <c r="L2" s="208" t="str">
        <f>L1&amp;"/"&amp;M1&amp;"/"&amp;N4&amp;"/2017-18"</f>
        <v>W11/DEE-III/KMM-0-SDF-GoRT.No.309-Sl.No-167/2017-18</v>
      </c>
      <c r="M2" s="190"/>
      <c r="P2" s="209"/>
      <c r="Q2" s="253"/>
      <c r="R2" s="254" t="s">
        <v>1972</v>
      </c>
      <c r="S2" s="217"/>
    </row>
    <row r="3" spans="1:21" ht="25.2">
      <c r="A3" s="4184"/>
      <c r="B3" s="4184"/>
      <c r="C3" s="4184"/>
      <c r="D3" s="4184"/>
      <c r="E3" s="4184"/>
      <c r="F3" s="4184"/>
      <c r="G3" s="4184"/>
      <c r="H3" s="4184"/>
      <c r="I3" s="4184"/>
      <c r="J3" s="4184"/>
      <c r="K3" s="210" t="s">
        <v>437</v>
      </c>
      <c r="L3" s="211" t="str">
        <f>'Input Data'!E1</f>
        <v>C/o HLB on R/F Amlikunta to Gundumal of Gundumal Mandal of Narayanept District.</v>
      </c>
      <c r="M3" s="212"/>
      <c r="N3" s="213"/>
      <c r="O3" s="213"/>
      <c r="P3" s="213"/>
      <c r="Q3" s="213"/>
      <c r="R3" s="212"/>
      <c r="S3" s="255"/>
    </row>
    <row r="4" spans="1:21" ht="17.25" customHeight="1">
      <c r="A4" s="4184"/>
      <c r="B4" s="4184"/>
      <c r="C4" s="4184"/>
      <c r="D4" s="4184"/>
      <c r="E4" s="4184"/>
      <c r="F4" s="4184"/>
      <c r="G4" s="4184"/>
      <c r="H4" s="4184"/>
      <c r="I4" s="4184"/>
      <c r="J4" s="4184"/>
      <c r="K4" s="210" t="s">
        <v>439</v>
      </c>
      <c r="L4" s="214">
        <f>'Input Data'!J4</f>
        <v>500</v>
      </c>
      <c r="M4" s="215"/>
      <c r="N4" s="216" t="str">
        <f>L8&amp;"-"&amp;L9&amp;"-"&amp;K9&amp;"-GoRT.No."&amp;M6&amp;"-Sl.No-"&amp;N6</f>
        <v>KMM-0-SDF-GoRT.No.309-Sl.No-167</v>
      </c>
      <c r="O4" s="215"/>
      <c r="P4" s="217"/>
      <c r="Q4" s="217"/>
      <c r="R4" s="217"/>
    </row>
    <row r="5" spans="1:21">
      <c r="A5" s="4184"/>
      <c r="B5" s="4184"/>
      <c r="C5" s="4184"/>
      <c r="D5" s="4184"/>
      <c r="E5" s="4184"/>
      <c r="F5" s="4184"/>
      <c r="G5" s="4184"/>
      <c r="H5" s="4184"/>
      <c r="I5" s="4184"/>
      <c r="J5" s="4184"/>
      <c r="K5" s="210" t="s">
        <v>388</v>
      </c>
      <c r="L5" s="218" t="str">
        <f>'Input Data'!D7</f>
        <v>Kosgi</v>
      </c>
      <c r="M5" s="219" t="s">
        <v>1973</v>
      </c>
      <c r="N5" s="219" t="s">
        <v>459</v>
      </c>
      <c r="O5" s="219"/>
      <c r="P5" s="219" t="s">
        <v>1974</v>
      </c>
      <c r="Q5" s="256"/>
      <c r="R5" s="257"/>
    </row>
    <row r="6" spans="1:21" ht="12.75" customHeight="1">
      <c r="A6" s="4184"/>
      <c r="B6" s="4184"/>
      <c r="C6" s="4184"/>
      <c r="D6" s="4184"/>
      <c r="E6" s="4184"/>
      <c r="F6" s="4184"/>
      <c r="G6" s="4184"/>
      <c r="H6" s="4184"/>
      <c r="I6" s="4184"/>
      <c r="J6" s="4184"/>
      <c r="K6" s="210" t="s">
        <v>444</v>
      </c>
      <c r="L6" s="218" t="str">
        <f>'Input Data'!D4</f>
        <v>Narayanpet</v>
      </c>
      <c r="M6" s="220">
        <f>'Input Data'!K3</f>
        <v>309</v>
      </c>
      <c r="N6" s="220">
        <f>'Input Data'!M3</f>
        <v>167</v>
      </c>
      <c r="O6" s="221"/>
      <c r="P6" s="2072" t="str">
        <f>'Input Data'!L3</f>
        <v>28.11.2024</v>
      </c>
      <c r="Q6" s="257"/>
      <c r="R6" s="257"/>
      <c r="T6" s="258"/>
    </row>
    <row r="7" spans="1:21" ht="18" customHeight="1">
      <c r="A7" s="4184"/>
      <c r="B7" s="4184"/>
      <c r="C7" s="4184"/>
      <c r="D7" s="4184"/>
      <c r="E7" s="4184"/>
      <c r="F7" s="4184"/>
      <c r="G7" s="4184"/>
      <c r="H7" s="4184"/>
      <c r="I7" s="4184"/>
      <c r="J7" s="4184"/>
      <c r="K7" s="210" t="s">
        <v>1975</v>
      </c>
      <c r="L7" s="218" t="str">
        <f>'Input Data'!D3</f>
        <v>Vikarabad</v>
      </c>
      <c r="M7" s="222" t="s">
        <v>1976</v>
      </c>
      <c r="N7" s="223" t="s">
        <v>1977</v>
      </c>
      <c r="O7" s="224"/>
      <c r="P7" s="224"/>
      <c r="Q7" s="224"/>
      <c r="R7" s="255"/>
      <c r="S7" s="259"/>
      <c r="T7" s="260"/>
    </row>
    <row r="8" spans="1:21" ht="34.5" customHeight="1">
      <c r="A8" s="4184"/>
      <c r="B8" s="4184"/>
      <c r="C8" s="4184"/>
      <c r="D8" s="4184"/>
      <c r="E8" s="4184"/>
      <c r="F8" s="4184"/>
      <c r="G8" s="4184"/>
      <c r="H8" s="4184"/>
      <c r="I8" s="4184"/>
      <c r="J8" s="4184"/>
      <c r="K8" s="210"/>
      <c r="L8" s="225" t="str">
        <f>'Input Data'!E3</f>
        <v>KMM</v>
      </c>
      <c r="M8" s="226" t="s">
        <v>1978</v>
      </c>
      <c r="N8" s="4068" t="str">
        <f>"NIT.No."&amp;N9&amp;" Dt: 18-8-.2018 for 1st  Call"</f>
        <v>NIT.No.- Dt: 18-8-.2018 for 1st  Call</v>
      </c>
      <c r="O8" s="4069"/>
      <c r="P8" s="4069"/>
      <c r="Q8" s="4069"/>
      <c r="R8" s="4070"/>
    </row>
    <row r="9" spans="1:21" ht="16.2">
      <c r="A9" s="4184"/>
      <c r="B9" s="4184"/>
      <c r="C9" s="4184"/>
      <c r="D9" s="4184"/>
      <c r="E9" s="4184"/>
      <c r="F9" s="4184"/>
      <c r="G9" s="4184"/>
      <c r="H9" s="4184"/>
      <c r="I9" s="4184"/>
      <c r="J9" s="4184"/>
      <c r="K9" s="225" t="str">
        <f>'Input Data'!I6</f>
        <v>SDF</v>
      </c>
      <c r="L9" s="225">
        <f>'Input Data'!H7</f>
        <v>0</v>
      </c>
      <c r="M9" s="227" t="s">
        <v>1979</v>
      </c>
      <c r="N9" s="228" t="str">
        <f>'Input Data'!L5</f>
        <v>-</v>
      </c>
      <c r="O9" s="4071"/>
      <c r="P9" s="4072"/>
      <c r="Q9" s="4072"/>
      <c r="R9" s="4073"/>
      <c r="S9" s="261"/>
      <c r="T9" s="261"/>
      <c r="U9" s="261"/>
    </row>
    <row r="10" spans="1:21" ht="16.5" customHeight="1">
      <c r="A10" s="4184"/>
      <c r="B10" s="4184"/>
      <c r="C10" s="4184"/>
      <c r="D10" s="4184"/>
      <c r="E10" s="4184"/>
      <c r="F10" s="4184"/>
      <c r="G10" s="4184"/>
      <c r="H10" s="4184"/>
      <c r="I10" s="4184"/>
      <c r="J10" s="4184"/>
      <c r="K10" s="225"/>
      <c r="L10" s="225" t="str">
        <f>'Input Data'!I7</f>
        <v>2024-25</v>
      </c>
      <c r="M10" s="226" t="s">
        <v>1980</v>
      </c>
      <c r="N10" s="4197" t="s">
        <v>1981</v>
      </c>
      <c r="O10" s="4198"/>
      <c r="P10" s="4198"/>
      <c r="Q10" s="4198"/>
      <c r="R10" s="4199"/>
      <c r="S10" s="261"/>
      <c r="T10" s="261"/>
      <c r="U10" s="261"/>
    </row>
    <row r="11" spans="1:21" ht="17.25" customHeight="1">
      <c r="A11" s="4184"/>
      <c r="B11" s="4184"/>
      <c r="C11" s="4184"/>
      <c r="D11" s="4184"/>
      <c r="E11" s="4184"/>
      <c r="F11" s="4184"/>
      <c r="G11" s="4184"/>
      <c r="H11" s="4184"/>
      <c r="I11" s="4184"/>
      <c r="J11" s="4184"/>
      <c r="K11" s="219" t="s">
        <v>330</v>
      </c>
      <c r="L11" s="229">
        <f>'Schedule-A'!H53</f>
        <v>37923452</v>
      </c>
      <c r="M11" s="230"/>
      <c r="N11" s="4200"/>
      <c r="O11" s="4201"/>
      <c r="P11" s="4201"/>
      <c r="Q11" s="4201"/>
      <c r="R11" s="4202"/>
      <c r="S11" s="230"/>
      <c r="T11" s="230"/>
      <c r="U11" s="230"/>
    </row>
    <row r="12" spans="1:21" ht="27.75" customHeight="1">
      <c r="A12" s="4184"/>
      <c r="B12" s="4184"/>
      <c r="C12" s="4184"/>
      <c r="D12" s="4184"/>
      <c r="E12" s="4184"/>
      <c r="F12" s="4184"/>
      <c r="G12" s="4184"/>
      <c r="H12" s="4184"/>
      <c r="I12" s="4184"/>
      <c r="J12" s="4184"/>
      <c r="K12" s="231" t="s">
        <v>1982</v>
      </c>
      <c r="L12" s="232">
        <v>12</v>
      </c>
      <c r="M12" s="233" t="s">
        <v>1983</v>
      </c>
      <c r="N12" s="4203"/>
      <c r="O12" s="4204"/>
      <c r="P12" s="4204"/>
      <c r="Q12" s="4204"/>
      <c r="R12" s="4205"/>
      <c r="S12" s="230"/>
      <c r="T12" s="230"/>
      <c r="U12" s="230"/>
    </row>
    <row r="13" spans="1:21" ht="30" customHeight="1">
      <c r="B13" s="4074" t="s">
        <v>1984</v>
      </c>
      <c r="C13" s="4074"/>
      <c r="D13" s="4074"/>
      <c r="E13" s="4074"/>
      <c r="F13" s="4074"/>
      <c r="G13" s="4074"/>
      <c r="H13" s="4074"/>
      <c r="I13" s="4074"/>
      <c r="J13" s="4074"/>
      <c r="K13" s="234"/>
      <c r="M13" s="235" t="s">
        <v>1985</v>
      </c>
    </row>
    <row r="14" spans="1:21" ht="26.25" customHeight="1">
      <c r="B14" s="4075" t="str">
        <f>"Note file.No. "&amp;$L$2</f>
        <v>Note file.No. W11/DEE-III/KMM-0-SDF-GoRT.No.309-Sl.No-167/2017-18</v>
      </c>
      <c r="C14" s="4075"/>
      <c r="D14" s="4075"/>
      <c r="E14" s="4075"/>
      <c r="F14" s="4075"/>
      <c r="G14" s="4075"/>
      <c r="H14" s="4075"/>
      <c r="I14" s="4075"/>
      <c r="J14" s="4075"/>
      <c r="K14" s="234"/>
    </row>
    <row r="15" spans="1:21" ht="39" customHeight="1">
      <c r="B15" s="181" t="s">
        <v>436</v>
      </c>
      <c r="C15" s="4076" t="str">
        <f>"PR Circle-"&amp;$L$7&amp;"-Dist:"&amp;$L$6&amp;"-"&amp;$L$9&amp;"-"&amp;$K$9&amp;"-"&amp;$L$10&amp;" - "&amp;$L$3&amp;"- Estt.Cost.Rs."&amp;$L$4&amp;".00 Lakhs Tender Submitted for Approval - regarding"</f>
        <v>PR Circle-Vikarabad-Dist:Narayanpet-0-SDF-2024-25 - C/o HLB on R/F Amlikunta to Gundumal of Gundumal Mandal of Narayanept District.- Estt.Cost.Rs.500.00 Lakhs Tender Submitted for Approval - regarding</v>
      </c>
      <c r="D15" s="4076"/>
      <c r="E15" s="4076"/>
      <c r="F15" s="4076"/>
      <c r="G15" s="4076"/>
      <c r="H15" s="4076"/>
      <c r="I15" s="4076"/>
      <c r="J15" s="4076"/>
      <c r="K15" s="234"/>
    </row>
    <row r="16" spans="1:21" ht="27.75" customHeight="1">
      <c r="A16" s="4184"/>
      <c r="B16" s="4185" t="s">
        <v>438</v>
      </c>
      <c r="C16" s="4077" t="str">
        <f>"1).GoRt.No."&amp;M6&amp;" dt:"&amp;P6&amp;" of  PR&amp;RD (Prog-I)Dept, of Govt. Of Telangana-"&amp;"Sl.No."&amp;N6</f>
        <v>1).GoRt.No.309 dt:28.11.2024 of  PR&amp;RD (Prog-I)Dept, of Govt. Of Telangana-Sl.No.167</v>
      </c>
      <c r="D16" s="4077"/>
      <c r="E16" s="4077"/>
      <c r="F16" s="4077"/>
      <c r="G16" s="4077"/>
      <c r="H16" s="4077"/>
      <c r="I16" s="4077"/>
      <c r="J16" s="4077"/>
      <c r="K16" s="234"/>
    </row>
    <row r="17" spans="1:13" ht="27" customHeight="1">
      <c r="A17" s="4184"/>
      <c r="B17" s="4185"/>
      <c r="C17" s="4077" t="str">
        <f>"2).SE,PR "&amp;L8&amp;","&amp;" "&amp;$N$8</f>
        <v>2).SE,PR KMM, NIT.No.- Dt: 18-8-.2018 for 1st  Call</v>
      </c>
      <c r="D17" s="4077"/>
      <c r="E17" s="4077"/>
      <c r="F17" s="4077"/>
      <c r="G17" s="4077"/>
      <c r="H17" s="4077"/>
      <c r="I17" s="4077"/>
      <c r="J17" s="4077"/>
      <c r="K17" s="234"/>
    </row>
    <row r="18" spans="1:13" ht="15" customHeight="1">
      <c r="B18" s="183"/>
      <c r="C18" s="4077" t="str">
        <f>"3). SE,PR,"&amp;L8&amp;"-"&amp;N7</f>
        <v>3). SE,PR,KMM-Lr.No.T3/737/CRR/Guntipally/2017-18, dt:  29.3.2018</v>
      </c>
      <c r="D18" s="4077"/>
      <c r="E18" s="4077"/>
      <c r="F18" s="4077"/>
      <c r="G18" s="4077"/>
      <c r="H18" s="4077"/>
      <c r="I18" s="4077"/>
      <c r="J18" s="4077"/>
      <c r="K18" s="234"/>
    </row>
    <row r="19" spans="1:13" ht="15" customHeight="1">
      <c r="B19" s="183"/>
      <c r="C19" s="4078" t="s">
        <v>1986</v>
      </c>
      <c r="D19" s="4078"/>
      <c r="E19" s="4078"/>
      <c r="F19" s="4078"/>
      <c r="G19" s="4078"/>
      <c r="H19" s="4078"/>
      <c r="I19" s="4078"/>
      <c r="J19" s="4078"/>
      <c r="K19" s="234"/>
    </row>
    <row r="20" spans="1:13" ht="15" customHeight="1">
      <c r="B20" s="183"/>
      <c r="C20" s="4078" t="s">
        <v>1987</v>
      </c>
      <c r="D20" s="4078"/>
      <c r="E20" s="4078"/>
      <c r="F20" s="4078"/>
      <c r="G20" s="4078"/>
      <c r="H20" s="4078"/>
      <c r="I20" s="4078"/>
      <c r="J20" s="4078"/>
      <c r="K20" s="234"/>
    </row>
    <row r="21" spans="1:13" ht="15" customHeight="1">
      <c r="B21" s="183"/>
      <c r="C21" s="4078" t="s">
        <v>1988</v>
      </c>
      <c r="D21" s="4078"/>
      <c r="E21" s="4078"/>
      <c r="F21" s="4078"/>
      <c r="G21" s="4078"/>
      <c r="H21" s="4078"/>
      <c r="I21" s="4078"/>
      <c r="J21" s="4078"/>
      <c r="K21" s="234"/>
    </row>
    <row r="22" spans="1:13" ht="13.5" customHeight="1">
      <c r="B22" s="4079"/>
      <c r="C22" s="4079"/>
      <c r="D22" s="4079"/>
      <c r="E22" s="4080" t="s">
        <v>443</v>
      </c>
      <c r="F22" s="4081"/>
      <c r="G22" s="4081"/>
      <c r="H22" s="4079"/>
      <c r="I22" s="4079"/>
      <c r="J22" s="4079"/>
      <c r="K22" s="234"/>
    </row>
    <row r="23" spans="1:13" ht="13.8">
      <c r="B23" s="4082" t="s">
        <v>446</v>
      </c>
      <c r="C23" s="4082"/>
      <c r="D23" s="4082"/>
      <c r="E23" s="4082"/>
      <c r="F23" s="4082"/>
      <c r="G23" s="4082"/>
      <c r="H23" s="4082"/>
      <c r="I23" s="4082"/>
      <c r="J23" s="4082"/>
      <c r="K23" s="234"/>
    </row>
    <row r="24" spans="1:13" ht="84.75" customHeight="1">
      <c r="B24" s="4076" t="s">
        <v>1989</v>
      </c>
      <c r="C24" s="4076"/>
      <c r="D24" s="4076"/>
      <c r="E24" s="4076"/>
      <c r="F24" s="4076"/>
      <c r="G24" s="4076"/>
      <c r="H24" s="4076"/>
      <c r="I24" s="4076"/>
      <c r="J24" s="4076"/>
      <c r="K24" s="234"/>
    </row>
    <row r="25" spans="1:13" ht="80.25" customHeight="1">
      <c r="A25" s="185"/>
      <c r="B25" s="4076" t="str">
        <f>"                    Kindly peruse the ref. 3rd  cited where in the SE (PR)"&amp;L7&amp;" has submitted the Bid evaluation report along with relevent certificates,"&amp;" down loaded tender documents  of  the above work for which tenders is invited vide in the ref. 2nd cited, and recomonded  the  successful L1 bidder  of "&amp;B35&amp;"  who has quoted @ "&amp;I35&amp;" than the estimated rates  of "&amp;M13&amp;" for ECV of Rs."&amp;E35&amp;".00 and with a TCV of Rs."&amp;G35&amp;".00 in 1st Call."</f>
        <v xml:space="preserve">                    Kindly peruse the ref. 3rd  cited where in the SE (PR)Vikarabad has submitted the Bid evaluation report along with relevent certificates, down loaded tender documents  of  the above work for which tenders is invited vide in the ref. 2nd cited, and recomonded  the  successful L1 bidder  of Sri.J.Aswarthulu  who has quoted @ 6.78% Less than the estimated rates  of SSR-2018-19 for ECV of Rs.37923452.00 and with a TCV of Rs.8888001.24.00 in 1st Call.</v>
      </c>
      <c r="C25" s="4076"/>
      <c r="D25" s="4076"/>
      <c r="E25" s="4076"/>
      <c r="F25" s="4076"/>
      <c r="G25" s="4076"/>
      <c r="H25" s="4076"/>
      <c r="I25" s="4076"/>
      <c r="J25" s="4076"/>
      <c r="K25" s="234"/>
      <c r="M25" s="173">
        <f>3700+2500</f>
        <v>6200</v>
      </c>
    </row>
    <row r="26" spans="1:13" ht="59.25" customHeight="1">
      <c r="B26" s="4083" t="str">
        <f>"                     The tenders are invited through ‘e’ procurement plot form vide tender notice No. in the ref, 2nd cited for "&amp;M12&amp;". The tender Notice was published in daily news paper of  "&amp;N10&amp;"   published through ‘e’ procurement with the following dates."</f>
        <v xml:space="preserve">                     The tenders are invited through ‘e’ procurement plot form vide tender notice No. in the ref, 2nd cited for 1st Call.. The tender Notice was published in daily news paper of  Eenadu ( Telugu) dt: 22-8-2018 &amp; The Times of India (English) dt. 22-8-2018   published through ‘e’ procurement with the following dates.</v>
      </c>
      <c r="C26" s="4083"/>
      <c r="D26" s="4083"/>
      <c r="E26" s="4083"/>
      <c r="F26" s="4083"/>
      <c r="G26" s="4083"/>
      <c r="H26" s="4083"/>
      <c r="I26" s="4083"/>
      <c r="J26" s="4083"/>
      <c r="K26" s="234"/>
    </row>
    <row r="27" spans="1:13" ht="19.5" customHeight="1">
      <c r="B27" s="186" t="s">
        <v>1990</v>
      </c>
      <c r="C27" s="187"/>
      <c r="D27" s="187"/>
      <c r="E27" s="188"/>
      <c r="F27" s="4084">
        <v>43168</v>
      </c>
      <c r="G27" s="4084"/>
      <c r="H27" s="189">
        <v>11</v>
      </c>
      <c r="I27" s="4085" t="s">
        <v>1991</v>
      </c>
      <c r="J27" s="4085"/>
      <c r="K27" s="234"/>
    </row>
    <row r="28" spans="1:13" ht="19.5" customHeight="1">
      <c r="B28" s="186" t="s">
        <v>1992</v>
      </c>
      <c r="C28" s="190"/>
      <c r="D28" s="190"/>
      <c r="E28" s="188"/>
      <c r="F28" s="4084">
        <v>43175</v>
      </c>
      <c r="G28" s="4084"/>
      <c r="H28" s="189">
        <v>4</v>
      </c>
      <c r="I28" s="4085" t="s">
        <v>1993</v>
      </c>
      <c r="J28" s="4085"/>
      <c r="K28" s="234"/>
    </row>
    <row r="29" spans="1:13" ht="19.5" customHeight="1">
      <c r="B29" s="186" t="s">
        <v>1994</v>
      </c>
      <c r="C29" s="190"/>
      <c r="D29" s="190"/>
      <c r="E29" s="188"/>
      <c r="F29" s="4086">
        <f>F28</f>
        <v>43175</v>
      </c>
      <c r="G29" s="4086"/>
      <c r="H29" s="189">
        <v>5</v>
      </c>
      <c r="I29" s="4085" t="s">
        <v>1993</v>
      </c>
      <c r="J29" s="4085"/>
      <c r="K29" s="234"/>
    </row>
    <row r="30" spans="1:13" ht="19.5" customHeight="1">
      <c r="B30" s="186" t="s">
        <v>1995</v>
      </c>
      <c r="C30" s="190"/>
      <c r="D30" s="190"/>
      <c r="E30" s="188"/>
      <c r="F30" s="4084">
        <v>43176</v>
      </c>
      <c r="G30" s="4084"/>
      <c r="H30" s="189">
        <v>11</v>
      </c>
      <c r="I30" s="236" t="str">
        <f>"AM By SE PR"&amp;$L$7</f>
        <v>AM By SE PRVikarabad</v>
      </c>
      <c r="J30" s="188"/>
      <c r="K30" s="234"/>
    </row>
    <row r="31" spans="1:13" ht="19.5" customHeight="1">
      <c r="B31" s="186" t="s">
        <v>1996</v>
      </c>
      <c r="C31" s="190"/>
      <c r="D31" s="190"/>
      <c r="E31" s="188"/>
      <c r="F31" s="4084">
        <v>43179</v>
      </c>
      <c r="G31" s="4084"/>
      <c r="H31" s="189">
        <v>11</v>
      </c>
      <c r="I31" s="236" t="str">
        <f>"AM  By SE PR"&amp;$L$7</f>
        <v>AM  By SE PRVikarabad</v>
      </c>
      <c r="J31" s="188"/>
      <c r="K31" s="234"/>
    </row>
    <row r="32" spans="1:13" ht="19.5" customHeight="1">
      <c r="B32" s="186" t="s">
        <v>1997</v>
      </c>
      <c r="C32" s="190"/>
      <c r="D32" s="190"/>
      <c r="E32" s="188"/>
      <c r="F32" s="4087">
        <f>L12</f>
        <v>12</v>
      </c>
      <c r="G32" s="4088"/>
      <c r="H32" s="189"/>
      <c r="I32" s="236" t="s">
        <v>1998</v>
      </c>
      <c r="J32" s="188"/>
      <c r="K32" s="234"/>
    </row>
    <row r="33" spans="1:14" s="174" customFormat="1" ht="39" customHeight="1">
      <c r="A33" s="191"/>
      <c r="B33" s="4089" t="str">
        <f>"                 In response to the above"&amp;M12&amp;"  tender notice, the following tenders  were  received and the details are as below."</f>
        <v xml:space="preserve">                 In response to the above1st Call.  tender notice, the following tenders  were  received and the details are as below.</v>
      </c>
      <c r="C33" s="4089"/>
      <c r="D33" s="4089"/>
      <c r="E33" s="4089"/>
      <c r="F33" s="4089"/>
      <c r="G33" s="4089"/>
      <c r="H33" s="4089"/>
      <c r="I33" s="4089"/>
      <c r="J33" s="4089"/>
      <c r="K33" s="237"/>
    </row>
    <row r="34" spans="1:14" ht="24" customHeight="1">
      <c r="A34" s="193" t="s">
        <v>459</v>
      </c>
      <c r="B34" s="4090" t="s">
        <v>1999</v>
      </c>
      <c r="C34" s="4090"/>
      <c r="D34" s="193" t="s">
        <v>484</v>
      </c>
      <c r="E34" s="4091" t="s">
        <v>330</v>
      </c>
      <c r="F34" s="4091"/>
      <c r="G34" s="4091" t="s">
        <v>365</v>
      </c>
      <c r="H34" s="4091"/>
      <c r="I34" s="238" t="s">
        <v>2000</v>
      </c>
      <c r="J34" s="239" t="s">
        <v>2001</v>
      </c>
    </row>
    <row r="35" spans="1:14" s="174" customFormat="1" ht="25.5" customHeight="1">
      <c r="A35" s="194">
        <v>1</v>
      </c>
      <c r="B35" s="4092" t="s">
        <v>2002</v>
      </c>
      <c r="C35" s="4093"/>
      <c r="D35" s="195" t="s">
        <v>2003</v>
      </c>
      <c r="E35" s="4094">
        <f>L11</f>
        <v>37923452</v>
      </c>
      <c r="F35" s="4094"/>
      <c r="G35" s="4095">
        <v>8888001.2400000002</v>
      </c>
      <c r="H35" s="4095"/>
      <c r="I35" s="195" t="s">
        <v>2004</v>
      </c>
      <c r="J35" s="240" t="s">
        <v>2005</v>
      </c>
      <c r="K35" s="241" t="s">
        <v>2006</v>
      </c>
      <c r="L35" s="242">
        <v>2</v>
      </c>
      <c r="M35" s="243" t="s">
        <v>2007</v>
      </c>
    </row>
    <row r="36" spans="1:14" s="175" customFormat="1" ht="25.5" customHeight="1">
      <c r="A36" s="196">
        <v>2</v>
      </c>
      <c r="B36" s="4096" t="s">
        <v>2008</v>
      </c>
      <c r="C36" s="4097"/>
      <c r="D36" s="197"/>
      <c r="E36" s="4098">
        <f>E35</f>
        <v>37923452</v>
      </c>
      <c r="F36" s="4098"/>
      <c r="G36" s="4099">
        <v>9324678.4100000001</v>
      </c>
      <c r="H36" s="4099"/>
      <c r="I36" s="244" t="s">
        <v>2009</v>
      </c>
      <c r="J36" s="196" t="s">
        <v>2010</v>
      </c>
      <c r="K36" s="245" t="s">
        <v>2011</v>
      </c>
      <c r="L36" s="246">
        <v>2</v>
      </c>
    </row>
    <row r="37" spans="1:14" ht="29.25" hidden="1" customHeight="1">
      <c r="A37" s="193">
        <v>3</v>
      </c>
      <c r="B37" s="4100" t="s">
        <v>2012</v>
      </c>
      <c r="C37" s="4100"/>
      <c r="D37" s="195" t="s">
        <v>2003</v>
      </c>
      <c r="E37" s="4098">
        <f t="shared" ref="E37:E43" si="0">E36</f>
        <v>37923452</v>
      </c>
      <c r="F37" s="4098"/>
      <c r="G37" s="4099">
        <v>8357179.2599999998</v>
      </c>
      <c r="H37" s="4099"/>
      <c r="I37" s="195" t="s">
        <v>2013</v>
      </c>
      <c r="J37" s="240" t="s">
        <v>2014</v>
      </c>
      <c r="K37" s="210"/>
      <c r="L37" s="246"/>
    </row>
    <row r="38" spans="1:14" ht="29.25" hidden="1" customHeight="1">
      <c r="A38" s="193">
        <v>4</v>
      </c>
      <c r="B38" s="4100" t="s">
        <v>2015</v>
      </c>
      <c r="C38" s="4100"/>
      <c r="D38" s="195" t="s">
        <v>2003</v>
      </c>
      <c r="E38" s="4101">
        <f t="shared" si="0"/>
        <v>37923452</v>
      </c>
      <c r="F38" s="4102"/>
      <c r="G38" s="4099" t="s">
        <v>2016</v>
      </c>
      <c r="H38" s="4099"/>
      <c r="I38" s="195" t="s">
        <v>2017</v>
      </c>
      <c r="J38" s="240" t="s">
        <v>2018</v>
      </c>
      <c r="K38" s="210"/>
      <c r="L38" s="246"/>
    </row>
    <row r="39" spans="1:14" ht="54" hidden="1" customHeight="1">
      <c r="A39" s="193">
        <v>5</v>
      </c>
      <c r="B39" s="4100" t="s">
        <v>2019</v>
      </c>
      <c r="C39" s="4100"/>
      <c r="D39" s="195" t="s">
        <v>2020</v>
      </c>
      <c r="E39" s="4098">
        <f t="shared" si="0"/>
        <v>37923452</v>
      </c>
      <c r="F39" s="4098"/>
      <c r="G39" s="4099" t="s">
        <v>2016</v>
      </c>
      <c r="H39" s="4099"/>
      <c r="I39" s="195"/>
      <c r="J39" s="240"/>
      <c r="K39" s="210"/>
      <c r="L39" s="246"/>
    </row>
    <row r="40" spans="1:14" hidden="1">
      <c r="A40" s="193">
        <v>6</v>
      </c>
      <c r="B40" s="4100" t="s">
        <v>2021</v>
      </c>
      <c r="C40" s="4100"/>
      <c r="D40" s="195" t="s">
        <v>2003</v>
      </c>
      <c r="E40" s="4098">
        <f t="shared" si="0"/>
        <v>37923452</v>
      </c>
      <c r="F40" s="4098"/>
      <c r="G40" s="4099">
        <v>25193516.829999998</v>
      </c>
      <c r="H40" s="4099"/>
      <c r="I40" s="195" t="s">
        <v>2022</v>
      </c>
      <c r="J40" s="240" t="s">
        <v>2023</v>
      </c>
      <c r="K40" s="210"/>
      <c r="L40" s="246"/>
    </row>
    <row r="41" spans="1:14" hidden="1">
      <c r="A41" s="193">
        <v>7</v>
      </c>
      <c r="B41" s="4100" t="s">
        <v>2024</v>
      </c>
      <c r="C41" s="4100"/>
      <c r="D41" s="195" t="s">
        <v>2003</v>
      </c>
      <c r="E41" s="4098">
        <f t="shared" si="0"/>
        <v>37923452</v>
      </c>
      <c r="F41" s="4098"/>
      <c r="G41" s="4099">
        <v>42980568.359999999</v>
      </c>
      <c r="H41" s="4099"/>
      <c r="I41" s="195" t="s">
        <v>2025</v>
      </c>
      <c r="J41" s="240" t="s">
        <v>2026</v>
      </c>
      <c r="K41" s="210"/>
      <c r="L41" s="246"/>
    </row>
    <row r="42" spans="1:14" ht="29.25" hidden="1" customHeight="1">
      <c r="A42" s="193">
        <v>8</v>
      </c>
      <c r="B42" s="4100" t="s">
        <v>2027</v>
      </c>
      <c r="C42" s="4100"/>
      <c r="D42" s="195" t="s">
        <v>2003</v>
      </c>
      <c r="E42" s="4098">
        <f t="shared" si="0"/>
        <v>37923452</v>
      </c>
      <c r="F42" s="4098"/>
      <c r="G42" s="4099">
        <v>42993820.329999998</v>
      </c>
      <c r="H42" s="4099"/>
      <c r="I42" s="195" t="s">
        <v>2028</v>
      </c>
      <c r="J42" s="240" t="s">
        <v>2029</v>
      </c>
      <c r="K42" s="210"/>
      <c r="L42" s="246"/>
    </row>
    <row r="43" spans="1:14" ht="25.2" hidden="1">
      <c r="A43" s="193">
        <v>9</v>
      </c>
      <c r="B43" s="4100" t="s">
        <v>2030</v>
      </c>
      <c r="C43" s="4100"/>
      <c r="D43" s="197" t="s">
        <v>2003</v>
      </c>
      <c r="E43" s="4098">
        <f t="shared" si="0"/>
        <v>37923452</v>
      </c>
      <c r="F43" s="4098"/>
      <c r="G43" s="4099">
        <v>44115820.780000001</v>
      </c>
      <c r="H43" s="4099"/>
      <c r="I43" s="197" t="s">
        <v>2031</v>
      </c>
      <c r="J43" s="240" t="s">
        <v>2032</v>
      </c>
      <c r="K43" s="210" t="s">
        <v>2033</v>
      </c>
      <c r="L43" s="247">
        <f>L35-L36</f>
        <v>0</v>
      </c>
    </row>
    <row r="44" spans="1:14" hidden="1">
      <c r="A44" s="193"/>
      <c r="B44" s="4100"/>
      <c r="C44" s="4100"/>
      <c r="D44" s="197"/>
      <c r="E44" s="4098"/>
      <c r="F44" s="4098"/>
      <c r="G44" s="4103"/>
      <c r="H44" s="4103"/>
      <c r="I44" s="197"/>
      <c r="J44" s="196"/>
      <c r="K44" s="248"/>
      <c r="L44" s="249" t="str">
        <f>N44</f>
        <v>Lowest</v>
      </c>
      <c r="M44" s="250" t="s">
        <v>2034</v>
      </c>
      <c r="N44" s="251" t="s">
        <v>2035</v>
      </c>
    </row>
    <row r="45" spans="1:14" ht="15" hidden="1" customHeight="1">
      <c r="A45" s="193">
        <v>4</v>
      </c>
      <c r="B45" s="4100" t="s">
        <v>2036</v>
      </c>
      <c r="C45" s="4100"/>
      <c r="D45" s="197" t="s">
        <v>2020</v>
      </c>
      <c r="E45" s="4098">
        <f>E44</f>
        <v>0</v>
      </c>
      <c r="F45" s="4098"/>
      <c r="G45" s="4104" t="s">
        <v>2037</v>
      </c>
      <c r="H45" s="4105"/>
      <c r="I45" s="196"/>
      <c r="J45" s="196" t="s">
        <v>2038</v>
      </c>
    </row>
    <row r="46" spans="1:14" hidden="1">
      <c r="H46" s="198"/>
    </row>
    <row r="47" spans="1:14" ht="45.75" customHeight="1">
      <c r="B47" s="4089" t="str">
        <f>"                             As per the Evaluation statement  and down loaded documents submitted by the SE, PR,"&amp;L7&amp;",  total "&amp;L35&amp;" -Bid is received and "&amp;L36&amp;" - Bid  is qualified and "&amp;L43&amp;"-Bid(s) are dis-Qualified. The evaluation of the "&amp;L44&amp;"  bidder is as follows."</f>
        <v xml:space="preserve">                             As per the Evaluation statement  and down loaded documents submitted by the SE, PR,Vikarabad,  total 2 -Bid is received and 2 - Bid  is qualified and 0-Bid(s) are dis-Qualified. The evaluation of the Lowest  bidder is as follows.</v>
      </c>
      <c r="C47" s="4089"/>
      <c r="D47" s="4089"/>
      <c r="E47" s="4089"/>
      <c r="F47" s="4089"/>
      <c r="G47" s="4089"/>
      <c r="H47" s="4089"/>
      <c r="I47" s="4089"/>
      <c r="J47" s="4089"/>
      <c r="K47" s="179" t="s">
        <v>85</v>
      </c>
    </row>
    <row r="48" spans="1:14">
      <c r="B48" s="192"/>
      <c r="C48" s="192"/>
      <c r="D48" s="192"/>
      <c r="E48" s="192"/>
      <c r="F48" s="192"/>
      <c r="G48" s="192"/>
      <c r="H48" s="192"/>
      <c r="I48" s="192"/>
      <c r="J48" s="192"/>
    </row>
    <row r="49" spans="1:16" ht="34.5" customHeight="1">
      <c r="B49" s="4106" t="str">
        <f>"EVALUATION STATEMENT OF SUCCESSFUL L1 -"&amp;L44&amp;" BIDDER -"&amp;B35&amp;" is as follows"</f>
        <v>EVALUATION STATEMENT OF SUCCESSFUL L1 -Lowest BIDDER -Sri.J.Aswarthulu is as follows</v>
      </c>
      <c r="C49" s="4107"/>
      <c r="D49" s="4107"/>
      <c r="E49" s="4107"/>
      <c r="F49" s="4107"/>
      <c r="G49" s="4107"/>
      <c r="H49" s="4107"/>
      <c r="I49" s="4107"/>
      <c r="J49" s="4108"/>
    </row>
    <row r="50" spans="1:16" ht="21" customHeight="1">
      <c r="B50" s="4109" t="s">
        <v>2039</v>
      </c>
      <c r="C50" s="4109"/>
      <c r="D50" s="4109"/>
      <c r="E50" s="4195" t="s">
        <v>2040</v>
      </c>
      <c r="F50" s="4195"/>
      <c r="G50" s="4110" t="s">
        <v>2005</v>
      </c>
      <c r="H50" s="4110"/>
      <c r="I50" s="4110"/>
      <c r="J50" s="4110"/>
    </row>
    <row r="51" spans="1:16" ht="29.25" customHeight="1">
      <c r="A51" s="180">
        <v>1</v>
      </c>
      <c r="B51" s="4111" t="s">
        <v>2041</v>
      </c>
      <c r="C51" s="4111"/>
      <c r="D51" s="4111"/>
      <c r="E51" s="4196"/>
      <c r="F51" s="4196"/>
      <c r="G51" s="4112" t="str">
        <f>B35</f>
        <v>Sri.J.Aswarthulu</v>
      </c>
      <c r="H51" s="4113"/>
      <c r="I51" s="4113"/>
      <c r="J51" s="4114"/>
    </row>
    <row r="52" spans="1:16" ht="27" customHeight="1">
      <c r="B52" s="4115" t="s">
        <v>2042</v>
      </c>
      <c r="C52" s="4116"/>
      <c r="D52" s="4116"/>
      <c r="E52" s="4116"/>
      <c r="F52" s="4117"/>
      <c r="G52" s="199" t="s">
        <v>2043</v>
      </c>
      <c r="H52" s="200"/>
      <c r="I52" s="4118" t="s">
        <v>2044</v>
      </c>
      <c r="J52" s="4119"/>
    </row>
    <row r="53" spans="1:16" ht="24.75" customHeight="1">
      <c r="B53" s="4115" t="s">
        <v>2045</v>
      </c>
      <c r="C53" s="4116"/>
      <c r="D53" s="4116"/>
      <c r="E53" s="4116"/>
      <c r="F53" s="4117"/>
      <c r="G53" s="4186" t="s">
        <v>2046</v>
      </c>
      <c r="H53" s="4187"/>
      <c r="I53" s="4187"/>
      <c r="J53" s="4188"/>
    </row>
    <row r="54" spans="1:16" ht="24.75" customHeight="1">
      <c r="B54" s="4115" t="s">
        <v>2047</v>
      </c>
      <c r="C54" s="4116"/>
      <c r="D54" s="4116"/>
      <c r="E54" s="4116"/>
      <c r="F54" s="4117"/>
      <c r="G54" s="4189"/>
      <c r="H54" s="4190"/>
      <c r="I54" s="4190"/>
      <c r="J54" s="4191"/>
      <c r="P54" s="173">
        <f>600.29*1.1</f>
        <v>660.31899999999996</v>
      </c>
    </row>
    <row r="55" spans="1:16" ht="26.25" customHeight="1">
      <c r="B55" s="4115" t="s">
        <v>2048</v>
      </c>
      <c r="C55" s="4116"/>
      <c r="D55" s="4116"/>
      <c r="E55" s="4116"/>
      <c r="F55" s="4117"/>
      <c r="G55" s="4189"/>
      <c r="H55" s="4190"/>
      <c r="I55" s="4190"/>
      <c r="J55" s="4191"/>
    </row>
    <row r="56" spans="1:16" ht="26.25" customHeight="1">
      <c r="B56" s="4115" t="s">
        <v>2049</v>
      </c>
      <c r="C56" s="4116"/>
      <c r="D56" s="4116"/>
      <c r="E56" s="4116"/>
      <c r="F56" s="4117"/>
      <c r="G56" s="4192"/>
      <c r="H56" s="4193"/>
      <c r="I56" s="4193"/>
      <c r="J56" s="4194"/>
    </row>
    <row r="57" spans="1:16" ht="51.75" customHeight="1">
      <c r="A57" s="180">
        <v>2</v>
      </c>
      <c r="B57" s="4120" t="s">
        <v>332</v>
      </c>
      <c r="C57" s="4121"/>
      <c r="D57" s="4122"/>
      <c r="E57" s="4123">
        <v>95400</v>
      </c>
      <c r="F57" s="4123"/>
      <c r="G57" s="4124" t="s">
        <v>2050</v>
      </c>
      <c r="H57" s="4124"/>
      <c r="I57" s="4124"/>
      <c r="J57" s="202" t="s">
        <v>2051</v>
      </c>
    </row>
    <row r="58" spans="1:16" ht="29.25" customHeight="1">
      <c r="A58" s="180">
        <v>3</v>
      </c>
      <c r="B58" s="201" t="s">
        <v>2052</v>
      </c>
      <c r="C58" s="201"/>
      <c r="D58" s="201"/>
      <c r="E58" s="4125" t="s">
        <v>2053</v>
      </c>
      <c r="F58" s="4126"/>
      <c r="G58" s="4127" t="s">
        <v>2054</v>
      </c>
      <c r="H58" s="4127"/>
      <c r="I58" s="4127"/>
      <c r="J58" s="202"/>
    </row>
    <row r="59" spans="1:16" s="176" customFormat="1" ht="29.25" customHeight="1">
      <c r="A59" s="203">
        <v>4</v>
      </c>
      <c r="B59" s="4128" t="s">
        <v>2055</v>
      </c>
      <c r="C59" s="4129"/>
      <c r="D59" s="4130"/>
      <c r="E59" s="4131" t="s">
        <v>2053</v>
      </c>
      <c r="F59" s="4132"/>
      <c r="G59" s="4133" t="s">
        <v>2054</v>
      </c>
      <c r="H59" s="4134"/>
      <c r="I59" s="4134"/>
      <c r="J59" s="204"/>
      <c r="K59" s="181"/>
    </row>
    <row r="60" spans="1:16" s="176" customFormat="1" ht="42" customHeight="1">
      <c r="A60" s="180">
        <v>5</v>
      </c>
      <c r="B60" s="4128" t="s">
        <v>2056</v>
      </c>
      <c r="C60" s="4129"/>
      <c r="D60" s="4130"/>
      <c r="E60" s="4135">
        <v>23.89</v>
      </c>
      <c r="F60" s="4135"/>
      <c r="G60" s="4136" t="s">
        <v>2057</v>
      </c>
      <c r="H60" s="4137"/>
      <c r="I60" s="4138"/>
      <c r="J60" s="205" t="s">
        <v>2058</v>
      </c>
      <c r="K60" s="181"/>
    </row>
    <row r="61" spans="1:16" ht="55.5" customHeight="1">
      <c r="A61" s="180">
        <v>6</v>
      </c>
      <c r="B61" s="4128" t="s">
        <v>2059</v>
      </c>
      <c r="C61" s="4129"/>
      <c r="D61" s="4130"/>
      <c r="E61" s="4139" t="s">
        <v>2060</v>
      </c>
      <c r="F61" s="4140"/>
      <c r="G61" s="4141" t="s">
        <v>2061</v>
      </c>
      <c r="H61" s="4142"/>
      <c r="I61" s="4143"/>
      <c r="J61" s="205" t="s">
        <v>2062</v>
      </c>
      <c r="L61" s="173">
        <f>3.7*2500</f>
        <v>9250</v>
      </c>
    </row>
    <row r="62" spans="1:16" ht="120" customHeight="1">
      <c r="A62" s="180">
        <v>7</v>
      </c>
      <c r="B62" s="4128" t="s">
        <v>2063</v>
      </c>
      <c r="C62" s="4129"/>
      <c r="D62" s="4130"/>
      <c r="E62" s="4139" t="s">
        <v>2064</v>
      </c>
      <c r="F62" s="4140"/>
      <c r="G62" s="4133" t="s">
        <v>2065</v>
      </c>
      <c r="H62" s="4134"/>
      <c r="I62" s="4144"/>
      <c r="J62" s="202" t="s">
        <v>2066</v>
      </c>
    </row>
    <row r="63" spans="1:16" ht="57.75" customHeight="1">
      <c r="A63" s="180">
        <v>8</v>
      </c>
      <c r="B63" s="4128" t="s">
        <v>2067</v>
      </c>
      <c r="C63" s="4129"/>
      <c r="D63" s="4130"/>
      <c r="E63" s="4139" t="s">
        <v>2064</v>
      </c>
      <c r="F63" s="4140"/>
      <c r="G63" s="4133" t="s">
        <v>2065</v>
      </c>
      <c r="H63" s="4134"/>
      <c r="I63" s="4144"/>
      <c r="J63" s="202" t="s">
        <v>2068</v>
      </c>
    </row>
    <row r="64" spans="1:16" ht="26.25" customHeight="1">
      <c r="A64" s="180">
        <v>9</v>
      </c>
      <c r="B64" s="4128" t="s">
        <v>2069</v>
      </c>
      <c r="C64" s="4129"/>
      <c r="D64" s="4129"/>
      <c r="E64" s="4139" t="s">
        <v>2064</v>
      </c>
      <c r="F64" s="4140"/>
      <c r="G64" s="4133" t="s">
        <v>2070</v>
      </c>
      <c r="H64" s="4134"/>
      <c r="I64" s="4134"/>
      <c r="J64" s="252" t="s">
        <v>2071</v>
      </c>
    </row>
    <row r="65" spans="1:15" ht="24" customHeight="1">
      <c r="A65" s="180">
        <v>10</v>
      </c>
      <c r="B65" s="4128" t="s">
        <v>2072</v>
      </c>
      <c r="C65" s="4129"/>
      <c r="D65" s="4129"/>
      <c r="E65" s="4145" t="s">
        <v>2073</v>
      </c>
      <c r="F65" s="4146"/>
      <c r="G65" s="4133" t="s">
        <v>2065</v>
      </c>
      <c r="H65" s="4134"/>
      <c r="I65" s="4134"/>
      <c r="J65" s="252" t="s">
        <v>2074</v>
      </c>
    </row>
    <row r="66" spans="1:15" ht="31.5" customHeight="1">
      <c r="A66" s="180">
        <v>11</v>
      </c>
      <c r="B66" s="4128" t="s">
        <v>2075</v>
      </c>
      <c r="C66" s="4129"/>
      <c r="D66" s="4129"/>
      <c r="E66" s="4139" t="s">
        <v>2064</v>
      </c>
      <c r="F66" s="4140"/>
      <c r="G66" s="4133" t="s">
        <v>2076</v>
      </c>
      <c r="H66" s="4134"/>
      <c r="I66" s="4134"/>
      <c r="J66" s="252" t="s">
        <v>2077</v>
      </c>
    </row>
    <row r="67" spans="1:15" s="177" customFormat="1" ht="23.25" hidden="1" customHeight="1">
      <c r="A67" s="262">
        <v>12</v>
      </c>
      <c r="B67" s="4147" t="s">
        <v>2078</v>
      </c>
      <c r="C67" s="4148"/>
      <c r="D67" s="4148"/>
      <c r="E67" s="4145" t="s">
        <v>2073</v>
      </c>
      <c r="F67" s="4146"/>
      <c r="G67" s="4149" t="s">
        <v>2065</v>
      </c>
      <c r="H67" s="4150"/>
      <c r="I67" s="4150"/>
      <c r="J67" s="271" t="s">
        <v>2079</v>
      </c>
      <c r="K67" s="272"/>
    </row>
    <row r="68" spans="1:15" ht="20.25" customHeight="1">
      <c r="A68" s="180">
        <v>12</v>
      </c>
      <c r="B68" s="4128" t="s">
        <v>2080</v>
      </c>
      <c r="C68" s="4129"/>
      <c r="D68" s="4129"/>
      <c r="E68" s="4139" t="s">
        <v>2064</v>
      </c>
      <c r="F68" s="4140"/>
      <c r="G68" s="4133" t="s">
        <v>2065</v>
      </c>
      <c r="H68" s="4134"/>
      <c r="I68" s="4134"/>
      <c r="J68" s="252" t="s">
        <v>2081</v>
      </c>
      <c r="K68" s="273"/>
    </row>
    <row r="69" spans="1:15" ht="26.25" customHeight="1">
      <c r="A69" s="180">
        <v>13</v>
      </c>
      <c r="B69" s="4128" t="s">
        <v>2082</v>
      </c>
      <c r="C69" s="4129"/>
      <c r="D69" s="4129"/>
      <c r="E69" s="4139" t="s">
        <v>2064</v>
      </c>
      <c r="F69" s="4140"/>
      <c r="G69" s="4133" t="s">
        <v>2065</v>
      </c>
      <c r="H69" s="4134"/>
      <c r="I69" s="4134"/>
      <c r="J69" s="274" t="s">
        <v>2083</v>
      </c>
    </row>
    <row r="70" spans="1:15" ht="85.5" customHeight="1">
      <c r="B70" s="4151" t="s">
        <v>2084</v>
      </c>
      <c r="C70" s="4152"/>
      <c r="D70" s="4152"/>
      <c r="E70" s="4152"/>
      <c r="F70" s="4153"/>
      <c r="G70" s="4154">
        <f>ROUND(M70,2)</f>
        <v>1097.78</v>
      </c>
      <c r="H70" s="4155"/>
      <c r="I70" s="4156" t="s">
        <v>2085</v>
      </c>
      <c r="J70" s="4157"/>
      <c r="K70" s="246">
        <v>997.98</v>
      </c>
      <c r="L70" s="246">
        <v>1.1000000000000001</v>
      </c>
      <c r="M70" s="247">
        <f>K70*L70</f>
        <v>1097.778</v>
      </c>
    </row>
    <row r="71" spans="1:15" ht="13.8">
      <c r="B71" s="4158" t="s">
        <v>422</v>
      </c>
      <c r="C71" s="4159"/>
      <c r="D71" s="4159"/>
      <c r="E71" s="4159"/>
      <c r="F71" s="4160"/>
      <c r="G71" s="4161">
        <f>L12/12</f>
        <v>1</v>
      </c>
      <c r="H71" s="4161"/>
      <c r="I71" s="4162"/>
      <c r="J71" s="4163"/>
      <c r="K71" s="275"/>
      <c r="L71" s="173">
        <f>1.2*187.94</f>
        <v>225.52799999999999</v>
      </c>
    </row>
    <row r="72" spans="1:15" ht="18" customHeight="1">
      <c r="B72" s="4164" t="s">
        <v>2086</v>
      </c>
      <c r="C72" s="4164"/>
      <c r="D72" s="4164"/>
      <c r="E72" s="4164"/>
      <c r="F72" s="4164"/>
      <c r="G72" s="4164"/>
      <c r="H72" s="4164"/>
      <c r="I72" s="4165"/>
      <c r="J72" s="4165"/>
      <c r="K72" s="275"/>
    </row>
    <row r="73" spans="1:15" ht="13.8">
      <c r="B73" s="263" t="s">
        <v>2087</v>
      </c>
      <c r="C73" s="4165" t="s">
        <v>2088</v>
      </c>
      <c r="D73" s="4165"/>
      <c r="E73" s="4165"/>
      <c r="F73" s="4165"/>
      <c r="G73" s="4166" t="s">
        <v>2089</v>
      </c>
      <c r="H73" s="4166"/>
      <c r="I73" s="4162" t="s">
        <v>484</v>
      </c>
      <c r="J73" s="4163"/>
      <c r="K73" s="275"/>
      <c r="L73" s="276" t="s">
        <v>2090</v>
      </c>
      <c r="M73" s="276" t="s">
        <v>2089</v>
      </c>
    </row>
    <row r="74" spans="1:15" ht="13.8">
      <c r="B74" s="264">
        <v>1</v>
      </c>
      <c r="C74" s="4162" t="str">
        <f>"NIT. No. "&amp;L74</f>
        <v>NIT. No. Naryanpet Divn</v>
      </c>
      <c r="D74" s="4163"/>
      <c r="E74" s="4163"/>
      <c r="F74" s="4163"/>
      <c r="G74" s="4167">
        <f t="shared" ref="G74:G91" si="1">M74</f>
        <v>219.69</v>
      </c>
      <c r="H74" s="4167"/>
      <c r="I74" s="4162" t="s">
        <v>2091</v>
      </c>
      <c r="J74" s="4162"/>
      <c r="K74" s="275"/>
      <c r="L74" s="277" t="s">
        <v>2092</v>
      </c>
      <c r="M74" s="278">
        <v>219.69</v>
      </c>
      <c r="N74" s="279"/>
      <c r="O74" s="279"/>
    </row>
    <row r="75" spans="1:15" ht="13.8">
      <c r="B75" s="264">
        <v>2</v>
      </c>
      <c r="C75" s="4162" t="str">
        <f>"NIT. No. "&amp;L75</f>
        <v>NIT. No. Naryanpet Divn</v>
      </c>
      <c r="D75" s="4163"/>
      <c r="E75" s="4163"/>
      <c r="F75" s="4163"/>
      <c r="G75" s="4167">
        <f t="shared" si="1"/>
        <v>150</v>
      </c>
      <c r="H75" s="4167"/>
      <c r="I75" s="4162" t="s">
        <v>2091</v>
      </c>
      <c r="J75" s="4162"/>
      <c r="K75" s="275"/>
      <c r="L75" s="277" t="s">
        <v>2092</v>
      </c>
      <c r="M75" s="278">
        <v>150</v>
      </c>
    </row>
    <row r="76" spans="1:15" ht="13.8">
      <c r="B76" s="264">
        <v>3</v>
      </c>
      <c r="C76" s="4162" t="str">
        <f t="shared" ref="C76:C91" si="2">"NIT. No. "&amp;L76</f>
        <v>NIT. No. Naryanpet Divn</v>
      </c>
      <c r="D76" s="4163"/>
      <c r="E76" s="4163"/>
      <c r="F76" s="4163"/>
      <c r="G76" s="4167">
        <f t="shared" si="1"/>
        <v>67.17</v>
      </c>
      <c r="H76" s="4167"/>
      <c r="I76" s="4162" t="s">
        <v>2091</v>
      </c>
      <c r="J76" s="4162"/>
      <c r="K76" s="275"/>
      <c r="L76" s="277" t="s">
        <v>2092</v>
      </c>
      <c r="M76" s="278">
        <v>67.17</v>
      </c>
    </row>
    <row r="77" spans="1:15" ht="13.8" hidden="1">
      <c r="B77" s="264">
        <v>4</v>
      </c>
      <c r="C77" s="4162" t="str">
        <f t="shared" si="2"/>
        <v xml:space="preserve">NIT. No. </v>
      </c>
      <c r="D77" s="4163"/>
      <c r="E77" s="4163"/>
      <c r="F77" s="4163"/>
      <c r="G77" s="4167">
        <f t="shared" si="1"/>
        <v>0</v>
      </c>
      <c r="H77" s="4167"/>
      <c r="I77" s="4162" t="s">
        <v>2091</v>
      </c>
      <c r="J77" s="4162"/>
      <c r="K77" s="275"/>
      <c r="L77" s="280"/>
      <c r="M77" s="278"/>
    </row>
    <row r="78" spans="1:15" ht="13.8" hidden="1">
      <c r="B78" s="264">
        <v>5</v>
      </c>
      <c r="C78" s="4162" t="str">
        <f t="shared" si="2"/>
        <v xml:space="preserve">NIT. No. </v>
      </c>
      <c r="D78" s="4163"/>
      <c r="E78" s="4163"/>
      <c r="F78" s="4163"/>
      <c r="G78" s="4167">
        <f t="shared" si="1"/>
        <v>0</v>
      </c>
      <c r="H78" s="4167"/>
      <c r="I78" s="4162" t="s">
        <v>2091</v>
      </c>
      <c r="J78" s="4162"/>
      <c r="K78" s="275"/>
      <c r="L78" s="281"/>
      <c r="M78" s="282"/>
    </row>
    <row r="79" spans="1:15" ht="13.8" hidden="1">
      <c r="B79" s="264">
        <v>6</v>
      </c>
      <c r="C79" s="4162" t="str">
        <f t="shared" si="2"/>
        <v xml:space="preserve">NIT. No. </v>
      </c>
      <c r="D79" s="4163"/>
      <c r="E79" s="4163"/>
      <c r="F79" s="4163"/>
      <c r="G79" s="4167">
        <f t="shared" si="1"/>
        <v>0</v>
      </c>
      <c r="H79" s="4167"/>
      <c r="I79" s="4162" t="s">
        <v>2091</v>
      </c>
      <c r="J79" s="4162"/>
      <c r="K79" s="275"/>
      <c r="L79" s="281"/>
      <c r="M79" s="282"/>
    </row>
    <row r="80" spans="1:15" ht="13.8" hidden="1">
      <c r="B80" s="264">
        <v>7</v>
      </c>
      <c r="C80" s="4162" t="str">
        <f t="shared" si="2"/>
        <v xml:space="preserve">NIT. No. </v>
      </c>
      <c r="D80" s="4163"/>
      <c r="E80" s="4163"/>
      <c r="F80" s="4163"/>
      <c r="G80" s="4167">
        <f t="shared" si="1"/>
        <v>0</v>
      </c>
      <c r="H80" s="4167"/>
      <c r="I80" s="4162" t="s">
        <v>2091</v>
      </c>
      <c r="J80" s="4162"/>
      <c r="K80" s="275"/>
      <c r="L80" s="281"/>
      <c r="M80" s="282"/>
    </row>
    <row r="81" spans="2:13" ht="13.8" hidden="1">
      <c r="B81" s="264">
        <v>8</v>
      </c>
      <c r="C81" s="4162" t="str">
        <f t="shared" si="2"/>
        <v xml:space="preserve">NIT. No. </v>
      </c>
      <c r="D81" s="4163"/>
      <c r="E81" s="4163"/>
      <c r="F81" s="4163"/>
      <c r="G81" s="4167">
        <f t="shared" si="1"/>
        <v>0</v>
      </c>
      <c r="H81" s="4167"/>
      <c r="I81" s="4162" t="s">
        <v>2091</v>
      </c>
      <c r="J81" s="4162"/>
      <c r="K81" s="275"/>
      <c r="L81" s="281"/>
      <c r="M81" s="282"/>
    </row>
    <row r="82" spans="2:13" ht="13.8" hidden="1">
      <c r="B82" s="264">
        <v>9</v>
      </c>
      <c r="C82" s="4162" t="str">
        <f t="shared" si="2"/>
        <v xml:space="preserve">NIT. No. </v>
      </c>
      <c r="D82" s="4163"/>
      <c r="E82" s="4163"/>
      <c r="F82" s="4163"/>
      <c r="G82" s="4167">
        <f t="shared" si="1"/>
        <v>0</v>
      </c>
      <c r="H82" s="4167"/>
      <c r="I82" s="4162" t="s">
        <v>2091</v>
      </c>
      <c r="J82" s="4162"/>
      <c r="K82" s="275"/>
      <c r="L82" s="281"/>
      <c r="M82" s="282"/>
    </row>
    <row r="83" spans="2:13" ht="13.8" hidden="1">
      <c r="B83" s="264">
        <v>10</v>
      </c>
      <c r="C83" s="4162" t="str">
        <f t="shared" si="2"/>
        <v xml:space="preserve">NIT. No. </v>
      </c>
      <c r="D83" s="4163"/>
      <c r="E83" s="4163"/>
      <c r="F83" s="4163"/>
      <c r="G83" s="4167">
        <f t="shared" si="1"/>
        <v>0</v>
      </c>
      <c r="H83" s="4167"/>
      <c r="I83" s="4162" t="s">
        <v>2091</v>
      </c>
      <c r="J83" s="4162"/>
      <c r="K83" s="275"/>
      <c r="L83" s="281"/>
      <c r="M83" s="282"/>
    </row>
    <row r="84" spans="2:13" ht="13.8" hidden="1">
      <c r="B84" s="264">
        <v>11</v>
      </c>
      <c r="C84" s="4162" t="str">
        <f t="shared" si="2"/>
        <v xml:space="preserve">NIT. No. </v>
      </c>
      <c r="D84" s="4163"/>
      <c r="E84" s="4163"/>
      <c r="F84" s="4163"/>
      <c r="G84" s="4167">
        <f t="shared" si="1"/>
        <v>0</v>
      </c>
      <c r="H84" s="4167"/>
      <c r="I84" s="4162" t="s">
        <v>2091</v>
      </c>
      <c r="J84" s="4162"/>
      <c r="K84" s="275"/>
      <c r="L84" s="281"/>
      <c r="M84" s="282"/>
    </row>
    <row r="85" spans="2:13" ht="13.8" hidden="1">
      <c r="B85" s="264">
        <v>12</v>
      </c>
      <c r="C85" s="4162" t="str">
        <f t="shared" si="2"/>
        <v xml:space="preserve">NIT. No. </v>
      </c>
      <c r="D85" s="4163"/>
      <c r="E85" s="4163"/>
      <c r="F85" s="4163"/>
      <c r="G85" s="4167">
        <f t="shared" si="1"/>
        <v>0</v>
      </c>
      <c r="H85" s="4167"/>
      <c r="I85" s="4162" t="s">
        <v>2091</v>
      </c>
      <c r="J85" s="4162"/>
      <c r="K85" s="275"/>
      <c r="L85" s="281"/>
      <c r="M85" s="282"/>
    </row>
    <row r="86" spans="2:13" ht="13.8" hidden="1">
      <c r="B86" s="264">
        <v>13</v>
      </c>
      <c r="C86" s="4162" t="str">
        <f t="shared" si="2"/>
        <v xml:space="preserve">NIT. No. </v>
      </c>
      <c r="D86" s="4163"/>
      <c r="E86" s="4163"/>
      <c r="F86" s="4163"/>
      <c r="G86" s="4167">
        <f t="shared" si="1"/>
        <v>0</v>
      </c>
      <c r="H86" s="4167"/>
      <c r="I86" s="4162" t="s">
        <v>2091</v>
      </c>
      <c r="J86" s="4162"/>
      <c r="K86" s="275"/>
      <c r="L86" s="281"/>
      <c r="M86" s="282"/>
    </row>
    <row r="87" spans="2:13" ht="13.8" hidden="1">
      <c r="B87" s="264">
        <v>14</v>
      </c>
      <c r="C87" s="4162" t="str">
        <f t="shared" si="2"/>
        <v xml:space="preserve">NIT. No. </v>
      </c>
      <c r="D87" s="4163"/>
      <c r="E87" s="4163"/>
      <c r="F87" s="4163"/>
      <c r="G87" s="4167">
        <f t="shared" si="1"/>
        <v>0</v>
      </c>
      <c r="H87" s="4167"/>
      <c r="I87" s="4162" t="s">
        <v>2091</v>
      </c>
      <c r="J87" s="4162"/>
      <c r="K87" s="275"/>
      <c r="L87" s="281"/>
      <c r="M87" s="282"/>
    </row>
    <row r="88" spans="2:13" ht="13.8" hidden="1">
      <c r="B88" s="264">
        <v>15</v>
      </c>
      <c r="C88" s="4162" t="str">
        <f t="shared" si="2"/>
        <v xml:space="preserve">NIT. No. </v>
      </c>
      <c r="D88" s="4163"/>
      <c r="E88" s="4163"/>
      <c r="F88" s="4163"/>
      <c r="G88" s="4167">
        <f t="shared" si="1"/>
        <v>0</v>
      </c>
      <c r="H88" s="4167"/>
      <c r="I88" s="4162" t="s">
        <v>2091</v>
      </c>
      <c r="J88" s="4162"/>
      <c r="K88" s="275"/>
      <c r="L88" s="281"/>
      <c r="M88" s="282"/>
    </row>
    <row r="89" spans="2:13" ht="13.8" hidden="1">
      <c r="B89" s="264">
        <v>16</v>
      </c>
      <c r="C89" s="4162" t="str">
        <f t="shared" si="2"/>
        <v xml:space="preserve">NIT. No. </v>
      </c>
      <c r="D89" s="4163"/>
      <c r="E89" s="4163"/>
      <c r="F89" s="4163"/>
      <c r="G89" s="4167">
        <f t="shared" si="1"/>
        <v>0</v>
      </c>
      <c r="H89" s="4167"/>
      <c r="I89" s="4162" t="s">
        <v>2091</v>
      </c>
      <c r="J89" s="4162"/>
      <c r="K89" s="275"/>
      <c r="L89" s="281"/>
      <c r="M89" s="282"/>
    </row>
    <row r="90" spans="2:13" ht="13.8" hidden="1">
      <c r="B90" s="264">
        <v>17</v>
      </c>
      <c r="C90" s="4162" t="str">
        <f t="shared" si="2"/>
        <v xml:space="preserve">NIT. No. </v>
      </c>
      <c r="D90" s="4163"/>
      <c r="E90" s="4163"/>
      <c r="F90" s="4163"/>
      <c r="G90" s="4167">
        <f t="shared" si="1"/>
        <v>0</v>
      </c>
      <c r="H90" s="4167"/>
      <c r="I90" s="4162" t="s">
        <v>2091</v>
      </c>
      <c r="J90" s="4162"/>
      <c r="K90" s="275"/>
      <c r="L90" s="281"/>
      <c r="M90" s="282"/>
    </row>
    <row r="91" spans="2:13" ht="13.8" hidden="1">
      <c r="B91" s="264">
        <v>18</v>
      </c>
      <c r="C91" s="4162" t="str">
        <f t="shared" si="2"/>
        <v xml:space="preserve">NIT. No. </v>
      </c>
      <c r="D91" s="4163"/>
      <c r="E91" s="4163"/>
      <c r="F91" s="4163"/>
      <c r="G91" s="4167">
        <f t="shared" si="1"/>
        <v>0</v>
      </c>
      <c r="H91" s="4167"/>
      <c r="I91" s="4162" t="s">
        <v>2091</v>
      </c>
      <c r="J91" s="4162"/>
      <c r="K91" s="275"/>
      <c r="L91" s="281"/>
      <c r="M91" s="282"/>
    </row>
    <row r="92" spans="2:13" ht="21" customHeight="1">
      <c r="B92" s="4168" t="s">
        <v>2093</v>
      </c>
      <c r="C92" s="4168"/>
      <c r="D92" s="4168"/>
      <c r="E92" s="4168"/>
      <c r="F92" s="4168"/>
      <c r="G92" s="4169">
        <f>SUM(G74:H91)</f>
        <v>436.86</v>
      </c>
      <c r="H92" s="4169"/>
      <c r="I92" s="4162"/>
      <c r="J92" s="4163"/>
      <c r="K92" s="275"/>
      <c r="L92" s="281"/>
      <c r="M92" s="282"/>
    </row>
    <row r="93" spans="2:13" ht="47.25" customHeight="1">
      <c r="B93" s="4168" t="s">
        <v>2094</v>
      </c>
      <c r="C93" s="4168"/>
      <c r="D93" s="4168"/>
      <c r="E93" s="4168"/>
      <c r="F93" s="4168"/>
      <c r="G93" s="4170">
        <v>423.15</v>
      </c>
      <c r="H93" s="4171"/>
      <c r="I93" s="4172" t="s">
        <v>2095</v>
      </c>
      <c r="J93" s="4173"/>
      <c r="K93" s="275"/>
      <c r="L93" s="283" t="s">
        <v>2096</v>
      </c>
      <c r="M93" s="284">
        <v>96.644484800000001</v>
      </c>
    </row>
    <row r="94" spans="2:13" ht="15.75" customHeight="1">
      <c r="B94" s="4168" t="s">
        <v>2097</v>
      </c>
      <c r="C94" s="4168"/>
      <c r="D94" s="4168"/>
      <c r="E94" s="4168"/>
      <c r="F94" s="4168"/>
      <c r="G94" s="4174">
        <f>ROUND(G93+G92,2)</f>
        <v>860.01</v>
      </c>
      <c r="H94" s="4166"/>
      <c r="I94" s="4162"/>
      <c r="J94" s="4163"/>
      <c r="K94" s="275"/>
    </row>
    <row r="95" spans="2:13" ht="29.25" customHeight="1">
      <c r="B95" s="4168" t="str">
        <f>"Bid Capacity = 2x"&amp;G70&amp;"x"&amp;G71&amp;"-"&amp;G94</f>
        <v>Bid Capacity = 2x1097.78x1-860.01</v>
      </c>
      <c r="C95" s="4168"/>
      <c r="D95" s="4168"/>
      <c r="E95" s="4168"/>
      <c r="F95" s="4168"/>
      <c r="G95" s="4175">
        <f>ROUND(2*G70*G71-G94,20)</f>
        <v>1335.55</v>
      </c>
      <c r="H95" s="4175"/>
      <c r="I95" s="4176">
        <f>ROUND(L11/100000,2)</f>
        <v>379.23</v>
      </c>
      <c r="J95" s="4176"/>
      <c r="K95" s="173"/>
    </row>
    <row r="96" spans="2:13" ht="26.25" customHeight="1">
      <c r="B96" s="4164" t="str">
        <f>"Hence Assed Bid capacity is more than required, ie.,Rs."&amp;G95&amp;" Lakhs &gt; "&amp;I95&amp;" Lakhs"</f>
        <v>Hence Assed Bid capacity is more than required, ie.,Rs.1335.55 Lakhs &gt; 379.23 Lakhs</v>
      </c>
      <c r="C96" s="4164"/>
      <c r="D96" s="4164"/>
      <c r="E96" s="4164"/>
      <c r="F96" s="4164"/>
      <c r="G96" s="4164"/>
      <c r="H96" s="4164"/>
      <c r="I96" s="4164"/>
      <c r="J96" s="4164"/>
      <c r="L96" s="279"/>
      <c r="M96" s="279"/>
    </row>
    <row r="98" spans="1:72" ht="55.5" customHeight="1">
      <c r="B98" s="4076" t="str">
        <f>"                             The SE has recommended the "&amp;M12&amp;"  "&amp;L44&amp;"  qualified  bidder  of "&amp;B35&amp;"  for acceptance of the tender for above work  (NiT.No-"&amp;N9&amp;" ) at  "&amp;I35&amp;" than the estimate rates with SSR 2017-18 with a ECV of Rs:"&amp;E35&amp;".00   and  TCV of  Rs: "&amp;G35</f>
        <v xml:space="preserve">                             The SE has recommended the 1st Call.  Lowest  qualified  bidder  of Sri.J.Aswarthulu  for acceptance of the tender for above work  (NiT.No-- ) at  6.78% Less than the estimate rates with SSR 2017-18 with a ECV of Rs:37923452.00   and  TCV of  Rs: 8888001.24</v>
      </c>
      <c r="C98" s="4076"/>
      <c r="D98" s="4076"/>
      <c r="E98" s="4076"/>
      <c r="F98" s="4076"/>
      <c r="G98" s="4076"/>
      <c r="H98" s="4076"/>
      <c r="I98" s="4076"/>
      <c r="J98" s="4076"/>
    </row>
    <row r="99" spans="1:72" ht="86.25" hidden="1" customHeight="1">
      <c r="B99" s="4076" t="s">
        <v>2098</v>
      </c>
      <c r="C99" s="4076"/>
      <c r="D99" s="4076"/>
      <c r="E99" s="4076"/>
      <c r="F99" s="4076"/>
      <c r="G99" s="4076"/>
      <c r="H99" s="4076"/>
      <c r="I99" s="4076"/>
      <c r="J99" s="4076"/>
    </row>
    <row r="100" spans="1:72" ht="60.75" customHeight="1">
      <c r="B100" s="4076" t="str">
        <f>"                             As per the GoMs.NO 12 dt: 28-1-2015 of I&amp;CAD Dept. Govt. Of Telangana all the tender with a ECV up to Rs. 10.00 Cr. the  Chief Engineer is competent to  approve Tender, as this work ECV is Rs."&amp;E35&amp;".00 which is less than 10.00 Cr. Hence the  Engineer-in-Chief is competent for approve this tender."</f>
        <v xml:space="preserve">                             As per the GoMs.NO 12 dt: 28-1-2015 of I&amp;CAD Dept. Govt. Of Telangana all the tender with a ECV up to Rs. 10.00 Cr. the  Chief Engineer is competent to  approve Tender, as this work ECV is Rs.37923452.00 which is less than 10.00 Cr. Hence the  Engineer-in-Chief is competent for approve this tender.</v>
      </c>
      <c r="C100" s="4076"/>
      <c r="D100" s="4076"/>
      <c r="E100" s="4076"/>
      <c r="F100" s="4076"/>
      <c r="G100" s="4076"/>
      <c r="H100" s="4076"/>
      <c r="I100" s="4076"/>
      <c r="J100" s="4076"/>
    </row>
    <row r="101" spans="1:72" ht="27" customHeight="1">
      <c r="B101" s="4076" t="s">
        <v>2099</v>
      </c>
      <c r="C101" s="4076"/>
      <c r="D101" s="4076"/>
      <c r="E101" s="4076"/>
      <c r="F101" s="4076"/>
      <c r="G101" s="4076"/>
      <c r="H101" s="4076"/>
      <c r="I101" s="4076"/>
      <c r="J101" s="4076"/>
    </row>
    <row r="102" spans="1:72">
      <c r="B102" s="182"/>
      <c r="C102" s="182"/>
      <c r="D102" s="182"/>
      <c r="E102" s="182"/>
      <c r="F102" s="182"/>
      <c r="G102" s="182"/>
      <c r="H102" s="182"/>
      <c r="I102" s="182"/>
      <c r="J102" s="182"/>
    </row>
    <row r="103" spans="1:72">
      <c r="B103" s="182"/>
      <c r="C103" s="182"/>
      <c r="D103" s="182"/>
      <c r="E103" s="182"/>
      <c r="F103" s="182"/>
      <c r="G103" s="182"/>
      <c r="H103" s="182"/>
      <c r="I103" s="182"/>
      <c r="J103" s="182"/>
    </row>
    <row r="104" spans="1:72" ht="48.75" customHeight="1">
      <c r="B104" s="4178" t="s">
        <v>616</v>
      </c>
      <c r="C104" s="4178"/>
      <c r="D104" s="4178"/>
      <c r="E104" s="4178"/>
      <c r="F104" s="4178"/>
      <c r="G104" s="4178"/>
      <c r="H104" s="4178"/>
      <c r="I104" s="4178"/>
      <c r="J104" s="4178"/>
    </row>
    <row r="105" spans="1:72" ht="105" customHeight="1">
      <c r="B105" s="4179" t="str">
        <f>"           As per the pre page note orders the lowest tender of  "&amp;$B$35&amp;"  quoated at "&amp;I35&amp;"  then Estiamted rates  of "&amp;$M$13&amp;" for the ECV of Rs."&amp;$E$35&amp;".00 and with a TCV of Rs."&amp;G35&amp;" is apparoved  for NIt No. "&amp;$N$9&amp;"  online tender compartive statement and a draft memo to Superintending Engineer P.R "&amp;$L$6&amp;" for communicating the approved tender   is put up below for perusal and approval Sir,"</f>
        <v xml:space="preserve">           As per the pre page note orders the lowest tender of  Sri.J.Aswarthulu  quoated at 6.78% Less  then Estiamted rates  of SSR-2018-19 for the ECV of Rs.37923452.00 and with a TCV of Rs.8888001.24 is apparoved  for NIt No. -  online tender compartive statement and a draft memo to Superintending Engineer P.R Narayanpet for communicating the approved tender   is put up below for perusal and approval Sir,</v>
      </c>
      <c r="C105" s="4179"/>
      <c r="D105" s="4179"/>
      <c r="E105" s="4179"/>
      <c r="F105" s="4179"/>
      <c r="G105" s="4179"/>
      <c r="H105" s="4179"/>
      <c r="I105" s="4179"/>
      <c r="J105" s="4179"/>
    </row>
    <row r="106" spans="1:72" ht="38.25" customHeight="1">
      <c r="B106" s="182"/>
      <c r="C106" s="182"/>
      <c r="D106" s="182"/>
      <c r="E106" s="182"/>
      <c r="F106" s="184"/>
      <c r="G106" s="182"/>
      <c r="H106" s="182"/>
      <c r="I106" s="182"/>
      <c r="J106" s="182"/>
      <c r="BT106" s="173" t="s">
        <v>2100</v>
      </c>
    </row>
    <row r="108" spans="1:72" ht="21" customHeight="1">
      <c r="A108" s="265"/>
      <c r="B108" s="4180" t="s">
        <v>642</v>
      </c>
      <c r="C108" s="4180"/>
      <c r="D108" s="4180"/>
      <c r="E108" s="4180"/>
      <c r="F108" s="4180"/>
      <c r="G108" s="4180"/>
      <c r="H108" s="4180"/>
      <c r="I108" s="4180"/>
      <c r="J108" s="4180"/>
    </row>
    <row r="109" spans="1:72" ht="26.25" customHeight="1">
      <c r="B109" s="4180" t="s">
        <v>2101</v>
      </c>
      <c r="C109" s="4180"/>
      <c r="D109" s="4180"/>
      <c r="E109" s="4180"/>
      <c r="F109" s="4180"/>
      <c r="G109" s="4180"/>
      <c r="H109" s="4180"/>
      <c r="I109" s="4180"/>
      <c r="J109" s="4180"/>
    </row>
    <row r="110" spans="1:72" ht="21" customHeight="1">
      <c r="B110" s="4181" t="str">
        <f>"Memo No."&amp;$L$2&amp;"-Tender,"&amp;$R$2</f>
        <v>Memo No.W11/DEE-III/KMM-0-SDF-GoRT.No.309-Sl.No-167/2017-18-Tender,  Dt:  - 9-2018</v>
      </c>
      <c r="C110" s="4181"/>
      <c r="D110" s="4181"/>
      <c r="E110" s="4181"/>
      <c r="F110" s="4181"/>
      <c r="G110" s="4181"/>
      <c r="H110" s="4181"/>
      <c r="I110" s="4181"/>
      <c r="J110" s="4181"/>
    </row>
    <row r="111" spans="1:72" ht="52.5" customHeight="1">
      <c r="B111" s="266" t="s">
        <v>644</v>
      </c>
      <c r="C111" s="4076" t="str">
        <f>"PR Circle-"&amp;$L$7&amp;"-Dist:"&amp;$L$6&amp;"-"&amp;$L$9&amp;"-"&amp;$K$9&amp;"-"&amp;$L$10&amp;" - "&amp;$L$3&amp;"- Estt.Cost.Rs."&amp;$L$4&amp;".00 Lakhs approval of tender communicated - regarding"</f>
        <v>PR Circle-Vikarabad-Dist:Narayanpet-0-SDF-2024-25 - C/o HLB on R/F Amlikunta to Gundumal of Gundumal Mandal of Narayanept District.- Estt.Cost.Rs.500.00 Lakhs approval of tender communicated - regarding</v>
      </c>
      <c r="D111" s="4076"/>
      <c r="E111" s="4076"/>
      <c r="F111" s="4076"/>
      <c r="G111" s="4076"/>
      <c r="H111" s="4076"/>
      <c r="I111" s="4076"/>
      <c r="J111" s="4076"/>
      <c r="L111" s="173" t="s">
        <v>2102</v>
      </c>
    </row>
    <row r="112" spans="1:72" ht="31.5" customHeight="1">
      <c r="B112" s="267" t="s">
        <v>645</v>
      </c>
      <c r="C112" s="4182" t="str">
        <f>$C$16</f>
        <v>1).GoRt.No.309 dt:28.11.2024 of  PR&amp;RD (Prog-I)Dept, of Govt. Of Telangana-Sl.No.167</v>
      </c>
      <c r="D112" s="4182"/>
      <c r="E112" s="4182"/>
      <c r="F112" s="4182"/>
      <c r="G112" s="4182"/>
      <c r="H112" s="4182"/>
      <c r="I112" s="4182"/>
      <c r="J112" s="4182"/>
    </row>
    <row r="113" spans="1:13" ht="28.5" customHeight="1">
      <c r="B113" s="234"/>
      <c r="C113" s="4206" t="str">
        <f>$C$17</f>
        <v>2).SE,PR KMM, NIT.No.- Dt: 18-8-.2018 for 1st  Call</v>
      </c>
      <c r="D113" s="4206"/>
      <c r="E113" s="4206"/>
      <c r="F113" s="4206"/>
      <c r="G113" s="4206"/>
      <c r="H113" s="4206"/>
      <c r="I113" s="4206"/>
      <c r="J113" s="4206"/>
    </row>
    <row r="114" spans="1:13" ht="14.25" customHeight="1">
      <c r="B114" s="183"/>
      <c r="C114" s="4206" t="str">
        <f>$C$18</f>
        <v>3). SE,PR,KMM-Lr.No.T3/737/CRR/Guntipally/2017-18, dt:  29.3.2018</v>
      </c>
      <c r="D114" s="4206"/>
      <c r="E114" s="4206"/>
      <c r="F114" s="4206"/>
      <c r="G114" s="4206"/>
      <c r="H114" s="4206"/>
      <c r="I114" s="4206"/>
      <c r="J114" s="4206"/>
      <c r="K114" s="234"/>
    </row>
    <row r="115" spans="1:13" ht="14.25" customHeight="1">
      <c r="B115" s="183"/>
      <c r="C115" s="4206" t="s">
        <v>2103</v>
      </c>
      <c r="D115" s="4206"/>
      <c r="E115" s="4206"/>
      <c r="F115" s="4206"/>
      <c r="G115" s="4206"/>
      <c r="H115" s="4206"/>
      <c r="I115" s="4206"/>
      <c r="J115" s="4206"/>
      <c r="K115" s="234"/>
    </row>
    <row r="116" spans="1:13" ht="14.25" customHeight="1">
      <c r="B116" s="183"/>
      <c r="C116" s="268"/>
      <c r="D116" s="268"/>
      <c r="E116" s="268"/>
      <c r="F116" s="268"/>
      <c r="G116" s="268"/>
      <c r="H116" s="268"/>
      <c r="I116" s="268"/>
      <c r="J116" s="268"/>
      <c r="K116" s="234"/>
    </row>
    <row r="117" spans="1:13" ht="19.5" customHeight="1">
      <c r="B117" s="234"/>
      <c r="C117" s="234"/>
      <c r="D117" s="234"/>
      <c r="E117" s="234"/>
      <c r="F117" s="234" t="s">
        <v>646</v>
      </c>
      <c r="G117" s="234"/>
      <c r="H117" s="234"/>
      <c r="I117" s="234"/>
      <c r="J117" s="234"/>
    </row>
    <row r="118" spans="1:13" ht="90" customHeight="1">
      <c r="B118" s="4177" t="str">
        <f>"                The "&amp;$L$44&amp;" qualified tender of "&amp;$B$35&amp;"  for the work  "&amp;$L$3&amp;" , Estt. Rs. "&amp;L4&amp;".00 Lakhs  is accepted at "&amp;$I$35&amp;" than the Estimated rates with "&amp;$M$13&amp;", for Tender Contract Value of   Rs."&amp;$G$35&amp;"  incuding 5 years maintanance charges as recommended by the Superintending Engineer, (PR),"&amp;$L$7&amp;"  through the reference 3rd&amp;4th cited  above.  in "&amp;M12</f>
        <v xml:space="preserve">                The Lowest qualified tender of Sri.J.Aswarthulu  for the work  C/o HLB on R/F Amlikunta to Gundumal of Gundumal Mandal of Narayanept District. , Estt. Rs. 500.00 Lakhs  is accepted at 6.78% Less than the Estimated rates with SSR-2018-19, for Tender Contract Value of   Rs.8888001.24  incuding 5 years maintanance charges as recommended by the Superintending Engineer, (PR),Vikarabad  through the reference 3rd&amp;4th cited  above.  in 1st Call.</v>
      </c>
      <c r="C118" s="4177"/>
      <c r="D118" s="4177"/>
      <c r="E118" s="4177"/>
      <c r="F118" s="4177"/>
      <c r="G118" s="4177"/>
      <c r="H118" s="4177"/>
      <c r="I118" s="4177"/>
      <c r="J118" s="4177"/>
      <c r="M118" s="234"/>
    </row>
    <row r="119" spans="1:13" ht="93.75" customHeight="1">
      <c r="B119" s="4177" t="s">
        <v>2104</v>
      </c>
      <c r="C119" s="4177"/>
      <c r="D119" s="4177"/>
      <c r="E119" s="4177"/>
      <c r="F119" s="4177"/>
      <c r="G119" s="4177"/>
      <c r="H119" s="4177"/>
      <c r="I119" s="4177"/>
      <c r="J119" s="4177"/>
      <c r="M119" s="234"/>
    </row>
    <row r="120" spans="1:13" ht="57.75" customHeight="1">
      <c r="B120" s="4177" t="s">
        <v>2105</v>
      </c>
      <c r="C120" s="4177"/>
      <c r="D120" s="4177"/>
      <c r="E120" s="4177"/>
      <c r="F120" s="4177"/>
      <c r="G120" s="4177"/>
      <c r="H120" s="4177"/>
      <c r="I120" s="4177"/>
      <c r="J120" s="4177"/>
      <c r="M120" s="234"/>
    </row>
    <row r="121" spans="1:13" ht="35.25" customHeight="1">
      <c r="A121" s="270" t="s">
        <v>647</v>
      </c>
      <c r="B121" s="4177" t="s">
        <v>2106</v>
      </c>
      <c r="C121" s="4177"/>
      <c r="D121" s="4177"/>
      <c r="E121" s="4177"/>
      <c r="F121" s="4177"/>
      <c r="G121" s="4177"/>
      <c r="H121" s="4177"/>
      <c r="I121" s="4177"/>
      <c r="J121" s="4177"/>
      <c r="M121" s="234"/>
    </row>
    <row r="122" spans="1:13" ht="103.5" customHeight="1">
      <c r="A122" s="270" t="s">
        <v>649</v>
      </c>
      <c r="B122" s="4177" t="s">
        <v>2107</v>
      </c>
      <c r="C122" s="4177"/>
      <c r="D122" s="4177"/>
      <c r="E122" s="4177"/>
      <c r="F122" s="4177"/>
      <c r="G122" s="4177"/>
      <c r="H122" s="4177"/>
      <c r="I122" s="4177"/>
      <c r="J122" s="4177"/>
    </row>
    <row r="123" spans="1:13" ht="40.5" customHeight="1">
      <c r="A123" s="270" t="s">
        <v>651</v>
      </c>
      <c r="B123" s="4177" t="s">
        <v>2108</v>
      </c>
      <c r="C123" s="4177"/>
      <c r="D123" s="4177"/>
      <c r="E123" s="4177"/>
      <c r="F123" s="4177"/>
      <c r="G123" s="4177"/>
      <c r="H123" s="4177"/>
      <c r="I123" s="4177"/>
      <c r="J123" s="4177"/>
    </row>
    <row r="124" spans="1:13" ht="51.75" customHeight="1">
      <c r="A124" s="270" t="s">
        <v>653</v>
      </c>
      <c r="B124" s="4177" t="s">
        <v>2109</v>
      </c>
      <c r="C124" s="4177"/>
      <c r="D124" s="4177"/>
      <c r="E124" s="4177"/>
      <c r="F124" s="4177"/>
      <c r="G124" s="4177"/>
      <c r="H124" s="4177"/>
      <c r="I124" s="4177"/>
      <c r="J124" s="4177"/>
    </row>
    <row r="125" spans="1:13" s="178" customFormat="1" ht="62.25" customHeight="1">
      <c r="A125" s="270" t="s">
        <v>655</v>
      </c>
      <c r="B125" s="4177" t="s">
        <v>2110</v>
      </c>
      <c r="C125" s="4177"/>
      <c r="D125" s="4177"/>
      <c r="E125" s="4177"/>
      <c r="F125" s="4177"/>
      <c r="G125" s="4177"/>
      <c r="H125" s="4177"/>
      <c r="I125" s="4177"/>
      <c r="J125" s="4177"/>
      <c r="K125" s="285"/>
    </row>
    <row r="126" spans="1:13" s="178" customFormat="1" ht="37.5" customHeight="1">
      <c r="A126" s="270" t="s">
        <v>657</v>
      </c>
      <c r="B126" s="4177" t="s">
        <v>2111</v>
      </c>
      <c r="C126" s="4177"/>
      <c r="D126" s="4177"/>
      <c r="E126" s="4177"/>
      <c r="F126" s="4177"/>
      <c r="G126" s="4177"/>
      <c r="H126" s="4177"/>
      <c r="I126" s="4177"/>
      <c r="J126" s="4177"/>
      <c r="K126" s="285"/>
    </row>
    <row r="127" spans="1:13" s="178" customFormat="1" ht="78" customHeight="1">
      <c r="A127" s="270" t="s">
        <v>659</v>
      </c>
      <c r="B127" s="4177" t="s">
        <v>2112</v>
      </c>
      <c r="C127" s="4177"/>
      <c r="D127" s="4177"/>
      <c r="E127" s="4177"/>
      <c r="F127" s="4177"/>
      <c r="G127" s="4177"/>
      <c r="H127" s="4177"/>
      <c r="I127" s="4177"/>
      <c r="J127" s="4177"/>
      <c r="K127" s="285"/>
    </row>
    <row r="128" spans="1:13" s="178" customFormat="1" ht="58.5" customHeight="1">
      <c r="A128" s="270" t="s">
        <v>661</v>
      </c>
      <c r="B128" s="4177" t="s">
        <v>2113</v>
      </c>
      <c r="C128" s="4177"/>
      <c r="D128" s="4177"/>
      <c r="E128" s="4177"/>
      <c r="F128" s="4177"/>
      <c r="G128" s="4177"/>
      <c r="H128" s="4177"/>
      <c r="I128" s="4177"/>
      <c r="J128" s="4177"/>
      <c r="K128" s="285"/>
    </row>
    <row r="129" spans="1:30" ht="28.5" customHeight="1">
      <c r="A129" s="270" t="s">
        <v>2114</v>
      </c>
      <c r="B129" s="4177" t="s">
        <v>2115</v>
      </c>
      <c r="C129" s="4177"/>
      <c r="D129" s="4177"/>
      <c r="E129" s="4177"/>
      <c r="F129" s="4177"/>
      <c r="G129" s="4177"/>
      <c r="H129" s="4177"/>
      <c r="I129" s="4177"/>
      <c r="J129" s="4177"/>
    </row>
    <row r="130" spans="1:30" s="179" customFormat="1" ht="26.25" customHeight="1">
      <c r="A130" s="270" t="s">
        <v>2116</v>
      </c>
      <c r="B130" s="4177" t="s">
        <v>2117</v>
      </c>
      <c r="C130" s="4177"/>
      <c r="D130" s="4177"/>
      <c r="E130" s="4177"/>
      <c r="F130" s="4177"/>
      <c r="G130" s="4177"/>
      <c r="H130" s="4177"/>
      <c r="I130" s="4177"/>
      <c r="J130" s="4177"/>
      <c r="L130" s="4177"/>
      <c r="M130" s="4177"/>
      <c r="N130" s="4177"/>
      <c r="O130" s="4177"/>
      <c r="P130" s="4177"/>
      <c r="Q130" s="4177"/>
      <c r="R130" s="4177"/>
      <c r="S130" s="4177"/>
      <c r="T130" s="4177"/>
      <c r="U130" s="173"/>
      <c r="V130" s="173"/>
      <c r="W130" s="173"/>
      <c r="X130" s="173"/>
      <c r="Y130" s="173"/>
      <c r="Z130" s="173"/>
      <c r="AA130" s="173"/>
      <c r="AB130" s="173"/>
      <c r="AC130" s="173"/>
      <c r="AD130" s="173"/>
    </row>
    <row r="131" spans="1:30" s="179" customFormat="1" ht="33.75" customHeight="1">
      <c r="A131" s="270" t="s">
        <v>2118</v>
      </c>
      <c r="B131" s="4177" t="s">
        <v>2119</v>
      </c>
      <c r="C131" s="4177"/>
      <c r="D131" s="4177"/>
      <c r="E131" s="4177"/>
      <c r="F131" s="4177"/>
      <c r="G131" s="4177"/>
      <c r="H131" s="4177"/>
      <c r="I131" s="4177"/>
      <c r="J131" s="4177"/>
      <c r="L131" s="269"/>
      <c r="M131" s="269"/>
      <c r="N131" s="269"/>
      <c r="O131" s="269"/>
      <c r="P131" s="269"/>
      <c r="Q131" s="269"/>
      <c r="R131" s="269"/>
      <c r="S131" s="269"/>
      <c r="T131" s="269"/>
      <c r="U131" s="173"/>
      <c r="V131" s="173"/>
      <c r="W131" s="173"/>
      <c r="X131" s="173"/>
      <c r="Y131" s="173"/>
      <c r="Z131" s="173"/>
      <c r="AA131" s="173"/>
      <c r="AB131" s="173"/>
      <c r="AC131" s="173"/>
      <c r="AD131" s="173"/>
    </row>
    <row r="132" spans="1:30" s="179" customFormat="1" ht="28.5" customHeight="1">
      <c r="A132" s="270"/>
      <c r="B132" s="4182" t="s">
        <v>2120</v>
      </c>
      <c r="C132" s="4182"/>
      <c r="D132" s="4182"/>
      <c r="E132" s="4182"/>
      <c r="F132" s="4182"/>
      <c r="G132" s="4182"/>
      <c r="H132" s="4182"/>
      <c r="I132" s="4182"/>
      <c r="J132" s="4182"/>
      <c r="L132" s="4177"/>
      <c r="M132" s="4177"/>
      <c r="N132" s="4177"/>
      <c r="O132" s="4177"/>
      <c r="P132" s="4177"/>
      <c r="Q132" s="4177"/>
      <c r="R132" s="4177"/>
      <c r="S132" s="4177"/>
      <c r="T132" s="4177"/>
      <c r="U132" s="173"/>
      <c r="V132" s="173"/>
      <c r="W132" s="173"/>
      <c r="X132" s="173"/>
      <c r="Y132" s="173"/>
      <c r="Z132" s="173"/>
      <c r="AA132" s="173"/>
      <c r="AB132" s="173"/>
      <c r="AC132" s="173"/>
      <c r="AD132" s="173"/>
    </row>
    <row r="133" spans="1:30" s="179" customFormat="1" ht="38.25" customHeight="1">
      <c r="A133" s="270"/>
      <c r="B133" s="4177" t="s">
        <v>2121</v>
      </c>
      <c r="C133" s="4177"/>
      <c r="D133" s="4177"/>
      <c r="E133" s="4177"/>
      <c r="F133" s="4177"/>
      <c r="G133" s="4177"/>
      <c r="H133" s="4177"/>
      <c r="I133" s="4177"/>
      <c r="J133" s="4177"/>
      <c r="L133" s="173"/>
      <c r="M133" s="173"/>
      <c r="N133" s="173"/>
      <c r="O133" s="173"/>
      <c r="P133" s="173"/>
      <c r="Q133" s="173"/>
      <c r="R133" s="173"/>
      <c r="S133" s="173"/>
      <c r="T133" s="173"/>
      <c r="U133" s="173"/>
      <c r="V133" s="173"/>
      <c r="W133" s="173"/>
      <c r="X133" s="173"/>
      <c r="Y133" s="173"/>
      <c r="Z133" s="173"/>
      <c r="AA133" s="173"/>
      <c r="AB133" s="173"/>
      <c r="AC133" s="173"/>
      <c r="AD133" s="173"/>
    </row>
    <row r="134" spans="1:30" s="179" customFormat="1" ht="13.8">
      <c r="A134" s="180"/>
      <c r="B134" s="234"/>
      <c r="C134" s="234"/>
      <c r="D134" s="234"/>
      <c r="E134" s="234"/>
      <c r="F134" s="234"/>
      <c r="G134" s="234"/>
      <c r="H134" s="286" t="s">
        <v>2122</v>
      </c>
      <c r="I134" s="234"/>
      <c r="J134" s="234"/>
      <c r="L134" s="173"/>
      <c r="M134" s="173"/>
      <c r="N134" s="173"/>
      <c r="O134" s="173"/>
      <c r="P134" s="173"/>
      <c r="Q134" s="173"/>
      <c r="R134" s="173"/>
      <c r="S134" s="173"/>
      <c r="T134" s="173"/>
      <c r="U134" s="173"/>
      <c r="V134" s="173"/>
      <c r="W134" s="173"/>
      <c r="X134" s="173"/>
      <c r="Y134" s="173"/>
      <c r="Z134" s="173"/>
      <c r="AA134" s="173"/>
      <c r="AB134" s="173"/>
      <c r="AC134" s="173"/>
      <c r="AD134" s="173"/>
    </row>
    <row r="135" spans="1:30" s="179" customFormat="1" ht="13.8">
      <c r="A135" s="180"/>
      <c r="B135" s="234"/>
      <c r="C135" s="234"/>
      <c r="D135" s="234"/>
      <c r="E135" s="234"/>
      <c r="F135" s="234"/>
      <c r="G135" s="234"/>
      <c r="H135" s="287" t="s">
        <v>2123</v>
      </c>
      <c r="I135" s="234"/>
      <c r="J135" s="234"/>
      <c r="L135" s="173"/>
      <c r="M135" s="173"/>
      <c r="N135" s="173"/>
      <c r="O135" s="173"/>
      <c r="P135" s="173"/>
      <c r="Q135" s="173"/>
      <c r="R135" s="173"/>
      <c r="S135" s="173"/>
      <c r="T135" s="173"/>
      <c r="U135" s="173"/>
      <c r="V135" s="173"/>
      <c r="W135" s="173"/>
      <c r="X135" s="173"/>
      <c r="Y135" s="173"/>
      <c r="Z135" s="173"/>
      <c r="AA135" s="173"/>
      <c r="AB135" s="173"/>
      <c r="AC135" s="173"/>
      <c r="AD135" s="173"/>
    </row>
    <row r="136" spans="1:30" s="179" customFormat="1" ht="13.8">
      <c r="A136" s="180"/>
      <c r="B136" s="234"/>
      <c r="C136" s="234"/>
      <c r="D136" s="234"/>
      <c r="E136" s="234"/>
      <c r="F136" s="234"/>
      <c r="G136" s="234"/>
      <c r="H136" s="287" t="s">
        <v>2124</v>
      </c>
      <c r="I136" s="234"/>
      <c r="J136" s="234"/>
      <c r="L136" s="173"/>
      <c r="M136" s="173"/>
      <c r="N136" s="173"/>
      <c r="O136" s="173"/>
      <c r="P136" s="173"/>
      <c r="Q136" s="173"/>
      <c r="R136" s="173"/>
      <c r="S136" s="173"/>
      <c r="T136" s="173"/>
      <c r="U136" s="173"/>
      <c r="V136" s="173"/>
      <c r="W136" s="173"/>
      <c r="X136" s="173"/>
      <c r="Y136" s="173"/>
      <c r="Z136" s="173"/>
      <c r="AA136" s="173"/>
      <c r="AB136" s="173"/>
      <c r="AC136" s="173"/>
      <c r="AD136" s="173"/>
    </row>
    <row r="137" spans="1:30" s="179" customFormat="1" ht="20.25" customHeight="1">
      <c r="A137" s="180"/>
      <c r="B137" s="234" t="s">
        <v>668</v>
      </c>
      <c r="C137" s="234"/>
      <c r="D137" s="234"/>
      <c r="E137" s="234"/>
      <c r="F137" s="234"/>
      <c r="G137" s="234"/>
      <c r="H137" s="287" t="s">
        <v>2125</v>
      </c>
      <c r="I137" s="288"/>
      <c r="J137" s="234"/>
      <c r="L137" s="173"/>
      <c r="M137" s="173"/>
      <c r="N137" s="173"/>
      <c r="O137" s="173"/>
      <c r="P137" s="173"/>
      <c r="Q137" s="173"/>
      <c r="R137" s="173"/>
      <c r="S137" s="173"/>
      <c r="T137" s="173"/>
      <c r="U137" s="173"/>
      <c r="V137" s="173"/>
      <c r="W137" s="173"/>
      <c r="X137" s="173"/>
      <c r="Y137" s="173"/>
      <c r="Z137" s="173"/>
      <c r="AA137" s="173"/>
      <c r="AB137" s="173"/>
      <c r="AC137" s="173"/>
      <c r="AD137" s="173"/>
    </row>
    <row r="138" spans="1:30" s="179" customFormat="1" ht="19.5" customHeight="1">
      <c r="A138" s="180"/>
      <c r="B138" s="234" t="str">
        <f>"The Superintending Engineer (PR), "&amp;$L$7</f>
        <v>The Superintending Engineer (PR), Vikarabad</v>
      </c>
      <c r="C138" s="234"/>
      <c r="D138" s="234"/>
      <c r="E138" s="234"/>
      <c r="F138" s="234"/>
      <c r="G138" s="234"/>
      <c r="H138" s="288"/>
      <c r="I138" s="234"/>
      <c r="J138" s="234"/>
      <c r="L138" s="173"/>
      <c r="M138" s="173"/>
      <c r="N138" s="173"/>
      <c r="O138" s="173"/>
      <c r="P138" s="173"/>
      <c r="Q138" s="173"/>
      <c r="R138" s="173"/>
      <c r="S138" s="173"/>
      <c r="T138" s="173"/>
      <c r="U138" s="173"/>
      <c r="V138" s="173"/>
      <c r="W138" s="173"/>
      <c r="X138" s="173"/>
      <c r="Y138" s="173"/>
      <c r="Z138" s="173"/>
      <c r="AA138" s="173"/>
      <c r="AB138" s="173"/>
      <c r="AC138" s="173"/>
      <c r="AD138" s="173"/>
    </row>
    <row r="139" spans="1:30" s="179" customFormat="1" ht="13.8">
      <c r="A139" s="180"/>
      <c r="B139" s="234"/>
      <c r="C139" s="234"/>
      <c r="D139" s="289"/>
      <c r="E139" s="289"/>
      <c r="F139" s="289"/>
      <c r="G139" s="289"/>
      <c r="H139" s="288"/>
      <c r="I139" s="289"/>
      <c r="J139" s="289"/>
      <c r="L139" s="173"/>
      <c r="M139" s="173"/>
      <c r="N139" s="173"/>
      <c r="O139" s="173"/>
      <c r="P139" s="173"/>
      <c r="Q139" s="173"/>
      <c r="R139" s="173"/>
      <c r="S139" s="173"/>
      <c r="T139" s="173"/>
      <c r="U139" s="173"/>
      <c r="V139" s="173"/>
      <c r="W139" s="173"/>
      <c r="X139" s="173"/>
      <c r="Y139" s="173"/>
      <c r="Z139" s="173"/>
      <c r="AA139" s="173"/>
      <c r="AB139" s="173"/>
      <c r="AC139" s="173"/>
      <c r="AD139" s="173"/>
    </row>
    <row r="140" spans="1:30" s="179" customFormat="1" ht="13.8">
      <c r="A140" s="180"/>
      <c r="B140" s="234"/>
      <c r="C140" s="234"/>
      <c r="D140" s="289"/>
      <c r="E140" s="289"/>
      <c r="F140" s="289"/>
      <c r="G140" s="289"/>
      <c r="H140" s="288"/>
      <c r="I140" s="289"/>
      <c r="J140" s="289"/>
      <c r="L140" s="173"/>
      <c r="M140" s="173"/>
      <c r="N140" s="173"/>
      <c r="O140" s="173"/>
      <c r="P140" s="173"/>
      <c r="Q140" s="173"/>
      <c r="R140" s="173"/>
      <c r="S140" s="173"/>
      <c r="T140" s="173"/>
      <c r="U140" s="173"/>
      <c r="V140" s="173"/>
      <c r="W140" s="173"/>
      <c r="X140" s="173"/>
      <c r="Y140" s="173"/>
      <c r="Z140" s="173"/>
      <c r="AA140" s="173"/>
      <c r="AB140" s="173"/>
      <c r="AC140" s="173"/>
      <c r="AD140" s="173"/>
    </row>
    <row r="141" spans="1:30" s="179" customFormat="1" ht="13.8">
      <c r="A141" s="180"/>
      <c r="B141" s="234"/>
      <c r="C141" s="234"/>
      <c r="D141" s="289"/>
      <c r="E141" s="289"/>
      <c r="F141" s="290"/>
      <c r="G141" s="290"/>
      <c r="H141" s="286" t="s">
        <v>669</v>
      </c>
      <c r="I141" s="290"/>
      <c r="J141" s="290"/>
      <c r="L141" s="173"/>
      <c r="M141" s="173"/>
      <c r="N141" s="173"/>
      <c r="O141" s="173"/>
      <c r="P141" s="173"/>
      <c r="Q141" s="173"/>
      <c r="R141" s="173"/>
      <c r="S141" s="173"/>
      <c r="T141" s="173"/>
      <c r="U141" s="173"/>
      <c r="V141" s="173"/>
      <c r="W141" s="173"/>
      <c r="X141" s="173"/>
      <c r="Y141" s="173"/>
      <c r="Z141" s="173"/>
      <c r="AA141" s="173"/>
      <c r="AB141" s="173"/>
      <c r="AC141" s="173"/>
      <c r="AD141" s="173"/>
    </row>
    <row r="142" spans="1:30" s="179" customFormat="1" ht="13.8">
      <c r="A142" s="180"/>
      <c r="B142" s="234"/>
      <c r="C142" s="234"/>
      <c r="D142" s="289"/>
      <c r="E142" s="289"/>
      <c r="F142" s="290"/>
      <c r="G142" s="290"/>
      <c r="H142" s="286"/>
      <c r="I142" s="290"/>
      <c r="J142" s="290"/>
      <c r="L142" s="173"/>
      <c r="M142" s="173"/>
      <c r="N142" s="173"/>
      <c r="O142" s="173"/>
      <c r="P142" s="173"/>
      <c r="Q142" s="173"/>
      <c r="R142" s="173"/>
      <c r="S142" s="173"/>
      <c r="T142" s="173"/>
      <c r="U142" s="173"/>
      <c r="V142" s="173"/>
      <c r="W142" s="173"/>
      <c r="X142" s="173"/>
      <c r="Y142" s="173"/>
      <c r="Z142" s="173"/>
      <c r="AA142" s="173"/>
      <c r="AB142" s="173"/>
      <c r="AC142" s="173"/>
      <c r="AD142" s="173"/>
    </row>
    <row r="143" spans="1:30" s="179" customFormat="1" ht="13.8">
      <c r="A143" s="180"/>
      <c r="B143" s="288"/>
      <c r="C143" s="288"/>
      <c r="D143" s="288"/>
      <c r="E143" s="288"/>
      <c r="F143" s="291"/>
      <c r="G143" s="291"/>
      <c r="H143" s="286"/>
      <c r="I143" s="293"/>
      <c r="J143" s="293"/>
      <c r="L143" s="173"/>
      <c r="M143" s="173"/>
      <c r="N143" s="173"/>
      <c r="O143" s="173"/>
      <c r="P143" s="173"/>
      <c r="Q143" s="173"/>
      <c r="R143" s="173"/>
      <c r="S143" s="173"/>
      <c r="T143" s="173"/>
      <c r="U143" s="173"/>
      <c r="V143" s="173"/>
      <c r="W143" s="173"/>
      <c r="X143" s="173"/>
      <c r="Y143" s="173"/>
      <c r="Z143" s="173"/>
      <c r="AA143" s="173"/>
      <c r="AB143" s="173"/>
      <c r="AC143" s="173"/>
      <c r="AD143" s="173"/>
    </row>
    <row r="144" spans="1:30" s="179" customFormat="1" ht="13.8">
      <c r="A144" s="180"/>
      <c r="B144" s="288"/>
      <c r="C144" s="288"/>
      <c r="D144" s="288"/>
      <c r="E144" s="288"/>
      <c r="F144" s="291"/>
      <c r="G144" s="291"/>
      <c r="H144" s="286" t="s">
        <v>2126</v>
      </c>
      <c r="I144" s="293"/>
      <c r="J144" s="293"/>
      <c r="L144" s="173"/>
      <c r="M144" s="173"/>
      <c r="N144" s="173"/>
      <c r="O144" s="173"/>
      <c r="P144" s="173"/>
      <c r="Q144" s="173"/>
      <c r="R144" s="173"/>
      <c r="S144" s="173"/>
      <c r="T144" s="173"/>
      <c r="U144" s="173"/>
      <c r="V144" s="173"/>
      <c r="W144" s="173"/>
      <c r="X144" s="173"/>
      <c r="Y144" s="173"/>
      <c r="Z144" s="173"/>
      <c r="AA144" s="173"/>
      <c r="AB144" s="173"/>
      <c r="AC144" s="173"/>
      <c r="AD144" s="173"/>
    </row>
    <row r="145" spans="1:30" s="179" customFormat="1" ht="13.8">
      <c r="A145" s="180"/>
      <c r="B145" s="288"/>
      <c r="C145" s="288"/>
      <c r="D145" s="288"/>
      <c r="E145" s="288"/>
      <c r="F145" s="292"/>
      <c r="G145" s="292"/>
      <c r="H145" s="293"/>
      <c r="I145" s="288"/>
      <c r="J145" s="288"/>
      <c r="L145" s="173"/>
      <c r="M145" s="173"/>
      <c r="N145" s="173"/>
      <c r="O145" s="173"/>
      <c r="P145" s="173"/>
      <c r="Q145" s="173"/>
      <c r="R145" s="173"/>
      <c r="S145" s="173"/>
      <c r="T145" s="173"/>
      <c r="U145" s="173"/>
      <c r="V145" s="173"/>
      <c r="W145" s="173"/>
      <c r="X145" s="173"/>
      <c r="Y145" s="173"/>
      <c r="Z145" s="173"/>
      <c r="AA145" s="173"/>
      <c r="AB145" s="173"/>
      <c r="AC145" s="173"/>
      <c r="AD145" s="173"/>
    </row>
    <row r="146" spans="1:30" s="179" customFormat="1" ht="13.8">
      <c r="A146" s="294" t="s">
        <v>2127</v>
      </c>
      <c r="B146" s="288"/>
      <c r="C146" s="288"/>
      <c r="D146" s="288"/>
      <c r="E146" s="288"/>
      <c r="F146" s="292"/>
      <c r="G146" s="292"/>
      <c r="H146" s="293"/>
      <c r="I146" s="288"/>
      <c r="J146" s="288"/>
      <c r="L146" s="173"/>
      <c r="M146" s="173"/>
      <c r="N146" s="173"/>
      <c r="O146" s="173"/>
      <c r="P146" s="173"/>
      <c r="Q146" s="173"/>
      <c r="R146" s="173"/>
      <c r="S146" s="173"/>
      <c r="T146" s="173"/>
      <c r="U146" s="173"/>
      <c r="V146" s="173"/>
      <c r="W146" s="173"/>
      <c r="X146" s="173"/>
      <c r="Y146" s="173"/>
      <c r="Z146" s="173"/>
      <c r="AA146" s="173"/>
      <c r="AB146" s="173"/>
      <c r="AC146" s="173"/>
      <c r="AD146" s="173"/>
    </row>
    <row r="147" spans="1:30" s="179" customFormat="1" ht="46.5" customHeight="1">
      <c r="A147" s="4183" t="str">
        <f>"                The "&amp;L44&amp;"  qualified tender of "&amp;B35&amp;" is accepted at "&amp;I35&amp;" than the Estimated rates with "&amp;M13&amp;" with a TCV of Rs."&amp;G35</f>
        <v xml:space="preserve">                The Lowest  qualified tender of Sri.J.Aswarthulu is accepted at 6.78% Less than the Estimated rates with SSR-2018-19 with a TCV of Rs.8888001.24</v>
      </c>
      <c r="B147" s="4183"/>
      <c r="C147" s="4183"/>
      <c r="D147" s="4183"/>
      <c r="E147" s="4183"/>
      <c r="F147" s="4183"/>
      <c r="G147" s="4183"/>
      <c r="H147" s="4183"/>
      <c r="I147" s="4183"/>
      <c r="J147" s="288"/>
      <c r="L147" s="173"/>
      <c r="M147" s="173"/>
      <c r="N147" s="173"/>
      <c r="O147" s="173"/>
      <c r="P147" s="173"/>
      <c r="Q147" s="173"/>
      <c r="R147" s="173"/>
      <c r="S147" s="173"/>
      <c r="T147" s="173"/>
      <c r="U147" s="173"/>
      <c r="V147" s="173"/>
      <c r="W147" s="173"/>
      <c r="X147" s="173"/>
      <c r="Y147" s="173"/>
      <c r="Z147" s="173"/>
      <c r="AA147" s="173"/>
      <c r="AB147" s="173"/>
      <c r="AC147" s="173"/>
      <c r="AD147" s="173"/>
    </row>
    <row r="148" spans="1:30" s="179" customFormat="1" ht="13.8">
      <c r="A148" s="180"/>
      <c r="B148" s="288"/>
      <c r="C148" s="288"/>
      <c r="D148" s="288"/>
      <c r="E148" s="288"/>
      <c r="F148" s="292"/>
      <c r="G148" s="292"/>
      <c r="H148" s="288"/>
      <c r="I148" s="288"/>
      <c r="J148" s="288"/>
      <c r="L148" s="173"/>
      <c r="M148" s="173"/>
      <c r="N148" s="173"/>
      <c r="O148" s="173"/>
      <c r="P148" s="173"/>
      <c r="Q148" s="173"/>
      <c r="R148" s="173"/>
      <c r="S148" s="173"/>
      <c r="T148" s="173"/>
      <c r="U148" s="173"/>
      <c r="V148" s="173"/>
      <c r="W148" s="173"/>
      <c r="X148" s="173"/>
      <c r="Y148" s="173"/>
      <c r="Z148" s="173"/>
      <c r="AA148" s="173"/>
      <c r="AB148" s="173"/>
      <c r="AC148" s="173"/>
      <c r="AD148" s="173"/>
    </row>
    <row r="149" spans="1:30" s="179" customFormat="1" ht="13.8">
      <c r="A149" s="180"/>
      <c r="B149" s="288"/>
      <c r="C149" s="288"/>
      <c r="D149" s="288"/>
      <c r="E149" s="288"/>
      <c r="F149" s="292"/>
      <c r="G149" s="292"/>
      <c r="H149" s="288"/>
      <c r="I149" s="288"/>
      <c r="J149" s="288"/>
      <c r="L149" s="173"/>
      <c r="M149" s="173"/>
      <c r="N149" s="173"/>
      <c r="O149" s="173"/>
      <c r="P149" s="173"/>
      <c r="Q149" s="173"/>
      <c r="R149" s="173"/>
      <c r="S149" s="173"/>
      <c r="T149" s="173"/>
      <c r="U149" s="173"/>
      <c r="V149" s="173"/>
      <c r="W149" s="173"/>
      <c r="X149" s="173"/>
      <c r="Y149" s="173"/>
      <c r="Z149" s="173"/>
      <c r="AA149" s="173"/>
      <c r="AB149" s="173"/>
      <c r="AC149" s="173"/>
      <c r="AD149" s="173"/>
    </row>
  </sheetData>
  <mergeCells count="231">
    <mergeCell ref="B132:J132"/>
    <mergeCell ref="L132:T132"/>
    <mergeCell ref="B133:J133"/>
    <mergeCell ref="A147:I147"/>
    <mergeCell ref="A16:A17"/>
    <mergeCell ref="B16:B17"/>
    <mergeCell ref="G53:J56"/>
    <mergeCell ref="E50:F51"/>
    <mergeCell ref="A1:J12"/>
    <mergeCell ref="N10:R12"/>
    <mergeCell ref="B124:J124"/>
    <mergeCell ref="B125:J125"/>
    <mergeCell ref="B126:J126"/>
    <mergeCell ref="B127:J127"/>
    <mergeCell ref="B128:J128"/>
    <mergeCell ref="B129:J129"/>
    <mergeCell ref="B130:J130"/>
    <mergeCell ref="L130:T130"/>
    <mergeCell ref="B131:J131"/>
    <mergeCell ref="C113:J113"/>
    <mergeCell ref="C114:J114"/>
    <mergeCell ref="C115:J115"/>
    <mergeCell ref="B118:J118"/>
    <mergeCell ref="B119:J119"/>
    <mergeCell ref="B120:J120"/>
    <mergeCell ref="B121:J121"/>
    <mergeCell ref="B122:J122"/>
    <mergeCell ref="B123:J123"/>
    <mergeCell ref="B100:J100"/>
    <mergeCell ref="B101:J101"/>
    <mergeCell ref="B104:J104"/>
    <mergeCell ref="B105:J105"/>
    <mergeCell ref="B108:J108"/>
    <mergeCell ref="B109:J109"/>
    <mergeCell ref="B110:J110"/>
    <mergeCell ref="C111:J111"/>
    <mergeCell ref="C112:J112"/>
    <mergeCell ref="B94:F94"/>
    <mergeCell ref="G94:H94"/>
    <mergeCell ref="I94:J94"/>
    <mergeCell ref="B95:F95"/>
    <mergeCell ref="G95:H95"/>
    <mergeCell ref="I95:J95"/>
    <mergeCell ref="B96:J96"/>
    <mergeCell ref="B98:J98"/>
    <mergeCell ref="B99:J99"/>
    <mergeCell ref="C91:F91"/>
    <mergeCell ref="G91:H91"/>
    <mergeCell ref="I91:J91"/>
    <mergeCell ref="B92:F92"/>
    <mergeCell ref="G92:H92"/>
    <mergeCell ref="I92:J92"/>
    <mergeCell ref="B93:F93"/>
    <mergeCell ref="G93:H93"/>
    <mergeCell ref="I93:J93"/>
    <mergeCell ref="C88:F88"/>
    <mergeCell ref="G88:H88"/>
    <mergeCell ref="I88:J88"/>
    <mergeCell ref="C89:F89"/>
    <mergeCell ref="G89:H89"/>
    <mergeCell ref="I89:J89"/>
    <mergeCell ref="C90:F90"/>
    <mergeCell ref="G90:H90"/>
    <mergeCell ref="I90:J90"/>
    <mergeCell ref="C85:F85"/>
    <mergeCell ref="G85:H85"/>
    <mergeCell ref="I85:J85"/>
    <mergeCell ref="C86:F86"/>
    <mergeCell ref="G86:H86"/>
    <mergeCell ref="I86:J86"/>
    <mergeCell ref="C87:F87"/>
    <mergeCell ref="G87:H87"/>
    <mergeCell ref="I87:J87"/>
    <mergeCell ref="C82:F82"/>
    <mergeCell ref="G82:H82"/>
    <mergeCell ref="I82:J82"/>
    <mergeCell ref="C83:F83"/>
    <mergeCell ref="G83:H83"/>
    <mergeCell ref="I83:J83"/>
    <mergeCell ref="C84:F84"/>
    <mergeCell ref="G84:H84"/>
    <mergeCell ref="I84:J84"/>
    <mergeCell ref="C79:F79"/>
    <mergeCell ref="G79:H79"/>
    <mergeCell ref="I79:J79"/>
    <mergeCell ref="C80:F80"/>
    <mergeCell ref="G80:H80"/>
    <mergeCell ref="I80:J80"/>
    <mergeCell ref="C81:F81"/>
    <mergeCell ref="G81:H81"/>
    <mergeCell ref="I81:J81"/>
    <mergeCell ref="C76:F76"/>
    <mergeCell ref="G76:H76"/>
    <mergeCell ref="I76:J76"/>
    <mergeCell ref="C77:F77"/>
    <mergeCell ref="G77:H77"/>
    <mergeCell ref="I77:J77"/>
    <mergeCell ref="C78:F78"/>
    <mergeCell ref="G78:H78"/>
    <mergeCell ref="I78:J78"/>
    <mergeCell ref="B72:H72"/>
    <mergeCell ref="I72:J72"/>
    <mergeCell ref="C73:F73"/>
    <mergeCell ref="G73:H73"/>
    <mergeCell ref="I73:J73"/>
    <mergeCell ref="C74:F74"/>
    <mergeCell ref="G74:H74"/>
    <mergeCell ref="I74:J74"/>
    <mergeCell ref="C75:F75"/>
    <mergeCell ref="G75:H75"/>
    <mergeCell ref="I75:J75"/>
    <mergeCell ref="B69:D69"/>
    <mergeCell ref="E69:F69"/>
    <mergeCell ref="G69:I69"/>
    <mergeCell ref="B70:F70"/>
    <mergeCell ref="G70:H70"/>
    <mergeCell ref="I70:J70"/>
    <mergeCell ref="B71:F71"/>
    <mergeCell ref="G71:H71"/>
    <mergeCell ref="I71:J71"/>
    <mergeCell ref="B66:D66"/>
    <mergeCell ref="E66:F66"/>
    <mergeCell ref="G66:I66"/>
    <mergeCell ref="B67:D67"/>
    <mergeCell ref="E67:F67"/>
    <mergeCell ref="G67:I67"/>
    <mergeCell ref="B68:D68"/>
    <mergeCell ref="E68:F68"/>
    <mergeCell ref="G68:I68"/>
    <mergeCell ref="B63:D63"/>
    <mergeCell ref="E63:F63"/>
    <mergeCell ref="G63:I63"/>
    <mergeCell ref="B64:D64"/>
    <mergeCell ref="E64:F64"/>
    <mergeCell ref="G64:I64"/>
    <mergeCell ref="B65:D65"/>
    <mergeCell ref="E65:F65"/>
    <mergeCell ref="G65:I65"/>
    <mergeCell ref="B60:D60"/>
    <mergeCell ref="E60:F60"/>
    <mergeCell ref="G60:I60"/>
    <mergeCell ref="B61:D61"/>
    <mergeCell ref="E61:F61"/>
    <mergeCell ref="G61:I61"/>
    <mergeCell ref="B62:D62"/>
    <mergeCell ref="E62:F62"/>
    <mergeCell ref="G62:I62"/>
    <mergeCell ref="B54:F54"/>
    <mergeCell ref="B55:F55"/>
    <mergeCell ref="B56:F56"/>
    <mergeCell ref="B57:D57"/>
    <mergeCell ref="E57:F57"/>
    <mergeCell ref="G57:I57"/>
    <mergeCell ref="E58:F58"/>
    <mergeCell ref="G58:I58"/>
    <mergeCell ref="B59:D59"/>
    <mergeCell ref="E59:F59"/>
    <mergeCell ref="G59:I59"/>
    <mergeCell ref="B47:J47"/>
    <mergeCell ref="B49:J49"/>
    <mergeCell ref="B50:D50"/>
    <mergeCell ref="G50:J50"/>
    <mergeCell ref="B51:D51"/>
    <mergeCell ref="G51:J51"/>
    <mergeCell ref="B52:F52"/>
    <mergeCell ref="I52:J52"/>
    <mergeCell ref="B53:F53"/>
    <mergeCell ref="B43:C43"/>
    <mergeCell ref="E43:F43"/>
    <mergeCell ref="G43:H43"/>
    <mergeCell ref="B44:C44"/>
    <mergeCell ref="E44:F44"/>
    <mergeCell ref="G44:H44"/>
    <mergeCell ref="B45:C45"/>
    <mergeCell ref="E45:F45"/>
    <mergeCell ref="G45:H45"/>
    <mergeCell ref="B40:C40"/>
    <mergeCell ref="E40:F40"/>
    <mergeCell ref="G40:H40"/>
    <mergeCell ref="B41:C41"/>
    <mergeCell ref="E41:F41"/>
    <mergeCell ref="G41:H41"/>
    <mergeCell ref="B42:C42"/>
    <mergeCell ref="E42:F42"/>
    <mergeCell ref="G42:H42"/>
    <mergeCell ref="B37:C37"/>
    <mergeCell ref="E37:F37"/>
    <mergeCell ref="G37:H37"/>
    <mergeCell ref="B38:C38"/>
    <mergeCell ref="E38:F38"/>
    <mergeCell ref="G38:H38"/>
    <mergeCell ref="B39:C39"/>
    <mergeCell ref="E39:F39"/>
    <mergeCell ref="G39:H39"/>
    <mergeCell ref="B33:J33"/>
    <mergeCell ref="B34:C34"/>
    <mergeCell ref="E34:F34"/>
    <mergeCell ref="G34:H34"/>
    <mergeCell ref="B35:C35"/>
    <mergeCell ref="E35:F35"/>
    <mergeCell ref="G35:H35"/>
    <mergeCell ref="B36:C36"/>
    <mergeCell ref="E36:F36"/>
    <mergeCell ref="G36:H36"/>
    <mergeCell ref="F27:G27"/>
    <mergeCell ref="I27:J27"/>
    <mergeCell ref="F28:G28"/>
    <mergeCell ref="I28:J28"/>
    <mergeCell ref="F29:G29"/>
    <mergeCell ref="I29:J29"/>
    <mergeCell ref="F30:G30"/>
    <mergeCell ref="F31:G31"/>
    <mergeCell ref="F32:G32"/>
    <mergeCell ref="C20:J20"/>
    <mergeCell ref="C21:J21"/>
    <mergeCell ref="B22:D22"/>
    <mergeCell ref="E22:G22"/>
    <mergeCell ref="H22:J22"/>
    <mergeCell ref="B23:J23"/>
    <mergeCell ref="B24:J24"/>
    <mergeCell ref="B25:J25"/>
    <mergeCell ref="B26:J26"/>
    <mergeCell ref="N8:R8"/>
    <mergeCell ref="O9:R9"/>
    <mergeCell ref="B13:J13"/>
    <mergeCell ref="B14:J14"/>
    <mergeCell ref="C15:J15"/>
    <mergeCell ref="C16:J16"/>
    <mergeCell ref="C17:J17"/>
    <mergeCell ref="C18:J18"/>
    <mergeCell ref="C19:J19"/>
  </mergeCells>
  <printOptions horizontalCentered="1"/>
  <pageMargins left="0.39370078740157499" right="0.47244094488188998" top="0.74803149606299202" bottom="0.511811023622047" header="0.23622047244094499" footer="0.23622047244094499"/>
  <pageSetup paperSize="9" orientation="portrait" r:id="rId1"/>
  <headerFooter alignWithMargins="0"/>
  <rowBreaks count="3" manualBreakCount="3">
    <brk id="48" max="9" man="1"/>
    <brk id="103" max="9" man="1"/>
    <brk id="107" max="9"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000099"/>
  </sheetPr>
  <dimension ref="A1:N360"/>
  <sheetViews>
    <sheetView view="pageBreakPreview" topLeftCell="A192" zoomScaleNormal="90" zoomScaleSheetLayoutView="100" workbookViewId="0">
      <selection activeCell="H29" sqref="H29:P29"/>
    </sheetView>
  </sheetViews>
  <sheetFormatPr defaultColWidth="9.109375" defaultRowHeight="13.2"/>
  <cols>
    <col min="1" max="1" width="9.109375" style="2954" customWidth="1"/>
    <col min="2" max="2" width="6.33203125" style="2969" customWidth="1"/>
    <col min="3" max="3" width="3.33203125" style="2956" customWidth="1"/>
    <col min="4" max="4" width="38.44140625" style="2970" customWidth="1"/>
    <col min="5" max="5" width="18.88671875" style="2960" bestFit="1" customWidth="1"/>
    <col min="6" max="6" width="10.109375" style="2960" customWidth="1"/>
    <col min="7" max="7" width="10.44140625" style="2960" customWidth="1"/>
    <col min="8" max="8" width="11.33203125" style="2971" customWidth="1"/>
    <col min="9" max="9" width="8.6640625" style="2802" hidden="1" customWidth="1"/>
    <col min="10" max="14" width="9.109375" style="2802" hidden="1" customWidth="1"/>
    <col min="15" max="16384" width="9.109375" style="2802"/>
  </cols>
  <sheetData>
    <row r="1" spans="1:9" ht="20.25" customHeight="1">
      <c r="A1" s="4207" t="s">
        <v>2683</v>
      </c>
      <c r="B1" s="4207"/>
      <c r="C1" s="4207"/>
      <c r="D1" s="4207"/>
      <c r="E1" s="4207"/>
      <c r="F1" s="4207"/>
      <c r="G1" s="4207"/>
      <c r="H1" s="4207"/>
      <c r="I1" s="2801"/>
    </row>
    <row r="2" spans="1:9" ht="24" customHeight="1">
      <c r="A2" s="4208" t="str">
        <f>'Input Data'!E1</f>
        <v>C/o HLB on R/F Amlikunta to Gundumal of Gundumal Mandal of Narayanept District.</v>
      </c>
      <c r="B2" s="4209"/>
      <c r="C2" s="4209"/>
      <c r="D2" s="4209"/>
      <c r="E2" s="4209"/>
      <c r="F2" s="4209"/>
      <c r="G2" s="4209"/>
      <c r="H2" s="4209"/>
      <c r="I2" s="2803"/>
    </row>
    <row r="3" spans="1:9" s="2806" customFormat="1" ht="30.75" customHeight="1">
      <c r="A3" s="2804" t="s">
        <v>2128</v>
      </c>
      <c r="B3" s="4210" t="s">
        <v>2129</v>
      </c>
      <c r="C3" s="4210"/>
      <c r="D3" s="2804" t="s">
        <v>529</v>
      </c>
      <c r="E3" s="2804" t="s">
        <v>965</v>
      </c>
      <c r="F3" s="2804" t="s">
        <v>3</v>
      </c>
      <c r="G3" s="2804" t="s">
        <v>1269</v>
      </c>
      <c r="H3" s="2805" t="s">
        <v>2130</v>
      </c>
    </row>
    <row r="4" spans="1:9" s="2808" customFormat="1" ht="18.899999999999999" customHeight="1">
      <c r="A4" s="2807"/>
      <c r="B4" s="4211">
        <v>1</v>
      </c>
      <c r="C4" s="4211"/>
      <c r="D4" s="2804">
        <v>2</v>
      </c>
      <c r="E4" s="2804">
        <v>3</v>
      </c>
      <c r="F4" s="2804">
        <v>4</v>
      </c>
      <c r="G4" s="2804">
        <v>5</v>
      </c>
      <c r="H4" s="2804">
        <v>6</v>
      </c>
      <c r="I4" s="2806"/>
    </row>
    <row r="5" spans="1:9" s="2808" customFormat="1" ht="9" customHeight="1">
      <c r="A5" s="2809"/>
      <c r="B5" s="4212" t="s">
        <v>2131</v>
      </c>
      <c r="C5" s="4212"/>
      <c r="D5" s="4212"/>
      <c r="E5" s="2810"/>
      <c r="F5" s="2810"/>
      <c r="G5" s="2810"/>
      <c r="H5" s="2811"/>
      <c r="I5" s="2803"/>
    </row>
    <row r="6" spans="1:9" s="2808" customFormat="1">
      <c r="A6" s="2812"/>
      <c r="B6" s="4213" t="s">
        <v>2132</v>
      </c>
      <c r="C6" s="4213"/>
      <c r="D6" s="4213"/>
      <c r="E6" s="2813"/>
      <c r="F6" s="2814">
        <f>+'Input Data'!D24</f>
        <v>0.13614999999999999</v>
      </c>
      <c r="G6" s="2813"/>
      <c r="H6" s="2815"/>
      <c r="I6" s="2803"/>
    </row>
    <row r="7" spans="1:9" s="2808" customFormat="1">
      <c r="A7" s="2812"/>
      <c r="B7" s="2813"/>
      <c r="C7" s="2813"/>
      <c r="D7" s="2813" t="s">
        <v>2133</v>
      </c>
      <c r="E7" s="2813"/>
      <c r="F7" s="2814">
        <f>+'Input Data'!E24</f>
        <v>0.1</v>
      </c>
      <c r="G7" s="2813"/>
      <c r="H7" s="2815"/>
      <c r="I7" s="2803"/>
    </row>
    <row r="8" spans="1:9">
      <c r="A8" s="2816"/>
      <c r="B8" s="4214" t="str">
        <f>"Muncipal AAllowance/Area Allowance @ "&amp;F8*100&amp;"%"</f>
        <v>Muncipal AAllowance/Area Allowance @ 0%</v>
      </c>
      <c r="C8" s="4214"/>
      <c r="D8" s="4214"/>
      <c r="E8" s="2817"/>
      <c r="F8" s="2818">
        <f>+'Input Data'!D23</f>
        <v>0</v>
      </c>
      <c r="G8" s="2813"/>
      <c r="H8" s="2819"/>
    </row>
    <row r="9" spans="1:9">
      <c r="A9" s="4215" t="s">
        <v>2134</v>
      </c>
      <c r="B9" s="4215"/>
      <c r="C9" s="4215"/>
      <c r="D9" s="4215"/>
      <c r="E9" s="4215"/>
      <c r="F9" s="4215"/>
      <c r="G9" s="4215"/>
      <c r="H9" s="4215"/>
    </row>
    <row r="10" spans="1:9" ht="44.1" hidden="1" customHeight="1">
      <c r="A10" s="2820" t="s">
        <v>2135</v>
      </c>
      <c r="B10" s="2821">
        <v>1</v>
      </c>
      <c r="C10" s="2820"/>
      <c r="D10" s="4216" t="s">
        <v>2136</v>
      </c>
      <c r="E10" s="4216"/>
      <c r="F10" s="4216"/>
      <c r="G10" s="4216"/>
      <c r="H10" s="2822"/>
    </row>
    <row r="11" spans="1:9" hidden="1">
      <c r="A11" s="2823"/>
      <c r="B11" s="2821"/>
      <c r="C11" s="2820"/>
      <c r="D11" s="2824" t="s">
        <v>1920</v>
      </c>
      <c r="E11" s="2823"/>
      <c r="F11" s="2823"/>
      <c r="G11" s="2822"/>
      <c r="H11" s="2822"/>
    </row>
    <row r="12" spans="1:9" hidden="1">
      <c r="A12" s="2823"/>
      <c r="B12" s="2821"/>
      <c r="C12" s="2825"/>
      <c r="D12" s="2826" t="s">
        <v>251</v>
      </c>
      <c r="E12" s="2823"/>
      <c r="F12" s="2823"/>
      <c r="G12" s="2822"/>
      <c r="H12" s="2822"/>
    </row>
    <row r="13" spans="1:9" ht="26.4" hidden="1">
      <c r="A13" s="2823"/>
      <c r="B13" s="2821"/>
      <c r="C13" s="2820"/>
      <c r="D13" s="2824" t="s">
        <v>2137</v>
      </c>
      <c r="E13" s="2823" t="s">
        <v>1123</v>
      </c>
      <c r="F13" s="2827">
        <v>1.05</v>
      </c>
      <c r="G13" s="2822">
        <f>+lead!J37</f>
        <v>49000</v>
      </c>
      <c r="H13" s="2828">
        <f>ROUND(F13*G13,2)</f>
        <v>51450</v>
      </c>
    </row>
    <row r="14" spans="1:9" hidden="1">
      <c r="A14" s="2823"/>
      <c r="B14" s="2821"/>
      <c r="C14" s="2820"/>
      <c r="D14" s="2824" t="s">
        <v>2138</v>
      </c>
      <c r="E14" s="2823" t="s">
        <v>2139</v>
      </c>
      <c r="F14" s="2827">
        <v>6</v>
      </c>
      <c r="G14" s="2829">
        <f>+'SSR-rates'!K93</f>
        <v>83</v>
      </c>
      <c r="H14" s="2828">
        <f>ROUND(F14*G14,2)</f>
        <v>498</v>
      </c>
    </row>
    <row r="15" spans="1:9" ht="26.4" hidden="1">
      <c r="A15" s="2823"/>
      <c r="B15" s="2821"/>
      <c r="C15" s="2820"/>
      <c r="D15" s="2824" t="s">
        <v>2140</v>
      </c>
      <c r="E15" s="2823"/>
      <c r="F15" s="2827"/>
      <c r="G15" s="2822"/>
      <c r="H15" s="2822"/>
    </row>
    <row r="16" spans="1:9" hidden="1">
      <c r="A16" s="2823"/>
      <c r="B16" s="2821"/>
      <c r="C16" s="2820"/>
      <c r="D16" s="2824" t="s">
        <v>14</v>
      </c>
      <c r="E16" s="2823" t="s">
        <v>38</v>
      </c>
      <c r="F16" s="2827" t="s">
        <v>384</v>
      </c>
      <c r="G16" s="2822"/>
      <c r="H16" s="2830"/>
    </row>
    <row r="17" spans="1:8" hidden="1">
      <c r="A17" s="2823"/>
      <c r="B17" s="2821"/>
      <c r="C17" s="2820"/>
      <c r="D17" s="2824" t="s">
        <v>2141</v>
      </c>
      <c r="E17" s="2823" t="s">
        <v>38</v>
      </c>
      <c r="F17" s="2827">
        <v>2</v>
      </c>
      <c r="G17" s="2831">
        <f>+'SSR-rates'!K56</f>
        <v>640</v>
      </c>
      <c r="H17" s="2828">
        <f>ROUND(F17*G17,2)</f>
        <v>1280</v>
      </c>
    </row>
    <row r="18" spans="1:8" hidden="1">
      <c r="A18" s="2823"/>
      <c r="B18" s="2821"/>
      <c r="C18" s="2820"/>
      <c r="D18" s="2824" t="s">
        <v>1115</v>
      </c>
      <c r="E18" s="2823" t="s">
        <v>38</v>
      </c>
      <c r="F18" s="2827">
        <v>6.4</v>
      </c>
      <c r="G18" s="2832">
        <f>+'SSR-rates'!K60</f>
        <v>575</v>
      </c>
      <c r="H18" s="2828">
        <f>ROUND(F18*G18,2)</f>
        <v>3680</v>
      </c>
    </row>
    <row r="19" spans="1:8" hidden="1">
      <c r="A19" s="2823"/>
      <c r="B19" s="2821"/>
      <c r="C19" s="2820"/>
      <c r="D19" s="2833" t="str">
        <f>B8</f>
        <v>Muncipal AAllowance/Area Allowance @ 0%</v>
      </c>
      <c r="E19" s="2834">
        <f>F8</f>
        <v>0</v>
      </c>
      <c r="F19" s="2827"/>
      <c r="G19" s="2835"/>
      <c r="H19" s="2828">
        <f>SUM(H16:H18)*E19</f>
        <v>0</v>
      </c>
    </row>
    <row r="20" spans="1:8" hidden="1">
      <c r="A20" s="2823"/>
      <c r="B20" s="2821"/>
      <c r="C20" s="2820"/>
      <c r="D20" s="2836" t="s">
        <v>2142</v>
      </c>
      <c r="E20" s="2837">
        <v>0</v>
      </c>
      <c r="F20" s="2827"/>
      <c r="G20" s="2835"/>
      <c r="H20" s="2828">
        <f>SUM(H17:H19)*E20</f>
        <v>0</v>
      </c>
    </row>
    <row r="21" spans="1:8" hidden="1">
      <c r="A21" s="2823"/>
      <c r="B21" s="2821"/>
      <c r="C21" s="2820"/>
      <c r="D21" s="2826" t="s">
        <v>2143</v>
      </c>
      <c r="E21" s="2823"/>
      <c r="F21" s="2823"/>
      <c r="G21" s="2822"/>
      <c r="H21" s="2830">
        <f>SUM(H13:H20)</f>
        <v>56908</v>
      </c>
    </row>
    <row r="22" spans="1:8" hidden="1">
      <c r="A22" s="2823"/>
      <c r="B22" s="2821"/>
      <c r="C22" s="2820"/>
      <c r="D22" s="2826"/>
      <c r="E22" s="2823"/>
      <c r="F22" s="2823"/>
      <c r="G22" s="2822"/>
      <c r="H22" s="2830"/>
    </row>
    <row r="23" spans="1:8" hidden="1">
      <c r="A23" s="2823"/>
      <c r="B23" s="2821"/>
      <c r="C23" s="2820"/>
      <c r="D23" s="2826"/>
      <c r="E23" s="2823"/>
      <c r="F23" s="2823"/>
      <c r="G23" s="2822"/>
      <c r="H23" s="2830"/>
    </row>
    <row r="24" spans="1:8" ht="81.900000000000006" customHeight="1">
      <c r="A24" s="2838" t="s">
        <v>2144</v>
      </c>
      <c r="B24" s="2839">
        <f>B10+1</f>
        <v>2</v>
      </c>
      <c r="C24" s="2840"/>
      <c r="D24" s="4216" t="s">
        <v>1057</v>
      </c>
      <c r="E24" s="4216"/>
      <c r="F24" s="4216"/>
      <c r="G24" s="4216"/>
      <c r="H24" s="2841"/>
    </row>
    <row r="25" spans="1:8" ht="39.6">
      <c r="A25" s="2816"/>
      <c r="B25" s="2842"/>
      <c r="C25" s="2843"/>
      <c r="D25" s="2841" t="s">
        <v>2145</v>
      </c>
      <c r="E25" s="2816"/>
      <c r="F25" s="2816"/>
      <c r="G25" s="2844"/>
      <c r="H25" s="2845"/>
    </row>
    <row r="26" spans="1:8">
      <c r="A26" s="2816"/>
      <c r="B26" s="2842"/>
      <c r="C26" s="2843"/>
      <c r="D26" s="2841" t="s">
        <v>2146</v>
      </c>
      <c r="E26" s="2816"/>
      <c r="F26" s="2816"/>
      <c r="G26" s="2844"/>
      <c r="H26" s="2840"/>
    </row>
    <row r="27" spans="1:8">
      <c r="A27" s="2816"/>
      <c r="B27" s="2842"/>
      <c r="C27" s="2843"/>
      <c r="D27" s="2846" t="s">
        <v>2147</v>
      </c>
      <c r="E27" s="2838"/>
      <c r="F27" s="2816"/>
      <c r="G27" s="2838"/>
      <c r="H27" s="2840"/>
    </row>
    <row r="28" spans="1:8">
      <c r="A28" s="2816"/>
      <c r="B28" s="2847" t="s">
        <v>556</v>
      </c>
      <c r="C28" s="2843"/>
      <c r="D28" s="2846" t="s">
        <v>2148</v>
      </c>
      <c r="E28" s="2816"/>
      <c r="F28" s="2816"/>
      <c r="G28" s="2838"/>
      <c r="H28" s="2840"/>
    </row>
    <row r="29" spans="1:8">
      <c r="A29" s="2816"/>
      <c r="B29" s="2842"/>
      <c r="C29" s="2843"/>
      <c r="D29" s="2841" t="s">
        <v>10</v>
      </c>
      <c r="E29" s="2816"/>
      <c r="F29" s="2816"/>
      <c r="G29" s="2838"/>
      <c r="H29" s="2840"/>
    </row>
    <row r="30" spans="1:8">
      <c r="A30" s="2816"/>
      <c r="B30" s="2842"/>
      <c r="C30" s="2843"/>
      <c r="D30" s="2841" t="s">
        <v>84</v>
      </c>
      <c r="E30" s="2816"/>
      <c r="F30" s="2816"/>
      <c r="G30" s="2840"/>
      <c r="H30" s="2840"/>
    </row>
    <row r="31" spans="1:8">
      <c r="A31" s="2816"/>
      <c r="B31" s="2842"/>
      <c r="C31" s="2843"/>
      <c r="D31" s="2848" t="s">
        <v>2149</v>
      </c>
      <c r="E31" s="2816"/>
      <c r="F31" s="2816"/>
      <c r="G31" s="2816"/>
      <c r="H31" s="2840"/>
    </row>
    <row r="32" spans="1:8">
      <c r="A32" s="2816"/>
      <c r="B32" s="2842"/>
      <c r="C32" s="2843"/>
      <c r="D32" s="2841" t="s">
        <v>14</v>
      </c>
      <c r="E32" s="2816" t="s">
        <v>38</v>
      </c>
      <c r="F32" s="2849">
        <v>0.64</v>
      </c>
      <c r="G32" s="2828">
        <f>+'SSR-rates'!K58</f>
        <v>575</v>
      </c>
      <c r="H32" s="2850">
        <f>ROUND(F32*G32,2)</f>
        <v>368</v>
      </c>
    </row>
    <row r="33" spans="1:14">
      <c r="A33" s="2816"/>
      <c r="B33" s="2842"/>
      <c r="C33" s="2843"/>
      <c r="D33" s="2841" t="s">
        <v>1115</v>
      </c>
      <c r="E33" s="2816" t="s">
        <v>38</v>
      </c>
      <c r="F33" s="2849">
        <v>3</v>
      </c>
      <c r="G33" s="2828">
        <f>+'SSR-rates'!K60</f>
        <v>575</v>
      </c>
      <c r="H33" s="2850">
        <f>ROUND(F33*G33,2)</f>
        <v>1725</v>
      </c>
    </row>
    <row r="34" spans="1:14">
      <c r="A34" s="2816"/>
      <c r="B34" s="2842"/>
      <c r="C34" s="2843"/>
      <c r="D34" s="2851" t="str">
        <f>$B$8</f>
        <v>Muncipal AAllowance/Area Allowance @ 0%</v>
      </c>
      <c r="E34" s="2852">
        <f>$F$8</f>
        <v>0</v>
      </c>
      <c r="F34" s="2849"/>
      <c r="G34" s="2828"/>
      <c r="H34" s="2828">
        <f>SUM(H32:H33)*E34</f>
        <v>0</v>
      </c>
    </row>
    <row r="35" spans="1:14">
      <c r="A35" s="2816"/>
      <c r="B35" s="2847"/>
      <c r="C35" s="2843"/>
      <c r="D35" s="2853" t="s">
        <v>2150</v>
      </c>
      <c r="E35" s="2815" t="s">
        <v>31</v>
      </c>
      <c r="F35" s="2849">
        <v>10</v>
      </c>
      <c r="G35" s="2854">
        <v>0</v>
      </c>
      <c r="H35" s="2850">
        <f>ROUND(F35*G35,2)</f>
        <v>0</v>
      </c>
    </row>
    <row r="36" spans="1:14">
      <c r="A36" s="2816"/>
      <c r="B36" s="2842"/>
      <c r="C36" s="2843"/>
      <c r="D36" s="2841"/>
      <c r="E36" s="2816"/>
      <c r="F36" s="2849"/>
      <c r="G36" s="2855"/>
      <c r="H36" s="2856">
        <f>SUM(H32:H35)</f>
        <v>2093</v>
      </c>
    </row>
    <row r="37" spans="1:14">
      <c r="A37" s="2816"/>
      <c r="B37" s="2842"/>
      <c r="C37" s="2843"/>
      <c r="D37" s="2848" t="s">
        <v>2151</v>
      </c>
      <c r="E37" s="2816"/>
      <c r="F37" s="2816"/>
      <c r="G37" s="2855"/>
      <c r="H37" s="2856">
        <f>ROUND(H36/10,2)</f>
        <v>209.3</v>
      </c>
    </row>
    <row r="38" spans="1:14">
      <c r="A38" s="2857"/>
      <c r="B38" s="2858"/>
      <c r="C38" s="2859"/>
      <c r="D38" s="2860"/>
      <c r="E38" s="2860"/>
      <c r="F38" s="2860"/>
      <c r="G38" s="2860"/>
      <c r="H38" s="2861"/>
    </row>
    <row r="39" spans="1:14">
      <c r="A39" s="2816"/>
      <c r="B39" s="2862"/>
      <c r="C39" s="2813"/>
      <c r="D39" s="4217" t="s">
        <v>2152</v>
      </c>
      <c r="E39" s="4217"/>
      <c r="F39" s="4217"/>
      <c r="G39" s="4217"/>
      <c r="H39" s="2819"/>
    </row>
    <row r="40" spans="1:14" ht="47.25" customHeight="1">
      <c r="A40" s="2863" t="s">
        <v>2153</v>
      </c>
      <c r="B40" s="2862">
        <f>B24+1</f>
        <v>3</v>
      </c>
      <c r="C40" s="2813"/>
      <c r="D40" s="4216" t="s">
        <v>2969</v>
      </c>
      <c r="E40" s="4216"/>
      <c r="F40" s="4216"/>
      <c r="G40" s="4216"/>
      <c r="H40" s="2830"/>
    </row>
    <row r="41" spans="1:14" ht="52.8">
      <c r="A41" s="2816"/>
      <c r="B41" s="2862"/>
      <c r="C41" s="2813"/>
      <c r="D41" s="2826" t="s">
        <v>2970</v>
      </c>
      <c r="E41" s="2823"/>
      <c r="F41" s="2864"/>
      <c r="G41" s="2822"/>
      <c r="H41" s="2830"/>
    </row>
    <row r="42" spans="1:14" ht="53.25" customHeight="1">
      <c r="A42" s="2816"/>
      <c r="B42" s="2862"/>
      <c r="C42" s="2813"/>
      <c r="D42" s="2826" t="s">
        <v>2971</v>
      </c>
      <c r="E42" s="2823"/>
      <c r="F42" s="2864"/>
      <c r="G42" s="2822"/>
      <c r="H42" s="2830"/>
    </row>
    <row r="43" spans="1:14">
      <c r="A43" s="2816"/>
      <c r="B43" s="2862"/>
      <c r="C43" s="2813"/>
      <c r="D43" s="2826" t="s">
        <v>2154</v>
      </c>
      <c r="E43" s="2823"/>
      <c r="F43" s="2864"/>
      <c r="G43" s="2822"/>
      <c r="H43" s="2830"/>
    </row>
    <row r="44" spans="1:14">
      <c r="A44" s="2816"/>
      <c r="B44" s="2862"/>
      <c r="C44" s="2813"/>
      <c r="D44" s="2824" t="s">
        <v>10</v>
      </c>
      <c r="E44" s="2823"/>
      <c r="F44" s="2864"/>
      <c r="G44" s="2822"/>
      <c r="H44" s="2830"/>
    </row>
    <row r="45" spans="1:14">
      <c r="A45" s="2816"/>
      <c r="B45" s="2862"/>
      <c r="C45" s="2813"/>
      <c r="D45" s="2865" t="s">
        <v>2155</v>
      </c>
      <c r="E45" s="2823"/>
      <c r="F45" s="2864"/>
      <c r="G45" s="2822"/>
      <c r="H45" s="2830"/>
    </row>
    <row r="46" spans="1:14">
      <c r="A46" s="2816"/>
      <c r="B46" s="2862"/>
      <c r="C46" s="2813"/>
      <c r="D46" s="2824" t="s">
        <v>2156</v>
      </c>
      <c r="E46" s="2823"/>
      <c r="F46" s="2864"/>
      <c r="G46" s="2822"/>
      <c r="H46" s="2830"/>
    </row>
    <row r="47" spans="1:14">
      <c r="A47" s="2816"/>
      <c r="B47" s="2862"/>
      <c r="C47" s="2813"/>
      <c r="D47" s="2826" t="s">
        <v>251</v>
      </c>
      <c r="E47" s="2823"/>
      <c r="F47" s="2864"/>
      <c r="G47" s="2822"/>
      <c r="H47" s="2830"/>
    </row>
    <row r="48" spans="1:14">
      <c r="A48" s="2816"/>
      <c r="B48" s="2862"/>
      <c r="C48" s="2813"/>
      <c r="D48" s="2824" t="s">
        <v>1831</v>
      </c>
      <c r="E48" s="2823" t="s">
        <v>1123</v>
      </c>
      <c r="F48" s="2864">
        <v>4.13</v>
      </c>
      <c r="G48" s="2822">
        <f>+lead!J36</f>
        <v>5000</v>
      </c>
      <c r="H48" s="2866">
        <f t="shared" ref="H48:H53" si="0">ROUND(F48*G48,2)</f>
        <v>20650</v>
      </c>
      <c r="J48" s="2867">
        <f>H48</f>
        <v>20650</v>
      </c>
      <c r="K48" s="2868">
        <f>+J48*12.5%</f>
        <v>2581.25</v>
      </c>
      <c r="L48" s="2867">
        <f>+J48+K48</f>
        <v>23231.25</v>
      </c>
      <c r="M48" s="2867" t="e">
        <f>+L48+#REF!</f>
        <v>#REF!</v>
      </c>
      <c r="N48" s="2867" t="e">
        <f>+M48/1.125</f>
        <v>#REF!</v>
      </c>
    </row>
    <row r="49" spans="1:9" ht="26.4">
      <c r="A49" s="2816"/>
      <c r="B49" s="2862"/>
      <c r="C49" s="2813"/>
      <c r="D49" s="2824" t="s">
        <v>1716</v>
      </c>
      <c r="E49" s="2823" t="s">
        <v>31</v>
      </c>
      <c r="F49" s="2864">
        <f>6.75/2</f>
        <v>3.375</v>
      </c>
      <c r="G49" s="2822">
        <f>+lead!$J$31</f>
        <v>1760.9684020595876</v>
      </c>
      <c r="H49" s="2866">
        <f t="shared" si="0"/>
        <v>5943.27</v>
      </c>
    </row>
    <row r="50" spans="1:9">
      <c r="A50" s="2816"/>
      <c r="B50" s="2862"/>
      <c r="C50" s="2813"/>
      <c r="D50" s="2824" t="s">
        <v>1717</v>
      </c>
      <c r="E50" s="2823" t="s">
        <v>31</v>
      </c>
      <c r="F50" s="2864">
        <f>6.75/2</f>
        <v>3.375</v>
      </c>
      <c r="G50" s="2822">
        <f>+lead!$J$33</f>
        <v>1760.9684020595876</v>
      </c>
      <c r="H50" s="2866">
        <f t="shared" ref="H50" si="1">ROUND(F50*G50,2)</f>
        <v>5943.27</v>
      </c>
    </row>
    <row r="51" spans="1:9">
      <c r="A51" s="2816"/>
      <c r="B51" s="2862"/>
      <c r="C51" s="2813"/>
      <c r="D51" s="2824" t="s">
        <v>2157</v>
      </c>
      <c r="E51" s="2823" t="s">
        <v>31</v>
      </c>
      <c r="F51" s="2864">
        <v>8.1</v>
      </c>
      <c r="G51" s="2822">
        <f>+lead!J14</f>
        <v>1590.8641904678079</v>
      </c>
      <c r="H51" s="2866">
        <f t="shared" si="0"/>
        <v>12886</v>
      </c>
    </row>
    <row r="52" spans="1:9">
      <c r="A52" s="2816"/>
      <c r="B52" s="2862"/>
      <c r="C52" s="2813"/>
      <c r="D52" s="2824" t="s">
        <v>2158</v>
      </c>
      <c r="E52" s="2823" t="s">
        <v>31</v>
      </c>
      <c r="F52" s="2864">
        <v>4.05</v>
      </c>
      <c r="G52" s="2822">
        <f>+lead!J16</f>
        <v>1889.8641904678079</v>
      </c>
      <c r="H52" s="2866">
        <f t="shared" si="0"/>
        <v>7653.95</v>
      </c>
    </row>
    <row r="53" spans="1:9">
      <c r="A53" s="2816"/>
      <c r="B53" s="2862"/>
      <c r="C53" s="2813"/>
      <c r="D53" s="2824" t="s">
        <v>2159</v>
      </c>
      <c r="E53" s="2823" t="s">
        <v>31</v>
      </c>
      <c r="F53" s="2864">
        <v>1.35</v>
      </c>
      <c r="G53" s="2822">
        <f>+lead!J18</f>
        <v>1638.8641904678079</v>
      </c>
      <c r="H53" s="2866">
        <f t="shared" si="0"/>
        <v>2212.4699999999998</v>
      </c>
    </row>
    <row r="54" spans="1:9">
      <c r="A54" s="2816"/>
      <c r="B54" s="2862"/>
      <c r="C54" s="2813"/>
      <c r="D54" s="2826" t="s">
        <v>2160</v>
      </c>
      <c r="E54" s="2823"/>
      <c r="F54" s="2864"/>
      <c r="G54" s="2823"/>
      <c r="H54" s="2830"/>
    </row>
    <row r="55" spans="1:9">
      <c r="A55" s="2816"/>
      <c r="B55" s="2862"/>
      <c r="C55" s="2813"/>
      <c r="D55" s="2824" t="s">
        <v>14</v>
      </c>
      <c r="E55" s="2823" t="s">
        <v>38</v>
      </c>
      <c r="F55" s="2864">
        <v>0.86</v>
      </c>
      <c r="G55" s="2822">
        <f>+'SSR-rates'!K58</f>
        <v>575</v>
      </c>
      <c r="H55" s="2866">
        <f>ROUND(F55*G55,2)</f>
        <v>494.5</v>
      </c>
    </row>
    <row r="56" spans="1:9">
      <c r="A56" s="2816"/>
      <c r="B56" s="2862"/>
      <c r="C56" s="2813"/>
      <c r="D56" s="2824" t="s">
        <v>2161</v>
      </c>
      <c r="E56" s="2823" t="s">
        <v>38</v>
      </c>
      <c r="F56" s="2864">
        <v>1.5</v>
      </c>
      <c r="G56" s="2869">
        <f>+'SSR-rates'!K96</f>
        <v>645</v>
      </c>
      <c r="H56" s="2866">
        <f>ROUND(F56*G56,2)</f>
        <v>967.5</v>
      </c>
    </row>
    <row r="57" spans="1:9">
      <c r="A57" s="2816"/>
      <c r="B57" s="2862"/>
      <c r="C57" s="2813"/>
      <c r="D57" s="2824" t="s">
        <v>1115</v>
      </c>
      <c r="E57" s="2823" t="s">
        <v>38</v>
      </c>
      <c r="F57" s="2864">
        <v>20</v>
      </c>
      <c r="G57" s="2835">
        <f>+'SSR-rates'!K60</f>
        <v>575</v>
      </c>
      <c r="H57" s="2866">
        <f>ROUND(F57*G57,2)</f>
        <v>11500</v>
      </c>
    </row>
    <row r="58" spans="1:9">
      <c r="A58" s="2816"/>
      <c r="B58" s="2862"/>
      <c r="C58" s="2813"/>
      <c r="D58" s="2851" t="str">
        <f>$B$8</f>
        <v>Muncipal AAllowance/Area Allowance @ 0%</v>
      </c>
      <c r="E58" s="2852">
        <f>$F$8</f>
        <v>0</v>
      </c>
      <c r="F58" s="2849"/>
      <c r="G58" s="2828"/>
      <c r="H58" s="2828">
        <f>SUM(H55:H57)*E58</f>
        <v>0</v>
      </c>
    </row>
    <row r="59" spans="1:9">
      <c r="A59" s="2816"/>
      <c r="B59" s="2862"/>
      <c r="C59" s="2813"/>
      <c r="D59" s="2826" t="s">
        <v>1928</v>
      </c>
      <c r="E59" s="2823"/>
      <c r="F59" s="2864"/>
      <c r="G59" s="2823"/>
      <c r="H59" s="2830"/>
    </row>
    <row r="60" spans="1:9">
      <c r="A60" s="2816"/>
      <c r="B60" s="2862"/>
      <c r="C60" s="2813"/>
      <c r="D60" s="2824" t="s">
        <v>2162</v>
      </c>
      <c r="E60" s="2823" t="s">
        <v>23</v>
      </c>
      <c r="F60" s="2864">
        <v>6</v>
      </c>
      <c r="G60" s="2822">
        <f>+'SSR-rates'!K88</f>
        <v>697.9</v>
      </c>
      <c r="H60" s="2870">
        <f>ROUND(F60*G60,2)</f>
        <v>4187.3999999999996</v>
      </c>
    </row>
    <row r="61" spans="1:9" ht="26.4">
      <c r="A61" s="2816"/>
      <c r="B61" s="2862"/>
      <c r="C61" s="2813"/>
      <c r="D61" s="2824" t="s">
        <v>2163</v>
      </c>
      <c r="E61" s="2823"/>
      <c r="F61" s="2871">
        <v>0.04</v>
      </c>
      <c r="G61" s="2822"/>
      <c r="H61" s="2870">
        <f>SUM(H48:H60)*F61</f>
        <v>2897.5343999999996</v>
      </c>
    </row>
    <row r="62" spans="1:9">
      <c r="A62" s="2816"/>
      <c r="B62" s="2862"/>
      <c r="C62" s="2813"/>
      <c r="D62" s="2824"/>
      <c r="E62" s="2823"/>
      <c r="F62" s="2871"/>
      <c r="G62" s="2822"/>
      <c r="H62" s="2870">
        <f>SUM(H48:H61)</f>
        <v>75335.89439999999</v>
      </c>
    </row>
    <row r="63" spans="1:9">
      <c r="A63" s="2816"/>
      <c r="B63" s="2862"/>
      <c r="C63" s="2813"/>
      <c r="D63" s="2872" t="s">
        <v>2164</v>
      </c>
      <c r="E63" s="2873">
        <v>0</v>
      </c>
      <c r="F63" s="2874"/>
      <c r="G63" s="2875"/>
      <c r="H63" s="2876">
        <f>H62*E63</f>
        <v>0</v>
      </c>
    </row>
    <row r="64" spans="1:9" s="2886" customFormat="1">
      <c r="A64" s="2877"/>
      <c r="B64" s="2878"/>
      <c r="C64" s="2879"/>
      <c r="D64" s="2880" t="s">
        <v>2165</v>
      </c>
      <c r="E64" s="2881"/>
      <c r="F64" s="2882"/>
      <c r="G64" s="2883"/>
      <c r="H64" s="2884">
        <f>ROUND(SUM(H62:H63)/15,2)</f>
        <v>5022.3900000000003</v>
      </c>
      <c r="I64" s="2885" t="s">
        <v>2166</v>
      </c>
    </row>
    <row r="65" spans="1:8" ht="76.2" customHeight="1">
      <c r="A65" s="2838" t="s">
        <v>2153</v>
      </c>
      <c r="B65" s="2862">
        <f>B40+1</f>
        <v>4</v>
      </c>
      <c r="C65" s="2840"/>
      <c r="D65" s="4216" t="s">
        <v>2167</v>
      </c>
      <c r="E65" s="4216"/>
      <c r="F65" s="4216"/>
      <c r="G65" s="4216"/>
      <c r="H65" s="2841"/>
    </row>
    <row r="66" spans="1:8">
      <c r="A66" s="2816"/>
      <c r="B66" s="2862"/>
      <c r="C66" s="2843"/>
      <c r="D66" s="2846" t="s">
        <v>2168</v>
      </c>
      <c r="E66" s="2816"/>
      <c r="F66" s="2816"/>
      <c r="G66" s="2855"/>
      <c r="H66" s="2840"/>
    </row>
    <row r="67" spans="1:8">
      <c r="A67" s="2816"/>
      <c r="B67" s="2862"/>
      <c r="C67" s="2843"/>
      <c r="D67" s="2841" t="s">
        <v>2156</v>
      </c>
      <c r="E67" s="2816"/>
      <c r="F67" s="2816"/>
      <c r="G67" s="2855"/>
      <c r="H67" s="2840"/>
    </row>
    <row r="68" spans="1:8">
      <c r="A68" s="2816"/>
      <c r="B68" s="2862"/>
      <c r="C68" s="2843"/>
      <c r="D68" s="2846" t="s">
        <v>251</v>
      </c>
      <c r="E68" s="2816"/>
      <c r="F68" s="2816"/>
      <c r="G68" s="2855"/>
      <c r="H68" s="2840"/>
    </row>
    <row r="69" spans="1:8">
      <c r="A69" s="2816"/>
      <c r="B69" s="2862"/>
      <c r="C69" s="2843"/>
      <c r="D69" s="2841" t="s">
        <v>1831</v>
      </c>
      <c r="E69" s="2816" t="s">
        <v>1123</v>
      </c>
      <c r="F69" s="2816">
        <v>3.45</v>
      </c>
      <c r="G69" s="2887">
        <f>G48</f>
        <v>5000</v>
      </c>
      <c r="H69" s="2850">
        <f>ROUND(F69*G69,2)</f>
        <v>17250</v>
      </c>
    </row>
    <row r="70" spans="1:8" ht="26.4">
      <c r="A70" s="2816"/>
      <c r="B70" s="2862"/>
      <c r="C70" s="2843"/>
      <c r="D70" s="2824" t="s">
        <v>1716</v>
      </c>
      <c r="E70" s="2823" t="s">
        <v>31</v>
      </c>
      <c r="F70" s="2864">
        <f>6.75/2</f>
        <v>3.375</v>
      </c>
      <c r="G70" s="2887">
        <f>+lead!$J$31</f>
        <v>1760.9684020595876</v>
      </c>
      <c r="H70" s="2850">
        <f>ROUND(F70*G70,2)</f>
        <v>5943.27</v>
      </c>
    </row>
    <row r="71" spans="1:8">
      <c r="A71" s="2816"/>
      <c r="B71" s="2862"/>
      <c r="C71" s="2843"/>
      <c r="D71" s="2824" t="s">
        <v>1717</v>
      </c>
      <c r="E71" s="2823" t="s">
        <v>31</v>
      </c>
      <c r="F71" s="2864">
        <f>6.75/2</f>
        <v>3.375</v>
      </c>
      <c r="G71" s="2887">
        <f>+lead!$J$33</f>
        <v>1760.9684020595876</v>
      </c>
      <c r="H71" s="2850">
        <f>ROUND(F71*G71,2)</f>
        <v>5943.27</v>
      </c>
    </row>
    <row r="72" spans="1:8">
      <c r="A72" s="2816"/>
      <c r="B72" s="2862"/>
      <c r="C72" s="2843"/>
      <c r="D72" s="2841" t="s">
        <v>2157</v>
      </c>
      <c r="E72" s="2816" t="s">
        <v>31</v>
      </c>
      <c r="F72" s="2888">
        <v>13.5</v>
      </c>
      <c r="G72" s="2887">
        <f>G51</f>
        <v>1590.8641904678079</v>
      </c>
      <c r="H72" s="2840">
        <f>ROUND(F72*G72,2)</f>
        <v>21476.67</v>
      </c>
    </row>
    <row r="73" spans="1:8">
      <c r="A73" s="2816"/>
      <c r="B73" s="2862"/>
      <c r="C73" s="2843"/>
      <c r="D73" s="2841" t="s">
        <v>2169</v>
      </c>
      <c r="E73" s="2816" t="s">
        <v>1730</v>
      </c>
      <c r="F73" s="2888">
        <v>18</v>
      </c>
      <c r="G73" s="2887">
        <v>0</v>
      </c>
      <c r="H73" s="2850">
        <f>ROUND(F73*G73,2)</f>
        <v>0</v>
      </c>
    </row>
    <row r="74" spans="1:8">
      <c r="A74" s="2816"/>
      <c r="B74" s="2862"/>
      <c r="C74" s="2843"/>
      <c r="D74" s="2846" t="s">
        <v>2160</v>
      </c>
      <c r="E74" s="2816"/>
      <c r="F74" s="2816"/>
      <c r="G74" s="2853"/>
      <c r="H74" s="2840"/>
    </row>
    <row r="75" spans="1:8">
      <c r="A75" s="2816"/>
      <c r="B75" s="2862"/>
      <c r="C75" s="2843"/>
      <c r="D75" s="2841" t="s">
        <v>14</v>
      </c>
      <c r="E75" s="2816" t="s">
        <v>38</v>
      </c>
      <c r="F75" s="2816">
        <v>0.64</v>
      </c>
      <c r="G75" s="2889">
        <f>+G55</f>
        <v>575</v>
      </c>
      <c r="H75" s="2850">
        <f t="shared" ref="H75:H77" si="2">ROUND(F75*G75,2)</f>
        <v>368</v>
      </c>
    </row>
    <row r="76" spans="1:8">
      <c r="A76" s="2816"/>
      <c r="B76" s="2862"/>
      <c r="C76" s="2843"/>
      <c r="D76" s="2841" t="s">
        <v>2161</v>
      </c>
      <c r="E76" s="2816" t="s">
        <v>38</v>
      </c>
      <c r="F76" s="2888">
        <v>1</v>
      </c>
      <c r="G76" s="2890">
        <f>+G56</f>
        <v>645</v>
      </c>
      <c r="H76" s="2850">
        <f t="shared" si="2"/>
        <v>645</v>
      </c>
    </row>
    <row r="77" spans="1:8">
      <c r="A77" s="2816"/>
      <c r="B77" s="2862"/>
      <c r="C77" s="2843"/>
      <c r="D77" s="2841" t="s">
        <v>1115</v>
      </c>
      <c r="E77" s="2816" t="s">
        <v>38</v>
      </c>
      <c r="F77" s="2849">
        <v>15</v>
      </c>
      <c r="G77" s="2891">
        <f>+G57</f>
        <v>575</v>
      </c>
      <c r="H77" s="2850">
        <f t="shared" si="2"/>
        <v>8625</v>
      </c>
    </row>
    <row r="78" spans="1:8">
      <c r="A78" s="2816"/>
      <c r="B78" s="2862"/>
      <c r="C78" s="2843"/>
      <c r="D78" s="2851" t="str">
        <f>$B$8</f>
        <v>Muncipal AAllowance/Area Allowance @ 0%</v>
      </c>
      <c r="E78" s="2852">
        <f>$F$8</f>
        <v>0</v>
      </c>
      <c r="F78" s="2849"/>
      <c r="G78" s="2887"/>
      <c r="H78" s="2828">
        <f>SUM(H75:H77)*E78</f>
        <v>0</v>
      </c>
    </row>
    <row r="79" spans="1:8">
      <c r="A79" s="2816"/>
      <c r="B79" s="2862"/>
      <c r="C79" s="2843"/>
      <c r="D79" s="2846" t="s">
        <v>1928</v>
      </c>
      <c r="E79" s="2816"/>
      <c r="F79" s="2849"/>
      <c r="G79" s="2853"/>
      <c r="H79" s="2840"/>
    </row>
    <row r="80" spans="1:8" ht="39.6">
      <c r="A80" s="2816"/>
      <c r="B80" s="2862"/>
      <c r="C80" s="2843"/>
      <c r="D80" s="2841" t="s">
        <v>2170</v>
      </c>
      <c r="E80" s="2816" t="s">
        <v>23</v>
      </c>
      <c r="F80" s="2849">
        <v>6</v>
      </c>
      <c r="G80" s="2887">
        <f>+'SSR-rates'!K88</f>
        <v>697.9</v>
      </c>
      <c r="H80" s="2828">
        <f>ROUND(F80*G80,2)</f>
        <v>4187.3999999999996</v>
      </c>
    </row>
    <row r="81" spans="1:12">
      <c r="A81" s="2816"/>
      <c r="B81" s="2862"/>
      <c r="C81" s="2843"/>
      <c r="D81" s="2841" t="s">
        <v>2171</v>
      </c>
      <c r="E81" s="2816" t="s">
        <v>23</v>
      </c>
      <c r="F81" s="2849">
        <v>0.13</v>
      </c>
      <c r="G81" s="2887">
        <f>+'SSR-rates'!K69</f>
        <v>769</v>
      </c>
      <c r="H81" s="2840">
        <f>ROUND(F81*G81,2)</f>
        <v>99.97</v>
      </c>
    </row>
    <row r="82" spans="1:12">
      <c r="A82" s="2816"/>
      <c r="B82" s="2862"/>
      <c r="C82" s="2843"/>
      <c r="D82" s="2841"/>
      <c r="E82" s="2816"/>
      <c r="F82" s="2849"/>
      <c r="G82" s="2855"/>
      <c r="H82" s="2850">
        <f>SUM(H69:H81)</f>
        <v>64538.58</v>
      </c>
    </row>
    <row r="83" spans="1:12">
      <c r="A83" s="2816"/>
      <c r="B83" s="2862"/>
      <c r="C83" s="2813"/>
      <c r="D83" s="2872" t="s">
        <v>2164</v>
      </c>
      <c r="E83" s="2873">
        <v>0</v>
      </c>
      <c r="F83" s="2874"/>
      <c r="G83" s="2875"/>
      <c r="H83" s="2876">
        <f>H82*E83</f>
        <v>0</v>
      </c>
    </row>
    <row r="84" spans="1:12">
      <c r="A84" s="2877"/>
      <c r="B84" s="2878"/>
      <c r="C84" s="2879"/>
      <c r="D84" s="2892" t="s">
        <v>2165</v>
      </c>
      <c r="E84" s="2881"/>
      <c r="F84" s="2882"/>
      <c r="G84" s="2883"/>
      <c r="H84" s="2884">
        <f>ROUND(SUM(H82:H83)/15,2)</f>
        <v>4302.57</v>
      </c>
      <c r="I84" s="2885" t="s">
        <v>2166</v>
      </c>
      <c r="J84" s="2893"/>
      <c r="K84" s="2893"/>
      <c r="L84" s="2893"/>
    </row>
    <row r="85" spans="1:12">
      <c r="A85" s="2816"/>
      <c r="B85" s="2862"/>
      <c r="C85" s="2843"/>
      <c r="D85" s="2846"/>
      <c r="E85" s="2816"/>
      <c r="F85" s="2816"/>
      <c r="G85" s="2894"/>
      <c r="H85" s="2850"/>
    </row>
    <row r="86" spans="1:12" ht="26.4">
      <c r="A86" s="2838" t="s">
        <v>2172</v>
      </c>
      <c r="B86" s="2839">
        <f>B65+1</f>
        <v>5</v>
      </c>
      <c r="C86" s="2895"/>
      <c r="D86" s="2896" t="s">
        <v>2173</v>
      </c>
      <c r="E86" s="2853"/>
      <c r="F86" s="2853"/>
      <c r="G86" s="2853"/>
      <c r="H86" s="2889"/>
    </row>
    <row r="87" spans="1:12" ht="64.5" customHeight="1">
      <c r="A87" s="2816"/>
      <c r="B87" s="2839"/>
      <c r="C87" s="2847"/>
      <c r="D87" s="4216" t="s">
        <v>2174</v>
      </c>
      <c r="E87" s="4216"/>
      <c r="F87" s="4216"/>
      <c r="G87" s="4216"/>
      <c r="H87" s="2889"/>
    </row>
    <row r="88" spans="1:12" ht="26.4">
      <c r="A88" s="2816"/>
      <c r="B88" s="2862"/>
      <c r="C88" s="2838" t="s">
        <v>2175</v>
      </c>
      <c r="D88" s="2846" t="s">
        <v>2176</v>
      </c>
      <c r="E88" s="2816"/>
      <c r="F88" s="2816"/>
      <c r="G88" s="2816"/>
      <c r="H88" s="2844"/>
    </row>
    <row r="89" spans="1:12" ht="26.4">
      <c r="A89" s="2816"/>
      <c r="B89" s="2862"/>
      <c r="C89" s="2838"/>
      <c r="D89" s="2841" t="s">
        <v>2177</v>
      </c>
      <c r="E89" s="2816"/>
      <c r="F89" s="2816"/>
      <c r="G89" s="2816"/>
      <c r="H89" s="2844"/>
    </row>
    <row r="90" spans="1:12" ht="26.4">
      <c r="A90" s="2816"/>
      <c r="B90" s="2862"/>
      <c r="C90" s="2838"/>
      <c r="D90" s="2846" t="s">
        <v>2178</v>
      </c>
      <c r="E90" s="2816"/>
      <c r="F90" s="2816"/>
      <c r="G90" s="2816"/>
      <c r="H90" s="2844"/>
    </row>
    <row r="91" spans="1:12">
      <c r="A91" s="2816"/>
      <c r="B91" s="2862"/>
      <c r="C91" s="2838"/>
      <c r="D91" s="2841" t="s">
        <v>2179</v>
      </c>
      <c r="E91" s="2816"/>
      <c r="F91" s="2816"/>
      <c r="G91" s="2816"/>
      <c r="H91" s="2844"/>
    </row>
    <row r="92" spans="1:12">
      <c r="A92" s="2816"/>
      <c r="B92" s="2862"/>
      <c r="C92" s="2838"/>
      <c r="D92" s="2848" t="s">
        <v>2149</v>
      </c>
      <c r="E92" s="2816"/>
      <c r="F92" s="2816"/>
      <c r="G92" s="2816"/>
      <c r="H92" s="2844"/>
    </row>
    <row r="93" spans="1:12">
      <c r="A93" s="2816"/>
      <c r="B93" s="2862"/>
      <c r="C93" s="2838"/>
      <c r="D93" s="2841" t="s">
        <v>14</v>
      </c>
      <c r="E93" s="2816" t="s">
        <v>38</v>
      </c>
      <c r="F93" s="2849">
        <v>0.12</v>
      </c>
      <c r="G93" s="2844">
        <f>+G75</f>
        <v>575</v>
      </c>
      <c r="H93" s="2828">
        <f>ROUND(F93*G93,2)</f>
        <v>69</v>
      </c>
    </row>
    <row r="94" spans="1:12">
      <c r="A94" s="2816"/>
      <c r="B94" s="2862"/>
      <c r="C94" s="2838"/>
      <c r="D94" s="2841" t="s">
        <v>2180</v>
      </c>
      <c r="E94" s="2816" t="s">
        <v>38</v>
      </c>
      <c r="F94" s="2849">
        <v>2</v>
      </c>
      <c r="G94" s="2844">
        <f>+'SSR-rates'!K113</f>
        <v>740</v>
      </c>
      <c r="H94" s="2828">
        <f>ROUND(F94*G94,2)</f>
        <v>1480</v>
      </c>
    </row>
    <row r="95" spans="1:12">
      <c r="A95" s="2816"/>
      <c r="B95" s="2862"/>
      <c r="C95" s="2838"/>
      <c r="D95" s="2841" t="s">
        <v>2181</v>
      </c>
      <c r="E95" s="2816" t="s">
        <v>38</v>
      </c>
      <c r="F95" s="2849"/>
      <c r="G95" s="2816"/>
      <c r="H95" s="2897"/>
    </row>
    <row r="96" spans="1:12">
      <c r="A96" s="2816"/>
      <c r="B96" s="2862"/>
      <c r="C96" s="2838"/>
      <c r="D96" s="2841" t="s">
        <v>1115</v>
      </c>
      <c r="E96" s="2816" t="s">
        <v>38</v>
      </c>
      <c r="F96" s="2849">
        <v>1</v>
      </c>
      <c r="G96" s="2844">
        <f>+'SSR-rates'!K60</f>
        <v>575</v>
      </c>
      <c r="H96" s="2828">
        <f>ROUND(F96*G96,2)</f>
        <v>575</v>
      </c>
    </row>
    <row r="97" spans="1:9">
      <c r="A97" s="2816"/>
      <c r="B97" s="2862"/>
      <c r="C97" s="2838"/>
      <c r="D97" s="2851" t="str">
        <f>$B$8</f>
        <v>Muncipal AAllowance/Area Allowance @ 0%</v>
      </c>
      <c r="E97" s="2852">
        <f>$F$8</f>
        <v>0</v>
      </c>
      <c r="F97" s="2849"/>
      <c r="G97" s="2828"/>
      <c r="H97" s="2828">
        <f>SUM(H93:H96)*E97</f>
        <v>0</v>
      </c>
    </row>
    <row r="98" spans="1:9">
      <c r="A98" s="2816"/>
      <c r="B98" s="2862"/>
      <c r="C98" s="2838"/>
      <c r="D98" s="2846" t="s">
        <v>2182</v>
      </c>
      <c r="E98" s="2816"/>
      <c r="F98" s="2849"/>
      <c r="G98" s="2816"/>
      <c r="H98" s="2897"/>
    </row>
    <row r="99" spans="1:9">
      <c r="A99" s="2816"/>
      <c r="B99" s="2862"/>
      <c r="C99" s="2838"/>
      <c r="D99" s="2841" t="s">
        <v>2183</v>
      </c>
      <c r="E99" s="2816" t="s">
        <v>2184</v>
      </c>
      <c r="F99" s="2849">
        <v>0.5</v>
      </c>
      <c r="G99" s="2844">
        <v>221</v>
      </c>
      <c r="H99" s="2828">
        <f>ROUND(F99*G99,2)</f>
        <v>110.5</v>
      </c>
    </row>
    <row r="100" spans="1:9" s="2902" customFormat="1" ht="21.9" customHeight="1">
      <c r="A100" s="2816"/>
      <c r="B100" s="2862"/>
      <c r="C100" s="2838"/>
      <c r="D100" s="2842" t="s">
        <v>2142</v>
      </c>
      <c r="E100" s="2898">
        <v>0</v>
      </c>
      <c r="F100" s="2899"/>
      <c r="G100" s="2900"/>
      <c r="H100" s="2901">
        <f>SUM(H94:H99)*E100</f>
        <v>0</v>
      </c>
    </row>
    <row r="101" spans="1:9">
      <c r="A101" s="2816"/>
      <c r="B101" s="2862"/>
      <c r="C101" s="2838"/>
      <c r="D101" s="2841" t="s">
        <v>2185</v>
      </c>
      <c r="E101" s="2816"/>
      <c r="F101" s="2816"/>
      <c r="G101" s="2816"/>
      <c r="H101" s="2897">
        <f>SUM(H93:H100)</f>
        <v>2234.5</v>
      </c>
    </row>
    <row r="102" spans="1:9" ht="14.25" customHeight="1">
      <c r="A102" s="2816"/>
      <c r="B102" s="2878"/>
      <c r="C102" s="2903"/>
      <c r="D102" s="2892" t="s">
        <v>2186</v>
      </c>
      <c r="E102" s="2903"/>
      <c r="F102" s="2877"/>
      <c r="G102" s="2877"/>
      <c r="H102" s="2904">
        <f>H101/1600</f>
        <v>1.3965624999999999</v>
      </c>
      <c r="I102" s="2885" t="s">
        <v>2166</v>
      </c>
    </row>
    <row r="103" spans="1:9" ht="14.25" hidden="1" customHeight="1">
      <c r="A103" s="2816"/>
      <c r="B103" s="2862"/>
      <c r="C103" s="2838"/>
      <c r="D103" s="2846"/>
      <c r="E103" s="2838"/>
      <c r="F103" s="2816"/>
      <c r="G103" s="2816"/>
      <c r="H103" s="2897"/>
    </row>
    <row r="104" spans="1:9" ht="14.25" hidden="1" customHeight="1">
      <c r="A104" s="2816"/>
      <c r="B104" s="2862"/>
      <c r="C104" s="2838"/>
      <c r="D104" s="2846"/>
      <c r="E104" s="2838"/>
      <c r="F104" s="2816"/>
      <c r="G104" s="2816"/>
      <c r="H104" s="2897"/>
    </row>
    <row r="105" spans="1:9" ht="14.25" hidden="1" customHeight="1">
      <c r="A105" s="2816"/>
      <c r="B105" s="2862"/>
      <c r="C105" s="2838"/>
      <c r="D105" s="2846"/>
      <c r="E105" s="2838"/>
      <c r="F105" s="2816"/>
      <c r="G105" s="2816"/>
      <c r="H105" s="2897"/>
    </row>
    <row r="106" spans="1:9" ht="14.25" hidden="1" customHeight="1">
      <c r="A106" s="2816"/>
      <c r="B106" s="2862"/>
      <c r="C106" s="2838"/>
      <c r="D106" s="2846"/>
      <c r="E106" s="2838"/>
      <c r="F106" s="2816"/>
      <c r="G106" s="2816"/>
      <c r="H106" s="2897"/>
    </row>
    <row r="107" spans="1:9" ht="14.25" hidden="1" customHeight="1">
      <c r="A107" s="2816"/>
      <c r="B107" s="2862"/>
      <c r="C107" s="2838"/>
      <c r="D107" s="2846"/>
      <c r="E107" s="2838"/>
      <c r="F107" s="2816"/>
      <c r="G107" s="2816"/>
      <c r="H107" s="2897"/>
    </row>
    <row r="108" spans="1:9" ht="14.25" hidden="1" customHeight="1">
      <c r="A108" s="2816"/>
      <c r="B108" s="2862"/>
      <c r="C108" s="2838"/>
      <c r="D108" s="2846"/>
      <c r="E108" s="2838"/>
      <c r="F108" s="2816"/>
      <c r="G108" s="2816"/>
      <c r="H108" s="2897"/>
    </row>
    <row r="109" spans="1:9" ht="14.25" hidden="1" customHeight="1">
      <c r="A109" s="2816"/>
      <c r="B109" s="2862"/>
      <c r="C109" s="2838"/>
      <c r="D109" s="2846"/>
      <c r="E109" s="2838"/>
      <c r="F109" s="2816"/>
      <c r="G109" s="2816"/>
      <c r="H109" s="2897"/>
    </row>
    <row r="110" spans="1:9" ht="14.25" hidden="1" customHeight="1">
      <c r="A110" s="2816"/>
      <c r="B110" s="2862"/>
      <c r="C110" s="2838"/>
      <c r="D110" s="2846"/>
      <c r="E110" s="2838"/>
      <c r="F110" s="2816"/>
      <c r="G110" s="2816"/>
      <c r="H110" s="2897"/>
    </row>
    <row r="111" spans="1:9" ht="14.25" hidden="1" customHeight="1">
      <c r="A111" s="2816"/>
      <c r="B111" s="2862"/>
      <c r="C111" s="2838"/>
      <c r="D111" s="2846"/>
      <c r="E111" s="2838"/>
      <c r="F111" s="2816"/>
      <c r="G111" s="2816"/>
      <c r="H111" s="2897"/>
    </row>
    <row r="112" spans="1:9" ht="14.25" hidden="1" customHeight="1">
      <c r="A112" s="2816"/>
      <c r="B112" s="2862"/>
      <c r="C112" s="2838"/>
      <c r="D112" s="2846"/>
      <c r="E112" s="2838"/>
      <c r="F112" s="2816"/>
      <c r="G112" s="2816"/>
      <c r="H112" s="2897"/>
    </row>
    <row r="113" spans="1:8" ht="14.25" hidden="1" customHeight="1">
      <c r="A113" s="2816"/>
      <c r="B113" s="2862"/>
      <c r="C113" s="2838"/>
      <c r="D113" s="2846"/>
      <c r="E113" s="2838"/>
      <c r="F113" s="2816"/>
      <c r="G113" s="2816"/>
      <c r="H113" s="2897"/>
    </row>
    <row r="114" spans="1:8" ht="14.25" hidden="1" customHeight="1">
      <c r="A114" s="2816"/>
      <c r="B114" s="2862"/>
      <c r="C114" s="2838"/>
      <c r="D114" s="2846"/>
      <c r="E114" s="2838"/>
      <c r="F114" s="2816"/>
      <c r="G114" s="2816"/>
      <c r="H114" s="2897"/>
    </row>
    <row r="115" spans="1:8" ht="14.25" hidden="1" customHeight="1">
      <c r="A115" s="2816"/>
      <c r="B115" s="2862"/>
      <c r="C115" s="2838"/>
      <c r="D115" s="2846"/>
      <c r="E115" s="2838"/>
      <c r="F115" s="2816"/>
      <c r="G115" s="2816"/>
      <c r="H115" s="2897"/>
    </row>
    <row r="116" spans="1:8" ht="14.25" hidden="1" customHeight="1">
      <c r="A116" s="2816"/>
      <c r="B116" s="2862"/>
      <c r="C116" s="2838"/>
      <c r="D116" s="2846"/>
      <c r="E116" s="2838"/>
      <c r="F116" s="2816"/>
      <c r="G116" s="2816"/>
      <c r="H116" s="2897"/>
    </row>
    <row r="117" spans="1:8" ht="14.25" hidden="1" customHeight="1">
      <c r="A117" s="2816"/>
      <c r="B117" s="2862"/>
      <c r="C117" s="2838"/>
      <c r="D117" s="2846"/>
      <c r="E117" s="2838"/>
      <c r="F117" s="2816"/>
      <c r="G117" s="2816"/>
      <c r="H117" s="2897"/>
    </row>
    <row r="118" spans="1:8" ht="14.25" hidden="1" customHeight="1">
      <c r="A118" s="2816"/>
      <c r="B118" s="2862"/>
      <c r="C118" s="2838"/>
      <c r="D118" s="2846"/>
      <c r="E118" s="2838"/>
      <c r="F118" s="2816"/>
      <c r="G118" s="2816"/>
      <c r="H118" s="2897"/>
    </row>
    <row r="119" spans="1:8" ht="14.25" hidden="1" customHeight="1">
      <c r="A119" s="2857"/>
      <c r="B119" s="2905"/>
      <c r="C119" s="2906"/>
      <c r="D119" s="2907"/>
      <c r="E119" s="2906"/>
      <c r="F119" s="2857"/>
      <c r="G119" s="2857"/>
      <c r="H119" s="2908"/>
    </row>
    <row r="120" spans="1:8" ht="14.25" customHeight="1">
      <c r="A120" s="4218" t="s">
        <v>2187</v>
      </c>
      <c r="B120" s="4218"/>
      <c r="C120" s="4218"/>
      <c r="D120" s="4218"/>
      <c r="E120" s="4218"/>
      <c r="F120" s="4218"/>
      <c r="G120" s="4218"/>
      <c r="H120" s="4218"/>
    </row>
    <row r="121" spans="1:8" ht="13.5" customHeight="1">
      <c r="A121" s="4227" t="s">
        <v>2188</v>
      </c>
      <c r="B121" s="2839">
        <f>B86+1</f>
        <v>6</v>
      </c>
      <c r="C121" s="2895"/>
      <c r="D121" s="2846" t="s">
        <v>2189</v>
      </c>
      <c r="E121" s="2816"/>
      <c r="F121" s="2816"/>
      <c r="G121" s="2816"/>
      <c r="H121" s="2844"/>
    </row>
    <row r="122" spans="1:8" ht="14.25" customHeight="1">
      <c r="A122" s="4227"/>
      <c r="B122" s="2862"/>
      <c r="C122" s="2838" t="s">
        <v>732</v>
      </c>
      <c r="D122" s="2846" t="s">
        <v>2190</v>
      </c>
      <c r="E122" s="2816"/>
      <c r="F122" s="2816"/>
      <c r="G122" s="2816"/>
      <c r="H122" s="2844"/>
    </row>
    <row r="123" spans="1:8" s="2975" customFormat="1" ht="120.9" customHeight="1">
      <c r="A123" s="2976"/>
      <c r="B123" s="2977"/>
      <c r="C123" s="2978"/>
      <c r="D123" s="4224" t="s">
        <v>2191</v>
      </c>
      <c r="E123" s="4224"/>
      <c r="F123" s="4224"/>
      <c r="G123" s="4224"/>
      <c r="H123" s="2974"/>
    </row>
    <row r="124" spans="1:8">
      <c r="A124" s="2816"/>
      <c r="B124" s="2862"/>
      <c r="C124" s="2838"/>
      <c r="D124" s="2909" t="s">
        <v>2192</v>
      </c>
      <c r="E124" s="2816"/>
      <c r="F124" s="2816"/>
      <c r="G124" s="2816"/>
      <c r="H124" s="2844"/>
    </row>
    <row r="125" spans="1:8">
      <c r="A125" s="2816"/>
      <c r="B125" s="2862"/>
      <c r="C125" s="2838"/>
      <c r="D125" s="2909" t="s">
        <v>2193</v>
      </c>
      <c r="E125" s="2816"/>
      <c r="F125" s="2816"/>
      <c r="G125" s="2816"/>
      <c r="H125" s="2844"/>
    </row>
    <row r="126" spans="1:8" ht="16.95" customHeight="1">
      <c r="A126" s="2816"/>
      <c r="B126" s="2862"/>
      <c r="C126" s="2838"/>
      <c r="D126" s="2846" t="s">
        <v>2194</v>
      </c>
      <c r="E126" s="2816"/>
      <c r="F126" s="2816"/>
      <c r="G126" s="2816"/>
      <c r="H126" s="2844"/>
    </row>
    <row r="127" spans="1:8">
      <c r="A127" s="2816"/>
      <c r="B127" s="2862"/>
      <c r="C127" s="2838"/>
      <c r="D127" s="2841" t="s">
        <v>2195</v>
      </c>
      <c r="E127" s="2816" t="s">
        <v>31</v>
      </c>
      <c r="F127" s="2910">
        <v>0.126</v>
      </c>
      <c r="G127" s="2911">
        <f>H37</f>
        <v>209.3</v>
      </c>
      <c r="H127" s="2828">
        <f>ROUND(F127*G127,2)</f>
        <v>26.37</v>
      </c>
    </row>
    <row r="128" spans="1:8" ht="22.5" customHeight="1">
      <c r="A128" s="2816"/>
      <c r="B128" s="2862"/>
      <c r="C128" s="2838"/>
      <c r="D128" s="2846" t="s">
        <v>2196</v>
      </c>
      <c r="E128" s="2816"/>
      <c r="F128" s="2910"/>
      <c r="G128" s="2816"/>
      <c r="H128" s="2844"/>
    </row>
    <row r="129" spans="1:8" ht="24" customHeight="1">
      <c r="A129" s="2816"/>
      <c r="B129" s="2862"/>
      <c r="C129" s="2838"/>
      <c r="D129" s="2841" t="s">
        <v>2197</v>
      </c>
      <c r="E129" s="2816" t="s">
        <v>31</v>
      </c>
      <c r="F129" s="2910">
        <v>0.126</v>
      </c>
      <c r="G129" s="2911">
        <f>H64</f>
        <v>5022.3900000000003</v>
      </c>
      <c r="H129" s="2828">
        <f>ROUND(F129*G129,2)</f>
        <v>632.82000000000005</v>
      </c>
    </row>
    <row r="130" spans="1:8" ht="42" customHeight="1">
      <c r="A130" s="2816"/>
      <c r="B130" s="2862"/>
      <c r="C130" s="2838"/>
      <c r="D130" s="2846" t="s">
        <v>2198</v>
      </c>
      <c r="E130" s="2838"/>
      <c r="F130" s="2910"/>
      <c r="G130" s="2816"/>
      <c r="H130" s="2844"/>
    </row>
    <row r="131" spans="1:8">
      <c r="A131" s="2816"/>
      <c r="B131" s="2862"/>
      <c r="C131" s="2838"/>
      <c r="D131" s="2841" t="s">
        <v>2199</v>
      </c>
      <c r="E131" s="2888" t="s">
        <v>913</v>
      </c>
      <c r="F131" s="2888">
        <v>0.46</v>
      </c>
      <c r="G131" s="2911">
        <f>H226</f>
        <v>122.36690000000002</v>
      </c>
      <c r="H131" s="2828">
        <f>ROUND(F131*G131,2)</f>
        <v>56.29</v>
      </c>
    </row>
    <row r="132" spans="1:8">
      <c r="A132" s="2816"/>
      <c r="B132" s="2862"/>
      <c r="C132" s="2838"/>
      <c r="D132" s="2846" t="s">
        <v>2200</v>
      </c>
      <c r="E132" s="2816"/>
      <c r="F132" s="2816"/>
      <c r="G132" s="2853"/>
      <c r="H132" s="2889"/>
    </row>
    <row r="133" spans="1:8">
      <c r="A133" s="2816"/>
      <c r="B133" s="2862"/>
      <c r="C133" s="2838"/>
      <c r="D133" s="2909" t="s">
        <v>14</v>
      </c>
      <c r="E133" s="2888" t="s">
        <v>38</v>
      </c>
      <c r="F133" s="2888" t="s">
        <v>384</v>
      </c>
      <c r="G133" s="2816"/>
      <c r="H133" s="2844"/>
    </row>
    <row r="134" spans="1:8">
      <c r="A134" s="2816"/>
      <c r="B134" s="2862"/>
      <c r="C134" s="2838"/>
      <c r="D134" s="2909" t="s">
        <v>1115</v>
      </c>
      <c r="E134" s="2888" t="s">
        <v>38</v>
      </c>
      <c r="F134" s="2888">
        <v>0.26</v>
      </c>
      <c r="G134" s="2912">
        <f>+G96</f>
        <v>575</v>
      </c>
      <c r="H134" s="2828">
        <f>ROUND(F134*G134,2)</f>
        <v>149.5</v>
      </c>
    </row>
    <row r="135" spans="1:8">
      <c r="A135" s="2816"/>
      <c r="B135" s="2862"/>
      <c r="C135" s="2838"/>
      <c r="D135" s="2851" t="str">
        <f>$B$8</f>
        <v>Muncipal AAllowance/Area Allowance @ 0%</v>
      </c>
      <c r="E135" s="2852">
        <f>$F$8</f>
        <v>0</v>
      </c>
      <c r="F135" s="2849"/>
      <c r="G135" s="2828"/>
      <c r="H135" s="2828">
        <f>SUM(H132:H134)*E135</f>
        <v>0</v>
      </c>
    </row>
    <row r="136" spans="1:8">
      <c r="A136" s="2816"/>
      <c r="B136" s="2862"/>
      <c r="C136" s="2838"/>
      <c r="D136" s="2846" t="s">
        <v>2182</v>
      </c>
      <c r="E136" s="2888"/>
      <c r="F136" s="2888"/>
      <c r="G136" s="2816"/>
      <c r="H136" s="2844"/>
    </row>
    <row r="137" spans="1:8">
      <c r="A137" s="2816"/>
      <c r="B137" s="2862"/>
      <c r="C137" s="2838"/>
      <c r="D137" s="2909" t="s">
        <v>2201</v>
      </c>
      <c r="E137" s="2888"/>
      <c r="F137" s="2888"/>
      <c r="G137" s="2816"/>
      <c r="H137" s="2844"/>
    </row>
    <row r="138" spans="1:8" ht="26.4">
      <c r="A138" s="2816"/>
      <c r="B138" s="2862"/>
      <c r="C138" s="2838"/>
      <c r="D138" s="2909" t="s">
        <v>2202</v>
      </c>
      <c r="E138" s="2888" t="s">
        <v>2139</v>
      </c>
      <c r="F138" s="2888">
        <v>12.4</v>
      </c>
      <c r="G138" s="2888">
        <f>lead!$K$38</f>
        <v>61</v>
      </c>
      <c r="H138" s="2828">
        <f>ROUND(F138*G138,2)</f>
        <v>756.4</v>
      </c>
    </row>
    <row r="139" spans="1:8" ht="26.4">
      <c r="A139" s="2816"/>
      <c r="B139" s="2862"/>
      <c r="C139" s="2838"/>
      <c r="D139" s="2909" t="s">
        <v>2203</v>
      </c>
      <c r="E139" s="2888" t="s">
        <v>2139</v>
      </c>
      <c r="F139" s="2888">
        <v>1.06</v>
      </c>
      <c r="G139" s="2888">
        <f>G138</f>
        <v>61</v>
      </c>
      <c r="H139" s="2828">
        <f>ROUND(F139*G139,2)</f>
        <v>64.66</v>
      </c>
    </row>
    <row r="140" spans="1:8" ht="48.9" customHeight="1">
      <c r="A140" s="2816"/>
      <c r="B140" s="2862"/>
      <c r="C140" s="2838"/>
      <c r="D140" s="4233" t="s">
        <v>2204</v>
      </c>
      <c r="E140" s="4233"/>
      <c r="F140" s="2816"/>
      <c r="G140" s="2816"/>
      <c r="H140" s="2844">
        <f>SUM(H138:H139)*3%</f>
        <v>24.631799999999998</v>
      </c>
    </row>
    <row r="141" spans="1:8" ht="46.5" customHeight="1">
      <c r="A141" s="2816"/>
      <c r="B141" s="2862"/>
      <c r="C141" s="2838"/>
      <c r="D141" s="4233" t="s">
        <v>2205</v>
      </c>
      <c r="E141" s="4233"/>
      <c r="F141" s="2816"/>
      <c r="G141" s="2816"/>
      <c r="H141" s="2844"/>
    </row>
    <row r="142" spans="1:8" hidden="1">
      <c r="A142" s="2816"/>
      <c r="B142" s="2862"/>
      <c r="C142" s="2838"/>
      <c r="D142" s="2841" t="s">
        <v>2206</v>
      </c>
      <c r="E142" s="2816" t="s">
        <v>913</v>
      </c>
      <c r="F142" s="2888">
        <v>0.35</v>
      </c>
      <c r="G142" s="2816"/>
      <c r="H142" s="2897"/>
    </row>
    <row r="143" spans="1:8" hidden="1">
      <c r="A143" s="2816"/>
      <c r="B143" s="2862"/>
      <c r="C143" s="2838"/>
      <c r="D143" s="2841" t="s">
        <v>2207</v>
      </c>
      <c r="E143" s="2816"/>
      <c r="F143" s="2888"/>
      <c r="G143" s="2816"/>
      <c r="H143" s="2897"/>
    </row>
    <row r="144" spans="1:8" hidden="1">
      <c r="A144" s="2816"/>
      <c r="B144" s="2862"/>
      <c r="C144" s="2838"/>
      <c r="D144" s="2841" t="s">
        <v>2208</v>
      </c>
      <c r="E144" s="2816" t="s">
        <v>913</v>
      </c>
      <c r="F144" s="2913">
        <v>0.156</v>
      </c>
      <c r="G144" s="2816"/>
      <c r="H144" s="2897"/>
    </row>
    <row r="145" spans="1:11" hidden="1">
      <c r="A145" s="2816"/>
      <c r="B145" s="2862"/>
      <c r="C145" s="2838"/>
      <c r="D145" s="2841" t="s">
        <v>2207</v>
      </c>
      <c r="E145" s="2816"/>
      <c r="F145" s="2888"/>
      <c r="G145" s="2816"/>
      <c r="H145" s="2897"/>
    </row>
    <row r="146" spans="1:11" hidden="1">
      <c r="A146" s="2816"/>
      <c r="B146" s="2862"/>
      <c r="C146" s="2838"/>
      <c r="D146" s="2841" t="s">
        <v>2209</v>
      </c>
      <c r="E146" s="2816" t="s">
        <v>913</v>
      </c>
      <c r="F146" s="2910">
        <v>0.28299999999999997</v>
      </c>
      <c r="G146" s="2816"/>
      <c r="H146" s="2897"/>
    </row>
    <row r="147" spans="1:11" hidden="1">
      <c r="A147" s="2816"/>
      <c r="B147" s="2862"/>
      <c r="C147" s="2838"/>
      <c r="D147" s="2841" t="s">
        <v>2207</v>
      </c>
      <c r="E147" s="2816"/>
      <c r="F147" s="2910"/>
      <c r="G147" s="2816"/>
      <c r="H147" s="2897"/>
    </row>
    <row r="148" spans="1:11" hidden="1">
      <c r="A148" s="2816"/>
      <c r="B148" s="2862"/>
      <c r="C148" s="2838"/>
      <c r="D148" s="2841" t="s">
        <v>2210</v>
      </c>
      <c r="E148" s="2816" t="s">
        <v>913</v>
      </c>
      <c r="F148" s="2888">
        <v>0.48</v>
      </c>
      <c r="G148" s="2816"/>
      <c r="H148" s="2897"/>
    </row>
    <row r="149" spans="1:11" hidden="1">
      <c r="A149" s="2816"/>
      <c r="B149" s="2862"/>
      <c r="C149" s="2838"/>
      <c r="D149" s="2841" t="s">
        <v>2207</v>
      </c>
      <c r="E149" s="2816"/>
      <c r="F149" s="2888"/>
      <c r="G149" s="2816"/>
      <c r="H149" s="2897"/>
    </row>
    <row r="150" spans="1:11" hidden="1">
      <c r="A150" s="2816"/>
      <c r="B150" s="2862"/>
      <c r="C150" s="2838"/>
      <c r="D150" s="2841" t="s">
        <v>2211</v>
      </c>
      <c r="E150" s="2816" t="s">
        <v>913</v>
      </c>
      <c r="F150" s="2888">
        <v>0.27</v>
      </c>
      <c r="G150" s="2816"/>
      <c r="H150" s="2897"/>
    </row>
    <row r="151" spans="1:11" hidden="1">
      <c r="A151" s="2816"/>
      <c r="B151" s="2862"/>
      <c r="C151" s="2838"/>
      <c r="D151" s="2841" t="s">
        <v>2207</v>
      </c>
      <c r="E151" s="2816"/>
      <c r="F151" s="2888"/>
      <c r="G151" s="2816"/>
      <c r="H151" s="2844"/>
    </row>
    <row r="152" spans="1:11">
      <c r="A152" s="2816"/>
      <c r="B152" s="2862"/>
      <c r="C152" s="2838"/>
      <c r="D152" s="2914" t="s">
        <v>2212</v>
      </c>
      <c r="E152" s="2816" t="s">
        <v>191</v>
      </c>
      <c r="F152" s="2888">
        <f>0.36*0.0015*7850</f>
        <v>4.2389999999999999</v>
      </c>
      <c r="G152" s="2888">
        <f>G139</f>
        <v>61</v>
      </c>
      <c r="H152" s="2828">
        <f>ROUND(F152*G152,2)</f>
        <v>258.58</v>
      </c>
    </row>
    <row r="153" spans="1:11">
      <c r="A153" s="2816"/>
      <c r="B153" s="2862"/>
      <c r="C153" s="2838"/>
      <c r="D153" s="2914" t="s">
        <v>2213</v>
      </c>
      <c r="E153" s="2816" t="s">
        <v>913</v>
      </c>
      <c r="F153" s="2915">
        <v>0.36</v>
      </c>
      <c r="G153" s="2816"/>
      <c r="H153" s="2897"/>
      <c r="K153" s="2802">
        <f>0.9*0.9*0.5</f>
        <v>0.40500000000000003</v>
      </c>
    </row>
    <row r="154" spans="1:11" hidden="1">
      <c r="A154" s="2816"/>
      <c r="B154" s="2862"/>
      <c r="C154" s="2838"/>
      <c r="D154" s="2841" t="s">
        <v>2207</v>
      </c>
      <c r="E154" s="2816"/>
      <c r="F154" s="2888"/>
      <c r="G154" s="2816"/>
      <c r="H154" s="2897"/>
    </row>
    <row r="155" spans="1:11" hidden="1">
      <c r="A155" s="2816"/>
      <c r="B155" s="2862"/>
      <c r="C155" s="2838"/>
      <c r="D155" s="2841" t="s">
        <v>2214</v>
      </c>
      <c r="E155" s="2816" t="s">
        <v>913</v>
      </c>
      <c r="F155" s="2913">
        <v>0.67200000000000004</v>
      </c>
      <c r="G155" s="2816"/>
      <c r="H155" s="2897"/>
    </row>
    <row r="156" spans="1:11">
      <c r="A156" s="2816"/>
      <c r="B156" s="2862"/>
      <c r="C156" s="2838"/>
      <c r="D156" s="2846" t="s">
        <v>1928</v>
      </c>
      <c r="E156" s="2816"/>
      <c r="F156" s="2888"/>
      <c r="G156" s="2816"/>
      <c r="H156" s="2844"/>
    </row>
    <row r="157" spans="1:11">
      <c r="A157" s="2816"/>
      <c r="B157" s="2862"/>
      <c r="C157" s="2838"/>
      <c r="D157" s="2841" t="s">
        <v>2215</v>
      </c>
      <c r="E157" s="2816" t="s">
        <v>23</v>
      </c>
      <c r="F157" s="2888">
        <v>0.08</v>
      </c>
      <c r="G157" s="2844">
        <f>+'SSR-rates'!K70</f>
        <v>512</v>
      </c>
      <c r="H157" s="2828">
        <f>ROUND(F157*G157,2)</f>
        <v>40.96</v>
      </c>
    </row>
    <row r="158" spans="1:11" s="2902" customFormat="1" ht="15" customHeight="1">
      <c r="A158" s="2816"/>
      <c r="B158" s="2862"/>
      <c r="C158" s="2838"/>
      <c r="D158" s="2916" t="s">
        <v>2216</v>
      </c>
      <c r="E158" s="2917">
        <f>$F$6</f>
        <v>0.13614999999999999</v>
      </c>
      <c r="F158" s="2918"/>
      <c r="G158" s="2919"/>
      <c r="H158" s="2920">
        <f>SUM(H127:H157)*E158</f>
        <v>273.69033657</v>
      </c>
    </row>
    <row r="159" spans="1:11" s="2902" customFormat="1" ht="15" customHeight="1">
      <c r="A159" s="2816"/>
      <c r="B159" s="2862"/>
      <c r="C159" s="2838"/>
      <c r="D159" s="2916" t="s">
        <v>1220</v>
      </c>
      <c r="E159" s="2917">
        <f>$F$7</f>
        <v>0.1</v>
      </c>
      <c r="F159" s="2918"/>
      <c r="G159" s="2919"/>
      <c r="H159" s="2920">
        <f>SUM(H128:H158)*E159</f>
        <v>225.75321365700003</v>
      </c>
    </row>
    <row r="160" spans="1:11" ht="17.25" customHeight="1">
      <c r="A160" s="2921"/>
      <c r="B160" s="2922"/>
      <c r="C160" s="2923"/>
      <c r="D160" s="2924" t="s">
        <v>2217</v>
      </c>
      <c r="E160" s="2921"/>
      <c r="F160" s="2921"/>
      <c r="G160" s="2921"/>
      <c r="H160" s="2925">
        <f>SUM(H127:H159)</f>
        <v>2509.6553502269999</v>
      </c>
      <c r="I160" s="2885" t="s">
        <v>2166</v>
      </c>
    </row>
    <row r="161" spans="1:8" ht="32.25" customHeight="1">
      <c r="A161" s="2816"/>
      <c r="B161" s="2862"/>
      <c r="C161" s="2838"/>
      <c r="D161" s="4229" t="s">
        <v>2972</v>
      </c>
      <c r="E161" s="4230"/>
      <c r="F161" s="4230"/>
      <c r="G161" s="4230"/>
      <c r="H161" s="4230"/>
    </row>
    <row r="162" spans="1:8" ht="36.75" customHeight="1">
      <c r="A162" s="2816"/>
      <c r="B162" s="2862"/>
      <c r="C162" s="2838"/>
      <c r="D162" s="4229" t="s">
        <v>2218</v>
      </c>
      <c r="E162" s="4230"/>
      <c r="F162" s="4230"/>
      <c r="G162" s="4230"/>
      <c r="H162" s="4230"/>
    </row>
    <row r="163" spans="1:8" ht="45" customHeight="1">
      <c r="A163" s="2816"/>
      <c r="B163" s="2862"/>
      <c r="C163" s="2838"/>
      <c r="D163" s="4229" t="s">
        <v>2219</v>
      </c>
      <c r="E163" s="4230"/>
      <c r="F163" s="4230"/>
      <c r="G163" s="4230"/>
      <c r="H163" s="4230"/>
    </row>
    <row r="164" spans="1:8" ht="32.25" customHeight="1">
      <c r="A164" s="2838" t="s">
        <v>2220</v>
      </c>
      <c r="B164" s="2839">
        <f>B121+1</f>
        <v>7</v>
      </c>
      <c r="C164" s="2895"/>
      <c r="D164" s="4231" t="s">
        <v>2221</v>
      </c>
      <c r="E164" s="4231"/>
      <c r="F164" s="4231"/>
      <c r="G164" s="4231"/>
      <c r="H164" s="4231"/>
    </row>
    <row r="165" spans="1:8" ht="23.1" customHeight="1">
      <c r="A165" s="2816"/>
      <c r="B165" s="2862"/>
      <c r="C165" s="2838" t="s">
        <v>732</v>
      </c>
      <c r="D165" s="2846" t="s">
        <v>2222</v>
      </c>
      <c r="E165" s="2838"/>
      <c r="F165" s="2816"/>
      <c r="G165" s="2816"/>
      <c r="H165" s="2844"/>
    </row>
    <row r="166" spans="1:8" ht="30.75" customHeight="1">
      <c r="A166" s="2816"/>
      <c r="B166" s="2862"/>
      <c r="C166" s="2838"/>
      <c r="D166" s="2926" t="s">
        <v>2223</v>
      </c>
      <c r="E166" s="2852"/>
      <c r="F166" s="2816"/>
      <c r="G166" s="2816"/>
      <c r="H166" s="2844"/>
    </row>
    <row r="167" spans="1:8" s="2975" customFormat="1" ht="146.1" customHeight="1">
      <c r="A167" s="2976"/>
      <c r="B167" s="2977"/>
      <c r="C167" s="2978"/>
      <c r="D167" s="4224" t="s">
        <v>2224</v>
      </c>
      <c r="E167" s="4224"/>
      <c r="F167" s="4224"/>
      <c r="G167" s="4224"/>
      <c r="H167" s="2974"/>
    </row>
    <row r="168" spans="1:8">
      <c r="A168" s="2816"/>
      <c r="B168" s="2862"/>
      <c r="C168" s="2838"/>
      <c r="D168" s="2909" t="s">
        <v>2225</v>
      </c>
      <c r="E168" s="2816"/>
      <c r="F168" s="2816"/>
      <c r="G168" s="2816"/>
      <c r="H168" s="2844"/>
    </row>
    <row r="169" spans="1:8">
      <c r="A169" s="2816"/>
      <c r="B169" s="2862"/>
      <c r="C169" s="2838"/>
      <c r="D169" s="2909" t="s">
        <v>2226</v>
      </c>
      <c r="E169" s="2816"/>
      <c r="F169" s="2816"/>
      <c r="G169" s="2816"/>
      <c r="H169" s="2844"/>
    </row>
    <row r="170" spans="1:8" ht="26.4">
      <c r="A170" s="2816"/>
      <c r="B170" s="2862"/>
      <c r="C170" s="2838"/>
      <c r="D170" s="2846" t="s">
        <v>2194</v>
      </c>
      <c r="E170" s="2816"/>
      <c r="F170" s="2816"/>
      <c r="G170" s="2816"/>
      <c r="H170" s="2844"/>
    </row>
    <row r="171" spans="1:8">
      <c r="A171" s="2816"/>
      <c r="B171" s="2862"/>
      <c r="C171" s="2838"/>
      <c r="D171" s="2841" t="s">
        <v>2195</v>
      </c>
      <c r="E171" s="2816" t="s">
        <v>31</v>
      </c>
      <c r="F171" s="2910">
        <v>0.126</v>
      </c>
      <c r="G171" s="2897">
        <f>H37</f>
        <v>209.3</v>
      </c>
      <c r="H171" s="2828">
        <f>ROUND(F171*G171,2)</f>
        <v>26.37</v>
      </c>
    </row>
    <row r="172" spans="1:8" ht="21.75" customHeight="1">
      <c r="A172" s="2816"/>
      <c r="B172" s="2862"/>
      <c r="C172" s="2838"/>
      <c r="D172" s="2846" t="s">
        <v>2196</v>
      </c>
      <c r="E172" s="2816"/>
      <c r="F172" s="2910"/>
      <c r="G172" s="2816"/>
      <c r="H172" s="2897"/>
    </row>
    <row r="173" spans="1:8" ht="29.25" customHeight="1">
      <c r="A173" s="2816"/>
      <c r="B173" s="2862"/>
      <c r="C173" s="2838"/>
      <c r="D173" s="2841" t="s">
        <v>2197</v>
      </c>
      <c r="E173" s="2816" t="s">
        <v>31</v>
      </c>
      <c r="F173" s="2910">
        <v>0.126</v>
      </c>
      <c r="G173" s="2897">
        <f>H64</f>
        <v>5022.3900000000003</v>
      </c>
      <c r="H173" s="2828">
        <f>ROUND(F173*G173,2)</f>
        <v>632.82000000000005</v>
      </c>
    </row>
    <row r="174" spans="1:8" ht="48.75" customHeight="1">
      <c r="A174" s="2816"/>
      <c r="B174" s="2862"/>
      <c r="C174" s="2838"/>
      <c r="D174" s="2926" t="s">
        <v>2227</v>
      </c>
      <c r="E174" s="2838"/>
      <c r="F174" s="2888"/>
      <c r="G174" s="2816"/>
      <c r="H174" s="2844"/>
    </row>
    <row r="175" spans="1:8">
      <c r="A175" s="2816"/>
      <c r="B175" s="2862"/>
      <c r="C175" s="2838"/>
      <c r="D175" s="2909" t="s">
        <v>2228</v>
      </c>
      <c r="E175" s="2888" t="s">
        <v>913</v>
      </c>
      <c r="F175" s="2888">
        <v>0.59</v>
      </c>
      <c r="G175" s="2897">
        <f>H226</f>
        <v>122.36690000000002</v>
      </c>
      <c r="H175" s="2828">
        <f>ROUND(F175*G175,2)</f>
        <v>72.2</v>
      </c>
    </row>
    <row r="176" spans="1:8">
      <c r="A176" s="2816"/>
      <c r="B176" s="2862"/>
      <c r="C176" s="2838"/>
      <c r="D176" s="2846" t="s">
        <v>2200</v>
      </c>
      <c r="E176" s="2816"/>
      <c r="F176" s="2888"/>
      <c r="G176" s="2816"/>
      <c r="H176" s="2844"/>
    </row>
    <row r="177" spans="1:11">
      <c r="A177" s="2816"/>
      <c r="B177" s="2862"/>
      <c r="C177" s="2838"/>
      <c r="D177" s="2841" t="s">
        <v>14</v>
      </c>
      <c r="E177" s="2816" t="s">
        <v>38</v>
      </c>
      <c r="F177" s="2888" t="s">
        <v>384</v>
      </c>
      <c r="G177" s="2816"/>
      <c r="H177" s="2844"/>
    </row>
    <row r="178" spans="1:11">
      <c r="A178" s="2816"/>
      <c r="B178" s="2862"/>
      <c r="C178" s="2838"/>
      <c r="D178" s="2909" t="s">
        <v>1115</v>
      </c>
      <c r="E178" s="2816" t="s">
        <v>38</v>
      </c>
      <c r="F178" s="2888">
        <v>0.26</v>
      </c>
      <c r="G178" s="2844">
        <f>+G96</f>
        <v>575</v>
      </c>
      <c r="H178" s="2828">
        <f>ROUND(F178*G178,2)</f>
        <v>149.5</v>
      </c>
    </row>
    <row r="179" spans="1:11">
      <c r="A179" s="2816"/>
      <c r="B179" s="2862"/>
      <c r="C179" s="2838"/>
      <c r="D179" s="2851" t="str">
        <f>$B$8</f>
        <v>Muncipal AAllowance/Area Allowance @ 0%</v>
      </c>
      <c r="E179" s="2852">
        <f>$F$8</f>
        <v>0</v>
      </c>
      <c r="F179" s="2849"/>
      <c r="G179" s="2828"/>
      <c r="H179" s="2828">
        <f>SUM(H176:H178)*E179</f>
        <v>0</v>
      </c>
    </row>
    <row r="180" spans="1:11">
      <c r="A180" s="2816"/>
      <c r="B180" s="2862"/>
      <c r="C180" s="2838"/>
      <c r="D180" s="2846" t="s">
        <v>2182</v>
      </c>
      <c r="E180" s="2816"/>
      <c r="F180" s="2888"/>
      <c r="G180" s="2816"/>
      <c r="H180" s="2844"/>
    </row>
    <row r="181" spans="1:11">
      <c r="A181" s="2816"/>
      <c r="B181" s="2862"/>
      <c r="C181" s="2838"/>
      <c r="D181" s="2909" t="s">
        <v>2229</v>
      </c>
      <c r="E181" s="2816"/>
      <c r="F181" s="2888"/>
      <c r="G181" s="2816"/>
      <c r="H181" s="2844"/>
    </row>
    <row r="182" spans="1:11" ht="26.4">
      <c r="A182" s="2816"/>
      <c r="B182" s="2862"/>
      <c r="C182" s="2838"/>
      <c r="D182" s="2909" t="s">
        <v>2230</v>
      </c>
      <c r="E182" s="2888" t="s">
        <v>2139</v>
      </c>
      <c r="F182" s="2888">
        <v>12.4</v>
      </c>
      <c r="G182" s="2888">
        <f>lead!$K$38</f>
        <v>61</v>
      </c>
      <c r="H182" s="2828">
        <f>ROUND(F182*G182,2)</f>
        <v>756.4</v>
      </c>
    </row>
    <row r="183" spans="1:11" ht="33.75" customHeight="1">
      <c r="A183" s="2857"/>
      <c r="B183" s="2905"/>
      <c r="C183" s="2906"/>
      <c r="D183" s="2927" t="s">
        <v>2231</v>
      </c>
      <c r="E183" s="2928" t="s">
        <v>2139</v>
      </c>
      <c r="F183" s="2928">
        <v>1.06</v>
      </c>
      <c r="G183" s="2928">
        <f>G182</f>
        <v>61</v>
      </c>
      <c r="H183" s="2929">
        <f>ROUND(F183*G183,2)</f>
        <v>64.66</v>
      </c>
    </row>
    <row r="184" spans="1:11" ht="88.5" customHeight="1">
      <c r="A184" s="2816"/>
      <c r="B184" s="2862"/>
      <c r="C184" s="2838"/>
      <c r="D184" s="2909" t="s">
        <v>2232</v>
      </c>
      <c r="E184" s="2888" t="s">
        <v>913</v>
      </c>
      <c r="F184" s="2888">
        <v>0.9</v>
      </c>
      <c r="G184" s="2816"/>
      <c r="H184" s="2897"/>
    </row>
    <row r="185" spans="1:11" ht="20.25" customHeight="1">
      <c r="A185" s="2816"/>
      <c r="B185" s="2862"/>
      <c r="C185" s="2838"/>
      <c r="D185" s="2909" t="s">
        <v>2233</v>
      </c>
      <c r="E185" s="2888" t="s">
        <v>191</v>
      </c>
      <c r="F185" s="2888">
        <f>0.9*0.002*7850</f>
        <v>14.13</v>
      </c>
      <c r="G185" s="2888">
        <f>G183</f>
        <v>61</v>
      </c>
      <c r="H185" s="2828">
        <f>ROUND(F185*G185,2)</f>
        <v>861.93</v>
      </c>
      <c r="K185" s="2802">
        <f>0.9*0.002*7850</f>
        <v>14.13</v>
      </c>
    </row>
    <row r="186" spans="1:11" ht="33.75" customHeight="1">
      <c r="A186" s="2816"/>
      <c r="B186" s="2862"/>
      <c r="C186" s="2838"/>
      <c r="D186" s="2909" t="s">
        <v>2234</v>
      </c>
      <c r="E186" s="2888"/>
      <c r="F186" s="2888"/>
      <c r="G186" s="2816"/>
      <c r="H186" s="2920">
        <f>H185*3%</f>
        <v>25.857899999999997</v>
      </c>
      <c r="K186" s="2802">
        <f>0.9/1</f>
        <v>0.9</v>
      </c>
    </row>
    <row r="187" spans="1:11">
      <c r="A187" s="2816"/>
      <c r="B187" s="2862"/>
      <c r="C187" s="2838"/>
      <c r="D187" s="2846" t="s">
        <v>1928</v>
      </c>
      <c r="E187" s="2888"/>
      <c r="F187" s="2888"/>
      <c r="G187" s="2816"/>
      <c r="H187" s="2844"/>
    </row>
    <row r="188" spans="1:11">
      <c r="A188" s="2816"/>
      <c r="B188" s="2862"/>
      <c r="C188" s="2838"/>
      <c r="D188" s="2841" t="s">
        <v>2215</v>
      </c>
      <c r="E188" s="2816" t="s">
        <v>23</v>
      </c>
      <c r="F188" s="2888">
        <v>0.08</v>
      </c>
      <c r="G188" s="2844">
        <f>+G157</f>
        <v>512</v>
      </c>
      <c r="H188" s="2828">
        <f>ROUND(F188*G188,2)</f>
        <v>40.96</v>
      </c>
    </row>
    <row r="189" spans="1:11" s="2902" customFormat="1" ht="21" customHeight="1">
      <c r="A189" s="2816"/>
      <c r="B189" s="2862"/>
      <c r="C189" s="2838"/>
      <c r="D189" s="2916" t="s">
        <v>2216</v>
      </c>
      <c r="E189" s="2917">
        <f>$F$6</f>
        <v>0.13614999999999999</v>
      </c>
      <c r="F189" s="2918"/>
      <c r="G189" s="2919"/>
      <c r="H189" s="2920">
        <f>SUM(H171:H188)*E189</f>
        <v>358.16951908499999</v>
      </c>
    </row>
    <row r="190" spans="1:11" s="2902" customFormat="1" ht="21" customHeight="1">
      <c r="A190" s="2816"/>
      <c r="B190" s="2862"/>
      <c r="C190" s="2838"/>
      <c r="D190" s="2916" t="s">
        <v>1220</v>
      </c>
      <c r="E190" s="2917">
        <f>$F$7</f>
        <v>0.1</v>
      </c>
      <c r="F190" s="2918"/>
      <c r="G190" s="2919"/>
      <c r="H190" s="2920">
        <f>SUM(H159:H189)*E190</f>
        <v>572.42759829689999</v>
      </c>
    </row>
    <row r="191" spans="1:11" ht="24.75" customHeight="1">
      <c r="A191" s="2816"/>
      <c r="B191" s="2862"/>
      <c r="C191" s="2838"/>
      <c r="D191" s="2841" t="s">
        <v>2235</v>
      </c>
      <c r="E191" s="2816"/>
      <c r="F191" s="2816"/>
      <c r="G191" s="2816"/>
      <c r="H191" s="2897">
        <f>SUM(H171:H189)</f>
        <v>2988.8674190850002</v>
      </c>
    </row>
    <row r="192" spans="1:11" ht="39" customHeight="1">
      <c r="A192" s="2877"/>
      <c r="B192" s="2878"/>
      <c r="C192" s="2903"/>
      <c r="D192" s="2892" t="s">
        <v>2236</v>
      </c>
      <c r="E192" s="2877"/>
      <c r="F192" s="2877"/>
      <c r="G192" s="2877"/>
      <c r="H192" s="2904">
        <f>H191/1</f>
        <v>2988.8674190850002</v>
      </c>
      <c r="I192" s="2885" t="s">
        <v>2166</v>
      </c>
    </row>
    <row r="193" spans="1:8" ht="35.25" hidden="1" customHeight="1">
      <c r="A193" s="2838" t="s">
        <v>2237</v>
      </c>
      <c r="B193" s="2839">
        <f>B164+1</f>
        <v>8</v>
      </c>
      <c r="C193" s="2895"/>
      <c r="D193" s="4232" t="s">
        <v>2238</v>
      </c>
      <c r="E193" s="4232"/>
      <c r="F193" s="4232"/>
      <c r="G193" s="4232"/>
      <c r="H193" s="2844"/>
    </row>
    <row r="194" spans="1:8" ht="63" hidden="1" customHeight="1">
      <c r="A194" s="2816"/>
      <c r="B194" s="2839"/>
      <c r="C194" s="2847" t="s">
        <v>556</v>
      </c>
      <c r="D194" s="4216" t="s">
        <v>2239</v>
      </c>
      <c r="E194" s="4216"/>
      <c r="F194" s="4216"/>
      <c r="G194" s="4216"/>
      <c r="H194" s="2844"/>
    </row>
    <row r="195" spans="1:8" hidden="1">
      <c r="A195" s="2816"/>
      <c r="B195" s="2862"/>
      <c r="C195" s="2838"/>
      <c r="D195" s="2841" t="s">
        <v>1112</v>
      </c>
      <c r="E195" s="2816"/>
      <c r="F195" s="2816"/>
      <c r="G195" s="2816"/>
      <c r="H195" s="2844"/>
    </row>
    <row r="196" spans="1:8" hidden="1">
      <c r="A196" s="2816"/>
      <c r="B196" s="2862"/>
      <c r="C196" s="2838"/>
      <c r="D196" s="2841" t="s">
        <v>2240</v>
      </c>
      <c r="E196" s="2816"/>
      <c r="F196" s="2816"/>
      <c r="G196" s="2816"/>
      <c r="H196" s="2844"/>
    </row>
    <row r="197" spans="1:8" hidden="1">
      <c r="A197" s="2816"/>
      <c r="B197" s="2862"/>
      <c r="C197" s="2838"/>
      <c r="D197" s="2848" t="s">
        <v>2149</v>
      </c>
      <c r="E197" s="2816"/>
      <c r="F197" s="2816"/>
      <c r="G197" s="2816"/>
      <c r="H197" s="2844"/>
    </row>
    <row r="198" spans="1:8" hidden="1">
      <c r="A198" s="2816"/>
      <c r="B198" s="2862"/>
      <c r="C198" s="2838"/>
      <c r="D198" s="2841" t="s">
        <v>14</v>
      </c>
      <c r="E198" s="2816" t="s">
        <v>38</v>
      </c>
      <c r="F198" s="2849" t="s">
        <v>384</v>
      </c>
      <c r="G198" s="2844"/>
      <c r="H198" s="2897"/>
    </row>
    <row r="199" spans="1:8" hidden="1">
      <c r="A199" s="2816"/>
      <c r="B199" s="2862"/>
      <c r="C199" s="2838"/>
      <c r="D199" s="2841" t="s">
        <v>2241</v>
      </c>
      <c r="E199" s="2816" t="s">
        <v>38</v>
      </c>
      <c r="F199" s="2849">
        <v>3</v>
      </c>
      <c r="G199" s="2844">
        <f>+G94</f>
        <v>740</v>
      </c>
      <c r="H199" s="2828">
        <f>ROUND(F199*G199,2)</f>
        <v>2220</v>
      </c>
    </row>
    <row r="200" spans="1:8" hidden="1">
      <c r="A200" s="2816"/>
      <c r="B200" s="2862"/>
      <c r="C200" s="2838"/>
      <c r="D200" s="2841" t="s">
        <v>2181</v>
      </c>
      <c r="E200" s="2816" t="s">
        <v>38</v>
      </c>
      <c r="F200" s="2849"/>
      <c r="G200" s="2816"/>
      <c r="H200" s="2897"/>
    </row>
    <row r="201" spans="1:8" hidden="1">
      <c r="A201" s="2816"/>
      <c r="B201" s="2862"/>
      <c r="C201" s="2838"/>
      <c r="D201" s="2841" t="s">
        <v>1115</v>
      </c>
      <c r="E201" s="2816" t="s">
        <v>38</v>
      </c>
      <c r="F201" s="2849">
        <v>2.2000000000000002</v>
      </c>
      <c r="G201" s="2844">
        <f>+G178</f>
        <v>575</v>
      </c>
      <c r="H201" s="2828">
        <f>ROUND(F201*G201,2)</f>
        <v>1265</v>
      </c>
    </row>
    <row r="202" spans="1:8" hidden="1">
      <c r="A202" s="2816"/>
      <c r="B202" s="2862"/>
      <c r="C202" s="2838"/>
      <c r="D202" s="2851" t="str">
        <f>$B$8</f>
        <v>Muncipal AAllowance/Area Allowance @ 0%</v>
      </c>
      <c r="E202" s="2852">
        <f>$F$8</f>
        <v>0</v>
      </c>
      <c r="F202" s="2849"/>
      <c r="G202" s="2828"/>
      <c r="H202" s="2828">
        <f>SUM(H199:H201)*E202</f>
        <v>0</v>
      </c>
    </row>
    <row r="203" spans="1:8" hidden="1">
      <c r="A203" s="2816"/>
      <c r="B203" s="2862"/>
      <c r="C203" s="2838"/>
      <c r="D203" s="2846" t="s">
        <v>2182</v>
      </c>
      <c r="E203" s="2816"/>
      <c r="F203" s="2849"/>
      <c r="G203" s="2816"/>
      <c r="H203" s="2844"/>
    </row>
    <row r="204" spans="1:8" hidden="1">
      <c r="A204" s="2816"/>
      <c r="B204" s="2862"/>
      <c r="C204" s="2838"/>
      <c r="D204" s="2841" t="s">
        <v>2242</v>
      </c>
      <c r="E204" s="2816" t="s">
        <v>2184</v>
      </c>
      <c r="F204" s="2849">
        <v>3</v>
      </c>
      <c r="G204" s="2844">
        <v>173</v>
      </c>
      <c r="H204" s="2828">
        <f>ROUND(F204*G204,2)</f>
        <v>519</v>
      </c>
    </row>
    <row r="205" spans="1:8" ht="27.75" hidden="1" customHeight="1">
      <c r="A205" s="2816"/>
      <c r="B205" s="2862"/>
      <c r="C205" s="2838"/>
      <c r="D205" s="2841" t="s">
        <v>2243</v>
      </c>
      <c r="E205" s="2816" t="s">
        <v>2184</v>
      </c>
      <c r="F205" s="2849">
        <v>6</v>
      </c>
      <c r="G205" s="2844">
        <v>221</v>
      </c>
      <c r="H205" s="2828">
        <f>ROUND(F205*G205,2)</f>
        <v>1326</v>
      </c>
    </row>
    <row r="206" spans="1:8" ht="15.75" hidden="1" customHeight="1">
      <c r="A206" s="2816"/>
      <c r="B206" s="2862"/>
      <c r="C206" s="2838"/>
      <c r="D206" s="2841" t="s">
        <v>2244</v>
      </c>
      <c r="E206" s="2816"/>
      <c r="F206" s="2853"/>
      <c r="G206" s="2853"/>
      <c r="H206" s="2889"/>
    </row>
    <row r="207" spans="1:8" ht="12.75" hidden="1" customHeight="1">
      <c r="A207" s="2816"/>
      <c r="B207" s="2862"/>
      <c r="C207" s="2838"/>
      <c r="D207" s="2841" t="s">
        <v>2245</v>
      </c>
      <c r="E207" s="2816"/>
      <c r="F207" s="2930"/>
      <c r="G207" s="2816"/>
      <c r="H207" s="2844"/>
    </row>
    <row r="208" spans="1:8" s="2902" customFormat="1" ht="13.5" hidden="1" customHeight="1">
      <c r="A208" s="2816"/>
      <c r="B208" s="2862"/>
      <c r="C208" s="2838"/>
      <c r="D208" s="2842" t="s">
        <v>2142</v>
      </c>
      <c r="E208" s="2815"/>
      <c r="F208" s="2899"/>
      <c r="G208" s="2900"/>
      <c r="H208" s="2901"/>
    </row>
    <row r="209" spans="1:9" hidden="1">
      <c r="A209" s="2816"/>
      <c r="B209" s="2862"/>
      <c r="C209" s="2838"/>
      <c r="D209" s="2841" t="s">
        <v>2246</v>
      </c>
      <c r="E209" s="2816"/>
      <c r="F209" s="2930"/>
      <c r="G209" s="2840"/>
      <c r="H209" s="2844">
        <f>SUM(H198:H208)</f>
        <v>5330</v>
      </c>
    </row>
    <row r="210" spans="1:9" ht="12.75" hidden="1" customHeight="1">
      <c r="A210" s="2877"/>
      <c r="B210" s="2878"/>
      <c r="C210" s="2903"/>
      <c r="D210" s="2892" t="s">
        <v>2247</v>
      </c>
      <c r="E210" s="2877"/>
      <c r="F210" s="2877"/>
      <c r="G210" s="2931"/>
      <c r="H210" s="2932">
        <f>H209/40</f>
        <v>133.25</v>
      </c>
      <c r="I210" s="2885" t="s">
        <v>2166</v>
      </c>
    </row>
    <row r="211" spans="1:9" ht="30" hidden="1" customHeight="1">
      <c r="A211" s="4228" t="s">
        <v>2248</v>
      </c>
      <c r="B211" s="2839">
        <f>B193+1</f>
        <v>9</v>
      </c>
      <c r="C211" s="2895"/>
      <c r="D211" s="2846" t="s">
        <v>2249</v>
      </c>
      <c r="E211" s="2816"/>
      <c r="F211" s="2816"/>
      <c r="G211" s="2816"/>
      <c r="H211" s="2844"/>
    </row>
    <row r="212" spans="1:9" ht="61.5" hidden="1" customHeight="1">
      <c r="A212" s="4228"/>
      <c r="B212" s="2839"/>
      <c r="C212" s="2847"/>
      <c r="D212" s="4223" t="s">
        <v>2250</v>
      </c>
      <c r="E212" s="4223"/>
      <c r="F212" s="4223"/>
      <c r="G212" s="4223"/>
      <c r="H212" s="2844"/>
    </row>
    <row r="213" spans="1:9" hidden="1">
      <c r="A213" s="2857"/>
      <c r="B213" s="2905"/>
      <c r="C213" s="2906"/>
      <c r="D213" s="2933" t="s">
        <v>1112</v>
      </c>
      <c r="E213" s="2857"/>
      <c r="F213" s="2857"/>
      <c r="G213" s="2857"/>
      <c r="H213" s="2934"/>
    </row>
    <row r="214" spans="1:9" hidden="1">
      <c r="A214" s="2816"/>
      <c r="B214" s="2862"/>
      <c r="C214" s="2838"/>
      <c r="D214" s="2841" t="s">
        <v>2251</v>
      </c>
      <c r="E214" s="2816"/>
      <c r="F214" s="2816"/>
      <c r="G214" s="2816"/>
      <c r="H214" s="2844"/>
    </row>
    <row r="215" spans="1:9" hidden="1">
      <c r="A215" s="2816"/>
      <c r="B215" s="2862"/>
      <c r="C215" s="2838"/>
      <c r="D215" s="2848" t="s">
        <v>2149</v>
      </c>
      <c r="E215" s="2816"/>
      <c r="F215" s="2816"/>
      <c r="G215" s="2816"/>
      <c r="H215" s="2844"/>
    </row>
    <row r="216" spans="1:9" hidden="1">
      <c r="A216" s="2816"/>
      <c r="B216" s="2862"/>
      <c r="C216" s="2838"/>
      <c r="D216" s="2841" t="s">
        <v>14</v>
      </c>
      <c r="E216" s="2816" t="s">
        <v>38</v>
      </c>
      <c r="F216" s="2849" t="s">
        <v>384</v>
      </c>
      <c r="G216" s="2844"/>
      <c r="H216" s="2897"/>
    </row>
    <row r="217" spans="1:9" hidden="1">
      <c r="A217" s="2816"/>
      <c r="B217" s="2862"/>
      <c r="C217" s="2838"/>
      <c r="D217" s="2841" t="s">
        <v>2241</v>
      </c>
      <c r="E217" s="2816" t="s">
        <v>38</v>
      </c>
      <c r="F217" s="2849">
        <v>0.6</v>
      </c>
      <c r="G217" s="2844">
        <f>+G199</f>
        <v>740</v>
      </c>
      <c r="H217" s="2828">
        <f>ROUND(F217*G217,2)</f>
        <v>444</v>
      </c>
    </row>
    <row r="218" spans="1:9" hidden="1">
      <c r="A218" s="2816"/>
      <c r="B218" s="2862"/>
      <c r="C218" s="2838"/>
      <c r="D218" s="2841" t="s">
        <v>1115</v>
      </c>
      <c r="E218" s="2816" t="s">
        <v>38</v>
      </c>
      <c r="F218" s="2849">
        <v>0.65</v>
      </c>
      <c r="G218" s="2844">
        <f>+G201</f>
        <v>575</v>
      </c>
      <c r="H218" s="2828">
        <f>ROUND(F218*G218,2)</f>
        <v>373.75</v>
      </c>
    </row>
    <row r="219" spans="1:9" hidden="1">
      <c r="A219" s="2816"/>
      <c r="B219" s="2862"/>
      <c r="C219" s="2838"/>
      <c r="D219" s="2851" t="str">
        <f>$B$8</f>
        <v>Muncipal AAllowance/Area Allowance @ 0%</v>
      </c>
      <c r="E219" s="2852">
        <f>$F$8</f>
        <v>0</v>
      </c>
      <c r="F219" s="2849"/>
      <c r="G219" s="2828"/>
      <c r="H219" s="2828">
        <f>SUM(H216:H218)*E219</f>
        <v>0</v>
      </c>
    </row>
    <row r="220" spans="1:9" hidden="1">
      <c r="A220" s="2816"/>
      <c r="B220" s="2862"/>
      <c r="C220" s="2838"/>
      <c r="D220" s="2846" t="s">
        <v>2182</v>
      </c>
      <c r="E220" s="2816"/>
      <c r="F220" s="2849"/>
      <c r="G220" s="2816"/>
      <c r="H220" s="2844"/>
    </row>
    <row r="221" spans="1:9" hidden="1">
      <c r="A221" s="2816"/>
      <c r="B221" s="2862"/>
      <c r="C221" s="2838"/>
      <c r="D221" s="2841" t="s">
        <v>2252</v>
      </c>
      <c r="E221" s="2816" t="s">
        <v>2184</v>
      </c>
      <c r="F221" s="2849">
        <v>0.6</v>
      </c>
      <c r="G221" s="2844">
        <f>'SSR-rates'!$K$120</f>
        <v>149</v>
      </c>
      <c r="H221" s="2828">
        <f>ROUND(F221*G221,2)</f>
        <v>89.4</v>
      </c>
    </row>
    <row r="222" spans="1:9" hidden="1">
      <c r="A222" s="2816"/>
      <c r="B222" s="2862"/>
      <c r="C222" s="2838"/>
      <c r="D222" s="2841" t="s">
        <v>2253</v>
      </c>
      <c r="E222" s="2816" t="s">
        <v>2184</v>
      </c>
      <c r="F222" s="2849">
        <v>1.25</v>
      </c>
      <c r="G222" s="2844">
        <f>'SSR-rates'!$K$121</f>
        <v>250</v>
      </c>
      <c r="H222" s="2828">
        <f>ROUND(F222*G222,2)</f>
        <v>312.5</v>
      </c>
    </row>
    <row r="223" spans="1:9" ht="31.5" hidden="1" customHeight="1">
      <c r="A223" s="2816"/>
      <c r="B223" s="2862"/>
      <c r="C223" s="2838"/>
      <c r="D223" s="2841" t="s">
        <v>2254</v>
      </c>
      <c r="E223" s="2816"/>
      <c r="F223" s="2816"/>
      <c r="G223" s="2816"/>
      <c r="H223" s="2919">
        <f>SUM(H221:H222)*1%</f>
        <v>4.0190000000000001</v>
      </c>
    </row>
    <row r="224" spans="1:9" s="2902" customFormat="1" ht="13.5" hidden="1" customHeight="1">
      <c r="A224" s="2816"/>
      <c r="B224" s="2862"/>
      <c r="C224" s="2838"/>
      <c r="D224" s="2842" t="s">
        <v>2142</v>
      </c>
      <c r="E224" s="2815"/>
      <c r="F224" s="2899"/>
      <c r="G224" s="2900"/>
      <c r="H224" s="2901"/>
    </row>
    <row r="225" spans="1:9" hidden="1">
      <c r="A225" s="2816"/>
      <c r="B225" s="2862"/>
      <c r="C225" s="2838"/>
      <c r="D225" s="2841" t="s">
        <v>2255</v>
      </c>
      <c r="E225" s="2816"/>
      <c r="F225" s="2816"/>
      <c r="G225" s="2816"/>
      <c r="H225" s="2897">
        <f>SUM(H217:H224)</f>
        <v>1223.6690000000001</v>
      </c>
    </row>
    <row r="226" spans="1:9" ht="14.25" hidden="1" customHeight="1">
      <c r="A226" s="2935"/>
      <c r="B226" s="2878"/>
      <c r="C226" s="2903"/>
      <c r="D226" s="2892" t="s">
        <v>2256</v>
      </c>
      <c r="E226" s="2877"/>
      <c r="F226" s="2877"/>
      <c r="G226" s="2877"/>
      <c r="H226" s="2904">
        <f>H225/10</f>
        <v>122.36690000000002</v>
      </c>
      <c r="I226" s="2885" t="s">
        <v>2166</v>
      </c>
    </row>
    <row r="227" spans="1:9" ht="14.25" hidden="1" customHeight="1">
      <c r="A227" s="2935"/>
      <c r="B227" s="2878"/>
      <c r="C227" s="2903"/>
      <c r="D227" s="2892"/>
      <c r="E227" s="2877"/>
      <c r="F227" s="2877"/>
      <c r="G227" s="2877"/>
      <c r="H227" s="2904"/>
      <c r="I227" s="2885"/>
    </row>
    <row r="228" spans="1:9" ht="14.25" hidden="1" customHeight="1">
      <c r="A228" s="2935"/>
      <c r="B228" s="2878"/>
      <c r="C228" s="2903"/>
      <c r="D228" s="2892"/>
      <c r="E228" s="2877"/>
      <c r="F228" s="2877"/>
      <c r="G228" s="2877"/>
      <c r="H228" s="2904"/>
      <c r="I228" s="2885"/>
    </row>
    <row r="229" spans="1:9" ht="14.25" hidden="1" customHeight="1">
      <c r="A229" s="2935"/>
      <c r="B229" s="2878"/>
      <c r="C229" s="2903"/>
      <c r="D229" s="2892"/>
      <c r="E229" s="2877"/>
      <c r="F229" s="2877"/>
      <c r="G229" s="2877"/>
      <c r="H229" s="2904"/>
      <c r="I229" s="2885"/>
    </row>
    <row r="230" spans="1:9" ht="20.25" customHeight="1">
      <c r="A230" s="4228" t="s">
        <v>2257</v>
      </c>
      <c r="B230" s="2839">
        <f>B211+1</f>
        <v>10</v>
      </c>
      <c r="C230" s="2895"/>
      <c r="D230" s="2846" t="s">
        <v>2258</v>
      </c>
      <c r="E230" s="2816"/>
      <c r="F230" s="2816"/>
      <c r="G230" s="2816"/>
      <c r="H230" s="2844"/>
    </row>
    <row r="231" spans="1:9" s="2975" customFormat="1" ht="60" customHeight="1">
      <c r="A231" s="4228"/>
      <c r="B231" s="2972"/>
      <c r="C231" s="2973"/>
      <c r="D231" s="4224" t="s">
        <v>2259</v>
      </c>
      <c r="E231" s="4224"/>
      <c r="F231" s="4224"/>
      <c r="G231" s="4224"/>
      <c r="H231" s="2974"/>
    </row>
    <row r="232" spans="1:9">
      <c r="A232" s="2816"/>
      <c r="B232" s="2862"/>
      <c r="C232" s="2838" t="s">
        <v>2260</v>
      </c>
      <c r="D232" s="2846" t="s">
        <v>2261</v>
      </c>
      <c r="E232" s="2816"/>
      <c r="F232" s="2816"/>
      <c r="G232" s="2816"/>
      <c r="H232" s="2844"/>
    </row>
    <row r="233" spans="1:9">
      <c r="A233" s="2816"/>
      <c r="B233" s="2862"/>
      <c r="C233" s="2838"/>
      <c r="D233" s="2841" t="s">
        <v>2225</v>
      </c>
      <c r="E233" s="2816"/>
      <c r="F233" s="2816"/>
      <c r="G233" s="2816"/>
      <c r="H233" s="2844"/>
    </row>
    <row r="234" spans="1:9">
      <c r="A234" s="2816"/>
      <c r="B234" s="2862"/>
      <c r="C234" s="2838"/>
      <c r="D234" s="2841" t="s">
        <v>2262</v>
      </c>
      <c r="E234" s="2816"/>
      <c r="F234" s="2816"/>
      <c r="G234" s="2816"/>
      <c r="H234" s="2844"/>
    </row>
    <row r="235" spans="1:9">
      <c r="A235" s="2816"/>
      <c r="B235" s="2862"/>
      <c r="C235" s="2838"/>
      <c r="D235" s="2841" t="s">
        <v>2263</v>
      </c>
      <c r="E235" s="2816"/>
      <c r="F235" s="2816"/>
      <c r="G235" s="2816"/>
      <c r="H235" s="2844"/>
    </row>
    <row r="236" spans="1:9">
      <c r="A236" s="2816"/>
      <c r="B236" s="2862"/>
      <c r="C236" s="2838"/>
      <c r="D236" s="2841" t="s">
        <v>2264</v>
      </c>
      <c r="E236" s="2816" t="s">
        <v>31</v>
      </c>
      <c r="F236" s="2849">
        <v>2.35</v>
      </c>
      <c r="G236" s="2897">
        <f>H64</f>
        <v>5022.3900000000003</v>
      </c>
      <c r="H236" s="2828">
        <f>ROUND(F236*G236,2)</f>
        <v>11802.62</v>
      </c>
    </row>
    <row r="237" spans="1:9">
      <c r="A237" s="2816"/>
      <c r="B237" s="2862"/>
      <c r="C237" s="2838"/>
      <c r="D237" s="2841" t="s">
        <v>2265</v>
      </c>
      <c r="E237" s="2816"/>
      <c r="F237" s="2816"/>
      <c r="G237" s="2816"/>
      <c r="H237" s="2844"/>
    </row>
    <row r="238" spans="1:9" ht="21" customHeight="1">
      <c r="A238" s="2816"/>
      <c r="B238" s="2862"/>
      <c r="C238" s="2838"/>
      <c r="D238" s="2841" t="s">
        <v>2266</v>
      </c>
      <c r="E238" s="2816" t="s">
        <v>2139</v>
      </c>
      <c r="F238" s="2849">
        <v>22.08</v>
      </c>
      <c r="G238" s="2897">
        <f>H21/1000</f>
        <v>56.908000000000001</v>
      </c>
      <c r="H238" s="2828">
        <f>ROUND(F238*G238,2)</f>
        <v>1256.53</v>
      </c>
    </row>
    <row r="239" spans="1:9" ht="20.25" customHeight="1">
      <c r="A239" s="2816"/>
      <c r="B239" s="2862"/>
      <c r="C239" s="2838"/>
      <c r="D239" s="2841" t="s">
        <v>2267</v>
      </c>
      <c r="E239" s="2816"/>
      <c r="F239" s="2816"/>
      <c r="G239" s="2816"/>
      <c r="H239" s="2844"/>
    </row>
    <row r="240" spans="1:9" ht="19.5" customHeight="1">
      <c r="A240" s="2816"/>
      <c r="B240" s="2862"/>
      <c r="C240" s="2838"/>
      <c r="D240" s="2841" t="s">
        <v>2195</v>
      </c>
      <c r="E240" s="2816" t="s">
        <v>31</v>
      </c>
      <c r="F240" s="2849">
        <v>1.68</v>
      </c>
      <c r="G240" s="2897">
        <f>H37</f>
        <v>209.3</v>
      </c>
      <c r="H240" s="2828">
        <f>ROUND(F240*G240,2)</f>
        <v>351.62</v>
      </c>
    </row>
    <row r="241" spans="1:9">
      <c r="A241" s="2816"/>
      <c r="B241" s="2862"/>
      <c r="C241" s="2838"/>
      <c r="D241" s="2841" t="s">
        <v>2268</v>
      </c>
      <c r="E241" s="2816"/>
      <c r="F241" s="2816"/>
      <c r="G241" s="2816"/>
      <c r="H241" s="2844"/>
    </row>
    <row r="242" spans="1:9" ht="23.25" customHeight="1">
      <c r="A242" s="2816"/>
      <c r="B242" s="2862"/>
      <c r="C242" s="2838"/>
      <c r="D242" s="2841" t="s">
        <v>2269</v>
      </c>
      <c r="E242" s="2816" t="s">
        <v>913</v>
      </c>
      <c r="F242" s="2849">
        <v>9.85</v>
      </c>
      <c r="G242" s="2897">
        <f>H210</f>
        <v>133.25</v>
      </c>
      <c r="H242" s="2828">
        <f>ROUND(F242*G242,2)</f>
        <v>1312.51</v>
      </c>
    </row>
    <row r="243" spans="1:9" ht="31.5" customHeight="1">
      <c r="A243" s="2816"/>
      <c r="B243" s="2862"/>
      <c r="C243" s="2838"/>
      <c r="D243" s="2841" t="s">
        <v>2270</v>
      </c>
      <c r="E243" s="2816"/>
      <c r="F243" s="2816"/>
      <c r="G243" s="2816"/>
      <c r="H243" s="2844"/>
    </row>
    <row r="244" spans="1:9">
      <c r="A244" s="2816"/>
      <c r="B244" s="2862"/>
      <c r="C244" s="2838"/>
      <c r="D244" s="2841" t="s">
        <v>2271</v>
      </c>
      <c r="E244" s="2816" t="s">
        <v>2272</v>
      </c>
      <c r="F244" s="2844">
        <v>1800</v>
      </c>
      <c r="G244" s="2897">
        <f>H102</f>
        <v>1.3965624999999999</v>
      </c>
      <c r="H244" s="2828">
        <f>ROUND(F244*G244,2)</f>
        <v>2513.81</v>
      </c>
    </row>
    <row r="245" spans="1:9">
      <c r="A245" s="2816"/>
      <c r="B245" s="2862"/>
      <c r="C245" s="2838"/>
      <c r="D245" s="2846" t="s">
        <v>2273</v>
      </c>
      <c r="E245" s="2816"/>
      <c r="F245" s="2816"/>
      <c r="G245" s="2816"/>
      <c r="H245" s="2844"/>
    </row>
    <row r="246" spans="1:9">
      <c r="A246" s="2816"/>
      <c r="B246" s="2862"/>
      <c r="C246" s="2838"/>
      <c r="D246" s="2848" t="s">
        <v>2274</v>
      </c>
      <c r="E246" s="2816"/>
      <c r="F246" s="2816"/>
      <c r="G246" s="2816"/>
      <c r="H246" s="2844"/>
    </row>
    <row r="247" spans="1:9">
      <c r="A247" s="2816"/>
      <c r="B247" s="2862"/>
      <c r="C247" s="2838"/>
      <c r="D247" s="2841" t="s">
        <v>14</v>
      </c>
      <c r="E247" s="2816" t="s">
        <v>38</v>
      </c>
      <c r="F247" s="2849" t="s">
        <v>384</v>
      </c>
      <c r="G247" s="2844"/>
      <c r="H247" s="2897"/>
    </row>
    <row r="248" spans="1:9">
      <c r="A248" s="2816"/>
      <c r="B248" s="2862"/>
      <c r="C248" s="2838"/>
      <c r="D248" s="2841" t="s">
        <v>2161</v>
      </c>
      <c r="E248" s="2816" t="s">
        <v>38</v>
      </c>
      <c r="F248" s="2849">
        <v>0.6</v>
      </c>
      <c r="G248" s="2844">
        <f>+'SSR-rates'!K96</f>
        <v>645</v>
      </c>
      <c r="H248" s="2828">
        <f>ROUND(F248*G248,2)</f>
        <v>387</v>
      </c>
    </row>
    <row r="249" spans="1:9">
      <c r="A249" s="2816"/>
      <c r="B249" s="2862"/>
      <c r="C249" s="2838"/>
      <c r="D249" s="2841" t="s">
        <v>1115</v>
      </c>
      <c r="E249" s="2816" t="s">
        <v>38</v>
      </c>
      <c r="F249" s="2849">
        <v>6.26</v>
      </c>
      <c r="G249" s="2844">
        <f>+G218</f>
        <v>575</v>
      </c>
      <c r="H249" s="2828">
        <f>ROUND(F249*G249,2)</f>
        <v>3599.5</v>
      </c>
    </row>
    <row r="250" spans="1:9">
      <c r="A250" s="2816"/>
      <c r="B250" s="2862"/>
      <c r="C250" s="2838"/>
      <c r="D250" s="2851" t="str">
        <f>$B$8</f>
        <v>Muncipal AAllowance/Area Allowance @ 0%</v>
      </c>
      <c r="E250" s="2852">
        <f>$F$8</f>
        <v>0</v>
      </c>
      <c r="F250" s="2849"/>
      <c r="G250" s="2828"/>
      <c r="H250" s="2828">
        <f>SUM(H247:H249)*E250</f>
        <v>0</v>
      </c>
    </row>
    <row r="251" spans="1:9">
      <c r="A251" s="2816"/>
      <c r="B251" s="2862"/>
      <c r="C251" s="2838"/>
      <c r="D251" s="2846" t="s">
        <v>2275</v>
      </c>
      <c r="E251" s="2816"/>
      <c r="F251" s="2849"/>
      <c r="G251" s="2816"/>
      <c r="H251" s="2844"/>
    </row>
    <row r="252" spans="1:9">
      <c r="A252" s="2857"/>
      <c r="B252" s="2905"/>
      <c r="C252" s="2906"/>
      <c r="D252" s="2933" t="s">
        <v>2276</v>
      </c>
      <c r="E252" s="2857" t="s">
        <v>23</v>
      </c>
      <c r="F252" s="2936">
        <v>6</v>
      </c>
      <c r="G252" s="2936">
        <f>+G188</f>
        <v>512</v>
      </c>
      <c r="H252" s="2929">
        <f>ROUND(F252*G252,2)</f>
        <v>3072</v>
      </c>
    </row>
    <row r="253" spans="1:9" s="2902" customFormat="1" ht="18.600000000000001" customHeight="1">
      <c r="A253" s="2816"/>
      <c r="B253" s="2862"/>
      <c r="C253" s="2838"/>
      <c r="D253" s="2916" t="s">
        <v>2216</v>
      </c>
      <c r="E253" s="2917">
        <f>$F$6</f>
        <v>0.13614999999999999</v>
      </c>
      <c r="F253" s="2918"/>
      <c r="G253" s="2919"/>
      <c r="H253" s="2920">
        <f>SUM(H220:H252)*E253</f>
        <v>3546.3732381350005</v>
      </c>
    </row>
    <row r="254" spans="1:9" s="2902" customFormat="1" ht="18.600000000000001" customHeight="1">
      <c r="A254" s="2816"/>
      <c r="B254" s="2862"/>
      <c r="C254" s="2838"/>
      <c r="D254" s="2916" t="s">
        <v>1220</v>
      </c>
      <c r="E254" s="2917">
        <f>$F$7</f>
        <v>0.1</v>
      </c>
      <c r="F254" s="2918"/>
      <c r="G254" s="2919"/>
      <c r="H254" s="2920">
        <f>SUM(H220:H253)*E254</f>
        <v>2959.3918138135009</v>
      </c>
    </row>
    <row r="255" spans="1:9" ht="30" customHeight="1">
      <c r="A255" s="2816"/>
      <c r="B255" s="2862"/>
      <c r="C255" s="2838"/>
      <c r="D255" s="2841" t="s">
        <v>2277</v>
      </c>
      <c r="E255" s="2816"/>
      <c r="F255" s="2816"/>
      <c r="G255" s="2816"/>
      <c r="H255" s="2897"/>
    </row>
    <row r="256" spans="1:9" ht="21.75" customHeight="1">
      <c r="A256" s="2877"/>
      <c r="B256" s="2878"/>
      <c r="C256" s="2903"/>
      <c r="D256" s="2937" t="s">
        <v>2278</v>
      </c>
      <c r="E256" s="2877"/>
      <c r="F256" s="2877"/>
      <c r="G256" s="2877"/>
      <c r="H256" s="2904">
        <f>SUM(H236:H255)/6</f>
        <v>5133.5591753247509</v>
      </c>
      <c r="I256" s="2885" t="s">
        <v>2166</v>
      </c>
    </row>
    <row r="257" spans="1:8" ht="27.75" customHeight="1">
      <c r="A257" s="2816"/>
      <c r="B257" s="2862"/>
      <c r="C257" s="2838" t="s">
        <v>2175</v>
      </c>
      <c r="D257" s="2846" t="s">
        <v>2279</v>
      </c>
      <c r="E257" s="2816"/>
      <c r="F257" s="2816"/>
      <c r="G257" s="2816"/>
      <c r="H257" s="2844"/>
    </row>
    <row r="258" spans="1:8">
      <c r="A258" s="2816"/>
      <c r="B258" s="2862"/>
      <c r="C258" s="2838"/>
      <c r="D258" s="2841" t="s">
        <v>2225</v>
      </c>
      <c r="E258" s="2816"/>
      <c r="F258" s="2816"/>
      <c r="G258" s="2816"/>
      <c r="H258" s="2844"/>
    </row>
    <row r="259" spans="1:8">
      <c r="A259" s="2816"/>
      <c r="B259" s="2862"/>
      <c r="C259" s="2838"/>
      <c r="D259" s="2841" t="s">
        <v>2280</v>
      </c>
      <c r="E259" s="2816"/>
      <c r="F259" s="2816"/>
      <c r="G259" s="2816"/>
      <c r="H259" s="2844"/>
    </row>
    <row r="260" spans="1:8">
      <c r="A260" s="2816"/>
      <c r="B260" s="2862"/>
      <c r="C260" s="2838"/>
      <c r="D260" s="2841" t="s">
        <v>2263</v>
      </c>
      <c r="E260" s="2816"/>
      <c r="F260" s="2816"/>
      <c r="G260" s="2816"/>
      <c r="H260" s="2844"/>
    </row>
    <row r="261" spans="1:8">
      <c r="A261" s="2816"/>
      <c r="B261" s="2862"/>
      <c r="C261" s="2838"/>
      <c r="D261" s="2841" t="s">
        <v>2264</v>
      </c>
      <c r="E261" s="2816" t="s">
        <v>31</v>
      </c>
      <c r="F261" s="2849">
        <v>3.77</v>
      </c>
      <c r="G261" s="2897">
        <f>G236</f>
        <v>5022.3900000000003</v>
      </c>
      <c r="H261" s="2828">
        <f>ROUND(F261*G261,2)</f>
        <v>18934.41</v>
      </c>
    </row>
    <row r="262" spans="1:8">
      <c r="A262" s="2816"/>
      <c r="B262" s="2862"/>
      <c r="C262" s="2838"/>
      <c r="D262" s="2841" t="s">
        <v>2265</v>
      </c>
      <c r="E262" s="2816"/>
      <c r="F262" s="2849"/>
      <c r="G262" s="2816"/>
      <c r="H262" s="2897"/>
    </row>
    <row r="263" spans="1:8" ht="18" customHeight="1">
      <c r="A263" s="2816"/>
      <c r="B263" s="2862"/>
      <c r="C263" s="2838"/>
      <c r="D263" s="2841" t="s">
        <v>2266</v>
      </c>
      <c r="E263" s="2816" t="s">
        <v>2139</v>
      </c>
      <c r="F263" s="2849">
        <v>26.32</v>
      </c>
      <c r="G263" s="2897">
        <f>H21/1000</f>
        <v>56.908000000000001</v>
      </c>
      <c r="H263" s="2828">
        <f>ROUND(F263*G263,2)</f>
        <v>1497.82</v>
      </c>
    </row>
    <row r="264" spans="1:8" ht="17.399999999999999" customHeight="1">
      <c r="A264" s="2816"/>
      <c r="B264" s="2862"/>
      <c r="C264" s="2838"/>
      <c r="D264" s="2841" t="s">
        <v>2267</v>
      </c>
      <c r="E264" s="2816"/>
      <c r="F264" s="2849"/>
      <c r="G264" s="2816"/>
      <c r="H264" s="2897"/>
    </row>
    <row r="265" spans="1:8">
      <c r="A265" s="2816"/>
      <c r="B265" s="2862"/>
      <c r="C265" s="2838"/>
      <c r="D265" s="2841" t="s">
        <v>2195</v>
      </c>
      <c r="E265" s="2816" t="s">
        <v>31</v>
      </c>
      <c r="F265" s="2849">
        <v>2.77</v>
      </c>
      <c r="G265" s="2897">
        <f>H37</f>
        <v>209.3</v>
      </c>
      <c r="H265" s="2828">
        <f>ROUND(F265*G265,2)</f>
        <v>579.76</v>
      </c>
    </row>
    <row r="266" spans="1:8">
      <c r="A266" s="2816"/>
      <c r="B266" s="2862"/>
      <c r="C266" s="2838"/>
      <c r="D266" s="2841" t="s">
        <v>2268</v>
      </c>
      <c r="E266" s="2816"/>
      <c r="F266" s="2849"/>
      <c r="G266" s="2816"/>
      <c r="H266" s="2897"/>
    </row>
    <row r="267" spans="1:8">
      <c r="A267" s="2816"/>
      <c r="B267" s="2862"/>
      <c r="C267" s="2838"/>
      <c r="D267" s="2841" t="s">
        <v>2269</v>
      </c>
      <c r="E267" s="2816" t="s">
        <v>913</v>
      </c>
      <c r="F267" s="2849">
        <v>11.41</v>
      </c>
      <c r="G267" s="2897">
        <f>H210</f>
        <v>133.25</v>
      </c>
      <c r="H267" s="2828">
        <f>ROUND(F267*G267,2)</f>
        <v>1520.38</v>
      </c>
    </row>
    <row r="268" spans="1:8" ht="26.4">
      <c r="A268" s="2816"/>
      <c r="B268" s="2862"/>
      <c r="C268" s="2838"/>
      <c r="D268" s="2841" t="s">
        <v>2281</v>
      </c>
      <c r="E268" s="2816"/>
      <c r="F268" s="2849"/>
      <c r="G268" s="2816"/>
      <c r="H268" s="2897"/>
    </row>
    <row r="269" spans="1:8">
      <c r="A269" s="2816"/>
      <c r="B269" s="2862"/>
      <c r="C269" s="2838"/>
      <c r="D269" s="2841" t="s">
        <v>2271</v>
      </c>
      <c r="E269" s="2816" t="s">
        <v>2272</v>
      </c>
      <c r="F269" s="2844">
        <v>1680</v>
      </c>
      <c r="G269" s="2897">
        <f>H102</f>
        <v>1.3965624999999999</v>
      </c>
      <c r="H269" s="2828">
        <f>ROUND(F269*G269,2)</f>
        <v>2346.23</v>
      </c>
    </row>
    <row r="270" spans="1:8">
      <c r="A270" s="2816"/>
      <c r="B270" s="2862"/>
      <c r="C270" s="2838"/>
      <c r="D270" s="2846" t="s">
        <v>2273</v>
      </c>
      <c r="E270" s="2816"/>
      <c r="F270" s="2816"/>
      <c r="G270" s="2816"/>
      <c r="H270" s="2897"/>
    </row>
    <row r="271" spans="1:8">
      <c r="A271" s="2816"/>
      <c r="B271" s="2862"/>
      <c r="C271" s="2838"/>
      <c r="D271" s="2848" t="s">
        <v>2274</v>
      </c>
      <c r="E271" s="2816"/>
      <c r="F271" s="2816"/>
      <c r="G271" s="2816"/>
      <c r="H271" s="2897"/>
    </row>
    <row r="272" spans="1:8">
      <c r="A272" s="2816"/>
      <c r="B272" s="2862"/>
      <c r="C272" s="2838"/>
      <c r="D272" s="2841" t="s">
        <v>14</v>
      </c>
      <c r="E272" s="2816" t="s">
        <v>38</v>
      </c>
      <c r="F272" s="2849" t="s">
        <v>384</v>
      </c>
      <c r="G272" s="2844"/>
      <c r="H272" s="2897"/>
    </row>
    <row r="273" spans="1:9">
      <c r="A273" s="2816"/>
      <c r="B273" s="2862"/>
      <c r="C273" s="2838"/>
      <c r="D273" s="2841" t="s">
        <v>2161</v>
      </c>
      <c r="E273" s="2816" t="s">
        <v>38</v>
      </c>
      <c r="F273" s="2849">
        <v>1</v>
      </c>
      <c r="G273" s="2844">
        <f>+G248</f>
        <v>645</v>
      </c>
      <c r="H273" s="2828">
        <f>ROUND(F273*G273,2)</f>
        <v>645</v>
      </c>
    </row>
    <row r="274" spans="1:9">
      <c r="A274" s="2816"/>
      <c r="B274" s="2862"/>
      <c r="C274" s="2838"/>
      <c r="D274" s="2841" t="s">
        <v>1115</v>
      </c>
      <c r="E274" s="2816" t="s">
        <v>38</v>
      </c>
      <c r="F274" s="2849">
        <v>7.32</v>
      </c>
      <c r="G274" s="2844">
        <f>+G249</f>
        <v>575</v>
      </c>
      <c r="H274" s="2828">
        <f>ROUND(F274*G274,2)</f>
        <v>4209</v>
      </c>
    </row>
    <row r="275" spans="1:9">
      <c r="A275" s="2816"/>
      <c r="B275" s="2862"/>
      <c r="C275" s="2838"/>
      <c r="D275" s="2851" t="str">
        <f>$B$8</f>
        <v>Muncipal AAllowance/Area Allowance @ 0%</v>
      </c>
      <c r="E275" s="2852">
        <f>$F$8</f>
        <v>0</v>
      </c>
      <c r="F275" s="2849"/>
      <c r="G275" s="2828"/>
      <c r="H275" s="2828">
        <f>SUM(H272:H274)*E275</f>
        <v>0</v>
      </c>
    </row>
    <row r="276" spans="1:9">
      <c r="A276" s="2816"/>
      <c r="B276" s="2862"/>
      <c r="C276" s="2838"/>
      <c r="D276" s="2846" t="s">
        <v>2275</v>
      </c>
      <c r="E276" s="2816"/>
      <c r="F276" s="2849"/>
      <c r="G276" s="2816"/>
      <c r="H276" s="2897"/>
    </row>
    <row r="277" spans="1:9">
      <c r="A277" s="2816"/>
      <c r="B277" s="2862"/>
      <c r="C277" s="2838"/>
      <c r="D277" s="2841" t="s">
        <v>2276</v>
      </c>
      <c r="E277" s="2816" t="s">
        <v>23</v>
      </c>
      <c r="F277" s="2849">
        <v>6</v>
      </c>
      <c r="G277" s="2849">
        <f>+G252</f>
        <v>512</v>
      </c>
      <c r="H277" s="2828">
        <f>ROUND(F277*G277,2)</f>
        <v>3072</v>
      </c>
    </row>
    <row r="278" spans="1:9" s="2902" customFormat="1" ht="13.5" customHeight="1">
      <c r="A278" s="2816"/>
      <c r="B278" s="2862"/>
      <c r="C278" s="2838"/>
      <c r="D278" s="2916" t="s">
        <v>2216</v>
      </c>
      <c r="E278" s="2917">
        <f>$F$6</f>
        <v>0.13614999999999999</v>
      </c>
      <c r="F278" s="2918"/>
      <c r="G278" s="2919"/>
      <c r="H278" s="2920">
        <f>SUM(H261:H277)*E278</f>
        <v>4466.3462899999995</v>
      </c>
    </row>
    <row r="279" spans="1:9" s="2902" customFormat="1" ht="13.5" customHeight="1">
      <c r="A279" s="2816"/>
      <c r="B279" s="2862"/>
      <c r="C279" s="2838"/>
      <c r="D279" s="2916" t="s">
        <v>1220</v>
      </c>
      <c r="E279" s="2917">
        <f>$F$7</f>
        <v>0.1</v>
      </c>
      <c r="F279" s="2918"/>
      <c r="G279" s="2919"/>
      <c r="H279" s="2920">
        <f>SUM(H248:H278)*E279</f>
        <v>5596.877051727326</v>
      </c>
    </row>
    <row r="280" spans="1:9" ht="12.75" customHeight="1">
      <c r="A280" s="2816"/>
      <c r="B280" s="2862"/>
      <c r="C280" s="2838"/>
      <c r="D280" s="2841" t="s">
        <v>2282</v>
      </c>
      <c r="E280" s="2816"/>
      <c r="F280" s="2816"/>
      <c r="G280" s="2844"/>
      <c r="H280" s="2897">
        <f>SUM(H261:H279)</f>
        <v>42867.82334172733</v>
      </c>
    </row>
    <row r="281" spans="1:9" ht="13.5" customHeight="1">
      <c r="A281" s="2877"/>
      <c r="B281" s="2878"/>
      <c r="C281" s="2903"/>
      <c r="D281" s="2937" t="s">
        <v>2283</v>
      </c>
      <c r="E281" s="2877"/>
      <c r="F281" s="2877"/>
      <c r="G281" s="2877"/>
      <c r="H281" s="2904">
        <f>H280/14</f>
        <v>3061.9873815519522</v>
      </c>
      <c r="I281" s="2885" t="s">
        <v>2166</v>
      </c>
    </row>
    <row r="282" spans="1:9" ht="12.75" customHeight="1">
      <c r="A282" s="2816"/>
      <c r="B282" s="2862"/>
      <c r="C282" s="2838" t="s">
        <v>2284</v>
      </c>
      <c r="D282" s="2846" t="s">
        <v>2285</v>
      </c>
      <c r="E282" s="2816"/>
      <c r="F282" s="2816"/>
      <c r="G282" s="2816"/>
      <c r="H282" s="2844"/>
    </row>
    <row r="283" spans="1:9">
      <c r="A283" s="2816"/>
      <c r="B283" s="2862"/>
      <c r="C283" s="2838"/>
      <c r="D283" s="2841" t="s">
        <v>2225</v>
      </c>
      <c r="E283" s="2816"/>
      <c r="F283" s="2816"/>
      <c r="G283" s="2816"/>
      <c r="H283" s="2844"/>
    </row>
    <row r="284" spans="1:9">
      <c r="A284" s="2816"/>
      <c r="B284" s="2862"/>
      <c r="C284" s="2838"/>
      <c r="D284" s="2841" t="s">
        <v>2286</v>
      </c>
      <c r="E284" s="2816"/>
      <c r="F284" s="2816"/>
      <c r="G284" s="2816"/>
      <c r="H284" s="2844"/>
    </row>
    <row r="285" spans="1:9">
      <c r="A285" s="2816"/>
      <c r="B285" s="2862"/>
      <c r="C285" s="2838"/>
      <c r="D285" s="2841" t="s">
        <v>2263</v>
      </c>
      <c r="E285" s="2816"/>
      <c r="F285" s="2816"/>
      <c r="G285" s="2816"/>
      <c r="H285" s="2844"/>
    </row>
    <row r="286" spans="1:9">
      <c r="A286" s="2816"/>
      <c r="B286" s="2862"/>
      <c r="C286" s="2838"/>
      <c r="D286" s="2841" t="s">
        <v>2264</v>
      </c>
      <c r="E286" s="2816" t="s">
        <v>31</v>
      </c>
      <c r="F286" s="2849">
        <v>1.58</v>
      </c>
      <c r="G286" s="2897">
        <f>G261</f>
        <v>5022.3900000000003</v>
      </c>
      <c r="H286" s="2828">
        <f>ROUND(F286*G286,2)</f>
        <v>7935.38</v>
      </c>
    </row>
    <row r="287" spans="1:9">
      <c r="A287" s="2816"/>
      <c r="B287" s="2862"/>
      <c r="C287" s="2838"/>
      <c r="D287" s="2841" t="s">
        <v>2265</v>
      </c>
      <c r="E287" s="2816"/>
      <c r="F287" s="2849"/>
      <c r="G287" s="2816"/>
      <c r="H287" s="2897"/>
    </row>
    <row r="288" spans="1:9">
      <c r="A288" s="2816"/>
      <c r="B288" s="2862"/>
      <c r="C288" s="2838"/>
      <c r="D288" s="2841" t="s">
        <v>2266</v>
      </c>
      <c r="E288" s="2816" t="s">
        <v>2139</v>
      </c>
      <c r="F288" s="2849">
        <v>66</v>
      </c>
      <c r="G288" s="2897">
        <f>H21/1000</f>
        <v>56.908000000000001</v>
      </c>
      <c r="H288" s="2828">
        <f>ROUND(F288*G288,2)</f>
        <v>3755.93</v>
      </c>
      <c r="I288" s="2938"/>
    </row>
    <row r="289" spans="1:8" ht="36.9" customHeight="1">
      <c r="A289" s="2816"/>
      <c r="B289" s="2862"/>
      <c r="C289" s="2838"/>
      <c r="D289" s="2841" t="s">
        <v>2267</v>
      </c>
      <c r="E289" s="2816"/>
      <c r="F289" s="2849"/>
      <c r="G289" s="2816"/>
      <c r="H289" s="2897"/>
    </row>
    <row r="290" spans="1:8">
      <c r="A290" s="2816"/>
      <c r="B290" s="2862"/>
      <c r="C290" s="2838"/>
      <c r="D290" s="2841" t="s">
        <v>2195</v>
      </c>
      <c r="E290" s="2816" t="s">
        <v>31</v>
      </c>
      <c r="F290" s="2849">
        <v>1.39</v>
      </c>
      <c r="G290" s="2897">
        <f>H37</f>
        <v>209.3</v>
      </c>
      <c r="H290" s="2828">
        <f>ROUND(F290*G290,2)</f>
        <v>290.93</v>
      </c>
    </row>
    <row r="291" spans="1:8">
      <c r="A291" s="2816"/>
      <c r="B291" s="2862"/>
      <c r="C291" s="2838"/>
      <c r="D291" s="2841" t="s">
        <v>2268</v>
      </c>
      <c r="E291" s="2816"/>
      <c r="F291" s="2849"/>
      <c r="G291" s="2816"/>
      <c r="H291" s="2897"/>
    </row>
    <row r="292" spans="1:8">
      <c r="A292" s="2816"/>
      <c r="B292" s="2862"/>
      <c r="C292" s="2838"/>
      <c r="D292" s="2841" t="s">
        <v>2269</v>
      </c>
      <c r="E292" s="2816" t="s">
        <v>913</v>
      </c>
      <c r="F292" s="2849">
        <v>6.27</v>
      </c>
      <c r="G292" s="2897">
        <f>H210</f>
        <v>133.25</v>
      </c>
      <c r="H292" s="2828">
        <f>ROUND(F292*G292,2)</f>
        <v>835.48</v>
      </c>
    </row>
    <row r="293" spans="1:8" ht="26.4">
      <c r="A293" s="2816"/>
      <c r="B293" s="2862"/>
      <c r="C293" s="2838"/>
      <c r="D293" s="2841" t="s">
        <v>2287</v>
      </c>
      <c r="E293" s="2816"/>
      <c r="F293" s="2849"/>
      <c r="G293" s="2816"/>
      <c r="H293" s="2897"/>
    </row>
    <row r="294" spans="1:8">
      <c r="A294" s="2816"/>
      <c r="B294" s="2862"/>
      <c r="C294" s="2838"/>
      <c r="D294" s="2841" t="s">
        <v>2271</v>
      </c>
      <c r="E294" s="2816" t="s">
        <v>2272</v>
      </c>
      <c r="F294" s="2849">
        <v>330</v>
      </c>
      <c r="G294" s="2897">
        <f>H102</f>
        <v>1.3965624999999999</v>
      </c>
      <c r="H294" s="2828">
        <f>ROUND(F294*G294,2)</f>
        <v>460.87</v>
      </c>
    </row>
    <row r="295" spans="1:8">
      <c r="A295" s="2816"/>
      <c r="B295" s="2862"/>
      <c r="C295" s="2838"/>
      <c r="D295" s="2846" t="s">
        <v>2273</v>
      </c>
      <c r="E295" s="2816"/>
      <c r="F295" s="2816"/>
      <c r="G295" s="2816"/>
      <c r="H295" s="2844"/>
    </row>
    <row r="296" spans="1:8">
      <c r="A296" s="2816"/>
      <c r="B296" s="2862"/>
      <c r="C296" s="2838"/>
      <c r="D296" s="2848" t="s">
        <v>2274</v>
      </c>
      <c r="E296" s="2816"/>
      <c r="F296" s="2816"/>
      <c r="G296" s="2816"/>
      <c r="H296" s="2844"/>
    </row>
    <row r="297" spans="1:8">
      <c r="A297" s="2816"/>
      <c r="B297" s="2862"/>
      <c r="C297" s="2838"/>
      <c r="D297" s="2841" t="s">
        <v>14</v>
      </c>
      <c r="E297" s="2816" t="s">
        <v>38</v>
      </c>
      <c r="F297" s="2849" t="s">
        <v>384</v>
      </c>
      <c r="G297" s="2844"/>
      <c r="H297" s="2897"/>
    </row>
    <row r="298" spans="1:8">
      <c r="A298" s="2816"/>
      <c r="B298" s="2862"/>
      <c r="C298" s="2838"/>
      <c r="D298" s="2841" t="s">
        <v>2161</v>
      </c>
      <c r="E298" s="2816" t="s">
        <v>38</v>
      </c>
      <c r="F298" s="2849">
        <v>1.5</v>
      </c>
      <c r="G298" s="2844">
        <f>+G273</f>
        <v>645</v>
      </c>
      <c r="H298" s="2828">
        <f>ROUND(F298*G298,2)</f>
        <v>967.5</v>
      </c>
    </row>
    <row r="299" spans="1:8">
      <c r="A299" s="2816"/>
      <c r="B299" s="2862"/>
      <c r="C299" s="2838"/>
      <c r="D299" s="2841" t="s">
        <v>1115</v>
      </c>
      <c r="E299" s="2816" t="s">
        <v>38</v>
      </c>
      <c r="F299" s="2849">
        <v>7.34</v>
      </c>
      <c r="G299" s="2844">
        <f>+G274</f>
        <v>575</v>
      </c>
      <c r="H299" s="2828">
        <f>ROUND(F299*G299,2)</f>
        <v>4220.5</v>
      </c>
    </row>
    <row r="300" spans="1:8">
      <c r="A300" s="2816"/>
      <c r="B300" s="2862"/>
      <c r="C300" s="2838"/>
      <c r="D300" s="2851" t="str">
        <f>$B$8</f>
        <v>Muncipal AAllowance/Area Allowance @ 0%</v>
      </c>
      <c r="E300" s="2852">
        <f>$F$8</f>
        <v>0</v>
      </c>
      <c r="F300" s="2849"/>
      <c r="G300" s="2828"/>
      <c r="H300" s="2828">
        <f>SUM(H297:H299)*E300</f>
        <v>0</v>
      </c>
    </row>
    <row r="301" spans="1:8">
      <c r="A301" s="2816"/>
      <c r="B301" s="2862"/>
      <c r="C301" s="2838"/>
      <c r="D301" s="2846" t="s">
        <v>2275</v>
      </c>
      <c r="E301" s="2816"/>
      <c r="F301" s="2849"/>
      <c r="G301" s="2816"/>
      <c r="H301" s="2897"/>
    </row>
    <row r="302" spans="1:8">
      <c r="A302" s="2816"/>
      <c r="B302" s="2862"/>
      <c r="C302" s="2838"/>
      <c r="D302" s="2841" t="s">
        <v>2276</v>
      </c>
      <c r="E302" s="2816" t="s">
        <v>23</v>
      </c>
      <c r="F302" s="2849">
        <v>6</v>
      </c>
      <c r="G302" s="2849">
        <f>+G277</f>
        <v>512</v>
      </c>
      <c r="H302" s="2828">
        <f>ROUND(F302*G302,2)</f>
        <v>3072</v>
      </c>
    </row>
    <row r="303" spans="1:8" s="2902" customFormat="1">
      <c r="A303" s="2816"/>
      <c r="B303" s="2862"/>
      <c r="C303" s="2838"/>
      <c r="D303" s="2916" t="s">
        <v>2216</v>
      </c>
      <c r="E303" s="2917">
        <f>$F$6</f>
        <v>0.13614999999999999</v>
      </c>
      <c r="F303" s="2918"/>
      <c r="G303" s="2919"/>
      <c r="H303" s="2920">
        <f>SUM(H286:H302)*E303</f>
        <v>2932.4790284999999</v>
      </c>
    </row>
    <row r="304" spans="1:8" s="2902" customFormat="1">
      <c r="A304" s="2816"/>
      <c r="B304" s="2862"/>
      <c r="C304" s="2838"/>
      <c r="D304" s="2916" t="s">
        <v>1220</v>
      </c>
      <c r="E304" s="2917">
        <f>$F$7</f>
        <v>0.1</v>
      </c>
      <c r="F304" s="2918"/>
      <c r="G304" s="2919"/>
      <c r="H304" s="2920">
        <f>SUM(H273:H303)*E304</f>
        <v>8839.0103093506605</v>
      </c>
    </row>
    <row r="305" spans="1:9" ht="26.4">
      <c r="A305" s="2816"/>
      <c r="B305" s="2862"/>
      <c r="C305" s="2838"/>
      <c r="D305" s="2841" t="s">
        <v>2288</v>
      </c>
      <c r="E305" s="2816"/>
      <c r="F305" s="2816"/>
      <c r="G305" s="2816"/>
      <c r="H305" s="2897">
        <f>SUM(H286:H304)</f>
        <v>33310.079337850664</v>
      </c>
    </row>
    <row r="306" spans="1:9">
      <c r="A306" s="2877"/>
      <c r="B306" s="2878"/>
      <c r="C306" s="2903"/>
      <c r="D306" s="2892" t="s">
        <v>2289</v>
      </c>
      <c r="E306" s="2877"/>
      <c r="F306" s="2877"/>
      <c r="G306" s="2877"/>
      <c r="H306" s="2904">
        <f>H305/33</f>
        <v>1009.3963435712323</v>
      </c>
      <c r="I306" s="2885" t="s">
        <v>2166</v>
      </c>
    </row>
    <row r="307" spans="1:9" s="2945" customFormat="1">
      <c r="A307" s="2939"/>
      <c r="B307" s="2940"/>
      <c r="C307" s="2941"/>
      <c r="D307" s="2942"/>
      <c r="E307" s="2939"/>
      <c r="F307" s="2939"/>
      <c r="G307" s="2939"/>
      <c r="H307" s="2943"/>
      <c r="I307" s="2944"/>
    </row>
    <row r="308" spans="1:9" ht="18" customHeight="1">
      <c r="A308" s="4227" t="s">
        <v>2290</v>
      </c>
      <c r="B308" s="2839">
        <f>B230+1</f>
        <v>11</v>
      </c>
      <c r="C308" s="2895"/>
      <c r="D308" s="4225" t="s">
        <v>2291</v>
      </c>
      <c r="E308" s="4225"/>
      <c r="F308" s="4225"/>
      <c r="G308" s="4225"/>
      <c r="H308" s="4225"/>
    </row>
    <row r="309" spans="1:9" s="2975" customFormat="1" ht="162" customHeight="1">
      <c r="A309" s="4227"/>
      <c r="B309" s="2972"/>
      <c r="C309" s="2973"/>
      <c r="D309" s="4224" t="s">
        <v>2292</v>
      </c>
      <c r="E309" s="4224"/>
      <c r="F309" s="4224"/>
      <c r="G309" s="4224"/>
      <c r="H309" s="2974"/>
    </row>
    <row r="310" spans="1:9" ht="15" customHeight="1">
      <c r="A310" s="2816"/>
      <c r="B310" s="2862"/>
      <c r="C310" s="2838"/>
      <c r="D310" s="2909" t="s">
        <v>2192</v>
      </c>
      <c r="E310" s="2816"/>
      <c r="F310" s="2816"/>
      <c r="G310" s="2816"/>
      <c r="H310" s="2844"/>
    </row>
    <row r="311" spans="1:9" ht="15" customHeight="1">
      <c r="A311" s="2816"/>
      <c r="B311" s="2862"/>
      <c r="C311" s="2838"/>
      <c r="D311" s="2909" t="s">
        <v>2293</v>
      </c>
      <c r="E311" s="2816"/>
      <c r="F311" s="2816"/>
      <c r="G311" s="2816"/>
      <c r="H311" s="2844"/>
    </row>
    <row r="312" spans="1:9" ht="15" customHeight="1">
      <c r="A312" s="2816"/>
      <c r="B312" s="2862"/>
      <c r="C312" s="2838"/>
      <c r="D312" s="2846" t="s">
        <v>2294</v>
      </c>
      <c r="E312" s="2816"/>
      <c r="F312" s="2816"/>
      <c r="G312" s="2816"/>
      <c r="H312" s="2844"/>
    </row>
    <row r="313" spans="1:9" ht="15" customHeight="1">
      <c r="A313" s="2816"/>
      <c r="B313" s="2862"/>
      <c r="C313" s="2838"/>
      <c r="D313" s="2841" t="s">
        <v>2195</v>
      </c>
      <c r="E313" s="2888" t="s">
        <v>31</v>
      </c>
      <c r="F313" s="2913">
        <v>0.252</v>
      </c>
      <c r="G313" s="2897">
        <f>H37</f>
        <v>209.3</v>
      </c>
      <c r="H313" s="2828">
        <f>ROUND(F313*G313,2)</f>
        <v>52.74</v>
      </c>
    </row>
    <row r="314" spans="1:9" ht="15" customHeight="1">
      <c r="A314" s="2816"/>
      <c r="B314" s="2862"/>
      <c r="C314" s="2838"/>
      <c r="D314" s="2926" t="s">
        <v>2295</v>
      </c>
      <c r="E314" s="2888"/>
      <c r="F314" s="2888"/>
      <c r="G314" s="2816"/>
      <c r="H314" s="2844"/>
    </row>
    <row r="315" spans="1:9" ht="15" customHeight="1">
      <c r="A315" s="2816"/>
      <c r="B315" s="2862"/>
      <c r="C315" s="2838"/>
      <c r="D315" s="2841" t="s">
        <v>2296</v>
      </c>
      <c r="E315" s="2888" t="s">
        <v>31</v>
      </c>
      <c r="F315" s="2910">
        <v>0.252</v>
      </c>
      <c r="G315" s="2897">
        <f>G286</f>
        <v>5022.3900000000003</v>
      </c>
      <c r="H315" s="2828">
        <f>ROUND(F315*G315,2)</f>
        <v>1265.6400000000001</v>
      </c>
    </row>
    <row r="316" spans="1:9" ht="26.4">
      <c r="A316" s="2816"/>
      <c r="B316" s="2862"/>
      <c r="C316" s="2838"/>
      <c r="D316" s="2926" t="s">
        <v>2297</v>
      </c>
      <c r="E316" s="2888"/>
      <c r="F316" s="2888"/>
      <c r="G316" s="2816"/>
      <c r="H316" s="2844"/>
    </row>
    <row r="317" spans="1:9">
      <c r="A317" s="2816"/>
      <c r="B317" s="2862"/>
      <c r="C317" s="2838"/>
      <c r="D317" s="2909" t="s">
        <v>2298</v>
      </c>
      <c r="E317" s="2888"/>
      <c r="F317" s="2888"/>
      <c r="G317" s="2816"/>
      <c r="H317" s="2844"/>
    </row>
    <row r="318" spans="1:9">
      <c r="A318" s="2816"/>
      <c r="B318" s="2862"/>
      <c r="C318" s="2838"/>
      <c r="D318" s="2909" t="s">
        <v>2299</v>
      </c>
      <c r="E318" s="2888"/>
      <c r="F318" s="2888"/>
      <c r="G318" s="2816"/>
      <c r="H318" s="2844"/>
    </row>
    <row r="319" spans="1:9" ht="15" customHeight="1">
      <c r="A319" s="2816"/>
      <c r="B319" s="2862"/>
      <c r="C319" s="2838"/>
      <c r="D319" s="2909" t="s">
        <v>2300</v>
      </c>
      <c r="E319" s="2888" t="s">
        <v>913</v>
      </c>
      <c r="F319" s="2888">
        <v>1.8</v>
      </c>
      <c r="G319" s="2897">
        <f>H226</f>
        <v>122.36690000000002</v>
      </c>
      <c r="H319" s="2828">
        <f>ROUND(F319*G319,2)</f>
        <v>220.26</v>
      </c>
    </row>
    <row r="320" spans="1:9" ht="52.8">
      <c r="A320" s="2816"/>
      <c r="B320" s="2862"/>
      <c r="C320" s="2838"/>
      <c r="D320" s="2926" t="s">
        <v>2301</v>
      </c>
      <c r="E320" s="2888"/>
      <c r="F320" s="2888"/>
      <c r="G320" s="2816"/>
      <c r="H320" s="2844"/>
    </row>
    <row r="321" spans="1:8" ht="14.25" customHeight="1">
      <c r="A321" s="2816"/>
      <c r="B321" s="2862"/>
      <c r="C321" s="2838"/>
      <c r="D321" s="2909" t="s">
        <v>2302</v>
      </c>
      <c r="E321" s="2888"/>
      <c r="F321" s="2888"/>
      <c r="G321" s="2816"/>
      <c r="H321" s="2844"/>
    </row>
    <row r="322" spans="1:8">
      <c r="A322" s="2816"/>
      <c r="B322" s="2862"/>
      <c r="C322" s="2838"/>
      <c r="D322" s="2909" t="s">
        <v>2303</v>
      </c>
      <c r="E322" s="2888"/>
      <c r="F322" s="2888"/>
      <c r="G322" s="2816"/>
      <c r="H322" s="2844"/>
    </row>
    <row r="323" spans="1:8" ht="26.4">
      <c r="A323" s="2816"/>
      <c r="B323" s="2862"/>
      <c r="C323" s="2838"/>
      <c r="D323" s="2909" t="s">
        <v>2304</v>
      </c>
      <c r="E323" s="2888"/>
      <c r="F323" s="2888"/>
      <c r="G323" s="2816"/>
      <c r="H323" s="2844"/>
    </row>
    <row r="324" spans="1:8" ht="15" customHeight="1">
      <c r="A324" s="2816"/>
      <c r="B324" s="2862"/>
      <c r="C324" s="2838"/>
      <c r="D324" s="2909" t="s">
        <v>2305</v>
      </c>
      <c r="E324" s="2888"/>
      <c r="F324" s="2888"/>
      <c r="G324" s="2816"/>
      <c r="H324" s="2844"/>
    </row>
    <row r="325" spans="1:8" ht="14.25" customHeight="1">
      <c r="A325" s="2816"/>
      <c r="B325" s="2862"/>
      <c r="C325" s="2838"/>
      <c r="D325" s="2909" t="s">
        <v>2306</v>
      </c>
      <c r="E325" s="2888"/>
      <c r="F325" s="2888"/>
      <c r="G325" s="2816"/>
      <c r="H325" s="2844"/>
    </row>
    <row r="326" spans="1:8">
      <c r="A326" s="2816"/>
      <c r="B326" s="2862"/>
      <c r="C326" s="2838"/>
      <c r="D326" s="2909" t="s">
        <v>2307</v>
      </c>
      <c r="E326" s="2888"/>
      <c r="F326" s="2888"/>
      <c r="G326" s="2816"/>
      <c r="H326" s="2844"/>
    </row>
    <row r="327" spans="1:8">
      <c r="A327" s="2816"/>
      <c r="B327" s="2862"/>
      <c r="C327" s="2838"/>
      <c r="D327" s="2909" t="s">
        <v>2308</v>
      </c>
      <c r="E327" s="2888"/>
      <c r="F327" s="2888"/>
      <c r="G327" s="2816"/>
      <c r="H327" s="2844"/>
    </row>
    <row r="328" spans="1:8">
      <c r="A328" s="2816"/>
      <c r="B328" s="2862"/>
      <c r="C328" s="2838"/>
      <c r="D328" s="2846" t="s">
        <v>2309</v>
      </c>
      <c r="E328" s="2816"/>
      <c r="F328" s="2849"/>
      <c r="G328" s="2816"/>
      <c r="H328" s="2844"/>
    </row>
    <row r="329" spans="1:8" ht="24.75" customHeight="1">
      <c r="A329" s="2816"/>
      <c r="B329" s="2862"/>
      <c r="C329" s="2838"/>
      <c r="D329" s="2909" t="s">
        <v>2271</v>
      </c>
      <c r="E329" s="2888" t="s">
        <v>2310</v>
      </c>
      <c r="F329" s="2946">
        <v>4532.5</v>
      </c>
      <c r="G329" s="2897">
        <f>H102</f>
        <v>1.3965624999999999</v>
      </c>
      <c r="H329" s="2828">
        <f>ROUND(F329*G329,2)</f>
        <v>6329.92</v>
      </c>
    </row>
    <row r="330" spans="1:8">
      <c r="A330" s="2816"/>
      <c r="B330" s="2862"/>
      <c r="C330" s="2838"/>
      <c r="D330" s="2926" t="s">
        <v>2311</v>
      </c>
      <c r="E330" s="2816"/>
      <c r="F330" s="2816"/>
      <c r="G330" s="2816"/>
      <c r="H330" s="2844"/>
    </row>
    <row r="331" spans="1:8">
      <c r="A331" s="2816"/>
      <c r="B331" s="2862"/>
      <c r="C331" s="2838"/>
      <c r="D331" s="2909" t="s">
        <v>14</v>
      </c>
      <c r="E331" s="2888" t="s">
        <v>38</v>
      </c>
      <c r="F331" s="2888" t="s">
        <v>384</v>
      </c>
      <c r="G331" s="2844"/>
      <c r="H331" s="2897"/>
    </row>
    <row r="332" spans="1:8">
      <c r="A332" s="2816"/>
      <c r="B332" s="2862"/>
      <c r="C332" s="2838"/>
      <c r="D332" s="2909" t="s">
        <v>1115</v>
      </c>
      <c r="E332" s="2888" t="s">
        <v>38</v>
      </c>
      <c r="F332" s="2888">
        <v>0.78</v>
      </c>
      <c r="G332" s="2844">
        <f>+G299</f>
        <v>575</v>
      </c>
      <c r="H332" s="2828">
        <f>ROUND(F332*G332,2)</f>
        <v>448.5</v>
      </c>
    </row>
    <row r="333" spans="1:8" ht="22.2" customHeight="1">
      <c r="A333" s="2816"/>
      <c r="B333" s="2862"/>
      <c r="C333" s="2838"/>
      <c r="D333" s="2851" t="str">
        <f>$B$8</f>
        <v>Muncipal AAllowance/Area Allowance @ 0%</v>
      </c>
      <c r="E333" s="2852">
        <f>$F$8</f>
        <v>0</v>
      </c>
      <c r="F333" s="2849"/>
      <c r="G333" s="2828"/>
      <c r="H333" s="2828">
        <f>SUM(H330:H332)*E333</f>
        <v>0</v>
      </c>
    </row>
    <row r="334" spans="1:8" ht="13.5" customHeight="1">
      <c r="A334" s="2816"/>
      <c r="B334" s="2862"/>
      <c r="C334" s="2838"/>
      <c r="D334" s="2926" t="s">
        <v>2182</v>
      </c>
      <c r="E334" s="2888"/>
      <c r="F334" s="2888"/>
      <c r="G334" s="2816"/>
      <c r="H334" s="2897"/>
    </row>
    <row r="335" spans="1:8" ht="27" customHeight="1">
      <c r="A335" s="2816"/>
      <c r="B335" s="2862"/>
      <c r="C335" s="2838"/>
      <c r="D335" s="2909" t="s">
        <v>2312</v>
      </c>
      <c r="E335" s="2888" t="s">
        <v>2139</v>
      </c>
      <c r="F335" s="2888">
        <v>63.15</v>
      </c>
      <c r="G335" s="2888">
        <f>lead!$K$38</f>
        <v>61</v>
      </c>
      <c r="H335" s="2828">
        <f>ROUND(F335*G335,2)</f>
        <v>3852.15</v>
      </c>
    </row>
    <row r="336" spans="1:8" ht="18" customHeight="1">
      <c r="A336" s="2816"/>
      <c r="B336" s="2862"/>
      <c r="C336" s="2838"/>
      <c r="D336" s="2909" t="s">
        <v>2313</v>
      </c>
      <c r="E336" s="2888" t="s">
        <v>2139</v>
      </c>
      <c r="F336" s="2888">
        <v>4.47</v>
      </c>
      <c r="G336" s="2888">
        <f>lead!$K$38</f>
        <v>61</v>
      </c>
      <c r="H336" s="2828">
        <f>ROUND(F336*G336,2)</f>
        <v>272.67</v>
      </c>
    </row>
    <row r="337" spans="1:11" ht="23.25" customHeight="1">
      <c r="A337" s="2816"/>
      <c r="B337" s="2862"/>
      <c r="C337" s="2838"/>
      <c r="D337" s="2909" t="s">
        <v>2314</v>
      </c>
      <c r="E337" s="2888" t="s">
        <v>2139</v>
      </c>
      <c r="F337" s="2888">
        <v>2.12</v>
      </c>
      <c r="G337" s="2888">
        <f>lead!$K$38</f>
        <v>61</v>
      </c>
      <c r="H337" s="2828">
        <f>ROUND(F337*G337,2)</f>
        <v>129.32</v>
      </c>
    </row>
    <row r="338" spans="1:11" ht="63.9" customHeight="1">
      <c r="A338" s="2816"/>
      <c r="B338" s="2862"/>
      <c r="C338" s="2838"/>
      <c r="D338" s="2909" t="s">
        <v>2315</v>
      </c>
      <c r="E338" s="2888" t="s">
        <v>913</v>
      </c>
      <c r="F338" s="2888">
        <v>1.44</v>
      </c>
      <c r="G338" s="2816"/>
      <c r="H338" s="2897"/>
    </row>
    <row r="339" spans="1:11">
      <c r="A339" s="2816"/>
      <c r="B339" s="2862"/>
      <c r="C339" s="2838"/>
      <c r="D339" s="2909" t="s">
        <v>2316</v>
      </c>
      <c r="E339" s="2888" t="s">
        <v>191</v>
      </c>
      <c r="F339" s="2888">
        <v>18.09</v>
      </c>
      <c r="G339" s="2888">
        <f>lead!$K$38</f>
        <v>61</v>
      </c>
      <c r="H339" s="2828">
        <f>ROUND(F339*G339,2)</f>
        <v>1103.49</v>
      </c>
      <c r="J339" s="2802">
        <f>1.5*0.9</f>
        <v>1.35</v>
      </c>
      <c r="K339" s="2802">
        <f>1.15*1.8</f>
        <v>2.0699999999999998</v>
      </c>
    </row>
    <row r="340" spans="1:11" ht="39.6">
      <c r="A340" s="2816"/>
      <c r="B340" s="2862"/>
      <c r="C340" s="2838"/>
      <c r="D340" s="2909" t="s">
        <v>2317</v>
      </c>
      <c r="E340" s="2888"/>
      <c r="F340" s="2816"/>
      <c r="G340" s="2816"/>
      <c r="H340" s="2919">
        <f>SUM(H335:H339)*3%</f>
        <v>160.72889999999998</v>
      </c>
    </row>
    <row r="341" spans="1:11">
      <c r="A341" s="2816"/>
      <c r="B341" s="2862"/>
      <c r="C341" s="2838"/>
      <c r="D341" s="2846" t="s">
        <v>2318</v>
      </c>
      <c r="E341" s="2888"/>
      <c r="F341" s="2816"/>
      <c r="G341" s="2816"/>
      <c r="H341" s="2844"/>
    </row>
    <row r="342" spans="1:11">
      <c r="A342" s="2816"/>
      <c r="B342" s="2862"/>
      <c r="C342" s="2838"/>
      <c r="D342" s="2909" t="s">
        <v>2215</v>
      </c>
      <c r="E342" s="2888" t="s">
        <v>23</v>
      </c>
      <c r="F342" s="2888">
        <v>0.24</v>
      </c>
      <c r="G342" s="2849">
        <f>+G302</f>
        <v>512</v>
      </c>
      <c r="H342" s="2828">
        <f>ROUND(F342*G342,2)</f>
        <v>122.88</v>
      </c>
    </row>
    <row r="343" spans="1:11" s="2902" customFormat="1" ht="15.75" customHeight="1">
      <c r="A343" s="2816"/>
      <c r="B343" s="2862"/>
      <c r="C343" s="2838"/>
      <c r="D343" s="2916" t="s">
        <v>2216</v>
      </c>
      <c r="E343" s="2917">
        <f>$F$6</f>
        <v>0.13614999999999999</v>
      </c>
      <c r="F343" s="2918"/>
      <c r="G343" s="2919"/>
      <c r="H343" s="2920">
        <f>SUM(H313:H342)*E343</f>
        <v>1900.4223952349998</v>
      </c>
    </row>
    <row r="344" spans="1:11" s="2902" customFormat="1" ht="15.75" customHeight="1">
      <c r="A344" s="2816"/>
      <c r="B344" s="2862"/>
      <c r="C344" s="2838"/>
      <c r="D344" s="2916" t="s">
        <v>1220</v>
      </c>
      <c r="E344" s="2917">
        <f>$F$7</f>
        <v>0.1</v>
      </c>
      <c r="F344" s="2918"/>
      <c r="G344" s="2919"/>
      <c r="H344" s="2920">
        <f>SUM(H313:H343)*E344</f>
        <v>1585.8721295235</v>
      </c>
    </row>
    <row r="345" spans="1:11" s="2953" customFormat="1" ht="27.9" customHeight="1">
      <c r="A345" s="2947"/>
      <c r="B345" s="2948"/>
      <c r="C345" s="2949"/>
      <c r="D345" s="2950" t="s">
        <v>2319</v>
      </c>
      <c r="E345" s="2947"/>
      <c r="F345" s="2947"/>
      <c r="G345" s="2947"/>
      <c r="H345" s="2951">
        <f>SUM(H313:H344)</f>
        <v>17444.593424758499</v>
      </c>
      <c r="I345" s="2952" t="s">
        <v>2166</v>
      </c>
    </row>
    <row r="346" spans="1:11">
      <c r="B346" s="2955"/>
      <c r="D346" s="2957"/>
      <c r="E346" s="2958"/>
      <c r="F346" s="2959"/>
      <c r="H346" s="2957"/>
    </row>
    <row r="347" spans="1:11" ht="12" customHeight="1">
      <c r="B347" s="2955"/>
      <c r="D347" s="2957"/>
      <c r="E347" s="2958"/>
      <c r="F347" s="2959"/>
      <c r="H347" s="2957"/>
    </row>
    <row r="348" spans="1:11" ht="12" customHeight="1">
      <c r="B348" s="2955"/>
      <c r="D348" s="2957"/>
      <c r="E348" s="2958"/>
      <c r="F348" s="2959"/>
      <c r="H348" s="2957"/>
    </row>
    <row r="349" spans="1:11" ht="12" customHeight="1">
      <c r="B349" s="2955"/>
      <c r="D349" s="2957"/>
      <c r="E349" s="2958"/>
      <c r="F349" s="2959"/>
      <c r="H349" s="2957"/>
    </row>
    <row r="350" spans="1:11" ht="12" customHeight="1">
      <c r="B350" s="2955"/>
      <c r="D350" s="2957"/>
      <c r="E350" s="2958"/>
      <c r="F350" s="2959"/>
      <c r="H350" s="2957"/>
    </row>
    <row r="351" spans="1:11" ht="12" customHeight="1">
      <c r="B351" s="2955"/>
      <c r="D351" s="2957"/>
      <c r="E351" s="2958"/>
      <c r="F351" s="2959"/>
      <c r="H351" s="2957"/>
    </row>
    <row r="352" spans="1:11" s="2953" customFormat="1" ht="15.9" customHeight="1">
      <c r="A352" s="2806"/>
      <c r="B352" s="2961"/>
      <c r="C352" s="2803"/>
      <c r="D352" s="2962" t="str">
        <f>'Road-furniture '!B21</f>
        <v>Assistant Engineer,</v>
      </c>
      <c r="E352" s="4226" t="str">
        <f>'Road-furniture '!D21</f>
        <v>Dy. Exe. Engineer</v>
      </c>
      <c r="F352" s="4226"/>
      <c r="G352" s="4226"/>
      <c r="H352" s="2957"/>
    </row>
    <row r="353" spans="1:8" s="2953" customFormat="1" ht="15.9" customHeight="1">
      <c r="A353" s="2806"/>
      <c r="B353" s="2963"/>
      <c r="C353" s="2803"/>
      <c r="D353" s="2964" t="str">
        <f>'Road-furniture '!B22</f>
        <v>PRSD, Maddur</v>
      </c>
      <c r="E353" s="4219" t="str">
        <f>'Road-furniture '!D22</f>
        <v>PRSD, Maddur</v>
      </c>
      <c r="F353" s="4219"/>
      <c r="G353" s="4219"/>
      <c r="H353" s="2965"/>
    </row>
    <row r="354" spans="1:8" s="2953" customFormat="1">
      <c r="A354" s="2806"/>
      <c r="B354" s="2963"/>
      <c r="C354" s="2803"/>
      <c r="D354" s="2966"/>
      <c r="E354" s="2967"/>
      <c r="F354" s="2967"/>
      <c r="G354" s="2967"/>
      <c r="H354" s="2965"/>
    </row>
    <row r="355" spans="1:8" s="2953" customFormat="1">
      <c r="A355" s="2806"/>
      <c r="B355" s="2968"/>
      <c r="C355" s="2803"/>
      <c r="D355" s="2966"/>
      <c r="E355" s="2967"/>
      <c r="F355" s="2967"/>
      <c r="G355" s="2967"/>
      <c r="H355" s="2965"/>
    </row>
    <row r="356" spans="1:8" s="2953" customFormat="1" ht="15.9" hidden="1" customHeight="1">
      <c r="A356" s="2806"/>
      <c r="B356" s="2968"/>
      <c r="C356" s="2803"/>
      <c r="D356" s="2806" t="str">
        <f>'Road-furniture '!B25</f>
        <v>District Panchayat Raj Engineer,</v>
      </c>
      <c r="E356" s="4219" t="str">
        <f>'Road-furniture '!D25</f>
        <v>Superintending Engineer</v>
      </c>
      <c r="F356" s="4219"/>
      <c r="G356" s="4219"/>
      <c r="H356" s="2965"/>
    </row>
    <row r="357" spans="1:8" s="2953" customFormat="1" ht="15.9" hidden="1" customHeight="1">
      <c r="A357" s="2806"/>
      <c r="B357" s="2968"/>
      <c r="C357" s="2803"/>
      <c r="D357" s="2806" t="str">
        <f>'Road-furniture '!B26</f>
        <v>PIU, Narayanpet</v>
      </c>
      <c r="E357" s="4220" t="str">
        <f>'Road-furniture '!D26</f>
        <v>PR, Circle, Vikarabad</v>
      </c>
      <c r="F357" s="4220"/>
      <c r="G357" s="4220"/>
      <c r="H357" s="2965"/>
    </row>
    <row r="358" spans="1:8" s="2953" customFormat="1">
      <c r="A358" s="2806"/>
      <c r="B358" s="2968"/>
      <c r="C358" s="2803"/>
      <c r="D358" s="2966"/>
      <c r="E358" s="2967"/>
      <c r="F358" s="2967"/>
      <c r="G358" s="2967"/>
      <c r="H358" s="2965"/>
    </row>
    <row r="359" spans="1:8">
      <c r="D359" s="2970" t="str">
        <f>'Bridge Data'!C681</f>
        <v>District Panchayat Raj Engineer,</v>
      </c>
      <c r="F359" s="4221" t="str">
        <f>'Bridge Data'!G681</f>
        <v>Superintending Engineer</v>
      </c>
      <c r="G359" s="4221"/>
    </row>
    <row r="360" spans="1:8">
      <c r="D360" s="2970" t="str">
        <f>'Bridge Data'!C682</f>
        <v>PIU, Narayanpet</v>
      </c>
      <c r="F360" s="4222" t="str">
        <f>'Bridge Data'!G682</f>
        <v>PR, Circle, Vikarabad</v>
      </c>
      <c r="G360" s="4222"/>
    </row>
  </sheetData>
  <mergeCells count="39">
    <mergeCell ref="A121:A122"/>
    <mergeCell ref="A211:A212"/>
    <mergeCell ref="A230:A231"/>
    <mergeCell ref="A308:A309"/>
    <mergeCell ref="E353:G353"/>
    <mergeCell ref="D163:H163"/>
    <mergeCell ref="D164:H164"/>
    <mergeCell ref="D167:G167"/>
    <mergeCell ref="D193:G193"/>
    <mergeCell ref="D194:G194"/>
    <mergeCell ref="D123:G123"/>
    <mergeCell ref="D140:E140"/>
    <mergeCell ref="D141:E141"/>
    <mergeCell ref="D161:H161"/>
    <mergeCell ref="D162:H162"/>
    <mergeCell ref="E356:G356"/>
    <mergeCell ref="E357:G357"/>
    <mergeCell ref="F359:G359"/>
    <mergeCell ref="F360:G360"/>
    <mergeCell ref="D212:G212"/>
    <mergeCell ref="D231:G231"/>
    <mergeCell ref="D308:H308"/>
    <mergeCell ref="D309:G309"/>
    <mergeCell ref="E352:G352"/>
    <mergeCell ref="D39:G39"/>
    <mergeCell ref="D40:G40"/>
    <mergeCell ref="D65:G65"/>
    <mergeCell ref="D87:G87"/>
    <mergeCell ref="A120:H120"/>
    <mergeCell ref="B6:D6"/>
    <mergeCell ref="B8:D8"/>
    <mergeCell ref="A9:H9"/>
    <mergeCell ref="D10:G10"/>
    <mergeCell ref="D24:G24"/>
    <mergeCell ref="A1:H1"/>
    <mergeCell ref="A2:H2"/>
    <mergeCell ref="B3:C3"/>
    <mergeCell ref="B4:C4"/>
    <mergeCell ref="B5:D5"/>
  </mergeCells>
  <printOptions horizontalCentered="1"/>
  <pageMargins left="0.59055118110236204" right="0.196850393700787" top="0.59055118110236204" bottom="0.39370078740157499" header="0.23622047244094499" footer="0.196850393700787"/>
  <pageSetup paperSize="9" scale="90" firstPageNumber="441" orientation="portrait" useFirstPageNumber="1" r:id="rId1"/>
  <headerFooter alignWithMargins="0">
    <oddHeader>&amp;R&amp;"Arial,Bold"RBR-TSRA</oddHead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1:U507"/>
  <sheetViews>
    <sheetView topLeftCell="D1" zoomScale="85" zoomScaleNormal="85" zoomScaleSheetLayoutView="70" workbookViewId="0">
      <selection activeCell="K94" sqref="K94"/>
    </sheetView>
  </sheetViews>
  <sheetFormatPr defaultColWidth="8.88671875" defaultRowHeight="25.2" customHeight="1"/>
  <cols>
    <col min="1" max="1" width="8.88671875" customWidth="1"/>
    <col min="2" max="2" width="12.109375" style="88" customWidth="1"/>
    <col min="3" max="3" width="16.109375" style="89" customWidth="1"/>
    <col min="4" max="4" width="14.6640625" style="89" customWidth="1"/>
    <col min="5" max="5" width="7" style="90" customWidth="1"/>
    <col min="6" max="6" width="37" style="91" customWidth="1"/>
    <col min="7" max="7" width="10.44140625" style="91" hidden="1" customWidth="1"/>
    <col min="8" max="8" width="15.33203125" style="92" hidden="1" customWidth="1"/>
    <col min="9" max="11" width="15.33203125" style="92" customWidth="1"/>
    <col min="12" max="12" width="16.44140625" style="88" customWidth="1"/>
    <col min="13" max="13" width="7.44140625" customWidth="1"/>
    <col min="14" max="14" width="19.109375" style="90" customWidth="1"/>
    <col min="15" max="15" width="23" customWidth="1"/>
    <col min="16" max="16" width="22" customWidth="1"/>
    <col min="17" max="17" width="19.5546875" customWidth="1"/>
    <col min="18" max="18" width="8.88671875" customWidth="1"/>
  </cols>
  <sheetData>
    <row r="1" spans="2:21" ht="25.2" customHeight="1">
      <c r="B1" s="4238" t="s">
        <v>2320</v>
      </c>
      <c r="C1" s="4238"/>
      <c r="D1" s="4239"/>
      <c r="E1" s="94"/>
      <c r="F1" s="4240" t="s">
        <v>2321</v>
      </c>
      <c r="G1" s="4240"/>
      <c r="H1" s="4240"/>
      <c r="I1" s="95"/>
      <c r="J1" s="95"/>
      <c r="K1" s="95"/>
      <c r="L1" s="119" t="s">
        <v>2322</v>
      </c>
      <c r="N1" s="96" t="s">
        <v>2323</v>
      </c>
      <c r="O1" s="96" t="s">
        <v>2324</v>
      </c>
    </row>
    <row r="2" spans="2:21" ht="33.6" customHeight="1">
      <c r="B2" s="93"/>
      <c r="C2" s="96" t="s">
        <v>2323</v>
      </c>
      <c r="D2" s="96" t="s">
        <v>2324</v>
      </c>
      <c r="E2" s="94"/>
      <c r="F2" s="97"/>
      <c r="G2" s="98" t="s">
        <v>2325</v>
      </c>
      <c r="H2" s="99" t="s">
        <v>2326</v>
      </c>
      <c r="I2" s="99" t="s">
        <v>2327</v>
      </c>
      <c r="J2" s="99" t="s">
        <v>2328</v>
      </c>
      <c r="K2" s="99" t="s">
        <v>2620</v>
      </c>
      <c r="L2" s="97" t="s">
        <v>2329</v>
      </c>
      <c r="N2" s="100">
        <f>P7/$P$19</f>
        <v>38.463231087444441</v>
      </c>
      <c r="O2" s="100">
        <f>Q7/$P$19</f>
        <v>37.054966333670734</v>
      </c>
      <c r="P2" s="120"/>
      <c r="Q2" s="120"/>
      <c r="R2" s="120"/>
      <c r="S2" s="120"/>
      <c r="T2" s="120"/>
      <c r="U2" s="120"/>
    </row>
    <row r="3" spans="2:21" ht="25.2" customHeight="1">
      <c r="B3" s="93" t="s">
        <v>2330</v>
      </c>
      <c r="C3" s="100">
        <f>P16/$P$19</f>
        <v>63.283897372706072</v>
      </c>
      <c r="D3" s="100">
        <f>Q16/$P$19</f>
        <v>119.17440478810016</v>
      </c>
      <c r="E3" s="94"/>
      <c r="F3" s="101" t="s">
        <v>2331</v>
      </c>
      <c r="G3" s="102"/>
      <c r="H3" s="103"/>
      <c r="I3" s="103"/>
      <c r="J3" s="103"/>
      <c r="K3" s="103"/>
      <c r="L3" s="121"/>
      <c r="N3" s="4235" t="s">
        <v>2</v>
      </c>
      <c r="O3" s="4235" t="s">
        <v>2332</v>
      </c>
      <c r="P3" s="4236" t="s">
        <v>2333</v>
      </c>
      <c r="Q3" s="4236" t="s">
        <v>2334</v>
      </c>
      <c r="R3" s="4237"/>
      <c r="S3" s="4237"/>
      <c r="T3" s="4237"/>
    </row>
    <row r="4" spans="2:21" ht="25.2" customHeight="1">
      <c r="B4" s="93" t="s">
        <v>2335</v>
      </c>
      <c r="C4" s="100">
        <f>P17/$P$19</f>
        <v>19.363640364388505</v>
      </c>
      <c r="D4" s="104">
        <f>Q17/$P$19</f>
        <v>19.363640364388505</v>
      </c>
      <c r="E4" s="105">
        <v>1</v>
      </c>
      <c r="F4" s="106" t="s">
        <v>2336</v>
      </c>
      <c r="G4" s="107">
        <v>398</v>
      </c>
      <c r="H4" s="108">
        <v>400</v>
      </c>
      <c r="I4" s="108">
        <v>540</v>
      </c>
      <c r="J4" s="108">
        <v>544</v>
      </c>
      <c r="K4" s="2081">
        <v>544</v>
      </c>
      <c r="L4" s="122" t="s">
        <v>2337</v>
      </c>
      <c r="N4" s="4235"/>
      <c r="O4" s="4235"/>
      <c r="P4" s="4236"/>
      <c r="Q4" s="4236"/>
      <c r="R4" s="4237"/>
      <c r="S4" s="4237"/>
      <c r="T4" s="4237"/>
    </row>
    <row r="5" spans="2:21" ht="25.2" customHeight="1">
      <c r="B5" s="93" t="s">
        <v>2338</v>
      </c>
      <c r="C5" s="100">
        <v>0</v>
      </c>
      <c r="D5" s="104">
        <v>0</v>
      </c>
      <c r="E5" s="105">
        <v>2</v>
      </c>
      <c r="F5" s="106" t="s">
        <v>2339</v>
      </c>
      <c r="G5" s="107">
        <v>433</v>
      </c>
      <c r="H5" s="108">
        <v>440</v>
      </c>
      <c r="I5" s="108">
        <v>650</v>
      </c>
      <c r="J5" s="108">
        <v>655</v>
      </c>
      <c r="K5" s="2081">
        <v>655</v>
      </c>
      <c r="L5" s="122" t="s">
        <v>2340</v>
      </c>
      <c r="N5" s="4235"/>
      <c r="O5" s="4235"/>
      <c r="P5" s="4236"/>
      <c r="Q5" s="4236"/>
    </row>
    <row r="6" spans="2:21" ht="25.2" customHeight="1">
      <c r="B6" s="93">
        <v>0.25</v>
      </c>
      <c r="C6" s="100">
        <v>0</v>
      </c>
      <c r="D6" s="104">
        <v>0</v>
      </c>
      <c r="E6" s="105">
        <v>3</v>
      </c>
      <c r="F6" s="106" t="s">
        <v>2341</v>
      </c>
      <c r="G6" s="107">
        <v>475</v>
      </c>
      <c r="H6" s="108">
        <v>520</v>
      </c>
      <c r="I6" s="108">
        <v>903</v>
      </c>
      <c r="J6" s="108">
        <v>909</v>
      </c>
      <c r="K6" s="2081">
        <v>909</v>
      </c>
      <c r="L6" s="122" t="s">
        <v>2342</v>
      </c>
      <c r="N6" s="4235"/>
      <c r="O6" s="4235"/>
      <c r="P6" s="4236"/>
      <c r="Q6" s="4236"/>
    </row>
    <row r="7" spans="2:21" ht="25.2" customHeight="1">
      <c r="B7" s="93">
        <v>0.5</v>
      </c>
      <c r="C7" s="100">
        <v>0</v>
      </c>
      <c r="D7" s="104">
        <v>0</v>
      </c>
      <c r="E7" s="105">
        <v>4</v>
      </c>
      <c r="F7" s="106" t="s">
        <v>2343</v>
      </c>
      <c r="G7" s="109">
        <v>156</v>
      </c>
      <c r="H7" s="108">
        <v>156</v>
      </c>
      <c r="I7" s="108">
        <v>163</v>
      </c>
      <c r="J7" s="108">
        <v>164</v>
      </c>
      <c r="K7" s="2081">
        <v>164</v>
      </c>
      <c r="L7" s="122" t="s">
        <v>2344</v>
      </c>
      <c r="N7" s="95">
        <v>1</v>
      </c>
      <c r="O7" s="123" t="s">
        <v>2345</v>
      </c>
      <c r="P7" s="2101">
        <v>43.7</v>
      </c>
      <c r="Q7" s="2101">
        <v>42.1</v>
      </c>
    </row>
    <row r="8" spans="2:21" ht="25.2" customHeight="1">
      <c r="B8" s="93">
        <v>1</v>
      </c>
      <c r="C8" s="100">
        <v>0</v>
      </c>
      <c r="D8" s="100">
        <v>0</v>
      </c>
      <c r="E8" s="105">
        <v>5</v>
      </c>
      <c r="F8" s="106" t="s">
        <v>2346</v>
      </c>
      <c r="G8" s="109">
        <v>152</v>
      </c>
      <c r="H8" s="108">
        <v>152</v>
      </c>
      <c r="I8" s="108">
        <v>161</v>
      </c>
      <c r="J8" s="108">
        <v>162</v>
      </c>
      <c r="K8" s="2081">
        <v>162</v>
      </c>
      <c r="L8" s="122" t="s">
        <v>2347</v>
      </c>
      <c r="N8" s="95">
        <v>2</v>
      </c>
      <c r="O8" s="123" t="s">
        <v>2348</v>
      </c>
      <c r="P8" s="2089">
        <v>61.1</v>
      </c>
      <c r="Q8" s="2089">
        <v>59</v>
      </c>
    </row>
    <row r="9" spans="2:21" ht="25.2" customHeight="1">
      <c r="B9" s="93">
        <v>2</v>
      </c>
      <c r="C9" s="100">
        <f>P8/$P$19-N2</f>
        <v>15.314879197289088</v>
      </c>
      <c r="D9" s="100">
        <f>Q8/$P$19-O2</f>
        <v>14.874796461734803</v>
      </c>
      <c r="E9" s="105">
        <v>6</v>
      </c>
      <c r="F9" s="106" t="s">
        <v>2349</v>
      </c>
      <c r="G9" s="109">
        <v>146</v>
      </c>
      <c r="H9" s="108">
        <v>146</v>
      </c>
      <c r="I9" s="108">
        <v>167</v>
      </c>
      <c r="J9" s="108">
        <v>168</v>
      </c>
      <c r="K9" s="2081">
        <v>168</v>
      </c>
      <c r="L9" s="122" t="s">
        <v>2350</v>
      </c>
      <c r="N9" s="95">
        <v>3</v>
      </c>
      <c r="O9" s="123" t="s">
        <v>2351</v>
      </c>
      <c r="P9" s="2089">
        <v>81.5</v>
      </c>
      <c r="Q9" s="2089">
        <v>81.5</v>
      </c>
    </row>
    <row r="10" spans="2:21" ht="25.2" customHeight="1">
      <c r="B10" s="93">
        <v>3</v>
      </c>
      <c r="C10" s="100">
        <f>P9/$P$19-N2</f>
        <v>33.270254807903882</v>
      </c>
      <c r="D10" s="100">
        <f>Q9/$P$19-O2</f>
        <v>34.678519561677589</v>
      </c>
      <c r="E10" s="105">
        <v>7</v>
      </c>
      <c r="F10" s="106" t="s">
        <v>2352</v>
      </c>
      <c r="G10" s="109">
        <v>148</v>
      </c>
      <c r="H10" s="108">
        <v>156</v>
      </c>
      <c r="I10" s="108">
        <v>172</v>
      </c>
      <c r="J10" s="108">
        <v>173</v>
      </c>
      <c r="K10" s="2081">
        <v>173</v>
      </c>
      <c r="L10" s="122" t="s">
        <v>2353</v>
      </c>
      <c r="N10" s="95">
        <v>4</v>
      </c>
      <c r="O10" s="123" t="s">
        <v>2354</v>
      </c>
      <c r="P10" s="2089">
        <v>99</v>
      </c>
      <c r="Q10" s="2089">
        <v>99</v>
      </c>
    </row>
    <row r="11" spans="2:21" ht="25.2" customHeight="1">
      <c r="B11" s="93">
        <v>4</v>
      </c>
      <c r="C11" s="100">
        <f>P10/$P$19-N2</f>
        <v>48.673150552303838</v>
      </c>
      <c r="D11" s="100">
        <f>Q10/$P$19-O2</f>
        <v>50.081415306077545</v>
      </c>
      <c r="E11" s="105">
        <v>8</v>
      </c>
      <c r="F11" s="106" t="s">
        <v>2355</v>
      </c>
      <c r="G11" s="109">
        <v>129</v>
      </c>
      <c r="H11" s="108">
        <v>129</v>
      </c>
      <c r="I11" s="108">
        <v>142</v>
      </c>
      <c r="J11" s="108">
        <v>143</v>
      </c>
      <c r="K11" s="2081">
        <v>143</v>
      </c>
      <c r="L11" s="122" t="s">
        <v>2356</v>
      </c>
      <c r="N11" s="95">
        <v>5</v>
      </c>
      <c r="O11" s="123" t="s">
        <v>2357</v>
      </c>
      <c r="P11" s="2089">
        <v>116.5</v>
      </c>
      <c r="Q11" s="2089">
        <v>116.5</v>
      </c>
    </row>
    <row r="12" spans="2:21" ht="30.6">
      <c r="B12" s="93">
        <v>5</v>
      </c>
      <c r="C12" s="100">
        <f>P11/$P$19-N2</f>
        <v>64.07604629670378</v>
      </c>
      <c r="D12" s="100">
        <f>Q11/$P$19-O2</f>
        <v>65.484311050477487</v>
      </c>
      <c r="E12" s="105">
        <v>9</v>
      </c>
      <c r="F12" s="106" t="s">
        <v>2358</v>
      </c>
      <c r="G12" s="109">
        <v>112</v>
      </c>
      <c r="H12" s="108">
        <v>112</v>
      </c>
      <c r="I12" s="108">
        <v>123</v>
      </c>
      <c r="J12" s="108">
        <v>124</v>
      </c>
      <c r="K12" s="2081">
        <v>124</v>
      </c>
      <c r="L12" s="122" t="s">
        <v>2359</v>
      </c>
      <c r="N12" s="95">
        <v>6</v>
      </c>
      <c r="O12" s="106" t="s">
        <v>2360</v>
      </c>
      <c r="P12" s="2089">
        <v>17.5</v>
      </c>
      <c r="Q12" s="2089">
        <v>17.5</v>
      </c>
    </row>
    <row r="13" spans="2:21" ht="25.2" customHeight="1">
      <c r="B13" s="93">
        <v>6</v>
      </c>
      <c r="C13" s="100">
        <f>C12+($P$12/$P$19)</f>
        <v>79.478942041103721</v>
      </c>
      <c r="D13" s="100">
        <f>D12+($Q$12/$P$19)</f>
        <v>80.887206794877429</v>
      </c>
      <c r="E13" s="105">
        <v>10</v>
      </c>
      <c r="F13" s="106" t="s">
        <v>2361</v>
      </c>
      <c r="G13" s="109">
        <v>131</v>
      </c>
      <c r="H13" s="108">
        <v>131</v>
      </c>
      <c r="I13" s="108">
        <v>144</v>
      </c>
      <c r="J13" s="108">
        <v>145</v>
      </c>
      <c r="K13" s="2081">
        <v>145</v>
      </c>
      <c r="L13" s="122" t="s">
        <v>2362</v>
      </c>
      <c r="N13" s="95">
        <v>7</v>
      </c>
      <c r="O13" s="106" t="s">
        <v>2363</v>
      </c>
      <c r="P13" s="2089">
        <v>14.6</v>
      </c>
      <c r="Q13" s="2089">
        <v>14.6</v>
      </c>
    </row>
    <row r="14" spans="2:21" ht="25.2" customHeight="1">
      <c r="B14" s="93">
        <v>7</v>
      </c>
      <c r="C14" s="100">
        <f t="shared" ref="C14:C37" si="0">C13+($P$12/$P$19)</f>
        <v>94.881837785503663</v>
      </c>
      <c r="D14" s="100">
        <f t="shared" ref="D14:D37" si="1">D13+($Q$12/$P$19)</f>
        <v>96.29010253927737</v>
      </c>
      <c r="E14" s="105">
        <v>11</v>
      </c>
      <c r="F14" s="106" t="s">
        <v>2364</v>
      </c>
      <c r="G14" s="109">
        <v>179</v>
      </c>
      <c r="H14" s="108">
        <v>179</v>
      </c>
      <c r="I14" s="108">
        <v>197</v>
      </c>
      <c r="J14" s="108">
        <v>198</v>
      </c>
      <c r="K14" s="2081">
        <v>198</v>
      </c>
      <c r="L14" s="122" t="s">
        <v>2365</v>
      </c>
      <c r="N14" s="124"/>
      <c r="O14" s="125"/>
      <c r="P14" s="126"/>
      <c r="Q14" s="126"/>
    </row>
    <row r="15" spans="2:21" ht="25.2" customHeight="1">
      <c r="B15" s="93">
        <v>8</v>
      </c>
      <c r="C15" s="100">
        <f t="shared" si="0"/>
        <v>110.2847335299036</v>
      </c>
      <c r="D15" s="100">
        <f t="shared" si="1"/>
        <v>111.69299828367731</v>
      </c>
      <c r="E15" s="105">
        <v>12</v>
      </c>
      <c r="F15" s="110" t="s">
        <v>2366</v>
      </c>
      <c r="G15" s="107">
        <v>52</v>
      </c>
      <c r="H15" s="108">
        <v>40</v>
      </c>
      <c r="I15" s="108">
        <v>44</v>
      </c>
      <c r="J15" s="108">
        <v>44</v>
      </c>
      <c r="K15" s="2081">
        <v>44</v>
      </c>
      <c r="L15" s="122" t="s">
        <v>2367</v>
      </c>
      <c r="N15" s="4234" t="s">
        <v>2368</v>
      </c>
      <c r="O15" s="4234"/>
      <c r="P15" s="4234"/>
      <c r="Q15" s="4234"/>
    </row>
    <row r="16" spans="2:21" ht="25.2" customHeight="1">
      <c r="B16" s="93">
        <v>9</v>
      </c>
      <c r="C16" s="100">
        <f t="shared" si="0"/>
        <v>125.68762927430355</v>
      </c>
      <c r="D16" s="100">
        <f t="shared" si="1"/>
        <v>127.09589402807725</v>
      </c>
      <c r="E16" s="105">
        <v>13</v>
      </c>
      <c r="F16" s="106" t="s">
        <v>1476</v>
      </c>
      <c r="G16" s="107">
        <v>90</v>
      </c>
      <c r="H16" s="108">
        <v>90</v>
      </c>
      <c r="I16" s="108">
        <v>99</v>
      </c>
      <c r="J16" s="108">
        <v>100</v>
      </c>
      <c r="K16" s="2081">
        <v>100</v>
      </c>
      <c r="L16" s="122" t="s">
        <v>2369</v>
      </c>
      <c r="N16" s="124"/>
      <c r="O16" s="127" t="s">
        <v>2370</v>
      </c>
      <c r="P16" s="2102">
        <v>71.900000000000006</v>
      </c>
      <c r="Q16" s="2102">
        <v>135.4</v>
      </c>
    </row>
    <row r="17" spans="2:20" ht="25.2" customHeight="1">
      <c r="B17" s="93">
        <v>10</v>
      </c>
      <c r="C17" s="100">
        <f t="shared" si="0"/>
        <v>141.09052501870349</v>
      </c>
      <c r="D17" s="100">
        <f t="shared" si="1"/>
        <v>142.49878977247721</v>
      </c>
      <c r="E17" s="105">
        <v>14</v>
      </c>
      <c r="F17" s="106" t="s">
        <v>2371</v>
      </c>
      <c r="G17" s="107">
        <v>475</v>
      </c>
      <c r="H17" s="108">
        <v>520</v>
      </c>
      <c r="I17" s="108">
        <v>903</v>
      </c>
      <c r="J17" s="108">
        <v>909</v>
      </c>
      <c r="K17" s="2081">
        <v>909</v>
      </c>
      <c r="L17" s="122" t="s">
        <v>2342</v>
      </c>
      <c r="N17" s="124"/>
      <c r="O17" s="127" t="s">
        <v>2372</v>
      </c>
      <c r="P17" s="2102">
        <v>22</v>
      </c>
      <c r="Q17" s="2102">
        <v>22</v>
      </c>
    </row>
    <row r="18" spans="2:20" ht="25.2" customHeight="1">
      <c r="B18" s="93">
        <v>11</v>
      </c>
      <c r="C18" s="100">
        <f t="shared" si="0"/>
        <v>156.49342076310344</v>
      </c>
      <c r="D18" s="100">
        <f t="shared" si="1"/>
        <v>157.90168551687717</v>
      </c>
      <c r="E18" s="105">
        <v>15</v>
      </c>
      <c r="F18" s="106" t="s">
        <v>2373</v>
      </c>
      <c r="G18" s="107">
        <v>783</v>
      </c>
      <c r="H18" s="108">
        <v>790</v>
      </c>
      <c r="I18" s="108">
        <v>1090</v>
      </c>
      <c r="J18" s="108">
        <v>1098</v>
      </c>
      <c r="K18" s="2081">
        <v>1098</v>
      </c>
      <c r="L18" s="122" t="s">
        <v>2374</v>
      </c>
      <c r="N18" s="124"/>
      <c r="O18" s="128"/>
      <c r="P18" s="128"/>
      <c r="Q18" s="128"/>
      <c r="T18" s="145"/>
    </row>
    <row r="19" spans="2:20" ht="25.2" customHeight="1">
      <c r="B19" s="93">
        <v>12</v>
      </c>
      <c r="C19" s="100">
        <f t="shared" si="0"/>
        <v>171.8963165075034</v>
      </c>
      <c r="D19" s="100">
        <f t="shared" si="1"/>
        <v>173.30458126127712</v>
      </c>
      <c r="E19" s="105">
        <v>16</v>
      </c>
      <c r="F19" s="106" t="s">
        <v>2375</v>
      </c>
      <c r="G19" s="107">
        <v>821</v>
      </c>
      <c r="H19" s="108">
        <v>821</v>
      </c>
      <c r="I19" s="108">
        <v>1100</v>
      </c>
      <c r="J19" s="108">
        <v>1108</v>
      </c>
      <c r="K19" s="2081">
        <v>1208</v>
      </c>
      <c r="L19" s="122" t="s">
        <v>2376</v>
      </c>
      <c r="N19" s="124"/>
      <c r="O19" s="129" t="s">
        <v>2377</v>
      </c>
      <c r="P19" s="130">
        <v>1.13615</v>
      </c>
      <c r="Q19" s="131"/>
      <c r="T19" s="145"/>
    </row>
    <row r="20" spans="2:20" ht="25.2" customHeight="1">
      <c r="B20" s="93">
        <v>13</v>
      </c>
      <c r="C20" s="100">
        <f t="shared" si="0"/>
        <v>187.29921225190336</v>
      </c>
      <c r="D20" s="100">
        <f t="shared" si="1"/>
        <v>188.70747700567708</v>
      </c>
      <c r="E20" s="105">
        <v>17</v>
      </c>
      <c r="F20" s="106" t="s">
        <v>2378</v>
      </c>
      <c r="G20" s="107">
        <v>681</v>
      </c>
      <c r="H20" s="108">
        <v>700</v>
      </c>
      <c r="I20" s="108">
        <v>1050</v>
      </c>
      <c r="J20" s="108">
        <v>1057</v>
      </c>
      <c r="K20" s="2081">
        <v>1057</v>
      </c>
      <c r="L20" s="122" t="s">
        <v>2379</v>
      </c>
      <c r="N20" s="88"/>
      <c r="O20" s="132"/>
      <c r="P20" s="133"/>
      <c r="Q20" s="133"/>
      <c r="T20" s="145"/>
    </row>
    <row r="21" spans="2:20" ht="25.2" customHeight="1">
      <c r="B21" s="93">
        <v>14</v>
      </c>
      <c r="C21" s="100">
        <f t="shared" si="0"/>
        <v>202.70210799630331</v>
      </c>
      <c r="D21" s="100">
        <f t="shared" si="1"/>
        <v>204.11037275007703</v>
      </c>
      <c r="E21" s="105">
        <v>18</v>
      </c>
      <c r="F21" s="106" t="s">
        <v>2380</v>
      </c>
      <c r="G21" s="107">
        <v>623</v>
      </c>
      <c r="H21" s="108">
        <v>620</v>
      </c>
      <c r="I21" s="108">
        <v>950</v>
      </c>
      <c r="J21" s="108">
        <v>957</v>
      </c>
      <c r="K21" s="2081">
        <v>957</v>
      </c>
      <c r="L21" s="122" t="s">
        <v>2381</v>
      </c>
      <c r="N21" s="88"/>
      <c r="O21" s="134" t="s">
        <v>2382</v>
      </c>
      <c r="P21" s="135">
        <v>3</v>
      </c>
      <c r="Q21" s="136" t="s">
        <v>2383</v>
      </c>
    </row>
    <row r="22" spans="2:20" ht="25.2" customHeight="1">
      <c r="B22" s="93">
        <v>15</v>
      </c>
      <c r="C22" s="100">
        <f t="shared" si="0"/>
        <v>218.10500374070327</v>
      </c>
      <c r="D22" s="100">
        <f t="shared" si="1"/>
        <v>219.51326849447699</v>
      </c>
      <c r="E22" s="105">
        <v>19</v>
      </c>
      <c r="F22" s="106" t="s">
        <v>2384</v>
      </c>
      <c r="G22" s="107">
        <v>479</v>
      </c>
      <c r="H22" s="108">
        <v>485</v>
      </c>
      <c r="I22" s="108">
        <v>800</v>
      </c>
      <c r="J22" s="108">
        <v>806</v>
      </c>
      <c r="K22" s="2081">
        <v>900</v>
      </c>
      <c r="L22" s="122" t="s">
        <v>2385</v>
      </c>
      <c r="N22" s="88"/>
      <c r="O22" s="132"/>
      <c r="P22" s="133"/>
      <c r="Q22" s="133"/>
    </row>
    <row r="23" spans="2:20" ht="25.2" customHeight="1">
      <c r="B23" s="93">
        <v>16</v>
      </c>
      <c r="C23" s="100">
        <f t="shared" si="0"/>
        <v>233.50789948510322</v>
      </c>
      <c r="D23" s="100">
        <f t="shared" si="1"/>
        <v>234.91616423887695</v>
      </c>
      <c r="E23" s="105">
        <v>20</v>
      </c>
      <c r="F23" s="106" t="s">
        <v>2386</v>
      </c>
      <c r="G23" s="107">
        <v>304</v>
      </c>
      <c r="H23" s="108">
        <v>485</v>
      </c>
      <c r="I23" s="108">
        <v>700</v>
      </c>
      <c r="J23" s="108">
        <v>705</v>
      </c>
      <c r="K23" s="2081">
        <v>883</v>
      </c>
      <c r="L23" s="122" t="s">
        <v>2387</v>
      </c>
      <c r="N23" s="88"/>
      <c r="O23" s="132"/>
      <c r="P23" s="133"/>
      <c r="Q23" s="133"/>
    </row>
    <row r="24" spans="2:20" ht="25.2" customHeight="1">
      <c r="B24" s="93">
        <v>17</v>
      </c>
      <c r="C24" s="100">
        <f t="shared" si="0"/>
        <v>248.91079522950318</v>
      </c>
      <c r="D24" s="100">
        <f t="shared" si="1"/>
        <v>250.3190599832769</v>
      </c>
      <c r="E24" s="105">
        <v>21</v>
      </c>
      <c r="F24" s="106" t="s">
        <v>2388</v>
      </c>
      <c r="G24" s="107">
        <v>456</v>
      </c>
      <c r="H24" s="108">
        <v>524</v>
      </c>
      <c r="I24" s="108">
        <v>540</v>
      </c>
      <c r="J24" s="108">
        <v>567</v>
      </c>
      <c r="K24" s="2081">
        <v>709</v>
      </c>
      <c r="L24" s="122" t="s">
        <v>2389</v>
      </c>
      <c r="N24" s="94"/>
      <c r="O24" s="137"/>
      <c r="P24" s="138"/>
      <c r="Q24" s="138"/>
    </row>
    <row r="25" spans="2:20" ht="25.2" customHeight="1">
      <c r="B25" s="93">
        <v>18</v>
      </c>
      <c r="C25" s="100">
        <f t="shared" si="0"/>
        <v>264.31369097390314</v>
      </c>
      <c r="D25" s="100">
        <f t="shared" si="1"/>
        <v>265.72195572767686</v>
      </c>
      <c r="E25" s="105">
        <v>22</v>
      </c>
      <c r="F25" s="106" t="s">
        <v>598</v>
      </c>
      <c r="G25" s="109">
        <v>98</v>
      </c>
      <c r="H25" s="108">
        <v>98</v>
      </c>
      <c r="I25" s="108">
        <v>108</v>
      </c>
      <c r="J25" s="108">
        <v>109</v>
      </c>
      <c r="K25" s="2081">
        <v>109</v>
      </c>
      <c r="L25" s="122" t="s">
        <v>2390</v>
      </c>
      <c r="N25" s="94"/>
      <c r="O25" s="137"/>
      <c r="P25" s="138"/>
      <c r="Q25" s="138"/>
    </row>
    <row r="26" spans="2:20" ht="25.2" customHeight="1">
      <c r="B26" s="93">
        <v>19</v>
      </c>
      <c r="C26" s="100">
        <f t="shared" si="0"/>
        <v>279.71658671830306</v>
      </c>
      <c r="D26" s="100">
        <f t="shared" si="1"/>
        <v>281.12485147207678</v>
      </c>
      <c r="E26" s="105">
        <v>23</v>
      </c>
      <c r="F26" s="106" t="s">
        <v>2391</v>
      </c>
      <c r="G26" s="107">
        <v>505</v>
      </c>
      <c r="H26" s="108">
        <v>505</v>
      </c>
      <c r="I26" s="108">
        <v>903</v>
      </c>
      <c r="J26" s="108">
        <v>909</v>
      </c>
      <c r="K26" s="2081">
        <v>909</v>
      </c>
      <c r="L26" s="122" t="s">
        <v>2392</v>
      </c>
      <c r="N26" s="94"/>
      <c r="O26" s="137"/>
      <c r="P26" s="138"/>
      <c r="Q26" s="138"/>
    </row>
    <row r="27" spans="2:20" ht="25.2" customHeight="1">
      <c r="B27" s="93">
        <v>20</v>
      </c>
      <c r="C27" s="100">
        <f t="shared" si="0"/>
        <v>295.11948246270299</v>
      </c>
      <c r="D27" s="100">
        <f t="shared" si="1"/>
        <v>296.52774721647671</v>
      </c>
      <c r="E27" s="105">
        <v>24</v>
      </c>
      <c r="F27" s="106" t="s">
        <v>2393</v>
      </c>
      <c r="G27" s="107">
        <v>830</v>
      </c>
      <c r="H27" s="108">
        <v>830</v>
      </c>
      <c r="I27" s="108">
        <v>1090</v>
      </c>
      <c r="J27" s="108">
        <v>1098</v>
      </c>
      <c r="K27" s="2081">
        <v>1098</v>
      </c>
      <c r="L27" s="122" t="s">
        <v>2394</v>
      </c>
      <c r="N27" s="94"/>
      <c r="O27" s="137"/>
      <c r="P27" s="138"/>
      <c r="Q27" s="138"/>
    </row>
    <row r="28" spans="2:20" ht="25.2" customHeight="1">
      <c r="B28" s="93">
        <v>21</v>
      </c>
      <c r="C28" s="100">
        <f t="shared" si="0"/>
        <v>310.52237820710292</v>
      </c>
      <c r="D28" s="100">
        <f t="shared" si="1"/>
        <v>311.93064296087664</v>
      </c>
      <c r="E28" s="105">
        <v>25</v>
      </c>
      <c r="F28" s="106" t="s">
        <v>2395</v>
      </c>
      <c r="G28" s="107">
        <v>870</v>
      </c>
      <c r="H28" s="108">
        <v>870</v>
      </c>
      <c r="I28" s="108">
        <v>1100</v>
      </c>
      <c r="J28" s="108">
        <v>1108</v>
      </c>
      <c r="K28" s="2081">
        <v>1208</v>
      </c>
      <c r="L28" s="122" t="s">
        <v>2396</v>
      </c>
      <c r="N28" s="94"/>
      <c r="O28" s="137"/>
      <c r="P28" s="138"/>
      <c r="Q28" s="138"/>
    </row>
    <row r="29" spans="2:20" ht="25.2" customHeight="1">
      <c r="B29" s="93">
        <v>22</v>
      </c>
      <c r="C29" s="100">
        <f t="shared" si="0"/>
        <v>325.92527395150285</v>
      </c>
      <c r="D29" s="100">
        <f t="shared" si="1"/>
        <v>327.33353870527657</v>
      </c>
      <c r="E29" s="105">
        <v>26</v>
      </c>
      <c r="F29" s="106" t="s">
        <v>2397</v>
      </c>
      <c r="G29" s="107">
        <v>781</v>
      </c>
      <c r="H29" s="108">
        <v>781</v>
      </c>
      <c r="I29" s="108">
        <v>1050</v>
      </c>
      <c r="J29" s="108">
        <v>1057</v>
      </c>
      <c r="K29" s="2081">
        <v>1057</v>
      </c>
      <c r="L29" s="122" t="s">
        <v>2398</v>
      </c>
      <c r="N29" s="94"/>
      <c r="O29" s="137"/>
      <c r="P29" s="138"/>
      <c r="Q29" s="138"/>
    </row>
    <row r="30" spans="2:20" ht="25.2" customHeight="1">
      <c r="B30" s="93">
        <v>23</v>
      </c>
      <c r="C30" s="100">
        <f t="shared" si="0"/>
        <v>341.32816969590277</v>
      </c>
      <c r="D30" s="100">
        <f t="shared" si="1"/>
        <v>342.73643444967649</v>
      </c>
      <c r="E30" s="105">
        <v>27</v>
      </c>
      <c r="F30" s="106" t="s">
        <v>2399</v>
      </c>
      <c r="G30" s="107">
        <v>657</v>
      </c>
      <c r="H30" s="108">
        <v>657</v>
      </c>
      <c r="I30" s="108">
        <v>950</v>
      </c>
      <c r="J30" s="108">
        <v>957</v>
      </c>
      <c r="K30" s="2081">
        <v>957</v>
      </c>
      <c r="L30" s="122" t="s">
        <v>2400</v>
      </c>
      <c r="N30" s="94"/>
      <c r="O30" s="137"/>
      <c r="P30" s="138"/>
      <c r="Q30" s="138"/>
    </row>
    <row r="31" spans="2:20" ht="25.2" customHeight="1">
      <c r="B31" s="93">
        <v>24</v>
      </c>
      <c r="C31" s="100">
        <f t="shared" si="0"/>
        <v>356.7310654403027</v>
      </c>
      <c r="D31" s="100">
        <f t="shared" si="1"/>
        <v>358.13933019407642</v>
      </c>
      <c r="E31" s="105">
        <v>28</v>
      </c>
      <c r="F31" s="106" t="s">
        <v>2401</v>
      </c>
      <c r="G31" s="107">
        <v>505</v>
      </c>
      <c r="H31" s="108">
        <v>505</v>
      </c>
      <c r="I31" s="108">
        <v>800</v>
      </c>
      <c r="J31" s="108">
        <v>806</v>
      </c>
      <c r="K31" s="2082">
        <v>910</v>
      </c>
      <c r="L31" s="122" t="s">
        <v>2402</v>
      </c>
      <c r="O31" s="89"/>
    </row>
    <row r="32" spans="2:20" ht="25.2" customHeight="1">
      <c r="B32" s="93">
        <v>25</v>
      </c>
      <c r="C32" s="100">
        <f t="shared" si="0"/>
        <v>372.13396118470263</v>
      </c>
      <c r="D32" s="100">
        <f t="shared" si="1"/>
        <v>373.54222593847635</v>
      </c>
      <c r="E32" s="105">
        <v>29</v>
      </c>
      <c r="F32" s="106" t="s">
        <v>2403</v>
      </c>
      <c r="G32" s="109">
        <v>760</v>
      </c>
      <c r="H32" s="108">
        <v>800</v>
      </c>
      <c r="I32" s="108">
        <v>830</v>
      </c>
      <c r="J32" s="108">
        <v>872</v>
      </c>
      <c r="K32" s="2082">
        <v>915</v>
      </c>
      <c r="L32" s="122" t="s">
        <v>2404</v>
      </c>
      <c r="N32" s="88"/>
      <c r="O32" s="132"/>
      <c r="P32" s="132"/>
      <c r="Q32" s="132"/>
    </row>
    <row r="33" spans="2:17" ht="25.2" customHeight="1">
      <c r="B33" s="93">
        <v>26</v>
      </c>
      <c r="C33" s="100">
        <f t="shared" si="0"/>
        <v>387.53685692910256</v>
      </c>
      <c r="D33" s="100">
        <f t="shared" si="1"/>
        <v>388.94512168287628</v>
      </c>
      <c r="E33" s="105">
        <v>30</v>
      </c>
      <c r="F33" s="106" t="s">
        <v>1480</v>
      </c>
      <c r="G33" s="109">
        <v>570</v>
      </c>
      <c r="H33" s="108">
        <v>600</v>
      </c>
      <c r="I33" s="108">
        <v>630</v>
      </c>
      <c r="J33" s="108">
        <v>662</v>
      </c>
      <c r="K33" s="2082">
        <v>695</v>
      </c>
      <c r="L33" s="122" t="s">
        <v>2405</v>
      </c>
      <c r="N33" s="88"/>
      <c r="O33" s="132"/>
      <c r="P33" s="132"/>
      <c r="Q33" s="132"/>
    </row>
    <row r="34" spans="2:17" ht="25.2" customHeight="1">
      <c r="B34" s="93">
        <v>27</v>
      </c>
      <c r="C34" s="100">
        <f t="shared" si="0"/>
        <v>402.93975267350248</v>
      </c>
      <c r="D34" s="100">
        <f t="shared" si="1"/>
        <v>404.3480174272762</v>
      </c>
      <c r="E34" s="105">
        <v>31</v>
      </c>
      <c r="F34" s="106" t="s">
        <v>596</v>
      </c>
      <c r="G34" s="109">
        <v>570</v>
      </c>
      <c r="H34" s="108">
        <v>600</v>
      </c>
      <c r="I34" s="108">
        <v>630</v>
      </c>
      <c r="J34" s="108">
        <v>662</v>
      </c>
      <c r="K34" s="2082">
        <v>695</v>
      </c>
      <c r="L34" s="122" t="s">
        <v>2406</v>
      </c>
      <c r="N34" s="92"/>
      <c r="O34" s="139"/>
    </row>
    <row r="35" spans="2:17" ht="25.2" customHeight="1">
      <c r="B35" s="93">
        <v>28</v>
      </c>
      <c r="C35" s="100">
        <f t="shared" si="0"/>
        <v>418.34264841790241</v>
      </c>
      <c r="D35" s="100">
        <f t="shared" si="1"/>
        <v>419.75091317167613</v>
      </c>
      <c r="E35" s="105">
        <v>32</v>
      </c>
      <c r="F35" s="106" t="str">
        <f>+'[263]Input Data'!$H$24</f>
        <v>Steel HYSD Primary producers, JUN,2022</v>
      </c>
      <c r="G35" s="109">
        <f>'[263]Input Data'!$I$24</f>
        <v>67000</v>
      </c>
      <c r="H35" s="111">
        <f>'[263]Input Data'!I24</f>
        <v>67000</v>
      </c>
      <c r="I35" s="111"/>
      <c r="J35" s="111"/>
      <c r="K35" s="2083"/>
      <c r="L35" s="122"/>
      <c r="N35" s="92"/>
      <c r="O35" s="139"/>
    </row>
    <row r="36" spans="2:17" ht="25.2" customHeight="1">
      <c r="B36" s="93">
        <v>29</v>
      </c>
      <c r="C36" s="100">
        <f t="shared" si="0"/>
        <v>433.74554416230234</v>
      </c>
      <c r="D36" s="100">
        <f t="shared" si="1"/>
        <v>435.15380891607606</v>
      </c>
      <c r="E36" s="105">
        <v>33</v>
      </c>
      <c r="F36" s="106" t="str">
        <f>+'[263]Input Data'!$H$25</f>
        <v>Mild Steel Bars, JUN,2022</v>
      </c>
      <c r="G36" s="109">
        <f>'[263]Input Data'!$I$25</f>
        <v>65000</v>
      </c>
      <c r="H36" s="111">
        <f>'[263]Input Data'!I25</f>
        <v>65000</v>
      </c>
      <c r="I36" s="111"/>
      <c r="J36" s="111"/>
      <c r="K36" s="2083"/>
      <c r="L36" s="122"/>
      <c r="N36" s="92"/>
      <c r="O36" s="139"/>
    </row>
    <row r="37" spans="2:17" ht="25.2" customHeight="1">
      <c r="B37" s="93">
        <v>30</v>
      </c>
      <c r="C37" s="100">
        <f t="shared" si="0"/>
        <v>449.14843990670227</v>
      </c>
      <c r="D37" s="100">
        <f t="shared" si="1"/>
        <v>450.55670466047599</v>
      </c>
      <c r="E37" s="105">
        <v>34</v>
      </c>
      <c r="F37" s="106" t="str">
        <f>+'[263]Input Data'!$H$23</f>
        <v>Cement, JUN,2022</v>
      </c>
      <c r="G37" s="109">
        <f>'[263]Input Data'!$I$23</f>
        <v>5600</v>
      </c>
      <c r="H37" s="111">
        <f>'[263]Input Data'!I23</f>
        <v>5600</v>
      </c>
      <c r="I37" s="111"/>
      <c r="J37" s="111"/>
      <c r="K37" s="2083"/>
      <c r="L37" s="122"/>
      <c r="N37" s="92"/>
      <c r="O37" s="139"/>
    </row>
    <row r="38" spans="2:17" ht="25.2" customHeight="1">
      <c r="B38" s="93">
        <f>B37+1</f>
        <v>31</v>
      </c>
      <c r="C38" s="100">
        <f>C37+($P$13/$P$19)</f>
        <v>461.99885578488738</v>
      </c>
      <c r="D38" s="100">
        <f>D37+($Q$13/$P$19)</f>
        <v>463.4071205386611</v>
      </c>
      <c r="E38" s="105">
        <v>35</v>
      </c>
      <c r="F38" s="106" t="str">
        <f>+'[263]Input Data'!$H$26</f>
        <v>6mm M.S. Rods, JUN,2022</v>
      </c>
      <c r="G38" s="109">
        <f>'[263]Input Data'!$I$26</f>
        <v>70000</v>
      </c>
      <c r="H38" s="111">
        <f>'[263]Input Data'!I26</f>
        <v>70000</v>
      </c>
      <c r="I38" s="111"/>
      <c r="J38" s="111"/>
      <c r="K38" s="2083"/>
      <c r="L38" s="140"/>
      <c r="M38" s="141"/>
      <c r="N38" s="92"/>
      <c r="O38" s="139"/>
    </row>
    <row r="39" spans="2:17" ht="25.2" customHeight="1">
      <c r="B39" s="93">
        <f t="shared" ref="B39:B102" si="2">B38+1</f>
        <v>32</v>
      </c>
      <c r="C39" s="100">
        <f t="shared" ref="C39:C102" si="3">C38+($P$13/$P$19)</f>
        <v>474.8492716630725</v>
      </c>
      <c r="D39" s="100">
        <f t="shared" ref="D39:D102" si="4">D38+($Q$13/$P$19)</f>
        <v>476.25753641684622</v>
      </c>
      <c r="E39" s="105">
        <v>36</v>
      </c>
      <c r="F39" s="106" t="s">
        <v>2407</v>
      </c>
      <c r="G39" s="107">
        <v>17</v>
      </c>
      <c r="H39" s="108">
        <v>17</v>
      </c>
      <c r="I39" s="108">
        <v>19</v>
      </c>
      <c r="J39" s="108">
        <v>19</v>
      </c>
      <c r="K39" s="2082">
        <v>19</v>
      </c>
      <c r="L39" s="122" t="s">
        <v>2408</v>
      </c>
      <c r="M39" s="141"/>
      <c r="N39" s="92"/>
      <c r="O39" s="139"/>
    </row>
    <row r="40" spans="2:17" ht="25.2" customHeight="1">
      <c r="B40" s="93">
        <f t="shared" si="2"/>
        <v>33</v>
      </c>
      <c r="C40" s="100">
        <f t="shared" si="3"/>
        <v>487.69968754125762</v>
      </c>
      <c r="D40" s="100">
        <f t="shared" si="4"/>
        <v>489.10795229503134</v>
      </c>
      <c r="E40" s="105">
        <v>37</v>
      </c>
      <c r="F40" s="106" t="s">
        <v>2409</v>
      </c>
      <c r="G40" s="107">
        <v>66</v>
      </c>
      <c r="H40" s="108">
        <v>66</v>
      </c>
      <c r="I40" s="108">
        <v>73</v>
      </c>
      <c r="J40" s="108">
        <v>73</v>
      </c>
      <c r="K40" s="2082">
        <v>73</v>
      </c>
      <c r="L40" s="122" t="s">
        <v>2410</v>
      </c>
      <c r="M40" s="141"/>
      <c r="N40" s="92"/>
      <c r="O40" s="139"/>
    </row>
    <row r="41" spans="2:17" ht="25.2" customHeight="1">
      <c r="B41" s="93">
        <f t="shared" si="2"/>
        <v>34</v>
      </c>
      <c r="C41" s="100">
        <f t="shared" si="3"/>
        <v>500.55010341944273</v>
      </c>
      <c r="D41" s="100">
        <f t="shared" si="4"/>
        <v>501.95836817321646</v>
      </c>
      <c r="E41" s="105">
        <v>38</v>
      </c>
      <c r="F41" s="106" t="s">
        <v>2411</v>
      </c>
      <c r="G41" s="107">
        <v>8.3000000000000007</v>
      </c>
      <c r="H41" s="108">
        <v>8.3000000000000007</v>
      </c>
      <c r="I41" s="108">
        <v>9</v>
      </c>
      <c r="J41" s="108">
        <v>9</v>
      </c>
      <c r="K41" s="2082">
        <v>9</v>
      </c>
      <c r="L41" s="122" t="s">
        <v>2412</v>
      </c>
      <c r="M41" s="141"/>
      <c r="N41" s="92"/>
      <c r="O41" s="139"/>
    </row>
    <row r="42" spans="2:17" ht="25.2" customHeight="1">
      <c r="B42" s="93">
        <f t="shared" si="2"/>
        <v>35</v>
      </c>
      <c r="C42" s="100">
        <f t="shared" si="3"/>
        <v>513.40051929762785</v>
      </c>
      <c r="D42" s="100">
        <f t="shared" si="4"/>
        <v>514.80878405140152</v>
      </c>
      <c r="E42" s="105">
        <v>39</v>
      </c>
      <c r="F42" s="106" t="s">
        <v>2413</v>
      </c>
      <c r="G42" s="107">
        <v>10</v>
      </c>
      <c r="H42" s="108">
        <v>10</v>
      </c>
      <c r="I42" s="108">
        <v>11</v>
      </c>
      <c r="J42" s="108">
        <v>11</v>
      </c>
      <c r="K42" s="2082">
        <v>11</v>
      </c>
      <c r="L42" s="140" t="s">
        <v>2414</v>
      </c>
      <c r="M42" s="141"/>
      <c r="N42" s="92"/>
      <c r="O42" s="139"/>
    </row>
    <row r="43" spans="2:17" ht="25.2" customHeight="1">
      <c r="B43" s="93">
        <f t="shared" si="2"/>
        <v>36</v>
      </c>
      <c r="C43" s="100">
        <f t="shared" si="3"/>
        <v>526.25093517581297</v>
      </c>
      <c r="D43" s="100">
        <f t="shared" si="4"/>
        <v>527.65919992958663</v>
      </c>
      <c r="E43" s="105">
        <v>40</v>
      </c>
      <c r="F43" s="106" t="s">
        <v>2415</v>
      </c>
      <c r="G43" s="107">
        <v>818</v>
      </c>
      <c r="H43" s="108">
        <v>580</v>
      </c>
      <c r="I43" s="108">
        <v>597</v>
      </c>
      <c r="J43" s="108">
        <v>627</v>
      </c>
      <c r="K43" s="2082">
        <v>650</v>
      </c>
      <c r="L43" s="140" t="s">
        <v>2416</v>
      </c>
      <c r="M43" s="141"/>
      <c r="N43" s="92"/>
      <c r="O43" s="139"/>
    </row>
    <row r="44" spans="2:17" ht="21.6" customHeight="1">
      <c r="B44" s="93">
        <f t="shared" si="2"/>
        <v>37</v>
      </c>
      <c r="C44" s="100">
        <f t="shared" si="3"/>
        <v>539.10135105399809</v>
      </c>
      <c r="D44" s="100">
        <f t="shared" si="4"/>
        <v>540.50961580777175</v>
      </c>
      <c r="E44" s="105">
        <v>41</v>
      </c>
      <c r="F44" s="106" t="s">
        <v>2417</v>
      </c>
      <c r="G44" s="107">
        <v>35</v>
      </c>
      <c r="H44" s="108">
        <v>61</v>
      </c>
      <c r="I44" s="108">
        <v>64</v>
      </c>
      <c r="J44" s="108">
        <v>67</v>
      </c>
      <c r="K44" s="2082">
        <v>70</v>
      </c>
      <c r="L44" s="140" t="s">
        <v>2418</v>
      </c>
      <c r="M44" s="141"/>
      <c r="N44" s="92"/>
      <c r="O44" s="139"/>
    </row>
    <row r="45" spans="2:17" ht="21.6" customHeight="1">
      <c r="B45" s="93">
        <f t="shared" si="2"/>
        <v>38</v>
      </c>
      <c r="C45" s="100">
        <f t="shared" si="3"/>
        <v>551.9517669321832</v>
      </c>
      <c r="D45" s="100">
        <f t="shared" si="4"/>
        <v>553.36003168595687</v>
      </c>
      <c r="E45" s="105">
        <v>42</v>
      </c>
      <c r="F45" s="102" t="s">
        <v>1450</v>
      </c>
      <c r="G45" s="112"/>
      <c r="H45" s="113"/>
      <c r="I45" s="113"/>
      <c r="J45" s="113"/>
      <c r="K45" s="2084"/>
      <c r="L45" s="122"/>
      <c r="M45" s="141"/>
      <c r="N45" s="92"/>
      <c r="O45" s="139"/>
    </row>
    <row r="46" spans="2:17" ht="21.6" customHeight="1">
      <c r="B46" s="93">
        <f t="shared" si="2"/>
        <v>39</v>
      </c>
      <c r="C46" s="100">
        <f t="shared" si="3"/>
        <v>564.80218281036832</v>
      </c>
      <c r="D46" s="100">
        <f t="shared" si="4"/>
        <v>566.21044756414199</v>
      </c>
      <c r="E46" s="105">
        <v>43</v>
      </c>
      <c r="F46" s="106" t="s">
        <v>1450</v>
      </c>
      <c r="G46" s="109">
        <v>67</v>
      </c>
      <c r="H46" s="108">
        <v>70</v>
      </c>
      <c r="I46" s="108">
        <v>90</v>
      </c>
      <c r="J46" s="108">
        <v>100</v>
      </c>
      <c r="K46" s="2082">
        <v>100</v>
      </c>
      <c r="L46" s="122" t="s">
        <v>2419</v>
      </c>
      <c r="M46" s="141"/>
      <c r="N46" s="92"/>
      <c r="O46" s="139"/>
    </row>
    <row r="47" spans="2:17" ht="21.6" customHeight="1">
      <c r="B47" s="93">
        <f t="shared" si="2"/>
        <v>40</v>
      </c>
      <c r="C47" s="100">
        <f t="shared" si="3"/>
        <v>577.65259868855344</v>
      </c>
      <c r="D47" s="100">
        <f t="shared" si="4"/>
        <v>579.0608634423271</v>
      </c>
      <c r="E47" s="105">
        <v>44</v>
      </c>
      <c r="F47" s="106" t="s">
        <v>2420</v>
      </c>
      <c r="G47" s="109">
        <v>67</v>
      </c>
      <c r="H47" s="108">
        <v>70</v>
      </c>
      <c r="I47" s="108">
        <v>90</v>
      </c>
      <c r="J47" s="108">
        <v>100</v>
      </c>
      <c r="K47" s="2082">
        <v>100</v>
      </c>
      <c r="L47" s="140" t="s">
        <v>2421</v>
      </c>
      <c r="M47" s="141"/>
      <c r="N47" s="92"/>
      <c r="O47" s="139"/>
    </row>
    <row r="48" spans="2:17" ht="21.6" customHeight="1">
      <c r="B48" s="93">
        <f t="shared" si="2"/>
        <v>41</v>
      </c>
      <c r="C48" s="100">
        <f t="shared" si="3"/>
        <v>590.50301456673856</v>
      </c>
      <c r="D48" s="100">
        <f t="shared" si="4"/>
        <v>591.91127932051222</v>
      </c>
      <c r="E48" s="105">
        <v>45</v>
      </c>
      <c r="F48" s="102" t="s">
        <v>2422</v>
      </c>
      <c r="G48" s="112"/>
      <c r="H48" s="113"/>
      <c r="I48" s="113"/>
      <c r="J48" s="113"/>
      <c r="K48" s="2084"/>
      <c r="L48" s="142"/>
      <c r="M48" s="141"/>
      <c r="N48" s="92"/>
      <c r="O48" s="139"/>
    </row>
    <row r="49" spans="2:16" ht="21.6" customHeight="1">
      <c r="B49" s="93">
        <f t="shared" si="2"/>
        <v>42</v>
      </c>
      <c r="C49" s="100">
        <f t="shared" si="3"/>
        <v>603.35343044492367</v>
      </c>
      <c r="D49" s="100">
        <f t="shared" si="4"/>
        <v>604.76169519869734</v>
      </c>
      <c r="E49" s="105">
        <v>46</v>
      </c>
      <c r="F49" s="106" t="s">
        <v>2324</v>
      </c>
      <c r="G49" s="113">
        <v>75</v>
      </c>
      <c r="H49" s="114">
        <v>75</v>
      </c>
      <c r="I49" s="143">
        <v>97.5</v>
      </c>
      <c r="J49" s="143">
        <v>97.5</v>
      </c>
      <c r="K49" s="2085">
        <v>97.5</v>
      </c>
      <c r="L49" s="142"/>
      <c r="M49" s="141"/>
      <c r="N49" s="92"/>
      <c r="O49" s="139"/>
    </row>
    <row r="50" spans="2:16" ht="21.6" customHeight="1">
      <c r="B50" s="93">
        <f t="shared" si="2"/>
        <v>43</v>
      </c>
      <c r="C50" s="100">
        <f t="shared" si="3"/>
        <v>616.20384632310879</v>
      </c>
      <c r="D50" s="100">
        <f t="shared" si="4"/>
        <v>617.61211107688246</v>
      </c>
      <c r="E50" s="105">
        <v>47</v>
      </c>
      <c r="F50" s="106" t="s">
        <v>2423</v>
      </c>
      <c r="G50" s="113">
        <v>30</v>
      </c>
      <c r="H50" s="114">
        <v>30</v>
      </c>
      <c r="I50" s="143">
        <v>30</v>
      </c>
      <c r="J50" s="143">
        <v>30</v>
      </c>
      <c r="K50" s="2085">
        <v>30</v>
      </c>
      <c r="L50" s="142"/>
      <c r="M50" s="141"/>
      <c r="N50" s="92"/>
      <c r="O50" s="139"/>
    </row>
    <row r="51" spans="2:16" ht="21.6" customHeight="1">
      <c r="B51" s="93">
        <f t="shared" si="2"/>
        <v>44</v>
      </c>
      <c r="C51" s="100">
        <f t="shared" si="3"/>
        <v>629.05426220129391</v>
      </c>
      <c r="D51" s="100">
        <f t="shared" si="4"/>
        <v>630.46252695506757</v>
      </c>
      <c r="E51" s="105">
        <v>48</v>
      </c>
      <c r="F51" s="106" t="s">
        <v>2424</v>
      </c>
      <c r="G51" s="113">
        <v>40</v>
      </c>
      <c r="H51" s="114">
        <v>40</v>
      </c>
      <c r="I51" s="143">
        <v>40</v>
      </c>
      <c r="J51" s="143">
        <v>40</v>
      </c>
      <c r="K51" s="2085">
        <v>40</v>
      </c>
      <c r="L51" s="140"/>
      <c r="M51" s="141"/>
      <c r="N51" s="92"/>
      <c r="O51" s="139"/>
    </row>
    <row r="52" spans="2:16" ht="21.6" customHeight="1">
      <c r="B52" s="93">
        <f t="shared" si="2"/>
        <v>45</v>
      </c>
      <c r="C52" s="100">
        <f t="shared" si="3"/>
        <v>641.90467807947903</v>
      </c>
      <c r="D52" s="100">
        <f t="shared" si="4"/>
        <v>643.31294283325269</v>
      </c>
      <c r="E52" s="105">
        <v>49</v>
      </c>
      <c r="F52" s="102" t="s">
        <v>2425</v>
      </c>
      <c r="G52" s="112"/>
      <c r="H52" s="113"/>
      <c r="I52" s="113"/>
      <c r="J52" s="113"/>
      <c r="K52" s="2084"/>
      <c r="L52" s="142"/>
      <c r="M52" s="141"/>
      <c r="N52" s="92"/>
      <c r="O52" s="139"/>
    </row>
    <row r="53" spans="2:16" ht="21.6" customHeight="1">
      <c r="B53" s="93">
        <f t="shared" si="2"/>
        <v>46</v>
      </c>
      <c r="C53" s="100">
        <f t="shared" si="3"/>
        <v>654.75509395766414</v>
      </c>
      <c r="D53" s="100">
        <f t="shared" si="4"/>
        <v>656.16335871143781</v>
      </c>
      <c r="E53" s="105">
        <v>50</v>
      </c>
      <c r="F53" s="106" t="s">
        <v>1699</v>
      </c>
      <c r="G53" s="115">
        <v>470</v>
      </c>
      <c r="H53" s="114">
        <v>545</v>
      </c>
      <c r="I53" s="114">
        <v>580</v>
      </c>
      <c r="J53" s="114">
        <v>610</v>
      </c>
      <c r="K53" s="2086">
        <v>645</v>
      </c>
      <c r="L53" s="142" t="s">
        <v>2426</v>
      </c>
      <c r="M53" s="141"/>
      <c r="N53" s="92"/>
      <c r="O53" s="139"/>
    </row>
    <row r="54" spans="2:16" ht="21.6" customHeight="1">
      <c r="B54" s="93">
        <f t="shared" si="2"/>
        <v>47</v>
      </c>
      <c r="C54" s="100">
        <f t="shared" si="3"/>
        <v>667.60550983584926</v>
      </c>
      <c r="D54" s="100">
        <f t="shared" si="4"/>
        <v>669.01377458962293</v>
      </c>
      <c r="E54" s="105">
        <v>51</v>
      </c>
      <c r="F54" s="106" t="s">
        <v>1700</v>
      </c>
      <c r="G54" s="115">
        <v>425</v>
      </c>
      <c r="H54" s="114">
        <v>515</v>
      </c>
      <c r="I54" s="114">
        <v>550</v>
      </c>
      <c r="J54" s="114">
        <v>580</v>
      </c>
      <c r="K54" s="2086">
        <v>615</v>
      </c>
      <c r="L54" s="142" t="s">
        <v>2427</v>
      </c>
      <c r="M54" s="141"/>
      <c r="N54" s="92"/>
      <c r="O54" s="139"/>
    </row>
    <row r="55" spans="2:16" ht="21.6" customHeight="1">
      <c r="B55" s="93">
        <f t="shared" si="2"/>
        <v>48</v>
      </c>
      <c r="C55" s="100">
        <f t="shared" si="3"/>
        <v>680.45592571403438</v>
      </c>
      <c r="D55" s="100">
        <f t="shared" si="4"/>
        <v>681.86419046780804</v>
      </c>
      <c r="E55" s="105">
        <v>52</v>
      </c>
      <c r="F55" s="106" t="s">
        <v>1703</v>
      </c>
      <c r="G55" s="115">
        <v>750</v>
      </c>
      <c r="H55" s="114">
        <v>925</v>
      </c>
      <c r="I55" s="114">
        <v>985</v>
      </c>
      <c r="J55" s="114">
        <v>1035</v>
      </c>
      <c r="K55" s="2086">
        <v>1095</v>
      </c>
      <c r="L55" s="142" t="s">
        <v>2428</v>
      </c>
      <c r="M55" s="141"/>
      <c r="N55" s="92"/>
      <c r="O55" s="139"/>
    </row>
    <row r="56" spans="2:16" ht="21.6" customHeight="1">
      <c r="B56" s="93">
        <f t="shared" si="2"/>
        <v>49</v>
      </c>
      <c r="C56" s="100">
        <f t="shared" si="3"/>
        <v>693.3063415922195</v>
      </c>
      <c r="D56" s="100">
        <f t="shared" si="4"/>
        <v>694.71460634599316</v>
      </c>
      <c r="E56" s="105">
        <v>53</v>
      </c>
      <c r="F56" s="106" t="s">
        <v>188</v>
      </c>
      <c r="G56" s="115">
        <v>470</v>
      </c>
      <c r="H56" s="114">
        <v>540</v>
      </c>
      <c r="I56" s="114">
        <v>575</v>
      </c>
      <c r="J56" s="114">
        <v>605</v>
      </c>
      <c r="K56" s="2086">
        <v>640</v>
      </c>
      <c r="L56" s="142" t="s">
        <v>2429</v>
      </c>
      <c r="M56" s="141"/>
      <c r="N56" s="92"/>
      <c r="O56" s="139"/>
    </row>
    <row r="57" spans="2:16" ht="21.6" customHeight="1">
      <c r="B57" s="93">
        <f t="shared" si="2"/>
        <v>50</v>
      </c>
      <c r="C57" s="100">
        <f t="shared" si="3"/>
        <v>706.15675747040461</v>
      </c>
      <c r="D57" s="100">
        <f t="shared" si="4"/>
        <v>707.56502222417828</v>
      </c>
      <c r="E57" s="105">
        <v>54</v>
      </c>
      <c r="F57" s="106"/>
      <c r="G57" s="112"/>
      <c r="H57" s="113"/>
      <c r="I57" s="113"/>
      <c r="J57" s="113"/>
      <c r="K57" s="2084"/>
      <c r="L57" s="142" t="s">
        <v>2430</v>
      </c>
      <c r="M57" s="141"/>
      <c r="N57" s="92"/>
      <c r="O57" s="139"/>
    </row>
    <row r="58" spans="2:16" ht="25.2" customHeight="1">
      <c r="B58" s="93">
        <f t="shared" si="2"/>
        <v>51</v>
      </c>
      <c r="C58" s="100">
        <f t="shared" si="3"/>
        <v>719.00717334858973</v>
      </c>
      <c r="D58" s="100">
        <f t="shared" si="4"/>
        <v>720.4154381023634</v>
      </c>
      <c r="E58" s="105">
        <v>55</v>
      </c>
      <c r="F58" s="106" t="s">
        <v>14</v>
      </c>
      <c r="G58" s="115">
        <v>400</v>
      </c>
      <c r="H58" s="114">
        <v>490</v>
      </c>
      <c r="I58" s="114">
        <v>520</v>
      </c>
      <c r="J58" s="114">
        <v>545</v>
      </c>
      <c r="K58" s="2086">
        <v>575</v>
      </c>
      <c r="L58" s="142" t="s">
        <v>2428</v>
      </c>
      <c r="M58" s="141"/>
      <c r="N58" s="92"/>
      <c r="O58" s="139"/>
    </row>
    <row r="59" spans="2:16" ht="25.2" customHeight="1">
      <c r="B59" s="93">
        <f t="shared" si="2"/>
        <v>52</v>
      </c>
      <c r="C59" s="100">
        <f t="shared" si="3"/>
        <v>731.85758922677485</v>
      </c>
      <c r="D59" s="100">
        <f t="shared" si="4"/>
        <v>733.26585398054851</v>
      </c>
      <c r="E59" s="105">
        <v>56</v>
      </c>
      <c r="F59" s="116" t="s">
        <v>15</v>
      </c>
      <c r="G59" s="115">
        <v>400</v>
      </c>
      <c r="H59" s="103">
        <v>524</v>
      </c>
      <c r="I59" s="103">
        <v>550</v>
      </c>
      <c r="J59" s="103">
        <v>580</v>
      </c>
      <c r="K59" s="2087">
        <v>575</v>
      </c>
      <c r="L59" s="142" t="s">
        <v>2427</v>
      </c>
      <c r="M59" s="141" t="s">
        <v>2431</v>
      </c>
      <c r="N59" s="92"/>
      <c r="O59" s="139"/>
      <c r="P59">
        <f>70%*515+30%*545</f>
        <v>524</v>
      </c>
    </row>
    <row r="60" spans="2:16" ht="25.2" customHeight="1">
      <c r="B60" s="93">
        <f t="shared" si="2"/>
        <v>53</v>
      </c>
      <c r="C60" s="100">
        <f t="shared" si="3"/>
        <v>744.70800510495997</v>
      </c>
      <c r="D60" s="100">
        <f t="shared" si="4"/>
        <v>746.11626985873363</v>
      </c>
      <c r="E60" s="105">
        <v>57</v>
      </c>
      <c r="F60" s="116" t="s">
        <v>16</v>
      </c>
      <c r="G60" s="115">
        <v>400</v>
      </c>
      <c r="H60" s="114">
        <v>490</v>
      </c>
      <c r="I60" s="114">
        <v>520</v>
      </c>
      <c r="J60" s="114">
        <v>545</v>
      </c>
      <c r="K60" s="2086">
        <v>575</v>
      </c>
      <c r="L60" s="142" t="s">
        <v>2428</v>
      </c>
      <c r="M60" s="141"/>
      <c r="N60" s="92"/>
      <c r="O60" s="144"/>
      <c r="P60">
        <f>70%*550+30%*580</f>
        <v>559</v>
      </c>
    </row>
    <row r="61" spans="2:16" ht="25.2" customHeight="1">
      <c r="B61" s="93">
        <f t="shared" si="2"/>
        <v>54</v>
      </c>
      <c r="C61" s="100">
        <f t="shared" si="3"/>
        <v>757.55842098314508</v>
      </c>
      <c r="D61" s="100">
        <f t="shared" si="4"/>
        <v>758.96668573691875</v>
      </c>
      <c r="E61" s="105">
        <v>58</v>
      </c>
      <c r="F61" s="102" t="s">
        <v>2432</v>
      </c>
      <c r="G61" s="117"/>
      <c r="H61" s="118"/>
      <c r="I61" s="118"/>
      <c r="J61" s="118"/>
      <c r="K61" s="2088"/>
      <c r="L61" s="142"/>
      <c r="M61" s="141"/>
      <c r="N61" s="92"/>
      <c r="O61" s="139"/>
      <c r="P61">
        <f>70%*580+30%*610</f>
        <v>589</v>
      </c>
    </row>
    <row r="62" spans="2:16" ht="25.2" customHeight="1">
      <c r="B62" s="93">
        <f t="shared" si="2"/>
        <v>55</v>
      </c>
      <c r="C62" s="100">
        <f t="shared" si="3"/>
        <v>770.4088368613302</v>
      </c>
      <c r="D62" s="100">
        <f t="shared" si="4"/>
        <v>771.81710161510387</v>
      </c>
      <c r="E62" s="105">
        <v>59</v>
      </c>
      <c r="F62" s="116" t="s">
        <v>2433</v>
      </c>
      <c r="G62" s="115">
        <v>2561.8000000000002</v>
      </c>
      <c r="H62" s="114">
        <v>2956.9</v>
      </c>
      <c r="I62" s="114">
        <v>3099</v>
      </c>
      <c r="J62" s="114">
        <v>3168.3</v>
      </c>
      <c r="K62" s="2089">
        <v>3164.8</v>
      </c>
      <c r="L62" s="142" t="s">
        <v>2434</v>
      </c>
      <c r="M62" s="141"/>
      <c r="N62" s="92"/>
      <c r="O62" s="139"/>
    </row>
    <row r="63" spans="2:16" ht="15.6">
      <c r="B63" s="93">
        <f t="shared" si="2"/>
        <v>56</v>
      </c>
      <c r="C63" s="100">
        <f t="shared" si="3"/>
        <v>783.25925273951532</v>
      </c>
      <c r="D63" s="100">
        <f t="shared" si="4"/>
        <v>784.66751749328898</v>
      </c>
      <c r="E63" s="105">
        <v>60</v>
      </c>
      <c r="F63" s="116" t="s">
        <v>2435</v>
      </c>
      <c r="G63" s="115">
        <v>3216</v>
      </c>
      <c r="H63" s="114">
        <v>3602</v>
      </c>
      <c r="I63" s="114">
        <v>3962</v>
      </c>
      <c r="J63" s="114">
        <v>3962</v>
      </c>
      <c r="K63" s="2086">
        <v>3962</v>
      </c>
      <c r="L63" s="142" t="s">
        <v>2436</v>
      </c>
      <c r="M63" s="141"/>
      <c r="N63" s="92"/>
      <c r="O63" s="139"/>
    </row>
    <row r="64" spans="2:16" ht="15.6">
      <c r="B64" s="93">
        <f t="shared" si="2"/>
        <v>57</v>
      </c>
      <c r="C64" s="100">
        <f t="shared" si="3"/>
        <v>796.10966861770044</v>
      </c>
      <c r="D64" s="100">
        <f t="shared" si="4"/>
        <v>797.5179333714741</v>
      </c>
      <c r="E64" s="105">
        <v>61</v>
      </c>
      <c r="F64" s="106" t="s">
        <v>2437</v>
      </c>
      <c r="G64" s="115">
        <v>2821.5</v>
      </c>
      <c r="H64" s="114">
        <v>3331.2</v>
      </c>
      <c r="I64" s="114">
        <v>3502.9</v>
      </c>
      <c r="J64" s="114">
        <v>3571</v>
      </c>
      <c r="K64" s="2086">
        <v>3557.7</v>
      </c>
      <c r="L64" s="142" t="s">
        <v>2438</v>
      </c>
      <c r="M64" s="141"/>
      <c r="N64" s="92"/>
      <c r="O64" s="139"/>
    </row>
    <row r="65" spans="2:16" ht="25.2" customHeight="1">
      <c r="B65" s="93">
        <f t="shared" si="2"/>
        <v>58</v>
      </c>
      <c r="C65" s="100">
        <f t="shared" si="3"/>
        <v>808.96008449588555</v>
      </c>
      <c r="D65" s="100">
        <f t="shared" si="4"/>
        <v>810.36834924965922</v>
      </c>
      <c r="E65" s="105">
        <v>62</v>
      </c>
      <c r="F65" s="116" t="s">
        <v>1746</v>
      </c>
      <c r="G65" s="115">
        <v>1646</v>
      </c>
      <c r="H65" s="114">
        <v>1844</v>
      </c>
      <c r="I65" s="114">
        <v>2028</v>
      </c>
      <c r="J65" s="114">
        <v>2028</v>
      </c>
      <c r="K65" s="2086">
        <v>2028</v>
      </c>
      <c r="L65" s="142" t="s">
        <v>2439</v>
      </c>
      <c r="M65" s="141"/>
      <c r="N65" s="92"/>
      <c r="O65" s="139"/>
    </row>
    <row r="66" spans="2:16" ht="25.2" customHeight="1">
      <c r="B66" s="93">
        <f t="shared" si="2"/>
        <v>59</v>
      </c>
      <c r="C66" s="100">
        <f t="shared" si="3"/>
        <v>821.81050037407067</v>
      </c>
      <c r="D66" s="100">
        <f t="shared" si="4"/>
        <v>823.21876512784434</v>
      </c>
      <c r="E66" s="105">
        <v>63</v>
      </c>
      <c r="F66" s="116" t="s">
        <v>2440</v>
      </c>
      <c r="G66" s="115">
        <v>924.1</v>
      </c>
      <c r="H66" s="114">
        <v>1185.5999999999999</v>
      </c>
      <c r="I66" s="114">
        <v>1250.0999999999999</v>
      </c>
      <c r="J66" s="114">
        <v>1278</v>
      </c>
      <c r="K66" s="2089">
        <v>1280.4000000000001</v>
      </c>
      <c r="L66" s="142" t="s">
        <v>2441</v>
      </c>
      <c r="M66" s="141"/>
      <c r="N66" s="92"/>
      <c r="O66" s="139"/>
    </row>
    <row r="67" spans="2:16" ht="25.2" customHeight="1">
      <c r="B67" s="93">
        <f t="shared" si="2"/>
        <v>60</v>
      </c>
      <c r="C67" s="100">
        <f t="shared" si="3"/>
        <v>834.66091625225579</v>
      </c>
      <c r="D67" s="100">
        <f t="shared" si="4"/>
        <v>836.06918100602945</v>
      </c>
      <c r="E67" s="105">
        <v>64</v>
      </c>
      <c r="F67" s="116" t="s">
        <v>214</v>
      </c>
      <c r="G67" s="115">
        <v>2638.9</v>
      </c>
      <c r="H67" s="114">
        <v>3292.4</v>
      </c>
      <c r="I67" s="114">
        <v>3475.2</v>
      </c>
      <c r="J67" s="114">
        <v>3535</v>
      </c>
      <c r="K67" s="2086">
        <v>3517.9</v>
      </c>
      <c r="L67" s="142" t="s">
        <v>2442</v>
      </c>
      <c r="M67" s="141"/>
      <c r="N67" s="92"/>
      <c r="O67" s="139"/>
    </row>
    <row r="68" spans="2:16" ht="25.2" customHeight="1">
      <c r="B68" s="93">
        <f t="shared" si="2"/>
        <v>61</v>
      </c>
      <c r="C68" s="100">
        <f t="shared" si="3"/>
        <v>847.51133213044091</v>
      </c>
      <c r="D68" s="100">
        <f t="shared" si="4"/>
        <v>848.91959688421457</v>
      </c>
      <c r="E68" s="105">
        <v>65</v>
      </c>
      <c r="F68" s="116" t="s">
        <v>2443</v>
      </c>
      <c r="G68" s="115">
        <v>1131</v>
      </c>
      <c r="H68" s="114">
        <v>1625.8</v>
      </c>
      <c r="I68" s="114">
        <v>1734.8</v>
      </c>
      <c r="J68" s="114">
        <v>1758</v>
      </c>
      <c r="K68" s="2086">
        <v>1749.6</v>
      </c>
      <c r="L68" s="142" t="s">
        <v>2434</v>
      </c>
      <c r="M68" s="141"/>
      <c r="N68" s="92"/>
      <c r="O68" s="139"/>
    </row>
    <row r="69" spans="2:16" ht="25.2" customHeight="1">
      <c r="B69" s="93">
        <f t="shared" si="2"/>
        <v>62</v>
      </c>
      <c r="C69" s="100">
        <f t="shared" si="3"/>
        <v>860.36174800862602</v>
      </c>
      <c r="D69" s="100">
        <f t="shared" si="4"/>
        <v>861.77001276239969</v>
      </c>
      <c r="E69" s="105">
        <v>66</v>
      </c>
      <c r="F69" s="116" t="s">
        <v>213</v>
      </c>
      <c r="G69" s="115">
        <v>624</v>
      </c>
      <c r="H69" s="114">
        <v>699</v>
      </c>
      <c r="I69" s="114">
        <v>769</v>
      </c>
      <c r="J69" s="114">
        <v>769</v>
      </c>
      <c r="K69" s="2086">
        <v>769</v>
      </c>
      <c r="L69" s="142" t="s">
        <v>2444</v>
      </c>
      <c r="M69" s="162"/>
      <c r="N69" s="92"/>
      <c r="O69" s="139"/>
    </row>
    <row r="70" spans="2:16" ht="25.2" customHeight="1">
      <c r="B70" s="93">
        <f t="shared" si="2"/>
        <v>63</v>
      </c>
      <c r="C70" s="100">
        <f t="shared" si="3"/>
        <v>873.21216388681114</v>
      </c>
      <c r="D70" s="100">
        <f t="shared" si="4"/>
        <v>874.62042864058481</v>
      </c>
      <c r="E70" s="105">
        <v>67</v>
      </c>
      <c r="F70" s="116" t="s">
        <v>2445</v>
      </c>
      <c r="G70" s="115">
        <v>415</v>
      </c>
      <c r="H70" s="114">
        <v>465</v>
      </c>
      <c r="I70" s="114">
        <v>512</v>
      </c>
      <c r="J70" s="114">
        <v>512</v>
      </c>
      <c r="K70" s="2086">
        <v>512</v>
      </c>
      <c r="L70" s="142" t="s">
        <v>2446</v>
      </c>
      <c r="M70" s="162"/>
      <c r="N70" s="92"/>
      <c r="O70" s="139"/>
    </row>
    <row r="71" spans="2:16" ht="25.2" customHeight="1">
      <c r="B71" s="93">
        <f t="shared" si="2"/>
        <v>64</v>
      </c>
      <c r="C71" s="100">
        <f t="shared" si="3"/>
        <v>886.06257976499626</v>
      </c>
      <c r="D71" s="100">
        <f t="shared" si="4"/>
        <v>887.47084451876992</v>
      </c>
      <c r="E71" s="105">
        <v>68</v>
      </c>
      <c r="F71" s="116" t="s">
        <v>2447</v>
      </c>
      <c r="G71" s="115">
        <v>422</v>
      </c>
      <c r="H71" s="114">
        <v>473</v>
      </c>
      <c r="I71" s="114">
        <v>520</v>
      </c>
      <c r="J71" s="114">
        <v>520</v>
      </c>
      <c r="K71" s="2086">
        <v>520</v>
      </c>
      <c r="L71" s="142" t="s">
        <v>2448</v>
      </c>
      <c r="M71" s="162"/>
      <c r="N71" s="92"/>
      <c r="O71" s="139"/>
    </row>
    <row r="72" spans="2:16" ht="25.2" customHeight="1">
      <c r="B72" s="93">
        <f t="shared" si="2"/>
        <v>65</v>
      </c>
      <c r="C72" s="100">
        <f t="shared" si="3"/>
        <v>898.91299564318138</v>
      </c>
      <c r="D72" s="100">
        <f t="shared" si="4"/>
        <v>900.32126039695504</v>
      </c>
      <c r="E72" s="105">
        <v>69</v>
      </c>
      <c r="F72" s="146" t="s">
        <v>2449</v>
      </c>
      <c r="G72" s="115">
        <v>507.5</v>
      </c>
      <c r="H72" s="114">
        <v>568</v>
      </c>
      <c r="I72" s="114">
        <v>625</v>
      </c>
      <c r="J72" s="114">
        <v>625</v>
      </c>
      <c r="K72" s="2086">
        <v>625</v>
      </c>
      <c r="L72" s="142" t="s">
        <v>2450</v>
      </c>
      <c r="M72" s="162"/>
      <c r="N72" s="92"/>
      <c r="O72" s="139"/>
    </row>
    <row r="73" spans="2:16" ht="25.2" customHeight="1">
      <c r="B73" s="93">
        <f t="shared" si="2"/>
        <v>66</v>
      </c>
      <c r="C73" s="100">
        <f t="shared" si="3"/>
        <v>911.76341152136649</v>
      </c>
      <c r="D73" s="100">
        <f t="shared" si="4"/>
        <v>913.17167627514016</v>
      </c>
      <c r="E73" s="105">
        <v>70</v>
      </c>
      <c r="F73" s="116" t="s">
        <v>2451</v>
      </c>
      <c r="G73" s="115">
        <v>521.20000000000005</v>
      </c>
      <c r="H73" s="114">
        <v>619.5</v>
      </c>
      <c r="I73" s="114">
        <v>668.6</v>
      </c>
      <c r="J73" s="114">
        <v>714</v>
      </c>
      <c r="K73" s="2086">
        <v>727.6</v>
      </c>
      <c r="L73" s="142" t="s">
        <v>2452</v>
      </c>
      <c r="M73" s="162"/>
      <c r="N73" s="92"/>
      <c r="O73" s="139"/>
    </row>
    <row r="74" spans="2:16" ht="25.2" customHeight="1">
      <c r="B74" s="93">
        <f t="shared" si="2"/>
        <v>67</v>
      </c>
      <c r="C74" s="100">
        <f t="shared" si="3"/>
        <v>924.61382739955161</v>
      </c>
      <c r="D74" s="100">
        <f t="shared" si="4"/>
        <v>926.02209215332527</v>
      </c>
      <c r="E74" s="105">
        <v>71</v>
      </c>
      <c r="F74" s="116" t="s">
        <v>2453</v>
      </c>
      <c r="G74" s="115">
        <v>1646</v>
      </c>
      <c r="H74" s="114">
        <v>1844</v>
      </c>
      <c r="I74" s="114">
        <v>2028</v>
      </c>
      <c r="J74" s="114">
        <v>2028</v>
      </c>
      <c r="K74" s="2086">
        <v>2028</v>
      </c>
      <c r="L74" s="142" t="s">
        <v>2454</v>
      </c>
      <c r="M74" s="162"/>
      <c r="N74" s="92"/>
      <c r="O74" s="139"/>
    </row>
    <row r="75" spans="2:16" ht="25.2" customHeight="1">
      <c r="B75" s="93">
        <f t="shared" si="2"/>
        <v>68</v>
      </c>
      <c r="C75" s="100">
        <f t="shared" si="3"/>
        <v>937.46424327773673</v>
      </c>
      <c r="D75" s="100">
        <f t="shared" si="4"/>
        <v>938.87250803151039</v>
      </c>
      <c r="E75" s="105">
        <v>72</v>
      </c>
      <c r="F75" s="116" t="s">
        <v>2455</v>
      </c>
      <c r="G75" s="115">
        <v>357</v>
      </c>
      <c r="H75" s="114">
        <v>400</v>
      </c>
      <c r="I75" s="114">
        <v>440</v>
      </c>
      <c r="J75" s="114">
        <v>440</v>
      </c>
      <c r="K75" s="2086">
        <v>440</v>
      </c>
      <c r="L75" s="142" t="s">
        <v>2456</v>
      </c>
      <c r="M75" s="162"/>
      <c r="N75" s="92"/>
      <c r="O75" s="139"/>
    </row>
    <row r="76" spans="2:16" ht="25.2" customHeight="1">
      <c r="B76" s="93">
        <f t="shared" si="2"/>
        <v>69</v>
      </c>
      <c r="C76" s="100">
        <f t="shared" si="3"/>
        <v>950.31465915592185</v>
      </c>
      <c r="D76" s="100">
        <f t="shared" si="4"/>
        <v>951.72292390969551</v>
      </c>
      <c r="E76" s="105">
        <v>73</v>
      </c>
      <c r="F76" s="116" t="s">
        <v>1119</v>
      </c>
      <c r="G76" s="115">
        <v>1498</v>
      </c>
      <c r="H76" s="114">
        <v>1678</v>
      </c>
      <c r="I76" s="114">
        <v>1846</v>
      </c>
      <c r="J76" s="114">
        <v>1846</v>
      </c>
      <c r="K76" s="2086">
        <v>1846</v>
      </c>
      <c r="L76" s="142" t="s">
        <v>2457</v>
      </c>
      <c r="M76" s="162"/>
      <c r="N76" s="92"/>
      <c r="O76" s="139"/>
    </row>
    <row r="77" spans="2:16" ht="25.2" customHeight="1">
      <c r="B77" s="93">
        <f t="shared" si="2"/>
        <v>70</v>
      </c>
      <c r="C77" s="100">
        <f t="shared" si="3"/>
        <v>963.16507503410696</v>
      </c>
      <c r="D77" s="100">
        <f t="shared" si="4"/>
        <v>964.57333978788063</v>
      </c>
      <c r="E77" s="105">
        <v>74</v>
      </c>
      <c r="F77" s="116" t="s">
        <v>1201</v>
      </c>
      <c r="G77" s="115">
        <v>860</v>
      </c>
      <c r="H77" s="114">
        <v>963</v>
      </c>
      <c r="I77" s="114">
        <v>1059</v>
      </c>
      <c r="J77" s="114">
        <v>1059</v>
      </c>
      <c r="K77" s="2086">
        <v>1059</v>
      </c>
      <c r="L77" s="142" t="s">
        <v>2458</v>
      </c>
      <c r="M77" s="162"/>
      <c r="N77" s="92"/>
      <c r="O77" s="139"/>
    </row>
    <row r="78" spans="2:16" ht="25.2" customHeight="1">
      <c r="B78" s="93">
        <f t="shared" si="2"/>
        <v>71</v>
      </c>
      <c r="C78" s="100">
        <f t="shared" si="3"/>
        <v>976.01549091229208</v>
      </c>
      <c r="D78" s="100">
        <f t="shared" si="4"/>
        <v>977.42375566606574</v>
      </c>
      <c r="E78" s="105">
        <v>75</v>
      </c>
      <c r="F78" s="116" t="s">
        <v>2459</v>
      </c>
      <c r="G78" s="115">
        <v>24171</v>
      </c>
      <c r="H78" s="114">
        <v>27072</v>
      </c>
      <c r="I78" s="114">
        <v>38683</v>
      </c>
      <c r="J78" s="114">
        <v>38683</v>
      </c>
      <c r="K78" s="2086">
        <v>38683</v>
      </c>
      <c r="L78" s="142" t="s">
        <v>2460</v>
      </c>
      <c r="M78" s="163"/>
      <c r="N78" s="164" t="s">
        <v>2461</v>
      </c>
      <c r="O78" s="165">
        <f>ROUND(H79+((75-60)*(H78-H79))/(100-60),)</f>
        <v>25320</v>
      </c>
      <c r="P78" s="165">
        <f>ROUND(I79+((75-60)*(I78-I79))/(100-60),)</f>
        <v>33344</v>
      </c>
    </row>
    <row r="79" spans="2:16" ht="25.2" customHeight="1">
      <c r="B79" s="93">
        <f t="shared" si="2"/>
        <v>72</v>
      </c>
      <c r="C79" s="100">
        <f t="shared" si="3"/>
        <v>988.8659067904772</v>
      </c>
      <c r="D79" s="100">
        <f t="shared" si="4"/>
        <v>990.27417154425086</v>
      </c>
      <c r="E79" s="105">
        <v>76</v>
      </c>
      <c r="F79" s="116" t="s">
        <v>2462</v>
      </c>
      <c r="G79" s="115">
        <v>21668</v>
      </c>
      <c r="H79" s="114">
        <v>24268</v>
      </c>
      <c r="I79" s="114">
        <v>30141</v>
      </c>
      <c r="J79" s="114">
        <v>30141</v>
      </c>
      <c r="K79" s="2086">
        <v>30141</v>
      </c>
      <c r="L79" s="142" t="s">
        <v>2463</v>
      </c>
      <c r="M79" s="162"/>
      <c r="N79" s="92"/>
      <c r="O79" s="139"/>
    </row>
    <row r="80" spans="2:16" ht="25.2" customHeight="1">
      <c r="B80" s="93">
        <f t="shared" si="2"/>
        <v>73</v>
      </c>
      <c r="C80" s="100">
        <f t="shared" si="3"/>
        <v>1001.7163226686623</v>
      </c>
      <c r="D80" s="100">
        <f t="shared" si="4"/>
        <v>1003.124587422436</v>
      </c>
      <c r="E80" s="105">
        <v>77</v>
      </c>
      <c r="F80" s="116" t="s">
        <v>1691</v>
      </c>
      <c r="G80" s="115">
        <v>2249</v>
      </c>
      <c r="H80" s="114">
        <v>2519</v>
      </c>
      <c r="I80" s="114">
        <v>2771</v>
      </c>
      <c r="J80" s="114">
        <v>2771</v>
      </c>
      <c r="K80" s="2086">
        <v>2771</v>
      </c>
      <c r="L80" s="142" t="s">
        <v>2464</v>
      </c>
      <c r="M80" s="162"/>
      <c r="N80" s="92"/>
      <c r="O80" s="139"/>
    </row>
    <row r="81" spans="2:15" ht="25.2" customHeight="1">
      <c r="B81" s="93">
        <f t="shared" si="2"/>
        <v>74</v>
      </c>
      <c r="C81" s="100">
        <f t="shared" si="3"/>
        <v>1014.5667385468474</v>
      </c>
      <c r="D81" s="100">
        <f t="shared" si="4"/>
        <v>1015.9750033006211</v>
      </c>
      <c r="E81" s="105">
        <v>78</v>
      </c>
      <c r="F81" s="116" t="s">
        <v>2465</v>
      </c>
      <c r="G81" s="115">
        <v>2567</v>
      </c>
      <c r="H81" s="114">
        <v>2875</v>
      </c>
      <c r="I81" s="114">
        <v>3163</v>
      </c>
      <c r="J81" s="114">
        <v>3163</v>
      </c>
      <c r="K81" s="2086">
        <v>3163</v>
      </c>
      <c r="L81" s="142" t="s">
        <v>2466</v>
      </c>
      <c r="M81" s="162"/>
      <c r="N81" s="92"/>
      <c r="O81" s="139"/>
    </row>
    <row r="82" spans="2:15" ht="25.2" customHeight="1">
      <c r="B82" s="93">
        <f t="shared" si="2"/>
        <v>75</v>
      </c>
      <c r="C82" s="100">
        <f t="shared" si="3"/>
        <v>1027.4171544250325</v>
      </c>
      <c r="D82" s="100">
        <f t="shared" si="4"/>
        <v>1028.8254191788062</v>
      </c>
      <c r="E82" s="105">
        <v>79</v>
      </c>
      <c r="F82" s="116" t="s">
        <v>2467</v>
      </c>
      <c r="G82" s="115">
        <v>1646</v>
      </c>
      <c r="H82" s="114">
        <v>1844</v>
      </c>
      <c r="I82" s="114">
        <v>2028</v>
      </c>
      <c r="J82" s="114">
        <v>2028</v>
      </c>
      <c r="K82" s="2086">
        <v>2028</v>
      </c>
      <c r="L82" s="142" t="s">
        <v>2466</v>
      </c>
      <c r="M82" s="162"/>
      <c r="N82" s="92"/>
      <c r="O82" s="139"/>
    </row>
    <row r="83" spans="2:15" ht="25.2" customHeight="1">
      <c r="B83" s="93">
        <f t="shared" si="2"/>
        <v>76</v>
      </c>
      <c r="C83" s="100">
        <f t="shared" si="3"/>
        <v>1040.2675703032176</v>
      </c>
      <c r="D83" s="100">
        <f t="shared" si="4"/>
        <v>1041.6758350569912</v>
      </c>
      <c r="E83" s="105">
        <v>80</v>
      </c>
      <c r="F83" s="116" t="s">
        <v>2468</v>
      </c>
      <c r="G83" s="115">
        <v>1283</v>
      </c>
      <c r="H83" s="114">
        <v>1437</v>
      </c>
      <c r="I83" s="114">
        <v>1581</v>
      </c>
      <c r="J83" s="114">
        <v>1581</v>
      </c>
      <c r="K83" s="2086">
        <v>1581</v>
      </c>
      <c r="L83" s="142" t="s">
        <v>2469</v>
      </c>
      <c r="M83" s="162"/>
      <c r="N83" s="92"/>
      <c r="O83" s="139"/>
    </row>
    <row r="84" spans="2:15" ht="25.2" customHeight="1">
      <c r="B84" s="93">
        <f t="shared" si="2"/>
        <v>77</v>
      </c>
      <c r="C84" s="100">
        <f t="shared" si="3"/>
        <v>1053.1179861814026</v>
      </c>
      <c r="D84" s="100">
        <f t="shared" si="4"/>
        <v>1054.5262509351762</v>
      </c>
      <c r="E84" s="105">
        <v>81</v>
      </c>
      <c r="F84" s="116" t="s">
        <v>2470</v>
      </c>
      <c r="G84" s="115">
        <v>1143</v>
      </c>
      <c r="H84" s="114">
        <v>1280</v>
      </c>
      <c r="I84" s="114">
        <v>1408</v>
      </c>
      <c r="J84" s="114">
        <v>1408</v>
      </c>
      <c r="K84" s="2086">
        <v>1408</v>
      </c>
      <c r="L84" s="142" t="s">
        <v>2471</v>
      </c>
      <c r="M84" s="162"/>
      <c r="N84" s="92"/>
      <c r="O84" s="139"/>
    </row>
    <row r="85" spans="2:15" ht="25.2" customHeight="1">
      <c r="B85" s="93">
        <f t="shared" si="2"/>
        <v>78</v>
      </c>
      <c r="C85" s="100">
        <f t="shared" si="3"/>
        <v>1065.9684020595876</v>
      </c>
      <c r="D85" s="100">
        <f t="shared" si="4"/>
        <v>1067.3766668133612</v>
      </c>
      <c r="E85" s="105">
        <v>82</v>
      </c>
      <c r="F85" s="116" t="s">
        <v>1757</v>
      </c>
      <c r="G85" s="115">
        <v>1850</v>
      </c>
      <c r="H85" s="114">
        <v>2072</v>
      </c>
      <c r="I85" s="114">
        <v>2279</v>
      </c>
      <c r="J85" s="114">
        <v>2279</v>
      </c>
      <c r="K85" s="2086">
        <v>2279</v>
      </c>
      <c r="L85" s="142" t="s">
        <v>2472</v>
      </c>
      <c r="M85" s="162"/>
      <c r="N85" s="92"/>
      <c r="O85" s="139"/>
    </row>
    <row r="86" spans="2:15" ht="25.2" customHeight="1">
      <c r="B86" s="93">
        <f t="shared" si="2"/>
        <v>79</v>
      </c>
      <c r="C86" s="100">
        <f t="shared" si="3"/>
        <v>1078.8188179377726</v>
      </c>
      <c r="D86" s="100">
        <f t="shared" si="4"/>
        <v>1080.2270826915462</v>
      </c>
      <c r="E86" s="105">
        <v>83</v>
      </c>
      <c r="F86" s="116" t="s">
        <v>2473</v>
      </c>
      <c r="G86" s="115">
        <v>1320</v>
      </c>
      <c r="H86" s="114">
        <v>1478</v>
      </c>
      <c r="I86" s="114">
        <v>1626</v>
      </c>
      <c r="J86" s="114">
        <v>1626</v>
      </c>
      <c r="K86" s="2086">
        <v>1626</v>
      </c>
      <c r="L86" s="142" t="s">
        <v>2474</v>
      </c>
      <c r="M86" s="162"/>
      <c r="N86" s="92"/>
      <c r="O86" s="139"/>
    </row>
    <row r="87" spans="2:15" ht="25.2" customHeight="1">
      <c r="B87" s="93">
        <f t="shared" si="2"/>
        <v>80</v>
      </c>
      <c r="C87" s="100">
        <f t="shared" si="3"/>
        <v>1091.6692338159576</v>
      </c>
      <c r="D87" s="100">
        <f t="shared" si="4"/>
        <v>1093.0774985697312</v>
      </c>
      <c r="E87" s="105">
        <v>84</v>
      </c>
      <c r="F87" s="116" t="s">
        <v>2475</v>
      </c>
      <c r="G87" s="115">
        <v>842.2</v>
      </c>
      <c r="H87" s="114">
        <v>1237.4000000000001</v>
      </c>
      <c r="I87" s="114">
        <v>1324.9</v>
      </c>
      <c r="J87" s="114">
        <v>1336</v>
      </c>
      <c r="K87" s="2086">
        <v>1323.5</v>
      </c>
      <c r="L87" s="142" t="s">
        <v>2474</v>
      </c>
      <c r="M87" s="162"/>
      <c r="N87" s="92"/>
      <c r="O87" s="139"/>
    </row>
    <row r="88" spans="2:15" ht="25.2" customHeight="1">
      <c r="B88" s="93">
        <f t="shared" si="2"/>
        <v>81</v>
      </c>
      <c r="C88" s="100">
        <f t="shared" si="3"/>
        <v>1104.5196496941426</v>
      </c>
      <c r="D88" s="100">
        <f t="shared" si="4"/>
        <v>1105.9279144479162</v>
      </c>
      <c r="E88" s="105">
        <v>85</v>
      </c>
      <c r="F88" s="116" t="s">
        <v>2476</v>
      </c>
      <c r="G88" s="115">
        <v>472.6</v>
      </c>
      <c r="H88" s="114">
        <v>627.6</v>
      </c>
      <c r="I88" s="114">
        <v>667.2</v>
      </c>
      <c r="J88" s="114">
        <v>686</v>
      </c>
      <c r="K88" s="2086">
        <v>697.9</v>
      </c>
      <c r="L88" s="142" t="s">
        <v>2477</v>
      </c>
      <c r="M88" s="162"/>
      <c r="N88" s="92"/>
      <c r="O88" s="139"/>
    </row>
    <row r="89" spans="2:15" ht="25.2" customHeight="1">
      <c r="B89" s="93">
        <f t="shared" si="2"/>
        <v>82</v>
      </c>
      <c r="C89" s="100">
        <f t="shared" si="3"/>
        <v>1117.3700655723276</v>
      </c>
      <c r="D89" s="100">
        <f t="shared" si="4"/>
        <v>1118.7783303261012</v>
      </c>
      <c r="E89" s="105">
        <v>86</v>
      </c>
      <c r="F89" s="116" t="s">
        <v>2478</v>
      </c>
      <c r="G89" s="115">
        <v>6</v>
      </c>
      <c r="H89" s="103">
        <v>1142.5999999999999</v>
      </c>
      <c r="I89" s="103">
        <v>1205.7</v>
      </c>
      <c r="J89" s="103">
        <v>1232</v>
      </c>
      <c r="K89" s="2085">
        <v>1234.7</v>
      </c>
      <c r="L89" s="142" t="s">
        <v>2479</v>
      </c>
      <c r="M89" s="162"/>
      <c r="N89" s="92"/>
      <c r="O89" s="139"/>
    </row>
    <row r="90" spans="2:15" ht="25.2" customHeight="1">
      <c r="B90" s="93">
        <f t="shared" si="2"/>
        <v>83</v>
      </c>
      <c r="C90" s="100">
        <f t="shared" si="3"/>
        <v>1130.2204814505126</v>
      </c>
      <c r="D90" s="100">
        <f t="shared" si="4"/>
        <v>1131.6287462042862</v>
      </c>
      <c r="E90" s="105">
        <v>87</v>
      </c>
      <c r="F90" s="116" t="s">
        <v>2480</v>
      </c>
      <c r="G90" s="113">
        <v>89.19</v>
      </c>
      <c r="H90" s="143">
        <v>1142.5999999999999</v>
      </c>
      <c r="I90" s="143">
        <v>1205.7</v>
      </c>
      <c r="J90" s="103">
        <v>1232</v>
      </c>
      <c r="K90" s="2085">
        <v>1234.7</v>
      </c>
      <c r="L90" s="142" t="s">
        <v>2479</v>
      </c>
      <c r="M90" s="162"/>
      <c r="N90" s="92"/>
      <c r="O90" s="139"/>
    </row>
    <row r="91" spans="2:15" ht="25.2" customHeight="1">
      <c r="B91" s="93">
        <f t="shared" si="2"/>
        <v>84</v>
      </c>
      <c r="C91" s="100">
        <f t="shared" si="3"/>
        <v>1143.0708973286976</v>
      </c>
      <c r="D91" s="100">
        <f t="shared" si="4"/>
        <v>1144.4791620824712</v>
      </c>
      <c r="E91" s="105">
        <v>88</v>
      </c>
      <c r="F91" s="110" t="s">
        <v>2481</v>
      </c>
      <c r="G91" s="115">
        <v>48</v>
      </c>
      <c r="H91" s="114">
        <v>54</v>
      </c>
      <c r="I91" s="114">
        <v>59</v>
      </c>
      <c r="J91" s="114">
        <v>59</v>
      </c>
      <c r="K91" s="2086">
        <v>59</v>
      </c>
      <c r="L91" s="142" t="s">
        <v>2482</v>
      </c>
      <c r="M91" s="162"/>
      <c r="N91" s="92"/>
      <c r="O91" s="139"/>
    </row>
    <row r="92" spans="2:15" ht="25.2" customHeight="1">
      <c r="B92" s="93">
        <f t="shared" si="2"/>
        <v>85</v>
      </c>
      <c r="C92" s="100">
        <f t="shared" si="3"/>
        <v>1155.9213132068826</v>
      </c>
      <c r="D92" s="100">
        <f t="shared" si="4"/>
        <v>1157.3295779606563</v>
      </c>
      <c r="E92" s="105">
        <v>89</v>
      </c>
      <c r="F92" s="147" t="s">
        <v>2483</v>
      </c>
      <c r="G92" s="148">
        <v>470</v>
      </c>
      <c r="H92" s="114">
        <v>540</v>
      </c>
      <c r="I92" s="114">
        <v>575</v>
      </c>
      <c r="J92" s="114">
        <v>605</v>
      </c>
      <c r="K92" s="2086">
        <v>640</v>
      </c>
      <c r="L92" s="142" t="s">
        <v>2350</v>
      </c>
      <c r="M92" s="162"/>
      <c r="N92" s="92"/>
      <c r="O92" s="139"/>
    </row>
    <row r="93" spans="2:15" ht="25.2" customHeight="1">
      <c r="B93" s="93">
        <f t="shared" si="2"/>
        <v>86</v>
      </c>
      <c r="C93" s="100">
        <f t="shared" si="3"/>
        <v>1168.7717290850676</v>
      </c>
      <c r="D93" s="100">
        <f t="shared" si="4"/>
        <v>1170.1799938388413</v>
      </c>
      <c r="E93" s="105">
        <v>90</v>
      </c>
      <c r="F93" s="147" t="s">
        <v>2484</v>
      </c>
      <c r="G93" s="148">
        <v>58</v>
      </c>
      <c r="H93" s="114">
        <v>66</v>
      </c>
      <c r="I93" s="114">
        <v>71</v>
      </c>
      <c r="J93" s="114">
        <v>75</v>
      </c>
      <c r="K93" s="2086">
        <v>83</v>
      </c>
      <c r="L93" s="142" t="s">
        <v>2485</v>
      </c>
      <c r="M93" s="162"/>
      <c r="N93" s="92"/>
      <c r="O93" s="139"/>
    </row>
    <row r="94" spans="2:15" ht="25.2" customHeight="1">
      <c r="B94" s="93">
        <f t="shared" si="2"/>
        <v>87</v>
      </c>
      <c r="C94" s="100">
        <f t="shared" si="3"/>
        <v>1181.6221449632526</v>
      </c>
      <c r="D94" s="100">
        <f t="shared" si="4"/>
        <v>1183.0304097170263</v>
      </c>
      <c r="E94" s="105">
        <v>91</v>
      </c>
      <c r="F94" s="149" t="s">
        <v>2486</v>
      </c>
      <c r="G94" s="118">
        <v>3059.51</v>
      </c>
      <c r="H94" s="150">
        <v>3427</v>
      </c>
      <c r="I94" s="150">
        <v>3770</v>
      </c>
      <c r="J94" s="150">
        <v>3770</v>
      </c>
      <c r="K94" s="2090">
        <v>3770</v>
      </c>
      <c r="L94" s="142" t="s">
        <v>2463</v>
      </c>
      <c r="M94" s="166"/>
      <c r="O94" s="139"/>
    </row>
    <row r="95" spans="2:15" ht="46.2">
      <c r="B95" s="93">
        <f t="shared" si="2"/>
        <v>88</v>
      </c>
      <c r="C95" s="100">
        <f t="shared" si="3"/>
        <v>1194.4725608414376</v>
      </c>
      <c r="D95" s="100">
        <f t="shared" si="4"/>
        <v>1195.8808255952113</v>
      </c>
      <c r="E95" s="105">
        <v>92</v>
      </c>
      <c r="F95" s="106" t="s">
        <v>1477</v>
      </c>
      <c r="G95" s="151">
        <v>456</v>
      </c>
      <c r="H95" s="152">
        <v>456</v>
      </c>
      <c r="I95" s="152">
        <v>540</v>
      </c>
      <c r="J95" s="167">
        <v>567</v>
      </c>
      <c r="K95" s="2091">
        <f>K24</f>
        <v>709</v>
      </c>
      <c r="L95" s="168" t="s">
        <v>2389</v>
      </c>
      <c r="M95" s="166"/>
      <c r="O95" s="139"/>
    </row>
    <row r="96" spans="2:15" ht="25.2" customHeight="1">
      <c r="B96" s="93">
        <f t="shared" si="2"/>
        <v>89</v>
      </c>
      <c r="C96" s="100">
        <f t="shared" si="3"/>
        <v>1207.3229767196226</v>
      </c>
      <c r="D96" s="100">
        <f t="shared" si="4"/>
        <v>1208.7312414733963</v>
      </c>
      <c r="E96" s="105">
        <v>93</v>
      </c>
      <c r="F96" s="116" t="s">
        <v>58</v>
      </c>
      <c r="G96" s="113">
        <v>425</v>
      </c>
      <c r="H96" s="114">
        <v>515</v>
      </c>
      <c r="I96" s="114">
        <v>550</v>
      </c>
      <c r="J96" s="114">
        <v>580</v>
      </c>
      <c r="K96" s="2086">
        <v>645</v>
      </c>
      <c r="L96" s="142" t="s">
        <v>2487</v>
      </c>
      <c r="M96" s="166"/>
      <c r="O96" s="139"/>
    </row>
    <row r="97" spans="2:15" ht="25.2" customHeight="1">
      <c r="B97" s="93">
        <f t="shared" si="2"/>
        <v>90</v>
      </c>
      <c r="C97" s="100">
        <f t="shared" si="3"/>
        <v>1220.1733925978076</v>
      </c>
      <c r="D97" s="100">
        <f t="shared" si="4"/>
        <v>1221.5816573515813</v>
      </c>
      <c r="E97" s="105">
        <v>94</v>
      </c>
      <c r="F97" s="116" t="s">
        <v>236</v>
      </c>
      <c r="G97" s="113">
        <v>470</v>
      </c>
      <c r="H97" s="114">
        <v>545</v>
      </c>
      <c r="I97" s="114">
        <v>580</v>
      </c>
      <c r="J97" s="114">
        <v>610</v>
      </c>
      <c r="K97" s="2086">
        <v>575</v>
      </c>
      <c r="L97" s="142" t="s">
        <v>2426</v>
      </c>
      <c r="M97" s="166"/>
      <c r="O97" s="139"/>
    </row>
    <row r="98" spans="2:15" ht="25.2" customHeight="1">
      <c r="B98" s="93">
        <f t="shared" si="2"/>
        <v>91</v>
      </c>
      <c r="C98" s="100">
        <f t="shared" si="3"/>
        <v>1233.0238084759926</v>
      </c>
      <c r="D98" s="100">
        <f t="shared" si="4"/>
        <v>1234.4320732297663</v>
      </c>
      <c r="E98" s="105">
        <v>95</v>
      </c>
      <c r="F98" s="106" t="s">
        <v>2488</v>
      </c>
      <c r="G98" s="112"/>
      <c r="H98" s="113"/>
      <c r="I98" s="113"/>
      <c r="J98" s="113"/>
      <c r="K98" s="2084"/>
      <c r="L98" s="142"/>
      <c r="M98" s="166"/>
      <c r="O98" s="139"/>
    </row>
    <row r="99" spans="2:15" ht="25.2" customHeight="1">
      <c r="B99" s="93">
        <f t="shared" si="2"/>
        <v>92</v>
      </c>
      <c r="C99" s="100">
        <f t="shared" si="3"/>
        <v>1245.8742243541776</v>
      </c>
      <c r="D99" s="100">
        <f t="shared" si="4"/>
        <v>1247.2824891079513</v>
      </c>
      <c r="E99" s="105">
        <v>96</v>
      </c>
      <c r="F99" s="106" t="s">
        <v>2489</v>
      </c>
      <c r="G99" s="153">
        <v>1231.9000000000001</v>
      </c>
      <c r="H99" s="114">
        <v>1380</v>
      </c>
      <c r="I99" s="114">
        <v>1518</v>
      </c>
      <c r="J99" s="114">
        <v>1518</v>
      </c>
      <c r="K99" s="2086">
        <v>1518</v>
      </c>
      <c r="L99" s="142" t="s">
        <v>2490</v>
      </c>
      <c r="M99" s="166"/>
      <c r="O99" s="139"/>
    </row>
    <row r="100" spans="2:15" ht="25.2" customHeight="1">
      <c r="B100" s="93">
        <f t="shared" si="2"/>
        <v>93</v>
      </c>
      <c r="C100" s="100">
        <f t="shared" si="3"/>
        <v>1258.7246402323626</v>
      </c>
      <c r="D100" s="100">
        <f t="shared" si="4"/>
        <v>1260.1329049861363</v>
      </c>
      <c r="E100" s="105">
        <v>97</v>
      </c>
      <c r="F100" s="106" t="s">
        <v>2491</v>
      </c>
      <c r="G100" s="153">
        <v>1080.9000000000001</v>
      </c>
      <c r="H100" s="114">
        <v>1205.8</v>
      </c>
      <c r="I100" s="114">
        <v>1293</v>
      </c>
      <c r="J100" s="114">
        <v>1370</v>
      </c>
      <c r="K100" s="2086">
        <v>1395.7</v>
      </c>
      <c r="L100" s="142" t="s">
        <v>2490</v>
      </c>
      <c r="M100" s="166"/>
      <c r="O100" s="139"/>
    </row>
    <row r="101" spans="2:15" ht="25.2" customHeight="1">
      <c r="B101" s="93">
        <f t="shared" si="2"/>
        <v>94</v>
      </c>
      <c r="C101" s="100">
        <f t="shared" si="3"/>
        <v>1271.5750561105476</v>
      </c>
      <c r="D101" s="100">
        <f t="shared" si="4"/>
        <v>1272.9833208643213</v>
      </c>
      <c r="E101" s="105">
        <v>98</v>
      </c>
      <c r="F101" s="106" t="s">
        <v>2492</v>
      </c>
      <c r="G101" s="153">
        <f>G99*6</f>
        <v>7391.4000000000005</v>
      </c>
      <c r="H101" s="113"/>
      <c r="I101" s="113"/>
      <c r="J101" s="113"/>
      <c r="K101" s="2084"/>
      <c r="L101" s="142"/>
      <c r="M101" s="166"/>
      <c r="O101" s="139"/>
    </row>
    <row r="102" spans="2:15" ht="25.2" customHeight="1">
      <c r="B102" s="93">
        <f t="shared" si="2"/>
        <v>95</v>
      </c>
      <c r="C102" s="100">
        <f t="shared" si="3"/>
        <v>1284.4254719887326</v>
      </c>
      <c r="D102" s="100">
        <f t="shared" si="4"/>
        <v>1285.8337367425063</v>
      </c>
      <c r="E102" s="105">
        <v>99</v>
      </c>
      <c r="F102" s="106" t="s">
        <v>2493</v>
      </c>
      <c r="G102" s="154">
        <v>1126</v>
      </c>
      <c r="H102" s="114">
        <v>1261</v>
      </c>
      <c r="I102" s="114">
        <v>1387</v>
      </c>
      <c r="J102" s="114">
        <v>1387</v>
      </c>
      <c r="K102" s="2086">
        <v>1387</v>
      </c>
      <c r="L102" s="142"/>
      <c r="M102" s="166"/>
      <c r="O102" s="139"/>
    </row>
    <row r="103" spans="2:15" ht="25.2" customHeight="1">
      <c r="B103" s="93">
        <f t="shared" ref="B103:B166" si="5">B102+1</f>
        <v>96</v>
      </c>
      <c r="C103" s="100">
        <f t="shared" ref="C103:C166" si="6">C102+($P$13/$P$19)</f>
        <v>1297.2758878669176</v>
      </c>
      <c r="D103" s="100">
        <f t="shared" ref="D103:D166" si="7">D102+($Q$13/$P$19)</f>
        <v>1298.6841526206913</v>
      </c>
      <c r="E103" s="105">
        <v>100</v>
      </c>
      <c r="F103" s="106" t="s">
        <v>2494</v>
      </c>
      <c r="G103" s="154">
        <v>1850</v>
      </c>
      <c r="H103" s="114">
        <v>2072</v>
      </c>
      <c r="I103" s="114">
        <v>2279</v>
      </c>
      <c r="J103" s="114">
        <v>2279</v>
      </c>
      <c r="K103" s="2086">
        <v>2279</v>
      </c>
      <c r="L103" s="142"/>
      <c r="M103" s="166"/>
      <c r="O103" s="139"/>
    </row>
    <row r="104" spans="2:15" ht="25.2" customHeight="1">
      <c r="B104" s="93">
        <f t="shared" si="5"/>
        <v>97</v>
      </c>
      <c r="C104" s="100">
        <f t="shared" si="6"/>
        <v>1310.1263037451026</v>
      </c>
      <c r="D104" s="100">
        <f t="shared" si="7"/>
        <v>1311.5345684988763</v>
      </c>
      <c r="E104" s="105">
        <v>101</v>
      </c>
      <c r="F104" s="106" t="s">
        <v>2495</v>
      </c>
      <c r="G104" s="153">
        <v>1917.5</v>
      </c>
      <c r="H104" s="114">
        <v>2532.4</v>
      </c>
      <c r="I104" s="114">
        <v>2685.4</v>
      </c>
      <c r="J104" s="114">
        <v>2731</v>
      </c>
      <c r="K104" s="2086">
        <v>2719.6</v>
      </c>
      <c r="L104" s="142" t="s">
        <v>2496</v>
      </c>
      <c r="M104" s="166"/>
      <c r="O104" s="139"/>
    </row>
    <row r="105" spans="2:15" ht="25.2" customHeight="1">
      <c r="B105" s="93">
        <f t="shared" si="5"/>
        <v>98</v>
      </c>
      <c r="C105" s="100">
        <f t="shared" si="6"/>
        <v>1322.9767196232876</v>
      </c>
      <c r="D105" s="100">
        <f t="shared" si="7"/>
        <v>1324.3849843770613</v>
      </c>
      <c r="E105" s="105">
        <v>102</v>
      </c>
      <c r="F105" s="106" t="s">
        <v>2497</v>
      </c>
      <c r="G105" s="153"/>
      <c r="H105" s="113"/>
      <c r="I105" s="113"/>
      <c r="J105" s="113"/>
      <c r="K105" s="2084"/>
      <c r="L105" s="142"/>
      <c r="M105" s="162"/>
      <c r="N105" s="92"/>
      <c r="O105" s="139"/>
    </row>
    <row r="106" spans="2:15" ht="25.2" customHeight="1">
      <c r="B106" s="93">
        <f t="shared" si="5"/>
        <v>99</v>
      </c>
      <c r="C106" s="100">
        <f t="shared" si="6"/>
        <v>1335.8271355014726</v>
      </c>
      <c r="D106" s="100">
        <f t="shared" si="7"/>
        <v>1337.2354002552463</v>
      </c>
      <c r="E106" s="105">
        <v>103</v>
      </c>
      <c r="F106" s="106" t="s">
        <v>2498</v>
      </c>
      <c r="G106" s="154">
        <v>803</v>
      </c>
      <c r="H106" s="114">
        <v>899</v>
      </c>
      <c r="I106" s="114">
        <v>989</v>
      </c>
      <c r="J106" s="114">
        <v>989</v>
      </c>
      <c r="K106" s="2086">
        <v>989</v>
      </c>
      <c r="L106" s="142" t="s">
        <v>2477</v>
      </c>
      <c r="M106" s="162"/>
      <c r="N106" s="92"/>
      <c r="O106" s="139"/>
    </row>
    <row r="107" spans="2:15" ht="25.2" customHeight="1">
      <c r="B107" s="93">
        <f t="shared" si="5"/>
        <v>100</v>
      </c>
      <c r="C107" s="100">
        <f t="shared" si="6"/>
        <v>1348.6775513796576</v>
      </c>
      <c r="D107" s="100">
        <f t="shared" si="7"/>
        <v>1350.0858161334313</v>
      </c>
      <c r="E107" s="105">
        <v>104</v>
      </c>
      <c r="F107" s="106" t="s">
        <v>2499</v>
      </c>
      <c r="G107" s="154">
        <v>2900</v>
      </c>
      <c r="H107" s="114">
        <v>3248</v>
      </c>
      <c r="I107" s="114">
        <v>3573</v>
      </c>
      <c r="J107" s="114">
        <v>3573</v>
      </c>
      <c r="K107" s="2086">
        <v>3573</v>
      </c>
      <c r="L107" s="142" t="s">
        <v>2500</v>
      </c>
      <c r="M107" s="162"/>
      <c r="N107" s="92"/>
      <c r="O107" s="139"/>
    </row>
    <row r="108" spans="2:15" ht="25.2" customHeight="1">
      <c r="B108" s="93">
        <f t="shared" si="5"/>
        <v>101</v>
      </c>
      <c r="C108" s="100">
        <f t="shared" si="6"/>
        <v>1361.5279672578426</v>
      </c>
      <c r="D108" s="100">
        <f t="shared" si="7"/>
        <v>1362.9362320116163</v>
      </c>
      <c r="E108" s="105">
        <v>105</v>
      </c>
      <c r="F108" s="106" t="s">
        <v>2501</v>
      </c>
      <c r="G108" s="115">
        <v>119</v>
      </c>
      <c r="H108" s="114">
        <v>132</v>
      </c>
      <c r="I108" s="114">
        <v>143</v>
      </c>
      <c r="J108" s="114">
        <v>150</v>
      </c>
      <c r="K108" s="2086">
        <v>157</v>
      </c>
      <c r="L108" s="142" t="s">
        <v>2502</v>
      </c>
      <c r="M108" s="162"/>
      <c r="N108" s="92"/>
      <c r="O108" s="139"/>
    </row>
    <row r="109" spans="2:15" ht="25.2" customHeight="1">
      <c r="B109" s="93">
        <f t="shared" si="5"/>
        <v>102</v>
      </c>
      <c r="C109" s="100">
        <f t="shared" si="6"/>
        <v>1374.3783831360277</v>
      </c>
      <c r="D109" s="100">
        <f t="shared" si="7"/>
        <v>1375.7866478898013</v>
      </c>
      <c r="E109" s="105">
        <v>106</v>
      </c>
      <c r="F109" s="116" t="s">
        <v>2503</v>
      </c>
      <c r="G109" s="113">
        <v>587</v>
      </c>
      <c r="H109" s="114">
        <v>643</v>
      </c>
      <c r="I109" s="114">
        <v>662</v>
      </c>
      <c r="J109" s="114">
        <v>696</v>
      </c>
      <c r="K109" s="2092">
        <v>730</v>
      </c>
      <c r="L109" s="142" t="s">
        <v>2504</v>
      </c>
      <c r="M109" s="162"/>
      <c r="N109" s="92"/>
      <c r="O109" s="139"/>
    </row>
    <row r="110" spans="2:15" ht="25.2" customHeight="1">
      <c r="B110" s="93">
        <f t="shared" si="5"/>
        <v>103</v>
      </c>
      <c r="C110" s="100">
        <f t="shared" si="6"/>
        <v>1387.2287990142127</v>
      </c>
      <c r="D110" s="100">
        <f t="shared" si="7"/>
        <v>1388.6370637679863</v>
      </c>
      <c r="E110" s="105">
        <v>107</v>
      </c>
      <c r="F110" s="116" t="s">
        <v>2505</v>
      </c>
      <c r="G110" s="113">
        <v>96</v>
      </c>
      <c r="H110" s="114">
        <v>101</v>
      </c>
      <c r="I110" s="114">
        <v>108</v>
      </c>
      <c r="J110" s="114">
        <v>112</v>
      </c>
      <c r="K110" s="2092">
        <v>101</v>
      </c>
      <c r="L110" s="142" t="s">
        <v>2506</v>
      </c>
      <c r="M110" s="162"/>
      <c r="N110" s="92"/>
      <c r="O110" s="139"/>
    </row>
    <row r="111" spans="2:15" ht="15.6">
      <c r="B111" s="93">
        <f t="shared" si="5"/>
        <v>104</v>
      </c>
      <c r="C111" s="100">
        <f t="shared" si="6"/>
        <v>1400.0792148923977</v>
      </c>
      <c r="D111" s="100">
        <f t="shared" si="7"/>
        <v>1401.4874796461713</v>
      </c>
      <c r="E111" s="105">
        <v>108</v>
      </c>
      <c r="F111" s="106" t="s">
        <v>2507</v>
      </c>
      <c r="G111" s="113">
        <v>98</v>
      </c>
      <c r="H111" s="114">
        <v>98</v>
      </c>
      <c r="I111" s="114">
        <v>108</v>
      </c>
      <c r="J111" s="114">
        <v>109</v>
      </c>
      <c r="K111" s="2086">
        <v>108</v>
      </c>
      <c r="L111" s="142" t="s">
        <v>2508</v>
      </c>
      <c r="M111" s="162"/>
      <c r="N111" s="92"/>
      <c r="O111" s="139"/>
    </row>
    <row r="112" spans="2:15" ht="15.6">
      <c r="B112" s="93">
        <f t="shared" si="5"/>
        <v>105</v>
      </c>
      <c r="C112" s="100">
        <f t="shared" si="6"/>
        <v>1412.9296307705827</v>
      </c>
      <c r="D112" s="100">
        <f t="shared" si="7"/>
        <v>1414.3378955243563</v>
      </c>
      <c r="E112" s="105">
        <v>109</v>
      </c>
      <c r="F112" s="106" t="s">
        <v>2509</v>
      </c>
      <c r="G112" s="113">
        <v>73</v>
      </c>
      <c r="H112" s="114">
        <v>73</v>
      </c>
      <c r="I112" s="114">
        <v>80</v>
      </c>
      <c r="J112" s="114">
        <v>81</v>
      </c>
      <c r="K112" s="2086">
        <v>80</v>
      </c>
      <c r="L112" s="142" t="s">
        <v>2510</v>
      </c>
      <c r="M112" s="162"/>
      <c r="N112" s="92"/>
      <c r="O112" s="139"/>
    </row>
    <row r="113" spans="2:15" ht="25.2" customHeight="1">
      <c r="B113" s="93">
        <f t="shared" si="5"/>
        <v>106</v>
      </c>
      <c r="C113" s="100">
        <f t="shared" si="6"/>
        <v>1425.7800466487677</v>
      </c>
      <c r="D113" s="100">
        <f t="shared" si="7"/>
        <v>1427.1883114025413</v>
      </c>
      <c r="E113" s="105">
        <v>110</v>
      </c>
      <c r="F113" s="106" t="s">
        <v>133</v>
      </c>
      <c r="G113" s="113">
        <v>540</v>
      </c>
      <c r="H113" s="114">
        <v>625</v>
      </c>
      <c r="I113" s="114">
        <v>665</v>
      </c>
      <c r="J113" s="114">
        <v>700</v>
      </c>
      <c r="K113" s="2086">
        <v>740</v>
      </c>
      <c r="L113" s="142" t="s">
        <v>2511</v>
      </c>
      <c r="M113" s="162"/>
      <c r="N113" s="92"/>
      <c r="O113" s="139"/>
    </row>
    <row r="114" spans="2:15" ht="25.2" customHeight="1">
      <c r="B114" s="93">
        <f t="shared" si="5"/>
        <v>107</v>
      </c>
      <c r="C114" s="100">
        <f t="shared" si="6"/>
        <v>1438.6304625269527</v>
      </c>
      <c r="D114" s="100">
        <f t="shared" si="7"/>
        <v>1440.0387272807263</v>
      </c>
      <c r="E114" s="105">
        <v>111</v>
      </c>
      <c r="F114" s="106" t="s">
        <v>2512</v>
      </c>
      <c r="G114" s="113">
        <v>311</v>
      </c>
      <c r="H114" s="113">
        <v>348</v>
      </c>
      <c r="I114" s="113">
        <v>383</v>
      </c>
      <c r="J114" s="113">
        <v>383</v>
      </c>
      <c r="K114" s="2084">
        <v>383</v>
      </c>
      <c r="L114" s="142" t="s">
        <v>2513</v>
      </c>
      <c r="M114" s="162"/>
      <c r="N114" s="92"/>
      <c r="O114" s="139"/>
    </row>
    <row r="115" spans="2:15" ht="25.2" customHeight="1">
      <c r="B115" s="93">
        <f t="shared" si="5"/>
        <v>108</v>
      </c>
      <c r="C115" s="100">
        <f t="shared" si="6"/>
        <v>1451.4808784051377</v>
      </c>
      <c r="D115" s="100">
        <f t="shared" si="7"/>
        <v>1452.8891431589113</v>
      </c>
      <c r="E115" s="105">
        <v>112</v>
      </c>
      <c r="F115" s="106" t="s">
        <v>2514</v>
      </c>
      <c r="G115" s="113">
        <v>1080.9000000000001</v>
      </c>
      <c r="H115" s="114">
        <v>1205.8</v>
      </c>
      <c r="I115" s="114">
        <v>1293</v>
      </c>
      <c r="J115" s="114">
        <v>1369.5</v>
      </c>
      <c r="K115" s="2092">
        <v>1397.6</v>
      </c>
      <c r="L115" s="142" t="s">
        <v>2515</v>
      </c>
      <c r="M115" s="162"/>
      <c r="N115" s="92"/>
      <c r="O115" s="139"/>
    </row>
    <row r="116" spans="2:15" ht="25.2" customHeight="1">
      <c r="B116" s="93">
        <f t="shared" si="5"/>
        <v>109</v>
      </c>
      <c r="C116" s="100">
        <f t="shared" si="6"/>
        <v>1464.3312942833227</v>
      </c>
      <c r="D116" s="100">
        <f t="shared" si="7"/>
        <v>1465.7395590370963</v>
      </c>
      <c r="E116" s="105">
        <v>113</v>
      </c>
      <c r="F116" s="106" t="s">
        <v>2516</v>
      </c>
      <c r="G116" s="113">
        <v>274</v>
      </c>
      <c r="H116" s="113">
        <v>275</v>
      </c>
      <c r="I116" s="113">
        <v>275</v>
      </c>
      <c r="J116" s="113">
        <v>275</v>
      </c>
      <c r="K116" s="2093">
        <v>275</v>
      </c>
      <c r="L116" s="142" t="s">
        <v>2517</v>
      </c>
      <c r="M116" s="162"/>
      <c r="N116" s="92"/>
      <c r="O116" s="139"/>
    </row>
    <row r="117" spans="2:15" ht="15.6">
      <c r="B117" s="93">
        <f t="shared" si="5"/>
        <v>110</v>
      </c>
      <c r="C117" s="100">
        <f t="shared" si="6"/>
        <v>1477.1817101615077</v>
      </c>
      <c r="D117" s="100">
        <f t="shared" si="7"/>
        <v>1478.5899749152813</v>
      </c>
      <c r="E117" s="105">
        <v>114</v>
      </c>
      <c r="F117" s="106" t="s">
        <v>2518</v>
      </c>
      <c r="G117" s="113">
        <v>540</v>
      </c>
      <c r="H117" s="114">
        <v>635</v>
      </c>
      <c r="I117" s="114">
        <v>675</v>
      </c>
      <c r="J117" s="114">
        <v>710</v>
      </c>
      <c r="K117" s="2092">
        <v>750</v>
      </c>
      <c r="L117" s="142" t="s">
        <v>2519</v>
      </c>
      <c r="M117" s="162"/>
      <c r="N117" s="92"/>
      <c r="O117" s="139"/>
    </row>
    <row r="118" spans="2:15" ht="25.2" customHeight="1">
      <c r="B118" s="93">
        <f t="shared" si="5"/>
        <v>111</v>
      </c>
      <c r="C118" s="100">
        <f t="shared" si="6"/>
        <v>1490.0321260396927</v>
      </c>
      <c r="D118" s="100">
        <f t="shared" si="7"/>
        <v>1491.4403907934663</v>
      </c>
      <c r="E118" s="105">
        <v>115</v>
      </c>
      <c r="F118" s="106" t="s">
        <v>2520</v>
      </c>
      <c r="G118" s="113">
        <v>2616</v>
      </c>
      <c r="H118" s="155">
        <v>893</v>
      </c>
      <c r="I118" s="155">
        <v>982</v>
      </c>
      <c r="J118" s="155">
        <v>989</v>
      </c>
      <c r="K118" s="2092">
        <v>893</v>
      </c>
      <c r="L118" s="142" t="s">
        <v>2521</v>
      </c>
      <c r="M118" s="162"/>
      <c r="N118" s="92"/>
      <c r="O118" s="139"/>
    </row>
    <row r="119" spans="2:15" ht="15.6">
      <c r="B119" s="93">
        <f t="shared" si="5"/>
        <v>112</v>
      </c>
      <c r="C119" s="100">
        <f t="shared" si="6"/>
        <v>1502.8825419178777</v>
      </c>
      <c r="D119" s="100">
        <f t="shared" si="7"/>
        <v>1504.2908066716514</v>
      </c>
      <c r="E119" s="105">
        <v>116</v>
      </c>
      <c r="F119" s="106" t="s">
        <v>2522</v>
      </c>
      <c r="G119" s="113">
        <v>77</v>
      </c>
      <c r="H119" s="114">
        <v>77</v>
      </c>
      <c r="I119" s="114">
        <v>85</v>
      </c>
      <c r="J119" s="114">
        <v>85</v>
      </c>
      <c r="K119" s="2092">
        <v>85</v>
      </c>
      <c r="L119" s="142" t="s">
        <v>2523</v>
      </c>
      <c r="M119" s="162"/>
      <c r="N119" s="92"/>
      <c r="O119" s="139"/>
    </row>
    <row r="120" spans="2:15" ht="25.2" customHeight="1">
      <c r="B120" s="93">
        <f t="shared" si="5"/>
        <v>113</v>
      </c>
      <c r="C120" s="100">
        <f t="shared" si="6"/>
        <v>1515.7329577960627</v>
      </c>
      <c r="D120" s="100">
        <f t="shared" si="7"/>
        <v>1517.1412225498364</v>
      </c>
      <c r="E120" s="105">
        <v>117</v>
      </c>
      <c r="F120" s="156" t="s">
        <v>2252</v>
      </c>
      <c r="G120" s="112">
        <v>129</v>
      </c>
      <c r="H120" s="155">
        <v>129</v>
      </c>
      <c r="I120" s="155">
        <v>149</v>
      </c>
      <c r="J120" s="155">
        <v>149</v>
      </c>
      <c r="K120" s="2086">
        <v>149</v>
      </c>
      <c r="L120" s="142" t="s">
        <v>2524</v>
      </c>
      <c r="M120" s="162"/>
      <c r="N120" s="92"/>
      <c r="O120" s="139"/>
    </row>
    <row r="121" spans="2:15" ht="25.2" customHeight="1">
      <c r="B121" s="93">
        <f t="shared" si="5"/>
        <v>114</v>
      </c>
      <c r="C121" s="100">
        <f t="shared" si="6"/>
        <v>1528.5833736742477</v>
      </c>
      <c r="D121" s="100">
        <f t="shared" si="7"/>
        <v>1529.9916384280214</v>
      </c>
      <c r="E121" s="105">
        <v>118</v>
      </c>
      <c r="F121" s="156" t="s">
        <v>2253</v>
      </c>
      <c r="G121" s="112">
        <v>191</v>
      </c>
      <c r="H121" s="155">
        <v>206</v>
      </c>
      <c r="I121" s="155">
        <v>230</v>
      </c>
      <c r="J121" s="155">
        <v>242</v>
      </c>
      <c r="K121" s="2086">
        <v>250</v>
      </c>
      <c r="L121" s="142" t="s">
        <v>2525</v>
      </c>
      <c r="M121" s="162"/>
      <c r="N121" s="92"/>
      <c r="O121" s="139"/>
    </row>
    <row r="122" spans="2:15" ht="25.2" customHeight="1">
      <c r="B122" s="93">
        <f t="shared" si="5"/>
        <v>115</v>
      </c>
      <c r="C122" s="100">
        <f t="shared" si="6"/>
        <v>1541.4337895524327</v>
      </c>
      <c r="D122" s="100">
        <f t="shared" si="7"/>
        <v>1542.8420543062064</v>
      </c>
      <c r="E122" s="105">
        <v>119</v>
      </c>
      <c r="F122" s="156" t="s">
        <v>2526</v>
      </c>
      <c r="G122" s="112">
        <v>191</v>
      </c>
      <c r="H122" s="103">
        <v>71</v>
      </c>
      <c r="I122" s="103">
        <v>72</v>
      </c>
      <c r="J122" s="103">
        <v>76</v>
      </c>
      <c r="K122" s="2094">
        <v>79</v>
      </c>
      <c r="L122" s="142" t="s">
        <v>2527</v>
      </c>
      <c r="M122" s="162"/>
      <c r="N122" s="92"/>
      <c r="O122" s="139"/>
    </row>
    <row r="123" spans="2:15" ht="25.2" customHeight="1">
      <c r="B123" s="93">
        <f t="shared" si="5"/>
        <v>116</v>
      </c>
      <c r="C123" s="100">
        <f t="shared" si="6"/>
        <v>1554.2842054306177</v>
      </c>
      <c r="D123" s="100">
        <f t="shared" si="7"/>
        <v>1555.6924701843914</v>
      </c>
      <c r="E123" s="105">
        <v>120</v>
      </c>
      <c r="F123" s="156" t="s">
        <v>400</v>
      </c>
      <c r="G123" s="112">
        <v>191</v>
      </c>
      <c r="H123" s="155">
        <v>590</v>
      </c>
      <c r="I123" s="155">
        <v>596</v>
      </c>
      <c r="J123" s="155">
        <v>626</v>
      </c>
      <c r="K123" s="2095">
        <v>650</v>
      </c>
      <c r="L123" s="142" t="s">
        <v>2528</v>
      </c>
      <c r="M123" s="162"/>
      <c r="N123" s="92"/>
      <c r="O123" s="139"/>
    </row>
    <row r="124" spans="2:15" ht="25.2" customHeight="1">
      <c r="B124" s="93">
        <f t="shared" si="5"/>
        <v>117</v>
      </c>
      <c r="C124" s="100">
        <f t="shared" si="6"/>
        <v>1567.1346213088027</v>
      </c>
      <c r="D124" s="100">
        <f t="shared" si="7"/>
        <v>1568.5428860625764</v>
      </c>
      <c r="E124" s="95"/>
      <c r="F124" s="157" t="s">
        <v>2529</v>
      </c>
      <c r="G124" s="157"/>
      <c r="H124" s="158">
        <v>750</v>
      </c>
      <c r="I124" s="158">
        <v>850</v>
      </c>
      <c r="J124" s="158">
        <v>893</v>
      </c>
      <c r="K124" s="2096">
        <v>935</v>
      </c>
      <c r="L124" s="168" t="s">
        <v>2530</v>
      </c>
      <c r="M124" s="162"/>
      <c r="N124" s="92"/>
      <c r="O124" s="139"/>
    </row>
    <row r="125" spans="2:15" ht="25.2" customHeight="1">
      <c r="B125" s="93">
        <f t="shared" si="5"/>
        <v>118</v>
      </c>
      <c r="C125" s="100">
        <f t="shared" si="6"/>
        <v>1579.9850371869877</v>
      </c>
      <c r="D125" s="100">
        <f t="shared" si="7"/>
        <v>1581.3933019407614</v>
      </c>
      <c r="E125" s="95"/>
      <c r="F125" s="157" t="s">
        <v>1887</v>
      </c>
      <c r="G125" s="157"/>
      <c r="H125" s="159">
        <v>267</v>
      </c>
      <c r="I125" s="159"/>
      <c r="J125" s="158">
        <v>285</v>
      </c>
      <c r="K125" s="2097">
        <v>267</v>
      </c>
      <c r="L125" s="169"/>
      <c r="M125" s="162"/>
      <c r="N125" s="92"/>
      <c r="O125" s="139"/>
    </row>
    <row r="126" spans="2:15" ht="25.2" customHeight="1">
      <c r="B126" s="93">
        <f t="shared" si="5"/>
        <v>119</v>
      </c>
      <c r="C126" s="100">
        <f t="shared" si="6"/>
        <v>1592.8354530651727</v>
      </c>
      <c r="D126" s="100">
        <f t="shared" si="7"/>
        <v>1594.2437178189464</v>
      </c>
      <c r="E126" s="95"/>
      <c r="F126" s="160" t="s">
        <v>1888</v>
      </c>
      <c r="G126" s="157"/>
      <c r="H126" s="159">
        <v>195</v>
      </c>
      <c r="I126" s="159"/>
      <c r="J126" s="159"/>
      <c r="K126" s="2098"/>
      <c r="L126" s="169"/>
      <c r="M126" s="162"/>
      <c r="N126" s="92"/>
      <c r="O126" s="139"/>
    </row>
    <row r="127" spans="2:15" ht="25.2" customHeight="1">
      <c r="B127" s="93">
        <f t="shared" si="5"/>
        <v>120</v>
      </c>
      <c r="C127" s="100">
        <f t="shared" si="6"/>
        <v>1605.6858689433577</v>
      </c>
      <c r="D127" s="100">
        <f t="shared" si="7"/>
        <v>1607.0941336971314</v>
      </c>
      <c r="E127" s="95"/>
      <c r="F127" s="161" t="s">
        <v>1889</v>
      </c>
      <c r="G127" s="157"/>
      <c r="H127" s="159">
        <v>123</v>
      </c>
      <c r="I127" s="159"/>
      <c r="J127" s="159"/>
      <c r="K127" s="2098"/>
      <c r="L127" s="169"/>
      <c r="M127" s="162"/>
      <c r="N127" s="92"/>
      <c r="O127" s="139"/>
    </row>
    <row r="128" spans="2:15" ht="25.2" customHeight="1">
      <c r="B128" s="93">
        <f t="shared" si="5"/>
        <v>121</v>
      </c>
      <c r="C128" s="100">
        <f t="shared" si="6"/>
        <v>1618.5362848215427</v>
      </c>
      <c r="D128" s="100">
        <f t="shared" si="7"/>
        <v>1619.9445495753164</v>
      </c>
      <c r="E128" s="95"/>
      <c r="F128" s="157" t="s">
        <v>2531</v>
      </c>
      <c r="G128" s="157"/>
      <c r="H128" s="159">
        <v>22</v>
      </c>
      <c r="I128" s="159"/>
      <c r="J128" s="159"/>
      <c r="K128" s="2098"/>
      <c r="L128" s="169"/>
      <c r="M128" s="162"/>
      <c r="N128" s="92"/>
      <c r="O128" s="139"/>
    </row>
    <row r="129" spans="2:15" ht="25.2" customHeight="1">
      <c r="B129" s="93">
        <f t="shared" si="5"/>
        <v>122</v>
      </c>
      <c r="C129" s="100">
        <f t="shared" si="6"/>
        <v>1631.3867006997277</v>
      </c>
      <c r="D129" s="100">
        <f t="shared" si="7"/>
        <v>1632.7949654535014</v>
      </c>
      <c r="E129" s="95"/>
      <c r="F129" s="157" t="s">
        <v>2532</v>
      </c>
      <c r="G129" s="157"/>
      <c r="H129" s="170">
        <f>29/(0.6*0.2*0.2)</f>
        <v>1208.3333333333333</v>
      </c>
      <c r="I129" s="170">
        <f>32/(0.6*0.2*0.2)</f>
        <v>1333.3333333333333</v>
      </c>
      <c r="J129" s="170">
        <f>32/(0.6*0.2*0.2)</f>
        <v>1333.3333333333333</v>
      </c>
      <c r="K129" s="2099">
        <f>32/(0.6*0.2*0.2)</f>
        <v>1333.3333333333333</v>
      </c>
      <c r="M129" s="162"/>
      <c r="N129" s="92"/>
      <c r="O129" s="139"/>
    </row>
    <row r="130" spans="2:15" ht="25.2" customHeight="1">
      <c r="B130" s="93">
        <f t="shared" si="5"/>
        <v>123</v>
      </c>
      <c r="C130" s="100">
        <f t="shared" si="6"/>
        <v>1644.2371165779127</v>
      </c>
      <c r="D130" s="100">
        <f t="shared" si="7"/>
        <v>1645.6453813316864</v>
      </c>
      <c r="E130" s="95"/>
      <c r="F130" s="157"/>
      <c r="G130" s="157"/>
      <c r="H130" s="171"/>
      <c r="I130" s="171"/>
      <c r="J130" s="171"/>
      <c r="K130" s="171"/>
      <c r="M130" s="162"/>
      <c r="N130" s="92"/>
      <c r="O130" s="139"/>
    </row>
    <row r="131" spans="2:15" ht="25.2" customHeight="1">
      <c r="B131" s="93">
        <f t="shared" si="5"/>
        <v>124</v>
      </c>
      <c r="C131" s="100">
        <f t="shared" si="6"/>
        <v>1657.0875324560977</v>
      </c>
      <c r="D131" s="100">
        <f t="shared" si="7"/>
        <v>1658.4957972098714</v>
      </c>
      <c r="E131" s="95"/>
      <c r="F131" s="157"/>
      <c r="G131" s="157"/>
      <c r="H131" s="171"/>
      <c r="I131" s="171"/>
      <c r="J131" s="171"/>
      <c r="K131" s="171"/>
      <c r="M131" s="162"/>
      <c r="N131" s="92"/>
      <c r="O131" s="139"/>
    </row>
    <row r="132" spans="2:15" ht="25.2" customHeight="1">
      <c r="B132" s="93">
        <f t="shared" si="5"/>
        <v>125</v>
      </c>
      <c r="C132" s="100">
        <f t="shared" si="6"/>
        <v>1669.9379483342827</v>
      </c>
      <c r="D132" s="100">
        <f t="shared" si="7"/>
        <v>1671.3462130880564</v>
      </c>
      <c r="E132" s="95"/>
      <c r="F132" s="157"/>
      <c r="G132" s="157"/>
      <c r="H132" s="171"/>
      <c r="I132" s="171"/>
      <c r="J132" s="171"/>
      <c r="K132" s="171"/>
      <c r="M132" s="162"/>
      <c r="N132" s="92"/>
      <c r="O132" s="139"/>
    </row>
    <row r="133" spans="2:15" ht="25.2" customHeight="1">
      <c r="B133" s="93">
        <f t="shared" si="5"/>
        <v>126</v>
      </c>
      <c r="C133" s="100">
        <f t="shared" si="6"/>
        <v>1682.7883642124677</v>
      </c>
      <c r="D133" s="100">
        <f t="shared" si="7"/>
        <v>1684.1966289662414</v>
      </c>
      <c r="E133" s="95"/>
      <c r="F133" s="157"/>
      <c r="G133" s="157"/>
      <c r="H133" s="171"/>
      <c r="I133" s="171"/>
      <c r="J133" s="171"/>
      <c r="K133" s="171"/>
      <c r="M133" s="162"/>
      <c r="N133" s="92"/>
      <c r="O133" s="139"/>
    </row>
    <row r="134" spans="2:15" ht="25.2" customHeight="1">
      <c r="B134" s="93">
        <f t="shared" si="5"/>
        <v>127</v>
      </c>
      <c r="C134" s="100">
        <f t="shared" si="6"/>
        <v>1695.6387800906527</v>
      </c>
      <c r="D134" s="100">
        <f t="shared" si="7"/>
        <v>1697.0470448444264</v>
      </c>
      <c r="E134" s="95"/>
      <c r="F134" s="157"/>
      <c r="G134" s="157"/>
      <c r="H134" s="171"/>
      <c r="I134" s="171"/>
      <c r="J134" s="171"/>
      <c r="K134" s="171"/>
      <c r="M134" s="162"/>
      <c r="N134" s="92"/>
      <c r="O134" s="139"/>
    </row>
    <row r="135" spans="2:15" ht="25.2" customHeight="1">
      <c r="B135" s="93">
        <f t="shared" si="5"/>
        <v>128</v>
      </c>
      <c r="C135" s="100">
        <f t="shared" si="6"/>
        <v>1708.4891959688377</v>
      </c>
      <c r="D135" s="100">
        <f t="shared" si="7"/>
        <v>1709.8974607226114</v>
      </c>
      <c r="E135" s="95"/>
      <c r="F135" s="157"/>
      <c r="G135" s="157"/>
      <c r="H135" s="171"/>
      <c r="I135" s="171"/>
      <c r="J135" s="171"/>
      <c r="K135" s="171"/>
      <c r="M135" s="162"/>
      <c r="N135" s="92"/>
      <c r="O135" s="139"/>
    </row>
    <row r="136" spans="2:15" ht="25.2" customHeight="1">
      <c r="B136" s="93">
        <f t="shared" si="5"/>
        <v>129</v>
      </c>
      <c r="C136" s="100">
        <f t="shared" si="6"/>
        <v>1721.3396118470228</v>
      </c>
      <c r="D136" s="100">
        <f t="shared" si="7"/>
        <v>1722.7478766007964</v>
      </c>
      <c r="E136" s="95"/>
      <c r="F136" s="157"/>
      <c r="G136" s="157"/>
      <c r="H136" s="171"/>
      <c r="I136" s="171"/>
      <c r="J136" s="171"/>
      <c r="K136" s="171"/>
      <c r="M136" s="162"/>
      <c r="N136" s="92"/>
      <c r="O136" s="139"/>
    </row>
    <row r="137" spans="2:15" ht="25.2" customHeight="1">
      <c r="B137" s="93">
        <f t="shared" si="5"/>
        <v>130</v>
      </c>
      <c r="C137" s="100">
        <f t="shared" si="6"/>
        <v>1734.1900277252078</v>
      </c>
      <c r="D137" s="100">
        <f t="shared" si="7"/>
        <v>1735.5982924789814</v>
      </c>
      <c r="E137" s="95"/>
      <c r="F137" s="157"/>
      <c r="G137" s="157"/>
      <c r="H137" s="171"/>
      <c r="I137" s="171"/>
      <c r="J137" s="171"/>
      <c r="K137" s="171"/>
      <c r="M137" s="162"/>
      <c r="N137" s="92"/>
      <c r="O137" s="139"/>
    </row>
    <row r="138" spans="2:15" ht="25.2" customHeight="1">
      <c r="B138" s="93">
        <f t="shared" si="5"/>
        <v>131</v>
      </c>
      <c r="C138" s="100">
        <f t="shared" si="6"/>
        <v>1747.0404436033928</v>
      </c>
      <c r="D138" s="100">
        <f t="shared" si="7"/>
        <v>1748.4487083571664</v>
      </c>
      <c r="E138" s="95"/>
      <c r="F138" s="157"/>
      <c r="G138" s="157"/>
      <c r="H138" s="171"/>
      <c r="I138" s="171"/>
      <c r="J138" s="171"/>
      <c r="K138" s="171"/>
      <c r="M138" s="162"/>
      <c r="N138" s="92"/>
      <c r="O138" s="139"/>
    </row>
    <row r="139" spans="2:15" ht="25.2" customHeight="1">
      <c r="B139" s="93">
        <f t="shared" si="5"/>
        <v>132</v>
      </c>
      <c r="C139" s="100">
        <f t="shared" si="6"/>
        <v>1759.8908594815778</v>
      </c>
      <c r="D139" s="100">
        <f t="shared" si="7"/>
        <v>1761.2991242353514</v>
      </c>
      <c r="E139" s="95"/>
      <c r="F139" s="157"/>
      <c r="G139" s="157"/>
      <c r="H139" s="171"/>
      <c r="I139" s="171"/>
      <c r="J139" s="171"/>
      <c r="K139" s="171"/>
      <c r="M139" s="162"/>
      <c r="N139" s="92"/>
      <c r="O139" s="139"/>
    </row>
    <row r="140" spans="2:15" ht="25.2" customHeight="1">
      <c r="B140" s="93">
        <f t="shared" si="5"/>
        <v>133</v>
      </c>
      <c r="C140" s="100">
        <f t="shared" si="6"/>
        <v>1772.7412753597628</v>
      </c>
      <c r="D140" s="100">
        <f t="shared" si="7"/>
        <v>1774.1495401135364</v>
      </c>
      <c r="E140" s="95"/>
      <c r="F140" s="157"/>
      <c r="G140" s="157"/>
      <c r="H140" s="171"/>
      <c r="I140" s="171"/>
      <c r="J140" s="171"/>
      <c r="K140" s="171"/>
      <c r="M140" s="162"/>
      <c r="N140" s="92"/>
      <c r="O140" s="139"/>
    </row>
    <row r="141" spans="2:15" ht="25.2" customHeight="1">
      <c r="B141" s="93">
        <f t="shared" si="5"/>
        <v>134</v>
      </c>
      <c r="C141" s="100">
        <f t="shared" si="6"/>
        <v>1785.5916912379478</v>
      </c>
      <c r="D141" s="100">
        <f t="shared" si="7"/>
        <v>1786.9999559917214</v>
      </c>
      <c r="E141" s="95"/>
      <c r="F141" s="157"/>
      <c r="G141" s="157"/>
      <c r="H141" s="171"/>
      <c r="I141" s="171"/>
      <c r="J141" s="171"/>
      <c r="K141" s="171"/>
      <c r="M141" s="162"/>
      <c r="N141" s="92"/>
      <c r="O141" s="139"/>
    </row>
    <row r="142" spans="2:15" ht="25.2" customHeight="1">
      <c r="B142" s="93">
        <f t="shared" si="5"/>
        <v>135</v>
      </c>
      <c r="C142" s="100">
        <f t="shared" si="6"/>
        <v>1798.4421071161328</v>
      </c>
      <c r="D142" s="100">
        <f t="shared" si="7"/>
        <v>1799.8503718699064</v>
      </c>
      <c r="E142" s="95"/>
      <c r="F142" s="157"/>
      <c r="G142" s="157"/>
      <c r="H142" s="171"/>
      <c r="I142" s="171"/>
      <c r="J142" s="171"/>
      <c r="K142" s="171"/>
      <c r="M142" s="162"/>
      <c r="N142" s="92"/>
      <c r="O142" s="139"/>
    </row>
    <row r="143" spans="2:15" ht="25.2" customHeight="1">
      <c r="B143" s="93">
        <f t="shared" si="5"/>
        <v>136</v>
      </c>
      <c r="C143" s="100">
        <f t="shared" si="6"/>
        <v>1811.2925229943178</v>
      </c>
      <c r="D143" s="100">
        <f t="shared" si="7"/>
        <v>1812.7007877480914</v>
      </c>
      <c r="E143" s="95"/>
      <c r="F143" s="157"/>
      <c r="G143" s="157"/>
      <c r="H143" s="171"/>
      <c r="I143" s="171"/>
      <c r="J143" s="171"/>
      <c r="K143" s="171"/>
      <c r="M143" s="162"/>
      <c r="N143" s="92"/>
      <c r="O143" s="139"/>
    </row>
    <row r="144" spans="2:15" ht="25.2" customHeight="1">
      <c r="B144" s="93">
        <f t="shared" si="5"/>
        <v>137</v>
      </c>
      <c r="C144" s="100">
        <f t="shared" si="6"/>
        <v>1824.1429388725028</v>
      </c>
      <c r="D144" s="100">
        <f t="shared" si="7"/>
        <v>1825.5512036262764</v>
      </c>
      <c r="E144" s="95"/>
      <c r="F144" s="157"/>
      <c r="G144" s="157"/>
      <c r="H144" s="171"/>
      <c r="I144" s="171"/>
      <c r="J144" s="171"/>
      <c r="K144" s="171"/>
      <c r="M144" s="162"/>
      <c r="N144" s="92"/>
      <c r="O144" s="139"/>
    </row>
    <row r="145" spans="2:15" ht="25.2" customHeight="1">
      <c r="B145" s="93">
        <f t="shared" si="5"/>
        <v>138</v>
      </c>
      <c r="C145" s="100">
        <f t="shared" si="6"/>
        <v>1836.9933547506878</v>
      </c>
      <c r="D145" s="100">
        <f t="shared" si="7"/>
        <v>1838.4016195044615</v>
      </c>
      <c r="E145" s="95"/>
      <c r="F145" s="157"/>
      <c r="G145" s="157"/>
      <c r="H145" s="171"/>
      <c r="I145" s="171"/>
      <c r="J145" s="171"/>
      <c r="K145" s="171"/>
      <c r="M145" s="162"/>
      <c r="N145" s="92"/>
      <c r="O145" s="139"/>
    </row>
    <row r="146" spans="2:15" ht="25.2" customHeight="1">
      <c r="B146" s="93">
        <f t="shared" si="5"/>
        <v>139</v>
      </c>
      <c r="C146" s="100">
        <f t="shared" si="6"/>
        <v>1849.8437706288728</v>
      </c>
      <c r="D146" s="100">
        <f t="shared" si="7"/>
        <v>1851.2520353826465</v>
      </c>
      <c r="E146" s="95"/>
      <c r="F146" s="157"/>
      <c r="G146" s="157"/>
      <c r="H146" s="171"/>
      <c r="I146" s="171"/>
      <c r="J146" s="171"/>
      <c r="K146" s="171"/>
      <c r="M146" s="162"/>
      <c r="N146" s="92"/>
      <c r="O146" s="139"/>
    </row>
    <row r="147" spans="2:15" ht="25.2" customHeight="1">
      <c r="B147" s="93">
        <f t="shared" si="5"/>
        <v>140</v>
      </c>
      <c r="C147" s="100">
        <f t="shared" si="6"/>
        <v>1862.6941865070578</v>
      </c>
      <c r="D147" s="100">
        <f t="shared" si="7"/>
        <v>1864.1024512608315</v>
      </c>
      <c r="E147" s="95"/>
      <c r="F147" s="157"/>
      <c r="G147" s="157"/>
      <c r="H147" s="171"/>
      <c r="I147" s="171"/>
      <c r="J147" s="171"/>
      <c r="K147" s="171"/>
      <c r="M147" s="162"/>
      <c r="N147" s="92"/>
      <c r="O147" s="139"/>
    </row>
    <row r="148" spans="2:15" ht="25.2" customHeight="1">
      <c r="B148" s="93">
        <f t="shared" si="5"/>
        <v>141</v>
      </c>
      <c r="C148" s="100">
        <f t="shared" si="6"/>
        <v>1875.5446023852428</v>
      </c>
      <c r="D148" s="100">
        <f t="shared" si="7"/>
        <v>1876.9528671390165</v>
      </c>
      <c r="E148" s="95"/>
      <c r="F148" s="157"/>
      <c r="G148" s="157"/>
      <c r="H148" s="171"/>
      <c r="I148" s="171"/>
      <c r="J148" s="171"/>
      <c r="K148" s="171"/>
      <c r="M148" s="162"/>
      <c r="N148" s="92"/>
      <c r="O148" s="139"/>
    </row>
    <row r="149" spans="2:15" ht="25.2" customHeight="1">
      <c r="B149" s="93">
        <f t="shared" si="5"/>
        <v>142</v>
      </c>
      <c r="C149" s="100">
        <f t="shared" si="6"/>
        <v>1888.3950182634278</v>
      </c>
      <c r="D149" s="100">
        <f t="shared" si="7"/>
        <v>1889.8032830172015</v>
      </c>
      <c r="E149" s="95"/>
      <c r="F149" s="157"/>
      <c r="G149" s="157"/>
      <c r="H149" s="171"/>
      <c r="I149" s="171"/>
      <c r="J149" s="171"/>
      <c r="K149" s="171"/>
      <c r="M149" s="162"/>
      <c r="N149" s="92"/>
      <c r="O149" s="139"/>
    </row>
    <row r="150" spans="2:15" ht="25.2" customHeight="1">
      <c r="B150" s="93">
        <f t="shared" si="5"/>
        <v>143</v>
      </c>
      <c r="C150" s="100">
        <f t="shared" si="6"/>
        <v>1901.2454341416128</v>
      </c>
      <c r="D150" s="100">
        <f t="shared" si="7"/>
        <v>1902.6536988953865</v>
      </c>
      <c r="E150" s="95"/>
      <c r="F150" s="157"/>
      <c r="G150" s="157"/>
      <c r="H150" s="171"/>
      <c r="I150" s="171"/>
      <c r="J150" s="171"/>
      <c r="K150" s="171"/>
      <c r="M150" s="162"/>
      <c r="N150" s="92"/>
      <c r="O150" s="139"/>
    </row>
    <row r="151" spans="2:15" ht="25.2" customHeight="1">
      <c r="B151" s="93">
        <f t="shared" si="5"/>
        <v>144</v>
      </c>
      <c r="C151" s="100">
        <f t="shared" si="6"/>
        <v>1914.0958500197978</v>
      </c>
      <c r="D151" s="100">
        <f t="shared" si="7"/>
        <v>1915.5041147735715</v>
      </c>
      <c r="E151" s="95"/>
      <c r="F151" s="157"/>
      <c r="G151" s="157"/>
      <c r="H151" s="171"/>
      <c r="I151" s="171"/>
      <c r="J151" s="171"/>
      <c r="K151" s="171"/>
      <c r="M151" s="162"/>
      <c r="N151" s="92"/>
      <c r="O151" s="139"/>
    </row>
    <row r="152" spans="2:15" ht="25.2" customHeight="1">
      <c r="B152" s="93">
        <f t="shared" si="5"/>
        <v>145</v>
      </c>
      <c r="C152" s="100">
        <f t="shared" si="6"/>
        <v>1926.9462658979828</v>
      </c>
      <c r="D152" s="100">
        <f t="shared" si="7"/>
        <v>1928.3545306517565</v>
      </c>
      <c r="E152" s="95"/>
      <c r="F152" s="157"/>
      <c r="G152" s="157"/>
      <c r="H152" s="171"/>
      <c r="I152" s="171"/>
      <c r="J152" s="171"/>
      <c r="K152" s="171"/>
      <c r="M152" s="162"/>
      <c r="N152" s="92"/>
      <c r="O152" s="139"/>
    </row>
    <row r="153" spans="2:15" ht="25.2" customHeight="1">
      <c r="B153" s="93">
        <f t="shared" si="5"/>
        <v>146</v>
      </c>
      <c r="C153" s="100">
        <f t="shared" si="6"/>
        <v>1939.7966817761678</v>
      </c>
      <c r="D153" s="100">
        <f t="shared" si="7"/>
        <v>1941.2049465299415</v>
      </c>
      <c r="E153" s="95"/>
      <c r="F153" s="157"/>
      <c r="G153" s="157"/>
      <c r="H153" s="171"/>
      <c r="I153" s="171"/>
      <c r="J153" s="171"/>
      <c r="K153" s="171"/>
      <c r="M153" s="162"/>
      <c r="N153" s="92"/>
      <c r="O153" s="139"/>
    </row>
    <row r="154" spans="2:15" ht="25.2" customHeight="1">
      <c r="B154" s="93">
        <f t="shared" si="5"/>
        <v>147</v>
      </c>
      <c r="C154" s="100">
        <f t="shared" si="6"/>
        <v>1952.6470976543528</v>
      </c>
      <c r="D154" s="100">
        <f t="shared" si="7"/>
        <v>1954.0553624081265</v>
      </c>
      <c r="E154" s="95"/>
      <c r="F154" s="157"/>
      <c r="G154" s="157"/>
      <c r="H154" s="171"/>
      <c r="I154" s="171"/>
      <c r="J154" s="171"/>
      <c r="K154" s="171"/>
      <c r="M154" s="162"/>
      <c r="N154" s="92"/>
      <c r="O154" s="139"/>
    </row>
    <row r="155" spans="2:15" ht="25.2" customHeight="1">
      <c r="B155" s="93">
        <f t="shared" si="5"/>
        <v>148</v>
      </c>
      <c r="C155" s="100">
        <f t="shared" si="6"/>
        <v>1965.4975135325378</v>
      </c>
      <c r="D155" s="100">
        <f t="shared" si="7"/>
        <v>1966.9057782863115</v>
      </c>
      <c r="E155" s="95"/>
      <c r="F155" s="157"/>
      <c r="G155" s="157"/>
      <c r="H155" s="171"/>
      <c r="I155" s="171"/>
      <c r="J155" s="171"/>
      <c r="K155" s="171"/>
      <c r="M155" s="162"/>
      <c r="N155" s="92"/>
      <c r="O155" s="139"/>
    </row>
    <row r="156" spans="2:15" ht="25.2" customHeight="1">
      <c r="B156" s="93">
        <f t="shared" si="5"/>
        <v>149</v>
      </c>
      <c r="C156" s="100">
        <f t="shared" si="6"/>
        <v>1978.3479294107228</v>
      </c>
      <c r="D156" s="100">
        <f t="shared" si="7"/>
        <v>1979.7561941644965</v>
      </c>
      <c r="E156" s="95"/>
      <c r="F156" s="157"/>
      <c r="G156" s="157"/>
      <c r="H156" s="171"/>
      <c r="I156" s="171"/>
      <c r="J156" s="171"/>
      <c r="K156" s="171"/>
      <c r="M156" s="162"/>
      <c r="N156" s="92"/>
      <c r="O156" s="139"/>
    </row>
    <row r="157" spans="2:15" ht="25.2" customHeight="1">
      <c r="B157" s="93">
        <f t="shared" si="5"/>
        <v>150</v>
      </c>
      <c r="C157" s="100">
        <f t="shared" si="6"/>
        <v>1991.1983452889078</v>
      </c>
      <c r="D157" s="100">
        <f t="shared" si="7"/>
        <v>1992.6066100426815</v>
      </c>
      <c r="E157" s="95"/>
      <c r="F157" s="157"/>
      <c r="G157" s="157"/>
      <c r="H157" s="171"/>
      <c r="I157" s="171"/>
      <c r="J157" s="171"/>
      <c r="K157" s="171"/>
      <c r="M157" s="162"/>
      <c r="N157" s="92"/>
      <c r="O157" s="139"/>
    </row>
    <row r="158" spans="2:15" ht="25.2" customHeight="1">
      <c r="B158" s="93">
        <f t="shared" si="5"/>
        <v>151</v>
      </c>
      <c r="C158" s="100">
        <f t="shared" si="6"/>
        <v>2004.0487611670928</v>
      </c>
      <c r="D158" s="100">
        <f t="shared" si="7"/>
        <v>2005.4570259208665</v>
      </c>
      <c r="E158" s="95"/>
      <c r="F158" s="157"/>
      <c r="G158" s="157"/>
      <c r="H158" s="171"/>
      <c r="I158" s="171"/>
      <c r="J158" s="171"/>
      <c r="K158" s="171"/>
      <c r="M158" s="162"/>
      <c r="N158" s="92"/>
      <c r="O158" s="139"/>
    </row>
    <row r="159" spans="2:15" ht="25.2" customHeight="1">
      <c r="B159" s="93">
        <f t="shared" si="5"/>
        <v>152</v>
      </c>
      <c r="C159" s="100">
        <f t="shared" si="6"/>
        <v>2016.8991770452778</v>
      </c>
      <c r="D159" s="100">
        <f t="shared" si="7"/>
        <v>2018.3074417990515</v>
      </c>
      <c r="E159" s="95"/>
      <c r="F159" s="157"/>
      <c r="G159" s="157"/>
      <c r="H159" s="171"/>
      <c r="I159" s="171"/>
      <c r="J159" s="171"/>
      <c r="K159" s="171"/>
      <c r="M159" s="162"/>
      <c r="N159" s="92"/>
      <c r="O159" s="139"/>
    </row>
    <row r="160" spans="2:15" ht="25.2" customHeight="1">
      <c r="B160" s="93">
        <f t="shared" si="5"/>
        <v>153</v>
      </c>
      <c r="C160" s="100">
        <f t="shared" si="6"/>
        <v>2029.7495929234628</v>
      </c>
      <c r="D160" s="100">
        <f t="shared" si="7"/>
        <v>2031.1578576772365</v>
      </c>
      <c r="E160" s="95"/>
      <c r="F160" s="157"/>
      <c r="G160" s="157"/>
      <c r="H160" s="171"/>
      <c r="I160" s="171"/>
      <c r="J160" s="171"/>
      <c r="K160" s="171"/>
      <c r="M160" s="162"/>
      <c r="N160" s="92"/>
      <c r="O160" s="139"/>
    </row>
    <row r="161" spans="2:15" ht="25.2" customHeight="1">
      <c r="B161" s="93">
        <f t="shared" si="5"/>
        <v>154</v>
      </c>
      <c r="C161" s="100">
        <f t="shared" si="6"/>
        <v>2042.6000088016478</v>
      </c>
      <c r="D161" s="100">
        <f t="shared" si="7"/>
        <v>2044.0082735554215</v>
      </c>
      <c r="E161" s="95"/>
      <c r="F161" s="157"/>
      <c r="G161" s="157"/>
      <c r="H161" s="171"/>
      <c r="I161" s="171"/>
      <c r="J161" s="171"/>
      <c r="K161" s="171"/>
      <c r="M161" s="162"/>
      <c r="N161" s="92"/>
      <c r="O161" s="139"/>
    </row>
    <row r="162" spans="2:15" ht="25.2" customHeight="1">
      <c r="B162" s="93">
        <f t="shared" si="5"/>
        <v>155</v>
      </c>
      <c r="C162" s="100">
        <f t="shared" si="6"/>
        <v>2055.4504246798328</v>
      </c>
      <c r="D162" s="100">
        <f t="shared" si="7"/>
        <v>2056.8586894336067</v>
      </c>
      <c r="E162" s="95"/>
      <c r="F162" s="157"/>
      <c r="G162" s="157"/>
      <c r="H162" s="171"/>
      <c r="I162" s="171"/>
      <c r="J162" s="171"/>
      <c r="K162" s="171"/>
      <c r="M162" s="162"/>
      <c r="N162" s="92"/>
      <c r="O162" s="139"/>
    </row>
    <row r="163" spans="2:15" ht="25.2" customHeight="1">
      <c r="B163" s="93">
        <f t="shared" si="5"/>
        <v>156</v>
      </c>
      <c r="C163" s="100">
        <f t="shared" si="6"/>
        <v>2068.3008405580181</v>
      </c>
      <c r="D163" s="100">
        <f t="shared" si="7"/>
        <v>2069.709105311792</v>
      </c>
      <c r="E163" s="95"/>
      <c r="F163" s="157"/>
      <c r="G163" s="157"/>
      <c r="H163" s="171"/>
      <c r="I163" s="171"/>
      <c r="J163" s="171"/>
      <c r="K163" s="171"/>
      <c r="M163" s="162"/>
      <c r="N163" s="92"/>
      <c r="O163" s="139"/>
    </row>
    <row r="164" spans="2:15" ht="25.2" customHeight="1">
      <c r="B164" s="93">
        <f t="shared" si="5"/>
        <v>157</v>
      </c>
      <c r="C164" s="100">
        <f t="shared" si="6"/>
        <v>2081.1512564362033</v>
      </c>
      <c r="D164" s="100">
        <f t="shared" si="7"/>
        <v>2082.5595211899772</v>
      </c>
      <c r="E164" s="95"/>
      <c r="F164" s="157"/>
      <c r="G164" s="157"/>
      <c r="H164" s="171"/>
      <c r="I164" s="171"/>
      <c r="J164" s="171"/>
      <c r="K164" s="171"/>
      <c r="M164" s="162"/>
      <c r="N164" s="92"/>
      <c r="O164" s="139"/>
    </row>
    <row r="165" spans="2:15" ht="25.2" customHeight="1">
      <c r="B165" s="93">
        <f t="shared" si="5"/>
        <v>158</v>
      </c>
      <c r="C165" s="100">
        <f t="shared" si="6"/>
        <v>2094.0016723143885</v>
      </c>
      <c r="D165" s="100">
        <f t="shared" si="7"/>
        <v>2095.4099370681624</v>
      </c>
      <c r="E165" s="95"/>
      <c r="F165" s="157"/>
      <c r="G165" s="157"/>
      <c r="H165" s="171"/>
      <c r="I165" s="171"/>
      <c r="J165" s="171"/>
      <c r="K165" s="171"/>
      <c r="M165" s="162"/>
      <c r="N165" s="92"/>
      <c r="O165" s="139"/>
    </row>
    <row r="166" spans="2:15" ht="25.2" customHeight="1">
      <c r="B166" s="93">
        <f t="shared" si="5"/>
        <v>159</v>
      </c>
      <c r="C166" s="100">
        <f t="shared" si="6"/>
        <v>2106.8520881925738</v>
      </c>
      <c r="D166" s="100">
        <f t="shared" si="7"/>
        <v>2108.2603529463477</v>
      </c>
      <c r="E166" s="95"/>
      <c r="F166" s="157"/>
      <c r="G166" s="157"/>
      <c r="H166" s="171"/>
      <c r="I166" s="171"/>
      <c r="J166" s="171"/>
      <c r="K166" s="171"/>
      <c r="M166" s="162"/>
      <c r="N166" s="92"/>
      <c r="O166" s="139"/>
    </row>
    <row r="167" spans="2:15" ht="25.2" customHeight="1">
      <c r="B167" s="93">
        <f t="shared" ref="B167:B230" si="8">B166+1</f>
        <v>160</v>
      </c>
      <c r="C167" s="100">
        <f t="shared" ref="C167:C230" si="9">C166+($P$13/$P$19)</f>
        <v>2119.702504070759</v>
      </c>
      <c r="D167" s="100">
        <f t="shared" ref="D167:D230" si="10">D166+($Q$13/$P$19)</f>
        <v>2121.1107688245329</v>
      </c>
      <c r="E167" s="95"/>
      <c r="F167" s="157"/>
      <c r="G167" s="157"/>
      <c r="H167" s="171"/>
      <c r="I167" s="171"/>
      <c r="J167" s="171"/>
      <c r="K167" s="171"/>
      <c r="M167" s="162"/>
      <c r="N167" s="92"/>
      <c r="O167" s="139"/>
    </row>
    <row r="168" spans="2:15" ht="25.2" customHeight="1">
      <c r="B168" s="93">
        <f t="shared" si="8"/>
        <v>161</v>
      </c>
      <c r="C168" s="100">
        <f t="shared" si="9"/>
        <v>2132.5529199489442</v>
      </c>
      <c r="D168" s="100">
        <f t="shared" si="10"/>
        <v>2133.9611847027181</v>
      </c>
      <c r="E168" s="95"/>
      <c r="F168" s="157"/>
      <c r="G168" s="157"/>
      <c r="H168" s="171"/>
      <c r="I168" s="171"/>
      <c r="J168" s="171"/>
      <c r="K168" s="171"/>
      <c r="M168" s="162"/>
      <c r="N168" s="92"/>
      <c r="O168" s="139"/>
    </row>
    <row r="169" spans="2:15" ht="25.2" customHeight="1">
      <c r="B169" s="93">
        <f t="shared" si="8"/>
        <v>162</v>
      </c>
      <c r="C169" s="100">
        <f t="shared" si="9"/>
        <v>2145.4033358271295</v>
      </c>
      <c r="D169" s="100">
        <f t="shared" si="10"/>
        <v>2146.8116005809034</v>
      </c>
      <c r="E169" s="95"/>
      <c r="F169" s="157"/>
      <c r="G169" s="157"/>
      <c r="H169" s="171"/>
      <c r="I169" s="171"/>
      <c r="J169" s="171"/>
      <c r="K169" s="171"/>
      <c r="M169" s="162"/>
      <c r="N169" s="92"/>
      <c r="O169" s="139"/>
    </row>
    <row r="170" spans="2:15" ht="25.2" customHeight="1">
      <c r="B170" s="93">
        <f t="shared" si="8"/>
        <v>163</v>
      </c>
      <c r="C170" s="100">
        <f t="shared" si="9"/>
        <v>2158.2537517053147</v>
      </c>
      <c r="D170" s="100">
        <f t="shared" si="10"/>
        <v>2159.6620164590886</v>
      </c>
      <c r="E170" s="95"/>
      <c r="F170" s="157"/>
      <c r="G170" s="157"/>
      <c r="H170" s="171"/>
      <c r="I170" s="171"/>
      <c r="J170" s="171"/>
      <c r="K170" s="171"/>
    </row>
    <row r="171" spans="2:15" ht="25.2" customHeight="1">
      <c r="B171" s="93">
        <f t="shared" si="8"/>
        <v>164</v>
      </c>
      <c r="C171" s="100">
        <f t="shared" si="9"/>
        <v>2171.1041675834999</v>
      </c>
      <c r="D171" s="100">
        <f t="shared" si="10"/>
        <v>2172.5124323372738</v>
      </c>
      <c r="E171" s="95"/>
      <c r="F171" s="157"/>
      <c r="G171" s="157"/>
      <c r="H171" s="171"/>
      <c r="I171" s="171"/>
      <c r="J171" s="171"/>
      <c r="K171" s="171"/>
    </row>
    <row r="172" spans="2:15" ht="25.2" customHeight="1">
      <c r="B172" s="93">
        <f t="shared" si="8"/>
        <v>165</v>
      </c>
      <c r="C172" s="100">
        <f t="shared" si="9"/>
        <v>2183.9545834616852</v>
      </c>
      <c r="D172" s="100">
        <f t="shared" si="10"/>
        <v>2185.3628482154591</v>
      </c>
      <c r="E172" s="95"/>
      <c r="F172" s="157"/>
      <c r="G172" s="157"/>
      <c r="H172" s="171"/>
      <c r="I172" s="171"/>
      <c r="J172" s="171"/>
      <c r="K172" s="171"/>
    </row>
    <row r="173" spans="2:15" ht="25.2" customHeight="1">
      <c r="B173" s="93">
        <f t="shared" si="8"/>
        <v>166</v>
      </c>
      <c r="C173" s="100">
        <f t="shared" si="9"/>
        <v>2196.8049993398704</v>
      </c>
      <c r="D173" s="100">
        <f t="shared" si="10"/>
        <v>2198.2132640936443</v>
      </c>
      <c r="E173" s="95"/>
      <c r="F173" s="157"/>
      <c r="G173" s="157"/>
      <c r="H173" s="171"/>
      <c r="I173" s="171"/>
      <c r="J173" s="171"/>
      <c r="K173" s="171"/>
    </row>
    <row r="174" spans="2:15" ht="25.2" customHeight="1">
      <c r="B174" s="93">
        <f t="shared" si="8"/>
        <v>167</v>
      </c>
      <c r="C174" s="100">
        <f t="shared" si="9"/>
        <v>2209.6554152180556</v>
      </c>
      <c r="D174" s="100">
        <f t="shared" si="10"/>
        <v>2211.0636799718295</v>
      </c>
      <c r="E174" s="95"/>
      <c r="F174" s="157"/>
      <c r="G174" s="157"/>
      <c r="H174" s="171"/>
      <c r="I174" s="171"/>
      <c r="J174" s="171"/>
      <c r="K174" s="171"/>
    </row>
    <row r="175" spans="2:15" ht="25.2" customHeight="1">
      <c r="B175" s="93">
        <f t="shared" si="8"/>
        <v>168</v>
      </c>
      <c r="C175" s="100">
        <f t="shared" si="9"/>
        <v>2222.5058310962409</v>
      </c>
      <c r="D175" s="100">
        <f t="shared" si="10"/>
        <v>2223.9140958500147</v>
      </c>
      <c r="E175" s="95"/>
      <c r="F175" s="157"/>
      <c r="G175" s="157"/>
      <c r="H175" s="171"/>
      <c r="I175" s="171"/>
      <c r="J175" s="171"/>
      <c r="K175" s="171"/>
    </row>
    <row r="176" spans="2:15" ht="25.2" customHeight="1">
      <c r="B176" s="93">
        <f t="shared" si="8"/>
        <v>169</v>
      </c>
      <c r="C176" s="100">
        <f t="shared" si="9"/>
        <v>2235.3562469744261</v>
      </c>
      <c r="D176" s="100">
        <f t="shared" si="10"/>
        <v>2236.7645117282</v>
      </c>
      <c r="E176" s="95"/>
      <c r="F176" s="157"/>
      <c r="G176" s="157"/>
      <c r="H176" s="171"/>
      <c r="I176" s="171"/>
      <c r="J176" s="171"/>
      <c r="K176" s="171"/>
    </row>
    <row r="177" spans="2:11" ht="25.2" customHeight="1">
      <c r="B177" s="93">
        <f t="shared" si="8"/>
        <v>170</v>
      </c>
      <c r="C177" s="100">
        <f t="shared" si="9"/>
        <v>2248.2066628526113</v>
      </c>
      <c r="D177" s="100">
        <f t="shared" si="10"/>
        <v>2249.6149276063852</v>
      </c>
      <c r="E177" s="95"/>
      <c r="F177" s="157"/>
      <c r="G177" s="157"/>
      <c r="H177" s="171"/>
      <c r="I177" s="171"/>
      <c r="J177" s="171"/>
      <c r="K177" s="171"/>
    </row>
    <row r="178" spans="2:11" ht="25.2" customHeight="1">
      <c r="B178" s="93">
        <f t="shared" si="8"/>
        <v>171</v>
      </c>
      <c r="C178" s="100">
        <f t="shared" si="9"/>
        <v>2261.0570787307965</v>
      </c>
      <c r="D178" s="100">
        <f t="shared" si="10"/>
        <v>2262.4653434845704</v>
      </c>
      <c r="E178" s="95"/>
      <c r="F178" s="157"/>
      <c r="G178" s="157"/>
      <c r="H178" s="171"/>
      <c r="I178" s="171"/>
      <c r="J178" s="171"/>
      <c r="K178" s="171"/>
    </row>
    <row r="179" spans="2:11" ht="25.2" customHeight="1">
      <c r="B179" s="93">
        <f t="shared" si="8"/>
        <v>172</v>
      </c>
      <c r="C179" s="100">
        <f t="shared" si="9"/>
        <v>2273.9074946089818</v>
      </c>
      <c r="D179" s="100">
        <f t="shared" si="10"/>
        <v>2275.3157593627557</v>
      </c>
      <c r="E179" s="95"/>
      <c r="F179" s="157"/>
      <c r="G179" s="157"/>
      <c r="H179" s="171"/>
      <c r="I179" s="171"/>
      <c r="J179" s="171"/>
      <c r="K179" s="171"/>
    </row>
    <row r="180" spans="2:11" ht="25.2" customHeight="1">
      <c r="B180" s="93">
        <f t="shared" si="8"/>
        <v>173</v>
      </c>
      <c r="C180" s="100">
        <f t="shared" si="9"/>
        <v>2286.757910487167</v>
      </c>
      <c r="D180" s="100">
        <f t="shared" si="10"/>
        <v>2288.1661752409409</v>
      </c>
      <c r="E180" s="95"/>
      <c r="F180" s="157"/>
      <c r="G180" s="157"/>
      <c r="H180" s="172"/>
      <c r="I180" s="172"/>
      <c r="J180" s="172"/>
      <c r="K180" s="172"/>
    </row>
    <row r="181" spans="2:11" ht="25.2" customHeight="1">
      <c r="B181" s="93">
        <f t="shared" si="8"/>
        <v>174</v>
      </c>
      <c r="C181" s="100">
        <f t="shared" si="9"/>
        <v>2299.6083263653522</v>
      </c>
      <c r="D181" s="100">
        <f t="shared" si="10"/>
        <v>2301.0165911191261</v>
      </c>
      <c r="E181" s="95"/>
      <c r="F181" s="157"/>
      <c r="G181" s="157"/>
      <c r="H181" s="172"/>
      <c r="I181" s="172"/>
      <c r="J181" s="172"/>
      <c r="K181" s="172"/>
    </row>
    <row r="182" spans="2:11" ht="25.2" customHeight="1">
      <c r="B182" s="93">
        <f t="shared" si="8"/>
        <v>175</v>
      </c>
      <c r="C182" s="100">
        <f t="shared" si="9"/>
        <v>2312.4587422435375</v>
      </c>
      <c r="D182" s="100">
        <f t="shared" si="10"/>
        <v>2313.8670069973114</v>
      </c>
      <c r="E182" s="95"/>
      <c r="F182" s="157"/>
      <c r="G182" s="157"/>
      <c r="H182" s="172"/>
      <c r="I182" s="172"/>
      <c r="J182" s="172"/>
      <c r="K182" s="172"/>
    </row>
    <row r="183" spans="2:11" ht="25.2" customHeight="1">
      <c r="B183" s="93">
        <f t="shared" si="8"/>
        <v>176</v>
      </c>
      <c r="C183" s="100">
        <f t="shared" si="9"/>
        <v>2325.3091581217227</v>
      </c>
      <c r="D183" s="100">
        <f t="shared" si="10"/>
        <v>2326.7174228754966</v>
      </c>
      <c r="E183" s="95"/>
      <c r="F183" s="157"/>
      <c r="G183" s="157"/>
      <c r="H183" s="172"/>
      <c r="I183" s="172"/>
      <c r="J183" s="172"/>
      <c r="K183" s="172"/>
    </row>
    <row r="184" spans="2:11" ht="25.2" customHeight="1">
      <c r="B184" s="93">
        <f t="shared" si="8"/>
        <v>177</v>
      </c>
      <c r="C184" s="100">
        <f t="shared" si="9"/>
        <v>2338.1595739999079</v>
      </c>
      <c r="D184" s="100">
        <f t="shared" si="10"/>
        <v>2339.5678387536818</v>
      </c>
      <c r="E184" s="95"/>
      <c r="F184" s="157"/>
      <c r="G184" s="157"/>
      <c r="H184" s="172"/>
      <c r="I184" s="172"/>
      <c r="J184" s="172"/>
      <c r="K184" s="172"/>
    </row>
    <row r="185" spans="2:11" ht="25.2" customHeight="1">
      <c r="B185" s="93">
        <f t="shared" si="8"/>
        <v>178</v>
      </c>
      <c r="C185" s="100">
        <f t="shared" si="9"/>
        <v>2351.0099898780932</v>
      </c>
      <c r="D185" s="100">
        <f t="shared" si="10"/>
        <v>2352.4182546318671</v>
      </c>
      <c r="E185" s="95"/>
      <c r="F185" s="157"/>
      <c r="G185" s="157"/>
      <c r="H185" s="172"/>
      <c r="I185" s="172"/>
      <c r="J185" s="172"/>
      <c r="K185" s="172"/>
    </row>
    <row r="186" spans="2:11" ht="25.2" customHeight="1">
      <c r="B186" s="93">
        <f t="shared" si="8"/>
        <v>179</v>
      </c>
      <c r="C186" s="100">
        <f t="shared" si="9"/>
        <v>2363.8604057562784</v>
      </c>
      <c r="D186" s="100">
        <f t="shared" si="10"/>
        <v>2365.2686705100523</v>
      </c>
      <c r="E186" s="95"/>
      <c r="F186" s="157"/>
      <c r="G186" s="157"/>
      <c r="H186" s="172"/>
      <c r="I186" s="172"/>
      <c r="J186" s="172"/>
      <c r="K186" s="172"/>
    </row>
    <row r="187" spans="2:11" ht="25.2" customHeight="1">
      <c r="B187" s="93">
        <f t="shared" si="8"/>
        <v>180</v>
      </c>
      <c r="C187" s="100">
        <f t="shared" si="9"/>
        <v>2376.7108216344636</v>
      </c>
      <c r="D187" s="100">
        <f t="shared" si="10"/>
        <v>2378.1190863882375</v>
      </c>
      <c r="E187" s="95"/>
      <c r="F187" s="157"/>
      <c r="G187" s="157"/>
      <c r="H187" s="172"/>
      <c r="I187" s="172"/>
      <c r="J187" s="172"/>
      <c r="K187" s="172"/>
    </row>
    <row r="188" spans="2:11" ht="25.2" customHeight="1">
      <c r="B188" s="93">
        <f t="shared" si="8"/>
        <v>181</v>
      </c>
      <c r="C188" s="100">
        <f t="shared" si="9"/>
        <v>2389.5612375126489</v>
      </c>
      <c r="D188" s="100">
        <f t="shared" si="10"/>
        <v>2390.9695022664228</v>
      </c>
      <c r="E188" s="95"/>
      <c r="F188" s="157"/>
      <c r="G188" s="157"/>
      <c r="H188" s="172"/>
      <c r="I188" s="172"/>
      <c r="J188" s="172"/>
      <c r="K188" s="172"/>
    </row>
    <row r="189" spans="2:11" ht="25.2" customHeight="1">
      <c r="B189" s="93">
        <f t="shared" si="8"/>
        <v>182</v>
      </c>
      <c r="C189" s="100">
        <f t="shared" si="9"/>
        <v>2402.4116533908341</v>
      </c>
      <c r="D189" s="100">
        <f t="shared" si="10"/>
        <v>2403.819918144608</v>
      </c>
      <c r="E189" s="95"/>
      <c r="F189" s="157"/>
      <c r="G189" s="157"/>
      <c r="H189" s="172"/>
      <c r="I189" s="172"/>
      <c r="J189" s="172"/>
      <c r="K189" s="172"/>
    </row>
    <row r="190" spans="2:11" ht="25.2" customHeight="1">
      <c r="B190" s="93">
        <f t="shared" si="8"/>
        <v>183</v>
      </c>
      <c r="C190" s="100">
        <f t="shared" si="9"/>
        <v>2415.2620692690193</v>
      </c>
      <c r="D190" s="100">
        <f t="shared" si="10"/>
        <v>2416.6703340227932</v>
      </c>
      <c r="E190" s="95"/>
      <c r="F190" s="157"/>
      <c r="G190" s="157"/>
      <c r="H190" s="172"/>
      <c r="I190" s="172"/>
      <c r="J190" s="172"/>
      <c r="K190" s="172"/>
    </row>
    <row r="191" spans="2:11" ht="25.2" customHeight="1">
      <c r="B191" s="93">
        <f t="shared" si="8"/>
        <v>184</v>
      </c>
      <c r="C191" s="100">
        <f t="shared" si="9"/>
        <v>2428.1124851472046</v>
      </c>
      <c r="D191" s="100">
        <f t="shared" si="10"/>
        <v>2429.5207499009784</v>
      </c>
      <c r="E191" s="95"/>
      <c r="F191" s="157"/>
      <c r="G191" s="157"/>
      <c r="H191" s="172"/>
      <c r="I191" s="172"/>
      <c r="J191" s="172"/>
      <c r="K191" s="172"/>
    </row>
    <row r="192" spans="2:11" ht="25.2" customHeight="1">
      <c r="B192" s="93">
        <f t="shared" si="8"/>
        <v>185</v>
      </c>
      <c r="C192" s="100">
        <f t="shared" si="9"/>
        <v>2440.9629010253898</v>
      </c>
      <c r="D192" s="100">
        <f t="shared" si="10"/>
        <v>2442.3711657791637</v>
      </c>
      <c r="E192" s="95"/>
      <c r="F192" s="157"/>
      <c r="G192" s="157"/>
      <c r="H192" s="172"/>
      <c r="I192" s="172"/>
      <c r="J192" s="172"/>
      <c r="K192" s="172"/>
    </row>
    <row r="193" spans="2:11" ht="25.2" customHeight="1">
      <c r="B193" s="93">
        <f t="shared" si="8"/>
        <v>186</v>
      </c>
      <c r="C193" s="100">
        <f t="shared" si="9"/>
        <v>2453.813316903575</v>
      </c>
      <c r="D193" s="100">
        <f t="shared" si="10"/>
        <v>2455.2215816573489</v>
      </c>
      <c r="E193" s="95"/>
      <c r="F193" s="157"/>
      <c r="G193" s="157"/>
      <c r="H193" s="172"/>
      <c r="I193" s="172"/>
      <c r="J193" s="172"/>
      <c r="K193" s="172"/>
    </row>
    <row r="194" spans="2:11" ht="25.2" customHeight="1">
      <c r="B194" s="93">
        <f t="shared" si="8"/>
        <v>187</v>
      </c>
      <c r="C194" s="100">
        <f t="shared" si="9"/>
        <v>2466.6637327817602</v>
      </c>
      <c r="D194" s="100">
        <f t="shared" si="10"/>
        <v>2468.0719975355341</v>
      </c>
      <c r="E194" s="95"/>
      <c r="F194" s="157"/>
      <c r="G194" s="157"/>
      <c r="H194" s="172"/>
      <c r="I194" s="172"/>
      <c r="J194" s="172"/>
      <c r="K194" s="172"/>
    </row>
    <row r="195" spans="2:11" ht="25.2" customHeight="1">
      <c r="B195" s="93">
        <f t="shared" si="8"/>
        <v>188</v>
      </c>
      <c r="C195" s="100">
        <f t="shared" si="9"/>
        <v>2479.5141486599455</v>
      </c>
      <c r="D195" s="100">
        <f t="shared" si="10"/>
        <v>2480.9224134137194</v>
      </c>
      <c r="E195" s="95"/>
      <c r="F195" s="157"/>
      <c r="G195" s="157"/>
      <c r="H195" s="172"/>
      <c r="I195" s="172"/>
      <c r="J195" s="172"/>
      <c r="K195" s="172"/>
    </row>
    <row r="196" spans="2:11" ht="25.2" customHeight="1">
      <c r="B196" s="93">
        <f t="shared" si="8"/>
        <v>189</v>
      </c>
      <c r="C196" s="100">
        <f t="shared" si="9"/>
        <v>2492.3645645381307</v>
      </c>
      <c r="D196" s="100">
        <f t="shared" si="10"/>
        <v>2493.7728292919046</v>
      </c>
      <c r="E196" s="95"/>
      <c r="F196" s="157"/>
      <c r="G196" s="157"/>
      <c r="H196" s="172"/>
      <c r="I196" s="172"/>
      <c r="J196" s="172"/>
      <c r="K196" s="172"/>
    </row>
    <row r="197" spans="2:11" ht="25.2" customHeight="1">
      <c r="B197" s="93">
        <f t="shared" si="8"/>
        <v>190</v>
      </c>
      <c r="C197" s="100">
        <f t="shared" si="9"/>
        <v>2505.2149804163159</v>
      </c>
      <c r="D197" s="100">
        <f t="shared" si="10"/>
        <v>2506.6232451700898</v>
      </c>
      <c r="E197" s="95"/>
      <c r="F197" s="157"/>
      <c r="G197" s="157"/>
      <c r="H197" s="172"/>
      <c r="I197" s="172"/>
      <c r="J197" s="172"/>
      <c r="K197" s="172"/>
    </row>
    <row r="198" spans="2:11" ht="25.2" customHeight="1">
      <c r="B198" s="93">
        <f t="shared" si="8"/>
        <v>191</v>
      </c>
      <c r="C198" s="100">
        <f t="shared" si="9"/>
        <v>2518.0653962945012</v>
      </c>
      <c r="D198" s="100">
        <f t="shared" si="10"/>
        <v>2519.4736610482751</v>
      </c>
      <c r="E198" s="95"/>
      <c r="F198" s="157"/>
      <c r="G198" s="157"/>
      <c r="H198" s="172"/>
      <c r="I198" s="172"/>
      <c r="J198" s="172"/>
      <c r="K198" s="172"/>
    </row>
    <row r="199" spans="2:11" ht="25.2" customHeight="1">
      <c r="B199" s="93">
        <f t="shared" si="8"/>
        <v>192</v>
      </c>
      <c r="C199" s="100">
        <f t="shared" si="9"/>
        <v>2530.9158121726864</v>
      </c>
      <c r="D199" s="100">
        <f t="shared" si="10"/>
        <v>2532.3240769264603</v>
      </c>
      <c r="E199" s="95"/>
      <c r="F199" s="157"/>
      <c r="G199" s="157"/>
      <c r="H199" s="172"/>
      <c r="I199" s="172"/>
      <c r="J199" s="172"/>
      <c r="K199" s="172"/>
    </row>
    <row r="200" spans="2:11" ht="25.2" customHeight="1">
      <c r="B200" s="93">
        <f t="shared" si="8"/>
        <v>193</v>
      </c>
      <c r="C200" s="100">
        <f t="shared" si="9"/>
        <v>2543.7662280508716</v>
      </c>
      <c r="D200" s="100">
        <f t="shared" si="10"/>
        <v>2545.1744928046455</v>
      </c>
      <c r="E200" s="95"/>
      <c r="F200" s="157"/>
      <c r="G200" s="157"/>
      <c r="H200" s="172"/>
      <c r="I200" s="172"/>
      <c r="J200" s="172"/>
      <c r="K200" s="172"/>
    </row>
    <row r="201" spans="2:11" ht="25.2" customHeight="1">
      <c r="B201" s="93">
        <f t="shared" si="8"/>
        <v>194</v>
      </c>
      <c r="C201" s="100">
        <f t="shared" si="9"/>
        <v>2556.6166439290569</v>
      </c>
      <c r="D201" s="100">
        <f t="shared" si="10"/>
        <v>2558.0249086828308</v>
      </c>
      <c r="E201" s="95"/>
      <c r="F201" s="157"/>
      <c r="G201" s="157"/>
      <c r="H201" s="172"/>
      <c r="I201" s="172"/>
      <c r="J201" s="172"/>
      <c r="K201" s="172"/>
    </row>
    <row r="202" spans="2:11" ht="25.2" customHeight="1">
      <c r="B202" s="93">
        <f t="shared" si="8"/>
        <v>195</v>
      </c>
      <c r="C202" s="100">
        <f t="shared" si="9"/>
        <v>2569.4670598072421</v>
      </c>
      <c r="D202" s="100">
        <f t="shared" si="10"/>
        <v>2570.875324561016</v>
      </c>
      <c r="E202" s="95"/>
      <c r="F202" s="157"/>
      <c r="G202" s="157"/>
      <c r="H202" s="172"/>
      <c r="I202" s="172"/>
      <c r="J202" s="172"/>
      <c r="K202" s="172"/>
    </row>
    <row r="203" spans="2:11" ht="25.2" customHeight="1">
      <c r="B203" s="93">
        <f t="shared" si="8"/>
        <v>196</v>
      </c>
      <c r="C203" s="100">
        <f t="shared" si="9"/>
        <v>2582.3174756854273</v>
      </c>
      <c r="D203" s="100">
        <f t="shared" si="10"/>
        <v>2583.7257404392012</v>
      </c>
      <c r="E203" s="95"/>
      <c r="F203" s="157"/>
      <c r="G203" s="157"/>
      <c r="H203" s="172"/>
      <c r="I203" s="172"/>
      <c r="J203" s="172"/>
      <c r="K203" s="172"/>
    </row>
    <row r="204" spans="2:11" ht="25.2" customHeight="1">
      <c r="B204" s="93">
        <f t="shared" si="8"/>
        <v>197</v>
      </c>
      <c r="C204" s="100">
        <f t="shared" si="9"/>
        <v>2595.1678915636126</v>
      </c>
      <c r="D204" s="100">
        <f t="shared" si="10"/>
        <v>2596.5761563173864</v>
      </c>
      <c r="E204" s="95"/>
      <c r="F204" s="157"/>
      <c r="G204" s="157"/>
      <c r="H204" s="172"/>
      <c r="I204" s="172"/>
      <c r="J204" s="172"/>
      <c r="K204" s="172"/>
    </row>
    <row r="205" spans="2:11" ht="25.2" customHeight="1">
      <c r="B205" s="93">
        <f t="shared" si="8"/>
        <v>198</v>
      </c>
      <c r="C205" s="100">
        <f t="shared" si="9"/>
        <v>2608.0183074417978</v>
      </c>
      <c r="D205" s="100">
        <f t="shared" si="10"/>
        <v>2609.4265721955717</v>
      </c>
      <c r="E205" s="95"/>
      <c r="F205" s="157"/>
      <c r="G205" s="157"/>
      <c r="H205" s="172"/>
      <c r="I205" s="172"/>
      <c r="J205" s="172"/>
      <c r="K205" s="172"/>
    </row>
    <row r="206" spans="2:11" ht="25.2" customHeight="1">
      <c r="B206" s="93">
        <f t="shared" si="8"/>
        <v>199</v>
      </c>
      <c r="C206" s="100">
        <f t="shared" si="9"/>
        <v>2620.868723319983</v>
      </c>
      <c r="D206" s="100">
        <f t="shared" si="10"/>
        <v>2622.2769880737569</v>
      </c>
      <c r="E206" s="95"/>
      <c r="F206" s="157"/>
      <c r="G206" s="157"/>
      <c r="H206" s="172"/>
      <c r="I206" s="172"/>
      <c r="J206" s="172"/>
      <c r="K206" s="172"/>
    </row>
    <row r="207" spans="2:11" ht="25.2" customHeight="1">
      <c r="B207" s="93">
        <f t="shared" si="8"/>
        <v>200</v>
      </c>
      <c r="C207" s="100">
        <f t="shared" si="9"/>
        <v>2633.7191391981683</v>
      </c>
      <c r="D207" s="100">
        <f t="shared" si="10"/>
        <v>2635.1274039519421</v>
      </c>
      <c r="E207" s="95"/>
      <c r="F207" s="157"/>
      <c r="G207" s="157"/>
      <c r="H207" s="172"/>
      <c r="I207" s="172"/>
      <c r="J207" s="172"/>
      <c r="K207" s="172"/>
    </row>
    <row r="208" spans="2:11" ht="25.2" customHeight="1">
      <c r="B208" s="93">
        <f t="shared" si="8"/>
        <v>201</v>
      </c>
      <c r="C208" s="100">
        <f t="shared" si="9"/>
        <v>2646.5695550763535</v>
      </c>
      <c r="D208" s="100">
        <f t="shared" si="10"/>
        <v>2647.9778198301274</v>
      </c>
      <c r="E208" s="95"/>
      <c r="F208" s="157"/>
      <c r="G208" s="157"/>
      <c r="H208" s="172"/>
      <c r="I208" s="172"/>
      <c r="J208" s="172"/>
      <c r="K208" s="172"/>
    </row>
    <row r="209" spans="2:11" ht="25.2" customHeight="1">
      <c r="B209" s="93">
        <f t="shared" si="8"/>
        <v>202</v>
      </c>
      <c r="C209" s="100">
        <f t="shared" si="9"/>
        <v>2659.4199709545387</v>
      </c>
      <c r="D209" s="100">
        <f t="shared" si="10"/>
        <v>2660.8282357083126</v>
      </c>
      <c r="E209" s="95"/>
      <c r="F209" s="157"/>
      <c r="G209" s="157"/>
      <c r="H209" s="172"/>
      <c r="I209" s="172"/>
      <c r="J209" s="172"/>
      <c r="K209" s="172"/>
    </row>
    <row r="210" spans="2:11" ht="25.2" customHeight="1">
      <c r="B210" s="93">
        <f t="shared" si="8"/>
        <v>203</v>
      </c>
      <c r="C210" s="100">
        <f t="shared" si="9"/>
        <v>2672.2703868327239</v>
      </c>
      <c r="D210" s="100">
        <f t="shared" si="10"/>
        <v>2673.6786515864978</v>
      </c>
      <c r="E210" s="95"/>
      <c r="F210" s="157"/>
      <c r="G210" s="157"/>
      <c r="H210" s="172"/>
      <c r="I210" s="172"/>
      <c r="J210" s="172"/>
      <c r="K210" s="172"/>
    </row>
    <row r="211" spans="2:11" ht="25.2" customHeight="1">
      <c r="B211" s="93">
        <f t="shared" si="8"/>
        <v>204</v>
      </c>
      <c r="C211" s="100">
        <f t="shared" si="9"/>
        <v>2685.1208027109092</v>
      </c>
      <c r="D211" s="100">
        <f t="shared" si="10"/>
        <v>2686.5290674646831</v>
      </c>
      <c r="E211" s="95"/>
      <c r="F211" s="157"/>
      <c r="G211" s="157"/>
      <c r="H211" s="172"/>
      <c r="I211" s="172"/>
      <c r="J211" s="172"/>
      <c r="K211" s="172"/>
    </row>
    <row r="212" spans="2:11" ht="25.2" customHeight="1">
      <c r="B212" s="93">
        <f t="shared" si="8"/>
        <v>205</v>
      </c>
      <c r="C212" s="100">
        <f t="shared" si="9"/>
        <v>2697.9712185890944</v>
      </c>
      <c r="D212" s="100">
        <f t="shared" si="10"/>
        <v>2699.3794833428683</v>
      </c>
      <c r="E212" s="95"/>
      <c r="F212" s="157"/>
      <c r="G212" s="157"/>
      <c r="H212" s="172"/>
      <c r="I212" s="172"/>
      <c r="J212" s="172"/>
      <c r="K212" s="172"/>
    </row>
    <row r="213" spans="2:11" ht="25.2" customHeight="1">
      <c r="B213" s="93">
        <f t="shared" si="8"/>
        <v>206</v>
      </c>
      <c r="C213" s="100">
        <f t="shared" si="9"/>
        <v>2710.8216344672796</v>
      </c>
      <c r="D213" s="100">
        <f t="shared" si="10"/>
        <v>2712.2298992210535</v>
      </c>
      <c r="E213" s="95"/>
      <c r="F213" s="157"/>
      <c r="G213" s="157"/>
      <c r="H213" s="172"/>
      <c r="I213" s="172"/>
      <c r="J213" s="172"/>
      <c r="K213" s="172"/>
    </row>
    <row r="214" spans="2:11" ht="25.2" customHeight="1">
      <c r="B214" s="93">
        <f t="shared" si="8"/>
        <v>207</v>
      </c>
      <c r="C214" s="100">
        <f t="shared" si="9"/>
        <v>2723.6720503454649</v>
      </c>
      <c r="D214" s="100">
        <f t="shared" si="10"/>
        <v>2725.0803150992388</v>
      </c>
      <c r="E214" s="95"/>
      <c r="F214" s="157"/>
      <c r="G214" s="157"/>
      <c r="H214" s="172"/>
      <c r="I214" s="172"/>
      <c r="J214" s="172"/>
      <c r="K214" s="172"/>
    </row>
    <row r="215" spans="2:11" ht="25.2" customHeight="1">
      <c r="B215" s="93">
        <f t="shared" si="8"/>
        <v>208</v>
      </c>
      <c r="C215" s="100">
        <f t="shared" si="9"/>
        <v>2736.5224662236501</v>
      </c>
      <c r="D215" s="100">
        <f t="shared" si="10"/>
        <v>2737.930730977424</v>
      </c>
      <c r="E215" s="95"/>
      <c r="F215" s="157"/>
      <c r="G215" s="157"/>
      <c r="H215" s="172"/>
      <c r="I215" s="172"/>
      <c r="J215" s="172"/>
      <c r="K215" s="172"/>
    </row>
    <row r="216" spans="2:11" ht="25.2" customHeight="1">
      <c r="B216" s="93">
        <f t="shared" si="8"/>
        <v>209</v>
      </c>
      <c r="C216" s="100">
        <f t="shared" si="9"/>
        <v>2749.3728821018353</v>
      </c>
      <c r="D216" s="100">
        <f t="shared" si="10"/>
        <v>2750.7811468556092</v>
      </c>
      <c r="E216" s="95"/>
      <c r="F216" s="157"/>
      <c r="G216" s="157"/>
      <c r="H216" s="172"/>
      <c r="I216" s="172"/>
      <c r="J216" s="172"/>
      <c r="K216" s="172"/>
    </row>
    <row r="217" spans="2:11" ht="25.2" customHeight="1">
      <c r="B217" s="93">
        <f t="shared" si="8"/>
        <v>210</v>
      </c>
      <c r="C217" s="100">
        <f t="shared" si="9"/>
        <v>2762.2232979800206</v>
      </c>
      <c r="D217" s="100">
        <f t="shared" si="10"/>
        <v>2763.6315627337945</v>
      </c>
      <c r="E217" s="95"/>
      <c r="F217" s="157"/>
      <c r="G217" s="157"/>
      <c r="H217" s="172"/>
      <c r="I217" s="172"/>
      <c r="J217" s="172"/>
      <c r="K217" s="172"/>
    </row>
    <row r="218" spans="2:11" ht="25.2" customHeight="1">
      <c r="B218" s="93">
        <f t="shared" si="8"/>
        <v>211</v>
      </c>
      <c r="C218" s="100">
        <f t="shared" si="9"/>
        <v>2775.0737138582058</v>
      </c>
      <c r="D218" s="100">
        <f t="shared" si="10"/>
        <v>2776.4819786119797</v>
      </c>
      <c r="E218" s="95"/>
      <c r="F218" s="157"/>
      <c r="G218" s="157"/>
      <c r="H218" s="172"/>
      <c r="I218" s="172"/>
      <c r="J218" s="172"/>
      <c r="K218" s="172"/>
    </row>
    <row r="219" spans="2:11" ht="25.2" customHeight="1">
      <c r="B219" s="93">
        <f t="shared" si="8"/>
        <v>212</v>
      </c>
      <c r="C219" s="100">
        <f t="shared" si="9"/>
        <v>2787.924129736391</v>
      </c>
      <c r="D219" s="100">
        <f t="shared" si="10"/>
        <v>2789.3323944901649</v>
      </c>
      <c r="E219" s="95"/>
      <c r="F219" s="157"/>
      <c r="G219" s="157"/>
      <c r="H219" s="172"/>
      <c r="I219" s="172"/>
      <c r="J219" s="172"/>
      <c r="K219" s="172"/>
    </row>
    <row r="220" spans="2:11" ht="25.2" customHeight="1">
      <c r="B220" s="93">
        <f t="shared" si="8"/>
        <v>213</v>
      </c>
      <c r="C220" s="100">
        <f t="shared" si="9"/>
        <v>2800.7745456145763</v>
      </c>
      <c r="D220" s="100">
        <f t="shared" si="10"/>
        <v>2802.1828103683501</v>
      </c>
      <c r="E220" s="95"/>
      <c r="F220" s="157"/>
      <c r="G220" s="157"/>
      <c r="H220" s="172"/>
      <c r="I220" s="172"/>
      <c r="J220" s="172"/>
      <c r="K220" s="172"/>
    </row>
    <row r="221" spans="2:11" ht="25.2" customHeight="1">
      <c r="B221" s="93">
        <f t="shared" si="8"/>
        <v>214</v>
      </c>
      <c r="C221" s="100">
        <f t="shared" si="9"/>
        <v>2813.6249614927615</v>
      </c>
      <c r="D221" s="100">
        <f t="shared" si="10"/>
        <v>2815.0332262465354</v>
      </c>
      <c r="E221" s="95"/>
      <c r="F221" s="157"/>
      <c r="G221" s="157"/>
      <c r="H221" s="172"/>
      <c r="I221" s="172"/>
      <c r="J221" s="172"/>
      <c r="K221" s="172"/>
    </row>
    <row r="222" spans="2:11" ht="25.2" customHeight="1">
      <c r="B222" s="93">
        <f t="shared" si="8"/>
        <v>215</v>
      </c>
      <c r="C222" s="100">
        <f t="shared" si="9"/>
        <v>2826.4753773709467</v>
      </c>
      <c r="D222" s="100">
        <f t="shared" si="10"/>
        <v>2827.8836421247206</v>
      </c>
      <c r="E222" s="95"/>
      <c r="F222" s="157"/>
      <c r="G222" s="157"/>
      <c r="H222" s="172"/>
      <c r="I222" s="172"/>
      <c r="J222" s="172"/>
      <c r="K222" s="172"/>
    </row>
    <row r="223" spans="2:11" ht="25.2" customHeight="1">
      <c r="B223" s="93">
        <f t="shared" si="8"/>
        <v>216</v>
      </c>
      <c r="C223" s="100">
        <f t="shared" si="9"/>
        <v>2839.3257932491319</v>
      </c>
      <c r="D223" s="100">
        <f t="shared" si="10"/>
        <v>2840.7340580029058</v>
      </c>
      <c r="E223" s="95"/>
    </row>
    <row r="224" spans="2:11" ht="25.2" customHeight="1">
      <c r="B224" s="93">
        <f t="shared" si="8"/>
        <v>217</v>
      </c>
      <c r="C224" s="100">
        <f t="shared" si="9"/>
        <v>2852.1762091273172</v>
      </c>
      <c r="D224" s="100">
        <f t="shared" si="10"/>
        <v>2853.5844738810911</v>
      </c>
      <c r="E224" s="95"/>
    </row>
    <row r="225" spans="2:5" ht="25.2" customHeight="1">
      <c r="B225" s="93">
        <f t="shared" si="8"/>
        <v>218</v>
      </c>
      <c r="C225" s="100">
        <f t="shared" si="9"/>
        <v>2865.0266250055024</v>
      </c>
      <c r="D225" s="100">
        <f t="shared" si="10"/>
        <v>2866.4348897592763</v>
      </c>
      <c r="E225" s="95"/>
    </row>
    <row r="226" spans="2:5" ht="25.2" customHeight="1">
      <c r="B226" s="93">
        <f t="shared" si="8"/>
        <v>219</v>
      </c>
      <c r="C226" s="100">
        <f t="shared" si="9"/>
        <v>2877.8770408836876</v>
      </c>
      <c r="D226" s="100">
        <f t="shared" si="10"/>
        <v>2879.2853056374615</v>
      </c>
      <c r="E226" s="95"/>
    </row>
    <row r="227" spans="2:5" ht="25.2" customHeight="1">
      <c r="B227" s="93">
        <f t="shared" si="8"/>
        <v>220</v>
      </c>
      <c r="C227" s="100">
        <f t="shared" si="9"/>
        <v>2890.7274567618729</v>
      </c>
      <c r="D227" s="100">
        <f t="shared" si="10"/>
        <v>2892.1357215156468</v>
      </c>
      <c r="E227" s="95"/>
    </row>
    <row r="228" spans="2:5" ht="25.2" customHeight="1">
      <c r="B228" s="93">
        <f t="shared" si="8"/>
        <v>221</v>
      </c>
      <c r="C228" s="100">
        <f t="shared" si="9"/>
        <v>2903.5778726400581</v>
      </c>
      <c r="D228" s="100">
        <f t="shared" si="10"/>
        <v>2904.986137393832</v>
      </c>
      <c r="E228" s="95"/>
    </row>
    <row r="229" spans="2:5" ht="25.2" customHeight="1">
      <c r="B229" s="93">
        <f t="shared" si="8"/>
        <v>222</v>
      </c>
      <c r="C229" s="100">
        <f t="shared" si="9"/>
        <v>2916.4282885182433</v>
      </c>
      <c r="D229" s="100">
        <f t="shared" si="10"/>
        <v>2917.8365532720172</v>
      </c>
      <c r="E229" s="95"/>
    </row>
    <row r="230" spans="2:5" ht="25.2" customHeight="1">
      <c r="B230" s="93">
        <f t="shared" si="8"/>
        <v>223</v>
      </c>
      <c r="C230" s="100">
        <f t="shared" si="9"/>
        <v>2929.2787043964286</v>
      </c>
      <c r="D230" s="100">
        <f t="shared" si="10"/>
        <v>2930.6869691502025</v>
      </c>
      <c r="E230" s="95"/>
    </row>
    <row r="231" spans="2:5" ht="25.2" customHeight="1">
      <c r="B231" s="93">
        <f t="shared" ref="B231:B294" si="11">B230+1</f>
        <v>224</v>
      </c>
      <c r="C231" s="100">
        <f t="shared" ref="C231:C294" si="12">C230+($P$13/$P$19)</f>
        <v>2942.1291202746138</v>
      </c>
      <c r="D231" s="100">
        <f t="shared" ref="D231:D294" si="13">D230+($Q$13/$P$19)</f>
        <v>2943.5373850283877</v>
      </c>
      <c r="E231" s="95"/>
    </row>
    <row r="232" spans="2:5" ht="25.2" customHeight="1">
      <c r="B232" s="93">
        <f t="shared" si="11"/>
        <v>225</v>
      </c>
      <c r="C232" s="100">
        <f t="shared" si="12"/>
        <v>2954.979536152799</v>
      </c>
      <c r="D232" s="100">
        <f t="shared" si="13"/>
        <v>2956.3878009065729</v>
      </c>
      <c r="E232" s="95"/>
    </row>
    <row r="233" spans="2:5" ht="25.2" customHeight="1">
      <c r="B233" s="93">
        <f t="shared" si="11"/>
        <v>226</v>
      </c>
      <c r="C233" s="100">
        <f t="shared" si="12"/>
        <v>2967.8299520309843</v>
      </c>
      <c r="D233" s="100">
        <f t="shared" si="13"/>
        <v>2969.2382167847582</v>
      </c>
      <c r="E233" s="95"/>
    </row>
    <row r="234" spans="2:5" ht="25.2" customHeight="1">
      <c r="B234" s="93">
        <f t="shared" si="11"/>
        <v>227</v>
      </c>
      <c r="C234" s="100">
        <f t="shared" si="12"/>
        <v>2980.6803679091695</v>
      </c>
      <c r="D234" s="100">
        <f t="shared" si="13"/>
        <v>2982.0886326629434</v>
      </c>
      <c r="E234" s="95"/>
    </row>
    <row r="235" spans="2:5" ht="25.2" customHeight="1">
      <c r="B235" s="93">
        <f t="shared" si="11"/>
        <v>228</v>
      </c>
      <c r="C235" s="100">
        <f t="shared" si="12"/>
        <v>2993.5307837873547</v>
      </c>
      <c r="D235" s="100">
        <f t="shared" si="13"/>
        <v>2994.9390485411286</v>
      </c>
      <c r="E235" s="95"/>
    </row>
    <row r="236" spans="2:5" ht="25.2" customHeight="1">
      <c r="B236" s="93">
        <f t="shared" si="11"/>
        <v>229</v>
      </c>
      <c r="C236" s="100">
        <f t="shared" si="12"/>
        <v>3006.38119966554</v>
      </c>
      <c r="D236" s="100">
        <f t="shared" si="13"/>
        <v>3007.7894644193138</v>
      </c>
      <c r="E236" s="95"/>
    </row>
    <row r="237" spans="2:5" ht="25.2" customHeight="1">
      <c r="B237" s="93">
        <f t="shared" si="11"/>
        <v>230</v>
      </c>
      <c r="C237" s="100">
        <f t="shared" si="12"/>
        <v>3019.2316155437252</v>
      </c>
      <c r="D237" s="100">
        <f t="shared" si="13"/>
        <v>3020.6398802974991</v>
      </c>
      <c r="E237" s="95"/>
    </row>
    <row r="238" spans="2:5" ht="25.2" customHeight="1">
      <c r="B238" s="93">
        <f t="shared" si="11"/>
        <v>231</v>
      </c>
      <c r="C238" s="100">
        <f t="shared" si="12"/>
        <v>3032.0820314219104</v>
      </c>
      <c r="D238" s="100">
        <f t="shared" si="13"/>
        <v>3033.4902961756843</v>
      </c>
      <c r="E238" s="95"/>
    </row>
    <row r="239" spans="2:5" ht="25.2" customHeight="1">
      <c r="B239" s="93">
        <f t="shared" si="11"/>
        <v>232</v>
      </c>
      <c r="C239" s="100">
        <f t="shared" si="12"/>
        <v>3044.9324473000956</v>
      </c>
      <c r="D239" s="100">
        <f t="shared" si="13"/>
        <v>3046.3407120538695</v>
      </c>
      <c r="E239" s="95"/>
    </row>
    <row r="240" spans="2:5" ht="25.2" customHeight="1">
      <c r="B240" s="93">
        <f t="shared" si="11"/>
        <v>233</v>
      </c>
      <c r="C240" s="100">
        <f t="shared" si="12"/>
        <v>3057.7828631782809</v>
      </c>
      <c r="D240" s="100">
        <f t="shared" si="13"/>
        <v>3059.1911279320548</v>
      </c>
      <c r="E240" s="95"/>
    </row>
    <row r="241" spans="2:5" ht="25.2" customHeight="1">
      <c r="B241" s="93">
        <f t="shared" si="11"/>
        <v>234</v>
      </c>
      <c r="C241" s="100">
        <f t="shared" si="12"/>
        <v>3070.6332790564661</v>
      </c>
      <c r="D241" s="100">
        <f t="shared" si="13"/>
        <v>3072.04154381024</v>
      </c>
      <c r="E241" s="95"/>
    </row>
    <row r="242" spans="2:5" ht="25.2" customHeight="1">
      <c r="B242" s="93">
        <f t="shared" si="11"/>
        <v>235</v>
      </c>
      <c r="C242" s="100">
        <f t="shared" si="12"/>
        <v>3083.4836949346513</v>
      </c>
      <c r="D242" s="100">
        <f t="shared" si="13"/>
        <v>3084.8919596884252</v>
      </c>
      <c r="E242" s="95"/>
    </row>
    <row r="243" spans="2:5" ht="25.2" customHeight="1">
      <c r="B243" s="93">
        <f t="shared" si="11"/>
        <v>236</v>
      </c>
      <c r="C243" s="100">
        <f t="shared" si="12"/>
        <v>3096.3341108128366</v>
      </c>
      <c r="D243" s="100">
        <f t="shared" si="13"/>
        <v>3097.7423755666105</v>
      </c>
      <c r="E243" s="95"/>
    </row>
    <row r="244" spans="2:5" ht="25.2" customHeight="1">
      <c r="B244" s="93">
        <f t="shared" si="11"/>
        <v>237</v>
      </c>
      <c r="C244" s="100">
        <f t="shared" si="12"/>
        <v>3109.1845266910218</v>
      </c>
      <c r="D244" s="100">
        <f t="shared" si="13"/>
        <v>3110.5927914447957</v>
      </c>
      <c r="E244" s="95"/>
    </row>
    <row r="245" spans="2:5" ht="25.2" customHeight="1">
      <c r="B245" s="93">
        <f t="shared" si="11"/>
        <v>238</v>
      </c>
      <c r="C245" s="100">
        <f t="shared" si="12"/>
        <v>3122.034942569207</v>
      </c>
      <c r="D245" s="100">
        <f t="shared" si="13"/>
        <v>3123.4432073229809</v>
      </c>
      <c r="E245" s="95"/>
    </row>
    <row r="246" spans="2:5" ht="25.2" customHeight="1">
      <c r="B246" s="93">
        <f t="shared" si="11"/>
        <v>239</v>
      </c>
      <c r="C246" s="100">
        <f t="shared" si="12"/>
        <v>3134.8853584473923</v>
      </c>
      <c r="D246" s="100">
        <f t="shared" si="13"/>
        <v>3136.2936232011662</v>
      </c>
      <c r="E246" s="95"/>
    </row>
    <row r="247" spans="2:5" ht="25.2" customHeight="1">
      <c r="B247" s="93">
        <f t="shared" si="11"/>
        <v>240</v>
      </c>
      <c r="C247" s="100">
        <f t="shared" si="12"/>
        <v>3147.7357743255775</v>
      </c>
      <c r="D247" s="100">
        <f t="shared" si="13"/>
        <v>3149.1440390793514</v>
      </c>
      <c r="E247" s="95"/>
    </row>
    <row r="248" spans="2:5" ht="25.2" customHeight="1">
      <c r="B248" s="93">
        <f t="shared" si="11"/>
        <v>241</v>
      </c>
      <c r="C248" s="100">
        <f t="shared" si="12"/>
        <v>3160.5861902037627</v>
      </c>
      <c r="D248" s="100">
        <f t="shared" si="13"/>
        <v>3161.9944549575366</v>
      </c>
      <c r="E248" s="95"/>
    </row>
    <row r="249" spans="2:5" ht="25.2" customHeight="1">
      <c r="B249" s="93">
        <f t="shared" si="11"/>
        <v>242</v>
      </c>
      <c r="C249" s="100">
        <f t="shared" si="12"/>
        <v>3173.436606081948</v>
      </c>
      <c r="D249" s="100">
        <f t="shared" si="13"/>
        <v>3174.8448708357218</v>
      </c>
      <c r="E249" s="95"/>
    </row>
    <row r="250" spans="2:5" ht="25.2" customHeight="1">
      <c r="B250" s="93">
        <f t="shared" si="11"/>
        <v>243</v>
      </c>
      <c r="C250" s="100">
        <f t="shared" si="12"/>
        <v>3186.2870219601332</v>
      </c>
      <c r="D250" s="100">
        <f t="shared" si="13"/>
        <v>3187.6952867139071</v>
      </c>
      <c r="E250" s="95"/>
    </row>
    <row r="251" spans="2:5" ht="25.2" customHeight="1">
      <c r="B251" s="93">
        <f t="shared" si="11"/>
        <v>244</v>
      </c>
      <c r="C251" s="100">
        <f t="shared" si="12"/>
        <v>3199.1374378383184</v>
      </c>
      <c r="D251" s="100">
        <f t="shared" si="13"/>
        <v>3200.5457025920923</v>
      </c>
      <c r="E251" s="95"/>
    </row>
    <row r="252" spans="2:5" ht="25.2" customHeight="1">
      <c r="B252" s="93">
        <f t="shared" si="11"/>
        <v>245</v>
      </c>
      <c r="C252" s="100">
        <f t="shared" si="12"/>
        <v>3211.9878537165037</v>
      </c>
      <c r="D252" s="100">
        <f t="shared" si="13"/>
        <v>3213.3961184702775</v>
      </c>
      <c r="E252" s="95"/>
    </row>
    <row r="253" spans="2:5" ht="25.2" customHeight="1">
      <c r="B253" s="93">
        <f t="shared" si="11"/>
        <v>246</v>
      </c>
      <c r="C253" s="100">
        <f t="shared" si="12"/>
        <v>3224.8382695946889</v>
      </c>
      <c r="D253" s="100">
        <f t="shared" si="13"/>
        <v>3226.2465343484628</v>
      </c>
      <c r="E253" s="95"/>
    </row>
    <row r="254" spans="2:5" ht="25.2" customHeight="1">
      <c r="B254" s="93">
        <f t="shared" si="11"/>
        <v>247</v>
      </c>
      <c r="C254" s="100">
        <f t="shared" si="12"/>
        <v>3237.6886854728741</v>
      </c>
      <c r="D254" s="100">
        <f t="shared" si="13"/>
        <v>3239.096950226648</v>
      </c>
      <c r="E254" s="95"/>
    </row>
    <row r="255" spans="2:5" ht="25.2" customHeight="1">
      <c r="B255" s="93">
        <f t="shared" si="11"/>
        <v>248</v>
      </c>
      <c r="C255" s="100">
        <f t="shared" si="12"/>
        <v>3250.5391013510593</v>
      </c>
      <c r="D255" s="100">
        <f t="shared" si="13"/>
        <v>3251.9473661048332</v>
      </c>
      <c r="E255" s="95"/>
    </row>
    <row r="256" spans="2:5" ht="25.2" customHeight="1">
      <c r="B256" s="93">
        <f t="shared" si="11"/>
        <v>249</v>
      </c>
      <c r="C256" s="100">
        <f t="shared" si="12"/>
        <v>3263.3895172292446</v>
      </c>
      <c r="D256" s="100">
        <f t="shared" si="13"/>
        <v>3264.7977819830185</v>
      </c>
      <c r="E256" s="95"/>
    </row>
    <row r="257" spans="2:5" ht="25.2" customHeight="1">
      <c r="B257" s="93">
        <f t="shared" si="11"/>
        <v>250</v>
      </c>
      <c r="C257" s="100">
        <f t="shared" si="12"/>
        <v>3276.2399331074298</v>
      </c>
      <c r="D257" s="100">
        <f t="shared" si="13"/>
        <v>3277.6481978612037</v>
      </c>
      <c r="E257" s="95"/>
    </row>
    <row r="258" spans="2:5" ht="25.2" customHeight="1">
      <c r="B258" s="93">
        <f t="shared" si="11"/>
        <v>251</v>
      </c>
      <c r="C258" s="100">
        <f t="shared" si="12"/>
        <v>3289.090348985615</v>
      </c>
      <c r="D258" s="100">
        <f t="shared" si="13"/>
        <v>3290.4986137393889</v>
      </c>
      <c r="E258" s="95"/>
    </row>
    <row r="259" spans="2:5" ht="25.2" customHeight="1">
      <c r="B259" s="93">
        <f t="shared" si="11"/>
        <v>252</v>
      </c>
      <c r="C259" s="100">
        <f t="shared" si="12"/>
        <v>3301.9407648638003</v>
      </c>
      <c r="D259" s="100">
        <f t="shared" si="13"/>
        <v>3303.3490296175742</v>
      </c>
      <c r="E259" s="95"/>
    </row>
    <row r="260" spans="2:5" ht="25.2" customHeight="1">
      <c r="B260" s="93">
        <f t="shared" si="11"/>
        <v>253</v>
      </c>
      <c r="C260" s="100">
        <f t="shared" si="12"/>
        <v>3314.7911807419855</v>
      </c>
      <c r="D260" s="100">
        <f t="shared" si="13"/>
        <v>3316.1994454957594</v>
      </c>
      <c r="E260" s="95"/>
    </row>
    <row r="261" spans="2:5" ht="25.2" customHeight="1">
      <c r="B261" s="93">
        <f t="shared" si="11"/>
        <v>254</v>
      </c>
      <c r="C261" s="100">
        <f t="shared" si="12"/>
        <v>3327.6415966201707</v>
      </c>
      <c r="D261" s="100">
        <f t="shared" si="13"/>
        <v>3329.0498613739446</v>
      </c>
      <c r="E261" s="95"/>
    </row>
    <row r="262" spans="2:5" ht="25.2" customHeight="1">
      <c r="B262" s="93">
        <f t="shared" si="11"/>
        <v>255</v>
      </c>
      <c r="C262" s="100">
        <f t="shared" si="12"/>
        <v>3340.492012498356</v>
      </c>
      <c r="D262" s="100">
        <f t="shared" si="13"/>
        <v>3341.9002772521299</v>
      </c>
      <c r="E262" s="95"/>
    </row>
    <row r="263" spans="2:5" ht="25.2" customHeight="1">
      <c r="B263" s="93">
        <f t="shared" si="11"/>
        <v>256</v>
      </c>
      <c r="C263" s="100">
        <f t="shared" si="12"/>
        <v>3353.3424283765412</v>
      </c>
      <c r="D263" s="100">
        <f t="shared" si="13"/>
        <v>3354.7506931303151</v>
      </c>
      <c r="E263" s="95"/>
    </row>
    <row r="264" spans="2:5" ht="25.2" customHeight="1">
      <c r="B264" s="93">
        <f t="shared" si="11"/>
        <v>257</v>
      </c>
      <c r="C264" s="100">
        <f t="shared" si="12"/>
        <v>3366.1928442547264</v>
      </c>
      <c r="D264" s="100">
        <f t="shared" si="13"/>
        <v>3367.6011090085003</v>
      </c>
      <c r="E264" s="95"/>
    </row>
    <row r="265" spans="2:5" ht="25.2" customHeight="1">
      <c r="B265" s="93">
        <f t="shared" si="11"/>
        <v>258</v>
      </c>
      <c r="C265" s="100">
        <f t="shared" si="12"/>
        <v>3379.0432601329117</v>
      </c>
      <c r="D265" s="100">
        <f t="shared" si="13"/>
        <v>3380.4515248866855</v>
      </c>
      <c r="E265" s="95"/>
    </row>
    <row r="266" spans="2:5" ht="25.2" customHeight="1">
      <c r="B266" s="93">
        <f t="shared" si="11"/>
        <v>259</v>
      </c>
      <c r="C266" s="100">
        <f t="shared" si="12"/>
        <v>3391.8936760110969</v>
      </c>
      <c r="D266" s="100">
        <f t="shared" si="13"/>
        <v>3393.3019407648708</v>
      </c>
      <c r="E266" s="95"/>
    </row>
    <row r="267" spans="2:5" ht="25.2" customHeight="1">
      <c r="B267" s="93">
        <f t="shared" si="11"/>
        <v>260</v>
      </c>
      <c r="C267" s="100">
        <f t="shared" si="12"/>
        <v>3404.7440918892821</v>
      </c>
      <c r="D267" s="100">
        <f t="shared" si="13"/>
        <v>3406.152356643056</v>
      </c>
      <c r="E267" s="95"/>
    </row>
    <row r="268" spans="2:5" ht="25.2" customHeight="1">
      <c r="B268" s="93">
        <f t="shared" si="11"/>
        <v>261</v>
      </c>
      <c r="C268" s="100">
        <f t="shared" si="12"/>
        <v>3417.5945077674673</v>
      </c>
      <c r="D268" s="100">
        <f t="shared" si="13"/>
        <v>3419.0027725212412</v>
      </c>
      <c r="E268" s="95"/>
    </row>
    <row r="269" spans="2:5" ht="25.2" customHeight="1">
      <c r="B269" s="93">
        <f t="shared" si="11"/>
        <v>262</v>
      </c>
      <c r="C269" s="100">
        <f t="shared" si="12"/>
        <v>3430.4449236456526</v>
      </c>
      <c r="D269" s="100">
        <f t="shared" si="13"/>
        <v>3431.8531883994265</v>
      </c>
      <c r="E269" s="95"/>
    </row>
    <row r="270" spans="2:5" ht="25.2" customHeight="1">
      <c r="B270" s="93">
        <f t="shared" si="11"/>
        <v>263</v>
      </c>
      <c r="C270" s="100">
        <f t="shared" si="12"/>
        <v>3443.2953395238378</v>
      </c>
      <c r="D270" s="100">
        <f t="shared" si="13"/>
        <v>3444.7036042776117</v>
      </c>
      <c r="E270" s="95"/>
    </row>
    <row r="271" spans="2:5" ht="25.2" customHeight="1">
      <c r="B271" s="93">
        <f t="shared" si="11"/>
        <v>264</v>
      </c>
      <c r="C271" s="100">
        <f t="shared" si="12"/>
        <v>3456.145755402023</v>
      </c>
      <c r="D271" s="100">
        <f t="shared" si="13"/>
        <v>3457.5540201557969</v>
      </c>
      <c r="E271" s="95"/>
    </row>
    <row r="272" spans="2:5" ht="25.2" customHeight="1">
      <c r="B272" s="93">
        <f t="shared" si="11"/>
        <v>265</v>
      </c>
      <c r="C272" s="100">
        <f t="shared" si="12"/>
        <v>3468.9961712802083</v>
      </c>
      <c r="D272" s="100">
        <f t="shared" si="13"/>
        <v>3470.4044360339822</v>
      </c>
      <c r="E272" s="95"/>
    </row>
    <row r="273" spans="2:5" ht="25.2" customHeight="1">
      <c r="B273" s="93">
        <f t="shared" si="11"/>
        <v>266</v>
      </c>
      <c r="C273" s="100">
        <f t="shared" si="12"/>
        <v>3481.8465871583935</v>
      </c>
      <c r="D273" s="100">
        <f t="shared" si="13"/>
        <v>3483.2548519121674</v>
      </c>
      <c r="E273" s="95"/>
    </row>
    <row r="274" spans="2:5" ht="25.2" customHeight="1">
      <c r="B274" s="93">
        <f t="shared" si="11"/>
        <v>267</v>
      </c>
      <c r="C274" s="100">
        <f t="shared" si="12"/>
        <v>3494.6970030365787</v>
      </c>
      <c r="D274" s="100">
        <f t="shared" si="13"/>
        <v>3496.1052677903526</v>
      </c>
      <c r="E274" s="95"/>
    </row>
    <row r="275" spans="2:5" ht="25.2" customHeight="1">
      <c r="B275" s="93">
        <f t="shared" si="11"/>
        <v>268</v>
      </c>
      <c r="C275" s="100">
        <f t="shared" si="12"/>
        <v>3507.547418914764</v>
      </c>
      <c r="D275" s="100">
        <f t="shared" si="13"/>
        <v>3508.9556836685379</v>
      </c>
      <c r="E275" s="95"/>
    </row>
    <row r="276" spans="2:5" ht="25.2" customHeight="1">
      <c r="B276" s="93">
        <f t="shared" si="11"/>
        <v>269</v>
      </c>
      <c r="C276" s="100">
        <f t="shared" si="12"/>
        <v>3520.3978347929492</v>
      </c>
      <c r="D276" s="100">
        <f t="shared" si="13"/>
        <v>3521.8060995467231</v>
      </c>
      <c r="E276" s="95"/>
    </row>
    <row r="277" spans="2:5" ht="25.2" customHeight="1">
      <c r="B277" s="93">
        <f t="shared" si="11"/>
        <v>270</v>
      </c>
      <c r="C277" s="100">
        <f t="shared" si="12"/>
        <v>3533.2482506711344</v>
      </c>
      <c r="D277" s="100">
        <f t="shared" si="13"/>
        <v>3534.6565154249083</v>
      </c>
      <c r="E277" s="95"/>
    </row>
    <row r="278" spans="2:5" ht="25.2" customHeight="1">
      <c r="B278" s="93">
        <f t="shared" si="11"/>
        <v>271</v>
      </c>
      <c r="C278" s="100">
        <f t="shared" si="12"/>
        <v>3546.0986665493197</v>
      </c>
      <c r="D278" s="100">
        <f t="shared" si="13"/>
        <v>3547.5069313030936</v>
      </c>
      <c r="E278" s="95"/>
    </row>
    <row r="279" spans="2:5" ht="25.2" customHeight="1">
      <c r="B279" s="93">
        <f t="shared" si="11"/>
        <v>272</v>
      </c>
      <c r="C279" s="100">
        <f t="shared" si="12"/>
        <v>3558.9490824275049</v>
      </c>
      <c r="D279" s="100">
        <f t="shared" si="13"/>
        <v>3560.3573471812788</v>
      </c>
      <c r="E279" s="95"/>
    </row>
    <row r="280" spans="2:5" ht="25.2" customHeight="1">
      <c r="B280" s="93">
        <f t="shared" si="11"/>
        <v>273</v>
      </c>
      <c r="C280" s="100">
        <f t="shared" si="12"/>
        <v>3571.7994983056901</v>
      </c>
      <c r="D280" s="100">
        <f t="shared" si="13"/>
        <v>3573.207763059464</v>
      </c>
      <c r="E280" s="95"/>
    </row>
    <row r="281" spans="2:5" ht="25.2" customHeight="1">
      <c r="B281" s="93">
        <f t="shared" si="11"/>
        <v>274</v>
      </c>
      <c r="C281" s="100">
        <f t="shared" si="12"/>
        <v>3584.6499141838754</v>
      </c>
      <c r="D281" s="100">
        <f t="shared" si="13"/>
        <v>3586.0581789376492</v>
      </c>
      <c r="E281" s="95"/>
    </row>
    <row r="282" spans="2:5" ht="25.2" customHeight="1">
      <c r="B282" s="93">
        <f t="shared" si="11"/>
        <v>275</v>
      </c>
      <c r="C282" s="100">
        <f t="shared" si="12"/>
        <v>3597.5003300620606</v>
      </c>
      <c r="D282" s="100">
        <f t="shared" si="13"/>
        <v>3598.9085948158345</v>
      </c>
      <c r="E282" s="95"/>
    </row>
    <row r="283" spans="2:5" ht="25.2" customHeight="1">
      <c r="B283" s="93">
        <f t="shared" si="11"/>
        <v>276</v>
      </c>
      <c r="C283" s="100">
        <f t="shared" si="12"/>
        <v>3610.3507459402458</v>
      </c>
      <c r="D283" s="100">
        <f t="shared" si="13"/>
        <v>3611.7590106940197</v>
      </c>
      <c r="E283" s="95"/>
    </row>
    <row r="284" spans="2:5" ht="25.2" customHeight="1">
      <c r="B284" s="93">
        <f t="shared" si="11"/>
        <v>277</v>
      </c>
      <c r="C284" s="100">
        <f t="shared" si="12"/>
        <v>3623.201161818431</v>
      </c>
      <c r="D284" s="100">
        <f t="shared" si="13"/>
        <v>3624.6094265722049</v>
      </c>
      <c r="E284" s="95"/>
    </row>
    <row r="285" spans="2:5" ht="25.2" customHeight="1">
      <c r="B285" s="93">
        <f t="shared" si="11"/>
        <v>278</v>
      </c>
      <c r="C285" s="100">
        <f t="shared" si="12"/>
        <v>3636.0515776966163</v>
      </c>
      <c r="D285" s="100">
        <f t="shared" si="13"/>
        <v>3637.4598424503902</v>
      </c>
      <c r="E285" s="95"/>
    </row>
    <row r="286" spans="2:5" ht="25.2" customHeight="1">
      <c r="B286" s="93">
        <f t="shared" si="11"/>
        <v>279</v>
      </c>
      <c r="C286" s="100">
        <f t="shared" si="12"/>
        <v>3648.9019935748015</v>
      </c>
      <c r="D286" s="100">
        <f t="shared" si="13"/>
        <v>3650.3102583285754</v>
      </c>
      <c r="E286" s="95"/>
    </row>
    <row r="287" spans="2:5" ht="25.2" customHeight="1">
      <c r="B287" s="93">
        <f t="shared" si="11"/>
        <v>280</v>
      </c>
      <c r="C287" s="100">
        <f t="shared" si="12"/>
        <v>3661.7524094529867</v>
      </c>
      <c r="D287" s="100">
        <f t="shared" si="13"/>
        <v>3663.1606742067606</v>
      </c>
      <c r="E287" s="95"/>
    </row>
    <row r="288" spans="2:5" ht="25.2" customHeight="1">
      <c r="B288" s="93">
        <f t="shared" si="11"/>
        <v>281</v>
      </c>
      <c r="C288" s="100">
        <f t="shared" si="12"/>
        <v>3674.602825331172</v>
      </c>
      <c r="D288" s="100">
        <f t="shared" si="13"/>
        <v>3676.0110900849459</v>
      </c>
      <c r="E288" s="95"/>
    </row>
    <row r="289" spans="2:5" ht="25.2" customHeight="1">
      <c r="B289" s="93">
        <f t="shared" si="11"/>
        <v>282</v>
      </c>
      <c r="C289" s="100">
        <f t="shared" si="12"/>
        <v>3687.4532412093572</v>
      </c>
      <c r="D289" s="100">
        <f t="shared" si="13"/>
        <v>3688.8615059631311</v>
      </c>
      <c r="E289" s="95"/>
    </row>
    <row r="290" spans="2:5" ht="25.2" customHeight="1">
      <c r="B290" s="93">
        <f t="shared" si="11"/>
        <v>283</v>
      </c>
      <c r="C290" s="100">
        <f t="shared" si="12"/>
        <v>3700.3036570875424</v>
      </c>
      <c r="D290" s="100">
        <f t="shared" si="13"/>
        <v>3701.7119218413163</v>
      </c>
      <c r="E290" s="95"/>
    </row>
    <row r="291" spans="2:5" ht="25.2" customHeight="1">
      <c r="B291" s="93">
        <f t="shared" si="11"/>
        <v>284</v>
      </c>
      <c r="C291" s="100">
        <f t="shared" si="12"/>
        <v>3713.1540729657277</v>
      </c>
      <c r="D291" s="100">
        <f t="shared" si="13"/>
        <v>3714.5623377195016</v>
      </c>
      <c r="E291" s="95"/>
    </row>
    <row r="292" spans="2:5" ht="25.2" customHeight="1">
      <c r="B292" s="93">
        <f t="shared" si="11"/>
        <v>285</v>
      </c>
      <c r="C292" s="100">
        <f t="shared" si="12"/>
        <v>3726.0044888439129</v>
      </c>
      <c r="D292" s="100">
        <f t="shared" si="13"/>
        <v>3727.4127535976868</v>
      </c>
      <c r="E292" s="95"/>
    </row>
    <row r="293" spans="2:5" ht="25.2" customHeight="1">
      <c r="B293" s="93">
        <f t="shared" si="11"/>
        <v>286</v>
      </c>
      <c r="C293" s="100">
        <f t="shared" si="12"/>
        <v>3738.8549047220981</v>
      </c>
      <c r="D293" s="100">
        <f t="shared" si="13"/>
        <v>3740.263169475872</v>
      </c>
      <c r="E293" s="95"/>
    </row>
    <row r="294" spans="2:5" ht="25.2" customHeight="1">
      <c r="B294" s="93">
        <f t="shared" si="11"/>
        <v>287</v>
      </c>
      <c r="C294" s="100">
        <f t="shared" si="12"/>
        <v>3751.7053206002834</v>
      </c>
      <c r="D294" s="100">
        <f t="shared" si="13"/>
        <v>3753.1135853540572</v>
      </c>
      <c r="E294" s="95"/>
    </row>
    <row r="295" spans="2:5" ht="25.2" customHeight="1">
      <c r="B295" s="93">
        <f t="shared" ref="B295:B358" si="14">B294+1</f>
        <v>288</v>
      </c>
      <c r="C295" s="100">
        <f t="shared" ref="C295:C358" si="15">C294+($P$13/$P$19)</f>
        <v>3764.5557364784686</v>
      </c>
      <c r="D295" s="100">
        <f t="shared" ref="D295:D358" si="16">D294+($Q$13/$P$19)</f>
        <v>3765.9640012322425</v>
      </c>
      <c r="E295" s="95"/>
    </row>
    <row r="296" spans="2:5" ht="25.2" customHeight="1">
      <c r="B296" s="93">
        <f t="shared" si="14"/>
        <v>289</v>
      </c>
      <c r="C296" s="100">
        <f t="shared" si="15"/>
        <v>3777.4061523566538</v>
      </c>
      <c r="D296" s="100">
        <f t="shared" si="16"/>
        <v>3778.8144171104277</v>
      </c>
      <c r="E296" s="95"/>
    </row>
    <row r="297" spans="2:5" ht="25.2" customHeight="1">
      <c r="B297" s="93">
        <f t="shared" si="14"/>
        <v>290</v>
      </c>
      <c r="C297" s="100">
        <f t="shared" si="15"/>
        <v>3790.2565682348391</v>
      </c>
      <c r="D297" s="100">
        <f t="shared" si="16"/>
        <v>3791.6648329886129</v>
      </c>
      <c r="E297" s="95"/>
    </row>
    <row r="298" spans="2:5" ht="25.2" customHeight="1">
      <c r="B298" s="93">
        <f t="shared" si="14"/>
        <v>291</v>
      </c>
      <c r="C298" s="100">
        <f t="shared" si="15"/>
        <v>3803.1069841130243</v>
      </c>
      <c r="D298" s="100">
        <f t="shared" si="16"/>
        <v>3804.5152488667982</v>
      </c>
      <c r="E298" s="95"/>
    </row>
    <row r="299" spans="2:5" ht="25.2" customHeight="1">
      <c r="B299" s="93">
        <f t="shared" si="14"/>
        <v>292</v>
      </c>
      <c r="C299" s="100">
        <f t="shared" si="15"/>
        <v>3815.9573999912095</v>
      </c>
      <c r="D299" s="100">
        <f t="shared" si="16"/>
        <v>3817.3656647449834</v>
      </c>
      <c r="E299" s="95"/>
    </row>
    <row r="300" spans="2:5" ht="25.2" customHeight="1">
      <c r="B300" s="93">
        <f t="shared" si="14"/>
        <v>293</v>
      </c>
      <c r="C300" s="100">
        <f t="shared" si="15"/>
        <v>3828.8078158693947</v>
      </c>
      <c r="D300" s="100">
        <f t="shared" si="16"/>
        <v>3830.2160806231686</v>
      </c>
      <c r="E300" s="95"/>
    </row>
    <row r="301" spans="2:5" ht="25.2" customHeight="1">
      <c r="B301" s="93">
        <f t="shared" si="14"/>
        <v>294</v>
      </c>
      <c r="C301" s="100">
        <f t="shared" si="15"/>
        <v>3841.65823174758</v>
      </c>
      <c r="D301" s="100">
        <f t="shared" si="16"/>
        <v>3843.0664965013539</v>
      </c>
      <c r="E301" s="95"/>
    </row>
    <row r="302" spans="2:5" ht="25.2" customHeight="1">
      <c r="B302" s="93">
        <f t="shared" si="14"/>
        <v>295</v>
      </c>
      <c r="C302" s="100">
        <f t="shared" si="15"/>
        <v>3854.5086476257652</v>
      </c>
      <c r="D302" s="100">
        <f t="shared" si="16"/>
        <v>3855.9169123795391</v>
      </c>
      <c r="E302" s="95"/>
    </row>
    <row r="303" spans="2:5" ht="25.2" customHeight="1">
      <c r="B303" s="93">
        <f t="shared" si="14"/>
        <v>296</v>
      </c>
      <c r="C303" s="100">
        <f t="shared" si="15"/>
        <v>3867.3590635039504</v>
      </c>
      <c r="D303" s="100">
        <f t="shared" si="16"/>
        <v>3868.7673282577243</v>
      </c>
      <c r="E303" s="95"/>
    </row>
    <row r="304" spans="2:5" ht="25.2" customHeight="1">
      <c r="B304" s="93">
        <f t="shared" si="14"/>
        <v>297</v>
      </c>
      <c r="C304" s="100">
        <f t="shared" si="15"/>
        <v>3880.2094793821357</v>
      </c>
      <c r="D304" s="100">
        <f t="shared" si="16"/>
        <v>3881.6177441359096</v>
      </c>
      <c r="E304" s="95"/>
    </row>
    <row r="305" spans="2:5" ht="25.2" customHeight="1">
      <c r="B305" s="93">
        <f t="shared" si="14"/>
        <v>298</v>
      </c>
      <c r="C305" s="100">
        <f t="shared" si="15"/>
        <v>3893.0598952603209</v>
      </c>
      <c r="D305" s="100">
        <f t="shared" si="16"/>
        <v>3894.4681600140948</v>
      </c>
      <c r="E305" s="95"/>
    </row>
    <row r="306" spans="2:5" ht="25.2" customHeight="1">
      <c r="B306" s="93">
        <f t="shared" si="14"/>
        <v>299</v>
      </c>
      <c r="C306" s="100">
        <f t="shared" si="15"/>
        <v>3905.9103111385061</v>
      </c>
      <c r="D306" s="100">
        <f t="shared" si="16"/>
        <v>3907.31857589228</v>
      </c>
      <c r="E306" s="95"/>
    </row>
    <row r="307" spans="2:5" ht="25.2" customHeight="1">
      <c r="B307" s="93">
        <f t="shared" si="14"/>
        <v>300</v>
      </c>
      <c r="C307" s="100">
        <f t="shared" si="15"/>
        <v>3918.7607270166914</v>
      </c>
      <c r="D307" s="100">
        <f t="shared" si="16"/>
        <v>3920.1689917704653</v>
      </c>
      <c r="E307" s="95"/>
    </row>
    <row r="308" spans="2:5" ht="25.2" customHeight="1">
      <c r="B308" s="93">
        <f t="shared" si="14"/>
        <v>301</v>
      </c>
      <c r="C308" s="100">
        <f t="shared" si="15"/>
        <v>3931.6111428948766</v>
      </c>
      <c r="D308" s="100">
        <f t="shared" si="16"/>
        <v>3933.0194076486505</v>
      </c>
      <c r="E308" s="95"/>
    </row>
    <row r="309" spans="2:5" ht="25.2" customHeight="1">
      <c r="B309" s="93">
        <f t="shared" si="14"/>
        <v>302</v>
      </c>
      <c r="C309" s="100">
        <f t="shared" si="15"/>
        <v>3944.4615587730618</v>
      </c>
      <c r="D309" s="100">
        <f t="shared" si="16"/>
        <v>3945.8698235268357</v>
      </c>
      <c r="E309" s="95"/>
    </row>
    <row r="310" spans="2:5" ht="25.2" customHeight="1">
      <c r="B310" s="93">
        <f t="shared" si="14"/>
        <v>303</v>
      </c>
      <c r="C310" s="100">
        <f t="shared" si="15"/>
        <v>3957.3119746512471</v>
      </c>
      <c r="D310" s="100">
        <f t="shared" si="16"/>
        <v>3958.7202394050209</v>
      </c>
      <c r="E310" s="95"/>
    </row>
    <row r="311" spans="2:5" ht="25.2" customHeight="1">
      <c r="B311" s="93">
        <f t="shared" si="14"/>
        <v>304</v>
      </c>
      <c r="C311" s="100">
        <f t="shared" si="15"/>
        <v>3970.1623905294323</v>
      </c>
      <c r="D311" s="100">
        <f t="shared" si="16"/>
        <v>3971.5706552832062</v>
      </c>
      <c r="E311" s="95"/>
    </row>
    <row r="312" spans="2:5" ht="25.2" customHeight="1">
      <c r="B312" s="93">
        <f t="shared" si="14"/>
        <v>305</v>
      </c>
      <c r="C312" s="100">
        <f t="shared" si="15"/>
        <v>3983.0128064076175</v>
      </c>
      <c r="D312" s="100">
        <f t="shared" si="16"/>
        <v>3984.4210711613914</v>
      </c>
      <c r="E312" s="95"/>
    </row>
    <row r="313" spans="2:5" ht="25.2" customHeight="1">
      <c r="B313" s="93">
        <f t="shared" si="14"/>
        <v>306</v>
      </c>
      <c r="C313" s="100">
        <f t="shared" si="15"/>
        <v>3995.8632222858027</v>
      </c>
      <c r="D313" s="100">
        <f t="shared" si="16"/>
        <v>3997.2714870395766</v>
      </c>
      <c r="E313" s="95"/>
    </row>
    <row r="314" spans="2:5" ht="25.2" customHeight="1">
      <c r="B314" s="93">
        <f t="shared" si="14"/>
        <v>307</v>
      </c>
      <c r="C314" s="100">
        <f t="shared" si="15"/>
        <v>4008.713638163988</v>
      </c>
      <c r="D314" s="100">
        <f t="shared" si="16"/>
        <v>4010.1219029177619</v>
      </c>
      <c r="E314" s="95"/>
    </row>
    <row r="315" spans="2:5" ht="25.2" customHeight="1">
      <c r="B315" s="93">
        <f t="shared" si="14"/>
        <v>308</v>
      </c>
      <c r="C315" s="100">
        <f t="shared" si="15"/>
        <v>4021.5640540421732</v>
      </c>
      <c r="D315" s="100">
        <f t="shared" si="16"/>
        <v>4022.9723187959471</v>
      </c>
      <c r="E315" s="95"/>
    </row>
    <row r="316" spans="2:5" ht="25.2" customHeight="1">
      <c r="B316" s="93">
        <f t="shared" si="14"/>
        <v>309</v>
      </c>
      <c r="C316" s="100">
        <f t="shared" si="15"/>
        <v>4034.4144699203584</v>
      </c>
      <c r="D316" s="100">
        <f t="shared" si="16"/>
        <v>4035.8227346741323</v>
      </c>
      <c r="E316" s="95"/>
    </row>
    <row r="317" spans="2:5" ht="25.2" customHeight="1">
      <c r="B317" s="93">
        <f t="shared" si="14"/>
        <v>310</v>
      </c>
      <c r="C317" s="100">
        <f t="shared" si="15"/>
        <v>4047.2648857985437</v>
      </c>
      <c r="D317" s="100">
        <f t="shared" si="16"/>
        <v>4048.6731505523176</v>
      </c>
      <c r="E317" s="95"/>
    </row>
    <row r="318" spans="2:5" ht="25.2" customHeight="1">
      <c r="B318" s="93">
        <f t="shared" si="14"/>
        <v>311</v>
      </c>
      <c r="C318" s="100">
        <f t="shared" si="15"/>
        <v>4060.1153016767289</v>
      </c>
      <c r="D318" s="100">
        <f t="shared" si="16"/>
        <v>4061.5235664305028</v>
      </c>
      <c r="E318" s="95"/>
    </row>
    <row r="319" spans="2:5" ht="25.2" customHeight="1">
      <c r="B319" s="93">
        <f t="shared" si="14"/>
        <v>312</v>
      </c>
      <c r="C319" s="100">
        <f t="shared" si="15"/>
        <v>4072.9657175549141</v>
      </c>
      <c r="D319" s="100">
        <f t="shared" si="16"/>
        <v>4074.373982308688</v>
      </c>
      <c r="E319" s="95"/>
    </row>
    <row r="320" spans="2:5" ht="25.2" customHeight="1">
      <c r="B320" s="93">
        <f t="shared" si="14"/>
        <v>313</v>
      </c>
      <c r="C320" s="100">
        <f t="shared" si="15"/>
        <v>4085.8161334330994</v>
      </c>
      <c r="D320" s="100">
        <f t="shared" si="16"/>
        <v>4087.2243981868733</v>
      </c>
      <c r="E320" s="95"/>
    </row>
    <row r="321" spans="2:5" ht="25.2" customHeight="1">
      <c r="B321" s="93">
        <f t="shared" si="14"/>
        <v>314</v>
      </c>
      <c r="C321" s="100">
        <f t="shared" si="15"/>
        <v>4098.6665493112841</v>
      </c>
      <c r="D321" s="100">
        <f t="shared" si="16"/>
        <v>4100.0748140650585</v>
      </c>
      <c r="E321" s="95"/>
    </row>
    <row r="322" spans="2:5" ht="25.2" customHeight="1">
      <c r="B322" s="93">
        <f t="shared" si="14"/>
        <v>315</v>
      </c>
      <c r="C322" s="100">
        <f t="shared" si="15"/>
        <v>4111.5169651894694</v>
      </c>
      <c r="D322" s="100">
        <f t="shared" si="16"/>
        <v>4112.9252299432437</v>
      </c>
      <c r="E322" s="95"/>
    </row>
    <row r="323" spans="2:5" ht="25.2" customHeight="1">
      <c r="B323" s="93">
        <f t="shared" si="14"/>
        <v>316</v>
      </c>
      <c r="C323" s="100">
        <f t="shared" si="15"/>
        <v>4124.3673810676546</v>
      </c>
      <c r="D323" s="100">
        <f t="shared" si="16"/>
        <v>4125.775645821429</v>
      </c>
      <c r="E323" s="95"/>
    </row>
    <row r="324" spans="2:5" ht="25.2" customHeight="1">
      <c r="B324" s="93">
        <f t="shared" si="14"/>
        <v>317</v>
      </c>
      <c r="C324" s="100">
        <f t="shared" si="15"/>
        <v>4137.2177969458398</v>
      </c>
      <c r="D324" s="100">
        <f t="shared" si="16"/>
        <v>4138.6260616996142</v>
      </c>
      <c r="E324" s="95"/>
    </row>
    <row r="325" spans="2:5" ht="25.2" customHeight="1">
      <c r="B325" s="93">
        <f t="shared" si="14"/>
        <v>318</v>
      </c>
      <c r="C325" s="100">
        <f t="shared" si="15"/>
        <v>4150.0682128240251</v>
      </c>
      <c r="D325" s="100">
        <f t="shared" si="16"/>
        <v>4151.4764775777994</v>
      </c>
      <c r="E325" s="95"/>
    </row>
    <row r="326" spans="2:5" ht="25.2" customHeight="1">
      <c r="B326" s="93">
        <f t="shared" si="14"/>
        <v>319</v>
      </c>
      <c r="C326" s="100">
        <f t="shared" si="15"/>
        <v>4162.9186287022103</v>
      </c>
      <c r="D326" s="100">
        <f t="shared" si="16"/>
        <v>4164.3268934559846</v>
      </c>
      <c r="E326" s="95"/>
    </row>
    <row r="327" spans="2:5" ht="25.2" customHeight="1">
      <c r="B327" s="93">
        <f t="shared" si="14"/>
        <v>320</v>
      </c>
      <c r="C327" s="100">
        <f t="shared" si="15"/>
        <v>4175.7690445803955</v>
      </c>
      <c r="D327" s="100">
        <f t="shared" si="16"/>
        <v>4177.1773093341699</v>
      </c>
      <c r="E327" s="95"/>
    </row>
    <row r="328" spans="2:5" ht="25.2" customHeight="1">
      <c r="B328" s="93">
        <f t="shared" si="14"/>
        <v>321</v>
      </c>
      <c r="C328" s="100">
        <f t="shared" si="15"/>
        <v>4188.6194604585808</v>
      </c>
      <c r="D328" s="100">
        <f t="shared" si="16"/>
        <v>4190.0277252123551</v>
      </c>
      <c r="E328" s="95"/>
    </row>
    <row r="329" spans="2:5" ht="25.2" customHeight="1">
      <c r="B329" s="93">
        <f t="shared" si="14"/>
        <v>322</v>
      </c>
      <c r="C329" s="100">
        <f t="shared" si="15"/>
        <v>4201.469876336766</v>
      </c>
      <c r="D329" s="100">
        <f t="shared" si="16"/>
        <v>4202.8781410905403</v>
      </c>
      <c r="E329" s="95"/>
    </row>
    <row r="330" spans="2:5" ht="25.2" customHeight="1">
      <c r="B330" s="93">
        <f t="shared" si="14"/>
        <v>323</v>
      </c>
      <c r="C330" s="100">
        <f t="shared" si="15"/>
        <v>4214.3202922149512</v>
      </c>
      <c r="D330" s="100">
        <f t="shared" si="16"/>
        <v>4215.7285569687256</v>
      </c>
      <c r="E330" s="95"/>
    </row>
    <row r="331" spans="2:5" ht="25.2" customHeight="1">
      <c r="B331" s="93">
        <f t="shared" si="14"/>
        <v>324</v>
      </c>
      <c r="C331" s="100">
        <f t="shared" si="15"/>
        <v>4227.1707080931365</v>
      </c>
      <c r="D331" s="100">
        <f t="shared" si="16"/>
        <v>4228.5789728469108</v>
      </c>
      <c r="E331" s="95"/>
    </row>
    <row r="332" spans="2:5" ht="25.2" customHeight="1">
      <c r="B332" s="93">
        <f t="shared" si="14"/>
        <v>325</v>
      </c>
      <c r="C332" s="100">
        <f t="shared" si="15"/>
        <v>4240.0211239713217</v>
      </c>
      <c r="D332" s="100">
        <f t="shared" si="16"/>
        <v>4241.429388725096</v>
      </c>
      <c r="E332" s="95"/>
    </row>
    <row r="333" spans="2:5" ht="25.2" customHeight="1">
      <c r="B333" s="93">
        <f t="shared" si="14"/>
        <v>326</v>
      </c>
      <c r="C333" s="100">
        <f t="shared" si="15"/>
        <v>4252.8715398495069</v>
      </c>
      <c r="D333" s="100">
        <f t="shared" si="16"/>
        <v>4254.2798046032813</v>
      </c>
      <c r="E333" s="95"/>
    </row>
    <row r="334" spans="2:5" ht="25.2" customHeight="1">
      <c r="B334" s="93">
        <f t="shared" si="14"/>
        <v>327</v>
      </c>
      <c r="C334" s="100">
        <f t="shared" si="15"/>
        <v>4265.7219557276921</v>
      </c>
      <c r="D334" s="100">
        <f t="shared" si="16"/>
        <v>4267.1302204814665</v>
      </c>
      <c r="E334" s="95"/>
    </row>
    <row r="335" spans="2:5" ht="25.2" customHeight="1">
      <c r="B335" s="93">
        <f t="shared" si="14"/>
        <v>328</v>
      </c>
      <c r="C335" s="100">
        <f t="shared" si="15"/>
        <v>4278.5723716058774</v>
      </c>
      <c r="D335" s="100">
        <f t="shared" si="16"/>
        <v>4279.9806363596517</v>
      </c>
      <c r="E335" s="95"/>
    </row>
    <row r="336" spans="2:5" ht="25.2" customHeight="1">
      <c r="B336" s="93">
        <f t="shared" si="14"/>
        <v>329</v>
      </c>
      <c r="C336" s="100">
        <f t="shared" si="15"/>
        <v>4291.4227874840626</v>
      </c>
      <c r="D336" s="100">
        <f t="shared" si="16"/>
        <v>4292.831052237837</v>
      </c>
      <c r="E336" s="95"/>
    </row>
    <row r="337" spans="2:5" ht="25.2" customHeight="1">
      <c r="B337" s="93">
        <f t="shared" si="14"/>
        <v>330</v>
      </c>
      <c r="C337" s="100">
        <f t="shared" si="15"/>
        <v>4304.2732033622478</v>
      </c>
      <c r="D337" s="100">
        <f t="shared" si="16"/>
        <v>4305.6814681160222</v>
      </c>
      <c r="E337" s="95"/>
    </row>
    <row r="338" spans="2:5" ht="25.2" customHeight="1">
      <c r="B338" s="93">
        <f t="shared" si="14"/>
        <v>331</v>
      </c>
      <c r="C338" s="100">
        <f t="shared" si="15"/>
        <v>4317.1236192404331</v>
      </c>
      <c r="D338" s="100">
        <f t="shared" si="16"/>
        <v>4318.5318839942074</v>
      </c>
      <c r="E338" s="95"/>
    </row>
    <row r="339" spans="2:5" ht="25.2" customHeight="1">
      <c r="B339" s="93">
        <f t="shared" si="14"/>
        <v>332</v>
      </c>
      <c r="C339" s="100">
        <f t="shared" si="15"/>
        <v>4329.9740351186183</v>
      </c>
      <c r="D339" s="100">
        <f t="shared" si="16"/>
        <v>4331.3822998723927</v>
      </c>
      <c r="E339" s="95"/>
    </row>
    <row r="340" spans="2:5" ht="25.2" customHeight="1">
      <c r="B340" s="93">
        <f t="shared" si="14"/>
        <v>333</v>
      </c>
      <c r="C340" s="100">
        <f t="shared" si="15"/>
        <v>4342.8244509968035</v>
      </c>
      <c r="D340" s="100">
        <f t="shared" si="16"/>
        <v>4344.2327157505779</v>
      </c>
      <c r="E340" s="95"/>
    </row>
    <row r="341" spans="2:5" ht="25.2" customHeight="1">
      <c r="B341" s="93">
        <f t="shared" si="14"/>
        <v>334</v>
      </c>
      <c r="C341" s="100">
        <f t="shared" si="15"/>
        <v>4355.6748668749888</v>
      </c>
      <c r="D341" s="100">
        <f t="shared" si="16"/>
        <v>4357.0831316287631</v>
      </c>
      <c r="E341" s="95"/>
    </row>
    <row r="342" spans="2:5" ht="25.2" customHeight="1">
      <c r="B342" s="93">
        <f t="shared" si="14"/>
        <v>335</v>
      </c>
      <c r="C342" s="100">
        <f t="shared" si="15"/>
        <v>4368.525282753174</v>
      </c>
      <c r="D342" s="100">
        <f t="shared" si="16"/>
        <v>4369.9335475069483</v>
      </c>
      <c r="E342" s="95"/>
    </row>
    <row r="343" spans="2:5" ht="25.2" customHeight="1">
      <c r="B343" s="93">
        <f t="shared" si="14"/>
        <v>336</v>
      </c>
      <c r="C343" s="100">
        <f t="shared" si="15"/>
        <v>4381.3756986313592</v>
      </c>
      <c r="D343" s="100">
        <f t="shared" si="16"/>
        <v>4382.7839633851336</v>
      </c>
      <c r="E343" s="95"/>
    </row>
    <row r="344" spans="2:5" ht="25.2" customHeight="1">
      <c r="B344" s="93">
        <f t="shared" si="14"/>
        <v>337</v>
      </c>
      <c r="C344" s="100">
        <f t="shared" si="15"/>
        <v>4394.2261145095445</v>
      </c>
      <c r="D344" s="100">
        <f t="shared" si="16"/>
        <v>4395.6343792633188</v>
      </c>
      <c r="E344" s="95"/>
    </row>
    <row r="345" spans="2:5" ht="25.2" customHeight="1">
      <c r="B345" s="93">
        <f t="shared" si="14"/>
        <v>338</v>
      </c>
      <c r="C345" s="100">
        <f t="shared" si="15"/>
        <v>4407.0765303877297</v>
      </c>
      <c r="D345" s="100">
        <f t="shared" si="16"/>
        <v>4408.484795141504</v>
      </c>
      <c r="E345" s="95"/>
    </row>
    <row r="346" spans="2:5" ht="25.2" customHeight="1">
      <c r="B346" s="93">
        <f t="shared" si="14"/>
        <v>339</v>
      </c>
      <c r="C346" s="100">
        <f t="shared" si="15"/>
        <v>4419.9269462659149</v>
      </c>
      <c r="D346" s="100">
        <f t="shared" si="16"/>
        <v>4421.3352110196893</v>
      </c>
      <c r="E346" s="95"/>
    </row>
    <row r="347" spans="2:5" ht="25.2" customHeight="1">
      <c r="B347" s="93">
        <f t="shared" si="14"/>
        <v>340</v>
      </c>
      <c r="C347" s="100">
        <f t="shared" si="15"/>
        <v>4432.7773621441002</v>
      </c>
      <c r="D347" s="100">
        <f t="shared" si="16"/>
        <v>4434.1856268978745</v>
      </c>
      <c r="E347" s="95"/>
    </row>
    <row r="348" spans="2:5" ht="25.2" customHeight="1">
      <c r="B348" s="93">
        <f t="shared" si="14"/>
        <v>341</v>
      </c>
      <c r="C348" s="100">
        <f t="shared" si="15"/>
        <v>4445.6277780222854</v>
      </c>
      <c r="D348" s="100">
        <f t="shared" si="16"/>
        <v>4447.0360427760597</v>
      </c>
      <c r="E348" s="95"/>
    </row>
    <row r="349" spans="2:5" ht="25.2" customHeight="1">
      <c r="B349" s="93">
        <f t="shared" si="14"/>
        <v>342</v>
      </c>
      <c r="C349" s="100">
        <f t="shared" si="15"/>
        <v>4458.4781939004706</v>
      </c>
      <c r="D349" s="100">
        <f t="shared" si="16"/>
        <v>4459.886458654245</v>
      </c>
      <c r="E349" s="95"/>
    </row>
    <row r="350" spans="2:5" ht="25.2" customHeight="1">
      <c r="B350" s="93">
        <f t="shared" si="14"/>
        <v>343</v>
      </c>
      <c r="C350" s="100">
        <f t="shared" si="15"/>
        <v>4471.3286097786558</v>
      </c>
      <c r="D350" s="100">
        <f t="shared" si="16"/>
        <v>4472.7368745324302</v>
      </c>
      <c r="E350" s="95"/>
    </row>
    <row r="351" spans="2:5" ht="25.2" customHeight="1">
      <c r="B351" s="93">
        <f t="shared" si="14"/>
        <v>344</v>
      </c>
      <c r="C351" s="100">
        <f t="shared" si="15"/>
        <v>4484.1790256568411</v>
      </c>
      <c r="D351" s="100">
        <f t="shared" si="16"/>
        <v>4485.5872904106154</v>
      </c>
      <c r="E351" s="95"/>
    </row>
    <row r="352" spans="2:5" ht="25.2" customHeight="1">
      <c r="B352" s="93">
        <f t="shared" si="14"/>
        <v>345</v>
      </c>
      <c r="C352" s="100">
        <f t="shared" si="15"/>
        <v>4497.0294415350263</v>
      </c>
      <c r="D352" s="100">
        <f t="shared" si="16"/>
        <v>4498.4377062888007</v>
      </c>
      <c r="E352" s="95"/>
    </row>
    <row r="353" spans="2:5" ht="25.2" customHeight="1">
      <c r="B353" s="93">
        <f t="shared" si="14"/>
        <v>346</v>
      </c>
      <c r="C353" s="100">
        <f t="shared" si="15"/>
        <v>4509.8798574132115</v>
      </c>
      <c r="D353" s="100">
        <f t="shared" si="16"/>
        <v>4511.2881221669859</v>
      </c>
      <c r="E353" s="95"/>
    </row>
    <row r="354" spans="2:5" ht="25.2" customHeight="1">
      <c r="B354" s="93">
        <f t="shared" si="14"/>
        <v>347</v>
      </c>
      <c r="C354" s="100">
        <f t="shared" si="15"/>
        <v>4522.7302732913968</v>
      </c>
      <c r="D354" s="100">
        <f t="shared" si="16"/>
        <v>4524.1385380451711</v>
      </c>
      <c r="E354" s="95"/>
    </row>
    <row r="355" spans="2:5" ht="25.2" customHeight="1">
      <c r="B355" s="93">
        <f t="shared" si="14"/>
        <v>348</v>
      </c>
      <c r="C355" s="100">
        <f t="shared" si="15"/>
        <v>4535.580689169582</v>
      </c>
      <c r="D355" s="100">
        <f t="shared" si="16"/>
        <v>4536.9889539233563</v>
      </c>
      <c r="E355" s="95"/>
    </row>
    <row r="356" spans="2:5" ht="25.2" customHeight="1">
      <c r="B356" s="93">
        <f t="shared" si="14"/>
        <v>349</v>
      </c>
      <c r="C356" s="100">
        <f t="shared" si="15"/>
        <v>4548.4311050477672</v>
      </c>
      <c r="D356" s="100">
        <f t="shared" si="16"/>
        <v>4549.8393698015416</v>
      </c>
      <c r="E356" s="95"/>
    </row>
    <row r="357" spans="2:5" ht="25.2" customHeight="1">
      <c r="B357" s="93">
        <f t="shared" si="14"/>
        <v>350</v>
      </c>
      <c r="C357" s="100">
        <f t="shared" si="15"/>
        <v>4561.2815209259525</v>
      </c>
      <c r="D357" s="100">
        <f t="shared" si="16"/>
        <v>4562.6897856797268</v>
      </c>
      <c r="E357" s="95"/>
    </row>
    <row r="358" spans="2:5" ht="25.2" customHeight="1">
      <c r="B358" s="93">
        <f t="shared" si="14"/>
        <v>351</v>
      </c>
      <c r="C358" s="100">
        <f t="shared" si="15"/>
        <v>4574.1319368041377</v>
      </c>
      <c r="D358" s="100">
        <f t="shared" si="16"/>
        <v>4575.540201557912</v>
      </c>
      <c r="E358" s="95"/>
    </row>
    <row r="359" spans="2:5" ht="25.2" customHeight="1">
      <c r="B359" s="93">
        <f t="shared" ref="B359:B422" si="17">B358+1</f>
        <v>352</v>
      </c>
      <c r="C359" s="100">
        <f t="shared" ref="C359:C422" si="18">C358+($P$13/$P$19)</f>
        <v>4586.9823526823229</v>
      </c>
      <c r="D359" s="100">
        <f t="shared" ref="D359:D422" si="19">D358+($Q$13/$P$19)</f>
        <v>4588.3906174360973</v>
      </c>
      <c r="E359" s="95"/>
    </row>
    <row r="360" spans="2:5" ht="25.2" customHeight="1">
      <c r="B360" s="93">
        <f t="shared" si="17"/>
        <v>353</v>
      </c>
      <c r="C360" s="100">
        <f t="shared" si="18"/>
        <v>4599.8327685605082</v>
      </c>
      <c r="D360" s="100">
        <f t="shared" si="19"/>
        <v>4601.2410333142825</v>
      </c>
      <c r="E360" s="95"/>
    </row>
    <row r="361" spans="2:5" ht="25.2" customHeight="1">
      <c r="B361" s="93">
        <f t="shared" si="17"/>
        <v>354</v>
      </c>
      <c r="C361" s="100">
        <f t="shared" si="18"/>
        <v>4612.6831844386934</v>
      </c>
      <c r="D361" s="100">
        <f t="shared" si="19"/>
        <v>4614.0914491924677</v>
      </c>
      <c r="E361" s="95"/>
    </row>
    <row r="362" spans="2:5" ht="25.2" customHeight="1">
      <c r="B362" s="93">
        <f t="shared" si="17"/>
        <v>355</v>
      </c>
      <c r="C362" s="100">
        <f t="shared" si="18"/>
        <v>4625.5336003168786</v>
      </c>
      <c r="D362" s="100">
        <f t="shared" si="19"/>
        <v>4626.941865070653</v>
      </c>
      <c r="E362" s="95"/>
    </row>
    <row r="363" spans="2:5" ht="25.2" customHeight="1">
      <c r="B363" s="93">
        <f t="shared" si="17"/>
        <v>356</v>
      </c>
      <c r="C363" s="100">
        <f t="shared" si="18"/>
        <v>4638.3840161950639</v>
      </c>
      <c r="D363" s="100">
        <f t="shared" si="19"/>
        <v>4639.7922809488382</v>
      </c>
      <c r="E363" s="95"/>
    </row>
    <row r="364" spans="2:5" ht="25.2" customHeight="1">
      <c r="B364" s="93">
        <f t="shared" si="17"/>
        <v>357</v>
      </c>
      <c r="C364" s="100">
        <f t="shared" si="18"/>
        <v>4651.2344320732491</v>
      </c>
      <c r="D364" s="100">
        <f t="shared" si="19"/>
        <v>4652.6426968270234</v>
      </c>
      <c r="E364" s="95"/>
    </row>
    <row r="365" spans="2:5" ht="25.2" customHeight="1">
      <c r="B365" s="93">
        <f t="shared" si="17"/>
        <v>358</v>
      </c>
      <c r="C365" s="100">
        <f t="shared" si="18"/>
        <v>4664.0848479514343</v>
      </c>
      <c r="D365" s="100">
        <f t="shared" si="19"/>
        <v>4665.4931127052087</v>
      </c>
      <c r="E365" s="95"/>
    </row>
    <row r="366" spans="2:5" ht="25.2" customHeight="1">
      <c r="B366" s="93">
        <f t="shared" si="17"/>
        <v>359</v>
      </c>
      <c r="C366" s="100">
        <f t="shared" si="18"/>
        <v>4676.9352638296195</v>
      </c>
      <c r="D366" s="100">
        <f t="shared" si="19"/>
        <v>4678.3435285833939</v>
      </c>
      <c r="E366" s="95"/>
    </row>
    <row r="367" spans="2:5" ht="25.2" customHeight="1">
      <c r="B367" s="93">
        <f t="shared" si="17"/>
        <v>360</v>
      </c>
      <c r="C367" s="100">
        <f t="shared" si="18"/>
        <v>4689.7856797078048</v>
      </c>
      <c r="D367" s="100">
        <f t="shared" si="19"/>
        <v>4691.1939444615791</v>
      </c>
      <c r="E367" s="95"/>
    </row>
    <row r="368" spans="2:5" ht="25.2" customHeight="1">
      <c r="B368" s="93">
        <f t="shared" si="17"/>
        <v>361</v>
      </c>
      <c r="C368" s="100">
        <f t="shared" si="18"/>
        <v>4702.63609558599</v>
      </c>
      <c r="D368" s="100">
        <f t="shared" si="19"/>
        <v>4704.0443603397644</v>
      </c>
      <c r="E368" s="95"/>
    </row>
    <row r="369" spans="2:5" ht="25.2" customHeight="1">
      <c r="B369" s="93">
        <f t="shared" si="17"/>
        <v>362</v>
      </c>
      <c r="C369" s="100">
        <f t="shared" si="18"/>
        <v>4715.4865114641752</v>
      </c>
      <c r="D369" s="100">
        <f t="shared" si="19"/>
        <v>4716.8947762179496</v>
      </c>
      <c r="E369" s="95"/>
    </row>
    <row r="370" spans="2:5" ht="25.2" customHeight="1">
      <c r="B370" s="93">
        <f t="shared" si="17"/>
        <v>363</v>
      </c>
      <c r="C370" s="100">
        <f t="shared" si="18"/>
        <v>4728.3369273423605</v>
      </c>
      <c r="D370" s="100">
        <f t="shared" si="19"/>
        <v>4729.7451920961348</v>
      </c>
      <c r="E370" s="95"/>
    </row>
    <row r="371" spans="2:5" ht="25.2" customHeight="1">
      <c r="B371" s="93">
        <f t="shared" si="17"/>
        <v>364</v>
      </c>
      <c r="C371" s="100">
        <f t="shared" si="18"/>
        <v>4741.1873432205457</v>
      </c>
      <c r="D371" s="100">
        <f t="shared" si="19"/>
        <v>4742.59560797432</v>
      </c>
      <c r="E371" s="95"/>
    </row>
    <row r="372" spans="2:5" ht="25.2" customHeight="1">
      <c r="B372" s="93">
        <f t="shared" si="17"/>
        <v>365</v>
      </c>
      <c r="C372" s="100">
        <f t="shared" si="18"/>
        <v>4754.0377590987309</v>
      </c>
      <c r="D372" s="100">
        <f t="shared" si="19"/>
        <v>4755.4460238525053</v>
      </c>
      <c r="E372" s="95"/>
    </row>
    <row r="373" spans="2:5" ht="25.2" customHeight="1">
      <c r="B373" s="93">
        <f t="shared" si="17"/>
        <v>366</v>
      </c>
      <c r="C373" s="100">
        <f t="shared" si="18"/>
        <v>4766.8881749769162</v>
      </c>
      <c r="D373" s="100">
        <f t="shared" si="19"/>
        <v>4768.2964397306905</v>
      </c>
      <c r="E373" s="95"/>
    </row>
    <row r="374" spans="2:5" ht="25.2" customHeight="1">
      <c r="B374" s="93">
        <f t="shared" si="17"/>
        <v>367</v>
      </c>
      <c r="C374" s="100">
        <f t="shared" si="18"/>
        <v>4779.7385908551014</v>
      </c>
      <c r="D374" s="100">
        <f t="shared" si="19"/>
        <v>4781.1468556088757</v>
      </c>
      <c r="E374" s="95"/>
    </row>
    <row r="375" spans="2:5" ht="25.2" customHeight="1">
      <c r="B375" s="93">
        <f t="shared" si="17"/>
        <v>368</v>
      </c>
      <c r="C375" s="100">
        <f t="shared" si="18"/>
        <v>4792.5890067332866</v>
      </c>
      <c r="D375" s="100">
        <f t="shared" si="19"/>
        <v>4793.997271487061</v>
      </c>
      <c r="E375" s="95"/>
    </row>
    <row r="376" spans="2:5" ht="25.2" customHeight="1">
      <c r="B376" s="93">
        <f t="shared" si="17"/>
        <v>369</v>
      </c>
      <c r="C376" s="100">
        <f t="shared" si="18"/>
        <v>4805.4394226114719</v>
      </c>
      <c r="D376" s="100">
        <f t="shared" si="19"/>
        <v>4806.8476873652462</v>
      </c>
      <c r="E376" s="95"/>
    </row>
    <row r="377" spans="2:5" ht="25.2" customHeight="1">
      <c r="B377" s="93">
        <f t="shared" si="17"/>
        <v>370</v>
      </c>
      <c r="C377" s="100">
        <f t="shared" si="18"/>
        <v>4818.2898384896571</v>
      </c>
      <c r="D377" s="100">
        <f t="shared" si="19"/>
        <v>4819.6981032434314</v>
      </c>
      <c r="E377" s="95"/>
    </row>
    <row r="378" spans="2:5" ht="25.2" customHeight="1">
      <c r="B378" s="93">
        <f t="shared" si="17"/>
        <v>371</v>
      </c>
      <c r="C378" s="100">
        <f t="shared" si="18"/>
        <v>4831.1402543678423</v>
      </c>
      <c r="D378" s="100">
        <f t="shared" si="19"/>
        <v>4832.5485191216167</v>
      </c>
      <c r="E378" s="95"/>
    </row>
    <row r="379" spans="2:5" ht="25.2" customHeight="1">
      <c r="B379" s="93">
        <f t="shared" si="17"/>
        <v>372</v>
      </c>
      <c r="C379" s="100">
        <f t="shared" si="18"/>
        <v>4843.9906702460275</v>
      </c>
      <c r="D379" s="100">
        <f t="shared" si="19"/>
        <v>4845.3989349998019</v>
      </c>
      <c r="E379" s="95"/>
    </row>
    <row r="380" spans="2:5" ht="25.2" customHeight="1">
      <c r="B380" s="93">
        <f t="shared" si="17"/>
        <v>373</v>
      </c>
      <c r="C380" s="100">
        <f t="shared" si="18"/>
        <v>4856.8410861242128</v>
      </c>
      <c r="D380" s="100">
        <f t="shared" si="19"/>
        <v>4858.2493508779871</v>
      </c>
      <c r="E380" s="95"/>
    </row>
    <row r="381" spans="2:5" ht="25.2" customHeight="1">
      <c r="B381" s="93">
        <f t="shared" si="17"/>
        <v>374</v>
      </c>
      <c r="C381" s="100">
        <f t="shared" si="18"/>
        <v>4869.691502002398</v>
      </c>
      <c r="D381" s="100">
        <f t="shared" si="19"/>
        <v>4871.0997667561724</v>
      </c>
      <c r="E381" s="95"/>
    </row>
    <row r="382" spans="2:5" ht="25.2" customHeight="1">
      <c r="B382" s="93">
        <f t="shared" si="17"/>
        <v>375</v>
      </c>
      <c r="C382" s="100">
        <f t="shared" si="18"/>
        <v>4882.5419178805832</v>
      </c>
      <c r="D382" s="100">
        <f t="shared" si="19"/>
        <v>4883.9501826343576</v>
      </c>
      <c r="E382" s="95"/>
    </row>
    <row r="383" spans="2:5" ht="25.2" customHeight="1">
      <c r="B383" s="93">
        <f t="shared" si="17"/>
        <v>376</v>
      </c>
      <c r="C383" s="100">
        <f t="shared" si="18"/>
        <v>4895.3923337587685</v>
      </c>
      <c r="D383" s="100">
        <f t="shared" si="19"/>
        <v>4896.8005985125428</v>
      </c>
      <c r="E383" s="95"/>
    </row>
    <row r="384" spans="2:5" ht="25.2" customHeight="1">
      <c r="B384" s="93">
        <f t="shared" si="17"/>
        <v>377</v>
      </c>
      <c r="C384" s="100">
        <f t="shared" si="18"/>
        <v>4908.2427496369537</v>
      </c>
      <c r="D384" s="100">
        <f t="shared" si="19"/>
        <v>4909.6510143907281</v>
      </c>
      <c r="E384" s="95"/>
    </row>
    <row r="385" spans="2:5" ht="25.2" customHeight="1">
      <c r="B385" s="93">
        <f t="shared" si="17"/>
        <v>378</v>
      </c>
      <c r="C385" s="100">
        <f t="shared" si="18"/>
        <v>4921.0931655151389</v>
      </c>
      <c r="D385" s="100">
        <f t="shared" si="19"/>
        <v>4922.5014302689133</v>
      </c>
      <c r="E385" s="95"/>
    </row>
    <row r="386" spans="2:5" ht="25.2" customHeight="1">
      <c r="B386" s="93">
        <f t="shared" si="17"/>
        <v>379</v>
      </c>
      <c r="C386" s="100">
        <f t="shared" si="18"/>
        <v>4933.9435813933242</v>
      </c>
      <c r="D386" s="100">
        <f t="shared" si="19"/>
        <v>4935.3518461470985</v>
      </c>
      <c r="E386" s="95"/>
    </row>
    <row r="387" spans="2:5" ht="25.2" customHeight="1">
      <c r="B387" s="93">
        <f t="shared" si="17"/>
        <v>380</v>
      </c>
      <c r="C387" s="100">
        <f t="shared" si="18"/>
        <v>4946.7939972715094</v>
      </c>
      <c r="D387" s="100">
        <f t="shared" si="19"/>
        <v>4948.2022620252837</v>
      </c>
      <c r="E387" s="95"/>
    </row>
    <row r="388" spans="2:5" ht="25.2" customHeight="1">
      <c r="B388" s="93">
        <f t="shared" si="17"/>
        <v>381</v>
      </c>
      <c r="C388" s="100">
        <f t="shared" si="18"/>
        <v>4959.6444131496946</v>
      </c>
      <c r="D388" s="100">
        <f t="shared" si="19"/>
        <v>4961.052677903469</v>
      </c>
      <c r="E388" s="95"/>
    </row>
    <row r="389" spans="2:5" ht="25.2" customHeight="1">
      <c r="B389" s="93">
        <f t="shared" si="17"/>
        <v>382</v>
      </c>
      <c r="C389" s="100">
        <f t="shared" si="18"/>
        <v>4972.4948290278799</v>
      </c>
      <c r="D389" s="100">
        <f t="shared" si="19"/>
        <v>4973.9030937816542</v>
      </c>
      <c r="E389" s="95"/>
    </row>
    <row r="390" spans="2:5" ht="25.2" customHeight="1">
      <c r="B390" s="93">
        <f t="shared" si="17"/>
        <v>383</v>
      </c>
      <c r="C390" s="100">
        <f t="shared" si="18"/>
        <v>4985.3452449060651</v>
      </c>
      <c r="D390" s="100">
        <f t="shared" si="19"/>
        <v>4986.7535096598394</v>
      </c>
      <c r="E390" s="95"/>
    </row>
    <row r="391" spans="2:5" ht="25.2" customHeight="1">
      <c r="B391" s="93">
        <f t="shared" si="17"/>
        <v>384</v>
      </c>
      <c r="C391" s="100">
        <f t="shared" si="18"/>
        <v>4998.1956607842503</v>
      </c>
      <c r="D391" s="100">
        <f t="shared" si="19"/>
        <v>4999.6039255380247</v>
      </c>
      <c r="E391" s="95"/>
    </row>
    <row r="392" spans="2:5" ht="25.2" customHeight="1">
      <c r="B392" s="93">
        <f t="shared" si="17"/>
        <v>385</v>
      </c>
      <c r="C392" s="100">
        <f t="shared" si="18"/>
        <v>5011.0460766624356</v>
      </c>
      <c r="D392" s="100">
        <f t="shared" si="19"/>
        <v>5012.4543414162099</v>
      </c>
      <c r="E392" s="95"/>
    </row>
    <row r="393" spans="2:5" ht="25.2" customHeight="1">
      <c r="B393" s="93">
        <f t="shared" si="17"/>
        <v>386</v>
      </c>
      <c r="C393" s="100">
        <f t="shared" si="18"/>
        <v>5023.8964925406208</v>
      </c>
      <c r="D393" s="100">
        <f t="shared" si="19"/>
        <v>5025.3047572943951</v>
      </c>
      <c r="E393" s="95"/>
    </row>
    <row r="394" spans="2:5" ht="25.2" customHeight="1">
      <c r="B394" s="93">
        <f t="shared" si="17"/>
        <v>387</v>
      </c>
      <c r="C394" s="100">
        <f t="shared" si="18"/>
        <v>5036.746908418806</v>
      </c>
      <c r="D394" s="100">
        <f t="shared" si="19"/>
        <v>5038.1551731725804</v>
      </c>
      <c r="E394" s="95"/>
    </row>
    <row r="395" spans="2:5" ht="25.2" customHeight="1">
      <c r="B395" s="93">
        <f t="shared" si="17"/>
        <v>388</v>
      </c>
      <c r="C395" s="100">
        <f t="shared" si="18"/>
        <v>5049.5973242969912</v>
      </c>
      <c r="D395" s="100">
        <f t="shared" si="19"/>
        <v>5051.0055890507656</v>
      </c>
      <c r="E395" s="95"/>
    </row>
    <row r="396" spans="2:5" ht="25.2" customHeight="1">
      <c r="B396" s="93">
        <f t="shared" si="17"/>
        <v>389</v>
      </c>
      <c r="C396" s="100">
        <f t="shared" si="18"/>
        <v>5062.4477401751765</v>
      </c>
      <c r="D396" s="100">
        <f t="shared" si="19"/>
        <v>5063.8560049289508</v>
      </c>
      <c r="E396" s="95"/>
    </row>
    <row r="397" spans="2:5" ht="25.2" customHeight="1">
      <c r="B397" s="93">
        <f t="shared" si="17"/>
        <v>390</v>
      </c>
      <c r="C397" s="100">
        <f t="shared" si="18"/>
        <v>5075.2981560533617</v>
      </c>
      <c r="D397" s="100">
        <f t="shared" si="19"/>
        <v>5076.7064208071361</v>
      </c>
      <c r="E397" s="95"/>
    </row>
    <row r="398" spans="2:5" ht="25.2" customHeight="1">
      <c r="B398" s="93">
        <f t="shared" si="17"/>
        <v>391</v>
      </c>
      <c r="C398" s="100">
        <f t="shared" si="18"/>
        <v>5088.1485719315469</v>
      </c>
      <c r="D398" s="100">
        <f t="shared" si="19"/>
        <v>5089.5568366853213</v>
      </c>
      <c r="E398" s="95"/>
    </row>
    <row r="399" spans="2:5" ht="25.2" customHeight="1">
      <c r="B399" s="93">
        <f t="shared" si="17"/>
        <v>392</v>
      </c>
      <c r="C399" s="100">
        <f t="shared" si="18"/>
        <v>5100.9989878097322</v>
      </c>
      <c r="D399" s="100">
        <f t="shared" si="19"/>
        <v>5102.4072525635065</v>
      </c>
      <c r="E399" s="95"/>
    </row>
    <row r="400" spans="2:5" ht="25.2" customHeight="1">
      <c r="B400" s="93">
        <f t="shared" si="17"/>
        <v>393</v>
      </c>
      <c r="C400" s="100">
        <f t="shared" si="18"/>
        <v>5113.8494036879174</v>
      </c>
      <c r="D400" s="100">
        <f t="shared" si="19"/>
        <v>5115.2576684416917</v>
      </c>
      <c r="E400" s="95"/>
    </row>
    <row r="401" spans="2:5" ht="25.2" customHeight="1">
      <c r="B401" s="93">
        <f t="shared" si="17"/>
        <v>394</v>
      </c>
      <c r="C401" s="100">
        <f t="shared" si="18"/>
        <v>5126.6998195661026</v>
      </c>
      <c r="D401" s="100">
        <f t="shared" si="19"/>
        <v>5128.108084319877</v>
      </c>
      <c r="E401" s="95"/>
    </row>
    <row r="402" spans="2:5" ht="25.2" customHeight="1">
      <c r="B402" s="93">
        <f t="shared" si="17"/>
        <v>395</v>
      </c>
      <c r="C402" s="100">
        <f t="shared" si="18"/>
        <v>5139.5502354442879</v>
      </c>
      <c r="D402" s="100">
        <f t="shared" si="19"/>
        <v>5140.9585001980622</v>
      </c>
      <c r="E402" s="95"/>
    </row>
    <row r="403" spans="2:5" ht="25.2" customHeight="1">
      <c r="B403" s="93">
        <f t="shared" si="17"/>
        <v>396</v>
      </c>
      <c r="C403" s="100">
        <f t="shared" si="18"/>
        <v>5152.4006513224731</v>
      </c>
      <c r="D403" s="100">
        <f t="shared" si="19"/>
        <v>5153.8089160762474</v>
      </c>
      <c r="E403" s="95"/>
    </row>
    <row r="404" spans="2:5" ht="25.2" customHeight="1">
      <c r="B404" s="93">
        <f t="shared" si="17"/>
        <v>397</v>
      </c>
      <c r="C404" s="100">
        <f t="shared" si="18"/>
        <v>5165.2510672006583</v>
      </c>
      <c r="D404" s="100">
        <f t="shared" si="19"/>
        <v>5166.6593319544327</v>
      </c>
      <c r="E404" s="95"/>
    </row>
    <row r="405" spans="2:5" ht="25.2" customHeight="1">
      <c r="B405" s="93">
        <f t="shared" si="17"/>
        <v>398</v>
      </c>
      <c r="C405" s="100">
        <f t="shared" si="18"/>
        <v>5178.1014830788436</v>
      </c>
      <c r="D405" s="100">
        <f t="shared" si="19"/>
        <v>5179.5097478326179</v>
      </c>
      <c r="E405" s="95"/>
    </row>
    <row r="406" spans="2:5" ht="25.2" customHeight="1">
      <c r="B406" s="93">
        <f t="shared" si="17"/>
        <v>399</v>
      </c>
      <c r="C406" s="100">
        <f t="shared" si="18"/>
        <v>5190.9518989570288</v>
      </c>
      <c r="D406" s="100">
        <f t="shared" si="19"/>
        <v>5192.3601637108031</v>
      </c>
      <c r="E406" s="95"/>
    </row>
    <row r="407" spans="2:5" ht="25.2" customHeight="1">
      <c r="B407" s="93">
        <f t="shared" si="17"/>
        <v>400</v>
      </c>
      <c r="C407" s="100">
        <f t="shared" si="18"/>
        <v>5203.802314835214</v>
      </c>
      <c r="D407" s="100">
        <f t="shared" si="19"/>
        <v>5205.2105795889884</v>
      </c>
      <c r="E407" s="95"/>
    </row>
    <row r="408" spans="2:5" ht="25.2" customHeight="1">
      <c r="B408" s="93">
        <f t="shared" si="17"/>
        <v>401</v>
      </c>
      <c r="C408" s="100">
        <f t="shared" si="18"/>
        <v>5216.6527307133993</v>
      </c>
      <c r="D408" s="100">
        <f t="shared" si="19"/>
        <v>5218.0609954671736</v>
      </c>
      <c r="E408" s="95"/>
    </row>
    <row r="409" spans="2:5" ht="25.2" customHeight="1">
      <c r="B409" s="93">
        <f t="shared" si="17"/>
        <v>402</v>
      </c>
      <c r="C409" s="100">
        <f t="shared" si="18"/>
        <v>5229.5031465915845</v>
      </c>
      <c r="D409" s="100">
        <f t="shared" si="19"/>
        <v>5230.9114113453588</v>
      </c>
      <c r="E409" s="95"/>
    </row>
    <row r="410" spans="2:5" ht="25.2" customHeight="1">
      <c r="B410" s="93">
        <f t="shared" si="17"/>
        <v>403</v>
      </c>
      <c r="C410" s="100">
        <f t="shared" si="18"/>
        <v>5242.3535624697697</v>
      </c>
      <c r="D410" s="100">
        <f t="shared" si="19"/>
        <v>5243.7618272235441</v>
      </c>
      <c r="E410" s="95"/>
    </row>
    <row r="411" spans="2:5" ht="25.2" customHeight="1">
      <c r="B411" s="93">
        <f t="shared" si="17"/>
        <v>404</v>
      </c>
      <c r="C411" s="100">
        <f t="shared" si="18"/>
        <v>5255.2039783479549</v>
      </c>
      <c r="D411" s="100">
        <f t="shared" si="19"/>
        <v>5256.6122431017293</v>
      </c>
      <c r="E411" s="95"/>
    </row>
    <row r="412" spans="2:5" ht="25.2" customHeight="1">
      <c r="B412" s="93">
        <f t="shared" si="17"/>
        <v>405</v>
      </c>
      <c r="C412" s="100">
        <f t="shared" si="18"/>
        <v>5268.0543942261402</v>
      </c>
      <c r="D412" s="100">
        <f t="shared" si="19"/>
        <v>5269.4626589799145</v>
      </c>
      <c r="E412" s="95"/>
    </row>
    <row r="413" spans="2:5" ht="25.2" customHeight="1">
      <c r="B413" s="93">
        <f t="shared" si="17"/>
        <v>406</v>
      </c>
      <c r="C413" s="100">
        <f t="shared" si="18"/>
        <v>5280.9048101043254</v>
      </c>
      <c r="D413" s="100">
        <f t="shared" si="19"/>
        <v>5282.3130748580998</v>
      </c>
      <c r="E413" s="95"/>
    </row>
    <row r="414" spans="2:5" ht="25.2" customHeight="1">
      <c r="B414" s="93">
        <f t="shared" si="17"/>
        <v>407</v>
      </c>
      <c r="C414" s="100">
        <f t="shared" si="18"/>
        <v>5293.7552259825106</v>
      </c>
      <c r="D414" s="100">
        <f t="shared" si="19"/>
        <v>5295.163490736285</v>
      </c>
      <c r="E414" s="95"/>
    </row>
    <row r="415" spans="2:5" ht="25.2" customHeight="1">
      <c r="B415" s="93">
        <f t="shared" si="17"/>
        <v>408</v>
      </c>
      <c r="C415" s="100">
        <f t="shared" si="18"/>
        <v>5306.6056418606959</v>
      </c>
      <c r="D415" s="100">
        <f t="shared" si="19"/>
        <v>5308.0139066144702</v>
      </c>
      <c r="E415" s="95"/>
    </row>
    <row r="416" spans="2:5" ht="25.2" customHeight="1">
      <c r="B416" s="93">
        <f t="shared" si="17"/>
        <v>409</v>
      </c>
      <c r="C416" s="100">
        <f t="shared" si="18"/>
        <v>5319.4560577388811</v>
      </c>
      <c r="D416" s="100">
        <f t="shared" si="19"/>
        <v>5320.8643224926554</v>
      </c>
      <c r="E416" s="95"/>
    </row>
    <row r="417" spans="2:5" ht="25.2" customHeight="1">
      <c r="B417" s="93">
        <f t="shared" si="17"/>
        <v>410</v>
      </c>
      <c r="C417" s="100">
        <f t="shared" si="18"/>
        <v>5332.3064736170663</v>
      </c>
      <c r="D417" s="100">
        <f t="shared" si="19"/>
        <v>5333.7147383708407</v>
      </c>
      <c r="E417" s="95"/>
    </row>
    <row r="418" spans="2:5" ht="25.2" customHeight="1">
      <c r="B418" s="93">
        <f t="shared" si="17"/>
        <v>411</v>
      </c>
      <c r="C418" s="100">
        <f t="shared" si="18"/>
        <v>5345.1568894952516</v>
      </c>
      <c r="D418" s="100">
        <f t="shared" si="19"/>
        <v>5346.5651542490259</v>
      </c>
      <c r="E418" s="95"/>
    </row>
    <row r="419" spans="2:5" ht="25.2" customHeight="1">
      <c r="B419" s="93">
        <f t="shared" si="17"/>
        <v>412</v>
      </c>
      <c r="C419" s="100">
        <f t="shared" si="18"/>
        <v>5358.0073053734368</v>
      </c>
      <c r="D419" s="100">
        <f t="shared" si="19"/>
        <v>5359.4155701272111</v>
      </c>
      <c r="E419" s="95"/>
    </row>
    <row r="420" spans="2:5" ht="25.2" customHeight="1">
      <c r="B420" s="93">
        <f t="shared" si="17"/>
        <v>413</v>
      </c>
      <c r="C420" s="100">
        <f t="shared" si="18"/>
        <v>5370.857721251622</v>
      </c>
      <c r="D420" s="100">
        <f t="shared" si="19"/>
        <v>5372.2659860053964</v>
      </c>
      <c r="E420" s="95"/>
    </row>
    <row r="421" spans="2:5" ht="25.2" customHeight="1">
      <c r="B421" s="93">
        <f t="shared" si="17"/>
        <v>414</v>
      </c>
      <c r="C421" s="100">
        <f t="shared" si="18"/>
        <v>5383.7081371298073</v>
      </c>
      <c r="D421" s="100">
        <f t="shared" si="19"/>
        <v>5385.1164018835816</v>
      </c>
      <c r="E421" s="95"/>
    </row>
    <row r="422" spans="2:5" ht="25.2" customHeight="1">
      <c r="B422" s="93">
        <f t="shared" si="17"/>
        <v>415</v>
      </c>
      <c r="C422" s="100">
        <f t="shared" si="18"/>
        <v>5396.5585530079925</v>
      </c>
      <c r="D422" s="100">
        <f t="shared" si="19"/>
        <v>5397.9668177617668</v>
      </c>
      <c r="E422" s="95"/>
    </row>
    <row r="423" spans="2:5" ht="25.2" customHeight="1">
      <c r="B423" s="93">
        <f t="shared" ref="B423:B486" si="20">B422+1</f>
        <v>416</v>
      </c>
      <c r="C423" s="100">
        <f t="shared" ref="C423:C486" si="21">C422+($P$13/$P$19)</f>
        <v>5409.4089688861777</v>
      </c>
      <c r="D423" s="100">
        <f t="shared" ref="D423:D486" si="22">D422+($Q$13/$P$19)</f>
        <v>5410.8172336399521</v>
      </c>
      <c r="E423" s="95"/>
    </row>
    <row r="424" spans="2:5" ht="25.2" customHeight="1">
      <c r="B424" s="93">
        <f t="shared" si="20"/>
        <v>417</v>
      </c>
      <c r="C424" s="100">
        <f t="shared" si="21"/>
        <v>5422.2593847643629</v>
      </c>
      <c r="D424" s="100">
        <f t="shared" si="22"/>
        <v>5423.6676495181373</v>
      </c>
      <c r="E424" s="95"/>
    </row>
    <row r="425" spans="2:5" ht="25.2" customHeight="1">
      <c r="B425" s="93">
        <f t="shared" si="20"/>
        <v>418</v>
      </c>
      <c r="C425" s="100">
        <f t="shared" si="21"/>
        <v>5435.1098006425482</v>
      </c>
      <c r="D425" s="100">
        <f t="shared" si="22"/>
        <v>5436.5180653963225</v>
      </c>
      <c r="E425" s="95"/>
    </row>
    <row r="426" spans="2:5" ht="25.2" customHeight="1">
      <c r="B426" s="93">
        <f t="shared" si="20"/>
        <v>419</v>
      </c>
      <c r="C426" s="100">
        <f t="shared" si="21"/>
        <v>5447.9602165207334</v>
      </c>
      <c r="D426" s="100">
        <f t="shared" si="22"/>
        <v>5449.3684812745078</v>
      </c>
      <c r="E426" s="95"/>
    </row>
    <row r="427" spans="2:5" ht="25.2" customHeight="1">
      <c r="B427" s="93">
        <f t="shared" si="20"/>
        <v>420</v>
      </c>
      <c r="C427" s="100">
        <f t="shared" si="21"/>
        <v>5460.8106323989186</v>
      </c>
      <c r="D427" s="100">
        <f t="shared" si="22"/>
        <v>5462.218897152693</v>
      </c>
      <c r="E427" s="95"/>
    </row>
    <row r="428" spans="2:5" ht="25.2" customHeight="1">
      <c r="B428" s="93">
        <f t="shared" si="20"/>
        <v>421</v>
      </c>
      <c r="C428" s="100">
        <f t="shared" si="21"/>
        <v>5473.6610482771039</v>
      </c>
      <c r="D428" s="100">
        <f t="shared" si="22"/>
        <v>5475.0693130308782</v>
      </c>
      <c r="E428" s="95"/>
    </row>
    <row r="429" spans="2:5" ht="25.2" customHeight="1">
      <c r="B429" s="93">
        <f t="shared" si="20"/>
        <v>422</v>
      </c>
      <c r="C429" s="100">
        <f t="shared" si="21"/>
        <v>5486.5114641552891</v>
      </c>
      <c r="D429" s="100">
        <f t="shared" si="22"/>
        <v>5487.9197289090635</v>
      </c>
      <c r="E429" s="95"/>
    </row>
    <row r="430" spans="2:5" ht="25.2" customHeight="1">
      <c r="B430" s="93">
        <f t="shared" si="20"/>
        <v>423</v>
      </c>
      <c r="C430" s="100">
        <f t="shared" si="21"/>
        <v>5499.3618800334743</v>
      </c>
      <c r="D430" s="100">
        <f t="shared" si="22"/>
        <v>5500.7701447872487</v>
      </c>
      <c r="E430" s="95"/>
    </row>
    <row r="431" spans="2:5" ht="25.2" customHeight="1">
      <c r="B431" s="93">
        <f t="shared" si="20"/>
        <v>424</v>
      </c>
      <c r="C431" s="100">
        <f t="shared" si="21"/>
        <v>5512.2122959116596</v>
      </c>
      <c r="D431" s="100">
        <f t="shared" si="22"/>
        <v>5513.6205606654339</v>
      </c>
      <c r="E431" s="95"/>
    </row>
    <row r="432" spans="2:5" ht="25.2" customHeight="1">
      <c r="B432" s="93">
        <f t="shared" si="20"/>
        <v>425</v>
      </c>
      <c r="C432" s="100">
        <f t="shared" si="21"/>
        <v>5525.0627117898448</v>
      </c>
      <c r="D432" s="100">
        <f t="shared" si="22"/>
        <v>5526.4709765436191</v>
      </c>
      <c r="E432" s="95"/>
    </row>
    <row r="433" spans="2:5" ht="25.2" customHeight="1">
      <c r="B433" s="93">
        <f t="shared" si="20"/>
        <v>426</v>
      </c>
      <c r="C433" s="100">
        <f t="shared" si="21"/>
        <v>5537.91312766803</v>
      </c>
      <c r="D433" s="100">
        <f t="shared" si="22"/>
        <v>5539.3213924218044</v>
      </c>
      <c r="E433" s="95"/>
    </row>
    <row r="434" spans="2:5" ht="25.2" customHeight="1">
      <c r="B434" s="93">
        <f t="shared" si="20"/>
        <v>427</v>
      </c>
      <c r="C434" s="100">
        <f t="shared" si="21"/>
        <v>5550.7635435462153</v>
      </c>
      <c r="D434" s="100">
        <f t="shared" si="22"/>
        <v>5552.1718082999896</v>
      </c>
      <c r="E434" s="95"/>
    </row>
    <row r="435" spans="2:5" ht="25.2" customHeight="1">
      <c r="B435" s="93">
        <f t="shared" si="20"/>
        <v>428</v>
      </c>
      <c r="C435" s="100">
        <f t="shared" si="21"/>
        <v>5563.6139594244005</v>
      </c>
      <c r="D435" s="100">
        <f t="shared" si="22"/>
        <v>5565.0222241781748</v>
      </c>
      <c r="E435" s="95"/>
    </row>
    <row r="436" spans="2:5" ht="25.2" customHeight="1">
      <c r="B436" s="93">
        <f t="shared" si="20"/>
        <v>429</v>
      </c>
      <c r="C436" s="100">
        <f t="shared" si="21"/>
        <v>5576.4643753025857</v>
      </c>
      <c r="D436" s="100">
        <f t="shared" si="22"/>
        <v>5577.8726400563601</v>
      </c>
      <c r="E436" s="95"/>
    </row>
    <row r="437" spans="2:5" ht="25.2" customHeight="1">
      <c r="B437" s="93">
        <f t="shared" si="20"/>
        <v>430</v>
      </c>
      <c r="C437" s="100">
        <f t="shared" si="21"/>
        <v>5589.314791180771</v>
      </c>
      <c r="D437" s="100">
        <f t="shared" si="22"/>
        <v>5590.7230559345453</v>
      </c>
      <c r="E437" s="95"/>
    </row>
    <row r="438" spans="2:5" ht="25.2" customHeight="1">
      <c r="B438" s="93">
        <f t="shared" si="20"/>
        <v>431</v>
      </c>
      <c r="C438" s="100">
        <f t="shared" si="21"/>
        <v>5602.1652070589562</v>
      </c>
      <c r="D438" s="100">
        <f t="shared" si="22"/>
        <v>5603.5734718127305</v>
      </c>
      <c r="E438" s="95"/>
    </row>
    <row r="439" spans="2:5" ht="25.2" customHeight="1">
      <c r="B439" s="93">
        <f t="shared" si="20"/>
        <v>432</v>
      </c>
      <c r="C439" s="100">
        <f t="shared" si="21"/>
        <v>5615.0156229371414</v>
      </c>
      <c r="D439" s="100">
        <f t="shared" si="22"/>
        <v>5616.4238876909158</v>
      </c>
      <c r="E439" s="95"/>
    </row>
    <row r="440" spans="2:5" ht="25.2" customHeight="1">
      <c r="B440" s="93">
        <f t="shared" si="20"/>
        <v>433</v>
      </c>
      <c r="C440" s="100">
        <f t="shared" si="21"/>
        <v>5627.8660388153266</v>
      </c>
      <c r="D440" s="100">
        <f t="shared" si="22"/>
        <v>5629.274303569101</v>
      </c>
      <c r="E440" s="95"/>
    </row>
    <row r="441" spans="2:5" ht="25.2" customHeight="1">
      <c r="B441" s="93">
        <f t="shared" si="20"/>
        <v>434</v>
      </c>
      <c r="C441" s="100">
        <f t="shared" si="21"/>
        <v>5640.7164546935119</v>
      </c>
      <c r="D441" s="100">
        <f t="shared" si="22"/>
        <v>5642.1247194472862</v>
      </c>
      <c r="E441" s="95"/>
    </row>
    <row r="442" spans="2:5" ht="25.2" customHeight="1">
      <c r="B442" s="93">
        <f t="shared" si="20"/>
        <v>435</v>
      </c>
      <c r="C442" s="100">
        <f t="shared" si="21"/>
        <v>5653.5668705716971</v>
      </c>
      <c r="D442" s="100">
        <f t="shared" si="22"/>
        <v>5654.9751353254715</v>
      </c>
      <c r="E442" s="95"/>
    </row>
    <row r="443" spans="2:5" ht="25.2" customHeight="1">
      <c r="B443" s="93">
        <f t="shared" si="20"/>
        <v>436</v>
      </c>
      <c r="C443" s="100">
        <f t="shared" si="21"/>
        <v>5666.4172864498823</v>
      </c>
      <c r="D443" s="100">
        <f t="shared" si="22"/>
        <v>5667.8255512036567</v>
      </c>
      <c r="E443" s="95"/>
    </row>
    <row r="444" spans="2:5" ht="25.2" customHeight="1">
      <c r="B444" s="93">
        <f t="shared" si="20"/>
        <v>437</v>
      </c>
      <c r="C444" s="100">
        <f t="shared" si="21"/>
        <v>5679.2677023280676</v>
      </c>
      <c r="D444" s="100">
        <f t="shared" si="22"/>
        <v>5680.6759670818419</v>
      </c>
      <c r="E444" s="95"/>
    </row>
    <row r="445" spans="2:5" ht="25.2" customHeight="1">
      <c r="B445" s="93">
        <f t="shared" si="20"/>
        <v>438</v>
      </c>
      <c r="C445" s="100">
        <f t="shared" si="21"/>
        <v>5692.1181182062528</v>
      </c>
      <c r="D445" s="100">
        <f t="shared" si="22"/>
        <v>5693.5263829600271</v>
      </c>
      <c r="E445" s="95"/>
    </row>
    <row r="446" spans="2:5" ht="25.2" customHeight="1">
      <c r="B446" s="93">
        <f t="shared" si="20"/>
        <v>439</v>
      </c>
      <c r="C446" s="100">
        <f t="shared" si="21"/>
        <v>5704.968534084438</v>
      </c>
      <c r="D446" s="100">
        <f t="shared" si="22"/>
        <v>5706.3767988382124</v>
      </c>
      <c r="E446" s="95"/>
    </row>
    <row r="447" spans="2:5" ht="25.2" customHeight="1">
      <c r="B447" s="93">
        <f t="shared" si="20"/>
        <v>440</v>
      </c>
      <c r="C447" s="100">
        <f t="shared" si="21"/>
        <v>5717.8189499626233</v>
      </c>
      <c r="D447" s="100">
        <f t="shared" si="22"/>
        <v>5719.2272147163976</v>
      </c>
      <c r="E447" s="95"/>
    </row>
    <row r="448" spans="2:5" ht="25.2" customHeight="1">
      <c r="B448" s="93">
        <f t="shared" si="20"/>
        <v>441</v>
      </c>
      <c r="C448" s="100">
        <f t="shared" si="21"/>
        <v>5730.6693658408085</v>
      </c>
      <c r="D448" s="100">
        <f t="shared" si="22"/>
        <v>5732.0776305945828</v>
      </c>
      <c r="E448" s="95"/>
    </row>
    <row r="449" spans="2:5" ht="25.2" customHeight="1">
      <c r="B449" s="93">
        <f t="shared" si="20"/>
        <v>442</v>
      </c>
      <c r="C449" s="100">
        <f t="shared" si="21"/>
        <v>5743.5197817189937</v>
      </c>
      <c r="D449" s="100">
        <f t="shared" si="22"/>
        <v>5744.9280464727681</v>
      </c>
      <c r="E449" s="95"/>
    </row>
    <row r="450" spans="2:5" ht="25.2" customHeight="1">
      <c r="B450" s="93">
        <f t="shared" si="20"/>
        <v>443</v>
      </c>
      <c r="C450" s="100">
        <f t="shared" si="21"/>
        <v>5756.370197597179</v>
      </c>
      <c r="D450" s="100">
        <f t="shared" si="22"/>
        <v>5757.7784623509533</v>
      </c>
      <c r="E450" s="95"/>
    </row>
    <row r="451" spans="2:5" ht="25.2" customHeight="1">
      <c r="B451" s="93">
        <f t="shared" si="20"/>
        <v>444</v>
      </c>
      <c r="C451" s="100">
        <f t="shared" si="21"/>
        <v>5769.2206134753642</v>
      </c>
      <c r="D451" s="100">
        <f t="shared" si="22"/>
        <v>5770.6288782291385</v>
      </c>
      <c r="E451" s="95"/>
    </row>
    <row r="452" spans="2:5" ht="25.2" customHeight="1">
      <c r="B452" s="93">
        <f t="shared" si="20"/>
        <v>445</v>
      </c>
      <c r="C452" s="100">
        <f t="shared" si="21"/>
        <v>5782.0710293535494</v>
      </c>
      <c r="D452" s="100">
        <f t="shared" si="22"/>
        <v>5783.4792941073238</v>
      </c>
      <c r="E452" s="95"/>
    </row>
    <row r="453" spans="2:5" ht="25.2" customHeight="1">
      <c r="B453" s="93">
        <f t="shared" si="20"/>
        <v>446</v>
      </c>
      <c r="C453" s="100">
        <f t="shared" si="21"/>
        <v>5794.9214452317347</v>
      </c>
      <c r="D453" s="100">
        <f t="shared" si="22"/>
        <v>5796.329709985509</v>
      </c>
      <c r="E453" s="95"/>
    </row>
    <row r="454" spans="2:5" ht="25.2" customHeight="1">
      <c r="B454" s="93">
        <f t="shared" si="20"/>
        <v>447</v>
      </c>
      <c r="C454" s="100">
        <f t="shared" si="21"/>
        <v>5807.7718611099199</v>
      </c>
      <c r="D454" s="100">
        <f t="shared" si="22"/>
        <v>5809.1801258636942</v>
      </c>
      <c r="E454" s="95"/>
    </row>
    <row r="455" spans="2:5" ht="25.2" customHeight="1">
      <c r="B455" s="93">
        <f t="shared" si="20"/>
        <v>448</v>
      </c>
      <c r="C455" s="100">
        <f t="shared" si="21"/>
        <v>5820.6222769881051</v>
      </c>
      <c r="D455" s="100">
        <f t="shared" si="22"/>
        <v>5822.0305417418795</v>
      </c>
      <c r="E455" s="95"/>
    </row>
    <row r="456" spans="2:5" ht="25.2" customHeight="1">
      <c r="B456" s="93">
        <f t="shared" si="20"/>
        <v>449</v>
      </c>
      <c r="C456" s="100">
        <f t="shared" si="21"/>
        <v>5833.4726928662903</v>
      </c>
      <c r="D456" s="100">
        <f t="shared" si="22"/>
        <v>5834.8809576200647</v>
      </c>
      <c r="E456" s="95"/>
    </row>
    <row r="457" spans="2:5" ht="25.2" customHeight="1">
      <c r="B457" s="93">
        <f t="shared" si="20"/>
        <v>450</v>
      </c>
      <c r="C457" s="100">
        <f t="shared" si="21"/>
        <v>5846.3231087444756</v>
      </c>
      <c r="D457" s="100">
        <f t="shared" si="22"/>
        <v>5847.7313734982499</v>
      </c>
      <c r="E457" s="95"/>
    </row>
    <row r="458" spans="2:5" ht="25.2" customHeight="1">
      <c r="B458" s="93">
        <f t="shared" si="20"/>
        <v>451</v>
      </c>
      <c r="C458" s="100">
        <f t="shared" si="21"/>
        <v>5859.1735246226608</v>
      </c>
      <c r="D458" s="100">
        <f t="shared" si="22"/>
        <v>5860.5817893764352</v>
      </c>
      <c r="E458" s="95"/>
    </row>
    <row r="459" spans="2:5" ht="25.2" customHeight="1">
      <c r="B459" s="93">
        <f t="shared" si="20"/>
        <v>452</v>
      </c>
      <c r="C459" s="100">
        <f t="shared" si="21"/>
        <v>5872.023940500846</v>
      </c>
      <c r="D459" s="100">
        <f t="shared" si="22"/>
        <v>5873.4322052546204</v>
      </c>
      <c r="E459" s="95"/>
    </row>
    <row r="460" spans="2:5" ht="25.2" customHeight="1">
      <c r="B460" s="93">
        <f t="shared" si="20"/>
        <v>453</v>
      </c>
      <c r="C460" s="100">
        <f t="shared" si="21"/>
        <v>5884.8743563790313</v>
      </c>
      <c r="D460" s="100">
        <f t="shared" si="22"/>
        <v>5886.2826211328056</v>
      </c>
      <c r="E460" s="95"/>
    </row>
    <row r="461" spans="2:5" ht="25.2" customHeight="1">
      <c r="B461" s="93">
        <f t="shared" si="20"/>
        <v>454</v>
      </c>
      <c r="C461" s="100">
        <f t="shared" si="21"/>
        <v>5897.7247722572165</v>
      </c>
      <c r="D461" s="100">
        <f t="shared" si="22"/>
        <v>5899.1330370109908</v>
      </c>
      <c r="E461" s="95"/>
    </row>
    <row r="462" spans="2:5" ht="25.2" customHeight="1">
      <c r="B462" s="93">
        <f t="shared" si="20"/>
        <v>455</v>
      </c>
      <c r="C462" s="100">
        <f t="shared" si="21"/>
        <v>5910.5751881354017</v>
      </c>
      <c r="D462" s="100">
        <f t="shared" si="22"/>
        <v>5911.9834528891761</v>
      </c>
      <c r="E462" s="95"/>
    </row>
    <row r="463" spans="2:5" ht="25.2" customHeight="1">
      <c r="B463" s="93">
        <f t="shared" si="20"/>
        <v>456</v>
      </c>
      <c r="C463" s="100">
        <f t="shared" si="21"/>
        <v>5923.425604013587</v>
      </c>
      <c r="D463" s="100">
        <f t="shared" si="22"/>
        <v>5924.8338687673613</v>
      </c>
      <c r="E463" s="95"/>
    </row>
    <row r="464" spans="2:5" ht="25.2" customHeight="1">
      <c r="B464" s="93">
        <f t="shared" si="20"/>
        <v>457</v>
      </c>
      <c r="C464" s="100">
        <f t="shared" si="21"/>
        <v>5936.2760198917722</v>
      </c>
      <c r="D464" s="100">
        <f t="shared" si="22"/>
        <v>5937.6842846455465</v>
      </c>
      <c r="E464" s="95"/>
    </row>
    <row r="465" spans="2:5" ht="25.2" customHeight="1">
      <c r="B465" s="93">
        <f t="shared" si="20"/>
        <v>458</v>
      </c>
      <c r="C465" s="100">
        <f t="shared" si="21"/>
        <v>5949.1264357699574</v>
      </c>
      <c r="D465" s="100">
        <f t="shared" si="22"/>
        <v>5950.5347005237318</v>
      </c>
      <c r="E465" s="95"/>
    </row>
    <row r="466" spans="2:5" ht="25.2" customHeight="1">
      <c r="B466" s="93">
        <f t="shared" si="20"/>
        <v>459</v>
      </c>
      <c r="C466" s="100">
        <f t="shared" si="21"/>
        <v>5961.9768516481427</v>
      </c>
      <c r="D466" s="100">
        <f t="shared" si="22"/>
        <v>5963.385116401917</v>
      </c>
      <c r="E466" s="95"/>
    </row>
    <row r="467" spans="2:5" ht="25.2" customHeight="1">
      <c r="B467" s="93">
        <f t="shared" si="20"/>
        <v>460</v>
      </c>
      <c r="C467" s="100">
        <f t="shared" si="21"/>
        <v>5974.8272675263279</v>
      </c>
      <c r="D467" s="100">
        <f t="shared" si="22"/>
        <v>5976.2355322801022</v>
      </c>
      <c r="E467" s="95"/>
    </row>
    <row r="468" spans="2:5" ht="25.2" customHeight="1">
      <c r="B468" s="93">
        <f t="shared" si="20"/>
        <v>461</v>
      </c>
      <c r="C468" s="100">
        <f t="shared" si="21"/>
        <v>5987.6776834045131</v>
      </c>
      <c r="D468" s="100">
        <f t="shared" si="22"/>
        <v>5989.0859481582875</v>
      </c>
      <c r="E468" s="95"/>
    </row>
    <row r="469" spans="2:5" ht="25.2" customHeight="1">
      <c r="B469" s="93">
        <f t="shared" si="20"/>
        <v>462</v>
      </c>
      <c r="C469" s="100">
        <f t="shared" si="21"/>
        <v>6000.5280992826983</v>
      </c>
      <c r="D469" s="100">
        <f t="shared" si="22"/>
        <v>6001.9363640364727</v>
      </c>
      <c r="E469" s="95"/>
    </row>
    <row r="470" spans="2:5" ht="25.2" customHeight="1">
      <c r="B470" s="93">
        <f t="shared" si="20"/>
        <v>463</v>
      </c>
      <c r="C470" s="100">
        <f t="shared" si="21"/>
        <v>6013.3785151608836</v>
      </c>
      <c r="D470" s="100">
        <f t="shared" si="22"/>
        <v>6014.7867799146579</v>
      </c>
      <c r="E470" s="95"/>
    </row>
    <row r="471" spans="2:5" ht="25.2" customHeight="1">
      <c r="B471" s="93">
        <f t="shared" si="20"/>
        <v>464</v>
      </c>
      <c r="C471" s="100">
        <f t="shared" si="21"/>
        <v>6026.2289310390688</v>
      </c>
      <c r="D471" s="100">
        <f t="shared" si="22"/>
        <v>6027.6371957928432</v>
      </c>
      <c r="E471" s="95"/>
    </row>
    <row r="472" spans="2:5" ht="25.2" customHeight="1">
      <c r="B472" s="93">
        <f t="shared" si="20"/>
        <v>465</v>
      </c>
      <c r="C472" s="100">
        <f t="shared" si="21"/>
        <v>6039.079346917254</v>
      </c>
      <c r="D472" s="100">
        <f t="shared" si="22"/>
        <v>6040.4876116710284</v>
      </c>
      <c r="E472" s="95"/>
    </row>
    <row r="473" spans="2:5" ht="25.2" customHeight="1">
      <c r="B473" s="93">
        <f t="shared" si="20"/>
        <v>466</v>
      </c>
      <c r="C473" s="100">
        <f t="shared" si="21"/>
        <v>6051.9297627954393</v>
      </c>
      <c r="D473" s="100">
        <f t="shared" si="22"/>
        <v>6053.3380275492136</v>
      </c>
      <c r="E473" s="95"/>
    </row>
    <row r="474" spans="2:5" ht="25.2" customHeight="1">
      <c r="B474" s="93">
        <f t="shared" si="20"/>
        <v>467</v>
      </c>
      <c r="C474" s="100">
        <f t="shared" si="21"/>
        <v>6064.7801786736245</v>
      </c>
      <c r="D474" s="100">
        <f t="shared" si="22"/>
        <v>6066.1884434273989</v>
      </c>
      <c r="E474" s="95"/>
    </row>
    <row r="475" spans="2:5" ht="25.2" customHeight="1">
      <c r="B475" s="93">
        <f t="shared" si="20"/>
        <v>468</v>
      </c>
      <c r="C475" s="100">
        <f t="shared" si="21"/>
        <v>6077.6305945518097</v>
      </c>
      <c r="D475" s="100">
        <f t="shared" si="22"/>
        <v>6079.0388593055841</v>
      </c>
      <c r="E475" s="95"/>
    </row>
    <row r="476" spans="2:5" ht="25.2" customHeight="1">
      <c r="B476" s="93">
        <f t="shared" si="20"/>
        <v>469</v>
      </c>
      <c r="C476" s="100">
        <f t="shared" si="21"/>
        <v>6090.481010429995</v>
      </c>
      <c r="D476" s="100">
        <f t="shared" si="22"/>
        <v>6091.8892751837693</v>
      </c>
      <c r="E476" s="95"/>
    </row>
    <row r="477" spans="2:5" ht="25.2" customHeight="1">
      <c r="B477" s="93">
        <f t="shared" si="20"/>
        <v>470</v>
      </c>
      <c r="C477" s="100">
        <f t="shared" si="21"/>
        <v>6103.3314263081802</v>
      </c>
      <c r="D477" s="100">
        <f t="shared" si="22"/>
        <v>6104.7396910619545</v>
      </c>
      <c r="E477" s="95"/>
    </row>
    <row r="478" spans="2:5" ht="25.2" customHeight="1">
      <c r="B478" s="93">
        <f t="shared" si="20"/>
        <v>471</v>
      </c>
      <c r="C478" s="100">
        <f t="shared" si="21"/>
        <v>6116.1818421863654</v>
      </c>
      <c r="D478" s="100">
        <f t="shared" si="22"/>
        <v>6117.5901069401398</v>
      </c>
      <c r="E478" s="95"/>
    </row>
    <row r="479" spans="2:5" ht="25.2" customHeight="1">
      <c r="B479" s="93">
        <f t="shared" si="20"/>
        <v>472</v>
      </c>
      <c r="C479" s="100">
        <f t="shared" si="21"/>
        <v>6129.0322580645507</v>
      </c>
      <c r="D479" s="100">
        <f t="shared" si="22"/>
        <v>6130.440522818325</v>
      </c>
      <c r="E479" s="95"/>
    </row>
    <row r="480" spans="2:5" ht="25.2" customHeight="1">
      <c r="B480" s="93">
        <f t="shared" si="20"/>
        <v>473</v>
      </c>
      <c r="C480" s="100">
        <f t="shared" si="21"/>
        <v>6141.8826739427359</v>
      </c>
      <c r="D480" s="100">
        <f t="shared" si="22"/>
        <v>6143.2909386965102</v>
      </c>
      <c r="E480" s="95"/>
    </row>
    <row r="481" spans="2:5" ht="25.2" customHeight="1">
      <c r="B481" s="93">
        <f t="shared" si="20"/>
        <v>474</v>
      </c>
      <c r="C481" s="100">
        <f t="shared" si="21"/>
        <v>6154.7330898209211</v>
      </c>
      <c r="D481" s="100">
        <f t="shared" si="22"/>
        <v>6156.1413545746955</v>
      </c>
      <c r="E481" s="95"/>
    </row>
    <row r="482" spans="2:5" ht="25.2" customHeight="1">
      <c r="B482" s="93">
        <f t="shared" si="20"/>
        <v>475</v>
      </c>
      <c r="C482" s="100">
        <f t="shared" si="21"/>
        <v>6167.5835056991064</v>
      </c>
      <c r="D482" s="100">
        <f t="shared" si="22"/>
        <v>6168.9917704528807</v>
      </c>
      <c r="E482" s="95"/>
    </row>
    <row r="483" spans="2:5" ht="25.2" customHeight="1">
      <c r="B483" s="93">
        <f t="shared" si="20"/>
        <v>476</v>
      </c>
      <c r="C483" s="100">
        <f t="shared" si="21"/>
        <v>6180.4339215772916</v>
      </c>
      <c r="D483" s="100">
        <f t="shared" si="22"/>
        <v>6181.8421863310659</v>
      </c>
      <c r="E483" s="95"/>
    </row>
    <row r="484" spans="2:5" ht="25.2" customHeight="1">
      <c r="B484" s="93">
        <f t="shared" si="20"/>
        <v>477</v>
      </c>
      <c r="C484" s="100">
        <f t="shared" si="21"/>
        <v>6193.2843374554768</v>
      </c>
      <c r="D484" s="100">
        <f t="shared" si="22"/>
        <v>6194.6926022092512</v>
      </c>
      <c r="E484" s="95"/>
    </row>
    <row r="485" spans="2:5" ht="25.2" customHeight="1">
      <c r="B485" s="93">
        <f t="shared" si="20"/>
        <v>478</v>
      </c>
      <c r="C485" s="100">
        <f t="shared" si="21"/>
        <v>6206.134753333662</v>
      </c>
      <c r="D485" s="100">
        <f t="shared" si="22"/>
        <v>6207.5430180874364</v>
      </c>
      <c r="E485" s="95"/>
    </row>
    <row r="486" spans="2:5" ht="25.2" customHeight="1">
      <c r="B486" s="93">
        <f t="shared" si="20"/>
        <v>479</v>
      </c>
      <c r="C486" s="100">
        <f t="shared" si="21"/>
        <v>6218.9851692118473</v>
      </c>
      <c r="D486" s="100">
        <f t="shared" si="22"/>
        <v>6220.3934339656216</v>
      </c>
      <c r="E486" s="95"/>
    </row>
    <row r="487" spans="2:5" ht="25.2" customHeight="1">
      <c r="B487" s="93">
        <f t="shared" ref="B487:B507" si="23">B486+1</f>
        <v>480</v>
      </c>
      <c r="C487" s="100">
        <f t="shared" ref="C487:C507" si="24">C486+($P$13/$P$19)</f>
        <v>6231.8355850900325</v>
      </c>
      <c r="D487" s="100">
        <f t="shared" ref="D487:D507" si="25">D486+($Q$13/$P$19)</f>
        <v>6233.2438498438069</v>
      </c>
      <c r="E487" s="95"/>
    </row>
    <row r="488" spans="2:5" ht="25.2" customHeight="1">
      <c r="B488" s="93">
        <f t="shared" si="23"/>
        <v>481</v>
      </c>
      <c r="C488" s="100">
        <f t="shared" si="24"/>
        <v>6244.6860009682177</v>
      </c>
      <c r="D488" s="100">
        <f t="shared" si="25"/>
        <v>6246.0942657219921</v>
      </c>
      <c r="E488" s="95"/>
    </row>
    <row r="489" spans="2:5" ht="25.2" customHeight="1">
      <c r="B489" s="93">
        <f t="shared" si="23"/>
        <v>482</v>
      </c>
      <c r="C489" s="100">
        <f t="shared" si="24"/>
        <v>6257.536416846403</v>
      </c>
      <c r="D489" s="100">
        <f t="shared" si="25"/>
        <v>6258.9446816001773</v>
      </c>
      <c r="E489" s="95"/>
    </row>
    <row r="490" spans="2:5" ht="25.2" customHeight="1">
      <c r="B490" s="93">
        <f t="shared" si="23"/>
        <v>483</v>
      </c>
      <c r="C490" s="100">
        <f t="shared" si="24"/>
        <v>6270.3868327245882</v>
      </c>
      <c r="D490" s="100">
        <f t="shared" si="25"/>
        <v>6271.7950974783625</v>
      </c>
      <c r="E490" s="95"/>
    </row>
    <row r="491" spans="2:5" ht="25.2" customHeight="1">
      <c r="B491" s="93">
        <f t="shared" si="23"/>
        <v>484</v>
      </c>
      <c r="C491" s="100">
        <f t="shared" si="24"/>
        <v>6283.2372486027734</v>
      </c>
      <c r="D491" s="100">
        <f t="shared" si="25"/>
        <v>6284.6455133565478</v>
      </c>
      <c r="E491" s="95"/>
    </row>
    <row r="492" spans="2:5" ht="25.2" customHeight="1">
      <c r="B492" s="93">
        <f t="shared" si="23"/>
        <v>485</v>
      </c>
      <c r="C492" s="100">
        <f t="shared" si="24"/>
        <v>6296.0876644809587</v>
      </c>
      <c r="D492" s="100">
        <f t="shared" si="25"/>
        <v>6297.495929234733</v>
      </c>
      <c r="E492" s="95"/>
    </row>
    <row r="493" spans="2:5" ht="25.2" customHeight="1">
      <c r="B493" s="93">
        <f t="shared" si="23"/>
        <v>486</v>
      </c>
      <c r="C493" s="100">
        <f t="shared" si="24"/>
        <v>6308.9380803591439</v>
      </c>
      <c r="D493" s="100">
        <f t="shared" si="25"/>
        <v>6310.3463451129182</v>
      </c>
      <c r="E493" s="95"/>
    </row>
    <row r="494" spans="2:5" ht="25.2" customHeight="1">
      <c r="B494" s="93">
        <f t="shared" si="23"/>
        <v>487</v>
      </c>
      <c r="C494" s="100">
        <f t="shared" si="24"/>
        <v>6321.7884962373291</v>
      </c>
      <c r="D494" s="100">
        <f t="shared" si="25"/>
        <v>6323.1967609911035</v>
      </c>
      <c r="E494" s="95"/>
    </row>
    <row r="495" spans="2:5" ht="25.2" customHeight="1">
      <c r="B495" s="93">
        <f t="shared" si="23"/>
        <v>488</v>
      </c>
      <c r="C495" s="100">
        <f t="shared" si="24"/>
        <v>6334.6389121155144</v>
      </c>
      <c r="D495" s="100">
        <f t="shared" si="25"/>
        <v>6336.0471768692887</v>
      </c>
      <c r="E495" s="95"/>
    </row>
    <row r="496" spans="2:5" ht="25.2" customHeight="1">
      <c r="B496" s="93">
        <f t="shared" si="23"/>
        <v>489</v>
      </c>
      <c r="C496" s="100">
        <f t="shared" si="24"/>
        <v>6347.4893279936996</v>
      </c>
      <c r="D496" s="100">
        <f t="shared" si="25"/>
        <v>6348.8975927474739</v>
      </c>
      <c r="E496" s="95"/>
    </row>
    <row r="497" spans="2:5" ht="25.2" customHeight="1">
      <c r="B497" s="93">
        <f t="shared" si="23"/>
        <v>490</v>
      </c>
      <c r="C497" s="100">
        <f t="shared" si="24"/>
        <v>6360.3397438718848</v>
      </c>
      <c r="D497" s="100">
        <f t="shared" si="25"/>
        <v>6361.7480086256592</v>
      </c>
      <c r="E497" s="95"/>
    </row>
    <row r="498" spans="2:5" ht="25.2" customHeight="1">
      <c r="B498" s="93">
        <f t="shared" si="23"/>
        <v>491</v>
      </c>
      <c r="C498" s="100">
        <f t="shared" si="24"/>
        <v>6373.1901597500701</v>
      </c>
      <c r="D498" s="100">
        <f t="shared" si="25"/>
        <v>6374.5984245038444</v>
      </c>
      <c r="E498" s="95"/>
    </row>
    <row r="499" spans="2:5" ht="25.2" customHeight="1">
      <c r="B499" s="93">
        <f t="shared" si="23"/>
        <v>492</v>
      </c>
      <c r="C499" s="100">
        <f t="shared" si="24"/>
        <v>6386.0405756282553</v>
      </c>
      <c r="D499" s="100">
        <f t="shared" si="25"/>
        <v>6387.4488403820296</v>
      </c>
      <c r="E499" s="95"/>
    </row>
    <row r="500" spans="2:5" ht="25.2" customHeight="1">
      <c r="B500" s="93">
        <f t="shared" si="23"/>
        <v>493</v>
      </c>
      <c r="C500" s="100">
        <f t="shared" si="24"/>
        <v>6398.8909915064405</v>
      </c>
      <c r="D500" s="100">
        <f t="shared" si="25"/>
        <v>6400.2992562602149</v>
      </c>
      <c r="E500" s="95"/>
    </row>
    <row r="501" spans="2:5" ht="25.2" customHeight="1">
      <c r="B501" s="93">
        <f t="shared" si="23"/>
        <v>494</v>
      </c>
      <c r="C501" s="100">
        <f t="shared" si="24"/>
        <v>6411.7414073846257</v>
      </c>
      <c r="D501" s="100">
        <f t="shared" si="25"/>
        <v>6413.1496721384001</v>
      </c>
      <c r="E501" s="95"/>
    </row>
    <row r="502" spans="2:5" ht="25.2" customHeight="1">
      <c r="B502" s="93">
        <f t="shared" si="23"/>
        <v>495</v>
      </c>
      <c r="C502" s="100">
        <f t="shared" si="24"/>
        <v>6424.591823262811</v>
      </c>
      <c r="D502" s="100">
        <f t="shared" si="25"/>
        <v>6426.0000880165853</v>
      </c>
      <c r="E502" s="95"/>
    </row>
    <row r="503" spans="2:5" ht="25.2" customHeight="1">
      <c r="B503" s="93">
        <f t="shared" si="23"/>
        <v>496</v>
      </c>
      <c r="C503" s="100">
        <f t="shared" si="24"/>
        <v>6437.4422391409962</v>
      </c>
      <c r="D503" s="100">
        <f t="shared" si="25"/>
        <v>6438.8505038947706</v>
      </c>
      <c r="E503" s="95"/>
    </row>
    <row r="504" spans="2:5" ht="25.2" customHeight="1">
      <c r="B504" s="93">
        <f t="shared" si="23"/>
        <v>497</v>
      </c>
      <c r="C504" s="100">
        <f t="shared" si="24"/>
        <v>6450.2926550191814</v>
      </c>
      <c r="D504" s="100">
        <f t="shared" si="25"/>
        <v>6451.7009197729558</v>
      </c>
      <c r="E504" s="95"/>
    </row>
    <row r="505" spans="2:5" ht="25.2" customHeight="1">
      <c r="B505" s="93">
        <f t="shared" si="23"/>
        <v>498</v>
      </c>
      <c r="C505" s="100">
        <f t="shared" si="24"/>
        <v>6463.1430708973667</v>
      </c>
      <c r="D505" s="100">
        <f t="shared" si="25"/>
        <v>6464.551335651141</v>
      </c>
      <c r="E505" s="95"/>
    </row>
    <row r="506" spans="2:5" ht="25.2" customHeight="1">
      <c r="B506" s="93">
        <f t="shared" si="23"/>
        <v>499</v>
      </c>
      <c r="C506" s="100">
        <f t="shared" si="24"/>
        <v>6475.9934867755519</v>
      </c>
      <c r="D506" s="100">
        <f t="shared" si="25"/>
        <v>6477.4017515293262</v>
      </c>
      <c r="E506" s="95"/>
    </row>
    <row r="507" spans="2:5" ht="25.2" customHeight="1">
      <c r="B507" s="93">
        <f t="shared" si="23"/>
        <v>500</v>
      </c>
      <c r="C507" s="100">
        <f t="shared" si="24"/>
        <v>6488.8439026537371</v>
      </c>
      <c r="D507" s="100">
        <f t="shared" si="25"/>
        <v>6490.2521674075115</v>
      </c>
      <c r="E507" s="95"/>
    </row>
  </sheetData>
  <sheetProtection algorithmName="SHA-512" hashValue="sHYHRCx/+i/o5gX42tJqcR2cWO6rZ8OBsjY+jZ85uW9IFri32kQMbfMNl5bgKC8x44IUbhmQgQOZWgKnWHAp0g==" saltValue="csseCU9ttRfWmHmDI1wOhw==" spinCount="100000" sheet="1" selectLockedCells="1" selectUnlockedCells="1"/>
  <mergeCells count="10">
    <mergeCell ref="R3:R4"/>
    <mergeCell ref="S3:S4"/>
    <mergeCell ref="T3:T4"/>
    <mergeCell ref="B1:D1"/>
    <mergeCell ref="F1:H1"/>
    <mergeCell ref="N15:Q15"/>
    <mergeCell ref="N3:N6"/>
    <mergeCell ref="O3:O6"/>
    <mergeCell ref="P3:P6"/>
    <mergeCell ref="Q3:Q6"/>
  </mergeCells>
  <printOptions horizontalCentered="1" headings="1"/>
  <pageMargins left="0.39370078740157499" right="0.196850393700787" top="0.39370078740157499" bottom="0.196850393700787" header="9.8425196850393706E-2" footer="9.8425196850393706E-2"/>
  <pageSetup paperSize="9" orientation="portrait" r:id="rId1"/>
  <headerFooter alignWithMargins="0">
    <oddHeader>&amp;CPage &amp;P of &amp;N</oddHead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rgb="FFFF0000"/>
  </sheetPr>
  <dimension ref="A1:P34"/>
  <sheetViews>
    <sheetView view="pageBreakPreview" zoomScaleSheetLayoutView="100" workbookViewId="0">
      <selection activeCell="K91" sqref="K91"/>
    </sheetView>
  </sheetViews>
  <sheetFormatPr defaultColWidth="8" defaultRowHeight="13.2"/>
  <cols>
    <col min="1" max="1" width="10.88671875" style="54" customWidth="1"/>
    <col min="2" max="2" width="14.6640625" style="54" customWidth="1"/>
    <col min="3" max="4" width="8" style="54"/>
    <col min="5" max="5" width="9.109375" style="54" customWidth="1"/>
    <col min="6" max="6" width="10.6640625" style="54" customWidth="1"/>
    <col min="7" max="7" width="9.109375" style="54" customWidth="1"/>
    <col min="8" max="8" width="13.44140625" style="54" customWidth="1"/>
    <col min="9" max="9" width="10.33203125" style="54" customWidth="1"/>
    <col min="10" max="10" width="10.5546875" style="54" customWidth="1"/>
    <col min="11" max="11" width="19" style="54" customWidth="1"/>
    <col min="12" max="12" width="17.6640625" style="54" customWidth="1"/>
    <col min="13" max="13" width="11.109375" style="54" customWidth="1"/>
    <col min="14" max="14" width="10.33203125" style="54" customWidth="1"/>
    <col min="15" max="15" width="9.109375" style="54" customWidth="1"/>
    <col min="16" max="16" width="9.44140625" style="54" customWidth="1"/>
    <col min="17" max="17" width="8.6640625" style="54" customWidth="1"/>
    <col min="18" max="18" width="6" style="54" customWidth="1"/>
    <col min="19" max="20" width="6.88671875" style="54" customWidth="1"/>
    <col min="21" max="22" width="9.109375" style="54" customWidth="1"/>
    <col min="23" max="23" width="8.5546875" style="54" customWidth="1"/>
    <col min="24" max="24" width="8.33203125" style="54" customWidth="1"/>
    <col min="25" max="25" width="9.109375" style="54" customWidth="1"/>
    <col min="26" max="26" width="9.44140625" style="54" customWidth="1"/>
    <col min="27" max="27" width="14.5546875" style="54" customWidth="1"/>
    <col min="28" max="28" width="14.109375" style="54" customWidth="1"/>
    <col min="29" max="29" width="8.109375" style="54" customWidth="1"/>
    <col min="30" max="16384" width="8" style="54"/>
  </cols>
  <sheetData>
    <row r="1" spans="1:16" ht="15.6">
      <c r="B1" s="55" t="str">
        <f>+'Input Data'!E1</f>
        <v>C/o HLB on R/F Amlikunta to Gundumal of Gundumal Mandal of Narayanept District.</v>
      </c>
    </row>
    <row r="2" spans="1:16">
      <c r="A2" s="54" t="s">
        <v>2533</v>
      </c>
      <c r="K2" s="82" t="s">
        <v>2534</v>
      </c>
    </row>
    <row r="3" spans="1:16">
      <c r="A3" s="54" t="s">
        <v>2535</v>
      </c>
    </row>
    <row r="4" spans="1:16" ht="39.6">
      <c r="A4" s="57" t="s">
        <v>2536</v>
      </c>
      <c r="B4" s="56" t="s">
        <v>2537</v>
      </c>
      <c r="C4" s="4241" t="s">
        <v>2538</v>
      </c>
      <c r="D4" s="4241"/>
      <c r="E4" s="56" t="s">
        <v>2539</v>
      </c>
      <c r="F4" s="56" t="s">
        <v>2540</v>
      </c>
      <c r="G4" s="56" t="s">
        <v>2541</v>
      </c>
      <c r="H4" s="56" t="s">
        <v>2542</v>
      </c>
      <c r="I4" s="56" t="s">
        <v>2543</v>
      </c>
      <c r="J4" s="56" t="s">
        <v>2544</v>
      </c>
      <c r="K4" s="56" t="s">
        <v>2545</v>
      </c>
      <c r="L4" s="56" t="s">
        <v>2546</v>
      </c>
      <c r="M4" s="56" t="s">
        <v>2547</v>
      </c>
      <c r="N4" s="83"/>
    </row>
    <row r="5" spans="1:16">
      <c r="A5" s="57"/>
      <c r="B5" s="57"/>
      <c r="C5" s="57" t="s">
        <v>2548</v>
      </c>
      <c r="D5" s="57" t="s">
        <v>2549</v>
      </c>
      <c r="E5" s="57"/>
      <c r="F5" s="57"/>
      <c r="G5" s="57"/>
      <c r="H5" s="57"/>
      <c r="I5" s="57"/>
      <c r="J5" s="57"/>
      <c r="K5" s="68"/>
      <c r="L5" s="56"/>
      <c r="M5" s="68"/>
    </row>
    <row r="6" spans="1:16" ht="19.2" customHeight="1">
      <c r="A6" s="57">
        <v>300</v>
      </c>
      <c r="B6" s="57">
        <v>40</v>
      </c>
      <c r="C6" s="57">
        <v>0.78</v>
      </c>
      <c r="D6" s="57">
        <v>2.71</v>
      </c>
      <c r="E6" s="62">
        <f>PI()*(B6/1000)*(A6+B6)/1000</f>
        <v>4.2725660088821192E-2</v>
      </c>
      <c r="F6" s="63">
        <f>C6+D6*140/125</f>
        <v>3.8151999999999999</v>
      </c>
      <c r="G6" s="64">
        <f>+G33</f>
        <v>5300</v>
      </c>
      <c r="H6" s="65">
        <f>+lead!J36</f>
        <v>5000</v>
      </c>
      <c r="I6" s="64">
        <f>+G34</f>
        <v>55000</v>
      </c>
      <c r="J6" s="65">
        <f>+lead!J39</f>
        <v>55000</v>
      </c>
      <c r="K6" s="57">
        <f t="shared" ref="K6:K9" si="0">ROUND(360*E6*(H6-G6)/1000,2)</f>
        <v>-4.6100000000000003</v>
      </c>
      <c r="L6" s="57">
        <f t="shared" ref="L6:L9" si="1">ROUND(F6*(J6-I6)/1000,2)</f>
        <v>0</v>
      </c>
      <c r="M6" s="57">
        <f t="shared" ref="M6:M9" si="2">L6+K6</f>
        <v>-4.6100000000000003</v>
      </c>
      <c r="N6" s="84">
        <f>A6</f>
        <v>300</v>
      </c>
    </row>
    <row r="7" spans="1:16" ht="19.2" customHeight="1">
      <c r="A7" s="57">
        <v>450</v>
      </c>
      <c r="B7" s="57">
        <v>75</v>
      </c>
      <c r="C7" s="57">
        <v>0.78</v>
      </c>
      <c r="D7" s="57">
        <v>3.88</v>
      </c>
      <c r="E7" s="62">
        <f t="shared" ref="E7:E13" si="3">PI()*(B7/1000)*(A7+B7)/1000</f>
        <v>0.12370021073509811</v>
      </c>
      <c r="F7" s="63">
        <f t="shared" ref="F7:F13" si="4">C7+D7*140/125</f>
        <v>5.1255999999999995</v>
      </c>
      <c r="G7" s="57">
        <f t="shared" ref="G7:J13" si="5">G6</f>
        <v>5300</v>
      </c>
      <c r="H7" s="66">
        <f t="shared" si="5"/>
        <v>5000</v>
      </c>
      <c r="I7" s="57">
        <f t="shared" si="5"/>
        <v>55000</v>
      </c>
      <c r="J7" s="66">
        <f t="shared" si="5"/>
        <v>55000</v>
      </c>
      <c r="K7" s="57">
        <f t="shared" si="0"/>
        <v>-13.36</v>
      </c>
      <c r="L7" s="57">
        <f t="shared" si="1"/>
        <v>0</v>
      </c>
      <c r="M7" s="57">
        <f t="shared" si="2"/>
        <v>-13.36</v>
      </c>
      <c r="N7" s="84">
        <f t="shared" ref="N7:N13" si="6">A7</f>
        <v>450</v>
      </c>
      <c r="P7" s="85">
        <f>140/125</f>
        <v>1.1200000000000001</v>
      </c>
    </row>
    <row r="8" spans="1:16" ht="19.2" customHeight="1">
      <c r="A8" s="57">
        <v>600</v>
      </c>
      <c r="B8" s="57">
        <v>85</v>
      </c>
      <c r="C8" s="57">
        <v>2.34</v>
      </c>
      <c r="D8" s="57">
        <v>9.6300000000000008</v>
      </c>
      <c r="E8" s="62">
        <f t="shared" si="3"/>
        <v>0.18291923225526574</v>
      </c>
      <c r="F8" s="63">
        <f t="shared" si="4"/>
        <v>13.1256</v>
      </c>
      <c r="G8" s="57">
        <f t="shared" si="5"/>
        <v>5300</v>
      </c>
      <c r="H8" s="66">
        <f t="shared" si="5"/>
        <v>5000</v>
      </c>
      <c r="I8" s="57">
        <f>I7</f>
        <v>55000</v>
      </c>
      <c r="J8" s="66">
        <f t="shared" si="5"/>
        <v>55000</v>
      </c>
      <c r="K8" s="57">
        <f t="shared" si="0"/>
        <v>-19.760000000000002</v>
      </c>
      <c r="L8" s="57">
        <f t="shared" si="1"/>
        <v>0</v>
      </c>
      <c r="M8" s="57">
        <f t="shared" si="2"/>
        <v>-19.760000000000002</v>
      </c>
      <c r="N8" s="84">
        <f t="shared" si="6"/>
        <v>600</v>
      </c>
    </row>
    <row r="9" spans="1:16" ht="19.2" customHeight="1">
      <c r="A9" s="57">
        <v>700</v>
      </c>
      <c r="B9" s="57">
        <v>85</v>
      </c>
      <c r="C9" s="57">
        <v>3.44</v>
      </c>
      <c r="D9" s="57">
        <v>14.33</v>
      </c>
      <c r="E9" s="62">
        <f t="shared" si="3"/>
        <v>0.20962276981077899</v>
      </c>
      <c r="F9" s="63">
        <f t="shared" si="4"/>
        <v>19.489600000000003</v>
      </c>
      <c r="G9" s="57">
        <f t="shared" si="5"/>
        <v>5300</v>
      </c>
      <c r="H9" s="66">
        <f t="shared" si="5"/>
        <v>5000</v>
      </c>
      <c r="I9" s="57">
        <f t="shared" si="5"/>
        <v>55000</v>
      </c>
      <c r="J9" s="66">
        <f t="shared" si="5"/>
        <v>55000</v>
      </c>
      <c r="K9" s="57">
        <f t="shared" si="0"/>
        <v>-22.64</v>
      </c>
      <c r="L9" s="57">
        <f t="shared" si="1"/>
        <v>0</v>
      </c>
      <c r="M9" s="57">
        <f t="shared" si="2"/>
        <v>-22.64</v>
      </c>
      <c r="N9" s="84">
        <f t="shared" si="6"/>
        <v>700</v>
      </c>
    </row>
    <row r="10" spans="1:16" ht="19.2" customHeight="1">
      <c r="A10" s="57">
        <v>800</v>
      </c>
      <c r="B10" s="57">
        <v>95</v>
      </c>
      <c r="C10" s="57">
        <v>3.44</v>
      </c>
      <c r="D10" s="57">
        <v>21.2</v>
      </c>
      <c r="E10" s="62">
        <f t="shared" si="3"/>
        <v>0.26711391537147217</v>
      </c>
      <c r="F10" s="63">
        <f t="shared" si="4"/>
        <v>27.184000000000001</v>
      </c>
      <c r="G10" s="57">
        <f>+G9</f>
        <v>5300</v>
      </c>
      <c r="H10" s="66">
        <f>+H9</f>
        <v>5000</v>
      </c>
      <c r="I10" s="57">
        <f>+I9</f>
        <v>55000</v>
      </c>
      <c r="J10" s="66">
        <f>+J9</f>
        <v>55000</v>
      </c>
      <c r="K10" s="57">
        <f t="shared" ref="K10:K13" si="7">ROUND(360*E10*(H10-G10)/1000,2)</f>
        <v>-28.85</v>
      </c>
      <c r="L10" s="57">
        <f t="shared" ref="L10:L13" si="8">ROUND(F10*(J10-I10)/1000,2)</f>
        <v>0</v>
      </c>
      <c r="M10" s="57">
        <f t="shared" ref="M10:M13" si="9">L10+K10</f>
        <v>-28.85</v>
      </c>
      <c r="N10" s="84">
        <f t="shared" si="6"/>
        <v>800</v>
      </c>
    </row>
    <row r="11" spans="1:16" ht="19.2" customHeight="1">
      <c r="A11" s="57">
        <v>900</v>
      </c>
      <c r="B11" s="57">
        <v>100</v>
      </c>
      <c r="C11" s="57">
        <v>3.44</v>
      </c>
      <c r="D11" s="57">
        <v>27.13</v>
      </c>
      <c r="E11" s="62">
        <f t="shared" si="3"/>
        <v>0.31415926535897931</v>
      </c>
      <c r="F11" s="63">
        <f t="shared" si="4"/>
        <v>33.825600000000001</v>
      </c>
      <c r="G11" s="57">
        <f>G9</f>
        <v>5300</v>
      </c>
      <c r="H11" s="66">
        <f>H9</f>
        <v>5000</v>
      </c>
      <c r="I11" s="57">
        <f>I9</f>
        <v>55000</v>
      </c>
      <c r="J11" s="66">
        <f>J9</f>
        <v>55000</v>
      </c>
      <c r="K11" s="57">
        <f t="shared" si="7"/>
        <v>-33.93</v>
      </c>
      <c r="L11" s="57">
        <f t="shared" si="8"/>
        <v>0</v>
      </c>
      <c r="M11" s="57">
        <f t="shared" si="9"/>
        <v>-33.93</v>
      </c>
      <c r="N11" s="84">
        <f t="shared" si="6"/>
        <v>900</v>
      </c>
    </row>
    <row r="12" spans="1:16" ht="19.2" customHeight="1">
      <c r="A12" s="57">
        <v>1000</v>
      </c>
      <c r="B12" s="57">
        <v>115</v>
      </c>
      <c r="C12" s="57">
        <v>6.04</v>
      </c>
      <c r="D12" s="57">
        <v>35.479999999999997</v>
      </c>
      <c r="E12" s="62">
        <f t="shared" si="3"/>
        <v>0.40283071800655124</v>
      </c>
      <c r="F12" s="63">
        <f t="shared" si="4"/>
        <v>45.7776</v>
      </c>
      <c r="G12" s="57">
        <f t="shared" si="5"/>
        <v>5300</v>
      </c>
      <c r="H12" s="66">
        <f t="shared" si="5"/>
        <v>5000</v>
      </c>
      <c r="I12" s="57">
        <f t="shared" si="5"/>
        <v>55000</v>
      </c>
      <c r="J12" s="66">
        <f t="shared" si="5"/>
        <v>55000</v>
      </c>
      <c r="K12" s="57">
        <f t="shared" si="7"/>
        <v>-43.51</v>
      </c>
      <c r="L12" s="57">
        <f t="shared" si="8"/>
        <v>0</v>
      </c>
      <c r="M12" s="57">
        <f t="shared" si="9"/>
        <v>-43.51</v>
      </c>
      <c r="N12" s="84">
        <f t="shared" si="6"/>
        <v>1000</v>
      </c>
    </row>
    <row r="13" spans="1:16" ht="19.2" customHeight="1">
      <c r="A13" s="57">
        <v>1200</v>
      </c>
      <c r="B13" s="57">
        <v>120</v>
      </c>
      <c r="C13" s="57">
        <v>6.04</v>
      </c>
      <c r="D13" s="57">
        <v>53.07</v>
      </c>
      <c r="E13" s="62">
        <f t="shared" si="3"/>
        <v>0.49762827632862322</v>
      </c>
      <c r="F13" s="63">
        <f t="shared" si="4"/>
        <v>65.478400000000008</v>
      </c>
      <c r="G13" s="57">
        <f t="shared" si="5"/>
        <v>5300</v>
      </c>
      <c r="H13" s="66">
        <f t="shared" si="5"/>
        <v>5000</v>
      </c>
      <c r="I13" s="57">
        <f t="shared" si="5"/>
        <v>55000</v>
      </c>
      <c r="J13" s="66">
        <f t="shared" si="5"/>
        <v>55000</v>
      </c>
      <c r="K13" s="57">
        <f t="shared" si="7"/>
        <v>-53.74</v>
      </c>
      <c r="L13" s="57">
        <f t="shared" si="8"/>
        <v>0</v>
      </c>
      <c r="M13" s="57">
        <f t="shared" si="9"/>
        <v>-53.74</v>
      </c>
      <c r="N13" s="84">
        <f t="shared" si="6"/>
        <v>1200</v>
      </c>
    </row>
    <row r="14" spans="1:16" s="60" customFormat="1" ht="14.4" customHeight="1">
      <c r="A14" s="67" t="s">
        <v>2550</v>
      </c>
      <c r="B14" s="67"/>
      <c r="C14" s="67"/>
      <c r="D14" s="67"/>
      <c r="E14" s="67"/>
      <c r="F14" s="67"/>
      <c r="G14" s="67"/>
      <c r="H14" s="67"/>
      <c r="I14" s="67"/>
      <c r="J14" s="67"/>
      <c r="K14" s="67"/>
      <c r="L14" s="67"/>
      <c r="M14" s="67"/>
    </row>
    <row r="15" spans="1:16">
      <c r="A15" s="68" t="s">
        <v>2551</v>
      </c>
      <c r="B15" s="68"/>
      <c r="C15" s="68"/>
      <c r="D15" s="68"/>
      <c r="E15" s="68"/>
      <c r="F15" s="68"/>
      <c r="G15" s="68"/>
      <c r="H15" s="68"/>
      <c r="I15" s="68"/>
      <c r="J15" s="68"/>
      <c r="K15" s="68"/>
      <c r="L15" s="68"/>
      <c r="M15" s="68"/>
    </row>
    <row r="16" spans="1:16" s="61" customFormat="1" ht="24.75" customHeight="1">
      <c r="A16" s="69"/>
      <c r="B16" s="70" t="s">
        <v>2552</v>
      </c>
      <c r="C16" s="69"/>
      <c r="D16" s="69"/>
      <c r="E16" s="71" t="s">
        <v>2553</v>
      </c>
      <c r="F16" s="4242" t="s">
        <v>2554</v>
      </c>
      <c r="G16" s="4242"/>
      <c r="H16" s="69"/>
      <c r="I16" s="69"/>
      <c r="J16" s="69"/>
      <c r="K16" s="69"/>
      <c r="L16" s="71" t="s">
        <v>2555</v>
      </c>
      <c r="M16" s="69"/>
    </row>
    <row r="17" spans="1:13" ht="20.399999999999999">
      <c r="A17" s="72">
        <v>1</v>
      </c>
      <c r="B17" s="73" t="s">
        <v>2556</v>
      </c>
      <c r="C17" s="74"/>
      <c r="D17" s="75"/>
      <c r="E17" s="2103">
        <v>13839</v>
      </c>
      <c r="F17" s="76"/>
      <c r="G17" s="77">
        <f>M13</f>
        <v>-53.74</v>
      </c>
      <c r="H17" s="78"/>
      <c r="I17" s="86"/>
      <c r="J17" s="4243"/>
      <c r="K17" s="78">
        <v>0</v>
      </c>
      <c r="L17" s="87">
        <f>1*(E17+F17+I17+K17+G17)</f>
        <v>13785.26</v>
      </c>
      <c r="M17" s="68"/>
    </row>
    <row r="18" spans="1:13" ht="15.6">
      <c r="A18" s="72">
        <f>+A17+1</f>
        <v>2</v>
      </c>
      <c r="B18" s="73" t="s">
        <v>2557</v>
      </c>
      <c r="C18" s="74"/>
      <c r="D18" s="77"/>
      <c r="E18" s="2104">
        <v>1989</v>
      </c>
      <c r="F18" s="76"/>
      <c r="G18" s="77">
        <f>+'NP4 collars'!O15</f>
        <v>-6.49</v>
      </c>
      <c r="H18" s="78"/>
      <c r="I18" s="86"/>
      <c r="J18" s="4243"/>
      <c r="K18" s="78">
        <v>0</v>
      </c>
      <c r="L18" s="87">
        <f t="shared" ref="L18:L32" si="10">1*(E18+F18+I18+K18+G18)</f>
        <v>1982.51</v>
      </c>
      <c r="M18" s="68"/>
    </row>
    <row r="19" spans="1:13" ht="20.399999999999999">
      <c r="A19" s="72">
        <f t="shared" ref="A19:A32" si="11">+A18+1</f>
        <v>3</v>
      </c>
      <c r="B19" s="73" t="s">
        <v>2558</v>
      </c>
      <c r="C19" s="74"/>
      <c r="D19" s="75"/>
      <c r="E19" s="2103">
        <v>10191</v>
      </c>
      <c r="F19" s="76"/>
      <c r="G19" s="77">
        <f>+M12</f>
        <v>-43.51</v>
      </c>
      <c r="H19" s="78"/>
      <c r="I19" s="86"/>
      <c r="J19" s="4243"/>
      <c r="K19" s="78">
        <v>0</v>
      </c>
      <c r="L19" s="87">
        <f t="shared" si="10"/>
        <v>10147.49</v>
      </c>
      <c r="M19" s="68"/>
    </row>
    <row r="20" spans="1:13" ht="15.6">
      <c r="A20" s="72">
        <f t="shared" si="11"/>
        <v>4</v>
      </c>
      <c r="B20" s="73" t="s">
        <v>2559</v>
      </c>
      <c r="C20" s="74"/>
      <c r="D20" s="77"/>
      <c r="E20" s="2104">
        <v>1257</v>
      </c>
      <c r="F20" s="76"/>
      <c r="G20" s="77">
        <f>+'NP4 collars'!O14</f>
        <v>-4.32</v>
      </c>
      <c r="H20" s="78"/>
      <c r="I20" s="86"/>
      <c r="J20" s="4243"/>
      <c r="K20" s="78">
        <v>0</v>
      </c>
      <c r="L20" s="87">
        <f t="shared" si="10"/>
        <v>1252.68</v>
      </c>
      <c r="M20" s="68"/>
    </row>
    <row r="21" spans="1:13" ht="20.399999999999999">
      <c r="A21" s="72">
        <f t="shared" si="11"/>
        <v>5</v>
      </c>
      <c r="B21" s="73" t="s">
        <v>2560</v>
      </c>
      <c r="C21" s="74"/>
      <c r="D21" s="77"/>
      <c r="E21" s="2103">
        <v>7472</v>
      </c>
      <c r="F21" s="76"/>
      <c r="G21" s="77">
        <f>+M11</f>
        <v>-33.93</v>
      </c>
      <c r="H21" s="78"/>
      <c r="I21" s="86"/>
      <c r="J21" s="4243"/>
      <c r="K21" s="78">
        <v>0</v>
      </c>
      <c r="L21" s="87">
        <f t="shared" si="10"/>
        <v>7438.07</v>
      </c>
      <c r="M21" s="68"/>
    </row>
    <row r="22" spans="1:13" ht="15.6">
      <c r="A22" s="72">
        <f t="shared" si="11"/>
        <v>6</v>
      </c>
      <c r="B22" s="73" t="s">
        <v>2561</v>
      </c>
      <c r="C22" s="74"/>
      <c r="D22" s="77"/>
      <c r="E22" s="2104">
        <v>1000</v>
      </c>
      <c r="F22" s="76"/>
      <c r="G22" s="77">
        <f>+'NP4 collars'!O13</f>
        <v>-3.56</v>
      </c>
      <c r="H22" s="78"/>
      <c r="I22" s="86"/>
      <c r="J22" s="4243"/>
      <c r="K22" s="78">
        <v>0</v>
      </c>
      <c r="L22" s="87">
        <f t="shared" si="10"/>
        <v>996.44</v>
      </c>
      <c r="M22" s="68"/>
    </row>
    <row r="23" spans="1:13" ht="20.399999999999999">
      <c r="A23" s="72">
        <f t="shared" si="11"/>
        <v>7</v>
      </c>
      <c r="B23" s="73" t="s">
        <v>2562</v>
      </c>
      <c r="C23" s="74"/>
      <c r="D23" s="77"/>
      <c r="E23" s="2103">
        <v>6007</v>
      </c>
      <c r="F23" s="76"/>
      <c r="G23" s="77">
        <f>+M10</f>
        <v>-28.85</v>
      </c>
      <c r="H23" s="78"/>
      <c r="I23" s="86"/>
      <c r="J23" s="4243"/>
      <c r="K23" s="78">
        <v>0</v>
      </c>
      <c r="L23" s="87">
        <f t="shared" si="10"/>
        <v>5978.15</v>
      </c>
      <c r="M23" s="68"/>
    </row>
    <row r="24" spans="1:13" ht="15.6">
      <c r="A24" s="72">
        <f t="shared" si="11"/>
        <v>8</v>
      </c>
      <c r="B24" s="73" t="s">
        <v>2563</v>
      </c>
      <c r="C24" s="74"/>
      <c r="D24" s="77"/>
      <c r="E24" s="2104">
        <v>860</v>
      </c>
      <c r="F24" s="76"/>
      <c r="G24" s="77">
        <f>+'NP4 collars'!O12</f>
        <v>-2.88</v>
      </c>
      <c r="H24" s="78"/>
      <c r="I24" s="86"/>
      <c r="J24" s="4243"/>
      <c r="K24" s="78">
        <v>0</v>
      </c>
      <c r="L24" s="87">
        <f t="shared" si="10"/>
        <v>857.12</v>
      </c>
      <c r="M24" s="68"/>
    </row>
    <row r="25" spans="1:13" ht="20.399999999999999">
      <c r="A25" s="72">
        <f t="shared" si="11"/>
        <v>9</v>
      </c>
      <c r="B25" s="73" t="s">
        <v>2564</v>
      </c>
      <c r="C25" s="74"/>
      <c r="D25" s="77"/>
      <c r="E25" s="2103">
        <v>4581</v>
      </c>
      <c r="F25" s="76"/>
      <c r="G25" s="77">
        <f>+M9</f>
        <v>-22.64</v>
      </c>
      <c r="H25" s="78"/>
      <c r="I25" s="86"/>
      <c r="J25" s="4243"/>
      <c r="K25" s="78">
        <v>0</v>
      </c>
      <c r="L25" s="87">
        <f t="shared" si="10"/>
        <v>4558.3599999999997</v>
      </c>
      <c r="M25" s="68"/>
    </row>
    <row r="26" spans="1:13" ht="15.6">
      <c r="A26" s="72">
        <f t="shared" si="11"/>
        <v>10</v>
      </c>
      <c r="B26" s="73" t="s">
        <v>2565</v>
      </c>
      <c r="C26" s="74"/>
      <c r="D26" s="77"/>
      <c r="E26" s="2104">
        <v>682</v>
      </c>
      <c r="F26" s="76"/>
      <c r="G26" s="77">
        <f>+'NP4 collars'!O11</f>
        <v>-2.27</v>
      </c>
      <c r="H26" s="78"/>
      <c r="I26" s="86"/>
      <c r="J26" s="4243"/>
      <c r="K26" s="78">
        <v>0</v>
      </c>
      <c r="L26" s="87">
        <f t="shared" si="10"/>
        <v>679.73</v>
      </c>
      <c r="M26" s="68"/>
    </row>
    <row r="27" spans="1:13" ht="20.399999999999999">
      <c r="A27" s="72">
        <f t="shared" si="11"/>
        <v>11</v>
      </c>
      <c r="B27" s="73" t="s">
        <v>2566</v>
      </c>
      <c r="C27" s="74"/>
      <c r="D27" s="77"/>
      <c r="E27" s="2103">
        <v>3413</v>
      </c>
      <c r="F27" s="76"/>
      <c r="G27" s="77">
        <f>+M8</f>
        <v>-19.760000000000002</v>
      </c>
      <c r="H27" s="78"/>
      <c r="I27" s="86"/>
      <c r="J27" s="4243"/>
      <c r="K27" s="78">
        <v>0</v>
      </c>
      <c r="L27" s="87">
        <f t="shared" si="10"/>
        <v>3393.24</v>
      </c>
      <c r="M27" s="68"/>
    </row>
    <row r="28" spans="1:13" ht="15.6">
      <c r="A28" s="72">
        <f t="shared" si="11"/>
        <v>12</v>
      </c>
      <c r="B28" s="73" t="s">
        <v>2567</v>
      </c>
      <c r="C28" s="74"/>
      <c r="D28" s="77"/>
      <c r="E28" s="2104">
        <v>502</v>
      </c>
      <c r="F28" s="76"/>
      <c r="G28" s="77">
        <f>+'NP4 collars'!O10</f>
        <v>-1.74</v>
      </c>
      <c r="H28" s="78"/>
      <c r="I28" s="86"/>
      <c r="J28" s="4243"/>
      <c r="K28" s="78">
        <v>0</v>
      </c>
      <c r="L28" s="87">
        <f t="shared" si="10"/>
        <v>500.26</v>
      </c>
      <c r="M28" s="68"/>
    </row>
    <row r="29" spans="1:13" ht="20.399999999999999">
      <c r="A29" s="72">
        <f t="shared" si="11"/>
        <v>13</v>
      </c>
      <c r="B29" s="73" t="s">
        <v>2568</v>
      </c>
      <c r="C29" s="74"/>
      <c r="D29" s="77"/>
      <c r="E29" s="2103">
        <v>1768</v>
      </c>
      <c r="F29" s="76"/>
      <c r="G29" s="77">
        <f>+M7</f>
        <v>-13.36</v>
      </c>
      <c r="H29" s="78"/>
      <c r="I29" s="86"/>
      <c r="J29" s="4243"/>
      <c r="K29" s="78">
        <v>0</v>
      </c>
      <c r="L29" s="87">
        <f t="shared" si="10"/>
        <v>1754.64</v>
      </c>
      <c r="M29" s="68"/>
    </row>
    <row r="30" spans="1:13" ht="15.6">
      <c r="A30" s="72">
        <f t="shared" si="11"/>
        <v>14</v>
      </c>
      <c r="B30" s="73" t="s">
        <v>2569</v>
      </c>
      <c r="C30" s="74"/>
      <c r="D30" s="77"/>
      <c r="E30" s="2104">
        <v>320</v>
      </c>
      <c r="F30" s="76"/>
      <c r="G30" s="77">
        <f>+'NP4 collars'!O9</f>
        <v>-1.1499999999999999</v>
      </c>
      <c r="H30" s="78"/>
      <c r="I30" s="86"/>
      <c r="J30" s="4243"/>
      <c r="K30" s="78">
        <v>0</v>
      </c>
      <c r="L30" s="87">
        <f t="shared" si="10"/>
        <v>318.85000000000002</v>
      </c>
      <c r="M30" s="68"/>
    </row>
    <row r="31" spans="1:13" ht="20.399999999999999">
      <c r="A31" s="72">
        <f t="shared" si="11"/>
        <v>15</v>
      </c>
      <c r="B31" s="73" t="s">
        <v>2570</v>
      </c>
      <c r="C31" s="74"/>
      <c r="D31" s="77"/>
      <c r="E31" s="2103">
        <v>1133</v>
      </c>
      <c r="F31" s="76"/>
      <c r="G31" s="77">
        <f>+M6</f>
        <v>-4.6100000000000003</v>
      </c>
      <c r="H31" s="78"/>
      <c r="I31" s="86"/>
      <c r="J31" s="4243"/>
      <c r="K31" s="78">
        <v>0</v>
      </c>
      <c r="L31" s="87">
        <f t="shared" si="10"/>
        <v>1128.3900000000001</v>
      </c>
      <c r="M31" s="68"/>
    </row>
    <row r="32" spans="1:13" ht="15.6">
      <c r="A32" s="72">
        <f t="shared" si="11"/>
        <v>16</v>
      </c>
      <c r="B32" s="73" t="s">
        <v>2571</v>
      </c>
      <c r="C32" s="74"/>
      <c r="D32" s="77"/>
      <c r="E32" s="2104">
        <v>174</v>
      </c>
      <c r="F32" s="76"/>
      <c r="G32" s="77">
        <f>+'NP4 collars'!O8</f>
        <v>-0.5</v>
      </c>
      <c r="H32" s="78"/>
      <c r="I32" s="86"/>
      <c r="J32" s="4243"/>
      <c r="K32" s="78">
        <v>0</v>
      </c>
      <c r="L32" s="87">
        <f t="shared" si="10"/>
        <v>173.5</v>
      </c>
      <c r="M32" s="68"/>
    </row>
    <row r="33" spans="5:7">
      <c r="E33" s="80" t="s">
        <v>2572</v>
      </c>
      <c r="F33" s="81"/>
      <c r="G33" s="79">
        <v>5300</v>
      </c>
    </row>
    <row r="34" spans="5:7" ht="14.4" customHeight="1">
      <c r="E34" s="80" t="s">
        <v>2573</v>
      </c>
      <c r="G34" s="79">
        <v>55000</v>
      </c>
    </row>
  </sheetData>
  <sheetProtection algorithmName="SHA-512" hashValue="QLKLAyWb1/7x9+ujsf7zDQhk3U3WX2JofmDXLz/2N0CtGHU5AhgtmWleTnkoqW3g43nxst3JB5j+VmcgJiMjig==" saltValue="KWTOhcNSiNBfGAlLO2eB6g==" spinCount="100000" sheet="1" selectLockedCells="1" selectUnlockedCells="1"/>
  <mergeCells count="10">
    <mergeCell ref="J23:J24"/>
    <mergeCell ref="J25:J26"/>
    <mergeCell ref="J27:J28"/>
    <mergeCell ref="J29:J30"/>
    <mergeCell ref="J31:J32"/>
    <mergeCell ref="C4:D4"/>
    <mergeCell ref="F16:G16"/>
    <mergeCell ref="J17:J18"/>
    <mergeCell ref="J19:J20"/>
    <mergeCell ref="J21:J22"/>
  </mergeCells>
  <pageMargins left="0.43307086614173201" right="0.27559055118110198" top="0.511811023622047" bottom="0.47244094488188998" header="0.511811023622047" footer="0.511811023622047"/>
  <pageSetup paperSize="9" scale="85"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rgb="FFFF0000"/>
  </sheetPr>
  <dimension ref="A1:O15"/>
  <sheetViews>
    <sheetView topLeftCell="A3" workbookViewId="0">
      <selection activeCell="K91" sqref="K91"/>
    </sheetView>
  </sheetViews>
  <sheetFormatPr defaultColWidth="9.109375" defaultRowHeight="13.2"/>
  <cols>
    <col min="1" max="1" width="8" style="54" customWidth="1"/>
    <col min="2" max="3" width="9.109375" style="54" customWidth="1"/>
    <col min="4" max="4" width="6.109375" style="54" customWidth="1"/>
    <col min="5" max="6" width="7" style="54" customWidth="1"/>
    <col min="7" max="7" width="7.109375" style="54" customWidth="1"/>
    <col min="8" max="8" width="8.44140625" style="54" customWidth="1"/>
    <col min="9" max="11" width="9.109375" style="54" customWidth="1"/>
    <col min="12" max="12" width="8.6640625" style="54" customWidth="1"/>
    <col min="13" max="14" width="15.44140625" style="54" customWidth="1"/>
    <col min="15" max="15" width="10.109375" style="54" customWidth="1"/>
    <col min="16" max="16" width="9.109375" style="54" customWidth="1"/>
    <col min="17" max="17" width="9.44140625" style="54" customWidth="1"/>
    <col min="18" max="18" width="8.6640625" style="54" customWidth="1"/>
    <col min="19" max="19" width="6" style="54" customWidth="1"/>
    <col min="20" max="21" width="6.88671875" style="54" customWidth="1"/>
    <col min="22" max="23" width="9.109375" style="54" customWidth="1"/>
    <col min="24" max="24" width="8.5546875" style="54" customWidth="1"/>
    <col min="25" max="25" width="8.33203125" style="54" customWidth="1"/>
    <col min="26" max="26" width="9.109375" style="54" customWidth="1"/>
    <col min="27" max="27" width="9.44140625" style="54" customWidth="1"/>
    <col min="28" max="28" width="14.5546875" style="54" customWidth="1"/>
    <col min="29" max="29" width="14.109375" style="54" customWidth="1"/>
    <col min="30" max="30" width="8.109375" style="54" customWidth="1"/>
    <col min="31" max="16384" width="9.109375" style="54"/>
  </cols>
  <sheetData>
    <row r="1" spans="1:15" ht="15.6">
      <c r="C1" s="55" t="str">
        <f>'NP4 pipes'!B1</f>
        <v>C/o HLB on R/F Amlikunta to Gundumal of Gundumal Mandal of Narayanept District.</v>
      </c>
    </row>
    <row r="2" spans="1:15">
      <c r="B2" s="54" t="s">
        <v>2533</v>
      </c>
    </row>
    <row r="3" spans="1:15">
      <c r="M3" s="58" t="s">
        <v>2534</v>
      </c>
    </row>
    <row r="4" spans="1:15">
      <c r="A4" s="54" t="s">
        <v>2574</v>
      </c>
    </row>
    <row r="6" spans="1:15" ht="39.6">
      <c r="A6" s="56" t="s">
        <v>2536</v>
      </c>
      <c r="B6" s="56" t="s">
        <v>2575</v>
      </c>
      <c r="C6" s="56" t="s">
        <v>2576</v>
      </c>
      <c r="D6" s="56" t="s">
        <v>2577</v>
      </c>
      <c r="E6" s="4241" t="s">
        <v>2578</v>
      </c>
      <c r="F6" s="4241"/>
      <c r="G6" s="56" t="s">
        <v>2539</v>
      </c>
      <c r="H6" s="56" t="s">
        <v>2540</v>
      </c>
      <c r="I6" s="56" t="s">
        <v>2541</v>
      </c>
      <c r="J6" s="56" t="s">
        <v>2542</v>
      </c>
      <c r="K6" s="56" t="s">
        <v>2543</v>
      </c>
      <c r="L6" s="56" t="s">
        <v>2544</v>
      </c>
      <c r="M6" s="56" t="s">
        <v>2545</v>
      </c>
      <c r="N6" s="56" t="s">
        <v>2546</v>
      </c>
      <c r="O6" s="56" t="s">
        <v>2547</v>
      </c>
    </row>
    <row r="7" spans="1:15">
      <c r="A7" s="57"/>
      <c r="B7" s="57"/>
      <c r="C7" s="57"/>
      <c r="D7" s="57"/>
      <c r="E7" s="57" t="s">
        <v>2548</v>
      </c>
      <c r="F7" s="57" t="s">
        <v>2549</v>
      </c>
      <c r="G7" s="57"/>
      <c r="H7" s="57"/>
      <c r="I7" s="57"/>
      <c r="J7" s="57"/>
      <c r="K7" s="57"/>
      <c r="L7" s="57"/>
      <c r="M7" s="57"/>
      <c r="N7" s="57"/>
      <c r="O7" s="57"/>
    </row>
    <row r="8" spans="1:15" ht="25.5" customHeight="1">
      <c r="A8" s="57">
        <v>300</v>
      </c>
      <c r="B8" s="57">
        <v>16</v>
      </c>
      <c r="C8" s="57">
        <v>30</v>
      </c>
      <c r="D8" s="57">
        <v>150</v>
      </c>
      <c r="E8" s="57">
        <v>0.11</v>
      </c>
      <c r="F8" s="57">
        <v>0.22</v>
      </c>
      <c r="G8" s="57">
        <f>PI()*((C8/1000)*(A8+C8)/1000)*D8/1000</f>
        <v>4.6652650905808432E-3</v>
      </c>
      <c r="H8" s="57">
        <f t="shared" ref="H8:H15" si="0">E8+F8*140/125</f>
        <v>0.35639999999999999</v>
      </c>
      <c r="I8" s="59">
        <f>'NP4 pipes'!G6</f>
        <v>5300</v>
      </c>
      <c r="J8" s="59">
        <f>'NP4 pipes'!H6</f>
        <v>5000</v>
      </c>
      <c r="K8" s="59">
        <f>'NP4 pipes'!I6</f>
        <v>55000</v>
      </c>
      <c r="L8" s="59">
        <f>'NP4 pipes'!J6</f>
        <v>55000</v>
      </c>
      <c r="M8" s="57">
        <f t="shared" ref="M8:M15" si="1">ROUND(360*G8*(J8-I8)/1000,2)</f>
        <v>-0.5</v>
      </c>
      <c r="N8" s="57">
        <f t="shared" ref="N8:N15" si="2">ROUND(H8*(L8-K8)/1000,2)</f>
        <v>0</v>
      </c>
      <c r="O8" s="57">
        <f t="shared" ref="O8:O15" si="3">N8+M8</f>
        <v>-0.5</v>
      </c>
    </row>
    <row r="9" spans="1:15" ht="25.5" customHeight="1">
      <c r="A9" s="57">
        <v>450</v>
      </c>
      <c r="B9" s="57">
        <v>19</v>
      </c>
      <c r="C9" s="57">
        <v>35</v>
      </c>
      <c r="D9" s="57">
        <v>200</v>
      </c>
      <c r="E9" s="57">
        <v>0.15</v>
      </c>
      <c r="F9" s="57">
        <v>0.6</v>
      </c>
      <c r="G9" s="57">
        <f>PI()*((C9/1000)*(A9+C9)/1000)*D9/1000</f>
        <v>1.0665707058937346E-2</v>
      </c>
      <c r="H9" s="57">
        <f t="shared" si="0"/>
        <v>0.82200000000000006</v>
      </c>
      <c r="I9" s="59">
        <f t="shared" ref="I9:L15" si="4">I8</f>
        <v>5300</v>
      </c>
      <c r="J9" s="59">
        <f t="shared" si="4"/>
        <v>5000</v>
      </c>
      <c r="K9" s="59">
        <f t="shared" si="4"/>
        <v>55000</v>
      </c>
      <c r="L9" s="59">
        <f t="shared" si="4"/>
        <v>55000</v>
      </c>
      <c r="M9" s="57">
        <f t="shared" si="1"/>
        <v>-1.1499999999999999</v>
      </c>
      <c r="N9" s="57">
        <f t="shared" si="2"/>
        <v>0</v>
      </c>
      <c r="O9" s="57">
        <f t="shared" si="3"/>
        <v>-1.1499999999999999</v>
      </c>
    </row>
    <row r="10" spans="1:15" ht="25.5" customHeight="1">
      <c r="A10" s="57">
        <v>600</v>
      </c>
      <c r="B10" s="57">
        <v>19</v>
      </c>
      <c r="C10" s="57">
        <v>40</v>
      </c>
      <c r="D10" s="57">
        <v>200</v>
      </c>
      <c r="E10" s="57">
        <v>0.23</v>
      </c>
      <c r="F10" s="57">
        <v>1.05</v>
      </c>
      <c r="G10" s="57">
        <f>PI()*((C10/1000)*(A10+C10)/1000)*D10/1000</f>
        <v>1.6084954386379743E-2</v>
      </c>
      <c r="H10" s="57">
        <f t="shared" si="0"/>
        <v>1.4059999999999999</v>
      </c>
      <c r="I10" s="59">
        <f t="shared" si="4"/>
        <v>5300</v>
      </c>
      <c r="J10" s="59">
        <f t="shared" si="4"/>
        <v>5000</v>
      </c>
      <c r="K10" s="59">
        <f t="shared" si="4"/>
        <v>55000</v>
      </c>
      <c r="L10" s="59">
        <f t="shared" si="4"/>
        <v>55000</v>
      </c>
      <c r="M10" s="57">
        <f t="shared" si="1"/>
        <v>-1.74</v>
      </c>
      <c r="N10" s="57">
        <f t="shared" si="2"/>
        <v>0</v>
      </c>
      <c r="O10" s="57">
        <f t="shared" si="3"/>
        <v>-1.74</v>
      </c>
    </row>
    <row r="11" spans="1:15" ht="25.5" customHeight="1">
      <c r="A11" s="57">
        <v>700</v>
      </c>
      <c r="B11" s="57">
        <v>19</v>
      </c>
      <c r="C11" s="57">
        <v>45</v>
      </c>
      <c r="D11" s="57">
        <v>200</v>
      </c>
      <c r="E11" s="57">
        <v>0.23</v>
      </c>
      <c r="F11" s="57">
        <v>1.85</v>
      </c>
      <c r="G11" s="57">
        <f t="shared" ref="G11:G15" si="5">PI()*((C11/1000)*(A11+C11)/1000)*D11/1000</f>
        <v>2.1064378742319562E-2</v>
      </c>
      <c r="H11" s="57">
        <f t="shared" si="0"/>
        <v>2.302</v>
      </c>
      <c r="I11" s="59">
        <f t="shared" si="4"/>
        <v>5300</v>
      </c>
      <c r="J11" s="59">
        <f t="shared" si="4"/>
        <v>5000</v>
      </c>
      <c r="K11" s="59">
        <f t="shared" si="4"/>
        <v>55000</v>
      </c>
      <c r="L11" s="59">
        <f t="shared" si="4"/>
        <v>55000</v>
      </c>
      <c r="M11" s="57">
        <f t="shared" si="1"/>
        <v>-2.27</v>
      </c>
      <c r="N11" s="57">
        <f t="shared" si="2"/>
        <v>0</v>
      </c>
      <c r="O11" s="57">
        <f t="shared" si="3"/>
        <v>-2.27</v>
      </c>
    </row>
    <row r="12" spans="1:15" ht="25.5" customHeight="1">
      <c r="A12" s="57">
        <v>800</v>
      </c>
      <c r="B12" s="57">
        <v>19</v>
      </c>
      <c r="C12" s="57">
        <v>50</v>
      </c>
      <c r="D12" s="57">
        <v>200</v>
      </c>
      <c r="E12" s="57">
        <v>0.23</v>
      </c>
      <c r="F12" s="57">
        <v>2.0499999999999998</v>
      </c>
      <c r="G12" s="57">
        <f t="shared" si="5"/>
        <v>2.6703537555513246E-2</v>
      </c>
      <c r="H12" s="57">
        <f t="shared" si="0"/>
        <v>2.5259999999999998</v>
      </c>
      <c r="I12" s="59">
        <f>+I11</f>
        <v>5300</v>
      </c>
      <c r="J12" s="59">
        <f>+J11</f>
        <v>5000</v>
      </c>
      <c r="K12" s="59">
        <f>+K11</f>
        <v>55000</v>
      </c>
      <c r="L12" s="59">
        <f>+L11</f>
        <v>55000</v>
      </c>
      <c r="M12" s="57">
        <f t="shared" ref="M12" si="6">ROUND(360*G12*(J12-I12)/1000,2)</f>
        <v>-2.88</v>
      </c>
      <c r="N12" s="57">
        <f t="shared" ref="N12" si="7">ROUND(H12*(L12-K12)/1000,2)</f>
        <v>0</v>
      </c>
      <c r="O12" s="57">
        <f t="shared" si="3"/>
        <v>-2.88</v>
      </c>
    </row>
    <row r="13" spans="1:15" ht="25.5" customHeight="1">
      <c r="A13" s="57">
        <v>900</v>
      </c>
      <c r="B13" s="57">
        <v>19</v>
      </c>
      <c r="C13" s="57">
        <v>55</v>
      </c>
      <c r="D13" s="57">
        <v>200</v>
      </c>
      <c r="E13" s="57">
        <v>0.33</v>
      </c>
      <c r="F13" s="57">
        <v>2.25</v>
      </c>
      <c r="G13" s="57">
        <f t="shared" si="5"/>
        <v>3.3002430825960771E-2</v>
      </c>
      <c r="H13" s="57">
        <f t="shared" si="0"/>
        <v>2.85</v>
      </c>
      <c r="I13" s="59">
        <f>I11</f>
        <v>5300</v>
      </c>
      <c r="J13" s="59">
        <f>J11</f>
        <v>5000</v>
      </c>
      <c r="K13" s="59">
        <f>K11</f>
        <v>55000</v>
      </c>
      <c r="L13" s="59">
        <f>L11</f>
        <v>55000</v>
      </c>
      <c r="M13" s="57">
        <f t="shared" si="1"/>
        <v>-3.56</v>
      </c>
      <c r="N13" s="57">
        <f t="shared" si="2"/>
        <v>0</v>
      </c>
      <c r="O13" s="57">
        <f t="shared" si="3"/>
        <v>-3.56</v>
      </c>
    </row>
    <row r="14" spans="1:15" ht="25.5" customHeight="1">
      <c r="A14" s="57">
        <v>1000</v>
      </c>
      <c r="B14" s="57">
        <v>19</v>
      </c>
      <c r="C14" s="57">
        <v>60</v>
      </c>
      <c r="D14" s="57">
        <v>200</v>
      </c>
      <c r="E14" s="57">
        <v>0.33</v>
      </c>
      <c r="F14" s="57">
        <v>3.09</v>
      </c>
      <c r="G14" s="57">
        <f t="shared" si="5"/>
        <v>3.9961058553662165E-2</v>
      </c>
      <c r="H14" s="57">
        <f t="shared" si="0"/>
        <v>3.7907999999999999</v>
      </c>
      <c r="I14" s="59">
        <f t="shared" si="4"/>
        <v>5300</v>
      </c>
      <c r="J14" s="59">
        <f t="shared" si="4"/>
        <v>5000</v>
      </c>
      <c r="K14" s="59">
        <f t="shared" si="4"/>
        <v>55000</v>
      </c>
      <c r="L14" s="59">
        <f t="shared" si="4"/>
        <v>55000</v>
      </c>
      <c r="M14" s="57">
        <f t="shared" si="1"/>
        <v>-4.32</v>
      </c>
      <c r="N14" s="57">
        <f t="shared" si="2"/>
        <v>0</v>
      </c>
      <c r="O14" s="57">
        <f t="shared" si="3"/>
        <v>-4.32</v>
      </c>
    </row>
    <row r="15" spans="1:15" ht="25.5" customHeight="1">
      <c r="A15" s="57">
        <v>1200</v>
      </c>
      <c r="B15" s="57">
        <v>19</v>
      </c>
      <c r="C15" s="57">
        <v>75</v>
      </c>
      <c r="D15" s="57">
        <v>200</v>
      </c>
      <c r="E15" s="57">
        <v>0.5</v>
      </c>
      <c r="F15" s="57">
        <v>5.08</v>
      </c>
      <c r="G15" s="57">
        <f t="shared" si="5"/>
        <v>6.0082959499904796E-2</v>
      </c>
      <c r="H15" s="57">
        <f t="shared" si="0"/>
        <v>6.1896000000000004</v>
      </c>
      <c r="I15" s="59">
        <f t="shared" si="4"/>
        <v>5300</v>
      </c>
      <c r="J15" s="59">
        <f t="shared" si="4"/>
        <v>5000</v>
      </c>
      <c r="K15" s="59">
        <f t="shared" si="4"/>
        <v>55000</v>
      </c>
      <c r="L15" s="59">
        <f t="shared" si="4"/>
        <v>55000</v>
      </c>
      <c r="M15" s="57">
        <f t="shared" si="1"/>
        <v>-6.49</v>
      </c>
      <c r="N15" s="57">
        <f t="shared" si="2"/>
        <v>0</v>
      </c>
      <c r="O15" s="57">
        <f t="shared" si="3"/>
        <v>-6.49</v>
      </c>
    </row>
  </sheetData>
  <sheetProtection password="83A3" sheet="1" objects="1" scenarios="1" selectLockedCells="1" selectUnlockedCells="1"/>
  <mergeCells count="1">
    <mergeCell ref="E6:F6"/>
  </mergeCells>
  <pageMargins left="0.45" right="0.28000000000000003" top="0.53" bottom="0.48" header="0.5" footer="0.5"/>
  <pageSetup paperSize="9" scale="95"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G29"/>
  <sheetViews>
    <sheetView workbookViewId="0">
      <selection activeCell="K18" sqref="K18"/>
    </sheetView>
  </sheetViews>
  <sheetFormatPr defaultColWidth="8.88671875" defaultRowHeight="14.4"/>
  <cols>
    <col min="1" max="1" width="23.6640625" style="1" customWidth="1"/>
    <col min="2" max="2" width="31.6640625" style="1" customWidth="1"/>
    <col min="3" max="3" width="38.88671875" style="1" customWidth="1"/>
    <col min="4" max="6" width="14.33203125" style="1" customWidth="1"/>
    <col min="7" max="7" width="13.88671875" style="1" customWidth="1"/>
    <col min="8" max="16384" width="8.88671875" style="1"/>
  </cols>
  <sheetData>
    <row r="1" spans="1:7" ht="15.6">
      <c r="A1" s="3295" t="str">
        <f>'Schedule-A'!D3</f>
        <v>C/o HLB on R/F Amlikunta to Gundumal of Gundumal Mandal of Narayanept District.</v>
      </c>
      <c r="B1" s="3295"/>
      <c r="C1" s="3295"/>
      <c r="D1" s="3295"/>
      <c r="E1" s="3295"/>
      <c r="F1" s="3295"/>
      <c r="G1" s="3"/>
    </row>
    <row r="2" spans="1:7" ht="15.6">
      <c r="A2" s="2"/>
      <c r="B2" s="2" t="str">
        <f>"NIT.No-"&amp;'Input Data'!L5</f>
        <v>NIT.No--</v>
      </c>
      <c r="C2" s="4">
        <f>'Schedule-A'!C4</f>
        <v>500</v>
      </c>
      <c r="D2" s="2"/>
      <c r="E2" s="2"/>
      <c r="F2" s="2"/>
      <c r="G2" s="3"/>
    </row>
    <row r="3" spans="1:7" ht="17.399999999999999">
      <c r="A3" s="5" t="s">
        <v>330</v>
      </c>
      <c r="B3" s="6">
        <f>'Schedule-A'!H53</f>
        <v>37923452</v>
      </c>
      <c r="C3" s="7">
        <f>B3</f>
        <v>37923452</v>
      </c>
      <c r="D3" s="2069" t="s">
        <v>331</v>
      </c>
      <c r="E3" s="8">
        <v>1.4999999999999999E-2</v>
      </c>
      <c r="F3" s="8">
        <v>2.5000000000000001E-2</v>
      </c>
      <c r="G3" s="9"/>
    </row>
    <row r="4" spans="1:7">
      <c r="A4" s="10" t="s">
        <v>332</v>
      </c>
      <c r="B4" s="11" t="s">
        <v>333</v>
      </c>
      <c r="C4" s="12">
        <f>CEILING(1%*B3,100)</f>
        <v>379300</v>
      </c>
      <c r="D4" s="13">
        <f>CEILING(1%*C3,100)</f>
        <v>379300</v>
      </c>
      <c r="E4" s="13">
        <f>CEILING(1.5%*C3,100)</f>
        <v>568900</v>
      </c>
      <c r="F4" s="13">
        <f>SUM(D4:E4)</f>
        <v>948200</v>
      </c>
      <c r="G4" s="9"/>
    </row>
    <row r="5" spans="1:7" ht="21.6">
      <c r="A5" s="14" t="s">
        <v>334</v>
      </c>
      <c r="B5" s="15" t="s">
        <v>335</v>
      </c>
      <c r="C5" s="16" t="s">
        <v>336</v>
      </c>
      <c r="D5" s="17">
        <f>1.12368*(ROUND(0.03%*C3,0))</f>
        <v>12784.10736</v>
      </c>
      <c r="E5" s="18" t="s">
        <v>337</v>
      </c>
      <c r="F5" s="19"/>
      <c r="G5" s="9"/>
    </row>
    <row r="6" spans="1:7" ht="66">
      <c r="A6" s="20" t="s">
        <v>338</v>
      </c>
      <c r="B6" s="21">
        <v>12</v>
      </c>
      <c r="C6" s="22" t="s">
        <v>2579</v>
      </c>
      <c r="D6" s="23"/>
      <c r="E6" s="23"/>
      <c r="F6" s="23"/>
      <c r="G6" s="9"/>
    </row>
    <row r="7" spans="1:7" ht="22.8">
      <c r="A7" s="20" t="s">
        <v>340</v>
      </c>
      <c r="B7" s="24" t="s">
        <v>341</v>
      </c>
      <c r="C7" s="25">
        <f>ROUNDUP((3*C3)/(B6),0)</f>
        <v>9480863</v>
      </c>
      <c r="D7" s="26" t="s">
        <v>342</v>
      </c>
      <c r="E7" s="27" t="e">
        <f>'Schedule-A'!#REF!</f>
        <v>#REF!</v>
      </c>
      <c r="F7" s="28" t="e">
        <f>'Schedule-A'!#REF!</f>
        <v>#REF!</v>
      </c>
      <c r="G7" s="9"/>
    </row>
    <row r="8" spans="1:7" ht="26.4">
      <c r="A8" s="20" t="s">
        <v>343</v>
      </c>
      <c r="B8" s="29" t="s">
        <v>344</v>
      </c>
      <c r="C8" s="25">
        <f>ROUNDUP(50%*C3*12/B6,0)</f>
        <v>18961726</v>
      </c>
      <c r="D8" s="9"/>
      <c r="E8" s="9"/>
      <c r="F8" s="9"/>
      <c r="G8" s="9"/>
    </row>
    <row r="9" spans="1:7">
      <c r="A9" s="20" t="s">
        <v>345</v>
      </c>
      <c r="B9" s="29" t="s">
        <v>330</v>
      </c>
      <c r="C9" s="25">
        <f>C3</f>
        <v>37923452</v>
      </c>
      <c r="D9" s="9"/>
      <c r="E9" s="9"/>
      <c r="F9" s="9"/>
      <c r="G9" s="9"/>
    </row>
    <row r="10" spans="1:7" ht="27">
      <c r="A10" s="30" t="s">
        <v>346</v>
      </c>
      <c r="B10" s="31" t="s">
        <v>347</v>
      </c>
      <c r="C10" s="32" t="s">
        <v>348</v>
      </c>
      <c r="D10" s="23"/>
      <c r="E10" s="9"/>
      <c r="F10" s="9"/>
      <c r="G10" s="9"/>
    </row>
    <row r="11" spans="1:7">
      <c r="A11" s="33" t="s">
        <v>349</v>
      </c>
      <c r="B11" s="34"/>
      <c r="C11" s="35">
        <f>ROUNDUP(B11*50%*12/B6,0)</f>
        <v>0</v>
      </c>
      <c r="D11" s="23" t="s">
        <v>31</v>
      </c>
      <c r="E11" s="9"/>
      <c r="F11" s="9"/>
      <c r="G11" s="9"/>
    </row>
    <row r="12" spans="1:7">
      <c r="A12" s="33" t="s">
        <v>350</v>
      </c>
      <c r="B12" s="34"/>
      <c r="C12" s="35">
        <f>ROUNDUP(B12*50%*12/B6,0)</f>
        <v>0</v>
      </c>
      <c r="D12" s="23" t="s">
        <v>31</v>
      </c>
      <c r="E12" s="9"/>
      <c r="F12" s="9"/>
      <c r="G12" s="9"/>
    </row>
    <row r="13" spans="1:7">
      <c r="A13" s="33" t="s">
        <v>351</v>
      </c>
      <c r="B13" s="34"/>
      <c r="C13" s="35">
        <f>ROUNDUP(B13*50%*12/B6,0)</f>
        <v>0</v>
      </c>
      <c r="D13" s="23" t="s">
        <v>31</v>
      </c>
      <c r="E13" s="9"/>
      <c r="F13" s="9"/>
      <c r="G13" s="9"/>
    </row>
    <row r="14" spans="1:7">
      <c r="A14" s="33" t="s">
        <v>352</v>
      </c>
      <c r="B14" s="34"/>
      <c r="C14" s="35">
        <f>ROUNDUP(B14*50%*12/B6,0)</f>
        <v>0</v>
      </c>
      <c r="D14" s="23" t="s">
        <v>353</v>
      </c>
      <c r="E14" s="9"/>
      <c r="F14" s="9"/>
      <c r="G14" s="9"/>
    </row>
    <row r="15" spans="1:7">
      <c r="A15" s="33" t="s">
        <v>354</v>
      </c>
      <c r="B15" s="36"/>
      <c r="C15" s="35">
        <f>ROUNDUP(B15*50%*12/B6,0)</f>
        <v>0</v>
      </c>
      <c r="D15" s="23" t="s">
        <v>31</v>
      </c>
      <c r="E15" s="9"/>
      <c r="F15" s="9"/>
      <c r="G15" s="9"/>
    </row>
    <row r="16" spans="1:7">
      <c r="A16" s="37"/>
      <c r="B16" s="3"/>
      <c r="C16" s="38"/>
      <c r="D16" s="3"/>
      <c r="E16" s="3"/>
      <c r="F16" s="3"/>
      <c r="G16" s="3"/>
    </row>
    <row r="17" spans="1:7">
      <c r="A17" s="10" t="s">
        <v>355</v>
      </c>
      <c r="B17" s="39" t="s">
        <v>356</v>
      </c>
      <c r="C17" s="40">
        <f>(C9/3)</f>
        <v>12641150.666666666</v>
      </c>
      <c r="D17" s="41"/>
      <c r="E17" s="3"/>
      <c r="F17" s="3"/>
      <c r="G17" s="3"/>
    </row>
    <row r="18" spans="1:7">
      <c r="A18" s="10"/>
      <c r="B18" s="39" t="s">
        <v>357</v>
      </c>
      <c r="C18" s="40">
        <f>2*C17</f>
        <v>25282301.333333332</v>
      </c>
      <c r="D18" s="41"/>
      <c r="E18" s="3"/>
      <c r="F18" s="3"/>
      <c r="G18" s="3"/>
    </row>
    <row r="19" spans="1:7">
      <c r="A19" s="10"/>
      <c r="B19" s="39" t="s">
        <v>358</v>
      </c>
      <c r="C19" s="40">
        <f>3*C17</f>
        <v>37923452</v>
      </c>
      <c r="D19" s="41"/>
      <c r="E19" s="3"/>
      <c r="F19" s="3"/>
      <c r="G19" s="3"/>
    </row>
    <row r="20" spans="1:7" ht="26.4">
      <c r="A20" s="9"/>
      <c r="B20" s="42"/>
      <c r="C20" s="43" t="s">
        <v>366</v>
      </c>
      <c r="D20" s="44"/>
      <c r="E20" s="23"/>
      <c r="F20" s="45" t="s">
        <v>359</v>
      </c>
      <c r="G20" s="44"/>
    </row>
    <row r="21" spans="1:7">
      <c r="A21" s="10" t="s">
        <v>361</v>
      </c>
      <c r="B21" s="39" t="s">
        <v>362</v>
      </c>
      <c r="C21" s="46">
        <f>ROUND(((C3/3)/1000),0)</f>
        <v>12641</v>
      </c>
      <c r="D21" s="47">
        <f>C21*10%</f>
        <v>1264.1000000000001</v>
      </c>
      <c r="E21" s="48">
        <f>C3/3</f>
        <v>12641150.666666666</v>
      </c>
      <c r="F21" s="49">
        <f>E21*100/100000</f>
        <v>12641.150666666665</v>
      </c>
      <c r="G21" s="3"/>
    </row>
    <row r="22" spans="1:7">
      <c r="A22" s="3"/>
      <c r="B22" s="39" t="s">
        <v>363</v>
      </c>
      <c r="C22" s="46">
        <f>C21*2</f>
        <v>25282</v>
      </c>
      <c r="D22" s="47">
        <f t="shared" ref="D22:D23" si="0">C22*10%</f>
        <v>2528.2000000000003</v>
      </c>
      <c r="E22" s="48">
        <f>E21*2</f>
        <v>25282301.333333332</v>
      </c>
      <c r="F22" s="49">
        <f>E22*100/100000</f>
        <v>25282.301333333329</v>
      </c>
      <c r="G22" s="3"/>
    </row>
    <row r="23" spans="1:7">
      <c r="A23" s="3"/>
      <c r="B23" s="39" t="s">
        <v>364</v>
      </c>
      <c r="C23" s="46">
        <f>C21*3</f>
        <v>37923</v>
      </c>
      <c r="D23" s="47">
        <f t="shared" si="0"/>
        <v>3792.3</v>
      </c>
      <c r="E23" s="48">
        <f>E21*3</f>
        <v>37923452</v>
      </c>
      <c r="F23" s="49">
        <f>E23*100/100000</f>
        <v>37923.451999999997</v>
      </c>
      <c r="G23" s="3"/>
    </row>
    <row r="24" spans="1:7">
      <c r="A24" s="50"/>
      <c r="B24" s="51"/>
      <c r="C24" s="39"/>
      <c r="D24" s="3"/>
      <c r="E24" s="52"/>
      <c r="F24" s="52"/>
      <c r="G24" s="3"/>
    </row>
    <row r="25" spans="1:7">
      <c r="A25" s="3"/>
      <c r="B25" s="43" t="s">
        <v>60</v>
      </c>
      <c r="C25" s="53">
        <f>C21*3</f>
        <v>37923</v>
      </c>
      <c r="D25" s="3"/>
      <c r="E25" s="52"/>
      <c r="F25" s="52"/>
      <c r="G25" s="47"/>
    </row>
    <row r="26" spans="1:7">
      <c r="A26" s="3"/>
      <c r="B26" s="3"/>
      <c r="C26" s="3"/>
      <c r="D26" s="3"/>
      <c r="E26" s="52"/>
      <c r="F26" s="52"/>
      <c r="G26" s="47"/>
    </row>
    <row r="27" spans="1:7">
      <c r="A27" s="3"/>
      <c r="B27" s="3"/>
      <c r="C27" s="3"/>
      <c r="D27" s="3"/>
      <c r="E27" s="52"/>
      <c r="F27" s="52"/>
      <c r="G27" s="47"/>
    </row>
    <row r="28" spans="1:7">
      <c r="A28" s="3"/>
      <c r="B28" s="3"/>
      <c r="C28" s="3"/>
      <c r="D28" s="3"/>
      <c r="E28" s="52"/>
      <c r="F28" s="52"/>
      <c r="G28" s="47"/>
    </row>
    <row r="29" spans="1:7">
      <c r="D29" s="3"/>
      <c r="E29" s="52"/>
      <c r="F29" s="52"/>
    </row>
  </sheetData>
  <mergeCells count="1">
    <mergeCell ref="A1:F1"/>
  </mergeCells>
  <printOptions horizontalCentered="1" gridLines="1"/>
  <pageMargins left="0.196850393700787" right="0.196850393700787" top="0.196850393700787" bottom="0.196850393700787" header="0.118110236220472" footer="0.118110236220472"/>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rangeList sheetStid="5" master=""/>
  <rangeList sheetStid="127" master=""/>
  <rangeList sheetStid="179" master=""/>
  <rangeList sheetStid="107" master="">
    <arrUserId title="Range1" rangeCreator="" othersAccessPermission="edit"/>
  </rangeList>
  <rangeList sheetStid="198" master=""/>
  <rangeList sheetStid="174" master="">
    <arrUserId title="Range1" rangeCreator="" othersAccessPermission="edit"/>
  </rangeList>
  <rangeList sheetStid="200" master=""/>
  <rangeList sheetStid="185" master=""/>
  <rangeList sheetStid="201" master=""/>
  <rangeList sheetStid="195" master=""/>
  <rangeList sheetStid="175" master="">
    <arrUserId title="Range2" rangeCreator="" othersAccessPermission="edit"/>
    <arrUserId title="Range1" rangeCreator="" othersAccessPermission="edit"/>
    <arrUserId title="Range3" rangeCreator="" othersAccessPermission="edit"/>
    <arrUserId title="Range2_1" rangeCreator="" othersAccessPermission="edit"/>
  </rangeList>
  <rangeList sheetStid="191" master=""/>
  <rangeList sheetStid="197" master=""/>
  <rangeList sheetStid="193" master=""/>
  <rangeList sheetStid="128" master=""/>
  <rangeList sheetStid="178" master=""/>
  <rangeList sheetStid="133" master=""/>
  <rangeList sheetStid="164" master="">
    <arrUserId title="Range4" rangeCreator="" othersAccessPermission="edit"/>
    <arrUserId title="Range4_1" rangeCreator="" othersAccessPermission="edit"/>
    <arrUserId title="Range4_2" rangeCreator="" othersAccessPermission="edit"/>
    <arrUserId title="Range4_3" rangeCreator="" othersAccessPermission="edit"/>
    <arrUserId title="Range4_4" rangeCreator="" othersAccessPermission="edit"/>
    <arrUserId title="Range4_5" rangeCreator="" othersAccessPermission="edit"/>
  </rangeList>
  <rangeList sheetStid="189" master="">
    <arrUserId title="Range3" rangeCreator="" othersAccessPermission="edit"/>
    <arrUserId title="Range1" rangeCreator="" othersAccessPermission="edit"/>
    <arrUserId title="Range4" rangeCreator="" othersAccessPermission="edit"/>
    <arrUserId title="Range4_2" rangeCreator="" othersAccessPermission="edit"/>
    <arrUserId title="Range4_1_1" rangeCreator="" othersAccessPermission="edit"/>
    <arrUserId title="Range4_2_1" rangeCreator="" othersAccessPermission="edit"/>
    <arrUserId title="Range3_1" rangeCreator="" othersAccessPermission="edit"/>
    <arrUserId title="Range1_1" rangeCreator="" othersAccessPermission="edit"/>
  </rangeList>
  <rangeList sheetStid="139" master=""/>
  <rangeList sheetStid="140" master="">
    <arrUserId title="Range6" rangeCreator="" othersAccessPermission="edit"/>
    <arrUserId title="Range5" rangeCreator="" othersAccessPermission="edit"/>
    <arrUserId title="Range4" rangeCreator="" othersAccessPermission="edit"/>
    <arrUserId title="Range3" rangeCreator="" othersAccessPermission="edit"/>
    <arrUserId title="Range2" rangeCreator="" othersAccessPermission="edit"/>
    <arrUserId title="Range1" rangeCreator="" othersAccessPermission="edit"/>
  </rangeList>
  <rangeList sheetStid="162" master=""/>
  <rangeList sheetStid="163" master=""/>
  <rangeList sheetStid="202" master=""/>
  <rangeList sheetStid="141" master=""/>
  <rangeList sheetStid="199" master="">
    <arrUserId title="Range4_3" rangeCreator="" othersAccessPermission="edit"/>
    <arrUserId title="Range4_4" rangeCreator="" othersAccessPermission="edit"/>
  </rangeList>
  <rangeList sheetStid="165" master="">
    <arrUserId title="Range4_3" rangeCreator="" othersAccessPermission="edit"/>
    <arrUserId title="Range4_4" rangeCreator="" othersAccessPermission="edit"/>
  </rangeList>
  <rangeList sheetStid="167" master="">
    <arrUserId title="Range4" rangeCreator="" othersAccessPermission="edit"/>
    <arrUserId title="Range4_1" rangeCreator="" othersAccessPermission="edit"/>
  </rangeList>
  <rangeList sheetStid="186" master="">
    <arrUserId title="Range4" rangeCreator="" othersAccessPermission="edit"/>
    <arrUserId title="Range4_1" rangeCreator="" othersAccessPermission="edit"/>
  </rangeList>
  <rangeList sheetStid="171" master="">
    <arrUserId title="Range4" rangeCreator="" othersAccessPermission="edit"/>
  </rangeList>
  <rangeList sheetStid="203" master="">
    <arrUserId title="Range3" rangeCreator="" othersAccessPermission="edit"/>
    <arrUserId title="Range2" rangeCreator="" othersAccessPermission="edit"/>
    <arrUserId title="Range1" rangeCreator="" othersAccessPermission="edit"/>
  </rangeList>
  <rangeList sheetStid="187" master="">
    <arrUserId title="Range4" rangeCreator="" othersAccessPermission="edit"/>
    <arrUserId title="Range4_1" rangeCreator="" othersAccessPermission="edit"/>
  </rangeList>
  <rangeList sheetStid="168" master="">
    <arrUserId title="Range4" rangeCreator="" othersAccessPermission="edit"/>
    <arrUserId title="Range4_1" rangeCreator="" othersAccessPermission="edit"/>
  </rangeList>
  <rangeList sheetStid="169" master="">
    <arrUserId title="Range4" rangeCreator="" othersAccessPermission="edit"/>
    <arrUserId title="Range4_1" rangeCreator="" othersAccessPermission="edit"/>
  </rangeList>
  <rangeList sheetStid="170" master="">
    <arrUserId title="Range4" rangeCreator="" othersAccessPermission="edit"/>
    <arrUserId title="Range4_1" rangeCreator="" othersAccessPermission="edit"/>
  </rangeList>
  <rangeList sheetStid="190" master="">
    <arrUserId title="Range4_1_2" rangeCreator="" othersAccessPermission="edit"/>
    <arrUserId title="Range4_1_1_1" rangeCreator="" othersAccessPermission="edit"/>
  </rangeList>
  <rangeList sheetStid="7" master=""/>
  <rangeList sheetStid="94" master=""/>
  <rangeList sheetStid="113" master=""/>
  <rangeList sheetStid="119" master=""/>
  <rangeList sheetStid="132" master=""/>
  <rangeList sheetStid="182" master=""/>
  <rangeList sheetStid="150" master=""/>
  <rangeList sheetStid="86" master=""/>
  <rangeList sheetStid="146" master=""/>
  <rangeList sheetStid="147" master=""/>
  <rangeList sheetStid="184"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49</vt:i4>
      </vt:variant>
      <vt:variant>
        <vt:lpstr>Named Ranges</vt:lpstr>
      </vt:variant>
      <vt:variant>
        <vt:i4>53</vt:i4>
      </vt:variant>
    </vt:vector>
  </HeadingPairs>
  <TitlesOfParts>
    <vt:vector size="102" baseType="lpstr">
      <vt:lpstr>VUP Data</vt:lpstr>
      <vt:lpstr>temp-calculations</vt:lpstr>
      <vt:lpstr>Input Data</vt:lpstr>
      <vt:lpstr>Cover Page</vt:lpstr>
      <vt:lpstr>Note File</vt:lpstr>
      <vt:lpstr>GA</vt:lpstr>
      <vt:lpstr>Inspection Report</vt:lpstr>
      <vt:lpstr>SPR</vt:lpstr>
      <vt:lpstr>Key Map</vt:lpstr>
      <vt:lpstr>LS_2LS</vt:lpstr>
      <vt:lpstr>TRAFF-Count-ESAL-Cal</vt:lpstr>
      <vt:lpstr>ESAL-result</vt:lpstr>
      <vt:lpstr>ESAL-calculation </vt:lpstr>
      <vt:lpstr>ESAL-Data</vt:lpstr>
      <vt:lpstr>Cover</vt:lpstr>
      <vt:lpstr>google-map</vt:lpstr>
      <vt:lpstr>Schedule-A</vt:lpstr>
      <vt:lpstr>Schedule-A (Part-B)</vt:lpstr>
      <vt:lpstr>Road Estimate</vt:lpstr>
      <vt:lpstr>Mtc-Abs</vt:lpstr>
      <vt:lpstr>MTS Esti</vt:lpstr>
      <vt:lpstr>MTC DAtas</vt:lpstr>
      <vt:lpstr>Mtc-data</vt:lpstr>
      <vt:lpstr>1V 1m dia Pipe Culverts</vt:lpstr>
      <vt:lpstr>2V 1m dia Pipe Culverts</vt:lpstr>
      <vt:lpstr>Road dam 30m</vt:lpstr>
      <vt:lpstr>RSI-Estt</vt:lpstr>
      <vt:lpstr>Drain </vt:lpstr>
      <vt:lpstr>Extension Pipe Culvert</vt:lpstr>
      <vt:lpstr>Slab Culvert 1V 6m x 2m spa</vt:lpstr>
      <vt:lpstr>Slab Culvert 1V 5m x 2m span</vt:lpstr>
      <vt:lpstr>Bri Abst</vt:lpstr>
      <vt:lpstr>Bri estim</vt:lpstr>
      <vt:lpstr>Bri estimate Final</vt:lpstr>
      <vt:lpstr>Bridge Data</vt:lpstr>
      <vt:lpstr>Road Approaches Estimate</vt:lpstr>
      <vt:lpstr>Road-furniture </vt:lpstr>
      <vt:lpstr>Road data</vt:lpstr>
      <vt:lpstr>lead</vt:lpstr>
      <vt:lpstr>Pipe data</vt:lpstr>
      <vt:lpstr>Seigneorage</vt:lpstr>
      <vt:lpstr>Ret wall</vt:lpstr>
      <vt:lpstr>Road-Marks</vt:lpstr>
      <vt:lpstr>TENDER-NF</vt:lpstr>
      <vt:lpstr>Road Furniture-Data</vt:lpstr>
      <vt:lpstr>SSR-rates</vt:lpstr>
      <vt:lpstr>NP4 pipes</vt:lpstr>
      <vt:lpstr>NP4 collars</vt:lpstr>
      <vt:lpstr>TEMP-CAL</vt:lpstr>
      <vt:lpstr>'ESAL-calculation '!BT_Rate_60_70</vt:lpstr>
      <vt:lpstr>BT_Rate_60_70</vt:lpstr>
      <vt:lpstr>'ESAL-calculation '!Emultion_SS</vt:lpstr>
      <vt:lpstr>Emultion_SS</vt:lpstr>
      <vt:lpstr>'ESAL-calculation '!Emution_RS</vt:lpstr>
      <vt:lpstr>Emution_RS</vt:lpstr>
      <vt:lpstr>'2V 1m dia Pipe Culverts'!Print_Area</vt:lpstr>
      <vt:lpstr>'Bri estim'!Print_Area</vt:lpstr>
      <vt:lpstr>'Bri estimate Final'!Print_Area</vt:lpstr>
      <vt:lpstr>'Bridge Data'!Print_Area</vt:lpstr>
      <vt:lpstr>Cover!Print_Area</vt:lpstr>
      <vt:lpstr>'ESAL-result'!Print_Area</vt:lpstr>
      <vt:lpstr>'Extension Pipe Culvert'!Print_Area</vt:lpstr>
      <vt:lpstr>GA!Print_Area</vt:lpstr>
      <vt:lpstr>'Input Data'!Print_Area</vt:lpstr>
      <vt:lpstr>'Key Map'!Print_Area</vt:lpstr>
      <vt:lpstr>lead!Print_Area</vt:lpstr>
      <vt:lpstr>LS_2LS!Print_Area</vt:lpstr>
      <vt:lpstr>'MTS Esti'!Print_Area</vt:lpstr>
      <vt:lpstr>'Note File'!Print_Area</vt:lpstr>
      <vt:lpstr>'NP4 pipes'!Print_Area</vt:lpstr>
      <vt:lpstr>'Road Approaches Estimate'!Print_Area</vt:lpstr>
      <vt:lpstr>'Road data'!Print_Area</vt:lpstr>
      <vt:lpstr>'Road Estimate'!Print_Area</vt:lpstr>
      <vt:lpstr>'Road Furniture-Data'!Print_Area</vt:lpstr>
      <vt:lpstr>'Road-furniture '!Print_Area</vt:lpstr>
      <vt:lpstr>'Road-Marks'!Print_Area</vt:lpstr>
      <vt:lpstr>'RSI-Estt'!Print_Area</vt:lpstr>
      <vt:lpstr>'Schedule-A'!Print_Area</vt:lpstr>
      <vt:lpstr>'Schedule-A (Part-B)'!Print_Area</vt:lpstr>
      <vt:lpstr>SPR!Print_Area</vt:lpstr>
      <vt:lpstr>'SSR-rates'!Print_Area</vt:lpstr>
      <vt:lpstr>'TENDER-NF'!Print_Area</vt:lpstr>
      <vt:lpstr>'TRAFF-Count-ESAL-Cal'!Print_Area</vt:lpstr>
      <vt:lpstr>'VUP Data'!Print_Area</vt:lpstr>
      <vt:lpstr>'1V 1m dia Pipe Culverts'!Print_Titles</vt:lpstr>
      <vt:lpstr>'2V 1m dia Pipe Culverts'!Print_Titles</vt:lpstr>
      <vt:lpstr>'Bri Abst'!Print_Titles</vt:lpstr>
      <vt:lpstr>'Bri estim'!Print_Titles</vt:lpstr>
      <vt:lpstr>'Bri estimate Final'!Print_Titles</vt:lpstr>
      <vt:lpstr>'Bridge Data'!Print_Titles</vt:lpstr>
      <vt:lpstr>'Drain '!Print_Titles</vt:lpstr>
      <vt:lpstr>'Mtc-data'!Print_Titles</vt:lpstr>
      <vt:lpstr>'Pipe data'!Print_Titles</vt:lpstr>
      <vt:lpstr>'Ret wall'!Print_Titles</vt:lpstr>
      <vt:lpstr>'Road dam 30m'!Print_Titles</vt:lpstr>
      <vt:lpstr>'Road data'!Print_Titles</vt:lpstr>
      <vt:lpstr>'Road Estimate'!Print_Titles</vt:lpstr>
      <vt:lpstr>'Road Furniture-Data'!Print_Titles</vt:lpstr>
      <vt:lpstr>'Schedule-A'!Print_Titles</vt:lpstr>
      <vt:lpstr>'Slab Culvert 1V 5m x 2m span'!Print_Titles</vt:lpstr>
      <vt:lpstr>'Slab Culvert 1V 6m x 2m spa'!Print_Titles</vt:lpstr>
      <vt:lpstr>'VUP Data'!Print_Titles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ILLUMINATI</dc:creator>
  <cp:lastModifiedBy>anjaneyulu ayyaripally</cp:lastModifiedBy>
  <cp:lastPrinted>2025-01-27T14:30:30Z</cp:lastPrinted>
  <dcterms:created xsi:type="dcterms:W3CDTF">2004-01-19T09:56:00Z</dcterms:created>
  <dcterms:modified xsi:type="dcterms:W3CDTF">2025-01-27T15:04:32Z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58F16AD4C2AA41E3AB0CD8D19C6B0544</vt:lpwstr>
  </property>
  <property fmtid="{D5CDD505-2E9C-101B-9397-08002B2CF9AE}" pid="3" name="KSOProductBuildVer">
    <vt:lpwstr>1033-11.2.0.11537</vt:lpwstr>
  </property>
</Properties>
</file>